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night\Desktop\master\data\祖传数据\DataAnalysed_new\012王志钰\split\"/>
    </mc:Choice>
  </mc:AlternateContent>
  <xr:revisionPtr revIDLastSave="0" documentId="8_{BC46A46A-14CB-4CFD-A2A1-F6C4A824F020}" xr6:coauthVersionLast="47" xr6:coauthVersionMax="47" xr10:uidLastSave="{00000000-0000-0000-0000-000000000000}"/>
  <bookViews>
    <workbookView xWindow="5640" yWindow="2480" windowWidth="25800" windowHeight="9890"/>
  </bookViews>
  <sheets>
    <sheet name="Testday_off_with_headDir" sheetId="1" r:id="rId1"/>
  </sheets>
  <calcPr calcId="0"/>
</workbook>
</file>

<file path=xl/calcChain.xml><?xml version="1.0" encoding="utf-8"?>
<calcChain xmlns="http://schemas.openxmlformats.org/spreadsheetml/2006/main">
  <c r="A2" i="1" l="1"/>
  <c r="B2" i="1"/>
  <c r="A3" i="1"/>
  <c r="B3" i="1"/>
  <c r="A4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B32" i="1"/>
  <c r="A33" i="1"/>
  <c r="B33" i="1"/>
  <c r="A34" i="1"/>
  <c r="B34" i="1"/>
  <c r="A35" i="1"/>
  <c r="B35" i="1"/>
  <c r="A36" i="1"/>
  <c r="B36" i="1"/>
  <c r="A37" i="1"/>
  <c r="B37" i="1"/>
  <c r="A38" i="1"/>
  <c r="B38" i="1"/>
  <c r="A39" i="1"/>
  <c r="B39" i="1"/>
  <c r="A40" i="1"/>
  <c r="B40" i="1"/>
  <c r="A41" i="1"/>
  <c r="B41" i="1"/>
  <c r="A42" i="1"/>
  <c r="B42" i="1"/>
  <c r="A43" i="1"/>
  <c r="B43" i="1"/>
  <c r="A44" i="1"/>
  <c r="B44" i="1"/>
  <c r="A45" i="1"/>
  <c r="B45" i="1"/>
  <c r="A46" i="1"/>
  <c r="B46" i="1"/>
  <c r="A47" i="1"/>
  <c r="B47" i="1"/>
  <c r="A48" i="1"/>
  <c r="B48" i="1"/>
  <c r="A49" i="1"/>
  <c r="B49" i="1"/>
  <c r="A50" i="1"/>
  <c r="B50" i="1"/>
  <c r="A51" i="1"/>
  <c r="B51" i="1"/>
  <c r="A52" i="1"/>
  <c r="B52" i="1"/>
  <c r="A53" i="1"/>
  <c r="B53" i="1"/>
  <c r="A54" i="1"/>
  <c r="B54" i="1"/>
  <c r="A55" i="1"/>
  <c r="B55" i="1"/>
  <c r="A56" i="1"/>
  <c r="B56" i="1"/>
  <c r="A57" i="1"/>
  <c r="B57" i="1"/>
  <c r="A58" i="1"/>
  <c r="B58" i="1"/>
  <c r="A59" i="1"/>
  <c r="B59" i="1"/>
  <c r="A60" i="1"/>
  <c r="B60" i="1"/>
  <c r="A61" i="1"/>
  <c r="B61" i="1"/>
  <c r="A62" i="1"/>
  <c r="B62" i="1"/>
  <c r="A63" i="1"/>
  <c r="B63" i="1"/>
  <c r="A64" i="1"/>
  <c r="B64" i="1"/>
  <c r="A65" i="1"/>
  <c r="B65" i="1"/>
  <c r="A66" i="1"/>
  <c r="B66" i="1"/>
  <c r="A67" i="1"/>
  <c r="B67" i="1"/>
  <c r="A68" i="1"/>
  <c r="B68" i="1"/>
  <c r="A69" i="1"/>
  <c r="B69" i="1"/>
  <c r="A70" i="1"/>
  <c r="B70" i="1"/>
  <c r="A71" i="1"/>
  <c r="B71" i="1"/>
  <c r="A72" i="1"/>
  <c r="B72" i="1"/>
  <c r="A73" i="1"/>
  <c r="B73" i="1"/>
  <c r="A74" i="1"/>
  <c r="B74" i="1"/>
  <c r="A75" i="1"/>
  <c r="B75" i="1"/>
  <c r="A76" i="1"/>
  <c r="B76" i="1"/>
  <c r="A77" i="1"/>
  <c r="B77" i="1"/>
  <c r="A78" i="1"/>
  <c r="B78" i="1"/>
  <c r="A79" i="1"/>
  <c r="B79" i="1"/>
  <c r="A80" i="1"/>
  <c r="B80" i="1"/>
  <c r="A81" i="1"/>
  <c r="B81" i="1"/>
  <c r="A82" i="1"/>
  <c r="B82" i="1"/>
  <c r="A83" i="1"/>
  <c r="B83" i="1"/>
  <c r="A84" i="1"/>
  <c r="B84" i="1"/>
  <c r="A85" i="1"/>
  <c r="B85" i="1"/>
  <c r="A86" i="1"/>
  <c r="B86" i="1"/>
  <c r="A87" i="1"/>
  <c r="B87" i="1"/>
  <c r="A88" i="1"/>
  <c r="B88" i="1"/>
  <c r="A89" i="1"/>
  <c r="B89" i="1"/>
  <c r="A90" i="1"/>
  <c r="B90" i="1"/>
  <c r="A91" i="1"/>
  <c r="B91" i="1"/>
  <c r="A92" i="1"/>
  <c r="B92" i="1"/>
  <c r="A93" i="1"/>
  <c r="B93" i="1"/>
  <c r="A94" i="1"/>
  <c r="B94" i="1"/>
  <c r="A95" i="1"/>
  <c r="B95" i="1"/>
  <c r="A96" i="1"/>
  <c r="B96" i="1"/>
  <c r="A97" i="1"/>
  <c r="B97" i="1"/>
  <c r="A98" i="1"/>
  <c r="B98" i="1"/>
  <c r="A99" i="1"/>
  <c r="B99" i="1"/>
  <c r="A100" i="1"/>
  <c r="B100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B196" i="1"/>
  <c r="A197" i="1"/>
  <c r="B197" i="1"/>
  <c r="A198" i="1"/>
  <c r="B198" i="1"/>
  <c r="A199" i="1"/>
  <c r="B199" i="1"/>
  <c r="A200" i="1"/>
  <c r="B200" i="1"/>
  <c r="A201" i="1"/>
  <c r="B201" i="1"/>
  <c r="A202" i="1"/>
  <c r="B202" i="1"/>
  <c r="A203" i="1"/>
  <c r="B203" i="1"/>
  <c r="A204" i="1"/>
  <c r="B204" i="1"/>
  <c r="A205" i="1"/>
  <c r="B205" i="1"/>
  <c r="A206" i="1"/>
  <c r="B206" i="1"/>
  <c r="A207" i="1"/>
  <c r="B207" i="1"/>
  <c r="A208" i="1"/>
  <c r="B208" i="1"/>
  <c r="A209" i="1"/>
  <c r="B209" i="1"/>
  <c r="A210" i="1"/>
  <c r="B210" i="1"/>
  <c r="A211" i="1"/>
  <c r="B211" i="1"/>
  <c r="A212" i="1"/>
  <c r="B212" i="1"/>
  <c r="A213" i="1"/>
  <c r="B213" i="1"/>
  <c r="A214" i="1"/>
  <c r="B214" i="1"/>
  <c r="A215" i="1"/>
  <c r="B215" i="1"/>
  <c r="A216" i="1"/>
  <c r="B216" i="1"/>
  <c r="A217" i="1"/>
  <c r="B217" i="1"/>
  <c r="A218" i="1"/>
  <c r="B218" i="1"/>
  <c r="A219" i="1"/>
  <c r="B219" i="1"/>
  <c r="A220" i="1"/>
  <c r="B220" i="1"/>
  <c r="A221" i="1"/>
  <c r="B221" i="1"/>
  <c r="A222" i="1"/>
  <c r="B222" i="1"/>
  <c r="A223" i="1"/>
  <c r="B223" i="1"/>
  <c r="A224" i="1"/>
  <c r="B224" i="1"/>
  <c r="A225" i="1"/>
  <c r="B225" i="1"/>
  <c r="A226" i="1"/>
  <c r="B226" i="1"/>
  <c r="A227" i="1"/>
  <c r="B227" i="1"/>
  <c r="A228" i="1"/>
  <c r="B228" i="1"/>
  <c r="A229" i="1"/>
  <c r="B229" i="1"/>
  <c r="A230" i="1"/>
  <c r="B230" i="1"/>
  <c r="A231" i="1"/>
  <c r="B231" i="1"/>
  <c r="A232" i="1"/>
  <c r="B232" i="1"/>
  <c r="A233" i="1"/>
  <c r="B233" i="1"/>
  <c r="A234" i="1"/>
  <c r="B234" i="1"/>
  <c r="A235" i="1"/>
  <c r="B235" i="1"/>
  <c r="A236" i="1"/>
  <c r="B236" i="1"/>
  <c r="A237" i="1"/>
  <c r="B237" i="1"/>
  <c r="A238" i="1"/>
  <c r="B238" i="1"/>
  <c r="A239" i="1"/>
  <c r="B239" i="1"/>
  <c r="A240" i="1"/>
  <c r="B240" i="1"/>
  <c r="A241" i="1"/>
  <c r="B241" i="1"/>
  <c r="A242" i="1"/>
  <c r="B242" i="1"/>
  <c r="A243" i="1"/>
  <c r="B243" i="1"/>
  <c r="A244" i="1"/>
  <c r="B244" i="1"/>
  <c r="A245" i="1"/>
  <c r="B245" i="1"/>
  <c r="A246" i="1"/>
  <c r="B246" i="1"/>
  <c r="A247" i="1"/>
  <c r="B247" i="1"/>
  <c r="A248" i="1"/>
  <c r="B248" i="1"/>
  <c r="A249" i="1"/>
  <c r="B249" i="1"/>
  <c r="A250" i="1"/>
  <c r="B250" i="1"/>
  <c r="A251" i="1"/>
  <c r="B251" i="1"/>
  <c r="A252" i="1"/>
  <c r="B252" i="1"/>
  <c r="A253" i="1"/>
  <c r="B253" i="1"/>
  <c r="A254" i="1"/>
  <c r="B254" i="1"/>
  <c r="A255" i="1"/>
  <c r="B255" i="1"/>
  <c r="A256" i="1"/>
  <c r="B256" i="1"/>
  <c r="A257" i="1"/>
  <c r="B257" i="1"/>
  <c r="A258" i="1"/>
  <c r="B258" i="1"/>
  <c r="A259" i="1"/>
  <c r="B259" i="1"/>
  <c r="A260" i="1"/>
  <c r="B260" i="1"/>
  <c r="A261" i="1"/>
  <c r="B261" i="1"/>
  <c r="A262" i="1"/>
  <c r="B262" i="1"/>
  <c r="A263" i="1"/>
  <c r="B263" i="1"/>
  <c r="A264" i="1"/>
  <c r="B264" i="1"/>
  <c r="A265" i="1"/>
  <c r="B265" i="1"/>
  <c r="A266" i="1"/>
  <c r="B266" i="1"/>
  <c r="A267" i="1"/>
  <c r="B267" i="1"/>
  <c r="A268" i="1"/>
  <c r="B268" i="1"/>
  <c r="A269" i="1"/>
  <c r="B269" i="1"/>
  <c r="A270" i="1"/>
  <c r="B270" i="1"/>
  <c r="A271" i="1"/>
  <c r="B271" i="1"/>
  <c r="A272" i="1"/>
  <c r="B272" i="1"/>
  <c r="A273" i="1"/>
  <c r="B273" i="1"/>
  <c r="A274" i="1"/>
  <c r="B274" i="1"/>
  <c r="A275" i="1"/>
  <c r="B275" i="1"/>
  <c r="A276" i="1"/>
  <c r="B276" i="1"/>
  <c r="A277" i="1"/>
  <c r="B277" i="1"/>
  <c r="A278" i="1"/>
  <c r="B278" i="1"/>
  <c r="A279" i="1"/>
  <c r="B279" i="1"/>
  <c r="A280" i="1"/>
  <c r="B280" i="1"/>
  <c r="A281" i="1"/>
  <c r="B281" i="1"/>
  <c r="A282" i="1"/>
  <c r="B282" i="1"/>
  <c r="A283" i="1"/>
  <c r="B283" i="1"/>
  <c r="A284" i="1"/>
  <c r="B284" i="1"/>
  <c r="A285" i="1"/>
  <c r="B285" i="1"/>
  <c r="A286" i="1"/>
  <c r="B286" i="1"/>
  <c r="A287" i="1"/>
  <c r="B287" i="1"/>
  <c r="A288" i="1"/>
  <c r="B288" i="1"/>
  <c r="A289" i="1"/>
  <c r="B289" i="1"/>
  <c r="A290" i="1"/>
  <c r="B290" i="1"/>
  <c r="A291" i="1"/>
  <c r="B291" i="1"/>
  <c r="A292" i="1"/>
  <c r="B292" i="1"/>
  <c r="A293" i="1"/>
  <c r="B293" i="1"/>
  <c r="A294" i="1"/>
  <c r="B294" i="1"/>
  <c r="A295" i="1"/>
  <c r="B295" i="1"/>
  <c r="A296" i="1"/>
  <c r="B296" i="1"/>
  <c r="A297" i="1"/>
  <c r="B297" i="1"/>
  <c r="A298" i="1"/>
  <c r="B298" i="1"/>
  <c r="A299" i="1"/>
  <c r="B299" i="1"/>
  <c r="A300" i="1"/>
  <c r="B300" i="1"/>
  <c r="A301" i="1"/>
  <c r="B301" i="1"/>
  <c r="A302" i="1"/>
  <c r="B302" i="1"/>
  <c r="A303" i="1"/>
  <c r="B303" i="1"/>
  <c r="A304" i="1"/>
  <c r="B304" i="1"/>
  <c r="A305" i="1"/>
  <c r="B305" i="1"/>
  <c r="A306" i="1"/>
  <c r="B306" i="1"/>
  <c r="A307" i="1"/>
  <c r="B307" i="1"/>
  <c r="A308" i="1"/>
  <c r="B308" i="1"/>
  <c r="A309" i="1"/>
  <c r="B309" i="1"/>
  <c r="A310" i="1"/>
  <c r="B310" i="1"/>
  <c r="A311" i="1"/>
  <c r="B311" i="1"/>
  <c r="A312" i="1"/>
  <c r="B312" i="1"/>
  <c r="A313" i="1"/>
  <c r="B313" i="1"/>
  <c r="A314" i="1"/>
  <c r="B314" i="1"/>
  <c r="A315" i="1"/>
  <c r="B315" i="1"/>
  <c r="A316" i="1"/>
  <c r="B316" i="1"/>
  <c r="A317" i="1"/>
  <c r="B317" i="1"/>
  <c r="A318" i="1"/>
  <c r="B318" i="1"/>
  <c r="A319" i="1"/>
  <c r="B319" i="1"/>
  <c r="A320" i="1"/>
  <c r="B320" i="1"/>
  <c r="A321" i="1"/>
  <c r="B321" i="1"/>
  <c r="A322" i="1"/>
  <c r="B322" i="1"/>
  <c r="A323" i="1"/>
  <c r="B323" i="1"/>
  <c r="A324" i="1"/>
  <c r="B324" i="1"/>
  <c r="A325" i="1"/>
  <c r="B325" i="1"/>
  <c r="A326" i="1"/>
  <c r="B326" i="1"/>
  <c r="A327" i="1"/>
  <c r="B327" i="1"/>
  <c r="A328" i="1"/>
  <c r="B328" i="1"/>
  <c r="A329" i="1"/>
  <c r="B329" i="1"/>
  <c r="A330" i="1"/>
  <c r="B330" i="1"/>
  <c r="A331" i="1"/>
  <c r="B331" i="1"/>
  <c r="A332" i="1"/>
  <c r="B332" i="1"/>
  <c r="A333" i="1"/>
  <c r="B333" i="1"/>
  <c r="A334" i="1"/>
  <c r="B334" i="1"/>
  <c r="A335" i="1"/>
  <c r="B335" i="1"/>
  <c r="A336" i="1"/>
  <c r="B336" i="1"/>
  <c r="A337" i="1"/>
  <c r="B337" i="1"/>
  <c r="A338" i="1"/>
  <c r="B338" i="1"/>
  <c r="A339" i="1"/>
  <c r="B339" i="1"/>
  <c r="A340" i="1"/>
  <c r="B340" i="1"/>
  <c r="A341" i="1"/>
  <c r="B341" i="1"/>
  <c r="A342" i="1"/>
  <c r="B342" i="1"/>
  <c r="A343" i="1"/>
  <c r="B343" i="1"/>
  <c r="A344" i="1"/>
  <c r="B344" i="1"/>
  <c r="A345" i="1"/>
  <c r="B345" i="1"/>
  <c r="A346" i="1"/>
  <c r="B346" i="1"/>
  <c r="A347" i="1"/>
  <c r="B347" i="1"/>
  <c r="A348" i="1"/>
  <c r="B348" i="1"/>
  <c r="A349" i="1"/>
  <c r="B349" i="1"/>
  <c r="A350" i="1"/>
  <c r="B350" i="1"/>
  <c r="A351" i="1"/>
  <c r="B351" i="1"/>
  <c r="A352" i="1"/>
  <c r="B352" i="1"/>
  <c r="A353" i="1"/>
  <c r="B353" i="1"/>
  <c r="A354" i="1"/>
  <c r="B354" i="1"/>
  <c r="A355" i="1"/>
  <c r="B355" i="1"/>
  <c r="A356" i="1"/>
  <c r="B356" i="1"/>
  <c r="A357" i="1"/>
  <c r="B357" i="1"/>
  <c r="A358" i="1"/>
  <c r="B358" i="1"/>
  <c r="A359" i="1"/>
  <c r="B359" i="1"/>
  <c r="A360" i="1"/>
  <c r="B360" i="1"/>
  <c r="A361" i="1"/>
  <c r="B361" i="1"/>
  <c r="A362" i="1"/>
  <c r="B362" i="1"/>
  <c r="A363" i="1"/>
  <c r="B363" i="1"/>
  <c r="A364" i="1"/>
  <c r="B364" i="1"/>
  <c r="A365" i="1"/>
  <c r="B365" i="1"/>
  <c r="A366" i="1"/>
  <c r="B366" i="1"/>
  <c r="A367" i="1"/>
  <c r="B367" i="1"/>
  <c r="A368" i="1"/>
  <c r="B368" i="1"/>
  <c r="A369" i="1"/>
  <c r="B369" i="1"/>
  <c r="A370" i="1"/>
  <c r="B370" i="1"/>
  <c r="A371" i="1"/>
  <c r="B371" i="1"/>
  <c r="A372" i="1"/>
  <c r="B372" i="1"/>
  <c r="A373" i="1"/>
  <c r="B373" i="1"/>
  <c r="A374" i="1"/>
  <c r="B374" i="1"/>
  <c r="A375" i="1"/>
  <c r="B375" i="1"/>
  <c r="A376" i="1"/>
  <c r="B376" i="1"/>
  <c r="A377" i="1"/>
  <c r="B377" i="1"/>
  <c r="A378" i="1"/>
  <c r="B378" i="1"/>
  <c r="A379" i="1"/>
  <c r="B379" i="1"/>
  <c r="A380" i="1"/>
  <c r="B380" i="1"/>
  <c r="A381" i="1"/>
  <c r="B381" i="1"/>
  <c r="A382" i="1"/>
  <c r="B382" i="1"/>
  <c r="A383" i="1"/>
  <c r="B383" i="1"/>
  <c r="A384" i="1"/>
  <c r="B384" i="1"/>
  <c r="A385" i="1"/>
  <c r="B385" i="1"/>
  <c r="A386" i="1"/>
  <c r="B386" i="1"/>
  <c r="A387" i="1"/>
  <c r="B387" i="1"/>
  <c r="A388" i="1"/>
  <c r="B388" i="1"/>
  <c r="A389" i="1"/>
  <c r="B389" i="1"/>
  <c r="A390" i="1"/>
  <c r="B390" i="1"/>
  <c r="A391" i="1"/>
  <c r="B391" i="1"/>
  <c r="A392" i="1"/>
  <c r="B392" i="1"/>
  <c r="A393" i="1"/>
  <c r="B393" i="1"/>
  <c r="A394" i="1"/>
  <c r="B394" i="1"/>
  <c r="A395" i="1"/>
  <c r="B395" i="1"/>
  <c r="A396" i="1"/>
  <c r="B396" i="1"/>
  <c r="A397" i="1"/>
  <c r="B397" i="1"/>
  <c r="A398" i="1"/>
  <c r="B398" i="1"/>
  <c r="A399" i="1"/>
  <c r="B399" i="1"/>
  <c r="A400" i="1"/>
  <c r="B400" i="1"/>
  <c r="A401" i="1"/>
  <c r="B401" i="1"/>
  <c r="A402" i="1"/>
  <c r="B402" i="1"/>
  <c r="A403" i="1"/>
  <c r="B403" i="1"/>
  <c r="A404" i="1"/>
  <c r="B404" i="1"/>
  <c r="A405" i="1"/>
  <c r="B405" i="1"/>
  <c r="A406" i="1"/>
  <c r="B406" i="1"/>
  <c r="A407" i="1"/>
  <c r="B407" i="1"/>
  <c r="A408" i="1"/>
  <c r="B408" i="1"/>
  <c r="A409" i="1"/>
  <c r="B409" i="1"/>
  <c r="A410" i="1"/>
  <c r="B410" i="1"/>
  <c r="A411" i="1"/>
  <c r="B411" i="1"/>
  <c r="A412" i="1"/>
  <c r="B412" i="1"/>
  <c r="A413" i="1"/>
  <c r="B413" i="1"/>
  <c r="A414" i="1"/>
  <c r="B414" i="1"/>
  <c r="A415" i="1"/>
  <c r="B415" i="1"/>
  <c r="A416" i="1"/>
  <c r="B416" i="1"/>
  <c r="A417" i="1"/>
  <c r="B417" i="1"/>
  <c r="A418" i="1"/>
  <c r="B418" i="1"/>
  <c r="A419" i="1"/>
  <c r="B419" i="1"/>
  <c r="A420" i="1"/>
  <c r="B420" i="1"/>
  <c r="A421" i="1"/>
  <c r="B421" i="1"/>
  <c r="A422" i="1"/>
  <c r="B422" i="1"/>
  <c r="A423" i="1"/>
  <c r="B423" i="1"/>
  <c r="A424" i="1"/>
  <c r="B424" i="1"/>
  <c r="A425" i="1"/>
  <c r="B425" i="1"/>
  <c r="A426" i="1"/>
  <c r="B426" i="1"/>
  <c r="A427" i="1"/>
  <c r="B427" i="1"/>
  <c r="A428" i="1"/>
  <c r="B428" i="1"/>
  <c r="A429" i="1"/>
  <c r="B429" i="1"/>
  <c r="A430" i="1"/>
  <c r="B430" i="1"/>
  <c r="A431" i="1"/>
  <c r="B431" i="1"/>
  <c r="A432" i="1"/>
  <c r="B432" i="1"/>
  <c r="A433" i="1"/>
  <c r="B433" i="1"/>
  <c r="A434" i="1"/>
  <c r="B434" i="1"/>
  <c r="A435" i="1"/>
  <c r="B435" i="1"/>
  <c r="A436" i="1"/>
  <c r="B436" i="1"/>
  <c r="A437" i="1"/>
  <c r="B437" i="1"/>
  <c r="A438" i="1"/>
  <c r="B438" i="1"/>
  <c r="A439" i="1"/>
  <c r="B439" i="1"/>
  <c r="A440" i="1"/>
  <c r="B440" i="1"/>
  <c r="A441" i="1"/>
  <c r="B441" i="1"/>
  <c r="A442" i="1"/>
  <c r="B442" i="1"/>
  <c r="A443" i="1"/>
  <c r="B443" i="1"/>
  <c r="A444" i="1"/>
  <c r="B444" i="1"/>
  <c r="A445" i="1"/>
  <c r="B445" i="1"/>
  <c r="A446" i="1"/>
  <c r="B446" i="1"/>
  <c r="A447" i="1"/>
  <c r="B447" i="1"/>
  <c r="A448" i="1"/>
  <c r="B448" i="1"/>
  <c r="A449" i="1"/>
  <c r="B449" i="1"/>
  <c r="A450" i="1"/>
  <c r="B450" i="1"/>
  <c r="A451" i="1"/>
  <c r="B451" i="1"/>
  <c r="A452" i="1"/>
  <c r="B452" i="1"/>
  <c r="A453" i="1"/>
  <c r="B453" i="1"/>
  <c r="A454" i="1"/>
  <c r="B454" i="1"/>
  <c r="A455" i="1"/>
  <c r="B455" i="1"/>
  <c r="A456" i="1"/>
  <c r="B456" i="1"/>
  <c r="A457" i="1"/>
  <c r="B457" i="1"/>
  <c r="A458" i="1"/>
  <c r="B458" i="1"/>
  <c r="A459" i="1"/>
  <c r="B459" i="1"/>
  <c r="A460" i="1"/>
  <c r="B460" i="1"/>
  <c r="A461" i="1"/>
  <c r="B461" i="1"/>
  <c r="A462" i="1"/>
  <c r="B462" i="1"/>
  <c r="A463" i="1"/>
  <c r="B463" i="1"/>
  <c r="A464" i="1"/>
  <c r="B464" i="1"/>
  <c r="A465" i="1"/>
  <c r="B465" i="1"/>
  <c r="A466" i="1"/>
  <c r="B466" i="1"/>
  <c r="A467" i="1"/>
  <c r="B467" i="1"/>
  <c r="A468" i="1"/>
  <c r="B468" i="1"/>
  <c r="A469" i="1"/>
  <c r="B469" i="1"/>
  <c r="A470" i="1"/>
  <c r="B470" i="1"/>
  <c r="A471" i="1"/>
  <c r="B471" i="1"/>
  <c r="A472" i="1"/>
  <c r="B472" i="1"/>
  <c r="A473" i="1"/>
  <c r="B473" i="1"/>
  <c r="A474" i="1"/>
  <c r="B474" i="1"/>
  <c r="A475" i="1"/>
  <c r="B475" i="1"/>
  <c r="A476" i="1"/>
  <c r="B476" i="1"/>
  <c r="A477" i="1"/>
  <c r="B477" i="1"/>
  <c r="A478" i="1"/>
  <c r="B478" i="1"/>
  <c r="A479" i="1"/>
  <c r="B479" i="1"/>
  <c r="A480" i="1"/>
  <c r="B480" i="1"/>
  <c r="A481" i="1"/>
  <c r="B481" i="1"/>
  <c r="A482" i="1"/>
  <c r="B482" i="1"/>
  <c r="A483" i="1"/>
  <c r="B483" i="1"/>
  <c r="A484" i="1"/>
  <c r="B484" i="1"/>
  <c r="A485" i="1"/>
  <c r="B485" i="1"/>
  <c r="A486" i="1"/>
  <c r="B486" i="1"/>
  <c r="A487" i="1"/>
  <c r="B487" i="1"/>
  <c r="A488" i="1"/>
  <c r="B488" i="1"/>
  <c r="A489" i="1"/>
  <c r="B489" i="1"/>
  <c r="A490" i="1"/>
  <c r="B490" i="1"/>
  <c r="A491" i="1"/>
  <c r="B491" i="1"/>
  <c r="A492" i="1"/>
  <c r="B492" i="1"/>
  <c r="A493" i="1"/>
  <c r="B493" i="1"/>
  <c r="A494" i="1"/>
  <c r="B494" i="1"/>
  <c r="A495" i="1"/>
  <c r="B495" i="1"/>
  <c r="A496" i="1"/>
  <c r="B496" i="1"/>
  <c r="A497" i="1"/>
  <c r="B497" i="1"/>
  <c r="A498" i="1"/>
  <c r="B498" i="1"/>
  <c r="A499" i="1"/>
  <c r="B499" i="1"/>
  <c r="A500" i="1"/>
  <c r="B500" i="1"/>
  <c r="A501" i="1"/>
  <c r="B501" i="1"/>
  <c r="A502" i="1"/>
  <c r="B502" i="1"/>
  <c r="A503" i="1"/>
  <c r="B503" i="1"/>
  <c r="A504" i="1"/>
  <c r="B504" i="1"/>
  <c r="A505" i="1"/>
  <c r="B505" i="1"/>
  <c r="A506" i="1"/>
  <c r="B506" i="1"/>
  <c r="A507" i="1"/>
  <c r="B507" i="1"/>
  <c r="A508" i="1"/>
  <c r="B508" i="1"/>
  <c r="A509" i="1"/>
  <c r="B509" i="1"/>
  <c r="A510" i="1"/>
  <c r="B510" i="1"/>
  <c r="A511" i="1"/>
  <c r="B511" i="1"/>
  <c r="A512" i="1"/>
  <c r="B512" i="1"/>
  <c r="A513" i="1"/>
  <c r="B513" i="1"/>
  <c r="A514" i="1"/>
  <c r="B514" i="1"/>
  <c r="A515" i="1"/>
  <c r="B515" i="1"/>
  <c r="A516" i="1"/>
  <c r="B516" i="1"/>
  <c r="A517" i="1"/>
  <c r="B517" i="1"/>
  <c r="A518" i="1"/>
  <c r="B518" i="1"/>
  <c r="A519" i="1"/>
  <c r="B519" i="1"/>
  <c r="A520" i="1"/>
  <c r="B520" i="1"/>
  <c r="A521" i="1"/>
  <c r="B521" i="1"/>
  <c r="A522" i="1"/>
  <c r="B522" i="1"/>
  <c r="A523" i="1"/>
  <c r="B523" i="1"/>
  <c r="A524" i="1"/>
  <c r="B524" i="1"/>
  <c r="A525" i="1"/>
  <c r="B525" i="1"/>
  <c r="A526" i="1"/>
  <c r="B526" i="1"/>
  <c r="A527" i="1"/>
  <c r="B527" i="1"/>
  <c r="A528" i="1"/>
  <c r="B528" i="1"/>
  <c r="A529" i="1"/>
  <c r="B529" i="1"/>
  <c r="A530" i="1"/>
  <c r="B530" i="1"/>
  <c r="A531" i="1"/>
  <c r="B531" i="1"/>
  <c r="A532" i="1"/>
  <c r="B532" i="1"/>
  <c r="A533" i="1"/>
  <c r="B533" i="1"/>
  <c r="A534" i="1"/>
  <c r="B534" i="1"/>
  <c r="A535" i="1"/>
  <c r="B535" i="1"/>
  <c r="A536" i="1"/>
  <c r="B536" i="1"/>
  <c r="A537" i="1"/>
  <c r="B537" i="1"/>
  <c r="A538" i="1"/>
  <c r="B538" i="1"/>
  <c r="A539" i="1"/>
  <c r="B539" i="1"/>
  <c r="A540" i="1"/>
  <c r="B540" i="1"/>
  <c r="A541" i="1"/>
  <c r="B541" i="1"/>
  <c r="A542" i="1"/>
  <c r="B542" i="1"/>
  <c r="A543" i="1"/>
  <c r="B543" i="1"/>
  <c r="A544" i="1"/>
  <c r="B544" i="1"/>
  <c r="A545" i="1"/>
  <c r="B545" i="1"/>
  <c r="A546" i="1"/>
  <c r="B546" i="1"/>
  <c r="A547" i="1"/>
  <c r="B547" i="1"/>
  <c r="A548" i="1"/>
  <c r="B548" i="1"/>
  <c r="A549" i="1"/>
  <c r="B549" i="1"/>
  <c r="A550" i="1"/>
  <c r="B550" i="1"/>
  <c r="A551" i="1"/>
  <c r="B551" i="1"/>
  <c r="A552" i="1"/>
  <c r="B552" i="1"/>
  <c r="A553" i="1"/>
  <c r="B553" i="1"/>
  <c r="A554" i="1"/>
  <c r="B554" i="1"/>
  <c r="A555" i="1"/>
  <c r="B555" i="1"/>
  <c r="A556" i="1"/>
  <c r="B556" i="1"/>
  <c r="A557" i="1"/>
  <c r="B557" i="1"/>
  <c r="A558" i="1"/>
  <c r="B558" i="1"/>
  <c r="A559" i="1"/>
  <c r="B559" i="1"/>
  <c r="A560" i="1"/>
  <c r="B560" i="1"/>
  <c r="A561" i="1"/>
  <c r="B561" i="1"/>
  <c r="A562" i="1"/>
  <c r="B562" i="1"/>
  <c r="A563" i="1"/>
  <c r="B563" i="1"/>
  <c r="A564" i="1"/>
  <c r="B564" i="1"/>
  <c r="A565" i="1"/>
  <c r="B565" i="1"/>
  <c r="A566" i="1"/>
  <c r="B566" i="1"/>
  <c r="A567" i="1"/>
  <c r="B567" i="1"/>
  <c r="A568" i="1"/>
  <c r="B568" i="1"/>
  <c r="A569" i="1"/>
  <c r="B569" i="1"/>
  <c r="A570" i="1"/>
  <c r="B570" i="1"/>
  <c r="A571" i="1"/>
  <c r="B571" i="1"/>
  <c r="A572" i="1"/>
  <c r="B572" i="1"/>
  <c r="A573" i="1"/>
  <c r="B573" i="1"/>
  <c r="A574" i="1"/>
  <c r="B574" i="1"/>
  <c r="A575" i="1"/>
  <c r="B575" i="1"/>
  <c r="A576" i="1"/>
  <c r="B576" i="1"/>
  <c r="A577" i="1"/>
  <c r="B577" i="1"/>
  <c r="A578" i="1"/>
  <c r="B578" i="1"/>
  <c r="A579" i="1"/>
  <c r="B579" i="1"/>
  <c r="A580" i="1"/>
  <c r="B580" i="1"/>
  <c r="A581" i="1"/>
  <c r="B581" i="1"/>
  <c r="A582" i="1"/>
  <c r="B582" i="1"/>
  <c r="A583" i="1"/>
  <c r="B583" i="1"/>
  <c r="A584" i="1"/>
  <c r="B584" i="1"/>
  <c r="A585" i="1"/>
  <c r="B585" i="1"/>
  <c r="A586" i="1"/>
  <c r="B586" i="1"/>
  <c r="A587" i="1"/>
  <c r="B587" i="1"/>
  <c r="A588" i="1"/>
  <c r="B588" i="1"/>
  <c r="A589" i="1"/>
  <c r="B589" i="1"/>
  <c r="A590" i="1"/>
  <c r="B590" i="1"/>
  <c r="A591" i="1"/>
  <c r="B591" i="1"/>
  <c r="A592" i="1"/>
  <c r="B592" i="1"/>
  <c r="A593" i="1"/>
  <c r="B593" i="1"/>
  <c r="A594" i="1"/>
  <c r="B594" i="1"/>
  <c r="A595" i="1"/>
  <c r="B595" i="1"/>
  <c r="A596" i="1"/>
  <c r="B596" i="1"/>
  <c r="A597" i="1"/>
  <c r="B597" i="1"/>
  <c r="A598" i="1"/>
  <c r="B598" i="1"/>
  <c r="A599" i="1"/>
  <c r="B599" i="1"/>
  <c r="A600" i="1"/>
  <c r="B600" i="1"/>
  <c r="A601" i="1"/>
  <c r="B601" i="1"/>
  <c r="A602" i="1"/>
  <c r="B602" i="1"/>
  <c r="A603" i="1"/>
  <c r="B603" i="1"/>
  <c r="A604" i="1"/>
  <c r="B604" i="1"/>
  <c r="A605" i="1"/>
  <c r="B605" i="1"/>
  <c r="A606" i="1"/>
  <c r="B606" i="1"/>
  <c r="A607" i="1"/>
  <c r="B607" i="1"/>
  <c r="A608" i="1"/>
  <c r="B608" i="1"/>
  <c r="A609" i="1"/>
  <c r="B609" i="1"/>
  <c r="A610" i="1"/>
  <c r="B610" i="1"/>
  <c r="A611" i="1"/>
  <c r="B611" i="1"/>
  <c r="A612" i="1"/>
  <c r="B612" i="1"/>
  <c r="A613" i="1"/>
  <c r="B613" i="1"/>
  <c r="A614" i="1"/>
  <c r="B614" i="1"/>
  <c r="A615" i="1"/>
  <c r="B615" i="1"/>
  <c r="A616" i="1"/>
  <c r="B616" i="1"/>
  <c r="A617" i="1"/>
  <c r="B617" i="1"/>
  <c r="A618" i="1"/>
  <c r="B618" i="1"/>
  <c r="A619" i="1"/>
  <c r="B619" i="1"/>
  <c r="A620" i="1"/>
  <c r="B620" i="1"/>
  <c r="A621" i="1"/>
  <c r="B621" i="1"/>
  <c r="A622" i="1"/>
  <c r="B622" i="1"/>
  <c r="A623" i="1"/>
  <c r="B623" i="1"/>
  <c r="A624" i="1"/>
  <c r="B624" i="1"/>
  <c r="A625" i="1"/>
  <c r="B625" i="1"/>
  <c r="A626" i="1"/>
  <c r="B626" i="1"/>
  <c r="A627" i="1"/>
  <c r="B627" i="1"/>
  <c r="A628" i="1"/>
  <c r="B628" i="1"/>
  <c r="A629" i="1"/>
  <c r="B629" i="1"/>
  <c r="A630" i="1"/>
  <c r="B630" i="1"/>
  <c r="A631" i="1"/>
  <c r="B631" i="1"/>
  <c r="A632" i="1"/>
  <c r="B632" i="1"/>
  <c r="A633" i="1"/>
  <c r="B633" i="1"/>
  <c r="A634" i="1"/>
  <c r="B634" i="1"/>
  <c r="A635" i="1"/>
  <c r="B635" i="1"/>
  <c r="A636" i="1"/>
  <c r="B636" i="1"/>
  <c r="A637" i="1"/>
  <c r="B637" i="1"/>
  <c r="A638" i="1"/>
  <c r="B638" i="1"/>
  <c r="A639" i="1"/>
  <c r="B639" i="1"/>
  <c r="A640" i="1"/>
  <c r="B640" i="1"/>
  <c r="A641" i="1"/>
  <c r="B641" i="1"/>
  <c r="A642" i="1"/>
  <c r="B642" i="1"/>
  <c r="A643" i="1"/>
  <c r="B643" i="1"/>
  <c r="A644" i="1"/>
  <c r="B644" i="1"/>
  <c r="A645" i="1"/>
  <c r="B645" i="1"/>
  <c r="A646" i="1"/>
  <c r="B646" i="1"/>
  <c r="A647" i="1"/>
  <c r="B647" i="1"/>
  <c r="A648" i="1"/>
  <c r="B648" i="1"/>
  <c r="A649" i="1"/>
  <c r="B649" i="1"/>
  <c r="A650" i="1"/>
  <c r="B650" i="1"/>
  <c r="A651" i="1"/>
  <c r="B651" i="1"/>
  <c r="A652" i="1"/>
  <c r="B652" i="1"/>
  <c r="A653" i="1"/>
  <c r="B653" i="1"/>
  <c r="A654" i="1"/>
  <c r="B654" i="1"/>
  <c r="A655" i="1"/>
  <c r="B655" i="1"/>
  <c r="A656" i="1"/>
  <c r="B656" i="1"/>
  <c r="A657" i="1"/>
  <c r="B657" i="1"/>
  <c r="A658" i="1"/>
  <c r="B658" i="1"/>
  <c r="A659" i="1"/>
  <c r="B659" i="1"/>
  <c r="A660" i="1"/>
  <c r="B660" i="1"/>
  <c r="A661" i="1"/>
  <c r="B661" i="1"/>
  <c r="A662" i="1"/>
  <c r="B662" i="1"/>
  <c r="A663" i="1"/>
  <c r="B663" i="1"/>
  <c r="A664" i="1"/>
  <c r="B664" i="1"/>
  <c r="A665" i="1"/>
  <c r="B665" i="1"/>
  <c r="A666" i="1"/>
  <c r="B666" i="1"/>
  <c r="A667" i="1"/>
  <c r="B667" i="1"/>
  <c r="A668" i="1"/>
  <c r="B668" i="1"/>
  <c r="A669" i="1"/>
  <c r="B669" i="1"/>
  <c r="A670" i="1"/>
  <c r="B670" i="1"/>
  <c r="A671" i="1"/>
  <c r="B671" i="1"/>
  <c r="A672" i="1"/>
  <c r="B672" i="1"/>
  <c r="A673" i="1"/>
  <c r="B673" i="1"/>
  <c r="A674" i="1"/>
  <c r="B674" i="1"/>
  <c r="A675" i="1"/>
  <c r="B675" i="1"/>
  <c r="A676" i="1"/>
  <c r="B676" i="1"/>
  <c r="A677" i="1"/>
  <c r="B677" i="1"/>
  <c r="A678" i="1"/>
  <c r="B678" i="1"/>
  <c r="A679" i="1"/>
  <c r="B679" i="1"/>
  <c r="A680" i="1"/>
  <c r="B680" i="1"/>
  <c r="A681" i="1"/>
  <c r="B681" i="1"/>
  <c r="A682" i="1"/>
  <c r="B682" i="1"/>
  <c r="A683" i="1"/>
  <c r="B683" i="1"/>
  <c r="A684" i="1"/>
  <c r="B684" i="1"/>
  <c r="A685" i="1"/>
  <c r="B685" i="1"/>
  <c r="A686" i="1"/>
  <c r="B686" i="1"/>
  <c r="A687" i="1"/>
  <c r="B687" i="1"/>
  <c r="A688" i="1"/>
  <c r="B688" i="1"/>
  <c r="A689" i="1"/>
  <c r="B689" i="1"/>
  <c r="A690" i="1"/>
  <c r="B690" i="1"/>
  <c r="A691" i="1"/>
  <c r="B691" i="1"/>
  <c r="A692" i="1"/>
  <c r="B692" i="1"/>
  <c r="A693" i="1"/>
  <c r="B693" i="1"/>
  <c r="A694" i="1"/>
  <c r="B694" i="1"/>
  <c r="A695" i="1"/>
  <c r="B695" i="1"/>
  <c r="A696" i="1"/>
  <c r="B696" i="1"/>
  <c r="A697" i="1"/>
  <c r="B697" i="1"/>
  <c r="A698" i="1"/>
  <c r="B698" i="1"/>
  <c r="A699" i="1"/>
  <c r="B699" i="1"/>
  <c r="A700" i="1"/>
  <c r="B700" i="1"/>
  <c r="A701" i="1"/>
  <c r="B701" i="1"/>
  <c r="A702" i="1"/>
  <c r="B702" i="1"/>
  <c r="A703" i="1"/>
  <c r="B703" i="1"/>
  <c r="A704" i="1"/>
  <c r="B704" i="1"/>
  <c r="A705" i="1"/>
  <c r="B705" i="1"/>
  <c r="A706" i="1"/>
  <c r="B706" i="1"/>
  <c r="A707" i="1"/>
  <c r="B707" i="1"/>
  <c r="A708" i="1"/>
  <c r="B708" i="1"/>
  <c r="A709" i="1"/>
  <c r="B709" i="1"/>
  <c r="A710" i="1"/>
  <c r="B710" i="1"/>
  <c r="A711" i="1"/>
  <c r="B711" i="1"/>
  <c r="A712" i="1"/>
  <c r="B712" i="1"/>
  <c r="A713" i="1"/>
  <c r="B713" i="1"/>
  <c r="A714" i="1"/>
  <c r="B714" i="1"/>
  <c r="A715" i="1"/>
  <c r="B715" i="1"/>
  <c r="A716" i="1"/>
  <c r="B716" i="1"/>
  <c r="A717" i="1"/>
  <c r="B717" i="1"/>
  <c r="A718" i="1"/>
  <c r="B718" i="1"/>
  <c r="A719" i="1"/>
  <c r="B719" i="1"/>
  <c r="A720" i="1"/>
  <c r="B720" i="1"/>
  <c r="A721" i="1"/>
  <c r="B721" i="1"/>
  <c r="A722" i="1"/>
  <c r="B722" i="1"/>
  <c r="A723" i="1"/>
  <c r="B723" i="1"/>
  <c r="A724" i="1"/>
  <c r="B724" i="1"/>
  <c r="A725" i="1"/>
  <c r="B725" i="1"/>
  <c r="A726" i="1"/>
  <c r="B726" i="1"/>
  <c r="A727" i="1"/>
  <c r="B727" i="1"/>
  <c r="A728" i="1"/>
  <c r="B728" i="1"/>
  <c r="A729" i="1"/>
  <c r="B729" i="1"/>
  <c r="A730" i="1"/>
  <c r="B730" i="1"/>
  <c r="A731" i="1"/>
  <c r="B731" i="1"/>
  <c r="A732" i="1"/>
  <c r="B732" i="1"/>
  <c r="A733" i="1"/>
  <c r="B733" i="1"/>
  <c r="A734" i="1"/>
  <c r="B734" i="1"/>
  <c r="A735" i="1"/>
  <c r="B735" i="1"/>
  <c r="A736" i="1"/>
  <c r="B736" i="1"/>
  <c r="A737" i="1"/>
  <c r="B737" i="1"/>
  <c r="A738" i="1"/>
  <c r="B738" i="1"/>
  <c r="A739" i="1"/>
  <c r="B739" i="1"/>
  <c r="A740" i="1"/>
  <c r="B740" i="1"/>
  <c r="A741" i="1"/>
  <c r="B741" i="1"/>
  <c r="A742" i="1"/>
  <c r="B742" i="1"/>
  <c r="A743" i="1"/>
  <c r="B743" i="1"/>
  <c r="A744" i="1"/>
  <c r="B744" i="1"/>
  <c r="A745" i="1"/>
  <c r="B745" i="1"/>
  <c r="A746" i="1"/>
  <c r="B746" i="1"/>
  <c r="A747" i="1"/>
  <c r="B747" i="1"/>
  <c r="A748" i="1"/>
  <c r="B748" i="1"/>
  <c r="A749" i="1"/>
  <c r="B749" i="1"/>
  <c r="A750" i="1"/>
  <c r="B750" i="1"/>
  <c r="A751" i="1"/>
  <c r="B751" i="1"/>
  <c r="A752" i="1"/>
  <c r="B752" i="1"/>
  <c r="A753" i="1"/>
  <c r="B753" i="1"/>
  <c r="A754" i="1"/>
  <c r="B754" i="1"/>
  <c r="A755" i="1"/>
  <c r="B755" i="1"/>
  <c r="A756" i="1"/>
  <c r="B756" i="1"/>
  <c r="A757" i="1"/>
  <c r="B757" i="1"/>
  <c r="A758" i="1"/>
  <c r="B758" i="1"/>
  <c r="A759" i="1"/>
  <c r="B759" i="1"/>
  <c r="A760" i="1"/>
  <c r="B760" i="1"/>
  <c r="A761" i="1"/>
  <c r="B761" i="1"/>
  <c r="A762" i="1"/>
  <c r="B762" i="1"/>
  <c r="A763" i="1"/>
  <c r="B763" i="1"/>
  <c r="A764" i="1"/>
  <c r="B764" i="1"/>
  <c r="A765" i="1"/>
  <c r="B765" i="1"/>
  <c r="A766" i="1"/>
  <c r="B766" i="1"/>
  <c r="A767" i="1"/>
  <c r="B767" i="1"/>
  <c r="A768" i="1"/>
  <c r="B768" i="1"/>
  <c r="A769" i="1"/>
  <c r="B769" i="1"/>
  <c r="A770" i="1"/>
  <c r="B770" i="1"/>
  <c r="A771" i="1"/>
  <c r="B771" i="1"/>
  <c r="A772" i="1"/>
  <c r="B772" i="1"/>
  <c r="A773" i="1"/>
  <c r="B773" i="1"/>
  <c r="A774" i="1"/>
  <c r="B774" i="1"/>
  <c r="A775" i="1"/>
  <c r="B775" i="1"/>
  <c r="A776" i="1"/>
  <c r="B776" i="1"/>
  <c r="A777" i="1"/>
  <c r="B777" i="1"/>
  <c r="A778" i="1"/>
  <c r="B778" i="1"/>
  <c r="A779" i="1"/>
  <c r="B779" i="1"/>
  <c r="A780" i="1"/>
  <c r="B780" i="1"/>
  <c r="A781" i="1"/>
  <c r="B781" i="1"/>
  <c r="A782" i="1"/>
  <c r="B782" i="1"/>
  <c r="A783" i="1"/>
  <c r="B783" i="1"/>
  <c r="A784" i="1"/>
  <c r="B784" i="1"/>
  <c r="A785" i="1"/>
  <c r="B785" i="1"/>
  <c r="A786" i="1"/>
  <c r="B786" i="1"/>
  <c r="A787" i="1"/>
  <c r="B787" i="1"/>
  <c r="A788" i="1"/>
  <c r="B788" i="1"/>
  <c r="A789" i="1"/>
  <c r="B789" i="1"/>
  <c r="A790" i="1"/>
  <c r="B790" i="1"/>
  <c r="A791" i="1"/>
  <c r="B791" i="1"/>
  <c r="A792" i="1"/>
  <c r="B792" i="1"/>
  <c r="A793" i="1"/>
  <c r="B793" i="1"/>
  <c r="A794" i="1"/>
  <c r="B794" i="1"/>
  <c r="A795" i="1"/>
  <c r="B795" i="1"/>
  <c r="A796" i="1"/>
  <c r="B796" i="1"/>
  <c r="A797" i="1"/>
  <c r="B797" i="1"/>
  <c r="A798" i="1"/>
  <c r="B798" i="1"/>
  <c r="A799" i="1"/>
  <c r="B799" i="1"/>
  <c r="A800" i="1"/>
  <c r="B800" i="1"/>
  <c r="A801" i="1"/>
  <c r="B801" i="1"/>
  <c r="A802" i="1"/>
  <c r="B802" i="1"/>
  <c r="A803" i="1"/>
  <c r="B803" i="1"/>
  <c r="A804" i="1"/>
  <c r="B804" i="1"/>
  <c r="A805" i="1"/>
  <c r="B805" i="1"/>
  <c r="A806" i="1"/>
  <c r="B806" i="1"/>
  <c r="A807" i="1"/>
  <c r="B807" i="1"/>
  <c r="A808" i="1"/>
  <c r="B808" i="1"/>
  <c r="A809" i="1"/>
  <c r="B809" i="1"/>
  <c r="A810" i="1"/>
  <c r="B810" i="1"/>
  <c r="A811" i="1"/>
  <c r="B811" i="1"/>
  <c r="A812" i="1"/>
  <c r="B812" i="1"/>
  <c r="A813" i="1"/>
  <c r="B813" i="1"/>
  <c r="A814" i="1"/>
  <c r="B814" i="1"/>
  <c r="A815" i="1"/>
  <c r="B815" i="1"/>
  <c r="A816" i="1"/>
  <c r="B816" i="1"/>
  <c r="A817" i="1"/>
  <c r="B817" i="1"/>
  <c r="A818" i="1"/>
  <c r="B818" i="1"/>
  <c r="A819" i="1"/>
  <c r="B819" i="1"/>
  <c r="A820" i="1"/>
  <c r="B820" i="1"/>
  <c r="A821" i="1"/>
  <c r="B821" i="1"/>
  <c r="A822" i="1"/>
  <c r="B822" i="1"/>
  <c r="A823" i="1"/>
  <c r="B823" i="1"/>
  <c r="A824" i="1"/>
  <c r="B824" i="1"/>
  <c r="A825" i="1"/>
  <c r="B825" i="1"/>
  <c r="A826" i="1"/>
  <c r="B826" i="1"/>
  <c r="A827" i="1"/>
  <c r="B827" i="1"/>
  <c r="A828" i="1"/>
  <c r="B828" i="1"/>
  <c r="A829" i="1"/>
  <c r="B829" i="1"/>
  <c r="A830" i="1"/>
  <c r="B830" i="1"/>
  <c r="A831" i="1"/>
  <c r="B831" i="1"/>
  <c r="A832" i="1"/>
  <c r="B832" i="1"/>
  <c r="A833" i="1"/>
  <c r="B833" i="1"/>
  <c r="A834" i="1"/>
  <c r="B834" i="1"/>
  <c r="A835" i="1"/>
  <c r="B835" i="1"/>
  <c r="A836" i="1"/>
  <c r="B836" i="1"/>
  <c r="A837" i="1"/>
  <c r="B837" i="1"/>
  <c r="A838" i="1"/>
  <c r="B838" i="1"/>
  <c r="A839" i="1"/>
  <c r="B839" i="1"/>
  <c r="A840" i="1"/>
  <c r="B840" i="1"/>
  <c r="A841" i="1"/>
  <c r="B841" i="1"/>
  <c r="A842" i="1"/>
  <c r="B842" i="1"/>
  <c r="A843" i="1"/>
  <c r="B843" i="1"/>
  <c r="A844" i="1"/>
  <c r="B844" i="1"/>
  <c r="A845" i="1"/>
  <c r="B845" i="1"/>
  <c r="A846" i="1"/>
  <c r="B846" i="1"/>
  <c r="A847" i="1"/>
  <c r="B847" i="1"/>
  <c r="A848" i="1"/>
  <c r="B848" i="1"/>
  <c r="A849" i="1"/>
  <c r="B849" i="1"/>
  <c r="A850" i="1"/>
  <c r="B850" i="1"/>
  <c r="A851" i="1"/>
  <c r="B851" i="1"/>
  <c r="A852" i="1"/>
  <c r="B852" i="1"/>
  <c r="A853" i="1"/>
  <c r="B853" i="1"/>
  <c r="A854" i="1"/>
  <c r="B854" i="1"/>
  <c r="A855" i="1"/>
  <c r="B855" i="1"/>
  <c r="A856" i="1"/>
  <c r="B856" i="1"/>
  <c r="A857" i="1"/>
  <c r="B857" i="1"/>
  <c r="A858" i="1"/>
  <c r="B858" i="1"/>
  <c r="A859" i="1"/>
  <c r="B859" i="1"/>
  <c r="A860" i="1"/>
  <c r="B860" i="1"/>
  <c r="A861" i="1"/>
  <c r="B861" i="1"/>
  <c r="A862" i="1"/>
  <c r="B862" i="1"/>
  <c r="A863" i="1"/>
  <c r="B863" i="1"/>
  <c r="A864" i="1"/>
  <c r="B864" i="1"/>
  <c r="A865" i="1"/>
  <c r="B865" i="1"/>
  <c r="A866" i="1"/>
  <c r="B866" i="1"/>
  <c r="A867" i="1"/>
  <c r="B867" i="1"/>
  <c r="A868" i="1"/>
  <c r="B868" i="1"/>
  <c r="A869" i="1"/>
  <c r="B869" i="1"/>
  <c r="A870" i="1"/>
  <c r="B870" i="1"/>
  <c r="A871" i="1"/>
  <c r="B871" i="1"/>
  <c r="A872" i="1"/>
  <c r="B872" i="1"/>
  <c r="A873" i="1"/>
  <c r="B873" i="1"/>
  <c r="A874" i="1"/>
  <c r="B874" i="1"/>
  <c r="A875" i="1"/>
  <c r="B875" i="1"/>
  <c r="A876" i="1"/>
  <c r="B876" i="1"/>
  <c r="A877" i="1"/>
  <c r="B877" i="1"/>
  <c r="A878" i="1"/>
  <c r="B878" i="1"/>
  <c r="A879" i="1"/>
  <c r="B879" i="1"/>
  <c r="A880" i="1"/>
  <c r="B880" i="1"/>
  <c r="A881" i="1"/>
  <c r="B881" i="1"/>
  <c r="A882" i="1"/>
  <c r="B882" i="1"/>
  <c r="A883" i="1"/>
  <c r="B883" i="1"/>
  <c r="A884" i="1"/>
  <c r="B884" i="1"/>
  <c r="A885" i="1"/>
  <c r="B885" i="1"/>
  <c r="A886" i="1"/>
  <c r="B886" i="1"/>
  <c r="A887" i="1"/>
  <c r="B887" i="1"/>
  <c r="A888" i="1"/>
  <c r="B888" i="1"/>
  <c r="A889" i="1"/>
  <c r="B889" i="1"/>
  <c r="A890" i="1"/>
  <c r="B890" i="1"/>
  <c r="A891" i="1"/>
  <c r="B891" i="1"/>
  <c r="A892" i="1"/>
  <c r="B892" i="1"/>
  <c r="A893" i="1"/>
  <c r="B893" i="1"/>
  <c r="A894" i="1"/>
  <c r="B894" i="1"/>
  <c r="A895" i="1"/>
  <c r="B895" i="1"/>
  <c r="A896" i="1"/>
  <c r="B896" i="1"/>
  <c r="A897" i="1"/>
  <c r="B897" i="1"/>
  <c r="A898" i="1"/>
  <c r="B898" i="1"/>
  <c r="A899" i="1"/>
  <c r="B899" i="1"/>
  <c r="A900" i="1"/>
  <c r="B900" i="1"/>
  <c r="A901" i="1"/>
  <c r="B901" i="1"/>
  <c r="A902" i="1"/>
  <c r="B902" i="1"/>
  <c r="A903" i="1"/>
  <c r="B903" i="1"/>
  <c r="A904" i="1"/>
  <c r="B904" i="1"/>
  <c r="A905" i="1"/>
  <c r="B905" i="1"/>
  <c r="A906" i="1"/>
  <c r="B906" i="1"/>
  <c r="A907" i="1"/>
  <c r="B907" i="1"/>
  <c r="A908" i="1"/>
  <c r="B908" i="1"/>
  <c r="A909" i="1"/>
  <c r="B909" i="1"/>
  <c r="A910" i="1"/>
  <c r="B910" i="1"/>
  <c r="A911" i="1"/>
  <c r="B911" i="1"/>
  <c r="A912" i="1"/>
  <c r="B912" i="1"/>
  <c r="A913" i="1"/>
  <c r="B913" i="1"/>
  <c r="A914" i="1"/>
  <c r="B914" i="1"/>
  <c r="A915" i="1"/>
  <c r="B915" i="1"/>
  <c r="A916" i="1"/>
  <c r="B916" i="1"/>
  <c r="A917" i="1"/>
  <c r="B917" i="1"/>
  <c r="A918" i="1"/>
  <c r="B918" i="1"/>
  <c r="A919" i="1"/>
  <c r="B919" i="1"/>
  <c r="A920" i="1"/>
  <c r="B920" i="1"/>
  <c r="A921" i="1"/>
  <c r="B921" i="1"/>
  <c r="A922" i="1"/>
  <c r="B922" i="1"/>
  <c r="A923" i="1"/>
  <c r="B923" i="1"/>
  <c r="A924" i="1"/>
  <c r="B924" i="1"/>
  <c r="A925" i="1"/>
  <c r="B925" i="1"/>
  <c r="A926" i="1"/>
  <c r="B926" i="1"/>
  <c r="A927" i="1"/>
  <c r="B927" i="1"/>
  <c r="A928" i="1"/>
  <c r="B928" i="1"/>
  <c r="A929" i="1"/>
  <c r="B929" i="1"/>
  <c r="A930" i="1"/>
  <c r="B930" i="1"/>
  <c r="A931" i="1"/>
  <c r="B931" i="1"/>
  <c r="A932" i="1"/>
  <c r="B932" i="1"/>
  <c r="A933" i="1"/>
  <c r="B933" i="1"/>
  <c r="A934" i="1"/>
  <c r="B934" i="1"/>
  <c r="A935" i="1"/>
  <c r="B935" i="1"/>
  <c r="A936" i="1"/>
  <c r="B936" i="1"/>
  <c r="A937" i="1"/>
  <c r="B937" i="1"/>
  <c r="A938" i="1"/>
  <c r="B938" i="1"/>
  <c r="A939" i="1"/>
  <c r="B939" i="1"/>
  <c r="A940" i="1"/>
  <c r="B940" i="1"/>
  <c r="A941" i="1"/>
  <c r="B941" i="1"/>
  <c r="A942" i="1"/>
  <c r="B942" i="1"/>
  <c r="A943" i="1"/>
  <c r="B943" i="1"/>
  <c r="A944" i="1"/>
  <c r="B944" i="1"/>
  <c r="A945" i="1"/>
  <c r="B945" i="1"/>
  <c r="A946" i="1"/>
  <c r="B946" i="1"/>
  <c r="A947" i="1"/>
  <c r="B947" i="1"/>
  <c r="A948" i="1"/>
  <c r="B948" i="1"/>
  <c r="A949" i="1"/>
  <c r="B949" i="1"/>
  <c r="A950" i="1"/>
  <c r="B950" i="1"/>
  <c r="A951" i="1"/>
  <c r="B951" i="1"/>
  <c r="A952" i="1"/>
  <c r="B952" i="1"/>
  <c r="A953" i="1"/>
  <c r="B953" i="1"/>
  <c r="A954" i="1"/>
  <c r="B954" i="1"/>
  <c r="A955" i="1"/>
  <c r="B955" i="1"/>
  <c r="A956" i="1"/>
  <c r="B956" i="1"/>
  <c r="A957" i="1"/>
  <c r="B957" i="1"/>
  <c r="A958" i="1"/>
  <c r="B958" i="1"/>
  <c r="A959" i="1"/>
  <c r="B959" i="1"/>
  <c r="A960" i="1"/>
  <c r="B960" i="1"/>
  <c r="A961" i="1"/>
  <c r="B961" i="1"/>
  <c r="A962" i="1"/>
  <c r="B962" i="1"/>
  <c r="A963" i="1"/>
  <c r="B963" i="1"/>
  <c r="A964" i="1"/>
  <c r="B964" i="1"/>
  <c r="A965" i="1"/>
  <c r="B965" i="1"/>
  <c r="A966" i="1"/>
  <c r="B966" i="1"/>
  <c r="A967" i="1"/>
  <c r="B967" i="1"/>
  <c r="A968" i="1"/>
  <c r="B968" i="1"/>
  <c r="A969" i="1"/>
  <c r="B969" i="1"/>
  <c r="A970" i="1"/>
  <c r="B970" i="1"/>
  <c r="A971" i="1"/>
  <c r="B971" i="1"/>
  <c r="A972" i="1"/>
  <c r="B972" i="1"/>
  <c r="A973" i="1"/>
  <c r="B973" i="1"/>
  <c r="A974" i="1"/>
  <c r="B974" i="1"/>
  <c r="A975" i="1"/>
  <c r="B975" i="1"/>
  <c r="A976" i="1"/>
  <c r="B976" i="1"/>
  <c r="A977" i="1"/>
  <c r="B977" i="1"/>
  <c r="A978" i="1"/>
  <c r="B978" i="1"/>
  <c r="A979" i="1"/>
  <c r="B979" i="1"/>
  <c r="A980" i="1"/>
  <c r="B980" i="1"/>
  <c r="A981" i="1"/>
  <c r="B981" i="1"/>
  <c r="A982" i="1"/>
  <c r="B982" i="1"/>
  <c r="A983" i="1"/>
  <c r="B983" i="1"/>
  <c r="A984" i="1"/>
  <c r="B984" i="1"/>
  <c r="A985" i="1"/>
  <c r="B985" i="1"/>
  <c r="A986" i="1"/>
  <c r="B986" i="1"/>
  <c r="A987" i="1"/>
  <c r="B987" i="1"/>
  <c r="A988" i="1"/>
  <c r="B988" i="1"/>
  <c r="A989" i="1"/>
  <c r="B989" i="1"/>
  <c r="A990" i="1"/>
  <c r="B990" i="1"/>
  <c r="A991" i="1"/>
  <c r="B991" i="1"/>
  <c r="A992" i="1"/>
  <c r="B992" i="1"/>
  <c r="A993" i="1"/>
  <c r="B993" i="1"/>
  <c r="A994" i="1"/>
  <c r="B994" i="1"/>
  <c r="A995" i="1"/>
  <c r="B995" i="1"/>
  <c r="A996" i="1"/>
  <c r="B996" i="1"/>
  <c r="A997" i="1"/>
  <c r="B997" i="1"/>
  <c r="A998" i="1"/>
  <c r="B998" i="1"/>
  <c r="A999" i="1"/>
  <c r="B999" i="1"/>
  <c r="A1000" i="1"/>
  <c r="B1000" i="1"/>
  <c r="A1001" i="1"/>
  <c r="B1001" i="1"/>
  <c r="A1002" i="1"/>
  <c r="B1002" i="1"/>
  <c r="A1003" i="1"/>
  <c r="B1003" i="1"/>
  <c r="A1004" i="1"/>
  <c r="B1004" i="1"/>
  <c r="A1005" i="1"/>
  <c r="B1005" i="1"/>
  <c r="A1006" i="1"/>
  <c r="B1006" i="1"/>
  <c r="A1007" i="1"/>
  <c r="B1007" i="1"/>
  <c r="A1008" i="1"/>
  <c r="B1008" i="1"/>
  <c r="A1009" i="1"/>
  <c r="B1009" i="1"/>
  <c r="A1010" i="1"/>
  <c r="B1010" i="1"/>
  <c r="A1011" i="1"/>
  <c r="B1011" i="1"/>
  <c r="A1012" i="1"/>
  <c r="B1012" i="1"/>
  <c r="A1013" i="1"/>
  <c r="B1013" i="1"/>
  <c r="A1014" i="1"/>
  <c r="B1014" i="1"/>
  <c r="A1015" i="1"/>
  <c r="B1015" i="1"/>
  <c r="A1016" i="1"/>
  <c r="B1016" i="1"/>
  <c r="A1017" i="1"/>
  <c r="B1017" i="1"/>
  <c r="A1018" i="1"/>
  <c r="B1018" i="1"/>
  <c r="A1019" i="1"/>
  <c r="B1019" i="1"/>
  <c r="A1020" i="1"/>
  <c r="B1020" i="1"/>
  <c r="A1021" i="1"/>
  <c r="B1021" i="1"/>
  <c r="A1022" i="1"/>
  <c r="B1022" i="1"/>
  <c r="A1023" i="1"/>
  <c r="B1023" i="1"/>
  <c r="A1024" i="1"/>
  <c r="B1024" i="1"/>
  <c r="A1025" i="1"/>
  <c r="B1025" i="1"/>
  <c r="A1026" i="1"/>
  <c r="B1026" i="1"/>
  <c r="A1027" i="1"/>
  <c r="B1027" i="1"/>
  <c r="A1028" i="1"/>
  <c r="B1028" i="1"/>
  <c r="A1029" i="1"/>
  <c r="B1029" i="1"/>
  <c r="A1030" i="1"/>
  <c r="B1030" i="1"/>
  <c r="A1031" i="1"/>
  <c r="B1031" i="1"/>
  <c r="A1032" i="1"/>
  <c r="B1032" i="1"/>
  <c r="A1033" i="1"/>
  <c r="B1033" i="1"/>
  <c r="A1034" i="1"/>
  <c r="B1034" i="1"/>
  <c r="A1035" i="1"/>
  <c r="B1035" i="1"/>
  <c r="A1036" i="1"/>
  <c r="B1036" i="1"/>
  <c r="A1037" i="1"/>
  <c r="B1037" i="1"/>
  <c r="A1038" i="1"/>
  <c r="B1038" i="1"/>
  <c r="A1039" i="1"/>
  <c r="B1039" i="1"/>
  <c r="A1040" i="1"/>
  <c r="B1040" i="1"/>
  <c r="A1041" i="1"/>
  <c r="B1041" i="1"/>
  <c r="A1042" i="1"/>
  <c r="B1042" i="1"/>
  <c r="A1043" i="1"/>
  <c r="B1043" i="1"/>
  <c r="A1044" i="1"/>
  <c r="B1044" i="1"/>
  <c r="A1045" i="1"/>
  <c r="B1045" i="1"/>
  <c r="A1046" i="1"/>
  <c r="B1046" i="1"/>
  <c r="A1047" i="1"/>
  <c r="B1047" i="1"/>
  <c r="A1048" i="1"/>
  <c r="B1048" i="1"/>
  <c r="A1049" i="1"/>
  <c r="B1049" i="1"/>
  <c r="A1050" i="1"/>
  <c r="B1050" i="1"/>
  <c r="A1051" i="1"/>
  <c r="B1051" i="1"/>
  <c r="A1052" i="1"/>
  <c r="B1052" i="1"/>
  <c r="A1053" i="1"/>
  <c r="B1053" i="1"/>
  <c r="A1054" i="1"/>
  <c r="B1054" i="1"/>
  <c r="A1055" i="1"/>
  <c r="B1055" i="1"/>
  <c r="A1056" i="1"/>
  <c r="B1056" i="1"/>
  <c r="A1057" i="1"/>
  <c r="B1057" i="1"/>
  <c r="A1058" i="1"/>
  <c r="B1058" i="1"/>
  <c r="A1059" i="1"/>
  <c r="B1059" i="1"/>
  <c r="A1060" i="1"/>
  <c r="B1060" i="1"/>
  <c r="A1061" i="1"/>
  <c r="B1061" i="1"/>
  <c r="A1062" i="1"/>
  <c r="B1062" i="1"/>
  <c r="A1063" i="1"/>
  <c r="B1063" i="1"/>
  <c r="A1064" i="1"/>
  <c r="B1064" i="1"/>
  <c r="A1065" i="1"/>
  <c r="B1065" i="1"/>
  <c r="A1066" i="1"/>
  <c r="B1066" i="1"/>
  <c r="A1067" i="1"/>
  <c r="B1067" i="1"/>
  <c r="A1068" i="1"/>
  <c r="B1068" i="1"/>
  <c r="A1069" i="1"/>
  <c r="B1069" i="1"/>
  <c r="A1070" i="1"/>
  <c r="B1070" i="1"/>
  <c r="A1071" i="1"/>
  <c r="B1071" i="1"/>
  <c r="A1072" i="1"/>
  <c r="B1072" i="1"/>
  <c r="A1073" i="1"/>
  <c r="B1073" i="1"/>
  <c r="A1074" i="1"/>
  <c r="B1074" i="1"/>
  <c r="A1075" i="1"/>
  <c r="B1075" i="1"/>
  <c r="A1076" i="1"/>
  <c r="B1076" i="1"/>
  <c r="A1077" i="1"/>
  <c r="B1077" i="1"/>
  <c r="A1078" i="1"/>
  <c r="B1078" i="1"/>
  <c r="A1079" i="1"/>
  <c r="B1079" i="1"/>
  <c r="A1080" i="1"/>
  <c r="B1080" i="1"/>
  <c r="A1081" i="1"/>
  <c r="B1081" i="1"/>
  <c r="A1082" i="1"/>
  <c r="B1082" i="1"/>
  <c r="A1083" i="1"/>
  <c r="B1083" i="1"/>
  <c r="A1084" i="1"/>
  <c r="B1084" i="1"/>
  <c r="A1085" i="1"/>
  <c r="B1085" i="1"/>
  <c r="A1086" i="1"/>
  <c r="B1086" i="1"/>
  <c r="A1087" i="1"/>
  <c r="B1087" i="1"/>
  <c r="A1088" i="1"/>
  <c r="B1088" i="1"/>
  <c r="A1089" i="1"/>
  <c r="B1089" i="1"/>
  <c r="A1090" i="1"/>
  <c r="B1090" i="1"/>
  <c r="A1091" i="1"/>
  <c r="B1091" i="1"/>
  <c r="A1092" i="1"/>
  <c r="B1092" i="1"/>
  <c r="A1093" i="1"/>
  <c r="B1093" i="1"/>
  <c r="A1094" i="1"/>
  <c r="B1094" i="1"/>
  <c r="A1095" i="1"/>
  <c r="B1095" i="1"/>
  <c r="A1096" i="1"/>
  <c r="B1096" i="1"/>
  <c r="A1097" i="1"/>
  <c r="B1097" i="1"/>
  <c r="A1098" i="1"/>
  <c r="B1098" i="1"/>
  <c r="A1099" i="1"/>
  <c r="B1099" i="1"/>
  <c r="A1100" i="1"/>
  <c r="B1100" i="1"/>
  <c r="A1101" i="1"/>
  <c r="B1101" i="1"/>
  <c r="A1102" i="1"/>
  <c r="B1102" i="1"/>
  <c r="A1103" i="1"/>
  <c r="B1103" i="1"/>
  <c r="A1104" i="1"/>
  <c r="B1104" i="1"/>
  <c r="A1105" i="1"/>
  <c r="B1105" i="1"/>
  <c r="A1106" i="1"/>
  <c r="B1106" i="1"/>
  <c r="A1107" i="1"/>
  <c r="B1107" i="1"/>
  <c r="A1108" i="1"/>
  <c r="B1108" i="1"/>
  <c r="A1109" i="1"/>
  <c r="B1109" i="1"/>
  <c r="A1110" i="1"/>
  <c r="B1110" i="1"/>
  <c r="A1111" i="1"/>
  <c r="B1111" i="1"/>
  <c r="A1112" i="1"/>
  <c r="B1112" i="1"/>
  <c r="A1113" i="1"/>
  <c r="B1113" i="1"/>
  <c r="A1114" i="1"/>
  <c r="B1114" i="1"/>
  <c r="A1115" i="1"/>
  <c r="B1115" i="1"/>
  <c r="A1116" i="1"/>
  <c r="B1116" i="1"/>
  <c r="A1117" i="1"/>
  <c r="B1117" i="1"/>
  <c r="A1118" i="1"/>
  <c r="B1118" i="1"/>
  <c r="A1119" i="1"/>
  <c r="B1119" i="1"/>
  <c r="A1120" i="1"/>
  <c r="B1120" i="1"/>
  <c r="A1121" i="1"/>
  <c r="B1121" i="1"/>
  <c r="A1122" i="1"/>
  <c r="B1122" i="1"/>
  <c r="A1123" i="1"/>
  <c r="B1123" i="1"/>
  <c r="A1124" i="1"/>
  <c r="B1124" i="1"/>
  <c r="A1125" i="1"/>
  <c r="B1125" i="1"/>
  <c r="A1126" i="1"/>
  <c r="B1126" i="1"/>
  <c r="A1127" i="1"/>
  <c r="B1127" i="1"/>
  <c r="A1128" i="1"/>
  <c r="B1128" i="1"/>
  <c r="A1129" i="1"/>
  <c r="B1129" i="1"/>
  <c r="A1130" i="1"/>
  <c r="B1130" i="1"/>
  <c r="A1131" i="1"/>
  <c r="B1131" i="1"/>
  <c r="A1132" i="1"/>
  <c r="B1132" i="1"/>
  <c r="A1133" i="1"/>
  <c r="B1133" i="1"/>
  <c r="A1134" i="1"/>
  <c r="B1134" i="1"/>
  <c r="A1135" i="1"/>
  <c r="B1135" i="1"/>
  <c r="A1136" i="1"/>
  <c r="B1136" i="1"/>
  <c r="A1137" i="1"/>
  <c r="B1137" i="1"/>
  <c r="A1138" i="1"/>
  <c r="B1138" i="1"/>
  <c r="A1139" i="1"/>
  <c r="B1139" i="1"/>
  <c r="A1140" i="1"/>
  <c r="B1140" i="1"/>
  <c r="A1141" i="1"/>
  <c r="B1141" i="1"/>
  <c r="A1142" i="1"/>
  <c r="B1142" i="1"/>
  <c r="A1143" i="1"/>
  <c r="B1143" i="1"/>
  <c r="A1144" i="1"/>
  <c r="B1144" i="1"/>
  <c r="A1145" i="1"/>
  <c r="B1145" i="1"/>
  <c r="A1146" i="1"/>
  <c r="B1146" i="1"/>
  <c r="A1147" i="1"/>
  <c r="B1147" i="1"/>
  <c r="A1148" i="1"/>
  <c r="B1148" i="1"/>
  <c r="A1149" i="1"/>
  <c r="B1149" i="1"/>
  <c r="A1150" i="1"/>
  <c r="B1150" i="1"/>
  <c r="A1151" i="1"/>
  <c r="B1151" i="1"/>
  <c r="A1152" i="1"/>
  <c r="B1152" i="1"/>
  <c r="A1153" i="1"/>
  <c r="B1153" i="1"/>
  <c r="A1154" i="1"/>
  <c r="B1154" i="1"/>
  <c r="A1155" i="1"/>
  <c r="B1155" i="1"/>
  <c r="A1156" i="1"/>
  <c r="B1156" i="1"/>
  <c r="A1157" i="1"/>
  <c r="B1157" i="1"/>
  <c r="A1158" i="1"/>
  <c r="B1158" i="1"/>
  <c r="A1159" i="1"/>
  <c r="B1159" i="1"/>
  <c r="A1160" i="1"/>
  <c r="B1160" i="1"/>
  <c r="A1161" i="1"/>
  <c r="B1161" i="1"/>
  <c r="A1162" i="1"/>
  <c r="B1162" i="1"/>
  <c r="A1163" i="1"/>
  <c r="B1163" i="1"/>
  <c r="A1164" i="1"/>
  <c r="B1164" i="1"/>
  <c r="A1165" i="1"/>
  <c r="B1165" i="1"/>
  <c r="A1166" i="1"/>
  <c r="B1166" i="1"/>
  <c r="A1167" i="1"/>
  <c r="B1167" i="1"/>
  <c r="A1168" i="1"/>
  <c r="B1168" i="1"/>
  <c r="A1169" i="1"/>
  <c r="B1169" i="1"/>
  <c r="A1170" i="1"/>
  <c r="B1170" i="1"/>
  <c r="A1171" i="1"/>
  <c r="B1171" i="1"/>
  <c r="A1172" i="1"/>
  <c r="B1172" i="1"/>
  <c r="A1173" i="1"/>
  <c r="B1173" i="1"/>
  <c r="A1174" i="1"/>
  <c r="B1174" i="1"/>
  <c r="A1175" i="1"/>
  <c r="B1175" i="1"/>
  <c r="A1176" i="1"/>
  <c r="B1176" i="1"/>
  <c r="A1177" i="1"/>
  <c r="B1177" i="1"/>
  <c r="A1178" i="1"/>
  <c r="B1178" i="1"/>
  <c r="A1179" i="1"/>
  <c r="B1179" i="1"/>
  <c r="A1180" i="1"/>
  <c r="B1180" i="1"/>
  <c r="A1181" i="1"/>
  <c r="B1181" i="1"/>
  <c r="A1182" i="1"/>
  <c r="B1182" i="1"/>
  <c r="A1183" i="1"/>
  <c r="B1183" i="1"/>
  <c r="A1184" i="1"/>
  <c r="B1184" i="1"/>
  <c r="A1185" i="1"/>
  <c r="B1185" i="1"/>
  <c r="A1186" i="1"/>
  <c r="B1186" i="1"/>
  <c r="A1187" i="1"/>
  <c r="B1187" i="1"/>
  <c r="A1188" i="1"/>
  <c r="B1188" i="1"/>
  <c r="A1189" i="1"/>
  <c r="B1189" i="1"/>
  <c r="A1190" i="1"/>
  <c r="B1190" i="1"/>
  <c r="A1191" i="1"/>
  <c r="B1191" i="1"/>
  <c r="A1192" i="1"/>
  <c r="B1192" i="1"/>
  <c r="A1193" i="1"/>
  <c r="B1193" i="1"/>
  <c r="A1194" i="1"/>
  <c r="B1194" i="1"/>
  <c r="A1195" i="1"/>
  <c r="B1195" i="1"/>
  <c r="A1196" i="1"/>
  <c r="B1196" i="1"/>
  <c r="A1197" i="1"/>
  <c r="B1197" i="1"/>
  <c r="A1198" i="1"/>
  <c r="B1198" i="1"/>
  <c r="A1199" i="1"/>
  <c r="B1199" i="1"/>
  <c r="A1200" i="1"/>
  <c r="B1200" i="1"/>
  <c r="A1201" i="1"/>
  <c r="B1201" i="1"/>
  <c r="A1202" i="1"/>
  <c r="B1202" i="1"/>
  <c r="A1203" i="1"/>
  <c r="B1203" i="1"/>
  <c r="A1204" i="1"/>
  <c r="B1204" i="1"/>
  <c r="A1205" i="1"/>
  <c r="B1205" i="1"/>
  <c r="A1206" i="1"/>
  <c r="B1206" i="1"/>
  <c r="A1207" i="1"/>
  <c r="B1207" i="1"/>
  <c r="A1208" i="1"/>
  <c r="B1208" i="1"/>
  <c r="A1209" i="1"/>
  <c r="B1209" i="1"/>
  <c r="A1210" i="1"/>
  <c r="B1210" i="1"/>
  <c r="A1211" i="1"/>
  <c r="B1211" i="1"/>
  <c r="A1212" i="1"/>
  <c r="B1212" i="1"/>
  <c r="A1213" i="1"/>
  <c r="B1213" i="1"/>
  <c r="A1214" i="1"/>
  <c r="B1214" i="1"/>
  <c r="A1215" i="1"/>
  <c r="B1215" i="1"/>
  <c r="A1216" i="1"/>
  <c r="B1216" i="1"/>
  <c r="A1217" i="1"/>
  <c r="B1217" i="1"/>
  <c r="A1218" i="1"/>
  <c r="B1218" i="1"/>
  <c r="A1219" i="1"/>
  <c r="B1219" i="1"/>
  <c r="A1220" i="1"/>
  <c r="B1220" i="1"/>
  <c r="A1221" i="1"/>
  <c r="B1221" i="1"/>
  <c r="A1222" i="1"/>
  <c r="B1222" i="1"/>
  <c r="A1223" i="1"/>
  <c r="B1223" i="1"/>
  <c r="A1224" i="1"/>
  <c r="B1224" i="1"/>
  <c r="A1225" i="1"/>
  <c r="B1225" i="1"/>
  <c r="A1226" i="1"/>
  <c r="B1226" i="1"/>
  <c r="A1227" i="1"/>
  <c r="B1227" i="1"/>
  <c r="A1228" i="1"/>
  <c r="B1228" i="1"/>
  <c r="A1229" i="1"/>
  <c r="B1229" i="1"/>
  <c r="A1230" i="1"/>
  <c r="B1230" i="1"/>
  <c r="A1231" i="1"/>
  <c r="B1231" i="1"/>
  <c r="A1232" i="1"/>
  <c r="B1232" i="1"/>
  <c r="A1233" i="1"/>
  <c r="B1233" i="1"/>
  <c r="A1234" i="1"/>
  <c r="B1234" i="1"/>
  <c r="A1235" i="1"/>
  <c r="B1235" i="1"/>
  <c r="A1236" i="1"/>
  <c r="B1236" i="1"/>
  <c r="A1237" i="1"/>
  <c r="B1237" i="1"/>
  <c r="A1238" i="1"/>
  <c r="B1238" i="1"/>
  <c r="A1239" i="1"/>
  <c r="B1239" i="1"/>
  <c r="A1240" i="1"/>
  <c r="B1240" i="1"/>
  <c r="A1241" i="1"/>
  <c r="B1241" i="1"/>
  <c r="A1242" i="1"/>
  <c r="B1242" i="1"/>
  <c r="A1243" i="1"/>
  <c r="B1243" i="1"/>
  <c r="A1244" i="1"/>
  <c r="B1244" i="1"/>
  <c r="A1245" i="1"/>
  <c r="B1245" i="1"/>
  <c r="A1246" i="1"/>
  <c r="B1246" i="1"/>
  <c r="A1247" i="1"/>
  <c r="B1247" i="1"/>
  <c r="A1248" i="1"/>
  <c r="B1248" i="1"/>
  <c r="A1249" i="1"/>
  <c r="B1249" i="1"/>
  <c r="A1250" i="1"/>
  <c r="B1250" i="1"/>
  <c r="A1251" i="1"/>
  <c r="B1251" i="1"/>
  <c r="A1252" i="1"/>
  <c r="B1252" i="1"/>
  <c r="A1253" i="1"/>
  <c r="B1253" i="1"/>
  <c r="A1254" i="1"/>
  <c r="B1254" i="1"/>
  <c r="A1255" i="1"/>
  <c r="B1255" i="1"/>
  <c r="A1256" i="1"/>
  <c r="B1256" i="1"/>
  <c r="A1257" i="1"/>
  <c r="B1257" i="1"/>
  <c r="A1258" i="1"/>
  <c r="B1258" i="1"/>
  <c r="A1259" i="1"/>
  <c r="B1259" i="1"/>
  <c r="A1260" i="1"/>
  <c r="B1260" i="1"/>
  <c r="A1261" i="1"/>
  <c r="B1261" i="1"/>
  <c r="A1262" i="1"/>
  <c r="B1262" i="1"/>
  <c r="A1263" i="1"/>
  <c r="B1263" i="1"/>
  <c r="A1264" i="1"/>
  <c r="B1264" i="1"/>
  <c r="A1265" i="1"/>
  <c r="B1265" i="1"/>
  <c r="A1266" i="1"/>
  <c r="B1266" i="1"/>
  <c r="A1267" i="1"/>
  <c r="B1267" i="1"/>
  <c r="A1268" i="1"/>
  <c r="B1268" i="1"/>
  <c r="A1269" i="1"/>
  <c r="B1269" i="1"/>
  <c r="A1270" i="1"/>
  <c r="B1270" i="1"/>
  <c r="A1271" i="1"/>
  <c r="B1271" i="1"/>
  <c r="A1272" i="1"/>
  <c r="B1272" i="1"/>
  <c r="A1273" i="1"/>
  <c r="B1273" i="1"/>
  <c r="A1274" i="1"/>
  <c r="B1274" i="1"/>
  <c r="A1275" i="1"/>
  <c r="B1275" i="1"/>
  <c r="A1276" i="1"/>
  <c r="B1276" i="1"/>
  <c r="A1277" i="1"/>
  <c r="B1277" i="1"/>
  <c r="A1278" i="1"/>
  <c r="B1278" i="1"/>
  <c r="A1279" i="1"/>
  <c r="B1279" i="1"/>
  <c r="A1280" i="1"/>
  <c r="B1280" i="1"/>
  <c r="A1281" i="1"/>
  <c r="B1281" i="1"/>
  <c r="A1282" i="1"/>
  <c r="B1282" i="1"/>
  <c r="A1283" i="1"/>
  <c r="B1283" i="1"/>
  <c r="A1284" i="1"/>
  <c r="B1284" i="1"/>
  <c r="A1285" i="1"/>
  <c r="B1285" i="1"/>
  <c r="A1286" i="1"/>
  <c r="B1286" i="1"/>
  <c r="A1287" i="1"/>
  <c r="B1287" i="1"/>
  <c r="A1288" i="1"/>
  <c r="B1288" i="1"/>
  <c r="A1289" i="1"/>
  <c r="B1289" i="1"/>
  <c r="A1290" i="1"/>
  <c r="B1290" i="1"/>
  <c r="A1291" i="1"/>
  <c r="B1291" i="1"/>
  <c r="A1292" i="1"/>
  <c r="B1292" i="1"/>
  <c r="A1293" i="1"/>
  <c r="B1293" i="1"/>
  <c r="A1294" i="1"/>
  <c r="B1294" i="1"/>
  <c r="A1295" i="1"/>
  <c r="B1295" i="1"/>
  <c r="A1296" i="1"/>
  <c r="B1296" i="1"/>
  <c r="A1297" i="1"/>
  <c r="B1297" i="1"/>
  <c r="A1298" i="1"/>
  <c r="B1298" i="1"/>
  <c r="A1299" i="1"/>
  <c r="B1299" i="1"/>
  <c r="A1300" i="1"/>
  <c r="B1300" i="1"/>
  <c r="A1301" i="1"/>
  <c r="B1301" i="1"/>
  <c r="A1302" i="1"/>
  <c r="B1302" i="1"/>
  <c r="A1303" i="1"/>
  <c r="B1303" i="1"/>
  <c r="A1304" i="1"/>
  <c r="B1304" i="1"/>
  <c r="A1305" i="1"/>
  <c r="B1305" i="1"/>
  <c r="A1306" i="1"/>
  <c r="B1306" i="1"/>
  <c r="A1307" i="1"/>
  <c r="B1307" i="1"/>
  <c r="A1308" i="1"/>
  <c r="B1308" i="1"/>
  <c r="A1309" i="1"/>
  <c r="B1309" i="1"/>
  <c r="A1310" i="1"/>
  <c r="B1310" i="1"/>
  <c r="A1311" i="1"/>
  <c r="B1311" i="1"/>
  <c r="A1312" i="1"/>
  <c r="B1312" i="1"/>
  <c r="A1313" i="1"/>
  <c r="B1313" i="1"/>
  <c r="A1314" i="1"/>
  <c r="B1314" i="1"/>
  <c r="A1315" i="1"/>
  <c r="B1315" i="1"/>
  <c r="A1316" i="1"/>
  <c r="B1316" i="1"/>
  <c r="A1317" i="1"/>
  <c r="B1317" i="1"/>
  <c r="A1318" i="1"/>
  <c r="B1318" i="1"/>
  <c r="A1319" i="1"/>
  <c r="B1319" i="1"/>
  <c r="A1320" i="1"/>
  <c r="B1320" i="1"/>
  <c r="A1321" i="1"/>
  <c r="B1321" i="1"/>
  <c r="A1322" i="1"/>
  <c r="B1322" i="1"/>
  <c r="A1323" i="1"/>
  <c r="B1323" i="1"/>
  <c r="A1324" i="1"/>
  <c r="B1324" i="1"/>
  <c r="A1325" i="1"/>
  <c r="B1325" i="1"/>
  <c r="A1326" i="1"/>
  <c r="B1326" i="1"/>
  <c r="A1327" i="1"/>
  <c r="B1327" i="1"/>
  <c r="A1328" i="1"/>
  <c r="B1328" i="1"/>
  <c r="A1329" i="1"/>
  <c r="B1329" i="1"/>
  <c r="A1330" i="1"/>
  <c r="B1330" i="1"/>
  <c r="A1331" i="1"/>
  <c r="B1331" i="1"/>
  <c r="A1332" i="1"/>
  <c r="B1332" i="1"/>
  <c r="A1333" i="1"/>
  <c r="B1333" i="1"/>
  <c r="A1334" i="1"/>
  <c r="B1334" i="1"/>
  <c r="A1335" i="1"/>
  <c r="B1335" i="1"/>
  <c r="A1336" i="1"/>
  <c r="B1336" i="1"/>
  <c r="A1337" i="1"/>
  <c r="B1337" i="1"/>
  <c r="A1338" i="1"/>
  <c r="B1338" i="1"/>
  <c r="A1339" i="1"/>
  <c r="B1339" i="1"/>
  <c r="A1340" i="1"/>
  <c r="B1340" i="1"/>
  <c r="A1341" i="1"/>
  <c r="B1341" i="1"/>
  <c r="A1342" i="1"/>
  <c r="B1342" i="1"/>
  <c r="A1343" i="1"/>
  <c r="B1343" i="1"/>
  <c r="A1344" i="1"/>
  <c r="B1344" i="1"/>
  <c r="A1345" i="1"/>
  <c r="B1345" i="1"/>
  <c r="A1346" i="1"/>
  <c r="B1346" i="1"/>
  <c r="A1347" i="1"/>
  <c r="B1347" i="1"/>
  <c r="A1348" i="1"/>
  <c r="B1348" i="1"/>
  <c r="A1349" i="1"/>
  <c r="B1349" i="1"/>
  <c r="A1350" i="1"/>
  <c r="B1350" i="1"/>
  <c r="A1351" i="1"/>
  <c r="B1351" i="1"/>
  <c r="A1352" i="1"/>
  <c r="B1352" i="1"/>
  <c r="A1353" i="1"/>
  <c r="B1353" i="1"/>
  <c r="A1354" i="1"/>
  <c r="B1354" i="1"/>
  <c r="A1355" i="1"/>
  <c r="B1355" i="1"/>
  <c r="A1356" i="1"/>
  <c r="B1356" i="1"/>
  <c r="A1357" i="1"/>
  <c r="B1357" i="1"/>
  <c r="A1358" i="1"/>
  <c r="B1358" i="1"/>
  <c r="A1359" i="1"/>
  <c r="B1359" i="1"/>
  <c r="A1360" i="1"/>
  <c r="B1360" i="1"/>
  <c r="A1361" i="1"/>
  <c r="B1361" i="1"/>
  <c r="A1362" i="1"/>
  <c r="B1362" i="1"/>
  <c r="A1363" i="1"/>
  <c r="B1363" i="1"/>
  <c r="A1364" i="1"/>
  <c r="B1364" i="1"/>
  <c r="A1365" i="1"/>
  <c r="B1365" i="1"/>
  <c r="A1366" i="1"/>
  <c r="B1366" i="1"/>
  <c r="A1367" i="1"/>
  <c r="B1367" i="1"/>
  <c r="A1368" i="1"/>
  <c r="B1368" i="1"/>
  <c r="A1369" i="1"/>
  <c r="B1369" i="1"/>
  <c r="A1370" i="1"/>
  <c r="B1370" i="1"/>
  <c r="A1371" i="1"/>
  <c r="B1371" i="1"/>
  <c r="A1372" i="1"/>
  <c r="B1372" i="1"/>
  <c r="A1373" i="1"/>
  <c r="B1373" i="1"/>
  <c r="A1374" i="1"/>
  <c r="B1374" i="1"/>
  <c r="A1375" i="1"/>
  <c r="B1375" i="1"/>
  <c r="A1376" i="1"/>
  <c r="B1376" i="1"/>
  <c r="A1377" i="1"/>
  <c r="B1377" i="1"/>
  <c r="A1378" i="1"/>
  <c r="B1378" i="1"/>
  <c r="A1379" i="1"/>
  <c r="B1379" i="1"/>
  <c r="A1380" i="1"/>
  <c r="B1380" i="1"/>
  <c r="A1381" i="1"/>
  <c r="B1381" i="1"/>
  <c r="A1382" i="1"/>
  <c r="B1382" i="1"/>
  <c r="A1383" i="1"/>
  <c r="B1383" i="1"/>
  <c r="A1384" i="1"/>
  <c r="B1384" i="1"/>
  <c r="A1385" i="1"/>
  <c r="B1385" i="1"/>
  <c r="A1386" i="1"/>
  <c r="B1386" i="1"/>
  <c r="A1387" i="1"/>
  <c r="B1387" i="1"/>
  <c r="A1388" i="1"/>
  <c r="B1388" i="1"/>
  <c r="A1389" i="1"/>
  <c r="B1389" i="1"/>
  <c r="A1390" i="1"/>
  <c r="B1390" i="1"/>
  <c r="A1391" i="1"/>
  <c r="B1391" i="1"/>
  <c r="A1392" i="1"/>
  <c r="B1392" i="1"/>
  <c r="A1393" i="1"/>
  <c r="B1393" i="1"/>
  <c r="A1394" i="1"/>
  <c r="B1394" i="1"/>
  <c r="A1395" i="1"/>
  <c r="B1395" i="1"/>
  <c r="A1396" i="1"/>
  <c r="B1396" i="1"/>
  <c r="A1397" i="1"/>
  <c r="B1397" i="1"/>
  <c r="A1398" i="1"/>
  <c r="B1398" i="1"/>
  <c r="A1399" i="1"/>
  <c r="B1399" i="1"/>
  <c r="A1400" i="1"/>
  <c r="B1400" i="1"/>
  <c r="A1401" i="1"/>
  <c r="B1401" i="1"/>
  <c r="A1402" i="1"/>
  <c r="B1402" i="1"/>
  <c r="A1403" i="1"/>
  <c r="B1403" i="1"/>
  <c r="A1404" i="1"/>
  <c r="B1404" i="1"/>
  <c r="A1405" i="1"/>
  <c r="B1405" i="1"/>
  <c r="A1406" i="1"/>
  <c r="B1406" i="1"/>
  <c r="A1407" i="1"/>
  <c r="B1407" i="1"/>
  <c r="A1408" i="1"/>
  <c r="B1408" i="1"/>
  <c r="A1409" i="1"/>
  <c r="B1409" i="1"/>
  <c r="A1410" i="1"/>
  <c r="B1410" i="1"/>
  <c r="A1411" i="1"/>
  <c r="B1411" i="1"/>
  <c r="A1412" i="1"/>
  <c r="B1412" i="1"/>
  <c r="A1413" i="1"/>
  <c r="B1413" i="1"/>
  <c r="A1414" i="1"/>
  <c r="B1414" i="1"/>
  <c r="A1415" i="1"/>
  <c r="B1415" i="1"/>
  <c r="A1416" i="1"/>
  <c r="B1416" i="1"/>
  <c r="A1417" i="1"/>
  <c r="B1417" i="1"/>
  <c r="A1418" i="1"/>
  <c r="B1418" i="1"/>
  <c r="A1419" i="1"/>
  <c r="B1419" i="1"/>
  <c r="A1420" i="1"/>
  <c r="B1420" i="1"/>
  <c r="A1421" i="1"/>
  <c r="B1421" i="1"/>
  <c r="A1422" i="1"/>
  <c r="B1422" i="1"/>
  <c r="A1423" i="1"/>
  <c r="B1423" i="1"/>
  <c r="A1424" i="1"/>
  <c r="B1424" i="1"/>
  <c r="A1425" i="1"/>
  <c r="B1425" i="1"/>
  <c r="A1426" i="1"/>
  <c r="B1426" i="1"/>
  <c r="A1427" i="1"/>
  <c r="B1427" i="1"/>
  <c r="A1428" i="1"/>
  <c r="B1428" i="1"/>
  <c r="A1429" i="1"/>
  <c r="B1429" i="1"/>
  <c r="A1430" i="1"/>
  <c r="B1430" i="1"/>
  <c r="A1431" i="1"/>
  <c r="B1431" i="1"/>
  <c r="A1432" i="1"/>
  <c r="B1432" i="1"/>
  <c r="A1433" i="1"/>
  <c r="B1433" i="1"/>
  <c r="A1434" i="1"/>
  <c r="B1434" i="1"/>
  <c r="A1435" i="1"/>
  <c r="B1435" i="1"/>
  <c r="A1436" i="1"/>
  <c r="B1436" i="1"/>
  <c r="A1437" i="1"/>
  <c r="B1437" i="1"/>
  <c r="A1438" i="1"/>
  <c r="B1438" i="1"/>
  <c r="A1439" i="1"/>
  <c r="B1439" i="1"/>
  <c r="A1440" i="1"/>
  <c r="B1440" i="1"/>
  <c r="A1441" i="1"/>
  <c r="B1441" i="1"/>
  <c r="A1442" i="1"/>
  <c r="B1442" i="1"/>
  <c r="A1443" i="1"/>
  <c r="B1443" i="1"/>
  <c r="A1444" i="1"/>
  <c r="B1444" i="1"/>
  <c r="A1445" i="1"/>
  <c r="B1445" i="1"/>
  <c r="A1446" i="1"/>
  <c r="B1446" i="1"/>
  <c r="A1447" i="1"/>
  <c r="B1447" i="1"/>
  <c r="A1448" i="1"/>
  <c r="B1448" i="1"/>
  <c r="A1449" i="1"/>
  <c r="B1449" i="1"/>
  <c r="A1450" i="1"/>
  <c r="B1450" i="1"/>
  <c r="A1451" i="1"/>
  <c r="B1451" i="1"/>
  <c r="A1452" i="1"/>
  <c r="B1452" i="1"/>
  <c r="A1453" i="1"/>
  <c r="B1453" i="1"/>
  <c r="A1454" i="1"/>
  <c r="B1454" i="1"/>
  <c r="A1455" i="1"/>
  <c r="B1455" i="1"/>
  <c r="A1456" i="1"/>
  <c r="B1456" i="1"/>
  <c r="A1457" i="1"/>
  <c r="B1457" i="1"/>
  <c r="A1458" i="1"/>
  <c r="B1458" i="1"/>
  <c r="A1459" i="1"/>
  <c r="B1459" i="1"/>
  <c r="A1460" i="1"/>
  <c r="B1460" i="1"/>
  <c r="A1461" i="1"/>
  <c r="B1461" i="1"/>
  <c r="A1462" i="1"/>
  <c r="B1462" i="1"/>
  <c r="A1463" i="1"/>
  <c r="B1463" i="1"/>
  <c r="A1464" i="1"/>
  <c r="B1464" i="1"/>
  <c r="A1465" i="1"/>
  <c r="B1465" i="1"/>
  <c r="A1466" i="1"/>
  <c r="B1466" i="1"/>
  <c r="A1467" i="1"/>
  <c r="B1467" i="1"/>
  <c r="A1468" i="1"/>
  <c r="B1468" i="1"/>
  <c r="A1469" i="1"/>
  <c r="B1469" i="1"/>
  <c r="A1470" i="1"/>
  <c r="B1470" i="1"/>
  <c r="A1471" i="1"/>
  <c r="B1471" i="1"/>
  <c r="A1472" i="1"/>
  <c r="B1472" i="1"/>
  <c r="A1473" i="1"/>
  <c r="B1473" i="1"/>
  <c r="A1474" i="1"/>
  <c r="B1474" i="1"/>
  <c r="A1475" i="1"/>
  <c r="B1475" i="1"/>
  <c r="A1476" i="1"/>
  <c r="B1476" i="1"/>
  <c r="A1477" i="1"/>
  <c r="B1477" i="1"/>
  <c r="A1478" i="1"/>
  <c r="B1478" i="1"/>
  <c r="A1479" i="1"/>
  <c r="B1479" i="1"/>
  <c r="A1480" i="1"/>
  <c r="B1480" i="1"/>
  <c r="A1481" i="1"/>
  <c r="B1481" i="1"/>
  <c r="A1482" i="1"/>
  <c r="B1482" i="1"/>
  <c r="A1483" i="1"/>
  <c r="B1483" i="1"/>
  <c r="A1484" i="1"/>
  <c r="B1484" i="1"/>
  <c r="A1485" i="1"/>
  <c r="B1485" i="1"/>
  <c r="A1486" i="1"/>
  <c r="B1486" i="1"/>
  <c r="A1487" i="1"/>
  <c r="B1487" i="1"/>
  <c r="A1488" i="1"/>
  <c r="B1488" i="1"/>
  <c r="A1489" i="1"/>
  <c r="B1489" i="1"/>
  <c r="A1490" i="1"/>
  <c r="B1490" i="1"/>
  <c r="A1491" i="1"/>
  <c r="B1491" i="1"/>
  <c r="A1492" i="1"/>
  <c r="B1492" i="1"/>
  <c r="A1493" i="1"/>
  <c r="B1493" i="1"/>
  <c r="A1494" i="1"/>
  <c r="B1494" i="1"/>
  <c r="A1495" i="1"/>
  <c r="B1495" i="1"/>
  <c r="A1496" i="1"/>
  <c r="B1496" i="1"/>
  <c r="A1497" i="1"/>
  <c r="B1497" i="1"/>
  <c r="A1498" i="1"/>
  <c r="B1498" i="1"/>
  <c r="A1499" i="1"/>
  <c r="B1499" i="1"/>
  <c r="A1500" i="1"/>
  <c r="B1500" i="1"/>
  <c r="A1501" i="1"/>
  <c r="B1501" i="1"/>
  <c r="A1502" i="1"/>
  <c r="B1502" i="1"/>
  <c r="A1503" i="1"/>
  <c r="B1503" i="1"/>
  <c r="A1504" i="1"/>
  <c r="B1504" i="1"/>
  <c r="A1505" i="1"/>
  <c r="B1505" i="1"/>
  <c r="A1506" i="1"/>
  <c r="B1506" i="1"/>
  <c r="A1507" i="1"/>
  <c r="B1507" i="1"/>
  <c r="A1508" i="1"/>
  <c r="B1508" i="1"/>
  <c r="A1509" i="1"/>
  <c r="B1509" i="1"/>
  <c r="A1510" i="1"/>
  <c r="B1510" i="1"/>
  <c r="A1511" i="1"/>
  <c r="B1511" i="1"/>
  <c r="A1512" i="1"/>
  <c r="B1512" i="1"/>
  <c r="A1513" i="1"/>
  <c r="B1513" i="1"/>
  <c r="A1514" i="1"/>
  <c r="B1514" i="1"/>
  <c r="A1515" i="1"/>
  <c r="B1515" i="1"/>
  <c r="A1516" i="1"/>
  <c r="B1516" i="1"/>
  <c r="A1517" i="1"/>
  <c r="B1517" i="1"/>
  <c r="A1518" i="1"/>
  <c r="B1518" i="1"/>
  <c r="A1519" i="1"/>
  <c r="B1519" i="1"/>
  <c r="A1520" i="1"/>
  <c r="B1520" i="1"/>
  <c r="A1521" i="1"/>
  <c r="B1521" i="1"/>
  <c r="A1522" i="1"/>
  <c r="B1522" i="1"/>
  <c r="A1523" i="1"/>
  <c r="B1523" i="1"/>
  <c r="A1524" i="1"/>
  <c r="B1524" i="1"/>
  <c r="A1525" i="1"/>
  <c r="B1525" i="1"/>
  <c r="A1526" i="1"/>
  <c r="B1526" i="1"/>
  <c r="A1527" i="1"/>
  <c r="B1527" i="1"/>
  <c r="A1528" i="1"/>
  <c r="B1528" i="1"/>
  <c r="A1529" i="1"/>
  <c r="B1529" i="1"/>
  <c r="A1530" i="1"/>
  <c r="B1530" i="1"/>
  <c r="A1531" i="1"/>
  <c r="B1531" i="1"/>
  <c r="A1532" i="1"/>
  <c r="B1532" i="1"/>
  <c r="A1533" i="1"/>
  <c r="B1533" i="1"/>
  <c r="A1534" i="1"/>
  <c r="B1534" i="1"/>
  <c r="A1535" i="1"/>
  <c r="B1535" i="1"/>
  <c r="A1536" i="1"/>
  <c r="B1536" i="1"/>
  <c r="A1537" i="1"/>
  <c r="B1537" i="1"/>
  <c r="A1538" i="1"/>
  <c r="B1538" i="1"/>
  <c r="A1539" i="1"/>
  <c r="B1539" i="1"/>
  <c r="A1540" i="1"/>
  <c r="B1540" i="1"/>
  <c r="A1541" i="1"/>
  <c r="B1541" i="1"/>
  <c r="A1542" i="1"/>
  <c r="B1542" i="1"/>
  <c r="A1543" i="1"/>
  <c r="B1543" i="1"/>
  <c r="A1544" i="1"/>
  <c r="B1544" i="1"/>
  <c r="A1545" i="1"/>
  <c r="B1545" i="1"/>
  <c r="A1546" i="1"/>
  <c r="B1546" i="1"/>
  <c r="A1547" i="1"/>
  <c r="B1547" i="1"/>
  <c r="A1548" i="1"/>
  <c r="B1548" i="1"/>
  <c r="A1549" i="1"/>
  <c r="B1549" i="1"/>
  <c r="A1550" i="1"/>
  <c r="B1550" i="1"/>
  <c r="A1551" i="1"/>
  <c r="B1551" i="1"/>
  <c r="A1552" i="1"/>
  <c r="B1552" i="1"/>
  <c r="A1553" i="1"/>
  <c r="B1553" i="1"/>
  <c r="A1554" i="1"/>
  <c r="B1554" i="1"/>
  <c r="A1555" i="1"/>
  <c r="B1555" i="1"/>
  <c r="A1556" i="1"/>
  <c r="B1556" i="1"/>
  <c r="A1557" i="1"/>
  <c r="B1557" i="1"/>
  <c r="A1558" i="1"/>
  <c r="B1558" i="1"/>
  <c r="A1559" i="1"/>
  <c r="B1559" i="1"/>
  <c r="A1560" i="1"/>
  <c r="B1560" i="1"/>
  <c r="A1561" i="1"/>
  <c r="B1561" i="1"/>
  <c r="A1562" i="1"/>
  <c r="B1562" i="1"/>
  <c r="A1563" i="1"/>
  <c r="B1563" i="1"/>
  <c r="A1564" i="1"/>
  <c r="B1564" i="1"/>
  <c r="A1565" i="1"/>
  <c r="B1565" i="1"/>
  <c r="A1566" i="1"/>
  <c r="B1566" i="1"/>
  <c r="A1567" i="1"/>
  <c r="B1567" i="1"/>
  <c r="A1568" i="1"/>
  <c r="B1568" i="1"/>
  <c r="A1569" i="1"/>
  <c r="B1569" i="1"/>
  <c r="A1570" i="1"/>
  <c r="B1570" i="1"/>
  <c r="A1571" i="1"/>
  <c r="B1571" i="1"/>
  <c r="A1572" i="1"/>
  <c r="B1572" i="1"/>
  <c r="A1573" i="1"/>
  <c r="B1573" i="1"/>
  <c r="A1574" i="1"/>
  <c r="B1574" i="1"/>
  <c r="A1575" i="1"/>
  <c r="B1575" i="1"/>
  <c r="A1576" i="1"/>
  <c r="B1576" i="1"/>
  <c r="A1577" i="1"/>
  <c r="B1577" i="1"/>
  <c r="A1578" i="1"/>
  <c r="B1578" i="1"/>
  <c r="A1579" i="1"/>
  <c r="B1579" i="1"/>
  <c r="A1580" i="1"/>
  <c r="B1580" i="1"/>
  <c r="A1581" i="1"/>
  <c r="B1581" i="1"/>
  <c r="A1582" i="1"/>
  <c r="B1582" i="1"/>
  <c r="A1583" i="1"/>
  <c r="B1583" i="1"/>
  <c r="A1584" i="1"/>
  <c r="B1584" i="1"/>
  <c r="A1585" i="1"/>
  <c r="B1585" i="1"/>
  <c r="A1586" i="1"/>
  <c r="B1586" i="1"/>
  <c r="A1587" i="1"/>
  <c r="B1587" i="1"/>
  <c r="A1588" i="1"/>
  <c r="B1588" i="1"/>
  <c r="A1589" i="1"/>
  <c r="B1589" i="1"/>
  <c r="A1590" i="1"/>
  <c r="B1590" i="1"/>
  <c r="A1591" i="1"/>
  <c r="B1591" i="1"/>
  <c r="A1592" i="1"/>
  <c r="B1592" i="1"/>
  <c r="A1593" i="1"/>
  <c r="B1593" i="1"/>
  <c r="A1594" i="1"/>
  <c r="B1594" i="1"/>
  <c r="A1595" i="1"/>
  <c r="B1595" i="1"/>
  <c r="A1596" i="1"/>
  <c r="B1596" i="1"/>
  <c r="A1597" i="1"/>
  <c r="B1597" i="1"/>
  <c r="A1598" i="1"/>
  <c r="B1598" i="1"/>
  <c r="A1599" i="1"/>
  <c r="B1599" i="1"/>
  <c r="A1600" i="1"/>
  <c r="B1600" i="1"/>
  <c r="A1601" i="1"/>
  <c r="B1601" i="1"/>
  <c r="A1602" i="1"/>
  <c r="B1602" i="1"/>
  <c r="A1603" i="1"/>
  <c r="B1603" i="1"/>
  <c r="A1604" i="1"/>
  <c r="B1604" i="1"/>
  <c r="A1605" i="1"/>
  <c r="B1605" i="1"/>
  <c r="A1606" i="1"/>
  <c r="B1606" i="1"/>
  <c r="A1607" i="1"/>
  <c r="B1607" i="1"/>
  <c r="A1608" i="1"/>
  <c r="B1608" i="1"/>
  <c r="A1609" i="1"/>
  <c r="B1609" i="1"/>
  <c r="A1610" i="1"/>
  <c r="B1610" i="1"/>
  <c r="A1611" i="1"/>
  <c r="B1611" i="1"/>
  <c r="A1612" i="1"/>
  <c r="B1612" i="1"/>
  <c r="A1613" i="1"/>
  <c r="B1613" i="1"/>
  <c r="A1614" i="1"/>
  <c r="B1614" i="1"/>
  <c r="A1615" i="1"/>
  <c r="B1615" i="1"/>
  <c r="A1616" i="1"/>
  <c r="B1616" i="1"/>
  <c r="A1617" i="1"/>
  <c r="B1617" i="1"/>
  <c r="A1618" i="1"/>
  <c r="B1618" i="1"/>
  <c r="A1619" i="1"/>
  <c r="B1619" i="1"/>
  <c r="A1620" i="1"/>
  <c r="B1620" i="1"/>
  <c r="A1621" i="1"/>
  <c r="B1621" i="1"/>
  <c r="A1622" i="1"/>
  <c r="B1622" i="1"/>
  <c r="A1623" i="1"/>
  <c r="B1623" i="1"/>
  <c r="A1624" i="1"/>
  <c r="B1624" i="1"/>
  <c r="A1625" i="1"/>
  <c r="B1625" i="1"/>
  <c r="A1626" i="1"/>
  <c r="B1626" i="1"/>
  <c r="A1627" i="1"/>
  <c r="B1627" i="1"/>
  <c r="A1628" i="1"/>
  <c r="B1628" i="1"/>
  <c r="A1629" i="1"/>
  <c r="B1629" i="1"/>
  <c r="A1630" i="1"/>
  <c r="B1630" i="1"/>
  <c r="A1631" i="1"/>
  <c r="B1631" i="1"/>
  <c r="A1632" i="1"/>
  <c r="B1632" i="1"/>
  <c r="A1633" i="1"/>
  <c r="B1633" i="1"/>
  <c r="A1634" i="1"/>
  <c r="B1634" i="1"/>
  <c r="A1635" i="1"/>
  <c r="B1635" i="1"/>
  <c r="A1636" i="1"/>
  <c r="B1636" i="1"/>
  <c r="A1637" i="1"/>
  <c r="B1637" i="1"/>
  <c r="A1638" i="1"/>
  <c r="B1638" i="1"/>
  <c r="A1639" i="1"/>
  <c r="B1639" i="1"/>
  <c r="A1640" i="1"/>
  <c r="B1640" i="1"/>
  <c r="A1641" i="1"/>
  <c r="B1641" i="1"/>
  <c r="A1642" i="1"/>
  <c r="B1642" i="1"/>
  <c r="A1643" i="1"/>
  <c r="B1643" i="1"/>
  <c r="A1644" i="1"/>
  <c r="B1644" i="1"/>
  <c r="A1645" i="1"/>
  <c r="B1645" i="1"/>
  <c r="A1646" i="1"/>
  <c r="B1646" i="1"/>
  <c r="A1647" i="1"/>
  <c r="B1647" i="1"/>
  <c r="A1648" i="1"/>
  <c r="B1648" i="1"/>
  <c r="A1649" i="1"/>
  <c r="B1649" i="1"/>
  <c r="A1650" i="1"/>
  <c r="B1650" i="1"/>
  <c r="A1651" i="1"/>
  <c r="B1651" i="1"/>
  <c r="A1652" i="1"/>
  <c r="B1652" i="1"/>
  <c r="A1653" i="1"/>
  <c r="B1653" i="1"/>
  <c r="A1654" i="1"/>
  <c r="B1654" i="1"/>
  <c r="A1655" i="1"/>
  <c r="B1655" i="1"/>
  <c r="A1656" i="1"/>
  <c r="B1656" i="1"/>
  <c r="A1657" i="1"/>
  <c r="B1657" i="1"/>
  <c r="A1658" i="1"/>
  <c r="B1658" i="1"/>
  <c r="A1659" i="1"/>
  <c r="B1659" i="1"/>
  <c r="A1660" i="1"/>
  <c r="B1660" i="1"/>
  <c r="A1661" i="1"/>
  <c r="B1661" i="1"/>
  <c r="A1662" i="1"/>
  <c r="B1662" i="1"/>
  <c r="A1663" i="1"/>
  <c r="B1663" i="1"/>
  <c r="A1664" i="1"/>
  <c r="B1664" i="1"/>
  <c r="A1665" i="1"/>
  <c r="B1665" i="1"/>
  <c r="A1666" i="1"/>
  <c r="B1666" i="1"/>
  <c r="A1667" i="1"/>
  <c r="B1667" i="1"/>
  <c r="A1668" i="1"/>
  <c r="B1668" i="1"/>
  <c r="A1669" i="1"/>
  <c r="B1669" i="1"/>
  <c r="A1670" i="1"/>
  <c r="B1670" i="1"/>
  <c r="A1671" i="1"/>
  <c r="B1671" i="1"/>
  <c r="A1672" i="1"/>
  <c r="B1672" i="1"/>
  <c r="A1673" i="1"/>
  <c r="B1673" i="1"/>
  <c r="A1674" i="1"/>
  <c r="B1674" i="1"/>
  <c r="A1675" i="1"/>
  <c r="B1675" i="1"/>
  <c r="A1676" i="1"/>
  <c r="B1676" i="1"/>
  <c r="A1677" i="1"/>
  <c r="B1677" i="1"/>
  <c r="A1678" i="1"/>
  <c r="B1678" i="1"/>
  <c r="A1679" i="1"/>
  <c r="B1679" i="1"/>
  <c r="A1680" i="1"/>
  <c r="B1680" i="1"/>
  <c r="A1681" i="1"/>
  <c r="B1681" i="1"/>
  <c r="A1682" i="1"/>
  <c r="B1682" i="1"/>
  <c r="A1683" i="1"/>
  <c r="B1683" i="1"/>
  <c r="A1684" i="1"/>
  <c r="B1684" i="1"/>
  <c r="A1685" i="1"/>
  <c r="B1685" i="1"/>
  <c r="A1686" i="1"/>
  <c r="B1686" i="1"/>
  <c r="A1687" i="1"/>
  <c r="B1687" i="1"/>
  <c r="A1688" i="1"/>
  <c r="B1688" i="1"/>
  <c r="A1689" i="1"/>
  <c r="B1689" i="1"/>
  <c r="A1690" i="1"/>
  <c r="B1690" i="1"/>
  <c r="A1691" i="1"/>
  <c r="B1691" i="1"/>
  <c r="A1692" i="1"/>
  <c r="B1692" i="1"/>
  <c r="A1693" i="1"/>
  <c r="B1693" i="1"/>
  <c r="A1694" i="1"/>
  <c r="B1694" i="1"/>
  <c r="A1695" i="1"/>
  <c r="B1695" i="1"/>
  <c r="A1696" i="1"/>
  <c r="B1696" i="1"/>
  <c r="A1697" i="1"/>
  <c r="B1697" i="1"/>
  <c r="A1698" i="1"/>
  <c r="B1698" i="1"/>
  <c r="A1699" i="1"/>
  <c r="B1699" i="1"/>
  <c r="A1700" i="1"/>
  <c r="B1700" i="1"/>
  <c r="A1701" i="1"/>
  <c r="B1701" i="1"/>
  <c r="A1702" i="1"/>
  <c r="B1702" i="1"/>
  <c r="A1703" i="1"/>
  <c r="B1703" i="1"/>
  <c r="A1704" i="1"/>
  <c r="B1704" i="1"/>
  <c r="A1705" i="1"/>
  <c r="B1705" i="1"/>
  <c r="A1706" i="1"/>
  <c r="B1706" i="1"/>
  <c r="A1707" i="1"/>
  <c r="B1707" i="1"/>
  <c r="A1708" i="1"/>
  <c r="B1708" i="1"/>
  <c r="A1709" i="1"/>
  <c r="B1709" i="1"/>
  <c r="A1710" i="1"/>
  <c r="B1710" i="1"/>
  <c r="A1711" i="1"/>
  <c r="B1711" i="1"/>
  <c r="A1712" i="1"/>
  <c r="B1712" i="1"/>
  <c r="A1713" i="1"/>
  <c r="B1713" i="1"/>
  <c r="A1714" i="1"/>
  <c r="B1714" i="1"/>
  <c r="A1715" i="1"/>
  <c r="B1715" i="1"/>
  <c r="A1716" i="1"/>
  <c r="B1716" i="1"/>
  <c r="A1717" i="1"/>
  <c r="B1717" i="1"/>
  <c r="A1718" i="1"/>
  <c r="B1718" i="1"/>
  <c r="A1719" i="1"/>
  <c r="B1719" i="1"/>
  <c r="A1720" i="1"/>
  <c r="B1720" i="1"/>
  <c r="A1721" i="1"/>
  <c r="B1721" i="1"/>
  <c r="A1722" i="1"/>
  <c r="B1722" i="1"/>
  <c r="A1723" i="1"/>
  <c r="B1723" i="1"/>
  <c r="A1724" i="1"/>
  <c r="B1724" i="1"/>
  <c r="A1725" i="1"/>
  <c r="B1725" i="1"/>
  <c r="A1726" i="1"/>
  <c r="B1726" i="1"/>
  <c r="A1727" i="1"/>
  <c r="B1727" i="1"/>
  <c r="A1728" i="1"/>
  <c r="B1728" i="1"/>
  <c r="A1729" i="1"/>
  <c r="B1729" i="1"/>
  <c r="A1730" i="1"/>
  <c r="B1730" i="1"/>
  <c r="A1731" i="1"/>
  <c r="B1731" i="1"/>
  <c r="A1732" i="1"/>
  <c r="B1732" i="1"/>
  <c r="A1733" i="1"/>
  <c r="B1733" i="1"/>
  <c r="A1734" i="1"/>
  <c r="B1734" i="1"/>
  <c r="A1735" i="1"/>
  <c r="B1735" i="1"/>
  <c r="A1736" i="1"/>
  <c r="B1736" i="1"/>
  <c r="A1737" i="1"/>
  <c r="B1737" i="1"/>
  <c r="A1738" i="1"/>
  <c r="B1738" i="1"/>
  <c r="A1739" i="1"/>
  <c r="B1739" i="1"/>
  <c r="A1740" i="1"/>
  <c r="B1740" i="1"/>
  <c r="A1741" i="1"/>
  <c r="B1741" i="1"/>
  <c r="A1742" i="1"/>
  <c r="B1742" i="1"/>
  <c r="A1743" i="1"/>
  <c r="B1743" i="1"/>
  <c r="A1744" i="1"/>
  <c r="B1744" i="1"/>
  <c r="A1745" i="1"/>
  <c r="B1745" i="1"/>
  <c r="A1746" i="1"/>
  <c r="B1746" i="1"/>
  <c r="A1747" i="1"/>
  <c r="B1747" i="1"/>
  <c r="A1748" i="1"/>
  <c r="B1748" i="1"/>
  <c r="A1749" i="1"/>
  <c r="B1749" i="1"/>
  <c r="A1750" i="1"/>
  <c r="B1750" i="1"/>
  <c r="A1751" i="1"/>
  <c r="B1751" i="1"/>
  <c r="A1752" i="1"/>
  <c r="B1752" i="1"/>
  <c r="A1753" i="1"/>
  <c r="B1753" i="1"/>
  <c r="A1754" i="1"/>
  <c r="B1754" i="1"/>
  <c r="A1755" i="1"/>
  <c r="B1755" i="1"/>
  <c r="A1756" i="1"/>
  <c r="B1756" i="1"/>
  <c r="A1757" i="1"/>
  <c r="B1757" i="1"/>
  <c r="A1758" i="1"/>
  <c r="B1758" i="1"/>
  <c r="A1759" i="1"/>
  <c r="B1759" i="1"/>
  <c r="A1760" i="1"/>
  <c r="B1760" i="1"/>
  <c r="A1761" i="1"/>
  <c r="B1761" i="1"/>
  <c r="A1762" i="1"/>
  <c r="B1762" i="1"/>
  <c r="A1763" i="1"/>
  <c r="B1763" i="1"/>
  <c r="A1764" i="1"/>
  <c r="B1764" i="1"/>
  <c r="A1765" i="1"/>
  <c r="B1765" i="1"/>
  <c r="A1766" i="1"/>
  <c r="B1766" i="1"/>
  <c r="A1767" i="1"/>
  <c r="B1767" i="1"/>
  <c r="A1768" i="1"/>
  <c r="B1768" i="1"/>
  <c r="A1769" i="1"/>
  <c r="B1769" i="1"/>
  <c r="A1770" i="1"/>
  <c r="B1770" i="1"/>
  <c r="A1771" i="1"/>
  <c r="B1771" i="1"/>
  <c r="A1772" i="1"/>
  <c r="B1772" i="1"/>
  <c r="A1773" i="1"/>
  <c r="B1773" i="1"/>
  <c r="A1774" i="1"/>
  <c r="B1774" i="1"/>
  <c r="A1775" i="1"/>
  <c r="B1775" i="1"/>
  <c r="A1776" i="1"/>
  <c r="B1776" i="1"/>
  <c r="A1777" i="1"/>
  <c r="B1777" i="1"/>
  <c r="A1778" i="1"/>
  <c r="B1778" i="1"/>
  <c r="A1779" i="1"/>
  <c r="B1779" i="1"/>
  <c r="A1780" i="1"/>
  <c r="B1780" i="1"/>
  <c r="A1781" i="1"/>
  <c r="B1781" i="1"/>
  <c r="A1782" i="1"/>
  <c r="B1782" i="1"/>
  <c r="A1783" i="1"/>
  <c r="B1783" i="1"/>
  <c r="A1784" i="1"/>
  <c r="B1784" i="1"/>
  <c r="A1785" i="1"/>
  <c r="B1785" i="1"/>
  <c r="A1786" i="1"/>
  <c r="B1786" i="1"/>
  <c r="A1787" i="1"/>
  <c r="B1787" i="1"/>
  <c r="A1788" i="1"/>
  <c r="B1788" i="1"/>
  <c r="A1789" i="1"/>
  <c r="B1789" i="1"/>
  <c r="A1790" i="1"/>
  <c r="B1790" i="1"/>
  <c r="A1791" i="1"/>
  <c r="B1791" i="1"/>
  <c r="A1792" i="1"/>
  <c r="B1792" i="1"/>
  <c r="A1793" i="1"/>
  <c r="B1793" i="1"/>
  <c r="A1794" i="1"/>
  <c r="B1794" i="1"/>
  <c r="A1795" i="1"/>
  <c r="B1795" i="1"/>
  <c r="A1796" i="1"/>
  <c r="B1796" i="1"/>
  <c r="A1797" i="1"/>
  <c r="B1797" i="1"/>
  <c r="A1798" i="1"/>
  <c r="B1798" i="1"/>
  <c r="A1799" i="1"/>
  <c r="B1799" i="1"/>
  <c r="A1800" i="1"/>
  <c r="B1800" i="1"/>
  <c r="A1801" i="1"/>
  <c r="B1801" i="1"/>
  <c r="A1802" i="1"/>
  <c r="B1802" i="1"/>
  <c r="A1803" i="1"/>
  <c r="B1803" i="1"/>
  <c r="A1804" i="1"/>
  <c r="B1804" i="1"/>
  <c r="A1805" i="1"/>
  <c r="B1805" i="1"/>
  <c r="A1806" i="1"/>
  <c r="B1806" i="1"/>
  <c r="A1807" i="1"/>
  <c r="B1807" i="1"/>
  <c r="A1808" i="1"/>
  <c r="B1808" i="1"/>
  <c r="A1809" i="1"/>
  <c r="B1809" i="1"/>
  <c r="A1810" i="1"/>
  <c r="B1810" i="1"/>
  <c r="A1811" i="1"/>
  <c r="B1811" i="1"/>
  <c r="A1812" i="1"/>
  <c r="B1812" i="1"/>
  <c r="A1813" i="1"/>
  <c r="B1813" i="1"/>
  <c r="A1814" i="1"/>
  <c r="B1814" i="1"/>
  <c r="A1815" i="1"/>
  <c r="B1815" i="1"/>
  <c r="A1816" i="1"/>
  <c r="B1816" i="1"/>
  <c r="A1817" i="1"/>
  <c r="B1817" i="1"/>
  <c r="A1818" i="1"/>
  <c r="B1818" i="1"/>
  <c r="A1819" i="1"/>
  <c r="B1819" i="1"/>
  <c r="A1820" i="1"/>
  <c r="B1820" i="1"/>
  <c r="A1821" i="1"/>
  <c r="B1821" i="1"/>
  <c r="A1822" i="1"/>
  <c r="B1822" i="1"/>
  <c r="A1823" i="1"/>
  <c r="B1823" i="1"/>
  <c r="A1824" i="1"/>
  <c r="B1824" i="1"/>
  <c r="A1825" i="1"/>
  <c r="B1825" i="1"/>
  <c r="A1826" i="1"/>
  <c r="B1826" i="1"/>
  <c r="A1827" i="1"/>
  <c r="B1827" i="1"/>
  <c r="A1828" i="1"/>
  <c r="B1828" i="1"/>
  <c r="A1829" i="1"/>
  <c r="B1829" i="1"/>
  <c r="A1830" i="1"/>
  <c r="B1830" i="1"/>
  <c r="A1831" i="1"/>
  <c r="B1831" i="1"/>
  <c r="A1832" i="1"/>
  <c r="B1832" i="1"/>
  <c r="A1833" i="1"/>
  <c r="B1833" i="1"/>
  <c r="A1834" i="1"/>
  <c r="B1834" i="1"/>
  <c r="A1835" i="1"/>
  <c r="B1835" i="1"/>
  <c r="A1836" i="1"/>
  <c r="B1836" i="1"/>
  <c r="A1837" i="1"/>
  <c r="B1837" i="1"/>
  <c r="A1838" i="1"/>
  <c r="B1838" i="1"/>
  <c r="A1839" i="1"/>
  <c r="B1839" i="1"/>
  <c r="A1840" i="1"/>
  <c r="B1840" i="1"/>
  <c r="A1841" i="1"/>
  <c r="B1841" i="1"/>
  <c r="A1842" i="1"/>
  <c r="B1842" i="1"/>
  <c r="A1843" i="1"/>
  <c r="B1843" i="1"/>
  <c r="A1844" i="1"/>
  <c r="B1844" i="1"/>
  <c r="A1845" i="1"/>
  <c r="B1845" i="1"/>
  <c r="A1846" i="1"/>
  <c r="B1846" i="1"/>
  <c r="A1847" i="1"/>
  <c r="B1847" i="1"/>
  <c r="A1848" i="1"/>
  <c r="B1848" i="1"/>
  <c r="A1849" i="1"/>
  <c r="B1849" i="1"/>
  <c r="A1850" i="1"/>
  <c r="B1850" i="1"/>
  <c r="A1851" i="1"/>
  <c r="B1851" i="1"/>
  <c r="A1852" i="1"/>
  <c r="B1852" i="1"/>
  <c r="A1853" i="1"/>
  <c r="B1853" i="1"/>
  <c r="A1854" i="1"/>
  <c r="B1854" i="1"/>
  <c r="A1855" i="1"/>
  <c r="B1855" i="1"/>
  <c r="A1856" i="1"/>
  <c r="B1856" i="1"/>
  <c r="A1857" i="1"/>
  <c r="B1857" i="1"/>
  <c r="A1858" i="1"/>
  <c r="B1858" i="1"/>
  <c r="A1859" i="1"/>
  <c r="B1859" i="1"/>
  <c r="A1860" i="1"/>
  <c r="B1860" i="1"/>
  <c r="A1861" i="1"/>
  <c r="B1861" i="1"/>
  <c r="A1862" i="1"/>
  <c r="B1862" i="1"/>
  <c r="A1863" i="1"/>
  <c r="B1863" i="1"/>
  <c r="A1864" i="1"/>
  <c r="B1864" i="1"/>
  <c r="A1865" i="1"/>
  <c r="B1865" i="1"/>
  <c r="A1866" i="1"/>
  <c r="B1866" i="1"/>
  <c r="A1867" i="1"/>
  <c r="B1867" i="1"/>
  <c r="A1868" i="1"/>
  <c r="B1868" i="1"/>
  <c r="A1869" i="1"/>
  <c r="B1869" i="1"/>
  <c r="A1870" i="1"/>
  <c r="B1870" i="1"/>
  <c r="A1871" i="1"/>
  <c r="B1871" i="1"/>
  <c r="A1872" i="1"/>
  <c r="B1872" i="1"/>
  <c r="A1873" i="1"/>
  <c r="B1873" i="1"/>
  <c r="A1874" i="1"/>
  <c r="B1874" i="1"/>
  <c r="A1875" i="1"/>
  <c r="B1875" i="1"/>
  <c r="A1876" i="1"/>
  <c r="B1876" i="1"/>
  <c r="A1877" i="1"/>
  <c r="B1877" i="1"/>
  <c r="A1878" i="1"/>
  <c r="B1878" i="1"/>
  <c r="A1879" i="1"/>
  <c r="B1879" i="1"/>
  <c r="A1880" i="1"/>
  <c r="B1880" i="1"/>
  <c r="A1881" i="1"/>
  <c r="B1881" i="1"/>
  <c r="A1882" i="1"/>
  <c r="B1882" i="1"/>
  <c r="A1883" i="1"/>
  <c r="B1883" i="1"/>
  <c r="A1884" i="1"/>
  <c r="B1884" i="1"/>
  <c r="A1885" i="1"/>
  <c r="B1885" i="1"/>
  <c r="A1886" i="1"/>
  <c r="B1886" i="1"/>
  <c r="A1887" i="1"/>
  <c r="B1887" i="1"/>
  <c r="A1888" i="1"/>
  <c r="B1888" i="1"/>
  <c r="A1889" i="1"/>
  <c r="B1889" i="1"/>
  <c r="A1890" i="1"/>
  <c r="B1890" i="1"/>
  <c r="A1891" i="1"/>
  <c r="B1891" i="1"/>
  <c r="A1892" i="1"/>
  <c r="B1892" i="1"/>
  <c r="A1893" i="1"/>
  <c r="B1893" i="1"/>
  <c r="A1894" i="1"/>
  <c r="B1894" i="1"/>
  <c r="A1895" i="1"/>
  <c r="B1895" i="1"/>
  <c r="A1896" i="1"/>
  <c r="B1896" i="1"/>
  <c r="A1897" i="1"/>
  <c r="B1897" i="1"/>
  <c r="A1898" i="1"/>
  <c r="B1898" i="1"/>
  <c r="A1899" i="1"/>
  <c r="B1899" i="1"/>
  <c r="A1900" i="1"/>
  <c r="B1900" i="1"/>
  <c r="A1901" i="1"/>
  <c r="B1901" i="1"/>
  <c r="A1902" i="1"/>
  <c r="B1902" i="1"/>
  <c r="A1903" i="1"/>
  <c r="B1903" i="1"/>
  <c r="A1904" i="1"/>
  <c r="B1904" i="1"/>
  <c r="A1905" i="1"/>
  <c r="B1905" i="1"/>
  <c r="A1906" i="1"/>
  <c r="B1906" i="1"/>
  <c r="A1907" i="1"/>
  <c r="B1907" i="1"/>
  <c r="A1908" i="1"/>
  <c r="B1908" i="1"/>
  <c r="A1909" i="1"/>
  <c r="B1909" i="1"/>
  <c r="A1910" i="1"/>
  <c r="B1910" i="1"/>
  <c r="A1911" i="1"/>
  <c r="B1911" i="1"/>
  <c r="A1912" i="1"/>
  <c r="B1912" i="1"/>
  <c r="A1913" i="1"/>
  <c r="B1913" i="1"/>
  <c r="A1914" i="1"/>
  <c r="B1914" i="1"/>
  <c r="A1915" i="1"/>
  <c r="B1915" i="1"/>
  <c r="A1916" i="1"/>
  <c r="B1916" i="1"/>
  <c r="A1917" i="1"/>
  <c r="B1917" i="1"/>
  <c r="A1918" i="1"/>
  <c r="B1918" i="1"/>
  <c r="A1919" i="1"/>
  <c r="B1919" i="1"/>
  <c r="A1920" i="1"/>
  <c r="B1920" i="1"/>
  <c r="A1921" i="1"/>
  <c r="B1921" i="1"/>
  <c r="A1922" i="1"/>
  <c r="B1922" i="1"/>
  <c r="A1923" i="1"/>
  <c r="B1923" i="1"/>
  <c r="A1924" i="1"/>
  <c r="B1924" i="1"/>
  <c r="A1925" i="1"/>
  <c r="B1925" i="1"/>
  <c r="A1926" i="1"/>
  <c r="B1926" i="1"/>
  <c r="A1927" i="1"/>
  <c r="B1927" i="1"/>
  <c r="A1928" i="1"/>
  <c r="B1928" i="1"/>
  <c r="A1929" i="1"/>
  <c r="B1929" i="1"/>
  <c r="A1930" i="1"/>
  <c r="B1930" i="1"/>
  <c r="A1931" i="1"/>
  <c r="B1931" i="1"/>
  <c r="A1932" i="1"/>
  <c r="B1932" i="1"/>
  <c r="A1933" i="1"/>
  <c r="B1933" i="1"/>
  <c r="A1934" i="1"/>
  <c r="B1934" i="1"/>
  <c r="A1935" i="1"/>
  <c r="B1935" i="1"/>
  <c r="A1936" i="1"/>
  <c r="B1936" i="1"/>
  <c r="A1937" i="1"/>
  <c r="B1937" i="1"/>
  <c r="A1938" i="1"/>
  <c r="B1938" i="1"/>
  <c r="A1939" i="1"/>
  <c r="B1939" i="1"/>
  <c r="A1940" i="1"/>
  <c r="B1940" i="1"/>
  <c r="A1941" i="1"/>
  <c r="B1941" i="1"/>
  <c r="A1942" i="1"/>
  <c r="B1942" i="1"/>
  <c r="A1943" i="1"/>
  <c r="B1943" i="1"/>
  <c r="A1944" i="1"/>
  <c r="B1944" i="1"/>
  <c r="A1945" i="1"/>
  <c r="B1945" i="1"/>
  <c r="A1946" i="1"/>
  <c r="B1946" i="1"/>
  <c r="A1947" i="1"/>
  <c r="B1947" i="1"/>
  <c r="A1948" i="1"/>
  <c r="B1948" i="1"/>
  <c r="A1949" i="1"/>
  <c r="B1949" i="1"/>
  <c r="A1950" i="1"/>
  <c r="B1950" i="1"/>
  <c r="A1951" i="1"/>
  <c r="B1951" i="1"/>
  <c r="A1952" i="1"/>
  <c r="B1952" i="1"/>
  <c r="A1953" i="1"/>
  <c r="B1953" i="1"/>
  <c r="A1954" i="1"/>
  <c r="B1954" i="1"/>
  <c r="A1955" i="1"/>
  <c r="B1955" i="1"/>
  <c r="A1956" i="1"/>
  <c r="B1956" i="1"/>
  <c r="A1957" i="1"/>
  <c r="B1957" i="1"/>
  <c r="A1958" i="1"/>
  <c r="B1958" i="1"/>
  <c r="A1959" i="1"/>
  <c r="B1959" i="1"/>
  <c r="A1960" i="1"/>
  <c r="B1960" i="1"/>
  <c r="A1961" i="1"/>
  <c r="B1961" i="1"/>
  <c r="A1962" i="1"/>
  <c r="B1962" i="1"/>
  <c r="A1963" i="1"/>
  <c r="B1963" i="1"/>
  <c r="A1964" i="1"/>
  <c r="B1964" i="1"/>
  <c r="A1965" i="1"/>
  <c r="B1965" i="1"/>
  <c r="A1966" i="1"/>
  <c r="B1966" i="1"/>
  <c r="A1967" i="1"/>
  <c r="B1967" i="1"/>
  <c r="A1968" i="1"/>
  <c r="B1968" i="1"/>
  <c r="A1969" i="1"/>
  <c r="B1969" i="1"/>
  <c r="A1970" i="1"/>
  <c r="B1970" i="1"/>
  <c r="A1971" i="1"/>
  <c r="B1971" i="1"/>
  <c r="A1972" i="1"/>
  <c r="B1972" i="1"/>
  <c r="A1973" i="1"/>
  <c r="B1973" i="1"/>
  <c r="A1974" i="1"/>
  <c r="B1974" i="1"/>
  <c r="A1975" i="1"/>
  <c r="B1975" i="1"/>
  <c r="A1976" i="1"/>
  <c r="B1976" i="1"/>
  <c r="A1977" i="1"/>
  <c r="B1977" i="1"/>
  <c r="A1978" i="1"/>
  <c r="B1978" i="1"/>
  <c r="A1979" i="1"/>
  <c r="B1979" i="1"/>
  <c r="A1980" i="1"/>
  <c r="B1980" i="1"/>
  <c r="A1981" i="1"/>
  <c r="B1981" i="1"/>
  <c r="A1982" i="1"/>
  <c r="B1982" i="1"/>
  <c r="A1983" i="1"/>
  <c r="B1983" i="1"/>
  <c r="A1984" i="1"/>
  <c r="B1984" i="1"/>
  <c r="A1985" i="1"/>
  <c r="B1985" i="1"/>
  <c r="A1986" i="1"/>
  <c r="B1986" i="1"/>
  <c r="A1987" i="1"/>
  <c r="B1987" i="1"/>
  <c r="A1988" i="1"/>
  <c r="B1988" i="1"/>
  <c r="A1989" i="1"/>
  <c r="B1989" i="1"/>
  <c r="A1990" i="1"/>
  <c r="B1990" i="1"/>
  <c r="A1991" i="1"/>
  <c r="B1991" i="1"/>
  <c r="A1992" i="1"/>
  <c r="B1992" i="1"/>
  <c r="A1993" i="1"/>
  <c r="B1993" i="1"/>
  <c r="A1994" i="1"/>
  <c r="B1994" i="1"/>
  <c r="A1995" i="1"/>
  <c r="B1995" i="1"/>
  <c r="A1996" i="1"/>
  <c r="B1996" i="1"/>
  <c r="A1997" i="1"/>
  <c r="B1997" i="1"/>
  <c r="A1998" i="1"/>
  <c r="B1998" i="1"/>
  <c r="A1999" i="1"/>
  <c r="B1999" i="1"/>
  <c r="A2000" i="1"/>
  <c r="B2000" i="1"/>
  <c r="A2001" i="1"/>
  <c r="B2001" i="1"/>
  <c r="A2002" i="1"/>
  <c r="B2002" i="1"/>
  <c r="A2003" i="1"/>
  <c r="B2003" i="1"/>
  <c r="A2004" i="1"/>
  <c r="B2004" i="1"/>
  <c r="A2005" i="1"/>
  <c r="B2005" i="1"/>
  <c r="A2006" i="1"/>
  <c r="B2006" i="1"/>
  <c r="A2007" i="1"/>
  <c r="B2007" i="1"/>
  <c r="A2008" i="1"/>
  <c r="B2008" i="1"/>
  <c r="A2009" i="1"/>
  <c r="B2009" i="1"/>
  <c r="A2010" i="1"/>
  <c r="B2010" i="1"/>
  <c r="A2011" i="1"/>
  <c r="B2011" i="1"/>
  <c r="A2012" i="1"/>
  <c r="B2012" i="1"/>
  <c r="A2013" i="1"/>
  <c r="B2013" i="1"/>
  <c r="A2014" i="1"/>
  <c r="B2014" i="1"/>
  <c r="A2015" i="1"/>
  <c r="B2015" i="1"/>
  <c r="A2016" i="1"/>
  <c r="B2016" i="1"/>
  <c r="A2017" i="1"/>
  <c r="B2017" i="1"/>
  <c r="A2018" i="1"/>
  <c r="B2018" i="1"/>
  <c r="A2019" i="1"/>
  <c r="B2019" i="1"/>
  <c r="A2020" i="1"/>
  <c r="B2020" i="1"/>
  <c r="A2021" i="1"/>
  <c r="B2021" i="1"/>
  <c r="A2022" i="1"/>
  <c r="B2022" i="1"/>
  <c r="A2023" i="1"/>
  <c r="B2023" i="1"/>
  <c r="A2024" i="1"/>
  <c r="B2024" i="1"/>
  <c r="A2025" i="1"/>
  <c r="B2025" i="1"/>
  <c r="A2026" i="1"/>
  <c r="B2026" i="1"/>
  <c r="A2027" i="1"/>
  <c r="B2027" i="1"/>
  <c r="A2028" i="1"/>
  <c r="B2028" i="1"/>
  <c r="A2029" i="1"/>
  <c r="B2029" i="1"/>
  <c r="A2030" i="1"/>
  <c r="B2030" i="1"/>
  <c r="A2031" i="1"/>
  <c r="B2031" i="1"/>
  <c r="A2032" i="1"/>
  <c r="B2032" i="1"/>
  <c r="A2033" i="1"/>
  <c r="B2033" i="1"/>
  <c r="A2034" i="1"/>
  <c r="B2034" i="1"/>
  <c r="A2035" i="1"/>
  <c r="B2035" i="1"/>
  <c r="A2036" i="1"/>
  <c r="B2036" i="1"/>
  <c r="A2037" i="1"/>
  <c r="B2037" i="1"/>
  <c r="A2038" i="1"/>
  <c r="B2038" i="1"/>
  <c r="A2039" i="1"/>
  <c r="B2039" i="1"/>
  <c r="A2040" i="1"/>
  <c r="B2040" i="1"/>
  <c r="A2041" i="1"/>
  <c r="B2041" i="1"/>
  <c r="A2042" i="1"/>
  <c r="B2042" i="1"/>
  <c r="A2043" i="1"/>
  <c r="B2043" i="1"/>
  <c r="A2044" i="1"/>
  <c r="B2044" i="1"/>
  <c r="A2045" i="1"/>
  <c r="B2045" i="1"/>
  <c r="A2046" i="1"/>
  <c r="B2046" i="1"/>
  <c r="A2047" i="1"/>
  <c r="B2047" i="1"/>
  <c r="A2048" i="1"/>
  <c r="B2048" i="1"/>
  <c r="A2049" i="1"/>
  <c r="B2049" i="1"/>
  <c r="A2050" i="1"/>
  <c r="B2050" i="1"/>
  <c r="A2051" i="1"/>
  <c r="B2051" i="1"/>
  <c r="A2052" i="1"/>
  <c r="B2052" i="1"/>
  <c r="A2053" i="1"/>
  <c r="B2053" i="1"/>
  <c r="A2054" i="1"/>
  <c r="B2054" i="1"/>
  <c r="A2055" i="1"/>
  <c r="B2055" i="1"/>
  <c r="A2056" i="1"/>
  <c r="B2056" i="1"/>
  <c r="A2057" i="1"/>
  <c r="B2057" i="1"/>
  <c r="A2058" i="1"/>
  <c r="B2058" i="1"/>
  <c r="A2059" i="1"/>
  <c r="B2059" i="1"/>
  <c r="A2060" i="1"/>
  <c r="B2060" i="1"/>
  <c r="A2061" i="1"/>
  <c r="B2061" i="1"/>
  <c r="A2062" i="1"/>
  <c r="B2062" i="1"/>
  <c r="A2063" i="1"/>
  <c r="B2063" i="1"/>
  <c r="A2064" i="1"/>
  <c r="B2064" i="1"/>
  <c r="A2065" i="1"/>
  <c r="B2065" i="1"/>
  <c r="A2066" i="1"/>
  <c r="B2066" i="1"/>
  <c r="A2067" i="1"/>
  <c r="B2067" i="1"/>
  <c r="A2068" i="1"/>
  <c r="B2068" i="1"/>
  <c r="A2069" i="1"/>
  <c r="B2069" i="1"/>
  <c r="A2070" i="1"/>
  <c r="B2070" i="1"/>
  <c r="A2071" i="1"/>
  <c r="B2071" i="1"/>
  <c r="A2072" i="1"/>
  <c r="B2072" i="1"/>
  <c r="A2073" i="1"/>
  <c r="B2073" i="1"/>
  <c r="A2074" i="1"/>
  <c r="B2074" i="1"/>
  <c r="A2075" i="1"/>
  <c r="B2075" i="1"/>
  <c r="A2076" i="1"/>
  <c r="B2076" i="1"/>
  <c r="A2077" i="1"/>
  <c r="B2077" i="1"/>
  <c r="A2078" i="1"/>
  <c r="B2078" i="1"/>
  <c r="A2079" i="1"/>
  <c r="B2079" i="1"/>
  <c r="A2080" i="1"/>
  <c r="B2080" i="1"/>
  <c r="A2081" i="1"/>
  <c r="B2081" i="1"/>
  <c r="A2082" i="1"/>
  <c r="B2082" i="1"/>
  <c r="A2083" i="1"/>
  <c r="B2083" i="1"/>
  <c r="A2084" i="1"/>
  <c r="B2084" i="1"/>
  <c r="A2085" i="1"/>
  <c r="B2085" i="1"/>
  <c r="A2086" i="1"/>
  <c r="B2086" i="1"/>
  <c r="A2087" i="1"/>
  <c r="B2087" i="1"/>
  <c r="A2088" i="1"/>
  <c r="B2088" i="1"/>
  <c r="A2089" i="1"/>
  <c r="B2089" i="1"/>
  <c r="A2090" i="1"/>
  <c r="B2090" i="1"/>
  <c r="A2091" i="1"/>
  <c r="B2091" i="1"/>
  <c r="A2092" i="1"/>
  <c r="B2092" i="1"/>
  <c r="A2093" i="1"/>
  <c r="B2093" i="1"/>
  <c r="A2094" i="1"/>
  <c r="B2094" i="1"/>
  <c r="A2095" i="1"/>
  <c r="B2095" i="1"/>
  <c r="A2096" i="1"/>
  <c r="B2096" i="1"/>
  <c r="A2097" i="1"/>
  <c r="B2097" i="1"/>
  <c r="A2098" i="1"/>
  <c r="B2098" i="1"/>
  <c r="A2099" i="1"/>
  <c r="B2099" i="1"/>
  <c r="A2100" i="1"/>
  <c r="B2100" i="1"/>
  <c r="A2101" i="1"/>
  <c r="B2101" i="1"/>
  <c r="A2102" i="1"/>
  <c r="B2102" i="1"/>
  <c r="A2103" i="1"/>
  <c r="B2103" i="1"/>
  <c r="A2104" i="1"/>
  <c r="B2104" i="1"/>
  <c r="A2105" i="1"/>
  <c r="B2105" i="1"/>
  <c r="A2106" i="1"/>
  <c r="B2106" i="1"/>
  <c r="A2107" i="1"/>
  <c r="B2107" i="1"/>
  <c r="A2108" i="1"/>
  <c r="B2108" i="1"/>
  <c r="A2109" i="1"/>
  <c r="B2109" i="1"/>
  <c r="A2110" i="1"/>
  <c r="B2110" i="1"/>
  <c r="A2111" i="1"/>
  <c r="B2111" i="1"/>
  <c r="A2112" i="1"/>
  <c r="B2112" i="1"/>
  <c r="A2113" i="1"/>
  <c r="B2113" i="1"/>
  <c r="A2114" i="1"/>
  <c r="B2114" i="1"/>
  <c r="A2115" i="1"/>
  <c r="B2115" i="1"/>
  <c r="A2116" i="1"/>
  <c r="B2116" i="1"/>
  <c r="A2117" i="1"/>
  <c r="B2117" i="1"/>
  <c r="A2118" i="1"/>
  <c r="B2118" i="1"/>
  <c r="A2119" i="1"/>
  <c r="B2119" i="1"/>
  <c r="A2120" i="1"/>
  <c r="B2120" i="1"/>
  <c r="A2121" i="1"/>
  <c r="B2121" i="1"/>
  <c r="A2122" i="1"/>
  <c r="B2122" i="1"/>
  <c r="A2123" i="1"/>
  <c r="B2123" i="1"/>
  <c r="A2124" i="1"/>
  <c r="B2124" i="1"/>
  <c r="A2125" i="1"/>
  <c r="B2125" i="1"/>
  <c r="A2126" i="1"/>
  <c r="B2126" i="1"/>
  <c r="A2127" i="1"/>
  <c r="B2127" i="1"/>
  <c r="A2128" i="1"/>
  <c r="B2128" i="1"/>
  <c r="A2129" i="1"/>
  <c r="B2129" i="1"/>
  <c r="A2130" i="1"/>
  <c r="B2130" i="1"/>
  <c r="A2131" i="1"/>
  <c r="B2131" i="1"/>
  <c r="A2132" i="1"/>
  <c r="B2132" i="1"/>
  <c r="A2133" i="1"/>
  <c r="B2133" i="1"/>
  <c r="A2134" i="1"/>
  <c r="B2134" i="1"/>
  <c r="A2135" i="1"/>
  <c r="B2135" i="1"/>
  <c r="A2136" i="1"/>
  <c r="B2136" i="1"/>
  <c r="A2137" i="1"/>
  <c r="B2137" i="1"/>
  <c r="A2138" i="1"/>
  <c r="B2138" i="1"/>
  <c r="A2139" i="1"/>
  <c r="B2139" i="1"/>
  <c r="A2140" i="1"/>
  <c r="B2140" i="1"/>
  <c r="A2141" i="1"/>
  <c r="B2141" i="1"/>
  <c r="A2142" i="1"/>
  <c r="B2142" i="1"/>
  <c r="A2143" i="1"/>
  <c r="B2143" i="1"/>
  <c r="A2144" i="1"/>
  <c r="B2144" i="1"/>
  <c r="A2145" i="1"/>
  <c r="B2145" i="1"/>
  <c r="A2146" i="1"/>
  <c r="B2146" i="1"/>
  <c r="A2147" i="1"/>
  <c r="B2147" i="1"/>
  <c r="A2148" i="1"/>
  <c r="B2148" i="1"/>
  <c r="A2149" i="1"/>
  <c r="B2149" i="1"/>
  <c r="A2150" i="1"/>
  <c r="B2150" i="1"/>
  <c r="A2151" i="1"/>
  <c r="B2151" i="1"/>
  <c r="A2152" i="1"/>
  <c r="B2152" i="1"/>
  <c r="A2153" i="1"/>
  <c r="B2153" i="1"/>
  <c r="A2154" i="1"/>
  <c r="B2154" i="1"/>
  <c r="A2155" i="1"/>
  <c r="B2155" i="1"/>
  <c r="A2156" i="1"/>
  <c r="B2156" i="1"/>
  <c r="A2157" i="1"/>
  <c r="B2157" i="1"/>
  <c r="A2158" i="1"/>
  <c r="B2158" i="1"/>
  <c r="A2159" i="1"/>
  <c r="B2159" i="1"/>
  <c r="A2160" i="1"/>
  <c r="B2160" i="1"/>
  <c r="A2161" i="1"/>
  <c r="B2161" i="1"/>
  <c r="A2162" i="1"/>
  <c r="B2162" i="1"/>
  <c r="A2163" i="1"/>
  <c r="B2163" i="1"/>
  <c r="A2164" i="1"/>
  <c r="B2164" i="1"/>
  <c r="A2165" i="1"/>
  <c r="B2165" i="1"/>
  <c r="A2166" i="1"/>
  <c r="B2166" i="1"/>
  <c r="A2167" i="1"/>
  <c r="B2167" i="1"/>
  <c r="A2168" i="1"/>
  <c r="B2168" i="1"/>
  <c r="A2169" i="1"/>
  <c r="B2169" i="1"/>
  <c r="A2170" i="1"/>
  <c r="B2170" i="1"/>
  <c r="A2171" i="1"/>
  <c r="B2171" i="1"/>
  <c r="A2172" i="1"/>
  <c r="B2172" i="1"/>
  <c r="A2173" i="1"/>
  <c r="B2173" i="1"/>
  <c r="A2174" i="1"/>
  <c r="B2174" i="1"/>
  <c r="A2175" i="1"/>
  <c r="B2175" i="1"/>
  <c r="A2176" i="1"/>
  <c r="B2176" i="1"/>
  <c r="A2177" i="1"/>
  <c r="B2177" i="1"/>
  <c r="A2178" i="1"/>
  <c r="B2178" i="1"/>
  <c r="A2179" i="1"/>
  <c r="B2179" i="1"/>
  <c r="A2180" i="1"/>
  <c r="B2180" i="1"/>
  <c r="A2181" i="1"/>
  <c r="B2181" i="1"/>
  <c r="A2182" i="1"/>
  <c r="B2182" i="1"/>
  <c r="A2183" i="1"/>
  <c r="B2183" i="1"/>
  <c r="A2184" i="1"/>
  <c r="B2184" i="1"/>
  <c r="A2185" i="1"/>
  <c r="B2185" i="1"/>
  <c r="A2186" i="1"/>
  <c r="B2186" i="1"/>
  <c r="A2187" i="1"/>
  <c r="B2187" i="1"/>
  <c r="A2188" i="1"/>
  <c r="B2188" i="1"/>
  <c r="A2189" i="1"/>
  <c r="B2189" i="1"/>
  <c r="A2190" i="1"/>
  <c r="B2190" i="1"/>
  <c r="A2191" i="1"/>
  <c r="B2191" i="1"/>
  <c r="A2192" i="1"/>
  <c r="B2192" i="1"/>
  <c r="A2193" i="1"/>
  <c r="B2193" i="1"/>
  <c r="A2194" i="1"/>
  <c r="B2194" i="1"/>
  <c r="A2195" i="1"/>
  <c r="B2195" i="1"/>
  <c r="A2196" i="1"/>
  <c r="B2196" i="1"/>
  <c r="A2197" i="1"/>
  <c r="B2197" i="1"/>
  <c r="A2198" i="1"/>
  <c r="B2198" i="1"/>
  <c r="A2199" i="1"/>
  <c r="B2199" i="1"/>
  <c r="A2200" i="1"/>
  <c r="B2200" i="1"/>
  <c r="A2201" i="1"/>
  <c r="B2201" i="1"/>
  <c r="A2202" i="1"/>
  <c r="B2202" i="1"/>
  <c r="A2203" i="1"/>
  <c r="B2203" i="1"/>
  <c r="A2204" i="1"/>
  <c r="B2204" i="1"/>
  <c r="A2205" i="1"/>
  <c r="B2205" i="1"/>
  <c r="A2206" i="1"/>
  <c r="B2206" i="1"/>
  <c r="A2207" i="1"/>
  <c r="B2207" i="1"/>
  <c r="A2208" i="1"/>
  <c r="B2208" i="1"/>
  <c r="A2209" i="1"/>
  <c r="B2209" i="1"/>
  <c r="A2210" i="1"/>
  <c r="B2210" i="1"/>
  <c r="A2211" i="1"/>
  <c r="B2211" i="1"/>
  <c r="A2212" i="1"/>
  <c r="B2212" i="1"/>
  <c r="A2213" i="1"/>
  <c r="B2213" i="1"/>
  <c r="A2214" i="1"/>
  <c r="B2214" i="1"/>
  <c r="A2215" i="1"/>
  <c r="B2215" i="1"/>
  <c r="A2216" i="1"/>
  <c r="B2216" i="1"/>
  <c r="A2217" i="1"/>
  <c r="B2217" i="1"/>
  <c r="A2218" i="1"/>
  <c r="B2218" i="1"/>
  <c r="A2219" i="1"/>
  <c r="B2219" i="1"/>
  <c r="A2220" i="1"/>
  <c r="B2220" i="1"/>
  <c r="A2221" i="1"/>
  <c r="B2221" i="1"/>
  <c r="A2222" i="1"/>
  <c r="B2222" i="1"/>
  <c r="A2223" i="1"/>
  <c r="B2223" i="1"/>
  <c r="A2224" i="1"/>
  <c r="B2224" i="1"/>
  <c r="A2225" i="1"/>
  <c r="B2225" i="1"/>
  <c r="A2226" i="1"/>
  <c r="B2226" i="1"/>
  <c r="A2227" i="1"/>
  <c r="B2227" i="1"/>
  <c r="A2228" i="1"/>
  <c r="B2228" i="1"/>
  <c r="A2229" i="1"/>
  <c r="B2229" i="1"/>
  <c r="A2230" i="1"/>
  <c r="B2230" i="1"/>
  <c r="A2231" i="1"/>
  <c r="B2231" i="1"/>
  <c r="A2232" i="1"/>
  <c r="B2232" i="1"/>
  <c r="A2233" i="1"/>
  <c r="B2233" i="1"/>
  <c r="A2234" i="1"/>
  <c r="B2234" i="1"/>
  <c r="A2235" i="1"/>
  <c r="B2235" i="1"/>
  <c r="A2236" i="1"/>
  <c r="B2236" i="1"/>
  <c r="A2237" i="1"/>
  <c r="B2237" i="1"/>
  <c r="A2238" i="1"/>
  <c r="B2238" i="1"/>
  <c r="A2239" i="1"/>
  <c r="B2239" i="1"/>
  <c r="A2240" i="1"/>
  <c r="B2240" i="1"/>
  <c r="A2241" i="1"/>
  <c r="B2241" i="1"/>
  <c r="A2242" i="1"/>
  <c r="B2242" i="1"/>
  <c r="A2243" i="1"/>
  <c r="B2243" i="1"/>
  <c r="A2244" i="1"/>
  <c r="B2244" i="1"/>
  <c r="A2245" i="1"/>
  <c r="B2245" i="1"/>
  <c r="A2246" i="1"/>
  <c r="B2246" i="1"/>
  <c r="A2247" i="1"/>
  <c r="B2247" i="1"/>
  <c r="A2248" i="1"/>
  <c r="B2248" i="1"/>
  <c r="A2249" i="1"/>
  <c r="B2249" i="1"/>
  <c r="A2250" i="1"/>
  <c r="B2250" i="1"/>
  <c r="A2251" i="1"/>
  <c r="B2251" i="1"/>
  <c r="A2252" i="1"/>
  <c r="B2252" i="1"/>
  <c r="A2253" i="1"/>
  <c r="B2253" i="1"/>
  <c r="A2254" i="1"/>
  <c r="B2254" i="1"/>
  <c r="A2255" i="1"/>
  <c r="B2255" i="1"/>
  <c r="A2256" i="1"/>
  <c r="B2256" i="1"/>
  <c r="A2257" i="1"/>
  <c r="B2257" i="1"/>
  <c r="A2258" i="1"/>
  <c r="B2258" i="1"/>
  <c r="A2259" i="1"/>
  <c r="B2259" i="1"/>
  <c r="A2260" i="1"/>
  <c r="B2260" i="1"/>
  <c r="A2261" i="1"/>
  <c r="B2261" i="1"/>
  <c r="A2262" i="1"/>
  <c r="B2262" i="1"/>
  <c r="A2263" i="1"/>
  <c r="B2263" i="1"/>
  <c r="A2264" i="1"/>
  <c r="B2264" i="1"/>
  <c r="A2265" i="1"/>
  <c r="B2265" i="1"/>
  <c r="A2266" i="1"/>
  <c r="B2266" i="1"/>
  <c r="A2267" i="1"/>
  <c r="B2267" i="1"/>
  <c r="A2268" i="1"/>
  <c r="B2268" i="1"/>
  <c r="A2269" i="1"/>
  <c r="B2269" i="1"/>
  <c r="A2270" i="1"/>
  <c r="B2270" i="1"/>
  <c r="A2271" i="1"/>
  <c r="B2271" i="1"/>
  <c r="A2272" i="1"/>
  <c r="B2272" i="1"/>
  <c r="A2273" i="1"/>
  <c r="B2273" i="1"/>
  <c r="A2274" i="1"/>
  <c r="B2274" i="1"/>
  <c r="A2275" i="1"/>
  <c r="B2275" i="1"/>
  <c r="A2276" i="1"/>
  <c r="B2276" i="1"/>
  <c r="A2277" i="1"/>
  <c r="B2277" i="1"/>
  <c r="A2278" i="1"/>
  <c r="B2278" i="1"/>
  <c r="A2279" i="1"/>
  <c r="B2279" i="1"/>
  <c r="A2280" i="1"/>
  <c r="B2280" i="1"/>
  <c r="A2281" i="1"/>
  <c r="B2281" i="1"/>
  <c r="A2282" i="1"/>
  <c r="B2282" i="1"/>
  <c r="A2283" i="1"/>
  <c r="B2283" i="1"/>
  <c r="A2284" i="1"/>
  <c r="B2284" i="1"/>
  <c r="A2285" i="1"/>
  <c r="B2285" i="1"/>
  <c r="A2286" i="1"/>
  <c r="B2286" i="1"/>
  <c r="A2287" i="1"/>
  <c r="B2287" i="1"/>
  <c r="A2288" i="1"/>
  <c r="B2288" i="1"/>
  <c r="A2289" i="1"/>
  <c r="B2289" i="1"/>
  <c r="A2290" i="1"/>
  <c r="B2290" i="1"/>
  <c r="A2291" i="1"/>
  <c r="B2291" i="1"/>
  <c r="A2292" i="1"/>
  <c r="B2292" i="1"/>
  <c r="A2293" i="1"/>
  <c r="B2293" i="1"/>
  <c r="A2294" i="1"/>
  <c r="B2294" i="1"/>
  <c r="A2295" i="1"/>
  <c r="B2295" i="1"/>
  <c r="A2296" i="1"/>
  <c r="B2296" i="1"/>
  <c r="A2297" i="1"/>
  <c r="B2297" i="1"/>
  <c r="A2298" i="1"/>
  <c r="B2298" i="1"/>
  <c r="A2299" i="1"/>
  <c r="B2299" i="1"/>
  <c r="A2300" i="1"/>
  <c r="B2300" i="1"/>
  <c r="A2301" i="1"/>
  <c r="B2301" i="1"/>
  <c r="A2302" i="1"/>
  <c r="B2302" i="1"/>
  <c r="A2303" i="1"/>
  <c r="B2303" i="1"/>
  <c r="A2304" i="1"/>
  <c r="B2304" i="1"/>
  <c r="A2305" i="1"/>
  <c r="B2305" i="1"/>
  <c r="A2306" i="1"/>
  <c r="B2306" i="1"/>
  <c r="A2307" i="1"/>
  <c r="B2307" i="1"/>
  <c r="A2308" i="1"/>
  <c r="B2308" i="1"/>
  <c r="A2309" i="1"/>
  <c r="B2309" i="1"/>
  <c r="A2310" i="1"/>
  <c r="B2310" i="1"/>
  <c r="A2311" i="1"/>
  <c r="B2311" i="1"/>
  <c r="A2312" i="1"/>
  <c r="B2312" i="1"/>
  <c r="A2313" i="1"/>
  <c r="B2313" i="1"/>
  <c r="A2314" i="1"/>
  <c r="B2314" i="1"/>
  <c r="A2315" i="1"/>
  <c r="B2315" i="1"/>
  <c r="A2316" i="1"/>
  <c r="B2316" i="1"/>
  <c r="A2317" i="1"/>
  <c r="B2317" i="1"/>
  <c r="A2318" i="1"/>
  <c r="B2318" i="1"/>
  <c r="A2319" i="1"/>
  <c r="B2319" i="1"/>
  <c r="A2320" i="1"/>
  <c r="B2320" i="1"/>
  <c r="A2321" i="1"/>
  <c r="B2321" i="1"/>
  <c r="A2322" i="1"/>
  <c r="B2322" i="1"/>
  <c r="A2323" i="1"/>
  <c r="B2323" i="1"/>
  <c r="A2324" i="1"/>
  <c r="B2324" i="1"/>
  <c r="A2325" i="1"/>
  <c r="B2325" i="1"/>
  <c r="A2326" i="1"/>
  <c r="B2326" i="1"/>
  <c r="A2327" i="1"/>
  <c r="B2327" i="1"/>
  <c r="A2328" i="1"/>
  <c r="B2328" i="1"/>
  <c r="A2329" i="1"/>
  <c r="B2329" i="1"/>
  <c r="A2330" i="1"/>
  <c r="B2330" i="1"/>
  <c r="A2331" i="1"/>
  <c r="B2331" i="1"/>
  <c r="A2332" i="1"/>
  <c r="B2332" i="1"/>
  <c r="A2333" i="1"/>
  <c r="B2333" i="1"/>
  <c r="A2334" i="1"/>
  <c r="B2334" i="1"/>
  <c r="A2335" i="1"/>
  <c r="B2335" i="1"/>
  <c r="A2336" i="1"/>
  <c r="B2336" i="1"/>
  <c r="A2337" i="1"/>
  <c r="B2337" i="1"/>
  <c r="A2338" i="1"/>
  <c r="B2338" i="1"/>
  <c r="A2339" i="1"/>
  <c r="B2339" i="1"/>
  <c r="A2340" i="1"/>
  <c r="B2340" i="1"/>
  <c r="A2341" i="1"/>
  <c r="B2341" i="1"/>
  <c r="A2342" i="1"/>
  <c r="B2342" i="1"/>
  <c r="A2343" i="1"/>
  <c r="B2343" i="1"/>
  <c r="A2344" i="1"/>
  <c r="B2344" i="1"/>
  <c r="A2345" i="1"/>
  <c r="B2345" i="1"/>
  <c r="A2346" i="1"/>
  <c r="B2346" i="1"/>
  <c r="A2347" i="1"/>
  <c r="B2347" i="1"/>
  <c r="A2348" i="1"/>
  <c r="B2348" i="1"/>
  <c r="A2349" i="1"/>
  <c r="B2349" i="1"/>
  <c r="A2350" i="1"/>
  <c r="B2350" i="1"/>
  <c r="A2351" i="1"/>
  <c r="B2351" i="1"/>
  <c r="A2352" i="1"/>
  <c r="B2352" i="1"/>
  <c r="A2353" i="1"/>
  <c r="B2353" i="1"/>
  <c r="A2354" i="1"/>
  <c r="B2354" i="1"/>
  <c r="A2355" i="1"/>
  <c r="B2355" i="1"/>
  <c r="A2356" i="1"/>
  <c r="B2356" i="1"/>
  <c r="A2357" i="1"/>
  <c r="B2357" i="1"/>
  <c r="A2358" i="1"/>
  <c r="B2358" i="1"/>
  <c r="A2359" i="1"/>
  <c r="B2359" i="1"/>
  <c r="A2360" i="1"/>
  <c r="B2360" i="1"/>
  <c r="A2361" i="1"/>
  <c r="B2361" i="1"/>
  <c r="A2362" i="1"/>
  <c r="B2362" i="1"/>
  <c r="A2363" i="1"/>
  <c r="B2363" i="1"/>
  <c r="A2364" i="1"/>
  <c r="B2364" i="1"/>
  <c r="A2365" i="1"/>
  <c r="B2365" i="1"/>
  <c r="A2366" i="1"/>
  <c r="B2366" i="1"/>
  <c r="A2367" i="1"/>
  <c r="B2367" i="1"/>
  <c r="A2368" i="1"/>
  <c r="B2368" i="1"/>
  <c r="A2369" i="1"/>
  <c r="B2369" i="1"/>
  <c r="A2370" i="1"/>
  <c r="B2370" i="1"/>
  <c r="A2371" i="1"/>
  <c r="B2371" i="1"/>
  <c r="A2372" i="1"/>
  <c r="B2372" i="1"/>
  <c r="A2373" i="1"/>
  <c r="B2373" i="1"/>
  <c r="A2374" i="1"/>
  <c r="B2374" i="1"/>
  <c r="A2375" i="1"/>
  <c r="B2375" i="1"/>
  <c r="A2376" i="1"/>
  <c r="B2376" i="1"/>
  <c r="A2377" i="1"/>
  <c r="B2377" i="1"/>
  <c r="A2378" i="1"/>
  <c r="B2378" i="1"/>
  <c r="A2379" i="1"/>
  <c r="B2379" i="1"/>
  <c r="A2380" i="1"/>
  <c r="B2380" i="1"/>
  <c r="A2381" i="1"/>
  <c r="B2381" i="1"/>
  <c r="A2382" i="1"/>
  <c r="B2382" i="1"/>
  <c r="A2383" i="1"/>
  <c r="B2383" i="1"/>
  <c r="A2384" i="1"/>
  <c r="B2384" i="1"/>
  <c r="A2385" i="1"/>
  <c r="B2385" i="1"/>
  <c r="A2386" i="1"/>
  <c r="B2386" i="1"/>
  <c r="A2387" i="1"/>
  <c r="B2387" i="1"/>
  <c r="A2388" i="1"/>
  <c r="B2388" i="1"/>
  <c r="A2389" i="1"/>
  <c r="B2389" i="1"/>
  <c r="A2390" i="1"/>
  <c r="B2390" i="1"/>
  <c r="A2391" i="1"/>
  <c r="B2391" i="1"/>
  <c r="A2392" i="1"/>
  <c r="B2392" i="1"/>
  <c r="A2393" i="1"/>
  <c r="B2393" i="1"/>
  <c r="A2394" i="1"/>
  <c r="B2394" i="1"/>
  <c r="A2395" i="1"/>
  <c r="B2395" i="1"/>
  <c r="A2396" i="1"/>
  <c r="B2396" i="1"/>
  <c r="A2397" i="1"/>
  <c r="B2397" i="1"/>
  <c r="A2398" i="1"/>
  <c r="B2398" i="1"/>
  <c r="A2399" i="1"/>
  <c r="B2399" i="1"/>
  <c r="A2400" i="1"/>
  <c r="B2400" i="1"/>
  <c r="A2401" i="1"/>
  <c r="B2401" i="1"/>
  <c r="A2402" i="1"/>
  <c r="B2402" i="1"/>
  <c r="A2403" i="1"/>
  <c r="B2403" i="1"/>
  <c r="A2404" i="1"/>
  <c r="B2404" i="1"/>
  <c r="A2405" i="1"/>
  <c r="B2405" i="1"/>
  <c r="A2406" i="1"/>
  <c r="B2406" i="1"/>
  <c r="A2407" i="1"/>
  <c r="B2407" i="1"/>
  <c r="A2408" i="1"/>
  <c r="B2408" i="1"/>
  <c r="A2409" i="1"/>
  <c r="B2409" i="1"/>
  <c r="A2410" i="1"/>
  <c r="B2410" i="1"/>
  <c r="A2411" i="1"/>
  <c r="B2411" i="1"/>
  <c r="A2412" i="1"/>
  <c r="B2412" i="1"/>
  <c r="A2413" i="1"/>
  <c r="B2413" i="1"/>
  <c r="A2414" i="1"/>
  <c r="B2414" i="1"/>
  <c r="A2415" i="1"/>
  <c r="B2415" i="1"/>
  <c r="A2416" i="1"/>
  <c r="B2416" i="1"/>
  <c r="A2417" i="1"/>
  <c r="B2417" i="1"/>
  <c r="A2418" i="1"/>
  <c r="B2418" i="1"/>
  <c r="A2419" i="1"/>
  <c r="B2419" i="1"/>
  <c r="A2420" i="1"/>
  <c r="B2420" i="1"/>
  <c r="A2421" i="1"/>
  <c r="B2421" i="1"/>
  <c r="A2422" i="1"/>
  <c r="B2422" i="1"/>
  <c r="A2423" i="1"/>
  <c r="B2423" i="1"/>
  <c r="A2424" i="1"/>
  <c r="B2424" i="1"/>
  <c r="A2425" i="1"/>
  <c r="B2425" i="1"/>
  <c r="A2426" i="1"/>
  <c r="B2426" i="1"/>
  <c r="A2427" i="1"/>
  <c r="B2427" i="1"/>
  <c r="A2428" i="1"/>
  <c r="B2428" i="1"/>
  <c r="A2429" i="1"/>
  <c r="B2429" i="1"/>
  <c r="A2430" i="1"/>
  <c r="B2430" i="1"/>
  <c r="A2431" i="1"/>
  <c r="B2431" i="1"/>
  <c r="A2432" i="1"/>
  <c r="B2432" i="1"/>
  <c r="A2433" i="1"/>
  <c r="B2433" i="1"/>
  <c r="A2434" i="1"/>
  <c r="B2434" i="1"/>
  <c r="A2435" i="1"/>
  <c r="B2435" i="1"/>
  <c r="A2436" i="1"/>
  <c r="B2436" i="1"/>
  <c r="A2437" i="1"/>
  <c r="B2437" i="1"/>
  <c r="A2438" i="1"/>
  <c r="B2438" i="1"/>
  <c r="A2439" i="1"/>
  <c r="B2439" i="1"/>
  <c r="A2440" i="1"/>
  <c r="B2440" i="1"/>
  <c r="A2441" i="1"/>
  <c r="B2441" i="1"/>
  <c r="A2442" i="1"/>
  <c r="B2442" i="1"/>
  <c r="A2443" i="1"/>
  <c r="B2443" i="1"/>
  <c r="A2444" i="1"/>
  <c r="B2444" i="1"/>
  <c r="A2445" i="1"/>
  <c r="B2445" i="1"/>
  <c r="A2446" i="1"/>
  <c r="B2446" i="1"/>
  <c r="A2447" i="1"/>
  <c r="B2447" i="1"/>
  <c r="A2448" i="1"/>
  <c r="B2448" i="1"/>
  <c r="A2449" i="1"/>
  <c r="B2449" i="1"/>
  <c r="A2450" i="1"/>
  <c r="B2450" i="1"/>
  <c r="A2451" i="1"/>
  <c r="B2451" i="1"/>
  <c r="A2452" i="1"/>
  <c r="B2452" i="1"/>
  <c r="A2453" i="1"/>
  <c r="B2453" i="1"/>
  <c r="A2454" i="1"/>
  <c r="B2454" i="1"/>
  <c r="A2455" i="1"/>
  <c r="B2455" i="1"/>
  <c r="A2456" i="1"/>
  <c r="B2456" i="1"/>
  <c r="A2457" i="1"/>
  <c r="B2457" i="1"/>
  <c r="A2458" i="1"/>
  <c r="B2458" i="1"/>
  <c r="A2459" i="1"/>
  <c r="B2459" i="1"/>
  <c r="A2460" i="1"/>
  <c r="B2460" i="1"/>
  <c r="A2461" i="1"/>
  <c r="B2461" i="1"/>
  <c r="A2462" i="1"/>
  <c r="B2462" i="1"/>
  <c r="A2463" i="1"/>
  <c r="B2463" i="1"/>
  <c r="A2464" i="1"/>
  <c r="B2464" i="1"/>
  <c r="A2465" i="1"/>
  <c r="B2465" i="1"/>
  <c r="A2466" i="1"/>
  <c r="B2466" i="1"/>
  <c r="A2467" i="1"/>
  <c r="B2467" i="1"/>
  <c r="A2468" i="1"/>
  <c r="B2468" i="1"/>
  <c r="A2469" i="1"/>
  <c r="B2469" i="1"/>
  <c r="A2470" i="1"/>
  <c r="B2470" i="1"/>
  <c r="A2471" i="1"/>
  <c r="B2471" i="1"/>
  <c r="A2472" i="1"/>
  <c r="B2472" i="1"/>
  <c r="A2473" i="1"/>
  <c r="B2473" i="1"/>
  <c r="A2474" i="1"/>
  <c r="B2474" i="1"/>
  <c r="A2475" i="1"/>
  <c r="B2475" i="1"/>
  <c r="A2476" i="1"/>
  <c r="B2476" i="1"/>
  <c r="A2477" i="1"/>
  <c r="B2477" i="1"/>
  <c r="A2478" i="1"/>
  <c r="B2478" i="1"/>
  <c r="A2479" i="1"/>
  <c r="B2479" i="1"/>
  <c r="A2480" i="1"/>
  <c r="B2480" i="1"/>
  <c r="A2481" i="1"/>
  <c r="B2481" i="1"/>
  <c r="A2482" i="1"/>
  <c r="B2482" i="1"/>
  <c r="A2483" i="1"/>
  <c r="B2483" i="1"/>
  <c r="A2484" i="1"/>
  <c r="B2484" i="1"/>
  <c r="A2485" i="1"/>
  <c r="B2485" i="1"/>
  <c r="A2486" i="1"/>
  <c r="B2486" i="1"/>
  <c r="A2487" i="1"/>
  <c r="B2487" i="1"/>
  <c r="A2488" i="1"/>
  <c r="B2488" i="1"/>
  <c r="A2489" i="1"/>
  <c r="B2489" i="1"/>
  <c r="A2490" i="1"/>
  <c r="B2490" i="1"/>
  <c r="A2491" i="1"/>
  <c r="B2491" i="1"/>
  <c r="A2492" i="1"/>
  <c r="B2492" i="1"/>
  <c r="A2493" i="1"/>
  <c r="B2493" i="1"/>
  <c r="A2494" i="1"/>
  <c r="B2494" i="1"/>
  <c r="A2495" i="1"/>
  <c r="B2495" i="1"/>
  <c r="A2496" i="1"/>
  <c r="B2496" i="1"/>
  <c r="A2497" i="1"/>
  <c r="B2497" i="1"/>
  <c r="A2498" i="1"/>
  <c r="B2498" i="1"/>
  <c r="A2499" i="1"/>
  <c r="B2499" i="1"/>
  <c r="A2500" i="1"/>
  <c r="B2500" i="1"/>
  <c r="A2501" i="1"/>
  <c r="B2501" i="1"/>
  <c r="A2502" i="1"/>
  <c r="B2502" i="1"/>
  <c r="A2503" i="1"/>
  <c r="B2503" i="1"/>
  <c r="A2504" i="1"/>
  <c r="B2504" i="1"/>
  <c r="A2505" i="1"/>
  <c r="B2505" i="1"/>
  <c r="A2506" i="1"/>
  <c r="B2506" i="1"/>
  <c r="A2507" i="1"/>
  <c r="B2507" i="1"/>
  <c r="A2508" i="1"/>
  <c r="B2508" i="1"/>
  <c r="A2509" i="1"/>
  <c r="B2509" i="1"/>
  <c r="A2510" i="1"/>
  <c r="B2510" i="1"/>
  <c r="A2511" i="1"/>
  <c r="B2511" i="1"/>
  <c r="A2512" i="1"/>
  <c r="B2512" i="1"/>
  <c r="A2513" i="1"/>
  <c r="B2513" i="1"/>
  <c r="A2514" i="1"/>
  <c r="B2514" i="1"/>
  <c r="A2515" i="1"/>
  <c r="B2515" i="1"/>
  <c r="A2516" i="1"/>
  <c r="B2516" i="1"/>
  <c r="A2517" i="1"/>
  <c r="B2517" i="1"/>
  <c r="A2518" i="1"/>
  <c r="B2518" i="1"/>
  <c r="A2519" i="1"/>
  <c r="B2519" i="1"/>
  <c r="A2520" i="1"/>
  <c r="B2520" i="1"/>
  <c r="A2521" i="1"/>
  <c r="B2521" i="1"/>
  <c r="A2522" i="1"/>
  <c r="B2522" i="1"/>
  <c r="A2523" i="1"/>
  <c r="B2523" i="1"/>
  <c r="A2524" i="1"/>
  <c r="B2524" i="1"/>
  <c r="A2525" i="1"/>
  <c r="B2525" i="1"/>
  <c r="A2526" i="1"/>
  <c r="B2526" i="1"/>
  <c r="A2527" i="1"/>
  <c r="B2527" i="1"/>
  <c r="A2528" i="1"/>
  <c r="B2528" i="1"/>
  <c r="A2529" i="1"/>
  <c r="B2529" i="1"/>
  <c r="A2530" i="1"/>
  <c r="B2530" i="1"/>
  <c r="A2531" i="1"/>
  <c r="B2531" i="1"/>
  <c r="A2532" i="1"/>
  <c r="B2532" i="1"/>
  <c r="A2533" i="1"/>
  <c r="B2533" i="1"/>
  <c r="A2534" i="1"/>
  <c r="B2534" i="1"/>
  <c r="A2535" i="1"/>
  <c r="B2535" i="1"/>
  <c r="A2536" i="1"/>
  <c r="B2536" i="1"/>
  <c r="A2537" i="1"/>
  <c r="B2537" i="1"/>
  <c r="A2538" i="1"/>
  <c r="B2538" i="1"/>
  <c r="A2539" i="1"/>
  <c r="B2539" i="1"/>
  <c r="A2540" i="1"/>
  <c r="B2540" i="1"/>
  <c r="A2541" i="1"/>
  <c r="B2541" i="1"/>
  <c r="A2542" i="1"/>
  <c r="B2542" i="1"/>
  <c r="A2543" i="1"/>
  <c r="B2543" i="1"/>
  <c r="A2544" i="1"/>
  <c r="B2544" i="1"/>
  <c r="A2545" i="1"/>
  <c r="B2545" i="1"/>
  <c r="A2546" i="1"/>
  <c r="B2546" i="1"/>
  <c r="A2547" i="1"/>
  <c r="B2547" i="1"/>
  <c r="A2548" i="1"/>
  <c r="B2548" i="1"/>
  <c r="A2549" i="1"/>
  <c r="B2549" i="1"/>
  <c r="A2550" i="1"/>
  <c r="B2550" i="1"/>
  <c r="A2551" i="1"/>
  <c r="B2551" i="1"/>
  <c r="A2552" i="1"/>
  <c r="B2552" i="1"/>
  <c r="A2553" i="1"/>
  <c r="B2553" i="1"/>
  <c r="A2554" i="1"/>
  <c r="B2554" i="1"/>
  <c r="A2555" i="1"/>
  <c r="B2555" i="1"/>
  <c r="A2556" i="1"/>
  <c r="B2556" i="1"/>
  <c r="A2557" i="1"/>
  <c r="B2557" i="1"/>
  <c r="A2558" i="1"/>
  <c r="B2558" i="1"/>
  <c r="A2559" i="1"/>
  <c r="B2559" i="1"/>
  <c r="A2560" i="1"/>
  <c r="B2560" i="1"/>
  <c r="A2561" i="1"/>
  <c r="B2561" i="1"/>
  <c r="A2562" i="1"/>
  <c r="B2562" i="1"/>
  <c r="A2563" i="1"/>
  <c r="B2563" i="1"/>
  <c r="A2564" i="1"/>
  <c r="B2564" i="1"/>
  <c r="A2565" i="1"/>
  <c r="B2565" i="1"/>
  <c r="A2566" i="1"/>
  <c r="B2566" i="1"/>
  <c r="A2567" i="1"/>
  <c r="B2567" i="1"/>
  <c r="A2568" i="1"/>
  <c r="B2568" i="1"/>
  <c r="A2569" i="1"/>
  <c r="B2569" i="1"/>
  <c r="A2570" i="1"/>
  <c r="B2570" i="1"/>
  <c r="A2571" i="1"/>
  <c r="B2571" i="1"/>
  <c r="A2572" i="1"/>
  <c r="B2572" i="1"/>
  <c r="A2573" i="1"/>
  <c r="B2573" i="1"/>
  <c r="A2574" i="1"/>
  <c r="B2574" i="1"/>
  <c r="A2575" i="1"/>
  <c r="B2575" i="1"/>
  <c r="A2576" i="1"/>
  <c r="B2576" i="1"/>
  <c r="A2577" i="1"/>
  <c r="B2577" i="1"/>
  <c r="A2578" i="1"/>
  <c r="B2578" i="1"/>
  <c r="A2579" i="1"/>
  <c r="B2579" i="1"/>
  <c r="A2580" i="1"/>
  <c r="B2580" i="1"/>
  <c r="A2581" i="1"/>
  <c r="B2581" i="1"/>
  <c r="A2582" i="1"/>
  <c r="B2582" i="1"/>
  <c r="A2583" i="1"/>
  <c r="B2583" i="1"/>
  <c r="A2584" i="1"/>
  <c r="B2584" i="1"/>
  <c r="A2585" i="1"/>
  <c r="B2585" i="1"/>
  <c r="A2586" i="1"/>
  <c r="B2586" i="1"/>
  <c r="A2587" i="1"/>
  <c r="B2587" i="1"/>
  <c r="A2588" i="1"/>
  <c r="B2588" i="1"/>
  <c r="A2589" i="1"/>
  <c r="B2589" i="1"/>
  <c r="A2590" i="1"/>
  <c r="B2590" i="1"/>
  <c r="A2591" i="1"/>
  <c r="B2591" i="1"/>
  <c r="A2592" i="1"/>
  <c r="B2592" i="1"/>
  <c r="A2593" i="1"/>
  <c r="B2593" i="1"/>
  <c r="A2594" i="1"/>
  <c r="B2594" i="1"/>
  <c r="A2595" i="1"/>
  <c r="B2595" i="1"/>
  <c r="A2596" i="1"/>
  <c r="B2596" i="1"/>
  <c r="A2597" i="1"/>
  <c r="B2597" i="1"/>
  <c r="A2598" i="1"/>
  <c r="B2598" i="1"/>
  <c r="A2599" i="1"/>
  <c r="B2599" i="1"/>
  <c r="A2600" i="1"/>
  <c r="B2600" i="1"/>
  <c r="A2601" i="1"/>
  <c r="B2601" i="1"/>
  <c r="A2602" i="1"/>
  <c r="B2602" i="1"/>
  <c r="A2603" i="1"/>
  <c r="B2603" i="1"/>
  <c r="A2604" i="1"/>
  <c r="B2604" i="1"/>
  <c r="A2605" i="1"/>
  <c r="B2605" i="1"/>
  <c r="A2606" i="1"/>
  <c r="B2606" i="1"/>
  <c r="A2607" i="1"/>
  <c r="B2607" i="1"/>
  <c r="A2608" i="1"/>
  <c r="B2608" i="1"/>
  <c r="A2609" i="1"/>
  <c r="B2609" i="1"/>
  <c r="A2610" i="1"/>
  <c r="B2610" i="1"/>
  <c r="A2611" i="1"/>
  <c r="B2611" i="1"/>
  <c r="A2612" i="1"/>
  <c r="B2612" i="1"/>
  <c r="A2613" i="1"/>
  <c r="B2613" i="1"/>
  <c r="A2614" i="1"/>
  <c r="B2614" i="1"/>
  <c r="A2615" i="1"/>
  <c r="B2615" i="1"/>
  <c r="A2616" i="1"/>
  <c r="B2616" i="1"/>
  <c r="A2617" i="1"/>
  <c r="B2617" i="1"/>
  <c r="A2618" i="1"/>
  <c r="B2618" i="1"/>
  <c r="A2619" i="1"/>
  <c r="B2619" i="1"/>
  <c r="A2620" i="1"/>
  <c r="B2620" i="1"/>
  <c r="A2621" i="1"/>
  <c r="B2621" i="1"/>
  <c r="A2622" i="1"/>
  <c r="B2622" i="1"/>
  <c r="A2623" i="1"/>
  <c r="B2623" i="1"/>
  <c r="A2624" i="1"/>
  <c r="B2624" i="1"/>
  <c r="A2625" i="1"/>
  <c r="B2625" i="1"/>
  <c r="A2626" i="1"/>
  <c r="B2626" i="1"/>
  <c r="A2627" i="1"/>
  <c r="B2627" i="1"/>
  <c r="A2628" i="1"/>
  <c r="B2628" i="1"/>
  <c r="A2629" i="1"/>
  <c r="B2629" i="1"/>
  <c r="A2630" i="1"/>
  <c r="B2630" i="1"/>
  <c r="A2631" i="1"/>
  <c r="B2631" i="1"/>
  <c r="A2632" i="1"/>
  <c r="B2632" i="1"/>
  <c r="A2633" i="1"/>
  <c r="B2633" i="1"/>
  <c r="A2634" i="1"/>
  <c r="B2634" i="1"/>
  <c r="A2635" i="1"/>
  <c r="B2635" i="1"/>
  <c r="A2636" i="1"/>
  <c r="B2636" i="1"/>
  <c r="A2637" i="1"/>
  <c r="B2637" i="1"/>
  <c r="A2638" i="1"/>
  <c r="B2638" i="1"/>
  <c r="A2639" i="1"/>
  <c r="B2639" i="1"/>
  <c r="A2640" i="1"/>
  <c r="B2640" i="1"/>
  <c r="A2641" i="1"/>
  <c r="B2641" i="1"/>
  <c r="A2642" i="1"/>
  <c r="B2642" i="1"/>
  <c r="A2643" i="1"/>
  <c r="B2643" i="1"/>
  <c r="A2644" i="1"/>
  <c r="B2644" i="1"/>
  <c r="A2645" i="1"/>
  <c r="B2645" i="1"/>
  <c r="A2646" i="1"/>
  <c r="B2646" i="1"/>
  <c r="A2647" i="1"/>
  <c r="B2647" i="1"/>
  <c r="A2648" i="1"/>
  <c r="B2648" i="1"/>
  <c r="A2649" i="1"/>
  <c r="B2649" i="1"/>
  <c r="A2650" i="1"/>
  <c r="B2650" i="1"/>
  <c r="A2651" i="1"/>
  <c r="B2651" i="1"/>
  <c r="A2652" i="1"/>
  <c r="B2652" i="1"/>
  <c r="A2653" i="1"/>
  <c r="B2653" i="1"/>
  <c r="A2654" i="1"/>
  <c r="B2654" i="1"/>
  <c r="A2655" i="1"/>
  <c r="B2655" i="1"/>
  <c r="A2656" i="1"/>
  <c r="B2656" i="1"/>
  <c r="A2657" i="1"/>
  <c r="B2657" i="1"/>
  <c r="A2658" i="1"/>
  <c r="B2658" i="1"/>
  <c r="A2659" i="1"/>
  <c r="B2659" i="1"/>
  <c r="A2660" i="1"/>
  <c r="B2660" i="1"/>
  <c r="A2661" i="1"/>
  <c r="B2661" i="1"/>
  <c r="A2662" i="1"/>
  <c r="B2662" i="1"/>
  <c r="A2663" i="1"/>
  <c r="B2663" i="1"/>
  <c r="A2664" i="1"/>
  <c r="B2664" i="1"/>
  <c r="A2665" i="1"/>
  <c r="B2665" i="1"/>
  <c r="A2666" i="1"/>
  <c r="B2666" i="1"/>
  <c r="A2667" i="1"/>
  <c r="B2667" i="1"/>
  <c r="A2668" i="1"/>
  <c r="B2668" i="1"/>
  <c r="A2669" i="1"/>
  <c r="B2669" i="1"/>
  <c r="A2670" i="1"/>
  <c r="B2670" i="1"/>
  <c r="A2671" i="1"/>
  <c r="B2671" i="1"/>
  <c r="A2672" i="1"/>
  <c r="B2672" i="1"/>
  <c r="A2673" i="1"/>
  <c r="B2673" i="1"/>
  <c r="A2674" i="1"/>
  <c r="B2674" i="1"/>
  <c r="A2675" i="1"/>
  <c r="B2675" i="1"/>
  <c r="A2676" i="1"/>
  <c r="B2676" i="1"/>
  <c r="A2677" i="1"/>
  <c r="B2677" i="1"/>
  <c r="A2678" i="1"/>
  <c r="B2678" i="1"/>
  <c r="A2679" i="1"/>
  <c r="B2679" i="1"/>
  <c r="A2680" i="1"/>
  <c r="B2680" i="1"/>
  <c r="A2681" i="1"/>
  <c r="B2681" i="1"/>
  <c r="A2682" i="1"/>
  <c r="B2682" i="1"/>
  <c r="A2683" i="1"/>
  <c r="B2683" i="1"/>
  <c r="A2684" i="1"/>
  <c r="B2684" i="1"/>
  <c r="A2685" i="1"/>
  <c r="B2685" i="1"/>
  <c r="A2686" i="1"/>
  <c r="B2686" i="1"/>
  <c r="A2687" i="1"/>
  <c r="B2687" i="1"/>
  <c r="A2688" i="1"/>
  <c r="B2688" i="1"/>
  <c r="A2689" i="1"/>
  <c r="B2689" i="1"/>
  <c r="A2690" i="1"/>
  <c r="B2690" i="1"/>
  <c r="A2691" i="1"/>
  <c r="B2691" i="1"/>
  <c r="A2692" i="1"/>
  <c r="B2692" i="1"/>
  <c r="A2693" i="1"/>
  <c r="B2693" i="1"/>
  <c r="A2694" i="1"/>
  <c r="B2694" i="1"/>
  <c r="A2695" i="1"/>
  <c r="B2695" i="1"/>
  <c r="A2696" i="1"/>
  <c r="B2696" i="1"/>
  <c r="A2697" i="1"/>
  <c r="B2697" i="1"/>
  <c r="A2698" i="1"/>
  <c r="B2698" i="1"/>
  <c r="A2699" i="1"/>
  <c r="B2699" i="1"/>
  <c r="A2700" i="1"/>
  <c r="B2700" i="1"/>
  <c r="A2701" i="1"/>
  <c r="B2701" i="1"/>
  <c r="A2702" i="1"/>
  <c r="B2702" i="1"/>
  <c r="A2703" i="1"/>
  <c r="B2703" i="1"/>
  <c r="A2704" i="1"/>
  <c r="B2704" i="1"/>
  <c r="A2705" i="1"/>
  <c r="B2705" i="1"/>
  <c r="A2706" i="1"/>
  <c r="B2706" i="1"/>
  <c r="A2707" i="1"/>
  <c r="B2707" i="1"/>
  <c r="A2708" i="1"/>
  <c r="B2708" i="1"/>
  <c r="A2709" i="1"/>
  <c r="B2709" i="1"/>
  <c r="A2710" i="1"/>
  <c r="B2710" i="1"/>
  <c r="A2711" i="1"/>
  <c r="B2711" i="1"/>
  <c r="A2712" i="1"/>
  <c r="B2712" i="1"/>
  <c r="A2713" i="1"/>
  <c r="B2713" i="1"/>
  <c r="A2714" i="1"/>
  <c r="B2714" i="1"/>
  <c r="A2715" i="1"/>
  <c r="B2715" i="1"/>
  <c r="A2716" i="1"/>
  <c r="B2716" i="1"/>
  <c r="A2717" i="1"/>
  <c r="B2717" i="1"/>
  <c r="A2718" i="1"/>
  <c r="B2718" i="1"/>
  <c r="A2719" i="1"/>
  <c r="B2719" i="1"/>
  <c r="A2720" i="1"/>
  <c r="B2720" i="1"/>
  <c r="A2721" i="1"/>
  <c r="B2721" i="1"/>
  <c r="A2722" i="1"/>
  <c r="B2722" i="1"/>
  <c r="A2723" i="1"/>
  <c r="B2723" i="1"/>
  <c r="A2724" i="1"/>
  <c r="B2724" i="1"/>
  <c r="A2725" i="1"/>
  <c r="B2725" i="1"/>
  <c r="A2726" i="1"/>
  <c r="B2726" i="1"/>
  <c r="A2727" i="1"/>
  <c r="B2727" i="1"/>
  <c r="A2728" i="1"/>
  <c r="B2728" i="1"/>
  <c r="A2729" i="1"/>
  <c r="B2729" i="1"/>
  <c r="A2730" i="1"/>
  <c r="B2730" i="1"/>
  <c r="A2731" i="1"/>
  <c r="B2731" i="1"/>
  <c r="A2732" i="1"/>
  <c r="B2732" i="1"/>
  <c r="A2733" i="1"/>
  <c r="B2733" i="1"/>
  <c r="A2734" i="1"/>
  <c r="B2734" i="1"/>
  <c r="A2735" i="1"/>
  <c r="B2735" i="1"/>
  <c r="A2736" i="1"/>
  <c r="B2736" i="1"/>
  <c r="A2737" i="1"/>
  <c r="B2737" i="1"/>
  <c r="A2738" i="1"/>
  <c r="B2738" i="1"/>
  <c r="A2739" i="1"/>
  <c r="B2739" i="1"/>
  <c r="A2740" i="1"/>
  <c r="B2740" i="1"/>
  <c r="A2741" i="1"/>
  <c r="B2741" i="1"/>
  <c r="A2742" i="1"/>
  <c r="B2742" i="1"/>
  <c r="A2743" i="1"/>
  <c r="B2743" i="1"/>
  <c r="A2744" i="1"/>
  <c r="B2744" i="1"/>
  <c r="A2745" i="1"/>
  <c r="B2745" i="1"/>
  <c r="A2746" i="1"/>
  <c r="B2746" i="1"/>
  <c r="A2747" i="1"/>
  <c r="B2747" i="1"/>
  <c r="A2748" i="1"/>
  <c r="B2748" i="1"/>
  <c r="A2749" i="1"/>
  <c r="B2749" i="1"/>
  <c r="A2750" i="1"/>
  <c r="B2750" i="1"/>
  <c r="A2751" i="1"/>
  <c r="B2751" i="1"/>
  <c r="A2752" i="1"/>
  <c r="B2752" i="1"/>
  <c r="A2753" i="1"/>
  <c r="B2753" i="1"/>
  <c r="A2754" i="1"/>
  <c r="B2754" i="1"/>
  <c r="A2755" i="1"/>
  <c r="B2755" i="1"/>
  <c r="A2756" i="1"/>
  <c r="B2756" i="1"/>
  <c r="A2757" i="1"/>
  <c r="B2757" i="1"/>
  <c r="A2758" i="1"/>
  <c r="B2758" i="1"/>
  <c r="A2759" i="1"/>
  <c r="B2759" i="1"/>
  <c r="A2760" i="1"/>
  <c r="B2760" i="1"/>
  <c r="A2761" i="1"/>
  <c r="B2761" i="1"/>
  <c r="A2762" i="1"/>
  <c r="B2762" i="1"/>
  <c r="A2763" i="1"/>
  <c r="B2763" i="1"/>
  <c r="A2764" i="1"/>
  <c r="B2764" i="1"/>
  <c r="A2765" i="1"/>
  <c r="B2765" i="1"/>
  <c r="A2766" i="1"/>
  <c r="B2766" i="1"/>
  <c r="A2767" i="1"/>
  <c r="B2767" i="1"/>
  <c r="A2768" i="1"/>
  <c r="B2768" i="1"/>
  <c r="A2769" i="1"/>
  <c r="B2769" i="1"/>
  <c r="A2770" i="1"/>
  <c r="B2770" i="1"/>
  <c r="A2771" i="1"/>
  <c r="B2771" i="1"/>
  <c r="A2772" i="1"/>
  <c r="B2772" i="1"/>
  <c r="A2773" i="1"/>
  <c r="B2773" i="1"/>
  <c r="A2774" i="1"/>
  <c r="B2774" i="1"/>
  <c r="A2775" i="1"/>
  <c r="B2775" i="1"/>
  <c r="A2776" i="1"/>
  <c r="B2776" i="1"/>
  <c r="A2777" i="1"/>
  <c r="B2777" i="1"/>
  <c r="A2778" i="1"/>
  <c r="B2778" i="1"/>
  <c r="A2779" i="1"/>
  <c r="B2779" i="1"/>
  <c r="A2780" i="1"/>
  <c r="B2780" i="1"/>
  <c r="A2781" i="1"/>
  <c r="B2781" i="1"/>
  <c r="A2782" i="1"/>
  <c r="B2782" i="1"/>
  <c r="A2783" i="1"/>
  <c r="B2783" i="1"/>
  <c r="A2784" i="1"/>
  <c r="B2784" i="1"/>
  <c r="A2785" i="1"/>
  <c r="B2785" i="1"/>
  <c r="A2786" i="1"/>
  <c r="B2786" i="1"/>
  <c r="A2787" i="1"/>
  <c r="B2787" i="1"/>
  <c r="A2788" i="1"/>
  <c r="B2788" i="1"/>
  <c r="A2789" i="1"/>
  <c r="B2789" i="1"/>
  <c r="A2790" i="1"/>
  <c r="B2790" i="1"/>
  <c r="A2791" i="1"/>
  <c r="B2791" i="1"/>
  <c r="A2792" i="1"/>
  <c r="B2792" i="1"/>
  <c r="A2793" i="1"/>
  <c r="B2793" i="1"/>
  <c r="A2794" i="1"/>
  <c r="B2794" i="1"/>
  <c r="A2795" i="1"/>
  <c r="B2795" i="1"/>
  <c r="A2796" i="1"/>
  <c r="B2796" i="1"/>
  <c r="A2797" i="1"/>
  <c r="B2797" i="1"/>
  <c r="A2798" i="1"/>
  <c r="B2798" i="1"/>
  <c r="A2799" i="1"/>
  <c r="B2799" i="1"/>
  <c r="A2800" i="1"/>
  <c r="B2800" i="1"/>
  <c r="A2801" i="1"/>
  <c r="B2801" i="1"/>
  <c r="A2802" i="1"/>
  <c r="B2802" i="1"/>
  <c r="A2803" i="1"/>
  <c r="B2803" i="1"/>
  <c r="A2804" i="1"/>
  <c r="B2804" i="1"/>
  <c r="A2805" i="1"/>
  <c r="B2805" i="1"/>
  <c r="A2806" i="1"/>
  <c r="B2806" i="1"/>
  <c r="A2807" i="1"/>
  <c r="B2807" i="1"/>
  <c r="A2808" i="1"/>
  <c r="B2808" i="1"/>
  <c r="A2809" i="1"/>
  <c r="B2809" i="1"/>
  <c r="A2810" i="1"/>
  <c r="B2810" i="1"/>
  <c r="A2811" i="1"/>
  <c r="B2811" i="1"/>
  <c r="A2812" i="1"/>
  <c r="B2812" i="1"/>
  <c r="A2813" i="1"/>
  <c r="B2813" i="1"/>
  <c r="A2814" i="1"/>
  <c r="B2814" i="1"/>
  <c r="A2815" i="1"/>
  <c r="B2815" i="1"/>
  <c r="A2816" i="1"/>
  <c r="B2816" i="1"/>
  <c r="A2817" i="1"/>
  <c r="B2817" i="1"/>
  <c r="A2818" i="1"/>
  <c r="B2818" i="1"/>
  <c r="A2819" i="1"/>
  <c r="B2819" i="1"/>
  <c r="A2820" i="1"/>
  <c r="B2820" i="1"/>
  <c r="A2821" i="1"/>
  <c r="B2821" i="1"/>
  <c r="A2822" i="1"/>
  <c r="B2822" i="1"/>
  <c r="A2823" i="1"/>
  <c r="B2823" i="1"/>
  <c r="A2824" i="1"/>
  <c r="B2824" i="1"/>
  <c r="A2825" i="1"/>
  <c r="B2825" i="1"/>
  <c r="A2826" i="1"/>
  <c r="B2826" i="1"/>
  <c r="A2827" i="1"/>
  <c r="B2827" i="1"/>
  <c r="A2828" i="1"/>
  <c r="B2828" i="1"/>
  <c r="A2829" i="1"/>
  <c r="B2829" i="1"/>
  <c r="A2830" i="1"/>
  <c r="B2830" i="1"/>
  <c r="A2831" i="1"/>
  <c r="B2831" i="1"/>
  <c r="A2832" i="1"/>
  <c r="B2832" i="1"/>
  <c r="A2833" i="1"/>
  <c r="B2833" i="1"/>
  <c r="A2834" i="1"/>
  <c r="B2834" i="1"/>
  <c r="A2835" i="1"/>
  <c r="B2835" i="1"/>
  <c r="A2836" i="1"/>
  <c r="B2836" i="1"/>
  <c r="A2837" i="1"/>
  <c r="B2837" i="1"/>
  <c r="A2838" i="1"/>
  <c r="B2838" i="1"/>
  <c r="A2839" i="1"/>
  <c r="B2839" i="1"/>
  <c r="A2840" i="1"/>
  <c r="B2840" i="1"/>
  <c r="A2841" i="1"/>
  <c r="B2841" i="1"/>
  <c r="A2842" i="1"/>
  <c r="B2842" i="1"/>
  <c r="A2843" i="1"/>
  <c r="B2843" i="1"/>
  <c r="A2844" i="1"/>
  <c r="B2844" i="1"/>
  <c r="A2845" i="1"/>
  <c r="B2845" i="1"/>
  <c r="A2846" i="1"/>
  <c r="B2846" i="1"/>
  <c r="A2847" i="1"/>
  <c r="B2847" i="1"/>
  <c r="A2848" i="1"/>
  <c r="B2848" i="1"/>
  <c r="A2849" i="1"/>
  <c r="B2849" i="1"/>
  <c r="A2850" i="1"/>
  <c r="B2850" i="1"/>
  <c r="A2851" i="1"/>
  <c r="B2851" i="1"/>
  <c r="A2852" i="1"/>
  <c r="B2852" i="1"/>
  <c r="A2853" i="1"/>
  <c r="B2853" i="1"/>
  <c r="A2854" i="1"/>
  <c r="B2854" i="1"/>
  <c r="A2855" i="1"/>
  <c r="B2855" i="1"/>
  <c r="A2856" i="1"/>
  <c r="B2856" i="1"/>
  <c r="A2857" i="1"/>
  <c r="B2857" i="1"/>
  <c r="A2858" i="1"/>
  <c r="B2858" i="1"/>
  <c r="A2859" i="1"/>
  <c r="B2859" i="1"/>
  <c r="A2860" i="1"/>
  <c r="B2860" i="1"/>
  <c r="A2861" i="1"/>
  <c r="B2861" i="1"/>
  <c r="A2862" i="1"/>
  <c r="B2862" i="1"/>
  <c r="A2863" i="1"/>
  <c r="B2863" i="1"/>
  <c r="A2864" i="1"/>
  <c r="B2864" i="1"/>
  <c r="A2865" i="1"/>
  <c r="B2865" i="1"/>
  <c r="A2866" i="1"/>
  <c r="B2866" i="1"/>
  <c r="A2867" i="1"/>
  <c r="B2867" i="1"/>
  <c r="A2868" i="1"/>
  <c r="B2868" i="1"/>
  <c r="A2869" i="1"/>
  <c r="B2869" i="1"/>
  <c r="A2870" i="1"/>
  <c r="B2870" i="1"/>
  <c r="A2871" i="1"/>
  <c r="B2871" i="1"/>
  <c r="A2872" i="1"/>
  <c r="B2872" i="1"/>
  <c r="A2873" i="1"/>
  <c r="B2873" i="1"/>
  <c r="A2874" i="1"/>
  <c r="B2874" i="1"/>
  <c r="A2875" i="1"/>
  <c r="B2875" i="1"/>
  <c r="A2876" i="1"/>
  <c r="B2876" i="1"/>
  <c r="A2877" i="1"/>
  <c r="B2877" i="1"/>
  <c r="A2878" i="1"/>
  <c r="B2878" i="1"/>
  <c r="A2879" i="1"/>
  <c r="B2879" i="1"/>
  <c r="A2880" i="1"/>
  <c r="B2880" i="1"/>
  <c r="A2881" i="1"/>
  <c r="B2881" i="1"/>
  <c r="A2882" i="1"/>
  <c r="B2882" i="1"/>
  <c r="A2883" i="1"/>
  <c r="B2883" i="1"/>
  <c r="A2884" i="1"/>
  <c r="B2884" i="1"/>
  <c r="A2885" i="1"/>
  <c r="B2885" i="1"/>
  <c r="A2886" i="1"/>
  <c r="B2886" i="1"/>
  <c r="A2887" i="1"/>
  <c r="B2887" i="1"/>
  <c r="A2888" i="1"/>
  <c r="B2888" i="1"/>
  <c r="A2889" i="1"/>
  <c r="B2889" i="1"/>
  <c r="A2890" i="1"/>
  <c r="B2890" i="1"/>
  <c r="A2891" i="1"/>
  <c r="B2891" i="1"/>
  <c r="A2892" i="1"/>
  <c r="B2892" i="1"/>
  <c r="A2893" i="1"/>
  <c r="B2893" i="1"/>
  <c r="A2894" i="1"/>
  <c r="B2894" i="1"/>
  <c r="A2895" i="1"/>
  <c r="B2895" i="1"/>
  <c r="A2896" i="1"/>
  <c r="B2896" i="1"/>
  <c r="A2897" i="1"/>
  <c r="B2897" i="1"/>
  <c r="A2898" i="1"/>
  <c r="B2898" i="1"/>
  <c r="A2899" i="1"/>
  <c r="B2899" i="1"/>
  <c r="A2900" i="1"/>
  <c r="B2900" i="1"/>
  <c r="A2901" i="1"/>
  <c r="B2901" i="1"/>
  <c r="A2902" i="1"/>
  <c r="B2902" i="1"/>
  <c r="A2903" i="1"/>
  <c r="B2903" i="1"/>
  <c r="A2904" i="1"/>
  <c r="B2904" i="1"/>
  <c r="A2905" i="1"/>
  <c r="B2905" i="1"/>
  <c r="A2906" i="1"/>
  <c r="B2906" i="1"/>
  <c r="A2907" i="1"/>
  <c r="B2907" i="1"/>
  <c r="A2908" i="1"/>
  <c r="B2908" i="1"/>
  <c r="A2909" i="1"/>
  <c r="B2909" i="1"/>
  <c r="A2910" i="1"/>
  <c r="B2910" i="1"/>
  <c r="A2911" i="1"/>
  <c r="B2911" i="1"/>
  <c r="A2912" i="1"/>
  <c r="B2912" i="1"/>
  <c r="A2913" i="1"/>
  <c r="B2913" i="1"/>
  <c r="A2914" i="1"/>
  <c r="B2914" i="1"/>
  <c r="A2915" i="1"/>
  <c r="B2915" i="1"/>
  <c r="A2916" i="1"/>
  <c r="B2916" i="1"/>
  <c r="A2917" i="1"/>
  <c r="B2917" i="1"/>
  <c r="A2918" i="1"/>
  <c r="B2918" i="1"/>
  <c r="A2919" i="1"/>
  <c r="B2919" i="1"/>
  <c r="A2920" i="1"/>
  <c r="B2920" i="1"/>
  <c r="A2921" i="1"/>
  <c r="B2921" i="1"/>
  <c r="A2922" i="1"/>
  <c r="B2922" i="1"/>
  <c r="A2923" i="1"/>
  <c r="B2923" i="1"/>
  <c r="A2924" i="1"/>
  <c r="B2924" i="1"/>
  <c r="A2925" i="1"/>
  <c r="B2925" i="1"/>
  <c r="A2926" i="1"/>
  <c r="B2926" i="1"/>
  <c r="A2927" i="1"/>
  <c r="B2927" i="1"/>
  <c r="A2928" i="1"/>
  <c r="B2928" i="1"/>
  <c r="A2929" i="1"/>
  <c r="B2929" i="1"/>
  <c r="A2930" i="1"/>
  <c r="B2930" i="1"/>
  <c r="A2931" i="1"/>
  <c r="B2931" i="1"/>
  <c r="A2932" i="1"/>
  <c r="B2932" i="1"/>
  <c r="A2933" i="1"/>
  <c r="B2933" i="1"/>
  <c r="A2934" i="1"/>
  <c r="B2934" i="1"/>
  <c r="A2935" i="1"/>
  <c r="B2935" i="1"/>
  <c r="A2936" i="1"/>
  <c r="B2936" i="1"/>
  <c r="A2937" i="1"/>
  <c r="B2937" i="1"/>
  <c r="A2938" i="1"/>
  <c r="B2938" i="1"/>
  <c r="A2939" i="1"/>
  <c r="B2939" i="1"/>
  <c r="A2940" i="1"/>
  <c r="B2940" i="1"/>
  <c r="A2941" i="1"/>
  <c r="B2941" i="1"/>
  <c r="A2942" i="1"/>
  <c r="B2942" i="1"/>
  <c r="A2943" i="1"/>
  <c r="B2943" i="1"/>
  <c r="A2944" i="1"/>
  <c r="B2944" i="1"/>
  <c r="A2945" i="1"/>
  <c r="B2945" i="1"/>
  <c r="A2946" i="1"/>
  <c r="B2946" i="1"/>
  <c r="A2947" i="1"/>
  <c r="B2947" i="1"/>
  <c r="A2948" i="1"/>
  <c r="B2948" i="1"/>
  <c r="A2949" i="1"/>
  <c r="B2949" i="1"/>
  <c r="A2950" i="1"/>
  <c r="B2950" i="1"/>
  <c r="A2951" i="1"/>
  <c r="B2951" i="1"/>
  <c r="A2952" i="1"/>
  <c r="B2952" i="1"/>
  <c r="A2953" i="1"/>
  <c r="B2953" i="1"/>
  <c r="A2954" i="1"/>
  <c r="B2954" i="1"/>
  <c r="A2955" i="1"/>
  <c r="B2955" i="1"/>
  <c r="A2956" i="1"/>
  <c r="B2956" i="1"/>
  <c r="A2957" i="1"/>
  <c r="B2957" i="1"/>
  <c r="A2958" i="1"/>
  <c r="B2958" i="1"/>
  <c r="A2959" i="1"/>
  <c r="B2959" i="1"/>
  <c r="A2960" i="1"/>
  <c r="B2960" i="1"/>
  <c r="A2961" i="1"/>
  <c r="B2961" i="1"/>
  <c r="A2962" i="1"/>
  <c r="B2962" i="1"/>
  <c r="A2963" i="1"/>
  <c r="B2963" i="1"/>
  <c r="A2964" i="1"/>
  <c r="B2964" i="1"/>
  <c r="A2965" i="1"/>
  <c r="B2965" i="1"/>
  <c r="A2966" i="1"/>
  <c r="B2966" i="1"/>
  <c r="A2967" i="1"/>
  <c r="B2967" i="1"/>
  <c r="A2968" i="1"/>
  <c r="B2968" i="1"/>
  <c r="A2969" i="1"/>
  <c r="B2969" i="1"/>
  <c r="A2970" i="1"/>
  <c r="B2970" i="1"/>
  <c r="A2971" i="1"/>
  <c r="B2971" i="1"/>
  <c r="A2972" i="1"/>
  <c r="B2972" i="1"/>
  <c r="A2973" i="1"/>
  <c r="B2973" i="1"/>
  <c r="A2974" i="1"/>
  <c r="B2974" i="1"/>
  <c r="A2975" i="1"/>
  <c r="B2975" i="1"/>
  <c r="A2976" i="1"/>
  <c r="B2976" i="1"/>
  <c r="A2977" i="1"/>
  <c r="B2977" i="1"/>
  <c r="A2978" i="1"/>
  <c r="B2978" i="1"/>
  <c r="A2979" i="1"/>
  <c r="B2979" i="1"/>
  <c r="A2980" i="1"/>
  <c r="B2980" i="1"/>
  <c r="A2981" i="1"/>
  <c r="B2981" i="1"/>
  <c r="A2982" i="1"/>
  <c r="B2982" i="1"/>
  <c r="A2983" i="1"/>
  <c r="B2983" i="1"/>
  <c r="A2984" i="1"/>
  <c r="B2984" i="1"/>
  <c r="A2985" i="1"/>
  <c r="B2985" i="1"/>
  <c r="A2986" i="1"/>
  <c r="B2986" i="1"/>
  <c r="A2987" i="1"/>
  <c r="B2987" i="1"/>
  <c r="A2988" i="1"/>
  <c r="B2988" i="1"/>
  <c r="A2989" i="1"/>
  <c r="B2989" i="1"/>
  <c r="A2990" i="1"/>
  <c r="B2990" i="1"/>
  <c r="A2991" i="1"/>
  <c r="B2991" i="1"/>
  <c r="A2992" i="1"/>
  <c r="B2992" i="1"/>
  <c r="A2993" i="1"/>
  <c r="B2993" i="1"/>
  <c r="A2994" i="1"/>
  <c r="B2994" i="1"/>
  <c r="A2995" i="1"/>
  <c r="B2995" i="1"/>
  <c r="A2996" i="1"/>
  <c r="B2996" i="1"/>
  <c r="A2997" i="1"/>
  <c r="B2997" i="1"/>
  <c r="A2998" i="1"/>
  <c r="B2998" i="1"/>
  <c r="A2999" i="1"/>
  <c r="B2999" i="1"/>
  <c r="A3000" i="1"/>
  <c r="B3000" i="1"/>
  <c r="A3001" i="1"/>
  <c r="B3001" i="1"/>
  <c r="A3002" i="1"/>
  <c r="B3002" i="1"/>
  <c r="A3003" i="1"/>
  <c r="B3003" i="1"/>
  <c r="A3004" i="1"/>
  <c r="B3004" i="1"/>
  <c r="A3005" i="1"/>
  <c r="B3005" i="1"/>
  <c r="A3006" i="1"/>
  <c r="B3006" i="1"/>
  <c r="A3007" i="1"/>
  <c r="B3007" i="1"/>
  <c r="A3008" i="1"/>
  <c r="B3008" i="1"/>
  <c r="A3009" i="1"/>
  <c r="B3009" i="1"/>
  <c r="A3010" i="1"/>
  <c r="B3010" i="1"/>
  <c r="A3011" i="1"/>
  <c r="B3011" i="1"/>
  <c r="A3012" i="1"/>
  <c r="B3012" i="1"/>
  <c r="A3013" i="1"/>
  <c r="B3013" i="1"/>
  <c r="A3014" i="1"/>
  <c r="B3014" i="1"/>
  <c r="A3015" i="1"/>
  <c r="B3015" i="1"/>
  <c r="A3016" i="1"/>
  <c r="B3016" i="1"/>
  <c r="A3017" i="1"/>
  <c r="B3017" i="1"/>
  <c r="A3018" i="1"/>
  <c r="B3018" i="1"/>
  <c r="A3019" i="1"/>
  <c r="B3019" i="1"/>
  <c r="A3020" i="1"/>
  <c r="B3020" i="1"/>
  <c r="A3021" i="1"/>
  <c r="B3021" i="1"/>
  <c r="A3022" i="1"/>
  <c r="B3022" i="1"/>
  <c r="A3023" i="1"/>
  <c r="B3023" i="1"/>
  <c r="A3024" i="1"/>
  <c r="B3024" i="1"/>
  <c r="A3025" i="1"/>
  <c r="B3025" i="1"/>
  <c r="A3026" i="1"/>
  <c r="B3026" i="1"/>
  <c r="A3027" i="1"/>
  <c r="B3027" i="1"/>
  <c r="A3028" i="1"/>
  <c r="B3028" i="1"/>
  <c r="A3029" i="1"/>
  <c r="B3029" i="1"/>
  <c r="A3030" i="1"/>
  <c r="B3030" i="1"/>
  <c r="A3031" i="1"/>
  <c r="B3031" i="1"/>
  <c r="A3032" i="1"/>
  <c r="B3032" i="1"/>
  <c r="A3033" i="1"/>
  <c r="B3033" i="1"/>
  <c r="A3034" i="1"/>
  <c r="B3034" i="1"/>
  <c r="A3035" i="1"/>
  <c r="B3035" i="1"/>
  <c r="A3036" i="1"/>
  <c r="B3036" i="1"/>
  <c r="A3037" i="1"/>
  <c r="B3037" i="1"/>
  <c r="A3038" i="1"/>
  <c r="B3038" i="1"/>
  <c r="A3039" i="1"/>
  <c r="B3039" i="1"/>
  <c r="A3040" i="1"/>
  <c r="B3040" i="1"/>
  <c r="A3041" i="1"/>
  <c r="B3041" i="1"/>
  <c r="A3042" i="1"/>
  <c r="B3042" i="1"/>
  <c r="A3043" i="1"/>
  <c r="B3043" i="1"/>
  <c r="A3044" i="1"/>
  <c r="B3044" i="1"/>
  <c r="A3045" i="1"/>
  <c r="B3045" i="1"/>
  <c r="A3046" i="1"/>
  <c r="B3046" i="1"/>
  <c r="A3047" i="1"/>
  <c r="B3047" i="1"/>
  <c r="A3048" i="1"/>
  <c r="B3048" i="1"/>
  <c r="A3049" i="1"/>
  <c r="B3049" i="1"/>
  <c r="A3050" i="1"/>
  <c r="B3050" i="1"/>
  <c r="A3051" i="1"/>
  <c r="B3051" i="1"/>
  <c r="A3052" i="1"/>
  <c r="B3052" i="1"/>
  <c r="A3053" i="1"/>
  <c r="B3053" i="1"/>
  <c r="A3054" i="1"/>
  <c r="B3054" i="1"/>
  <c r="A3055" i="1"/>
  <c r="B3055" i="1"/>
  <c r="A3056" i="1"/>
  <c r="B3056" i="1"/>
  <c r="A3057" i="1"/>
  <c r="B3057" i="1"/>
  <c r="A3058" i="1"/>
  <c r="B3058" i="1"/>
  <c r="A3059" i="1"/>
  <c r="B3059" i="1"/>
  <c r="A3060" i="1"/>
  <c r="B3060" i="1"/>
  <c r="A3061" i="1"/>
  <c r="B3061" i="1"/>
  <c r="A3062" i="1"/>
  <c r="B3062" i="1"/>
  <c r="A3063" i="1"/>
  <c r="B3063" i="1"/>
  <c r="A3064" i="1"/>
  <c r="B3064" i="1"/>
  <c r="A3065" i="1"/>
  <c r="B3065" i="1"/>
  <c r="A3066" i="1"/>
  <c r="B3066" i="1"/>
  <c r="A3067" i="1"/>
  <c r="B3067" i="1"/>
  <c r="A3068" i="1"/>
  <c r="B3068" i="1"/>
  <c r="A3069" i="1"/>
  <c r="B3069" i="1"/>
  <c r="A3070" i="1"/>
  <c r="B3070" i="1"/>
  <c r="A3071" i="1"/>
  <c r="B3071" i="1"/>
  <c r="A3072" i="1"/>
  <c r="B3072" i="1"/>
  <c r="A3073" i="1"/>
  <c r="B3073" i="1"/>
  <c r="A3074" i="1"/>
  <c r="B3074" i="1"/>
  <c r="A3075" i="1"/>
  <c r="B3075" i="1"/>
  <c r="A3076" i="1"/>
  <c r="B3076" i="1"/>
  <c r="A3077" i="1"/>
  <c r="B3077" i="1"/>
  <c r="A3078" i="1"/>
  <c r="B3078" i="1"/>
  <c r="A3079" i="1"/>
  <c r="B3079" i="1"/>
  <c r="A3080" i="1"/>
  <c r="B3080" i="1"/>
  <c r="A3081" i="1"/>
  <c r="B3081" i="1"/>
  <c r="A3082" i="1"/>
  <c r="B3082" i="1"/>
  <c r="A3083" i="1"/>
  <c r="B3083" i="1"/>
  <c r="A3084" i="1"/>
  <c r="B3084" i="1"/>
  <c r="A3085" i="1"/>
  <c r="B3085" i="1"/>
  <c r="A3086" i="1"/>
  <c r="B3086" i="1"/>
  <c r="A3087" i="1"/>
  <c r="B3087" i="1"/>
  <c r="A3088" i="1"/>
  <c r="B3088" i="1"/>
  <c r="A3089" i="1"/>
  <c r="B3089" i="1"/>
  <c r="A3090" i="1"/>
  <c r="B3090" i="1"/>
  <c r="A3091" i="1"/>
  <c r="B3091" i="1"/>
  <c r="A3092" i="1"/>
  <c r="B3092" i="1"/>
  <c r="A3093" i="1"/>
  <c r="B3093" i="1"/>
  <c r="A3094" i="1"/>
  <c r="B3094" i="1"/>
  <c r="A3095" i="1"/>
  <c r="B3095" i="1"/>
  <c r="A3096" i="1"/>
  <c r="B3096" i="1"/>
  <c r="A3097" i="1"/>
  <c r="B3097" i="1"/>
  <c r="A3098" i="1"/>
  <c r="B3098" i="1"/>
  <c r="A3099" i="1"/>
  <c r="B3099" i="1"/>
  <c r="A3100" i="1"/>
  <c r="B3100" i="1"/>
  <c r="A3101" i="1"/>
  <c r="B3101" i="1"/>
  <c r="A3102" i="1"/>
  <c r="B3102" i="1"/>
  <c r="A3103" i="1"/>
  <c r="B3103" i="1"/>
  <c r="A3104" i="1"/>
  <c r="B3104" i="1"/>
  <c r="A3105" i="1"/>
  <c r="B3105" i="1"/>
  <c r="A3106" i="1"/>
  <c r="B3106" i="1"/>
  <c r="A3107" i="1"/>
  <c r="B3107" i="1"/>
  <c r="A3108" i="1"/>
  <c r="B3108" i="1"/>
  <c r="A3109" i="1"/>
  <c r="B3109" i="1"/>
  <c r="A3110" i="1"/>
  <c r="B3110" i="1"/>
  <c r="A3111" i="1"/>
  <c r="B3111" i="1"/>
  <c r="A3112" i="1"/>
  <c r="B3112" i="1"/>
  <c r="A3113" i="1"/>
  <c r="B3113" i="1"/>
  <c r="A3114" i="1"/>
  <c r="B3114" i="1"/>
  <c r="A3115" i="1"/>
  <c r="B3115" i="1"/>
  <c r="A3116" i="1"/>
  <c r="B3116" i="1"/>
  <c r="A3117" i="1"/>
  <c r="B3117" i="1"/>
  <c r="A3118" i="1"/>
  <c r="B3118" i="1"/>
  <c r="A3119" i="1"/>
  <c r="B3119" i="1"/>
  <c r="A3120" i="1"/>
  <c r="B3120" i="1"/>
  <c r="A3121" i="1"/>
  <c r="B3121" i="1"/>
  <c r="A3122" i="1"/>
  <c r="B3122" i="1"/>
  <c r="A3123" i="1"/>
  <c r="B3123" i="1"/>
  <c r="A3124" i="1"/>
  <c r="B3124" i="1"/>
  <c r="A3125" i="1"/>
  <c r="B3125" i="1"/>
  <c r="A3126" i="1"/>
  <c r="B3126" i="1"/>
  <c r="A3127" i="1"/>
  <c r="B3127" i="1"/>
  <c r="A3128" i="1"/>
  <c r="B3128" i="1"/>
  <c r="A3129" i="1"/>
  <c r="B3129" i="1"/>
  <c r="A3130" i="1"/>
  <c r="B3130" i="1"/>
  <c r="A3131" i="1"/>
  <c r="B3131" i="1"/>
  <c r="A3132" i="1"/>
  <c r="B3132" i="1"/>
  <c r="A3133" i="1"/>
  <c r="B3133" i="1"/>
  <c r="A3134" i="1"/>
  <c r="B3134" i="1"/>
  <c r="A3135" i="1"/>
  <c r="B3135" i="1"/>
  <c r="A3136" i="1"/>
  <c r="B3136" i="1"/>
  <c r="A3137" i="1"/>
  <c r="B3137" i="1"/>
  <c r="A3138" i="1"/>
  <c r="B3138" i="1"/>
  <c r="A3139" i="1"/>
  <c r="B3139" i="1"/>
  <c r="A3140" i="1"/>
  <c r="B3140" i="1"/>
  <c r="A3141" i="1"/>
  <c r="B3141" i="1"/>
  <c r="A3142" i="1"/>
  <c r="B3142" i="1"/>
  <c r="A3143" i="1"/>
  <c r="B3143" i="1"/>
  <c r="A3144" i="1"/>
  <c r="B3144" i="1"/>
  <c r="A3145" i="1"/>
  <c r="B3145" i="1"/>
  <c r="A3146" i="1"/>
  <c r="B3146" i="1"/>
  <c r="A3147" i="1"/>
  <c r="B3147" i="1"/>
  <c r="A3148" i="1"/>
  <c r="B3148" i="1"/>
  <c r="A3149" i="1"/>
  <c r="B3149" i="1"/>
  <c r="A3150" i="1"/>
  <c r="B3150" i="1"/>
  <c r="A3151" i="1"/>
  <c r="B3151" i="1"/>
  <c r="A3152" i="1"/>
  <c r="B3152" i="1"/>
  <c r="A3153" i="1"/>
  <c r="B3153" i="1"/>
  <c r="A3154" i="1"/>
  <c r="B3154" i="1"/>
  <c r="A3155" i="1"/>
  <c r="B3155" i="1"/>
  <c r="A3156" i="1"/>
  <c r="B3156" i="1"/>
  <c r="A3157" i="1"/>
  <c r="B3157" i="1"/>
  <c r="A3158" i="1"/>
  <c r="B3158" i="1"/>
  <c r="A3159" i="1"/>
  <c r="B3159" i="1"/>
  <c r="A3160" i="1"/>
  <c r="B3160" i="1"/>
  <c r="A3161" i="1"/>
  <c r="B3161" i="1"/>
  <c r="A3162" i="1"/>
  <c r="B3162" i="1"/>
  <c r="A3163" i="1"/>
  <c r="B3163" i="1"/>
  <c r="A3164" i="1"/>
  <c r="B3164" i="1"/>
  <c r="A3165" i="1"/>
  <c r="B3165" i="1"/>
  <c r="A3166" i="1"/>
  <c r="B3166" i="1"/>
  <c r="A3167" i="1"/>
  <c r="B3167" i="1"/>
  <c r="A3168" i="1"/>
  <c r="B3168" i="1"/>
  <c r="A3169" i="1"/>
  <c r="B3169" i="1"/>
  <c r="A3170" i="1"/>
  <c r="B3170" i="1"/>
  <c r="A3171" i="1"/>
  <c r="B3171" i="1"/>
  <c r="A3172" i="1"/>
  <c r="B3172" i="1"/>
  <c r="A3173" i="1"/>
  <c r="B3173" i="1"/>
  <c r="A3174" i="1"/>
  <c r="B3174" i="1"/>
  <c r="A3175" i="1"/>
  <c r="B3175" i="1"/>
  <c r="A3176" i="1"/>
  <c r="B3176" i="1"/>
  <c r="A3177" i="1"/>
  <c r="B3177" i="1"/>
  <c r="A3178" i="1"/>
  <c r="B3178" i="1"/>
  <c r="A3179" i="1"/>
  <c r="B3179" i="1"/>
  <c r="A3180" i="1"/>
  <c r="B3180" i="1"/>
  <c r="A3181" i="1"/>
  <c r="B3181" i="1"/>
  <c r="A3182" i="1"/>
  <c r="B3182" i="1"/>
  <c r="A3183" i="1"/>
  <c r="B3183" i="1"/>
  <c r="A3184" i="1"/>
  <c r="B3184" i="1"/>
  <c r="A3185" i="1"/>
  <c r="B3185" i="1"/>
  <c r="A3186" i="1"/>
  <c r="B3186" i="1"/>
  <c r="A3187" i="1"/>
  <c r="B3187" i="1"/>
  <c r="A3188" i="1"/>
  <c r="B3188" i="1"/>
  <c r="A3189" i="1"/>
  <c r="B3189" i="1"/>
  <c r="A3190" i="1"/>
  <c r="B3190" i="1"/>
  <c r="A3191" i="1"/>
  <c r="B3191" i="1"/>
  <c r="A3192" i="1"/>
  <c r="B3192" i="1"/>
  <c r="A3193" i="1"/>
  <c r="B3193" i="1"/>
  <c r="A3194" i="1"/>
  <c r="B3194" i="1"/>
  <c r="A3195" i="1"/>
  <c r="B3195" i="1"/>
  <c r="A3196" i="1"/>
  <c r="B3196" i="1"/>
  <c r="A3197" i="1"/>
  <c r="B3197" i="1"/>
  <c r="A3198" i="1"/>
  <c r="B3198" i="1"/>
  <c r="A3199" i="1"/>
  <c r="B3199" i="1"/>
  <c r="A3200" i="1"/>
  <c r="B3200" i="1"/>
  <c r="A3201" i="1"/>
  <c r="B3201" i="1"/>
  <c r="A3202" i="1"/>
  <c r="B3202" i="1"/>
  <c r="A3203" i="1"/>
  <c r="B3203" i="1"/>
  <c r="A3204" i="1"/>
  <c r="B3204" i="1"/>
  <c r="A3205" i="1"/>
  <c r="B3205" i="1"/>
  <c r="A3206" i="1"/>
  <c r="B3206" i="1"/>
  <c r="A3207" i="1"/>
  <c r="B3207" i="1"/>
  <c r="A3208" i="1"/>
  <c r="B3208" i="1"/>
  <c r="A3209" i="1"/>
  <c r="B3209" i="1"/>
  <c r="A3210" i="1"/>
  <c r="B3210" i="1"/>
  <c r="A3211" i="1"/>
  <c r="B3211" i="1"/>
  <c r="A3212" i="1"/>
  <c r="B3212" i="1"/>
  <c r="A3213" i="1"/>
  <c r="B3213" i="1"/>
  <c r="A3214" i="1"/>
  <c r="B3214" i="1"/>
  <c r="A3215" i="1"/>
  <c r="B3215" i="1"/>
  <c r="A3216" i="1"/>
  <c r="B3216" i="1"/>
  <c r="A3217" i="1"/>
  <c r="B3217" i="1"/>
  <c r="A3218" i="1"/>
  <c r="B3218" i="1"/>
  <c r="A3219" i="1"/>
  <c r="B3219" i="1"/>
  <c r="A3220" i="1"/>
  <c r="B3220" i="1"/>
  <c r="A3221" i="1"/>
  <c r="B3221" i="1"/>
  <c r="A3222" i="1"/>
  <c r="B3222" i="1"/>
  <c r="A3223" i="1"/>
  <c r="B3223" i="1"/>
  <c r="A3224" i="1"/>
  <c r="B3224" i="1"/>
  <c r="A3225" i="1"/>
  <c r="B3225" i="1"/>
  <c r="A3226" i="1"/>
  <c r="B3226" i="1"/>
  <c r="A3227" i="1"/>
  <c r="B3227" i="1"/>
  <c r="A3228" i="1"/>
  <c r="B3228" i="1"/>
  <c r="A3229" i="1"/>
  <c r="B3229" i="1"/>
  <c r="A3230" i="1"/>
  <c r="B3230" i="1"/>
  <c r="A3231" i="1"/>
  <c r="B3231" i="1"/>
  <c r="A3232" i="1"/>
  <c r="B3232" i="1"/>
  <c r="A3233" i="1"/>
  <c r="B3233" i="1"/>
  <c r="A3234" i="1"/>
  <c r="B3234" i="1"/>
  <c r="A3235" i="1"/>
  <c r="B3235" i="1"/>
  <c r="A3236" i="1"/>
  <c r="B3236" i="1"/>
  <c r="A3237" i="1"/>
  <c r="B3237" i="1"/>
  <c r="A3238" i="1"/>
  <c r="B3238" i="1"/>
  <c r="A3239" i="1"/>
  <c r="B3239" i="1"/>
  <c r="A3240" i="1"/>
  <c r="B3240" i="1"/>
  <c r="A3241" i="1"/>
  <c r="B3241" i="1"/>
  <c r="A3242" i="1"/>
  <c r="B3242" i="1"/>
  <c r="A3243" i="1"/>
  <c r="B3243" i="1"/>
  <c r="A3244" i="1"/>
  <c r="B3244" i="1"/>
  <c r="A3245" i="1"/>
  <c r="B3245" i="1"/>
  <c r="A3246" i="1"/>
  <c r="B3246" i="1"/>
  <c r="A3247" i="1"/>
  <c r="B3247" i="1"/>
  <c r="A3248" i="1"/>
  <c r="B3248" i="1"/>
  <c r="A3249" i="1"/>
  <c r="B3249" i="1"/>
  <c r="A3250" i="1"/>
  <c r="B3250" i="1"/>
  <c r="A3251" i="1"/>
  <c r="B3251" i="1"/>
  <c r="A3252" i="1"/>
  <c r="B3252" i="1"/>
  <c r="A3253" i="1"/>
  <c r="B3253" i="1"/>
  <c r="A3254" i="1"/>
  <c r="B3254" i="1"/>
  <c r="A3255" i="1"/>
  <c r="B3255" i="1"/>
  <c r="A3256" i="1"/>
  <c r="B3256" i="1"/>
  <c r="A3257" i="1"/>
  <c r="B3257" i="1"/>
  <c r="A3258" i="1"/>
  <c r="B3258" i="1"/>
  <c r="A3259" i="1"/>
  <c r="B3259" i="1"/>
  <c r="A3260" i="1"/>
  <c r="B3260" i="1"/>
  <c r="A3261" i="1"/>
  <c r="B3261" i="1"/>
  <c r="A3262" i="1"/>
  <c r="B3262" i="1"/>
  <c r="A3263" i="1"/>
  <c r="B3263" i="1"/>
  <c r="A3264" i="1"/>
  <c r="B3264" i="1"/>
  <c r="A3265" i="1"/>
  <c r="B3265" i="1"/>
  <c r="A3266" i="1"/>
  <c r="B3266" i="1"/>
  <c r="A3267" i="1"/>
  <c r="B3267" i="1"/>
  <c r="A3268" i="1"/>
  <c r="B3268" i="1"/>
  <c r="A3269" i="1"/>
  <c r="B3269" i="1"/>
  <c r="A3270" i="1"/>
  <c r="B3270" i="1"/>
  <c r="A3271" i="1"/>
  <c r="B3271" i="1"/>
  <c r="A3272" i="1"/>
  <c r="B3272" i="1"/>
  <c r="A3273" i="1"/>
  <c r="B3273" i="1"/>
  <c r="A3274" i="1"/>
  <c r="B3274" i="1"/>
  <c r="A3275" i="1"/>
  <c r="B3275" i="1"/>
  <c r="A3276" i="1"/>
  <c r="B3276" i="1"/>
  <c r="A3277" i="1"/>
  <c r="B3277" i="1"/>
  <c r="A3278" i="1"/>
  <c r="B3278" i="1"/>
  <c r="A3279" i="1"/>
  <c r="B3279" i="1"/>
  <c r="A3280" i="1"/>
  <c r="B3280" i="1"/>
  <c r="A3281" i="1"/>
  <c r="B3281" i="1"/>
  <c r="A3282" i="1"/>
  <c r="B3282" i="1"/>
  <c r="A3283" i="1"/>
  <c r="B3283" i="1"/>
  <c r="A3284" i="1"/>
  <c r="B3284" i="1"/>
  <c r="A3285" i="1"/>
  <c r="B3285" i="1"/>
  <c r="A3286" i="1"/>
  <c r="B3286" i="1"/>
  <c r="A3287" i="1"/>
  <c r="B3287" i="1"/>
  <c r="A3288" i="1"/>
  <c r="B3288" i="1"/>
  <c r="A3289" i="1"/>
  <c r="B3289" i="1"/>
  <c r="A3290" i="1"/>
  <c r="B3290" i="1"/>
  <c r="A3291" i="1"/>
  <c r="B3291" i="1"/>
  <c r="A3292" i="1"/>
  <c r="B3292" i="1"/>
  <c r="A3293" i="1"/>
  <c r="B3293" i="1"/>
  <c r="A3294" i="1"/>
  <c r="B3294" i="1"/>
  <c r="A3295" i="1"/>
  <c r="B3295" i="1"/>
  <c r="A3296" i="1"/>
  <c r="B3296" i="1"/>
  <c r="A3297" i="1"/>
  <c r="B3297" i="1"/>
  <c r="A3298" i="1"/>
  <c r="B3298" i="1"/>
  <c r="A3299" i="1"/>
  <c r="B3299" i="1"/>
  <c r="A3300" i="1"/>
  <c r="B3300" i="1"/>
  <c r="A3301" i="1"/>
  <c r="B3301" i="1"/>
  <c r="A3302" i="1"/>
  <c r="B3302" i="1"/>
  <c r="A3303" i="1"/>
  <c r="B3303" i="1"/>
  <c r="A3304" i="1"/>
  <c r="B3304" i="1"/>
  <c r="A3305" i="1"/>
  <c r="B3305" i="1"/>
  <c r="A3306" i="1"/>
  <c r="B3306" i="1"/>
  <c r="A3307" i="1"/>
  <c r="B3307" i="1"/>
  <c r="A3308" i="1"/>
  <c r="B3308" i="1"/>
  <c r="A3309" i="1"/>
  <c r="B3309" i="1"/>
  <c r="A3310" i="1"/>
  <c r="B3310" i="1"/>
  <c r="A3311" i="1"/>
  <c r="B3311" i="1"/>
  <c r="A3312" i="1"/>
  <c r="B3312" i="1"/>
  <c r="A3313" i="1"/>
  <c r="B3313" i="1"/>
  <c r="A3314" i="1"/>
  <c r="B3314" i="1"/>
  <c r="A3315" i="1"/>
  <c r="B3315" i="1"/>
  <c r="A3316" i="1"/>
  <c r="B3316" i="1"/>
  <c r="A3317" i="1"/>
  <c r="B3317" i="1"/>
  <c r="A3318" i="1"/>
  <c r="B3318" i="1"/>
  <c r="A3319" i="1"/>
  <c r="B3319" i="1"/>
  <c r="A3320" i="1"/>
  <c r="B3320" i="1"/>
  <c r="A3321" i="1"/>
  <c r="B3321" i="1"/>
  <c r="A3322" i="1"/>
  <c r="B3322" i="1"/>
  <c r="A3323" i="1"/>
  <c r="B3323" i="1"/>
  <c r="A3324" i="1"/>
  <c r="B3324" i="1"/>
  <c r="A3325" i="1"/>
  <c r="B3325" i="1"/>
  <c r="A3326" i="1"/>
  <c r="B3326" i="1"/>
  <c r="A3327" i="1"/>
  <c r="B3327" i="1"/>
  <c r="A3328" i="1"/>
  <c r="B3328" i="1"/>
  <c r="A3329" i="1"/>
  <c r="B3329" i="1"/>
  <c r="A3330" i="1"/>
  <c r="B3330" i="1"/>
  <c r="A3331" i="1"/>
  <c r="B3331" i="1"/>
  <c r="A3332" i="1"/>
  <c r="B3332" i="1"/>
  <c r="A3333" i="1"/>
  <c r="B3333" i="1"/>
  <c r="A3334" i="1"/>
  <c r="B3334" i="1"/>
  <c r="A3335" i="1"/>
  <c r="B3335" i="1"/>
  <c r="A3336" i="1"/>
  <c r="B3336" i="1"/>
  <c r="A3337" i="1"/>
  <c r="B3337" i="1"/>
  <c r="A3338" i="1"/>
  <c r="B3338" i="1"/>
  <c r="A3339" i="1"/>
  <c r="B3339" i="1"/>
  <c r="A3340" i="1"/>
  <c r="B3340" i="1"/>
  <c r="A3341" i="1"/>
  <c r="B3341" i="1"/>
  <c r="A3342" i="1"/>
  <c r="B3342" i="1"/>
  <c r="A3343" i="1"/>
  <c r="B3343" i="1"/>
  <c r="A3344" i="1"/>
  <c r="B3344" i="1"/>
  <c r="A3345" i="1"/>
  <c r="B3345" i="1"/>
  <c r="A3346" i="1"/>
  <c r="B3346" i="1"/>
  <c r="A3347" i="1"/>
  <c r="B3347" i="1"/>
  <c r="A3348" i="1"/>
  <c r="B3348" i="1"/>
  <c r="A3349" i="1"/>
  <c r="B3349" i="1"/>
  <c r="A3350" i="1"/>
  <c r="B3350" i="1"/>
  <c r="A3351" i="1"/>
  <c r="B3351" i="1"/>
  <c r="A3352" i="1"/>
  <c r="B3352" i="1"/>
  <c r="A3353" i="1"/>
  <c r="B3353" i="1"/>
  <c r="A3354" i="1"/>
  <c r="B3354" i="1"/>
  <c r="A3355" i="1"/>
  <c r="B3355" i="1"/>
  <c r="A3356" i="1"/>
  <c r="B3356" i="1"/>
  <c r="A3357" i="1"/>
  <c r="B3357" i="1"/>
  <c r="A3358" i="1"/>
  <c r="B3358" i="1"/>
  <c r="A3359" i="1"/>
  <c r="B3359" i="1"/>
  <c r="A3360" i="1"/>
  <c r="B3360" i="1"/>
  <c r="A3361" i="1"/>
  <c r="B3361" i="1"/>
  <c r="A3362" i="1"/>
  <c r="B3362" i="1"/>
  <c r="A3363" i="1"/>
  <c r="B3363" i="1"/>
  <c r="A3364" i="1"/>
  <c r="B3364" i="1"/>
  <c r="A3365" i="1"/>
  <c r="B3365" i="1"/>
  <c r="A3366" i="1"/>
  <c r="B3366" i="1"/>
  <c r="A3367" i="1"/>
  <c r="B3367" i="1"/>
  <c r="A3368" i="1"/>
  <c r="B3368" i="1"/>
  <c r="A3369" i="1"/>
  <c r="B3369" i="1"/>
  <c r="A3370" i="1"/>
  <c r="B3370" i="1"/>
  <c r="A3371" i="1"/>
  <c r="B3371" i="1"/>
  <c r="A3372" i="1"/>
  <c r="B3372" i="1"/>
  <c r="A3373" i="1"/>
  <c r="B3373" i="1"/>
  <c r="A3374" i="1"/>
  <c r="B3374" i="1"/>
  <c r="A3375" i="1"/>
  <c r="B3375" i="1"/>
  <c r="A3376" i="1"/>
  <c r="B3376" i="1"/>
  <c r="A3377" i="1"/>
  <c r="B3377" i="1"/>
  <c r="A3378" i="1"/>
  <c r="B3378" i="1"/>
  <c r="A3379" i="1"/>
  <c r="B3379" i="1"/>
  <c r="A3380" i="1"/>
  <c r="B3380" i="1"/>
  <c r="A3381" i="1"/>
  <c r="B3381" i="1"/>
  <c r="A3382" i="1"/>
  <c r="B3382" i="1"/>
  <c r="A3383" i="1"/>
  <c r="B3383" i="1"/>
  <c r="A3384" i="1"/>
  <c r="B3384" i="1"/>
  <c r="A3385" i="1"/>
  <c r="B3385" i="1"/>
  <c r="A3386" i="1"/>
  <c r="B3386" i="1"/>
  <c r="A3387" i="1"/>
  <c r="B3387" i="1"/>
  <c r="A3388" i="1"/>
  <c r="B3388" i="1"/>
  <c r="A3389" i="1"/>
  <c r="B3389" i="1"/>
  <c r="A3390" i="1"/>
  <c r="B3390" i="1"/>
  <c r="A3391" i="1"/>
  <c r="B3391" i="1"/>
  <c r="A3392" i="1"/>
  <c r="B3392" i="1"/>
  <c r="A3393" i="1"/>
  <c r="B3393" i="1"/>
  <c r="A3394" i="1"/>
  <c r="B3394" i="1"/>
  <c r="A3395" i="1"/>
  <c r="B3395" i="1"/>
  <c r="A3396" i="1"/>
  <c r="B3396" i="1"/>
  <c r="A3397" i="1"/>
  <c r="B3397" i="1"/>
  <c r="A3398" i="1"/>
  <c r="B3398" i="1"/>
  <c r="A3399" i="1"/>
  <c r="B3399" i="1"/>
  <c r="A3400" i="1"/>
  <c r="B3400" i="1"/>
  <c r="A3401" i="1"/>
  <c r="B3401" i="1"/>
  <c r="A3402" i="1"/>
  <c r="B3402" i="1"/>
  <c r="A3403" i="1"/>
  <c r="B3403" i="1"/>
  <c r="A3404" i="1"/>
  <c r="B3404" i="1"/>
  <c r="A3405" i="1"/>
  <c r="B3405" i="1"/>
  <c r="A3406" i="1"/>
  <c r="B3406" i="1"/>
  <c r="A3407" i="1"/>
  <c r="B3407" i="1"/>
  <c r="A3408" i="1"/>
  <c r="B3408" i="1"/>
  <c r="A3409" i="1"/>
  <c r="B3409" i="1"/>
  <c r="A3410" i="1"/>
  <c r="B3410" i="1"/>
  <c r="A3411" i="1"/>
  <c r="B3411" i="1"/>
  <c r="A3412" i="1"/>
  <c r="B3412" i="1"/>
  <c r="A3413" i="1"/>
  <c r="B3413" i="1"/>
  <c r="A3414" i="1"/>
  <c r="B3414" i="1"/>
  <c r="A3415" i="1"/>
  <c r="B3415" i="1"/>
  <c r="A3416" i="1"/>
  <c r="B3416" i="1"/>
  <c r="A3417" i="1"/>
  <c r="B3417" i="1"/>
  <c r="A3418" i="1"/>
  <c r="B3418" i="1"/>
  <c r="A3419" i="1"/>
  <c r="B3419" i="1"/>
  <c r="A3420" i="1"/>
  <c r="B3420" i="1"/>
  <c r="A3421" i="1"/>
  <c r="B3421" i="1"/>
  <c r="A3422" i="1"/>
  <c r="B3422" i="1"/>
  <c r="A3423" i="1"/>
  <c r="B3423" i="1"/>
  <c r="A3424" i="1"/>
  <c r="B3424" i="1"/>
  <c r="A3425" i="1"/>
  <c r="B3425" i="1"/>
  <c r="A3426" i="1"/>
  <c r="B3426" i="1"/>
  <c r="A3427" i="1"/>
  <c r="B3427" i="1"/>
  <c r="A3428" i="1"/>
  <c r="B3428" i="1"/>
  <c r="A3429" i="1"/>
  <c r="B3429" i="1"/>
  <c r="A3430" i="1"/>
  <c r="B3430" i="1"/>
  <c r="A3431" i="1"/>
  <c r="B3431" i="1"/>
  <c r="A3432" i="1"/>
  <c r="B3432" i="1"/>
  <c r="A3433" i="1"/>
  <c r="B3433" i="1"/>
  <c r="A3434" i="1"/>
  <c r="B3434" i="1"/>
  <c r="A3435" i="1"/>
  <c r="B3435" i="1"/>
  <c r="A3436" i="1"/>
  <c r="B3436" i="1"/>
  <c r="A3437" i="1"/>
  <c r="B3437" i="1"/>
  <c r="A3438" i="1"/>
  <c r="B3438" i="1"/>
  <c r="A3439" i="1"/>
  <c r="B3439" i="1"/>
  <c r="A3440" i="1"/>
  <c r="B3440" i="1"/>
  <c r="A3441" i="1"/>
  <c r="B3441" i="1"/>
  <c r="A3442" i="1"/>
  <c r="B3442" i="1"/>
  <c r="A3443" i="1"/>
  <c r="B3443" i="1"/>
  <c r="A3444" i="1"/>
  <c r="B3444" i="1"/>
  <c r="A3445" i="1"/>
  <c r="B3445" i="1"/>
  <c r="A3446" i="1"/>
  <c r="B3446" i="1"/>
  <c r="A3447" i="1"/>
  <c r="B3447" i="1"/>
  <c r="A3448" i="1"/>
  <c r="B3448" i="1"/>
  <c r="A3449" i="1"/>
  <c r="B3449" i="1"/>
  <c r="A3450" i="1"/>
  <c r="B3450" i="1"/>
  <c r="A3451" i="1"/>
  <c r="B3451" i="1"/>
  <c r="A3452" i="1"/>
  <c r="B3452" i="1"/>
  <c r="A3453" i="1"/>
  <c r="B3453" i="1"/>
  <c r="A3454" i="1"/>
  <c r="B3454" i="1"/>
  <c r="A3455" i="1"/>
  <c r="B3455" i="1"/>
  <c r="A3456" i="1"/>
  <c r="B3456" i="1"/>
  <c r="A3457" i="1"/>
  <c r="B3457" i="1"/>
  <c r="A3458" i="1"/>
  <c r="B3458" i="1"/>
  <c r="A3459" i="1"/>
  <c r="B3459" i="1"/>
  <c r="A3460" i="1"/>
  <c r="B3460" i="1"/>
  <c r="A3461" i="1"/>
  <c r="B3461" i="1"/>
  <c r="A3462" i="1"/>
  <c r="B3462" i="1"/>
  <c r="A3463" i="1"/>
  <c r="B3463" i="1"/>
  <c r="A3464" i="1"/>
  <c r="B3464" i="1"/>
  <c r="A3465" i="1"/>
  <c r="B3465" i="1"/>
  <c r="A3466" i="1"/>
  <c r="B3466" i="1"/>
  <c r="A3467" i="1"/>
  <c r="B3467" i="1"/>
  <c r="A3468" i="1"/>
  <c r="B3468" i="1"/>
  <c r="A3469" i="1"/>
  <c r="B3469" i="1"/>
  <c r="A3470" i="1"/>
  <c r="B3470" i="1"/>
  <c r="A3471" i="1"/>
  <c r="B3471" i="1"/>
  <c r="A3472" i="1"/>
  <c r="B3472" i="1"/>
  <c r="A3473" i="1"/>
  <c r="B3473" i="1"/>
  <c r="A3474" i="1"/>
  <c r="B3474" i="1"/>
  <c r="A3475" i="1"/>
  <c r="B3475" i="1"/>
  <c r="A3476" i="1"/>
  <c r="B3476" i="1"/>
  <c r="A3477" i="1"/>
  <c r="B3477" i="1"/>
  <c r="A3478" i="1"/>
  <c r="B3478" i="1"/>
  <c r="A3479" i="1"/>
  <c r="B3479" i="1"/>
  <c r="A3480" i="1"/>
  <c r="B3480" i="1"/>
  <c r="A3481" i="1"/>
  <c r="B3481" i="1"/>
  <c r="A3482" i="1"/>
  <c r="B3482" i="1"/>
  <c r="A3483" i="1"/>
  <c r="B3483" i="1"/>
  <c r="A3484" i="1"/>
  <c r="B3484" i="1"/>
  <c r="A3485" i="1"/>
  <c r="B3485" i="1"/>
  <c r="A3486" i="1"/>
  <c r="B3486" i="1"/>
  <c r="A3487" i="1"/>
  <c r="B3487" i="1"/>
  <c r="A3488" i="1"/>
  <c r="B3488" i="1"/>
  <c r="A3489" i="1"/>
  <c r="B3489" i="1"/>
  <c r="A3490" i="1"/>
  <c r="B3490" i="1"/>
  <c r="A3491" i="1"/>
  <c r="B3491" i="1"/>
  <c r="A3492" i="1"/>
  <c r="B3492" i="1"/>
  <c r="A3493" i="1"/>
  <c r="B3493" i="1"/>
  <c r="A3494" i="1"/>
  <c r="B3494" i="1"/>
  <c r="A3495" i="1"/>
  <c r="B3495" i="1"/>
  <c r="A3496" i="1"/>
  <c r="B3496" i="1"/>
  <c r="A3497" i="1"/>
  <c r="B3497" i="1"/>
  <c r="A3498" i="1"/>
  <c r="B3498" i="1"/>
  <c r="A3499" i="1"/>
  <c r="B3499" i="1"/>
  <c r="A3500" i="1"/>
  <c r="B3500" i="1"/>
  <c r="A3501" i="1"/>
  <c r="B3501" i="1"/>
  <c r="A3502" i="1"/>
  <c r="B3502" i="1"/>
  <c r="A3503" i="1"/>
  <c r="B3503" i="1"/>
  <c r="A3504" i="1"/>
  <c r="B3504" i="1"/>
  <c r="A3505" i="1"/>
  <c r="B3505" i="1"/>
  <c r="A3506" i="1"/>
  <c r="B3506" i="1"/>
  <c r="A3507" i="1"/>
  <c r="B3507" i="1"/>
  <c r="A3508" i="1"/>
  <c r="B3508" i="1"/>
  <c r="A3509" i="1"/>
  <c r="B3509" i="1"/>
  <c r="A3510" i="1"/>
  <c r="B3510" i="1"/>
  <c r="A3511" i="1"/>
  <c r="B3511" i="1"/>
  <c r="A3512" i="1"/>
  <c r="B3512" i="1"/>
  <c r="A3513" i="1"/>
  <c r="B3513" i="1"/>
  <c r="A3514" i="1"/>
  <c r="B3514" i="1"/>
  <c r="A3515" i="1"/>
  <c r="B3515" i="1"/>
  <c r="A3516" i="1"/>
  <c r="B3516" i="1"/>
  <c r="A3517" i="1"/>
  <c r="B3517" i="1"/>
  <c r="A3518" i="1"/>
  <c r="B3518" i="1"/>
  <c r="A3519" i="1"/>
  <c r="B3519" i="1"/>
  <c r="A3520" i="1"/>
  <c r="B3520" i="1"/>
  <c r="A3521" i="1"/>
  <c r="B3521" i="1"/>
  <c r="A3522" i="1"/>
  <c r="B3522" i="1"/>
  <c r="A3523" i="1"/>
  <c r="B3523" i="1"/>
  <c r="A3524" i="1"/>
  <c r="B3524" i="1"/>
  <c r="A3525" i="1"/>
  <c r="B3525" i="1"/>
  <c r="A3526" i="1"/>
  <c r="B3526" i="1"/>
  <c r="A3527" i="1"/>
  <c r="B3527" i="1"/>
  <c r="A3528" i="1"/>
  <c r="B3528" i="1"/>
  <c r="A3529" i="1"/>
  <c r="B3529" i="1"/>
  <c r="A3530" i="1"/>
  <c r="B3530" i="1"/>
  <c r="A3531" i="1"/>
  <c r="B3531" i="1"/>
  <c r="A3532" i="1"/>
  <c r="B3532" i="1"/>
  <c r="A3533" i="1"/>
  <c r="B3533" i="1"/>
  <c r="A3534" i="1"/>
  <c r="B3534" i="1"/>
  <c r="A3535" i="1"/>
  <c r="B3535" i="1"/>
  <c r="A3536" i="1"/>
  <c r="B3536" i="1"/>
  <c r="A3537" i="1"/>
  <c r="B3537" i="1"/>
  <c r="A3538" i="1"/>
  <c r="B3538" i="1"/>
  <c r="A3539" i="1"/>
  <c r="B3539" i="1"/>
  <c r="A3540" i="1"/>
  <c r="B3540" i="1"/>
  <c r="A3541" i="1"/>
  <c r="B3541" i="1"/>
  <c r="A3542" i="1"/>
  <c r="B3542" i="1"/>
  <c r="A3543" i="1"/>
  <c r="B3543" i="1"/>
  <c r="A3544" i="1"/>
  <c r="B3544" i="1"/>
  <c r="A3545" i="1"/>
  <c r="B3545" i="1"/>
  <c r="A3546" i="1"/>
  <c r="B3546" i="1"/>
  <c r="A3547" i="1"/>
  <c r="B3547" i="1"/>
  <c r="A3548" i="1"/>
  <c r="B3548" i="1"/>
  <c r="A3549" i="1"/>
  <c r="B3549" i="1"/>
  <c r="A3550" i="1"/>
  <c r="B3550" i="1"/>
  <c r="A3551" i="1"/>
  <c r="B3551" i="1"/>
  <c r="A3552" i="1"/>
  <c r="B3552" i="1"/>
  <c r="A3553" i="1"/>
  <c r="B3553" i="1"/>
  <c r="A3554" i="1"/>
  <c r="B3554" i="1"/>
  <c r="A3555" i="1"/>
  <c r="B3555" i="1"/>
  <c r="A3556" i="1"/>
  <c r="B3556" i="1"/>
  <c r="A3557" i="1"/>
  <c r="B3557" i="1"/>
  <c r="A3558" i="1"/>
  <c r="B3558" i="1"/>
  <c r="A3559" i="1"/>
  <c r="B3559" i="1"/>
  <c r="A3560" i="1"/>
  <c r="B3560" i="1"/>
  <c r="A3561" i="1"/>
  <c r="B3561" i="1"/>
  <c r="A3562" i="1"/>
  <c r="B3562" i="1"/>
  <c r="A3563" i="1"/>
  <c r="B3563" i="1"/>
  <c r="A3564" i="1"/>
  <c r="B3564" i="1"/>
  <c r="A3565" i="1"/>
  <c r="B3565" i="1"/>
  <c r="A3566" i="1"/>
  <c r="B3566" i="1"/>
  <c r="A3567" i="1"/>
  <c r="B3567" i="1"/>
  <c r="A3568" i="1"/>
  <c r="B3568" i="1"/>
  <c r="A3569" i="1"/>
  <c r="B3569" i="1"/>
  <c r="A3570" i="1"/>
  <c r="B3570" i="1"/>
  <c r="A3571" i="1"/>
  <c r="B3571" i="1"/>
  <c r="A3572" i="1"/>
  <c r="B3572" i="1"/>
  <c r="A3573" i="1"/>
  <c r="B3573" i="1"/>
  <c r="A3574" i="1"/>
  <c r="B3574" i="1"/>
  <c r="A3575" i="1"/>
  <c r="B3575" i="1"/>
  <c r="A3576" i="1"/>
  <c r="B3576" i="1"/>
  <c r="A3577" i="1"/>
  <c r="B3577" i="1"/>
  <c r="A3578" i="1"/>
  <c r="B3578" i="1"/>
  <c r="A3579" i="1"/>
  <c r="B3579" i="1"/>
  <c r="A3580" i="1"/>
  <c r="B3580" i="1"/>
  <c r="A3581" i="1"/>
  <c r="B3581" i="1"/>
  <c r="A3582" i="1"/>
  <c r="B3582" i="1"/>
  <c r="A3583" i="1"/>
  <c r="B3583" i="1"/>
  <c r="A3584" i="1"/>
  <c r="B3584" i="1"/>
  <c r="A3585" i="1"/>
  <c r="B3585" i="1"/>
  <c r="A3586" i="1"/>
  <c r="B3586" i="1"/>
  <c r="A3587" i="1"/>
  <c r="B3587" i="1"/>
  <c r="A3588" i="1"/>
  <c r="B3588" i="1"/>
  <c r="A3589" i="1"/>
  <c r="B3589" i="1"/>
  <c r="A3590" i="1"/>
  <c r="B3590" i="1"/>
  <c r="A3591" i="1"/>
  <c r="B3591" i="1"/>
  <c r="A3592" i="1"/>
  <c r="B3592" i="1"/>
  <c r="A3593" i="1"/>
  <c r="B3593" i="1"/>
  <c r="A3594" i="1"/>
  <c r="B3594" i="1"/>
  <c r="A3595" i="1"/>
  <c r="B3595" i="1"/>
  <c r="A3596" i="1"/>
  <c r="B3596" i="1"/>
  <c r="A3597" i="1"/>
  <c r="B3597" i="1"/>
  <c r="A3598" i="1"/>
  <c r="B3598" i="1"/>
  <c r="A3599" i="1"/>
  <c r="B3599" i="1"/>
  <c r="A3600" i="1"/>
  <c r="B3600" i="1"/>
  <c r="A3601" i="1"/>
  <c r="B3601" i="1"/>
  <c r="A3602" i="1"/>
  <c r="B3602" i="1"/>
  <c r="A3603" i="1"/>
  <c r="B3603" i="1"/>
  <c r="A3604" i="1"/>
  <c r="B3604" i="1"/>
  <c r="A3605" i="1"/>
  <c r="B3605" i="1"/>
  <c r="A3606" i="1"/>
  <c r="B3606" i="1"/>
  <c r="A3607" i="1"/>
  <c r="B3607" i="1"/>
  <c r="A3608" i="1"/>
  <c r="B3608" i="1"/>
  <c r="A3609" i="1"/>
  <c r="B3609" i="1"/>
  <c r="A3610" i="1"/>
  <c r="B3610" i="1"/>
  <c r="A3611" i="1"/>
  <c r="B3611" i="1"/>
  <c r="A3612" i="1"/>
  <c r="B3612" i="1"/>
  <c r="A3613" i="1"/>
  <c r="B3613" i="1"/>
  <c r="A3614" i="1"/>
  <c r="B3614" i="1"/>
  <c r="A3615" i="1"/>
  <c r="B3615" i="1"/>
  <c r="A3616" i="1"/>
  <c r="B3616" i="1"/>
  <c r="A3617" i="1"/>
  <c r="B3617" i="1"/>
  <c r="A3618" i="1"/>
  <c r="B3618" i="1"/>
  <c r="A3619" i="1"/>
  <c r="B3619" i="1"/>
  <c r="A3620" i="1"/>
  <c r="B3620" i="1"/>
  <c r="A3621" i="1"/>
  <c r="B3621" i="1"/>
  <c r="A3622" i="1"/>
  <c r="B3622" i="1"/>
  <c r="A3623" i="1"/>
  <c r="B3623" i="1"/>
  <c r="A3624" i="1"/>
  <c r="B3624" i="1"/>
  <c r="A3625" i="1"/>
  <c r="B3625" i="1"/>
  <c r="A3626" i="1"/>
  <c r="B3626" i="1"/>
  <c r="A3627" i="1"/>
  <c r="B3627" i="1"/>
  <c r="A3628" i="1"/>
  <c r="B3628" i="1"/>
  <c r="A3629" i="1"/>
  <c r="B3629" i="1"/>
  <c r="A3630" i="1"/>
  <c r="B3630" i="1"/>
  <c r="A3631" i="1"/>
  <c r="B3631" i="1"/>
  <c r="A3632" i="1"/>
  <c r="B3632" i="1"/>
  <c r="A3633" i="1"/>
  <c r="B3633" i="1"/>
  <c r="A3634" i="1"/>
  <c r="B3634" i="1"/>
  <c r="A3635" i="1"/>
  <c r="B3635" i="1"/>
  <c r="A3636" i="1"/>
  <c r="B3636" i="1"/>
  <c r="A3637" i="1"/>
  <c r="B3637" i="1"/>
  <c r="A3638" i="1"/>
  <c r="B3638" i="1"/>
  <c r="A3639" i="1"/>
  <c r="B3639" i="1"/>
  <c r="A3640" i="1"/>
  <c r="B3640" i="1"/>
  <c r="A3641" i="1"/>
  <c r="B3641" i="1"/>
  <c r="A3642" i="1"/>
  <c r="B3642" i="1"/>
  <c r="A3643" i="1"/>
  <c r="B3643" i="1"/>
  <c r="A3644" i="1"/>
  <c r="B3644" i="1"/>
  <c r="A3645" i="1"/>
  <c r="B3645" i="1"/>
  <c r="A3646" i="1"/>
  <c r="B3646" i="1"/>
  <c r="A3647" i="1"/>
  <c r="B3647" i="1"/>
  <c r="A3648" i="1"/>
  <c r="B3648" i="1"/>
  <c r="A3649" i="1"/>
  <c r="B3649" i="1"/>
  <c r="A3650" i="1"/>
  <c r="B3650" i="1"/>
  <c r="A3651" i="1"/>
  <c r="B3651" i="1"/>
  <c r="A3652" i="1"/>
  <c r="B3652" i="1"/>
  <c r="A3653" i="1"/>
  <c r="B3653" i="1"/>
  <c r="A3654" i="1"/>
  <c r="B3654" i="1"/>
  <c r="A3655" i="1"/>
  <c r="B3655" i="1"/>
  <c r="A3656" i="1"/>
  <c r="B3656" i="1"/>
  <c r="A3657" i="1"/>
  <c r="B3657" i="1"/>
  <c r="A3658" i="1"/>
  <c r="B3658" i="1"/>
  <c r="A3659" i="1"/>
  <c r="B3659" i="1"/>
  <c r="A3660" i="1"/>
  <c r="B3660" i="1"/>
  <c r="A3661" i="1"/>
  <c r="B3661" i="1"/>
  <c r="A3662" i="1"/>
  <c r="B3662" i="1"/>
  <c r="A3663" i="1"/>
  <c r="B3663" i="1"/>
  <c r="A3664" i="1"/>
  <c r="B3664" i="1"/>
  <c r="A3665" i="1"/>
  <c r="B3665" i="1"/>
  <c r="A3666" i="1"/>
  <c r="B3666" i="1"/>
  <c r="A3667" i="1"/>
  <c r="B3667" i="1"/>
  <c r="A3668" i="1"/>
  <c r="B3668" i="1"/>
  <c r="A3669" i="1"/>
  <c r="B3669" i="1"/>
  <c r="A3670" i="1"/>
  <c r="B3670" i="1"/>
  <c r="A3671" i="1"/>
  <c r="B3671" i="1"/>
  <c r="A3672" i="1"/>
  <c r="B3672" i="1"/>
  <c r="A3673" i="1"/>
  <c r="B3673" i="1"/>
  <c r="A3674" i="1"/>
  <c r="B3674" i="1"/>
  <c r="A3675" i="1"/>
  <c r="B3675" i="1"/>
  <c r="A3676" i="1"/>
  <c r="B3676" i="1"/>
  <c r="A3677" i="1"/>
  <c r="B3677" i="1"/>
  <c r="A3678" i="1"/>
  <c r="B3678" i="1"/>
  <c r="A3679" i="1"/>
  <c r="B3679" i="1"/>
  <c r="A3680" i="1"/>
  <c r="B3680" i="1"/>
  <c r="A3681" i="1"/>
  <c r="B3681" i="1"/>
  <c r="A3682" i="1"/>
  <c r="B3682" i="1"/>
  <c r="A3683" i="1"/>
  <c r="B3683" i="1"/>
  <c r="A3684" i="1"/>
  <c r="B3684" i="1"/>
  <c r="A3685" i="1"/>
  <c r="B3685" i="1"/>
  <c r="A3686" i="1"/>
  <c r="B3686" i="1"/>
  <c r="A3687" i="1"/>
  <c r="B3687" i="1"/>
  <c r="A3688" i="1"/>
  <c r="B3688" i="1"/>
  <c r="A3689" i="1"/>
  <c r="B3689" i="1"/>
  <c r="A3690" i="1"/>
  <c r="B3690" i="1"/>
  <c r="A3691" i="1"/>
  <c r="B3691" i="1"/>
  <c r="A3692" i="1"/>
  <c r="B3692" i="1"/>
  <c r="A3693" i="1"/>
  <c r="B3693" i="1"/>
  <c r="A3694" i="1"/>
  <c r="B3694" i="1"/>
  <c r="A3695" i="1"/>
  <c r="B3695" i="1"/>
  <c r="A3696" i="1"/>
  <c r="B3696" i="1"/>
  <c r="A3697" i="1"/>
  <c r="B3697" i="1"/>
  <c r="A3698" i="1"/>
  <c r="B3698" i="1"/>
  <c r="A3699" i="1"/>
  <c r="B3699" i="1"/>
  <c r="A3700" i="1"/>
  <c r="B3700" i="1"/>
  <c r="A3701" i="1"/>
  <c r="B3701" i="1"/>
  <c r="A3702" i="1"/>
  <c r="B3702" i="1"/>
  <c r="A3703" i="1"/>
  <c r="B3703" i="1"/>
  <c r="A3704" i="1"/>
  <c r="B3704" i="1"/>
  <c r="A3705" i="1"/>
  <c r="B3705" i="1"/>
  <c r="A3706" i="1"/>
  <c r="B3706" i="1"/>
  <c r="A3707" i="1"/>
  <c r="B3707" i="1"/>
  <c r="A3708" i="1"/>
  <c r="B3708" i="1"/>
  <c r="A3709" i="1"/>
  <c r="B3709" i="1"/>
  <c r="A3710" i="1"/>
  <c r="B3710" i="1"/>
  <c r="A3711" i="1"/>
  <c r="B3711" i="1"/>
  <c r="A3712" i="1"/>
  <c r="B3712" i="1"/>
  <c r="A3713" i="1"/>
  <c r="B3713" i="1"/>
  <c r="A3714" i="1"/>
  <c r="B3714" i="1"/>
  <c r="A3715" i="1"/>
  <c r="B3715" i="1"/>
  <c r="A3716" i="1"/>
  <c r="B3716" i="1"/>
  <c r="A3717" i="1"/>
  <c r="B3717" i="1"/>
  <c r="A3718" i="1"/>
  <c r="B3718" i="1"/>
  <c r="A3719" i="1"/>
  <c r="B3719" i="1"/>
  <c r="A3720" i="1"/>
  <c r="B3720" i="1"/>
  <c r="A3721" i="1"/>
  <c r="B3721" i="1"/>
  <c r="A3722" i="1"/>
  <c r="B3722" i="1"/>
  <c r="A3723" i="1"/>
  <c r="B3723" i="1"/>
  <c r="A3724" i="1"/>
  <c r="B3724" i="1"/>
  <c r="A3725" i="1"/>
  <c r="B3725" i="1"/>
  <c r="A3726" i="1"/>
  <c r="B3726" i="1"/>
  <c r="A3727" i="1"/>
  <c r="B3727" i="1"/>
  <c r="A3728" i="1"/>
  <c r="B3728" i="1"/>
  <c r="A3729" i="1"/>
  <c r="B3729" i="1"/>
  <c r="A3730" i="1"/>
  <c r="B3730" i="1"/>
  <c r="A3731" i="1"/>
  <c r="B3731" i="1"/>
  <c r="A3732" i="1"/>
  <c r="B3732" i="1"/>
  <c r="A3733" i="1"/>
  <c r="B3733" i="1"/>
  <c r="A3734" i="1"/>
  <c r="B3734" i="1"/>
  <c r="A3735" i="1"/>
  <c r="B3735" i="1"/>
  <c r="A3736" i="1"/>
  <c r="B3736" i="1"/>
  <c r="A3737" i="1"/>
  <c r="B3737" i="1"/>
  <c r="A3738" i="1"/>
  <c r="B3738" i="1"/>
  <c r="A3739" i="1"/>
  <c r="B3739" i="1"/>
  <c r="A3740" i="1"/>
  <c r="B3740" i="1"/>
  <c r="A3741" i="1"/>
  <c r="B3741" i="1"/>
  <c r="A3742" i="1"/>
  <c r="B3742" i="1"/>
  <c r="A3743" i="1"/>
  <c r="B3743" i="1"/>
  <c r="A3744" i="1"/>
  <c r="B3744" i="1"/>
  <c r="A3745" i="1"/>
  <c r="B3745" i="1"/>
  <c r="A3746" i="1"/>
  <c r="B3746" i="1"/>
  <c r="A3747" i="1"/>
  <c r="B3747" i="1"/>
  <c r="A3748" i="1"/>
  <c r="B3748" i="1"/>
  <c r="A3749" i="1"/>
  <c r="B3749" i="1"/>
  <c r="A3750" i="1"/>
  <c r="B3750" i="1"/>
  <c r="A3751" i="1"/>
  <c r="B3751" i="1"/>
  <c r="A3752" i="1"/>
  <c r="B3752" i="1"/>
  <c r="A3753" i="1"/>
  <c r="B3753" i="1"/>
  <c r="A3754" i="1"/>
  <c r="B3754" i="1"/>
  <c r="A3755" i="1"/>
  <c r="B3755" i="1"/>
  <c r="A3756" i="1"/>
  <c r="B3756" i="1"/>
  <c r="A3757" i="1"/>
  <c r="B3757" i="1"/>
  <c r="A3758" i="1"/>
  <c r="B3758" i="1"/>
  <c r="A3759" i="1"/>
  <c r="B3759" i="1"/>
  <c r="A3760" i="1"/>
  <c r="B3760" i="1"/>
  <c r="A3761" i="1"/>
  <c r="B3761" i="1"/>
  <c r="A3762" i="1"/>
  <c r="B3762" i="1"/>
  <c r="A3763" i="1"/>
  <c r="B3763" i="1"/>
  <c r="A3764" i="1"/>
  <c r="B3764" i="1"/>
  <c r="A3765" i="1"/>
  <c r="B3765" i="1"/>
  <c r="A3766" i="1"/>
  <c r="B3766" i="1"/>
  <c r="A3767" i="1"/>
  <c r="B3767" i="1"/>
  <c r="A3768" i="1"/>
  <c r="B3768" i="1"/>
  <c r="A3769" i="1"/>
  <c r="B3769" i="1"/>
  <c r="A3770" i="1"/>
  <c r="B3770" i="1"/>
  <c r="A3771" i="1"/>
  <c r="B3771" i="1"/>
  <c r="A3772" i="1"/>
  <c r="B3772" i="1"/>
  <c r="A3773" i="1"/>
  <c r="B3773" i="1"/>
  <c r="A3774" i="1"/>
  <c r="B3774" i="1"/>
  <c r="A3775" i="1"/>
  <c r="B3775" i="1"/>
  <c r="A3776" i="1"/>
  <c r="B3776" i="1"/>
  <c r="A3777" i="1"/>
  <c r="B3777" i="1"/>
  <c r="A3778" i="1"/>
  <c r="B3778" i="1"/>
  <c r="A3779" i="1"/>
  <c r="B3779" i="1"/>
  <c r="A3780" i="1"/>
  <c r="B3780" i="1"/>
  <c r="A3781" i="1"/>
  <c r="B3781" i="1"/>
  <c r="A3782" i="1"/>
  <c r="B3782" i="1"/>
  <c r="A3783" i="1"/>
  <c r="B3783" i="1"/>
  <c r="A3784" i="1"/>
  <c r="B3784" i="1"/>
  <c r="A3785" i="1"/>
  <c r="B3785" i="1"/>
  <c r="A3786" i="1"/>
  <c r="B3786" i="1"/>
  <c r="A3787" i="1"/>
  <c r="B3787" i="1"/>
  <c r="A3788" i="1"/>
  <c r="B3788" i="1"/>
  <c r="A3789" i="1"/>
  <c r="B3789" i="1"/>
  <c r="A3790" i="1"/>
  <c r="B3790" i="1"/>
  <c r="A3791" i="1"/>
  <c r="B3791" i="1"/>
  <c r="A3792" i="1"/>
  <c r="B3792" i="1"/>
  <c r="A3793" i="1"/>
  <c r="B3793" i="1"/>
  <c r="A3794" i="1"/>
  <c r="B3794" i="1"/>
  <c r="A3795" i="1"/>
  <c r="B3795" i="1"/>
  <c r="A3796" i="1"/>
  <c r="B3796" i="1"/>
  <c r="A3797" i="1"/>
  <c r="B3797" i="1"/>
  <c r="A3798" i="1"/>
  <c r="B3798" i="1"/>
  <c r="A3799" i="1"/>
  <c r="B3799" i="1"/>
  <c r="A3800" i="1"/>
  <c r="B3800" i="1"/>
  <c r="A3801" i="1"/>
  <c r="B3801" i="1"/>
  <c r="A3802" i="1"/>
  <c r="B3802" i="1"/>
  <c r="A3803" i="1"/>
  <c r="B3803" i="1"/>
  <c r="A3804" i="1"/>
  <c r="B3804" i="1"/>
  <c r="A3805" i="1"/>
  <c r="B3805" i="1"/>
  <c r="A3806" i="1"/>
  <c r="B3806" i="1"/>
  <c r="A3807" i="1"/>
  <c r="B3807" i="1"/>
  <c r="A3808" i="1"/>
  <c r="B3808" i="1"/>
  <c r="A3809" i="1"/>
  <c r="B3809" i="1"/>
  <c r="A3810" i="1"/>
  <c r="B3810" i="1"/>
  <c r="A3811" i="1"/>
  <c r="B3811" i="1"/>
  <c r="A3812" i="1"/>
  <c r="B3812" i="1"/>
  <c r="A3813" i="1"/>
  <c r="B3813" i="1"/>
  <c r="A3814" i="1"/>
  <c r="B3814" i="1"/>
  <c r="A3815" i="1"/>
  <c r="B3815" i="1"/>
  <c r="A3816" i="1"/>
  <c r="B3816" i="1"/>
  <c r="A3817" i="1"/>
  <c r="B3817" i="1"/>
  <c r="A3818" i="1"/>
  <c r="B3818" i="1"/>
  <c r="A3819" i="1"/>
  <c r="B3819" i="1"/>
  <c r="A3820" i="1"/>
  <c r="B3820" i="1"/>
  <c r="A3821" i="1"/>
  <c r="B3821" i="1"/>
  <c r="A3822" i="1"/>
  <c r="B3822" i="1"/>
  <c r="A3823" i="1"/>
  <c r="B3823" i="1"/>
  <c r="A3824" i="1"/>
  <c r="B3824" i="1"/>
  <c r="A3825" i="1"/>
  <c r="B3825" i="1"/>
  <c r="A3826" i="1"/>
  <c r="B3826" i="1"/>
  <c r="A3827" i="1"/>
  <c r="B3827" i="1"/>
  <c r="A3828" i="1"/>
  <c r="B3828" i="1"/>
  <c r="A3829" i="1"/>
  <c r="B3829" i="1"/>
  <c r="A3830" i="1"/>
  <c r="B3830" i="1"/>
  <c r="A3831" i="1"/>
  <c r="B3831" i="1"/>
  <c r="A3832" i="1"/>
  <c r="B3832" i="1"/>
  <c r="A3833" i="1"/>
  <c r="B3833" i="1"/>
  <c r="A3834" i="1"/>
  <c r="B3834" i="1"/>
  <c r="A3835" i="1"/>
  <c r="B3835" i="1"/>
  <c r="A3836" i="1"/>
  <c r="B3836" i="1"/>
  <c r="A3837" i="1"/>
  <c r="B3837" i="1"/>
  <c r="A3838" i="1"/>
  <c r="B3838" i="1"/>
  <c r="A3839" i="1"/>
  <c r="B3839" i="1"/>
  <c r="A3840" i="1"/>
  <c r="B3840" i="1"/>
  <c r="A3841" i="1"/>
  <c r="B3841" i="1"/>
  <c r="A3842" i="1"/>
  <c r="B3842" i="1"/>
  <c r="A3843" i="1"/>
  <c r="B3843" i="1"/>
  <c r="A3844" i="1"/>
  <c r="B3844" i="1"/>
  <c r="A3845" i="1"/>
  <c r="B3845" i="1"/>
  <c r="A3846" i="1"/>
  <c r="B3846" i="1"/>
  <c r="A3847" i="1"/>
  <c r="B3847" i="1"/>
  <c r="A3848" i="1"/>
  <c r="B3848" i="1"/>
  <c r="A3849" i="1"/>
  <c r="B3849" i="1"/>
  <c r="A3850" i="1"/>
  <c r="B3850" i="1"/>
  <c r="A3851" i="1"/>
  <c r="B3851" i="1"/>
  <c r="A3852" i="1"/>
  <c r="B3852" i="1"/>
  <c r="A3853" i="1"/>
  <c r="B3853" i="1"/>
  <c r="A3854" i="1"/>
  <c r="B3854" i="1"/>
  <c r="A3855" i="1"/>
  <c r="B3855" i="1"/>
  <c r="A3856" i="1"/>
  <c r="B3856" i="1"/>
  <c r="A3857" i="1"/>
  <c r="B3857" i="1"/>
  <c r="A3858" i="1"/>
  <c r="B3858" i="1"/>
  <c r="A3859" i="1"/>
  <c r="B3859" i="1"/>
  <c r="A3860" i="1"/>
  <c r="B3860" i="1"/>
  <c r="A3861" i="1"/>
  <c r="B3861" i="1"/>
  <c r="A3862" i="1"/>
  <c r="B3862" i="1"/>
  <c r="A3863" i="1"/>
  <c r="B3863" i="1"/>
  <c r="A3864" i="1"/>
  <c r="B3864" i="1"/>
  <c r="A3865" i="1"/>
  <c r="B3865" i="1"/>
  <c r="A3866" i="1"/>
  <c r="B3866" i="1"/>
  <c r="A3867" i="1"/>
  <c r="B3867" i="1"/>
  <c r="A3868" i="1"/>
  <c r="B3868" i="1"/>
  <c r="A3869" i="1"/>
  <c r="B3869" i="1"/>
  <c r="A3870" i="1"/>
  <c r="B3870" i="1"/>
  <c r="A3871" i="1"/>
  <c r="B3871" i="1"/>
  <c r="A3872" i="1"/>
  <c r="B3872" i="1"/>
  <c r="A3873" i="1"/>
  <c r="B3873" i="1"/>
  <c r="A3874" i="1"/>
  <c r="B3874" i="1"/>
  <c r="A3875" i="1"/>
  <c r="B3875" i="1"/>
  <c r="A3876" i="1"/>
  <c r="B3876" i="1"/>
  <c r="A3877" i="1"/>
  <c r="B3877" i="1"/>
  <c r="A3878" i="1"/>
  <c r="B3878" i="1"/>
  <c r="A3879" i="1"/>
  <c r="B3879" i="1"/>
  <c r="A3880" i="1"/>
  <c r="B3880" i="1"/>
  <c r="A3881" i="1"/>
  <c r="B3881" i="1"/>
  <c r="A3882" i="1"/>
  <c r="B3882" i="1"/>
  <c r="A3883" i="1"/>
  <c r="B3883" i="1"/>
  <c r="A3884" i="1"/>
  <c r="B3884" i="1"/>
  <c r="A3885" i="1"/>
  <c r="B3885" i="1"/>
  <c r="A3886" i="1"/>
  <c r="B3886" i="1"/>
  <c r="A3887" i="1"/>
  <c r="B3887" i="1"/>
  <c r="A3888" i="1"/>
  <c r="B3888" i="1"/>
  <c r="A3889" i="1"/>
  <c r="B3889" i="1"/>
  <c r="A3890" i="1"/>
  <c r="B3890" i="1"/>
  <c r="A3891" i="1"/>
  <c r="B3891" i="1"/>
  <c r="A3892" i="1"/>
  <c r="B3892" i="1"/>
  <c r="A3893" i="1"/>
  <c r="B3893" i="1"/>
  <c r="A3894" i="1"/>
  <c r="B3894" i="1"/>
  <c r="A3895" i="1"/>
  <c r="B3895" i="1"/>
  <c r="A3896" i="1"/>
  <c r="B3896" i="1"/>
  <c r="A3897" i="1"/>
  <c r="B3897" i="1"/>
  <c r="A3898" i="1"/>
  <c r="B3898" i="1"/>
  <c r="A3899" i="1"/>
  <c r="B3899" i="1"/>
  <c r="A3900" i="1"/>
  <c r="B3900" i="1"/>
  <c r="A3901" i="1"/>
  <c r="B3901" i="1"/>
  <c r="A3902" i="1"/>
  <c r="B3902" i="1"/>
  <c r="A3903" i="1"/>
  <c r="B3903" i="1"/>
  <c r="A3904" i="1"/>
  <c r="B3904" i="1"/>
  <c r="A3905" i="1"/>
  <c r="B3905" i="1"/>
  <c r="A3906" i="1"/>
  <c r="B3906" i="1"/>
  <c r="A3907" i="1"/>
  <c r="B3907" i="1"/>
  <c r="A3908" i="1"/>
  <c r="B3908" i="1"/>
  <c r="A3909" i="1"/>
  <c r="B3909" i="1"/>
  <c r="A3910" i="1"/>
  <c r="B3910" i="1"/>
  <c r="A3911" i="1"/>
  <c r="B3911" i="1"/>
  <c r="A3912" i="1"/>
  <c r="B3912" i="1"/>
  <c r="A3913" i="1"/>
  <c r="B3913" i="1"/>
  <c r="A3914" i="1"/>
  <c r="B3914" i="1"/>
  <c r="A3915" i="1"/>
  <c r="B3915" i="1"/>
  <c r="A3916" i="1"/>
  <c r="B3916" i="1"/>
  <c r="A3917" i="1"/>
  <c r="B3917" i="1"/>
  <c r="A3918" i="1"/>
  <c r="B3918" i="1"/>
  <c r="A3919" i="1"/>
  <c r="B3919" i="1"/>
  <c r="A3920" i="1"/>
  <c r="B3920" i="1"/>
  <c r="A3921" i="1"/>
  <c r="B3921" i="1"/>
  <c r="A3922" i="1"/>
  <c r="B3922" i="1"/>
  <c r="A3923" i="1"/>
  <c r="B3923" i="1"/>
  <c r="A3924" i="1"/>
  <c r="B3924" i="1"/>
  <c r="A3925" i="1"/>
  <c r="B3925" i="1"/>
  <c r="A3926" i="1"/>
  <c r="B3926" i="1"/>
  <c r="A3927" i="1"/>
  <c r="B3927" i="1"/>
  <c r="A3928" i="1"/>
  <c r="B3928" i="1"/>
  <c r="A3929" i="1"/>
  <c r="B3929" i="1"/>
  <c r="A3930" i="1"/>
  <c r="B3930" i="1"/>
  <c r="A3931" i="1"/>
  <c r="B3931" i="1"/>
  <c r="A3932" i="1"/>
  <c r="B3932" i="1"/>
  <c r="A3933" i="1"/>
  <c r="B3933" i="1"/>
  <c r="A3934" i="1"/>
  <c r="B3934" i="1"/>
  <c r="A3935" i="1"/>
  <c r="B3935" i="1"/>
  <c r="A3936" i="1"/>
  <c r="B3936" i="1"/>
  <c r="A3937" i="1"/>
  <c r="B3937" i="1"/>
  <c r="A3938" i="1"/>
  <c r="B3938" i="1"/>
  <c r="A3939" i="1"/>
  <c r="B3939" i="1"/>
  <c r="A3940" i="1"/>
  <c r="B3940" i="1"/>
  <c r="A3941" i="1"/>
  <c r="B3941" i="1"/>
  <c r="A3942" i="1"/>
  <c r="B3942" i="1"/>
  <c r="A3943" i="1"/>
  <c r="B3943" i="1"/>
  <c r="A3944" i="1"/>
  <c r="B3944" i="1"/>
  <c r="A3945" i="1"/>
  <c r="B3945" i="1"/>
  <c r="A3946" i="1"/>
  <c r="B3946" i="1"/>
  <c r="A3947" i="1"/>
  <c r="B3947" i="1"/>
  <c r="A3948" i="1"/>
  <c r="B3948" i="1"/>
  <c r="A3949" i="1"/>
  <c r="B3949" i="1"/>
  <c r="A3950" i="1"/>
  <c r="B3950" i="1"/>
  <c r="A3951" i="1"/>
  <c r="B3951" i="1"/>
  <c r="A3952" i="1"/>
  <c r="B3952" i="1"/>
  <c r="A3953" i="1"/>
  <c r="B3953" i="1"/>
  <c r="A3954" i="1"/>
  <c r="B3954" i="1"/>
  <c r="A3955" i="1"/>
  <c r="B3955" i="1"/>
  <c r="A3956" i="1"/>
  <c r="B3956" i="1"/>
  <c r="A3957" i="1"/>
  <c r="B3957" i="1"/>
  <c r="A3958" i="1"/>
  <c r="B3958" i="1"/>
  <c r="A3959" i="1"/>
  <c r="B3959" i="1"/>
  <c r="A3960" i="1"/>
  <c r="B3960" i="1"/>
  <c r="A3961" i="1"/>
  <c r="B3961" i="1"/>
  <c r="A3962" i="1"/>
  <c r="B3962" i="1"/>
  <c r="A3963" i="1"/>
  <c r="B3963" i="1"/>
  <c r="A3964" i="1"/>
  <c r="B3964" i="1"/>
  <c r="A3965" i="1"/>
  <c r="B3965" i="1"/>
  <c r="A3966" i="1"/>
  <c r="B3966" i="1"/>
  <c r="A3967" i="1"/>
  <c r="B3967" i="1"/>
  <c r="A3968" i="1"/>
  <c r="B3968" i="1"/>
  <c r="A3969" i="1"/>
  <c r="B3969" i="1"/>
  <c r="A3970" i="1"/>
  <c r="B3970" i="1"/>
  <c r="A3971" i="1"/>
  <c r="B3971" i="1"/>
  <c r="A3972" i="1"/>
  <c r="B3972" i="1"/>
  <c r="A3973" i="1"/>
  <c r="B3973" i="1"/>
  <c r="A3974" i="1"/>
  <c r="B3974" i="1"/>
  <c r="A3975" i="1"/>
  <c r="B3975" i="1"/>
  <c r="A3976" i="1"/>
  <c r="B3976" i="1"/>
  <c r="A3977" i="1"/>
  <c r="B3977" i="1"/>
  <c r="A3978" i="1"/>
  <c r="B3978" i="1"/>
  <c r="A3979" i="1"/>
  <c r="B3979" i="1"/>
  <c r="A3980" i="1"/>
  <c r="B3980" i="1"/>
  <c r="A3981" i="1"/>
  <c r="B3981" i="1"/>
  <c r="A3982" i="1"/>
  <c r="B3982" i="1"/>
  <c r="A3983" i="1"/>
  <c r="B3983" i="1"/>
  <c r="A3984" i="1"/>
  <c r="B3984" i="1"/>
  <c r="A3985" i="1"/>
  <c r="B3985" i="1"/>
  <c r="A3986" i="1"/>
  <c r="B3986" i="1"/>
  <c r="A3987" i="1"/>
  <c r="B3987" i="1"/>
  <c r="A3988" i="1"/>
  <c r="B3988" i="1"/>
  <c r="A3989" i="1"/>
  <c r="B3989" i="1"/>
  <c r="A3990" i="1"/>
  <c r="B3990" i="1"/>
  <c r="A3991" i="1"/>
  <c r="B3991" i="1"/>
  <c r="A3992" i="1"/>
  <c r="B3992" i="1"/>
  <c r="A3993" i="1"/>
  <c r="B3993" i="1"/>
  <c r="A3994" i="1"/>
  <c r="B3994" i="1"/>
  <c r="A3995" i="1"/>
  <c r="B3995" i="1"/>
  <c r="A3996" i="1"/>
  <c r="B3996" i="1"/>
  <c r="A3997" i="1"/>
  <c r="B3997" i="1"/>
  <c r="A3998" i="1"/>
  <c r="B3998" i="1"/>
  <c r="A3999" i="1"/>
  <c r="B3999" i="1"/>
  <c r="A4000" i="1"/>
  <c r="B4000" i="1"/>
  <c r="A4001" i="1"/>
  <c r="B4001" i="1"/>
  <c r="A4002" i="1"/>
  <c r="B4002" i="1"/>
  <c r="A4003" i="1"/>
  <c r="B4003" i="1"/>
  <c r="A4004" i="1"/>
  <c r="B4004" i="1"/>
  <c r="A4005" i="1"/>
  <c r="B4005" i="1"/>
  <c r="A4006" i="1"/>
  <c r="B4006" i="1"/>
  <c r="A4007" i="1"/>
  <c r="B4007" i="1"/>
  <c r="A4008" i="1"/>
  <c r="B4008" i="1"/>
  <c r="A4009" i="1"/>
  <c r="B4009" i="1"/>
  <c r="A4010" i="1"/>
  <c r="B4010" i="1"/>
  <c r="A4011" i="1"/>
  <c r="B4011" i="1"/>
  <c r="A4012" i="1"/>
  <c r="B4012" i="1"/>
  <c r="A4013" i="1"/>
  <c r="B4013" i="1"/>
  <c r="A4014" i="1"/>
  <c r="B4014" i="1"/>
  <c r="A4015" i="1"/>
  <c r="B4015" i="1"/>
  <c r="A4016" i="1"/>
  <c r="B4016" i="1"/>
  <c r="A4017" i="1"/>
  <c r="B4017" i="1"/>
  <c r="A4018" i="1"/>
  <c r="B4018" i="1"/>
  <c r="A4019" i="1"/>
  <c r="B4019" i="1"/>
  <c r="A4020" i="1"/>
  <c r="B4020" i="1"/>
  <c r="A4021" i="1"/>
  <c r="B4021" i="1"/>
  <c r="A4022" i="1"/>
  <c r="B4022" i="1"/>
  <c r="A4023" i="1"/>
  <c r="B4023" i="1"/>
  <c r="A4024" i="1"/>
  <c r="B4024" i="1"/>
  <c r="A4025" i="1"/>
  <c r="B4025" i="1"/>
  <c r="A4026" i="1"/>
  <c r="B4026" i="1"/>
  <c r="A4027" i="1"/>
  <c r="B4027" i="1"/>
  <c r="A4028" i="1"/>
  <c r="B4028" i="1"/>
  <c r="A4029" i="1"/>
  <c r="B4029" i="1"/>
  <c r="A4030" i="1"/>
  <c r="B4030" i="1"/>
  <c r="A4031" i="1"/>
  <c r="B4031" i="1"/>
  <c r="A4032" i="1"/>
  <c r="B4032" i="1"/>
  <c r="A4033" i="1"/>
  <c r="B4033" i="1"/>
  <c r="A4034" i="1"/>
  <c r="B4034" i="1"/>
  <c r="A4035" i="1"/>
  <c r="B4035" i="1"/>
  <c r="A4036" i="1"/>
  <c r="B4036" i="1"/>
  <c r="A4037" i="1"/>
  <c r="B4037" i="1"/>
  <c r="A4038" i="1"/>
  <c r="B4038" i="1"/>
  <c r="A4039" i="1"/>
  <c r="B4039" i="1"/>
  <c r="A4040" i="1"/>
  <c r="B4040" i="1"/>
  <c r="A4041" i="1"/>
  <c r="B4041" i="1"/>
  <c r="A4042" i="1"/>
  <c r="B4042" i="1"/>
  <c r="A4043" i="1"/>
  <c r="B4043" i="1"/>
  <c r="A4044" i="1"/>
  <c r="B4044" i="1"/>
  <c r="A4045" i="1"/>
  <c r="B4045" i="1"/>
  <c r="A4046" i="1"/>
  <c r="B4046" i="1"/>
  <c r="A4047" i="1"/>
  <c r="B4047" i="1"/>
  <c r="A4048" i="1"/>
  <c r="B4048" i="1"/>
  <c r="A4049" i="1"/>
  <c r="B4049" i="1"/>
  <c r="A4050" i="1"/>
  <c r="B4050" i="1"/>
  <c r="A4051" i="1"/>
  <c r="B4051" i="1"/>
  <c r="A4052" i="1"/>
  <c r="B4052" i="1"/>
  <c r="A4053" i="1"/>
  <c r="B4053" i="1"/>
  <c r="A4054" i="1"/>
  <c r="B4054" i="1"/>
  <c r="A4055" i="1"/>
  <c r="B4055" i="1"/>
  <c r="A4056" i="1"/>
  <c r="B4056" i="1"/>
  <c r="A4057" i="1"/>
  <c r="B4057" i="1"/>
  <c r="A4058" i="1"/>
  <c r="B4058" i="1"/>
  <c r="A4059" i="1"/>
  <c r="B4059" i="1"/>
  <c r="A4060" i="1"/>
  <c r="B4060" i="1"/>
  <c r="A4061" i="1"/>
  <c r="B4061" i="1"/>
  <c r="A4062" i="1"/>
  <c r="B4062" i="1"/>
  <c r="A4063" i="1"/>
  <c r="B4063" i="1"/>
  <c r="A4064" i="1"/>
  <c r="B4064" i="1"/>
  <c r="A4065" i="1"/>
  <c r="B4065" i="1"/>
  <c r="A4066" i="1"/>
  <c r="B4066" i="1"/>
  <c r="A4067" i="1"/>
  <c r="B4067" i="1"/>
  <c r="A4068" i="1"/>
  <c r="B4068" i="1"/>
  <c r="A4069" i="1"/>
  <c r="B4069" i="1"/>
  <c r="A4070" i="1"/>
  <c r="B4070" i="1"/>
  <c r="A4071" i="1"/>
  <c r="B4071" i="1"/>
  <c r="A4072" i="1"/>
  <c r="B4072" i="1"/>
  <c r="A4073" i="1"/>
  <c r="B4073" i="1"/>
  <c r="A4074" i="1"/>
  <c r="B4074" i="1"/>
  <c r="A4075" i="1"/>
  <c r="B4075" i="1"/>
  <c r="A4076" i="1"/>
  <c r="B4076" i="1"/>
  <c r="A4077" i="1"/>
  <c r="B4077" i="1"/>
  <c r="A4078" i="1"/>
  <c r="B4078" i="1"/>
  <c r="A4079" i="1"/>
  <c r="B4079" i="1"/>
  <c r="A4080" i="1"/>
  <c r="B4080" i="1"/>
  <c r="A4081" i="1"/>
  <c r="B4081" i="1"/>
  <c r="A4082" i="1"/>
  <c r="B4082" i="1"/>
  <c r="A4083" i="1"/>
  <c r="B4083" i="1"/>
  <c r="A4084" i="1"/>
  <c r="B4084" i="1"/>
  <c r="A4085" i="1"/>
  <c r="B4085" i="1"/>
  <c r="A4086" i="1"/>
  <c r="B4086" i="1"/>
  <c r="A4087" i="1"/>
  <c r="B4087" i="1"/>
  <c r="A4088" i="1"/>
  <c r="B4088" i="1"/>
  <c r="A4089" i="1"/>
  <c r="B4089" i="1"/>
  <c r="A4090" i="1"/>
  <c r="B4090" i="1"/>
  <c r="A4091" i="1"/>
  <c r="B4091" i="1"/>
  <c r="A4092" i="1"/>
  <c r="B4092" i="1"/>
  <c r="A4093" i="1"/>
  <c r="B4093" i="1"/>
  <c r="A4094" i="1"/>
  <c r="B4094" i="1"/>
  <c r="A4095" i="1"/>
  <c r="B4095" i="1"/>
  <c r="A4096" i="1"/>
  <c r="B4096" i="1"/>
  <c r="A4097" i="1"/>
  <c r="B4097" i="1"/>
  <c r="A4098" i="1"/>
  <c r="B4098" i="1"/>
  <c r="A4099" i="1"/>
  <c r="B4099" i="1"/>
  <c r="A4100" i="1"/>
  <c r="B4100" i="1"/>
  <c r="A4101" i="1"/>
  <c r="B4101" i="1"/>
  <c r="A4102" i="1"/>
  <c r="B4102" i="1"/>
  <c r="A4103" i="1"/>
  <c r="B4103" i="1"/>
  <c r="A4104" i="1"/>
  <c r="B4104" i="1"/>
  <c r="A4105" i="1"/>
  <c r="B4105" i="1"/>
  <c r="A4106" i="1"/>
  <c r="B4106" i="1"/>
  <c r="A4107" i="1"/>
  <c r="B4107" i="1"/>
  <c r="A4108" i="1"/>
  <c r="B4108" i="1"/>
  <c r="A4109" i="1"/>
  <c r="B4109" i="1"/>
  <c r="A4110" i="1"/>
  <c r="B4110" i="1"/>
  <c r="A4111" i="1"/>
  <c r="B4111" i="1"/>
  <c r="A4112" i="1"/>
  <c r="B4112" i="1"/>
  <c r="A4113" i="1"/>
  <c r="B4113" i="1"/>
  <c r="A4114" i="1"/>
  <c r="B4114" i="1"/>
  <c r="A4115" i="1"/>
  <c r="B4115" i="1"/>
  <c r="A4116" i="1"/>
  <c r="B4116" i="1"/>
  <c r="A4117" i="1"/>
  <c r="B4117" i="1"/>
  <c r="A4118" i="1"/>
  <c r="B4118" i="1"/>
  <c r="A4119" i="1"/>
  <c r="B4119" i="1"/>
  <c r="A4120" i="1"/>
  <c r="B4120" i="1"/>
  <c r="A4121" i="1"/>
  <c r="B4121" i="1"/>
  <c r="A4122" i="1"/>
  <c r="B4122" i="1"/>
  <c r="A4123" i="1"/>
  <c r="B4123" i="1"/>
  <c r="A4124" i="1"/>
  <c r="B4124" i="1"/>
  <c r="A4125" i="1"/>
  <c r="B4125" i="1"/>
  <c r="A4126" i="1"/>
  <c r="B4126" i="1"/>
  <c r="A4127" i="1"/>
  <c r="B4127" i="1"/>
  <c r="A4128" i="1"/>
  <c r="B4128" i="1"/>
  <c r="A4129" i="1"/>
  <c r="B4129" i="1"/>
  <c r="A4130" i="1"/>
  <c r="B4130" i="1"/>
  <c r="A4131" i="1"/>
  <c r="B4131" i="1"/>
  <c r="A4132" i="1"/>
  <c r="B4132" i="1"/>
  <c r="A4133" i="1"/>
  <c r="B4133" i="1"/>
  <c r="A4134" i="1"/>
  <c r="B4134" i="1"/>
  <c r="A4135" i="1"/>
  <c r="B4135" i="1"/>
  <c r="A4136" i="1"/>
  <c r="B4136" i="1"/>
  <c r="A4137" i="1"/>
  <c r="B4137" i="1"/>
  <c r="A4138" i="1"/>
  <c r="B4138" i="1"/>
  <c r="A4139" i="1"/>
  <c r="B4139" i="1"/>
  <c r="A4140" i="1"/>
  <c r="B4140" i="1"/>
  <c r="A4141" i="1"/>
  <c r="B4141" i="1"/>
  <c r="A4142" i="1"/>
  <c r="B4142" i="1"/>
  <c r="A4143" i="1"/>
  <c r="B4143" i="1"/>
  <c r="A4144" i="1"/>
  <c r="B4144" i="1"/>
  <c r="A4145" i="1"/>
  <c r="B4145" i="1"/>
  <c r="A4146" i="1"/>
  <c r="B4146" i="1"/>
  <c r="A4147" i="1"/>
  <c r="B4147" i="1"/>
  <c r="A4148" i="1"/>
  <c r="B4148" i="1"/>
  <c r="A4149" i="1"/>
  <c r="B4149" i="1"/>
  <c r="A4150" i="1"/>
  <c r="B4150" i="1"/>
  <c r="A4151" i="1"/>
  <c r="B4151" i="1"/>
  <c r="A4152" i="1"/>
  <c r="B4152" i="1"/>
  <c r="A4153" i="1"/>
  <c r="B4153" i="1"/>
  <c r="A4154" i="1"/>
  <c r="B4154" i="1"/>
  <c r="A4155" i="1"/>
  <c r="B4155" i="1"/>
  <c r="A4156" i="1"/>
  <c r="B4156" i="1"/>
  <c r="A4157" i="1"/>
  <c r="B4157" i="1"/>
  <c r="A4158" i="1"/>
  <c r="B4158" i="1"/>
  <c r="A4159" i="1"/>
  <c r="B4159" i="1"/>
  <c r="A4160" i="1"/>
  <c r="B4160" i="1"/>
  <c r="A4161" i="1"/>
  <c r="B4161" i="1"/>
  <c r="A4162" i="1"/>
  <c r="B4162" i="1"/>
  <c r="A4163" i="1"/>
  <c r="B4163" i="1"/>
  <c r="A4164" i="1"/>
  <c r="B4164" i="1"/>
  <c r="A4165" i="1"/>
  <c r="B4165" i="1"/>
  <c r="A4166" i="1"/>
  <c r="B4166" i="1"/>
  <c r="A4167" i="1"/>
  <c r="B4167" i="1"/>
  <c r="A4168" i="1"/>
  <c r="B4168" i="1"/>
  <c r="A4169" i="1"/>
  <c r="B4169" i="1"/>
  <c r="A4170" i="1"/>
  <c r="B4170" i="1"/>
  <c r="A4171" i="1"/>
  <c r="B4171" i="1"/>
  <c r="A4172" i="1"/>
  <c r="B4172" i="1"/>
  <c r="A4173" i="1"/>
  <c r="B4173" i="1"/>
  <c r="A4174" i="1"/>
  <c r="B4174" i="1"/>
  <c r="A4175" i="1"/>
  <c r="B4175" i="1"/>
  <c r="A4176" i="1"/>
  <c r="B4176" i="1"/>
  <c r="A4177" i="1"/>
  <c r="B4177" i="1"/>
  <c r="A4178" i="1"/>
  <c r="B4178" i="1"/>
  <c r="A4179" i="1"/>
  <c r="B4179" i="1"/>
  <c r="A4180" i="1"/>
  <c r="B4180" i="1"/>
  <c r="A4181" i="1"/>
  <c r="B4181" i="1"/>
  <c r="A4182" i="1"/>
  <c r="B4182" i="1"/>
  <c r="A4183" i="1"/>
  <c r="B4183" i="1"/>
  <c r="A4184" i="1"/>
  <c r="B4184" i="1"/>
  <c r="A4185" i="1"/>
  <c r="B4185" i="1"/>
  <c r="A4186" i="1"/>
  <c r="B4186" i="1"/>
  <c r="A4187" i="1"/>
  <c r="B4187" i="1"/>
  <c r="A4188" i="1"/>
  <c r="B4188" i="1"/>
  <c r="A4189" i="1"/>
  <c r="B4189" i="1"/>
  <c r="A4190" i="1"/>
  <c r="B4190" i="1"/>
  <c r="A4191" i="1"/>
  <c r="B4191" i="1"/>
  <c r="A4192" i="1"/>
  <c r="B4192" i="1"/>
  <c r="A4193" i="1"/>
  <c r="B4193" i="1"/>
  <c r="A4194" i="1"/>
  <c r="B4194" i="1"/>
  <c r="A4195" i="1"/>
  <c r="B4195" i="1"/>
  <c r="A4196" i="1"/>
  <c r="B4196" i="1"/>
  <c r="A4197" i="1"/>
  <c r="B4197" i="1"/>
  <c r="A4198" i="1"/>
  <c r="B4198" i="1"/>
  <c r="A4199" i="1"/>
  <c r="B4199" i="1"/>
  <c r="A4200" i="1"/>
  <c r="B4200" i="1"/>
  <c r="A4201" i="1"/>
  <c r="B4201" i="1"/>
  <c r="A4202" i="1"/>
  <c r="B4202" i="1"/>
  <c r="A4203" i="1"/>
  <c r="B4203" i="1"/>
  <c r="A4204" i="1"/>
  <c r="B4204" i="1"/>
  <c r="A4205" i="1"/>
  <c r="B4205" i="1"/>
  <c r="A4206" i="1"/>
  <c r="B4206" i="1"/>
  <c r="A4207" i="1"/>
  <c r="B4207" i="1"/>
  <c r="A4208" i="1"/>
  <c r="B4208" i="1"/>
  <c r="A4209" i="1"/>
  <c r="B4209" i="1"/>
  <c r="A4210" i="1"/>
  <c r="B4210" i="1"/>
  <c r="A4211" i="1"/>
  <c r="B4211" i="1"/>
  <c r="A4212" i="1"/>
  <c r="B4212" i="1"/>
  <c r="A4213" i="1"/>
  <c r="B4213" i="1"/>
  <c r="A4214" i="1"/>
  <c r="B4214" i="1"/>
  <c r="A4215" i="1"/>
  <c r="B4215" i="1"/>
  <c r="A4216" i="1"/>
  <c r="B4216" i="1"/>
  <c r="A4217" i="1"/>
  <c r="B4217" i="1"/>
  <c r="A4218" i="1"/>
  <c r="B4218" i="1"/>
  <c r="A4219" i="1"/>
  <c r="B4219" i="1"/>
  <c r="A4220" i="1"/>
  <c r="B4220" i="1"/>
  <c r="A4221" i="1"/>
  <c r="B4221" i="1"/>
  <c r="A4222" i="1"/>
  <c r="B4222" i="1"/>
  <c r="A4223" i="1"/>
  <c r="B4223" i="1"/>
  <c r="A4224" i="1"/>
  <c r="B4224" i="1"/>
  <c r="A4225" i="1"/>
  <c r="B4225" i="1"/>
  <c r="A4226" i="1"/>
  <c r="B4226" i="1"/>
  <c r="A4227" i="1"/>
  <c r="B4227" i="1"/>
  <c r="A4228" i="1"/>
  <c r="B4228" i="1"/>
  <c r="A4229" i="1"/>
  <c r="B4229" i="1"/>
  <c r="A4230" i="1"/>
  <c r="B4230" i="1"/>
  <c r="A4231" i="1"/>
  <c r="B4231" i="1"/>
  <c r="A4232" i="1"/>
  <c r="B4232" i="1"/>
  <c r="A4233" i="1"/>
  <c r="B4233" i="1"/>
  <c r="A4234" i="1"/>
  <c r="B4234" i="1"/>
  <c r="A4235" i="1"/>
  <c r="B4235" i="1"/>
  <c r="A4236" i="1"/>
  <c r="B4236" i="1"/>
  <c r="A4237" i="1"/>
  <c r="B4237" i="1"/>
  <c r="A4238" i="1"/>
  <c r="B4238" i="1"/>
  <c r="A4239" i="1"/>
  <c r="B4239" i="1"/>
  <c r="A4240" i="1"/>
  <c r="B4240" i="1"/>
  <c r="A4241" i="1"/>
  <c r="B4241" i="1"/>
  <c r="A4242" i="1"/>
  <c r="B4242" i="1"/>
  <c r="A4243" i="1"/>
  <c r="B4243" i="1"/>
  <c r="A4244" i="1"/>
  <c r="B4244" i="1"/>
  <c r="A4245" i="1"/>
  <c r="B4245" i="1"/>
  <c r="A4246" i="1"/>
  <c r="B4246" i="1"/>
  <c r="A4247" i="1"/>
  <c r="B4247" i="1"/>
  <c r="A4248" i="1"/>
  <c r="B4248" i="1"/>
  <c r="A4249" i="1"/>
  <c r="B4249" i="1"/>
  <c r="A4250" i="1"/>
  <c r="B4250" i="1"/>
  <c r="A4251" i="1"/>
  <c r="B4251" i="1"/>
  <c r="A4252" i="1"/>
  <c r="B4252" i="1"/>
  <c r="A4253" i="1"/>
  <c r="B4253" i="1"/>
  <c r="A4254" i="1"/>
  <c r="B4254" i="1"/>
  <c r="A4255" i="1"/>
  <c r="B4255" i="1"/>
  <c r="A4256" i="1"/>
  <c r="B4256" i="1"/>
  <c r="A4257" i="1"/>
  <c r="B4257" i="1"/>
  <c r="A4258" i="1"/>
  <c r="B4258" i="1"/>
  <c r="A4259" i="1"/>
  <c r="B4259" i="1"/>
  <c r="A4260" i="1"/>
  <c r="B4260" i="1"/>
  <c r="A4261" i="1"/>
  <c r="B4261" i="1"/>
  <c r="A4262" i="1"/>
  <c r="B4262" i="1"/>
  <c r="A4263" i="1"/>
  <c r="B4263" i="1"/>
  <c r="A4264" i="1"/>
  <c r="B4264" i="1"/>
  <c r="A4265" i="1"/>
  <c r="B4265" i="1"/>
  <c r="A4266" i="1"/>
  <c r="B4266" i="1"/>
  <c r="A4267" i="1"/>
  <c r="B4267" i="1"/>
  <c r="A4268" i="1"/>
  <c r="B4268" i="1"/>
  <c r="A4269" i="1"/>
  <c r="B4269" i="1"/>
  <c r="A4270" i="1"/>
  <c r="B4270" i="1"/>
  <c r="A4271" i="1"/>
  <c r="B4271" i="1"/>
  <c r="A4272" i="1"/>
  <c r="B4272" i="1"/>
  <c r="A4273" i="1"/>
  <c r="B4273" i="1"/>
  <c r="A4274" i="1"/>
  <c r="B4274" i="1"/>
  <c r="A4275" i="1"/>
  <c r="B4275" i="1"/>
  <c r="A4276" i="1"/>
  <c r="B4276" i="1"/>
  <c r="A4277" i="1"/>
  <c r="B4277" i="1"/>
  <c r="A4278" i="1"/>
  <c r="B4278" i="1"/>
  <c r="A4279" i="1"/>
  <c r="B4279" i="1"/>
  <c r="A4280" i="1"/>
  <c r="B4280" i="1"/>
  <c r="A4281" i="1"/>
  <c r="B4281" i="1"/>
  <c r="A4282" i="1"/>
  <c r="B4282" i="1"/>
  <c r="A4283" i="1"/>
  <c r="B4283" i="1"/>
  <c r="A4284" i="1"/>
  <c r="B4284" i="1"/>
  <c r="A4285" i="1"/>
  <c r="B4285" i="1"/>
  <c r="A4286" i="1"/>
  <c r="B4286" i="1"/>
  <c r="A4287" i="1"/>
  <c r="B4287" i="1"/>
  <c r="A4288" i="1"/>
  <c r="B4288" i="1"/>
  <c r="A4289" i="1"/>
  <c r="B4289" i="1"/>
  <c r="A4290" i="1"/>
  <c r="B4290" i="1"/>
  <c r="A4291" i="1"/>
  <c r="B4291" i="1"/>
  <c r="A4292" i="1"/>
  <c r="B4292" i="1"/>
  <c r="A4293" i="1"/>
  <c r="B4293" i="1"/>
  <c r="A4294" i="1"/>
  <c r="B4294" i="1"/>
  <c r="A4295" i="1"/>
  <c r="B4295" i="1"/>
  <c r="A4296" i="1"/>
  <c r="B4296" i="1"/>
  <c r="A4297" i="1"/>
  <c r="B4297" i="1"/>
  <c r="A4298" i="1"/>
  <c r="B4298" i="1"/>
  <c r="A4299" i="1"/>
  <c r="B4299" i="1"/>
  <c r="A4300" i="1"/>
  <c r="B4300" i="1"/>
  <c r="A4301" i="1"/>
  <c r="B4301" i="1"/>
  <c r="A4302" i="1"/>
  <c r="B4302" i="1"/>
  <c r="A4303" i="1"/>
  <c r="B4303" i="1"/>
  <c r="A4304" i="1"/>
  <c r="B4304" i="1"/>
  <c r="A4305" i="1"/>
  <c r="B4305" i="1"/>
  <c r="A4306" i="1"/>
  <c r="B4306" i="1"/>
  <c r="A4307" i="1"/>
  <c r="B4307" i="1"/>
  <c r="A4308" i="1"/>
  <c r="B4308" i="1"/>
  <c r="A4309" i="1"/>
  <c r="B4309" i="1"/>
  <c r="A4310" i="1"/>
  <c r="B4310" i="1"/>
  <c r="A4311" i="1"/>
  <c r="B4311" i="1"/>
  <c r="A4312" i="1"/>
  <c r="B4312" i="1"/>
  <c r="A4313" i="1"/>
  <c r="B4313" i="1"/>
  <c r="A4314" i="1"/>
  <c r="B4314" i="1"/>
  <c r="A4315" i="1"/>
  <c r="B4315" i="1"/>
  <c r="A4316" i="1"/>
  <c r="B4316" i="1"/>
  <c r="A4317" i="1"/>
  <c r="B4317" i="1"/>
  <c r="A4318" i="1"/>
  <c r="B4318" i="1"/>
  <c r="A4319" i="1"/>
  <c r="B4319" i="1"/>
  <c r="A4320" i="1"/>
  <c r="B4320" i="1"/>
  <c r="A4321" i="1"/>
  <c r="B4321" i="1"/>
  <c r="A4322" i="1"/>
  <c r="B4322" i="1"/>
  <c r="A4323" i="1"/>
  <c r="B4323" i="1"/>
  <c r="A4324" i="1"/>
  <c r="B4324" i="1"/>
  <c r="A4325" i="1"/>
  <c r="B4325" i="1"/>
  <c r="A4326" i="1"/>
  <c r="B4326" i="1"/>
  <c r="A4327" i="1"/>
  <c r="B4327" i="1"/>
  <c r="A4328" i="1"/>
  <c r="B4328" i="1"/>
  <c r="A4329" i="1"/>
  <c r="B4329" i="1"/>
  <c r="A4330" i="1"/>
  <c r="B4330" i="1"/>
  <c r="A4331" i="1"/>
  <c r="B4331" i="1"/>
  <c r="A4332" i="1"/>
  <c r="B4332" i="1"/>
  <c r="A4333" i="1"/>
  <c r="B4333" i="1"/>
  <c r="A4334" i="1"/>
  <c r="B4334" i="1"/>
  <c r="A4335" i="1"/>
  <c r="B4335" i="1"/>
  <c r="A4336" i="1"/>
  <c r="B4336" i="1"/>
  <c r="A4337" i="1"/>
  <c r="B4337" i="1"/>
  <c r="A4338" i="1"/>
  <c r="B4338" i="1"/>
  <c r="A4339" i="1"/>
  <c r="B4339" i="1"/>
  <c r="A4340" i="1"/>
  <c r="B4340" i="1"/>
  <c r="A4341" i="1"/>
  <c r="B4341" i="1"/>
  <c r="A4342" i="1"/>
  <c r="B4342" i="1"/>
  <c r="A4343" i="1"/>
  <c r="B4343" i="1"/>
  <c r="A4344" i="1"/>
  <c r="B4344" i="1"/>
  <c r="A4345" i="1"/>
  <c r="B4345" i="1"/>
  <c r="A4346" i="1"/>
  <c r="B4346" i="1"/>
  <c r="A4347" i="1"/>
  <c r="B4347" i="1"/>
  <c r="A4348" i="1"/>
  <c r="B4348" i="1"/>
  <c r="A4349" i="1"/>
  <c r="B4349" i="1"/>
  <c r="A4350" i="1"/>
  <c r="B4350" i="1"/>
  <c r="A4351" i="1"/>
  <c r="B4351" i="1"/>
  <c r="A4352" i="1"/>
  <c r="B4352" i="1"/>
  <c r="A4353" i="1"/>
  <c r="B4353" i="1"/>
  <c r="A4354" i="1"/>
  <c r="B4354" i="1"/>
  <c r="A4355" i="1"/>
  <c r="B4355" i="1"/>
  <c r="A4356" i="1"/>
  <c r="B4356" i="1"/>
  <c r="A4357" i="1"/>
  <c r="B4357" i="1"/>
  <c r="A4358" i="1"/>
  <c r="B4358" i="1"/>
  <c r="A4359" i="1"/>
  <c r="B4359" i="1"/>
  <c r="A4360" i="1"/>
  <c r="B4360" i="1"/>
  <c r="A4361" i="1"/>
  <c r="B4361" i="1"/>
  <c r="A4362" i="1"/>
  <c r="B4362" i="1"/>
  <c r="A4363" i="1"/>
  <c r="B4363" i="1"/>
  <c r="A4364" i="1"/>
  <c r="B4364" i="1"/>
  <c r="A4365" i="1"/>
  <c r="B4365" i="1"/>
  <c r="A4366" i="1"/>
  <c r="B4366" i="1"/>
  <c r="A4367" i="1"/>
  <c r="B4367" i="1"/>
  <c r="A4368" i="1"/>
  <c r="B4368" i="1"/>
  <c r="A4369" i="1"/>
  <c r="B4369" i="1"/>
  <c r="A4370" i="1"/>
  <c r="B4370" i="1"/>
  <c r="A4371" i="1"/>
  <c r="B4371" i="1"/>
  <c r="A4372" i="1"/>
  <c r="B4372" i="1"/>
  <c r="A4373" i="1"/>
  <c r="B4373" i="1"/>
  <c r="A4374" i="1"/>
  <c r="B4374" i="1"/>
  <c r="A4375" i="1"/>
  <c r="B4375" i="1"/>
  <c r="A4376" i="1"/>
  <c r="B4376" i="1"/>
  <c r="A4377" i="1"/>
  <c r="B4377" i="1"/>
  <c r="A4378" i="1"/>
  <c r="B4378" i="1"/>
  <c r="A4379" i="1"/>
  <c r="B4379" i="1"/>
  <c r="A4380" i="1"/>
  <c r="B4380" i="1"/>
  <c r="A4381" i="1"/>
  <c r="B4381" i="1"/>
  <c r="A4382" i="1"/>
  <c r="B4382" i="1"/>
  <c r="A4383" i="1"/>
  <c r="B4383" i="1"/>
  <c r="A4384" i="1"/>
  <c r="B4384" i="1"/>
  <c r="A4385" i="1"/>
  <c r="B4385" i="1"/>
  <c r="A4386" i="1"/>
  <c r="B4386" i="1"/>
  <c r="A4387" i="1"/>
  <c r="B4387" i="1"/>
  <c r="A4388" i="1"/>
  <c r="B4388" i="1"/>
  <c r="A4389" i="1"/>
  <c r="B4389" i="1"/>
  <c r="A4390" i="1"/>
  <c r="B4390" i="1"/>
  <c r="A4391" i="1"/>
  <c r="B4391" i="1"/>
  <c r="A4392" i="1"/>
  <c r="B4392" i="1"/>
  <c r="A4393" i="1"/>
  <c r="B4393" i="1"/>
  <c r="A4394" i="1"/>
  <c r="B4394" i="1"/>
  <c r="A4395" i="1"/>
  <c r="B4395" i="1"/>
  <c r="A4396" i="1"/>
  <c r="B4396" i="1"/>
  <c r="A4397" i="1"/>
  <c r="B4397" i="1"/>
  <c r="A4398" i="1"/>
  <c r="B4398" i="1"/>
  <c r="A4399" i="1"/>
  <c r="B4399" i="1"/>
  <c r="A4400" i="1"/>
  <c r="B4400" i="1"/>
  <c r="A4401" i="1"/>
  <c r="B4401" i="1"/>
  <c r="A4402" i="1"/>
  <c r="B4402" i="1"/>
  <c r="A4403" i="1"/>
  <c r="B4403" i="1"/>
  <c r="A4404" i="1"/>
  <c r="B4404" i="1"/>
  <c r="A4405" i="1"/>
  <c r="B4405" i="1"/>
  <c r="A4406" i="1"/>
  <c r="B4406" i="1"/>
  <c r="A4407" i="1"/>
  <c r="B4407" i="1"/>
  <c r="A4408" i="1"/>
  <c r="B4408" i="1"/>
  <c r="A4409" i="1"/>
  <c r="B4409" i="1"/>
  <c r="A4410" i="1"/>
  <c r="B4410" i="1"/>
  <c r="A4411" i="1"/>
  <c r="B4411" i="1"/>
  <c r="A4412" i="1"/>
  <c r="B4412" i="1"/>
  <c r="A4413" i="1"/>
  <c r="B4413" i="1"/>
  <c r="A4414" i="1"/>
  <c r="B4414" i="1"/>
  <c r="A4415" i="1"/>
  <c r="B4415" i="1"/>
  <c r="A4416" i="1"/>
  <c r="B4416" i="1"/>
  <c r="A4417" i="1"/>
  <c r="B4417" i="1"/>
  <c r="A4418" i="1"/>
  <c r="B4418" i="1"/>
  <c r="A4419" i="1"/>
  <c r="B4419" i="1"/>
  <c r="A4420" i="1"/>
  <c r="B4420" i="1"/>
  <c r="A4421" i="1"/>
  <c r="B4421" i="1"/>
  <c r="A4422" i="1"/>
  <c r="B4422" i="1"/>
  <c r="A4423" i="1"/>
  <c r="B4423" i="1"/>
  <c r="A4424" i="1"/>
  <c r="B4424" i="1"/>
  <c r="A4425" i="1"/>
  <c r="B4425" i="1"/>
  <c r="A4426" i="1"/>
  <c r="B4426" i="1"/>
  <c r="A4427" i="1"/>
  <c r="B4427" i="1"/>
  <c r="A4428" i="1"/>
  <c r="B4428" i="1"/>
  <c r="A4429" i="1"/>
  <c r="B4429" i="1"/>
  <c r="A4430" i="1"/>
  <c r="B4430" i="1"/>
  <c r="A4431" i="1"/>
  <c r="B4431" i="1"/>
  <c r="A4432" i="1"/>
  <c r="B4432" i="1"/>
  <c r="A4433" i="1"/>
  <c r="B4433" i="1"/>
  <c r="A4434" i="1"/>
  <c r="B4434" i="1"/>
  <c r="A4435" i="1"/>
  <c r="B4435" i="1"/>
  <c r="A4436" i="1"/>
  <c r="B4436" i="1"/>
  <c r="A4437" i="1"/>
  <c r="B4437" i="1"/>
  <c r="A4438" i="1"/>
  <c r="B4438" i="1"/>
  <c r="A4439" i="1"/>
  <c r="B4439" i="1"/>
  <c r="A4440" i="1"/>
  <c r="B4440" i="1"/>
  <c r="A4441" i="1"/>
  <c r="B4441" i="1"/>
  <c r="A4442" i="1"/>
  <c r="B4442" i="1"/>
  <c r="A4443" i="1"/>
  <c r="B4443" i="1"/>
  <c r="A4444" i="1"/>
  <c r="B4444" i="1"/>
  <c r="A4445" i="1"/>
  <c r="B4445" i="1"/>
  <c r="A4446" i="1"/>
  <c r="B4446" i="1"/>
  <c r="A4447" i="1"/>
  <c r="B4447" i="1"/>
  <c r="A4448" i="1"/>
  <c r="B4448" i="1"/>
  <c r="A4449" i="1"/>
  <c r="B4449" i="1"/>
  <c r="A4450" i="1"/>
  <c r="B4450" i="1"/>
  <c r="A4451" i="1"/>
  <c r="B4451" i="1"/>
  <c r="A4452" i="1"/>
  <c r="B4452" i="1"/>
  <c r="A4453" i="1"/>
  <c r="B4453" i="1"/>
  <c r="A4454" i="1"/>
  <c r="B4454" i="1"/>
  <c r="A4455" i="1"/>
  <c r="B4455" i="1"/>
  <c r="A4456" i="1"/>
  <c r="B4456" i="1"/>
  <c r="A4457" i="1"/>
  <c r="B4457" i="1"/>
  <c r="A4458" i="1"/>
  <c r="B4458" i="1"/>
  <c r="A4459" i="1"/>
  <c r="B4459" i="1"/>
  <c r="A4460" i="1"/>
  <c r="B4460" i="1"/>
  <c r="A4461" i="1"/>
  <c r="B4461" i="1"/>
  <c r="A4462" i="1"/>
  <c r="B4462" i="1"/>
  <c r="A4463" i="1"/>
  <c r="B4463" i="1"/>
  <c r="A4464" i="1"/>
  <c r="B4464" i="1"/>
  <c r="A4465" i="1"/>
  <c r="B4465" i="1"/>
  <c r="A4466" i="1"/>
  <c r="B4466" i="1"/>
  <c r="A4467" i="1"/>
  <c r="B4467" i="1"/>
  <c r="A4468" i="1"/>
  <c r="B4468" i="1"/>
  <c r="A4469" i="1"/>
  <c r="B4469" i="1"/>
  <c r="A4470" i="1"/>
  <c r="B4470" i="1"/>
  <c r="A4471" i="1"/>
  <c r="B4471" i="1"/>
  <c r="A4472" i="1"/>
  <c r="B4472" i="1"/>
  <c r="A4473" i="1"/>
  <c r="B4473" i="1"/>
  <c r="A4474" i="1"/>
  <c r="B4474" i="1"/>
  <c r="A4475" i="1"/>
  <c r="B4475" i="1"/>
  <c r="A4476" i="1"/>
  <c r="B4476" i="1"/>
  <c r="A4477" i="1"/>
  <c r="B4477" i="1"/>
  <c r="A4478" i="1"/>
  <c r="B4478" i="1"/>
  <c r="A4479" i="1"/>
  <c r="B4479" i="1"/>
  <c r="A4480" i="1"/>
  <c r="B4480" i="1"/>
  <c r="A4481" i="1"/>
  <c r="B4481" i="1"/>
  <c r="A4482" i="1"/>
  <c r="B4482" i="1"/>
  <c r="A4483" i="1"/>
  <c r="B4483" i="1"/>
  <c r="A4484" i="1"/>
  <c r="B4484" i="1"/>
  <c r="A4485" i="1"/>
  <c r="B4485" i="1"/>
  <c r="A4486" i="1"/>
  <c r="B4486" i="1"/>
  <c r="A4487" i="1"/>
  <c r="B4487" i="1"/>
  <c r="A4488" i="1"/>
  <c r="B4488" i="1"/>
  <c r="A4489" i="1"/>
  <c r="B4489" i="1"/>
  <c r="A4490" i="1"/>
  <c r="B4490" i="1"/>
  <c r="A4491" i="1"/>
  <c r="B4491" i="1"/>
  <c r="A4492" i="1"/>
  <c r="B4492" i="1"/>
  <c r="A4493" i="1"/>
  <c r="B4493" i="1"/>
  <c r="A4494" i="1"/>
  <c r="B4494" i="1"/>
  <c r="A4495" i="1"/>
  <c r="B4495" i="1"/>
  <c r="A4496" i="1"/>
  <c r="B4496" i="1"/>
  <c r="A4497" i="1"/>
  <c r="B4497" i="1"/>
  <c r="A4498" i="1"/>
  <c r="B4498" i="1"/>
  <c r="A4499" i="1"/>
  <c r="B4499" i="1"/>
  <c r="A4500" i="1"/>
  <c r="B4500" i="1"/>
  <c r="A4501" i="1"/>
  <c r="B4501" i="1"/>
  <c r="A4502" i="1"/>
  <c r="B4502" i="1"/>
  <c r="A4503" i="1"/>
  <c r="B4503" i="1"/>
  <c r="A4504" i="1"/>
  <c r="B4504" i="1"/>
  <c r="A4505" i="1"/>
  <c r="B4505" i="1"/>
  <c r="A4506" i="1"/>
  <c r="B4506" i="1"/>
  <c r="A4507" i="1"/>
  <c r="B4507" i="1"/>
  <c r="A4508" i="1"/>
  <c r="B4508" i="1"/>
  <c r="A4509" i="1"/>
  <c r="B4509" i="1"/>
  <c r="A4510" i="1"/>
  <c r="B4510" i="1"/>
  <c r="A4511" i="1"/>
  <c r="B4511" i="1"/>
  <c r="A4512" i="1"/>
  <c r="B4512" i="1"/>
  <c r="A4513" i="1"/>
  <c r="B4513" i="1"/>
  <c r="A4514" i="1"/>
  <c r="B4514" i="1"/>
  <c r="A4515" i="1"/>
  <c r="B4515" i="1"/>
  <c r="A4516" i="1"/>
  <c r="B4516" i="1"/>
  <c r="A4517" i="1"/>
  <c r="B4517" i="1"/>
  <c r="A4518" i="1"/>
  <c r="B4518" i="1"/>
  <c r="A4519" i="1"/>
  <c r="B4519" i="1"/>
  <c r="A4520" i="1"/>
  <c r="B4520" i="1"/>
  <c r="A4521" i="1"/>
  <c r="B4521" i="1"/>
  <c r="A4522" i="1"/>
  <c r="B4522" i="1"/>
  <c r="A4523" i="1"/>
  <c r="B4523" i="1"/>
  <c r="A4524" i="1"/>
  <c r="B4524" i="1"/>
  <c r="A4525" i="1"/>
  <c r="B4525" i="1"/>
  <c r="A4526" i="1"/>
  <c r="B4526" i="1"/>
  <c r="A4527" i="1"/>
  <c r="B4527" i="1"/>
  <c r="A4528" i="1"/>
  <c r="B4528" i="1"/>
  <c r="A4529" i="1"/>
  <c r="B4529" i="1"/>
  <c r="A4530" i="1"/>
  <c r="B4530" i="1"/>
  <c r="A4531" i="1"/>
  <c r="B4531" i="1"/>
  <c r="A4532" i="1"/>
  <c r="B4532" i="1"/>
  <c r="A4533" i="1"/>
  <c r="B4533" i="1"/>
  <c r="A4534" i="1"/>
  <c r="B4534" i="1"/>
  <c r="A4535" i="1"/>
  <c r="B4535" i="1"/>
  <c r="A4536" i="1"/>
  <c r="B4536" i="1"/>
  <c r="A4537" i="1"/>
  <c r="B4537" i="1"/>
  <c r="A4538" i="1"/>
  <c r="B4538" i="1"/>
  <c r="A4539" i="1"/>
  <c r="B4539" i="1"/>
  <c r="A4540" i="1"/>
  <c r="B4540" i="1"/>
  <c r="A4541" i="1"/>
  <c r="B4541" i="1"/>
  <c r="A4542" i="1"/>
  <c r="B4542" i="1"/>
  <c r="A4543" i="1"/>
  <c r="B4543" i="1"/>
  <c r="A4544" i="1"/>
  <c r="B4544" i="1"/>
  <c r="A4545" i="1"/>
  <c r="B4545" i="1"/>
  <c r="A4546" i="1"/>
  <c r="B4546" i="1"/>
  <c r="A4547" i="1"/>
  <c r="B4547" i="1"/>
  <c r="A4548" i="1"/>
  <c r="B4548" i="1"/>
  <c r="A4549" i="1"/>
  <c r="B4549" i="1"/>
  <c r="A4550" i="1"/>
  <c r="B4550" i="1"/>
  <c r="A4551" i="1"/>
  <c r="B4551" i="1"/>
  <c r="A4552" i="1"/>
  <c r="B4552" i="1"/>
  <c r="A4553" i="1"/>
  <c r="B4553" i="1"/>
  <c r="A4554" i="1"/>
  <c r="B4554" i="1"/>
  <c r="A4555" i="1"/>
  <c r="B4555" i="1"/>
  <c r="A4556" i="1"/>
  <c r="B4556" i="1"/>
  <c r="A4557" i="1"/>
  <c r="B4557" i="1"/>
  <c r="A4558" i="1"/>
  <c r="B4558" i="1"/>
  <c r="A4559" i="1"/>
  <c r="B4559" i="1"/>
  <c r="A4560" i="1"/>
  <c r="B4560" i="1"/>
  <c r="A4561" i="1"/>
  <c r="B4561" i="1"/>
  <c r="A4562" i="1"/>
  <c r="B4562" i="1"/>
  <c r="A4563" i="1"/>
  <c r="B4563" i="1"/>
  <c r="A4564" i="1"/>
  <c r="B4564" i="1"/>
  <c r="A4565" i="1"/>
  <c r="B4565" i="1"/>
  <c r="A4566" i="1"/>
  <c r="B4566" i="1"/>
  <c r="A4567" i="1"/>
  <c r="B4567" i="1"/>
  <c r="A4568" i="1"/>
  <c r="B4568" i="1"/>
  <c r="A4569" i="1"/>
  <c r="B4569" i="1"/>
  <c r="A4570" i="1"/>
  <c r="B4570" i="1"/>
  <c r="A4571" i="1"/>
  <c r="B4571" i="1"/>
  <c r="A4572" i="1"/>
  <c r="B4572" i="1"/>
  <c r="A4573" i="1"/>
  <c r="B4573" i="1"/>
  <c r="A4574" i="1"/>
  <c r="B4574" i="1"/>
  <c r="A4575" i="1"/>
  <c r="B4575" i="1"/>
  <c r="A4576" i="1"/>
  <c r="B4576" i="1"/>
  <c r="A4577" i="1"/>
  <c r="B4577" i="1"/>
  <c r="A4578" i="1"/>
  <c r="B4578" i="1"/>
  <c r="A4579" i="1"/>
  <c r="B4579" i="1"/>
  <c r="A4580" i="1"/>
  <c r="B4580" i="1"/>
  <c r="A4581" i="1"/>
  <c r="B4581" i="1"/>
  <c r="A4582" i="1"/>
  <c r="B4582" i="1"/>
  <c r="A4583" i="1"/>
  <c r="B4583" i="1"/>
  <c r="A4584" i="1"/>
  <c r="B4584" i="1"/>
  <c r="A4585" i="1"/>
  <c r="B4585" i="1"/>
  <c r="A4586" i="1"/>
  <c r="B4586" i="1"/>
  <c r="A4587" i="1"/>
  <c r="B4587" i="1"/>
  <c r="A4588" i="1"/>
  <c r="B4588" i="1"/>
  <c r="A4589" i="1"/>
  <c r="B4589" i="1"/>
  <c r="A4590" i="1"/>
  <c r="B4590" i="1"/>
  <c r="A4591" i="1"/>
  <c r="B4591" i="1"/>
  <c r="A4592" i="1"/>
  <c r="B4592" i="1"/>
  <c r="A4593" i="1"/>
  <c r="B4593" i="1"/>
  <c r="A4594" i="1"/>
  <c r="B4594" i="1"/>
  <c r="A4595" i="1"/>
  <c r="B4595" i="1"/>
  <c r="A4596" i="1"/>
  <c r="B4596" i="1"/>
  <c r="A4597" i="1"/>
  <c r="B4597" i="1"/>
  <c r="A4598" i="1"/>
  <c r="B4598" i="1"/>
  <c r="A4599" i="1"/>
  <c r="B4599" i="1"/>
  <c r="A4600" i="1"/>
  <c r="B4600" i="1"/>
  <c r="A4601" i="1"/>
  <c r="B4601" i="1"/>
  <c r="A4602" i="1"/>
  <c r="B4602" i="1"/>
  <c r="A4603" i="1"/>
  <c r="B4603" i="1"/>
  <c r="A4604" i="1"/>
  <c r="B4604" i="1"/>
  <c r="A4605" i="1"/>
  <c r="B4605" i="1"/>
  <c r="A4606" i="1"/>
  <c r="B4606" i="1"/>
  <c r="A4607" i="1"/>
  <c r="B4607" i="1"/>
  <c r="A4608" i="1"/>
  <c r="B4608" i="1"/>
  <c r="A4609" i="1"/>
  <c r="B4609" i="1"/>
  <c r="A4610" i="1"/>
  <c r="B4610" i="1"/>
  <c r="A4611" i="1"/>
  <c r="B4611" i="1"/>
  <c r="A4612" i="1"/>
  <c r="B4612" i="1"/>
  <c r="A4613" i="1"/>
  <c r="B4613" i="1"/>
  <c r="A4614" i="1"/>
  <c r="B4614" i="1"/>
  <c r="A4615" i="1"/>
  <c r="B4615" i="1"/>
  <c r="A4616" i="1"/>
  <c r="B4616" i="1"/>
  <c r="A4617" i="1"/>
  <c r="B4617" i="1"/>
  <c r="A4618" i="1"/>
  <c r="B4618" i="1"/>
  <c r="A4619" i="1"/>
  <c r="B4619" i="1"/>
  <c r="A4620" i="1"/>
  <c r="B4620" i="1"/>
  <c r="A4621" i="1"/>
  <c r="B4621" i="1"/>
  <c r="A4622" i="1"/>
  <c r="B4622" i="1"/>
  <c r="A4623" i="1"/>
  <c r="B4623" i="1"/>
  <c r="A4624" i="1"/>
  <c r="B4624" i="1"/>
  <c r="A4625" i="1"/>
  <c r="B4625" i="1"/>
  <c r="A4626" i="1"/>
  <c r="B4626" i="1"/>
  <c r="A4627" i="1"/>
  <c r="B4627" i="1"/>
  <c r="A4628" i="1"/>
  <c r="B4628" i="1"/>
  <c r="A4629" i="1"/>
  <c r="B4629" i="1"/>
  <c r="A4630" i="1"/>
  <c r="B4630" i="1"/>
  <c r="A4631" i="1"/>
  <c r="B4631" i="1"/>
  <c r="A4632" i="1"/>
  <c r="B4632" i="1"/>
  <c r="A4633" i="1"/>
  <c r="B4633" i="1"/>
  <c r="A4634" i="1"/>
  <c r="B4634" i="1"/>
  <c r="A4635" i="1"/>
  <c r="B4635" i="1"/>
  <c r="A4636" i="1"/>
  <c r="B4636" i="1"/>
  <c r="A4637" i="1"/>
  <c r="B4637" i="1"/>
  <c r="A4638" i="1"/>
  <c r="B4638" i="1"/>
  <c r="A4639" i="1"/>
  <c r="B4639" i="1"/>
  <c r="A4640" i="1"/>
  <c r="B4640" i="1"/>
  <c r="A4641" i="1"/>
  <c r="B4641" i="1"/>
  <c r="A4642" i="1"/>
  <c r="B4642" i="1"/>
  <c r="A4643" i="1"/>
  <c r="B4643" i="1"/>
  <c r="A4644" i="1"/>
  <c r="B4644" i="1"/>
  <c r="A4645" i="1"/>
  <c r="B4645" i="1"/>
  <c r="A4646" i="1"/>
  <c r="B4646" i="1"/>
  <c r="A4647" i="1"/>
  <c r="B4647" i="1"/>
  <c r="A4648" i="1"/>
  <c r="B4648" i="1"/>
  <c r="A4649" i="1"/>
  <c r="B4649" i="1"/>
  <c r="A4650" i="1"/>
  <c r="B4650" i="1"/>
  <c r="A4651" i="1"/>
  <c r="B4651" i="1"/>
  <c r="A4652" i="1"/>
  <c r="B4652" i="1"/>
  <c r="A4653" i="1"/>
  <c r="B4653" i="1"/>
  <c r="A4654" i="1"/>
  <c r="B4654" i="1"/>
  <c r="A4655" i="1"/>
  <c r="B4655" i="1"/>
  <c r="A4656" i="1"/>
  <c r="B4656" i="1"/>
  <c r="A4657" i="1"/>
  <c r="B4657" i="1"/>
  <c r="A4658" i="1"/>
  <c r="B4658" i="1"/>
  <c r="A4659" i="1"/>
  <c r="B4659" i="1"/>
  <c r="A4660" i="1"/>
  <c r="B4660" i="1"/>
  <c r="A4661" i="1"/>
  <c r="B4661" i="1"/>
  <c r="A4662" i="1"/>
  <c r="B4662" i="1"/>
  <c r="A4663" i="1"/>
  <c r="B4663" i="1"/>
  <c r="A4664" i="1"/>
  <c r="B4664" i="1"/>
  <c r="A4665" i="1"/>
  <c r="B4665" i="1"/>
  <c r="A4666" i="1"/>
  <c r="B4666" i="1"/>
  <c r="A4667" i="1"/>
  <c r="B4667" i="1"/>
  <c r="A4668" i="1"/>
  <c r="B4668" i="1"/>
  <c r="A4669" i="1"/>
  <c r="B4669" i="1"/>
  <c r="A4670" i="1"/>
  <c r="B4670" i="1"/>
  <c r="A4671" i="1"/>
  <c r="B4671" i="1"/>
  <c r="A4672" i="1"/>
  <c r="B4672" i="1"/>
  <c r="A4673" i="1"/>
  <c r="B4673" i="1"/>
  <c r="A4674" i="1"/>
  <c r="B4674" i="1"/>
  <c r="A4675" i="1"/>
  <c r="B4675" i="1"/>
  <c r="A4676" i="1"/>
  <c r="B4676" i="1"/>
  <c r="A4677" i="1"/>
  <c r="B4677" i="1"/>
  <c r="A4678" i="1"/>
  <c r="B4678" i="1"/>
  <c r="A4679" i="1"/>
  <c r="B4679" i="1"/>
  <c r="A4680" i="1"/>
  <c r="B4680" i="1"/>
  <c r="A4681" i="1"/>
  <c r="B4681" i="1"/>
  <c r="A4682" i="1"/>
  <c r="B4682" i="1"/>
  <c r="A4683" i="1"/>
  <c r="B4683" i="1"/>
  <c r="A4684" i="1"/>
  <c r="B4684" i="1"/>
  <c r="A4685" i="1"/>
  <c r="B4685" i="1"/>
  <c r="A4686" i="1"/>
  <c r="B4686" i="1"/>
  <c r="A4687" i="1"/>
  <c r="B4687" i="1"/>
  <c r="A4688" i="1"/>
  <c r="B4688" i="1"/>
  <c r="A4689" i="1"/>
  <c r="B4689" i="1"/>
  <c r="A4690" i="1"/>
  <c r="B4690" i="1"/>
  <c r="A4691" i="1"/>
  <c r="B4691" i="1"/>
  <c r="A4692" i="1"/>
  <c r="B4692" i="1"/>
  <c r="A4693" i="1"/>
  <c r="B4693" i="1"/>
  <c r="A4694" i="1"/>
  <c r="B4694" i="1"/>
  <c r="A4695" i="1"/>
  <c r="B4695" i="1"/>
  <c r="A4696" i="1"/>
  <c r="B4696" i="1"/>
  <c r="A4697" i="1"/>
  <c r="B4697" i="1"/>
  <c r="A4698" i="1"/>
  <c r="B4698" i="1"/>
  <c r="A4699" i="1"/>
  <c r="B4699" i="1"/>
  <c r="A4700" i="1"/>
  <c r="B4700" i="1"/>
  <c r="A4701" i="1"/>
  <c r="B4701" i="1"/>
  <c r="A4702" i="1"/>
  <c r="B4702" i="1"/>
  <c r="A4703" i="1"/>
  <c r="B4703" i="1"/>
  <c r="A4704" i="1"/>
  <c r="B4704" i="1"/>
  <c r="A4705" i="1"/>
  <c r="B4705" i="1"/>
  <c r="A4706" i="1"/>
  <c r="B4706" i="1"/>
  <c r="A4707" i="1"/>
  <c r="B4707" i="1"/>
  <c r="A4708" i="1"/>
  <c r="B4708" i="1"/>
  <c r="A4709" i="1"/>
  <c r="B4709" i="1"/>
  <c r="A4710" i="1"/>
  <c r="B4710" i="1"/>
  <c r="A4711" i="1"/>
  <c r="B4711" i="1"/>
  <c r="A4712" i="1"/>
  <c r="B4712" i="1"/>
  <c r="A4713" i="1"/>
  <c r="B4713" i="1"/>
  <c r="A4714" i="1"/>
  <c r="B4714" i="1"/>
  <c r="A4715" i="1"/>
  <c r="B4715" i="1"/>
  <c r="A4716" i="1"/>
  <c r="B4716" i="1"/>
  <c r="A4717" i="1"/>
  <c r="B4717" i="1"/>
  <c r="A4718" i="1"/>
  <c r="B4718" i="1"/>
  <c r="A4719" i="1"/>
  <c r="B4719" i="1"/>
  <c r="A4720" i="1"/>
  <c r="B4720" i="1"/>
  <c r="A4721" i="1"/>
  <c r="B4721" i="1"/>
  <c r="A4722" i="1"/>
  <c r="B4722" i="1"/>
  <c r="A4723" i="1"/>
  <c r="B4723" i="1"/>
  <c r="A4724" i="1"/>
  <c r="B4724" i="1"/>
  <c r="A4725" i="1"/>
  <c r="B4725" i="1"/>
  <c r="A4726" i="1"/>
  <c r="B4726" i="1"/>
  <c r="A4727" i="1"/>
  <c r="B4727" i="1"/>
  <c r="A4728" i="1"/>
  <c r="B4728" i="1"/>
  <c r="A4729" i="1"/>
  <c r="B4729" i="1"/>
  <c r="A4730" i="1"/>
  <c r="B4730" i="1"/>
  <c r="A4731" i="1"/>
  <c r="B4731" i="1"/>
  <c r="A4732" i="1"/>
  <c r="B4732" i="1"/>
  <c r="A4733" i="1"/>
  <c r="B4733" i="1"/>
  <c r="A4734" i="1"/>
  <c r="B4734" i="1"/>
  <c r="A4735" i="1"/>
  <c r="B4735" i="1"/>
  <c r="A4736" i="1"/>
  <c r="B4736" i="1"/>
  <c r="A4737" i="1"/>
  <c r="B4737" i="1"/>
  <c r="A4738" i="1"/>
  <c r="B4738" i="1"/>
  <c r="A4739" i="1"/>
  <c r="B4739" i="1"/>
  <c r="A4740" i="1"/>
  <c r="B4740" i="1"/>
  <c r="A4741" i="1"/>
  <c r="B4741" i="1"/>
  <c r="A4742" i="1"/>
  <c r="B4742" i="1"/>
  <c r="A4743" i="1"/>
  <c r="B4743" i="1"/>
  <c r="A4744" i="1"/>
  <c r="B4744" i="1"/>
  <c r="A4745" i="1"/>
  <c r="B4745" i="1"/>
  <c r="A4746" i="1"/>
  <c r="B4746" i="1"/>
  <c r="A4747" i="1"/>
  <c r="B4747" i="1"/>
  <c r="A4748" i="1"/>
  <c r="B4748" i="1"/>
  <c r="A4749" i="1"/>
  <c r="B4749" i="1"/>
  <c r="A4750" i="1"/>
  <c r="B4750" i="1"/>
  <c r="A4751" i="1"/>
  <c r="B4751" i="1"/>
  <c r="A4752" i="1"/>
  <c r="B4752" i="1"/>
  <c r="A4753" i="1"/>
  <c r="B4753" i="1"/>
  <c r="A4754" i="1"/>
  <c r="B4754" i="1"/>
  <c r="A4755" i="1"/>
  <c r="B4755" i="1"/>
  <c r="A4756" i="1"/>
  <c r="B4756" i="1"/>
  <c r="A4757" i="1"/>
  <c r="B4757" i="1"/>
  <c r="A4758" i="1"/>
  <c r="B4758" i="1"/>
  <c r="A4759" i="1"/>
  <c r="B4759" i="1"/>
  <c r="A4760" i="1"/>
  <c r="B4760" i="1"/>
  <c r="A4761" i="1"/>
  <c r="B4761" i="1"/>
  <c r="A4762" i="1"/>
  <c r="B4762" i="1"/>
  <c r="A4763" i="1"/>
  <c r="B4763" i="1"/>
  <c r="A4764" i="1"/>
  <c r="B4764" i="1"/>
  <c r="A4765" i="1"/>
  <c r="B4765" i="1"/>
  <c r="A4766" i="1"/>
  <c r="B4766" i="1"/>
  <c r="A4767" i="1"/>
  <c r="B4767" i="1"/>
  <c r="A4768" i="1"/>
  <c r="B4768" i="1"/>
  <c r="A4769" i="1"/>
  <c r="B4769" i="1"/>
  <c r="A4770" i="1"/>
  <c r="B4770" i="1"/>
  <c r="A4771" i="1"/>
  <c r="B4771" i="1"/>
  <c r="A4772" i="1"/>
  <c r="B4772" i="1"/>
  <c r="A4773" i="1"/>
  <c r="B4773" i="1"/>
  <c r="A4774" i="1"/>
  <c r="B4774" i="1"/>
  <c r="A4775" i="1"/>
  <c r="B4775" i="1"/>
  <c r="A4776" i="1"/>
  <c r="B4776" i="1"/>
  <c r="A4777" i="1"/>
  <c r="B4777" i="1"/>
  <c r="A4778" i="1"/>
  <c r="B4778" i="1"/>
  <c r="A4779" i="1"/>
  <c r="B4779" i="1"/>
  <c r="A4780" i="1"/>
  <c r="B4780" i="1"/>
  <c r="A4781" i="1"/>
  <c r="B4781" i="1"/>
  <c r="A4782" i="1"/>
  <c r="B4782" i="1"/>
  <c r="A4783" i="1"/>
  <c r="B4783" i="1"/>
  <c r="A4784" i="1"/>
  <c r="B4784" i="1"/>
  <c r="A4785" i="1"/>
  <c r="B4785" i="1"/>
  <c r="A4786" i="1"/>
  <c r="B4786" i="1"/>
  <c r="A4787" i="1"/>
  <c r="B4787" i="1"/>
  <c r="A4788" i="1"/>
  <c r="B4788" i="1"/>
  <c r="A4789" i="1"/>
  <c r="B4789" i="1"/>
  <c r="A4790" i="1"/>
  <c r="B4790" i="1"/>
  <c r="A4791" i="1"/>
  <c r="B4791" i="1"/>
  <c r="A4792" i="1"/>
  <c r="B4792" i="1"/>
  <c r="A4793" i="1"/>
  <c r="B4793" i="1"/>
  <c r="A4794" i="1"/>
  <c r="B4794" i="1"/>
  <c r="A4795" i="1"/>
  <c r="B4795" i="1"/>
  <c r="A4796" i="1"/>
  <c r="B4796" i="1"/>
  <c r="A4797" i="1"/>
  <c r="B4797" i="1"/>
  <c r="A4798" i="1"/>
  <c r="B4798" i="1"/>
  <c r="A4799" i="1"/>
  <c r="B4799" i="1"/>
  <c r="A4800" i="1"/>
  <c r="B4800" i="1"/>
  <c r="A4801" i="1"/>
  <c r="B4801" i="1"/>
  <c r="A4802" i="1"/>
  <c r="B4802" i="1"/>
  <c r="A4803" i="1"/>
  <c r="B4803" i="1"/>
  <c r="A4804" i="1"/>
  <c r="B4804" i="1"/>
  <c r="A4805" i="1"/>
  <c r="B4805" i="1"/>
  <c r="A4806" i="1"/>
  <c r="B4806" i="1"/>
  <c r="A4807" i="1"/>
  <c r="B4807" i="1"/>
  <c r="A4808" i="1"/>
  <c r="B4808" i="1"/>
  <c r="A4809" i="1"/>
  <c r="B4809" i="1"/>
  <c r="A4810" i="1"/>
  <c r="B4810" i="1"/>
  <c r="A4811" i="1"/>
  <c r="B4811" i="1"/>
  <c r="A4812" i="1"/>
  <c r="B4812" i="1"/>
  <c r="A4813" i="1"/>
  <c r="B4813" i="1"/>
  <c r="A4814" i="1"/>
  <c r="B4814" i="1"/>
  <c r="A4815" i="1"/>
  <c r="B4815" i="1"/>
  <c r="A4816" i="1"/>
  <c r="B4816" i="1"/>
  <c r="A4817" i="1"/>
  <c r="B4817" i="1"/>
  <c r="A4818" i="1"/>
  <c r="B4818" i="1"/>
  <c r="A4819" i="1"/>
  <c r="B4819" i="1"/>
  <c r="A4820" i="1"/>
  <c r="B4820" i="1"/>
  <c r="A4821" i="1"/>
  <c r="B4821" i="1"/>
  <c r="A4822" i="1"/>
  <c r="B4822" i="1"/>
  <c r="A4823" i="1"/>
  <c r="B4823" i="1"/>
  <c r="A4824" i="1"/>
  <c r="B4824" i="1"/>
  <c r="A4825" i="1"/>
  <c r="B4825" i="1"/>
  <c r="A4826" i="1"/>
  <c r="B4826" i="1"/>
  <c r="A4827" i="1"/>
  <c r="B4827" i="1"/>
  <c r="A4828" i="1"/>
  <c r="B4828" i="1"/>
  <c r="A4829" i="1"/>
  <c r="B4829" i="1"/>
  <c r="A4830" i="1"/>
  <c r="B4830" i="1"/>
  <c r="A4831" i="1"/>
  <c r="B4831" i="1"/>
  <c r="A4832" i="1"/>
  <c r="B4832" i="1"/>
  <c r="A4833" i="1"/>
  <c r="B4833" i="1"/>
  <c r="A4834" i="1"/>
  <c r="B4834" i="1"/>
  <c r="A4835" i="1"/>
  <c r="B4835" i="1"/>
  <c r="A4836" i="1"/>
  <c r="B4836" i="1"/>
  <c r="A4837" i="1"/>
  <c r="B4837" i="1"/>
  <c r="A4838" i="1"/>
  <c r="B4838" i="1"/>
  <c r="A4839" i="1"/>
  <c r="B4839" i="1"/>
  <c r="A4840" i="1"/>
  <c r="B4840" i="1"/>
  <c r="A4841" i="1"/>
  <c r="B4841" i="1"/>
  <c r="A4842" i="1"/>
  <c r="B4842" i="1"/>
  <c r="A4843" i="1"/>
  <c r="B4843" i="1"/>
  <c r="A4844" i="1"/>
  <c r="B4844" i="1"/>
  <c r="A4845" i="1"/>
  <c r="B4845" i="1"/>
  <c r="A4846" i="1"/>
  <c r="B4846" i="1"/>
  <c r="A4847" i="1"/>
  <c r="B4847" i="1"/>
  <c r="A4848" i="1"/>
  <c r="B4848" i="1"/>
  <c r="A4849" i="1"/>
  <c r="B4849" i="1"/>
  <c r="A4850" i="1"/>
  <c r="B4850" i="1"/>
  <c r="A4851" i="1"/>
  <c r="B4851" i="1"/>
  <c r="A4852" i="1"/>
  <c r="B4852" i="1"/>
  <c r="A4853" i="1"/>
  <c r="B4853" i="1"/>
  <c r="A4854" i="1"/>
  <c r="B4854" i="1"/>
  <c r="A4855" i="1"/>
  <c r="B4855" i="1"/>
  <c r="A4856" i="1"/>
  <c r="B4856" i="1"/>
  <c r="A4857" i="1"/>
  <c r="B4857" i="1"/>
  <c r="A4858" i="1"/>
  <c r="B4858" i="1"/>
  <c r="A4859" i="1"/>
  <c r="B4859" i="1"/>
  <c r="A4860" i="1"/>
  <c r="B4860" i="1"/>
  <c r="A4861" i="1"/>
  <c r="B4861" i="1"/>
  <c r="A4862" i="1"/>
  <c r="B4862" i="1"/>
  <c r="A4863" i="1"/>
  <c r="B4863" i="1"/>
  <c r="A4864" i="1"/>
  <c r="B4864" i="1"/>
  <c r="A4865" i="1"/>
  <c r="B4865" i="1"/>
  <c r="A4866" i="1"/>
  <c r="B4866" i="1"/>
  <c r="A4867" i="1"/>
  <c r="B4867" i="1"/>
  <c r="A4868" i="1"/>
  <c r="B4868" i="1"/>
  <c r="A4869" i="1"/>
  <c r="B4869" i="1"/>
  <c r="A4870" i="1"/>
  <c r="B4870" i="1"/>
  <c r="A4871" i="1"/>
  <c r="B4871" i="1"/>
  <c r="A4872" i="1"/>
  <c r="B4872" i="1"/>
  <c r="A4873" i="1"/>
  <c r="B4873" i="1"/>
  <c r="A4874" i="1"/>
  <c r="B4874" i="1"/>
  <c r="A4875" i="1"/>
  <c r="B4875" i="1"/>
  <c r="A4876" i="1"/>
  <c r="B4876" i="1"/>
  <c r="A4877" i="1"/>
  <c r="B4877" i="1"/>
  <c r="A4878" i="1"/>
  <c r="B4878" i="1"/>
  <c r="A4879" i="1"/>
  <c r="B4879" i="1"/>
  <c r="A4880" i="1"/>
  <c r="B4880" i="1"/>
  <c r="A4881" i="1"/>
  <c r="B4881" i="1"/>
  <c r="A4882" i="1"/>
  <c r="B4882" i="1"/>
  <c r="A4883" i="1"/>
  <c r="B4883" i="1"/>
  <c r="A4884" i="1"/>
  <c r="B4884" i="1"/>
  <c r="A4885" i="1"/>
  <c r="B4885" i="1"/>
  <c r="A4886" i="1"/>
  <c r="B4886" i="1"/>
  <c r="A4887" i="1"/>
  <c r="B4887" i="1"/>
  <c r="A4888" i="1"/>
  <c r="B4888" i="1"/>
  <c r="A4889" i="1"/>
  <c r="B4889" i="1"/>
  <c r="A4890" i="1"/>
  <c r="B4890" i="1"/>
  <c r="A4891" i="1"/>
  <c r="B4891" i="1"/>
  <c r="A4892" i="1"/>
  <c r="B4892" i="1"/>
  <c r="A4893" i="1"/>
  <c r="B4893" i="1"/>
  <c r="A4894" i="1"/>
  <c r="B4894" i="1"/>
  <c r="A4895" i="1"/>
  <c r="B4895" i="1"/>
  <c r="A4896" i="1"/>
  <c r="B4896" i="1"/>
  <c r="A4897" i="1"/>
  <c r="B4897" i="1"/>
  <c r="A4898" i="1"/>
  <c r="B4898" i="1"/>
  <c r="A4899" i="1"/>
  <c r="B4899" i="1"/>
  <c r="A4900" i="1"/>
  <c r="B4900" i="1"/>
  <c r="A4901" i="1"/>
  <c r="B4901" i="1"/>
  <c r="A4902" i="1"/>
  <c r="B4902" i="1"/>
  <c r="A4903" i="1"/>
  <c r="B4903" i="1"/>
  <c r="A4904" i="1"/>
  <c r="B4904" i="1"/>
  <c r="A4905" i="1"/>
  <c r="B4905" i="1"/>
  <c r="A4906" i="1"/>
  <c r="B4906" i="1"/>
  <c r="A4907" i="1"/>
  <c r="B4907" i="1"/>
  <c r="A4908" i="1"/>
  <c r="B4908" i="1"/>
  <c r="A4909" i="1"/>
  <c r="B4909" i="1"/>
  <c r="A4910" i="1"/>
  <c r="B4910" i="1"/>
  <c r="A4911" i="1"/>
  <c r="B4911" i="1"/>
  <c r="A4912" i="1"/>
  <c r="B4912" i="1"/>
  <c r="A4913" i="1"/>
  <c r="B4913" i="1"/>
  <c r="A4914" i="1"/>
  <c r="B4914" i="1"/>
  <c r="A4915" i="1"/>
  <c r="B4915" i="1"/>
  <c r="A4916" i="1"/>
  <c r="B4916" i="1"/>
  <c r="A4917" i="1"/>
  <c r="B4917" i="1"/>
  <c r="A4918" i="1"/>
  <c r="B4918" i="1"/>
  <c r="A4919" i="1"/>
  <c r="B4919" i="1"/>
  <c r="A4920" i="1"/>
  <c r="B4920" i="1"/>
  <c r="A4921" i="1"/>
  <c r="B4921" i="1"/>
  <c r="A4922" i="1"/>
  <c r="B4922" i="1"/>
  <c r="A4923" i="1"/>
  <c r="B4923" i="1"/>
  <c r="A4924" i="1"/>
  <c r="B4924" i="1"/>
  <c r="A4925" i="1"/>
  <c r="B4925" i="1"/>
  <c r="A4926" i="1"/>
  <c r="B4926" i="1"/>
  <c r="A4927" i="1"/>
  <c r="B4927" i="1"/>
  <c r="A4928" i="1"/>
  <c r="B4928" i="1"/>
  <c r="A4929" i="1"/>
  <c r="B4929" i="1"/>
  <c r="A4930" i="1"/>
  <c r="B4930" i="1"/>
  <c r="A4931" i="1"/>
  <c r="B4931" i="1"/>
  <c r="A4932" i="1"/>
  <c r="B4932" i="1"/>
  <c r="A4933" i="1"/>
  <c r="B4933" i="1"/>
  <c r="A4934" i="1"/>
  <c r="B4934" i="1"/>
  <c r="A4935" i="1"/>
  <c r="B4935" i="1"/>
  <c r="A4936" i="1"/>
  <c r="B4936" i="1"/>
  <c r="A4937" i="1"/>
  <c r="B4937" i="1"/>
  <c r="A4938" i="1"/>
  <c r="B4938" i="1"/>
  <c r="A4939" i="1"/>
  <c r="B4939" i="1"/>
  <c r="A4940" i="1"/>
  <c r="B4940" i="1"/>
  <c r="A4941" i="1"/>
  <c r="B4941" i="1"/>
  <c r="A4942" i="1"/>
  <c r="B4942" i="1"/>
  <c r="A4943" i="1"/>
  <c r="B4943" i="1"/>
  <c r="A4944" i="1"/>
  <c r="B4944" i="1"/>
  <c r="A4945" i="1"/>
  <c r="B4945" i="1"/>
  <c r="A4946" i="1"/>
  <c r="B4946" i="1"/>
  <c r="A4947" i="1"/>
  <c r="B4947" i="1"/>
  <c r="A4948" i="1"/>
  <c r="B4948" i="1"/>
  <c r="A4949" i="1"/>
  <c r="B4949" i="1"/>
  <c r="A4950" i="1"/>
  <c r="B4950" i="1"/>
  <c r="A4951" i="1"/>
  <c r="B4951" i="1"/>
  <c r="A4952" i="1"/>
  <c r="B4952" i="1"/>
  <c r="A4953" i="1"/>
  <c r="B4953" i="1"/>
  <c r="A4954" i="1"/>
  <c r="B4954" i="1"/>
  <c r="A4955" i="1"/>
  <c r="B4955" i="1"/>
  <c r="A4956" i="1"/>
  <c r="B4956" i="1"/>
  <c r="A4957" i="1"/>
  <c r="B4957" i="1"/>
  <c r="A4958" i="1"/>
  <c r="B4958" i="1"/>
  <c r="A4959" i="1"/>
  <c r="B4959" i="1"/>
  <c r="A4960" i="1"/>
  <c r="B4960" i="1"/>
  <c r="A4961" i="1"/>
  <c r="B4961" i="1"/>
  <c r="A4962" i="1"/>
  <c r="B4962" i="1"/>
  <c r="A4963" i="1"/>
  <c r="B4963" i="1"/>
  <c r="A4964" i="1"/>
  <c r="B4964" i="1"/>
  <c r="A4965" i="1"/>
  <c r="B4965" i="1"/>
  <c r="A4966" i="1"/>
  <c r="B4966" i="1"/>
  <c r="A4967" i="1"/>
  <c r="B4967" i="1"/>
  <c r="A4968" i="1"/>
  <c r="B4968" i="1"/>
  <c r="A4969" i="1"/>
  <c r="B4969" i="1"/>
  <c r="A4970" i="1"/>
  <c r="B4970" i="1"/>
  <c r="A4971" i="1"/>
  <c r="B4971" i="1"/>
  <c r="A4972" i="1"/>
  <c r="B4972" i="1"/>
  <c r="A4973" i="1"/>
  <c r="B4973" i="1"/>
  <c r="A4974" i="1"/>
  <c r="B4974" i="1"/>
  <c r="A4975" i="1"/>
  <c r="B4975" i="1"/>
  <c r="A4976" i="1"/>
  <c r="B4976" i="1"/>
  <c r="A4977" i="1"/>
  <c r="B4977" i="1"/>
  <c r="A4978" i="1"/>
  <c r="B4978" i="1"/>
  <c r="A4979" i="1"/>
  <c r="B4979" i="1"/>
  <c r="A4980" i="1"/>
  <c r="B4980" i="1"/>
  <c r="A4981" i="1"/>
  <c r="B4981" i="1"/>
  <c r="A4982" i="1"/>
  <c r="B4982" i="1"/>
  <c r="A4983" i="1"/>
  <c r="B4983" i="1"/>
  <c r="A4984" i="1"/>
  <c r="B4984" i="1"/>
  <c r="A4985" i="1"/>
  <c r="B4985" i="1"/>
  <c r="A4986" i="1"/>
  <c r="B4986" i="1"/>
  <c r="A4987" i="1"/>
  <c r="B4987" i="1"/>
  <c r="A4988" i="1"/>
  <c r="B4988" i="1"/>
  <c r="A4989" i="1"/>
  <c r="B4989" i="1"/>
  <c r="A4990" i="1"/>
  <c r="B4990" i="1"/>
  <c r="A4991" i="1"/>
  <c r="B4991" i="1"/>
  <c r="A4992" i="1"/>
  <c r="B4992" i="1"/>
  <c r="A4993" i="1"/>
  <c r="B4993" i="1"/>
  <c r="A4994" i="1"/>
  <c r="B4994" i="1"/>
  <c r="A4995" i="1"/>
  <c r="B4995" i="1"/>
  <c r="A4996" i="1"/>
  <c r="B4996" i="1"/>
  <c r="A4997" i="1"/>
  <c r="B4997" i="1"/>
  <c r="A4998" i="1"/>
  <c r="B4998" i="1"/>
  <c r="A4999" i="1"/>
  <c r="B4999" i="1"/>
  <c r="A5000" i="1"/>
  <c r="B5000" i="1"/>
  <c r="A5001" i="1"/>
  <c r="B5001" i="1"/>
  <c r="A5002" i="1"/>
  <c r="B5002" i="1"/>
  <c r="A5003" i="1"/>
  <c r="B5003" i="1"/>
  <c r="A5004" i="1"/>
  <c r="B5004" i="1"/>
  <c r="A5005" i="1"/>
  <c r="B5005" i="1"/>
  <c r="A5006" i="1"/>
  <c r="B5006" i="1"/>
  <c r="A5007" i="1"/>
  <c r="B5007" i="1"/>
  <c r="A5008" i="1"/>
  <c r="B5008" i="1"/>
  <c r="A5009" i="1"/>
  <c r="B5009" i="1"/>
  <c r="A5010" i="1"/>
  <c r="B5010" i="1"/>
  <c r="A5011" i="1"/>
  <c r="B5011" i="1"/>
  <c r="A5012" i="1"/>
  <c r="B5012" i="1"/>
  <c r="A5013" i="1"/>
  <c r="B5013" i="1"/>
  <c r="A5014" i="1"/>
  <c r="B5014" i="1"/>
  <c r="A5015" i="1"/>
  <c r="B5015" i="1"/>
  <c r="A5016" i="1"/>
  <c r="B5016" i="1"/>
  <c r="A5017" i="1"/>
  <c r="B5017" i="1"/>
  <c r="A5018" i="1"/>
  <c r="B5018" i="1"/>
  <c r="A5019" i="1"/>
  <c r="B5019" i="1"/>
  <c r="A5020" i="1"/>
  <c r="B5020" i="1"/>
  <c r="A5021" i="1"/>
  <c r="B5021" i="1"/>
  <c r="A5022" i="1"/>
  <c r="B5022" i="1"/>
  <c r="A5023" i="1"/>
  <c r="B5023" i="1"/>
  <c r="A5024" i="1"/>
  <c r="B5024" i="1"/>
  <c r="A5025" i="1"/>
  <c r="B5025" i="1"/>
  <c r="A5026" i="1"/>
  <c r="B5026" i="1"/>
  <c r="A5027" i="1"/>
  <c r="B5027" i="1"/>
  <c r="A5028" i="1"/>
  <c r="B5028" i="1"/>
  <c r="A5029" i="1"/>
  <c r="B5029" i="1"/>
  <c r="A5030" i="1"/>
  <c r="B5030" i="1"/>
  <c r="A5031" i="1"/>
  <c r="B5031" i="1"/>
  <c r="A5032" i="1"/>
  <c r="B5032" i="1"/>
  <c r="A5033" i="1"/>
  <c r="B5033" i="1"/>
  <c r="A5034" i="1"/>
  <c r="B5034" i="1"/>
  <c r="A5035" i="1"/>
  <c r="B5035" i="1"/>
  <c r="A5036" i="1"/>
  <c r="B5036" i="1"/>
  <c r="A5037" i="1"/>
  <c r="B5037" i="1"/>
  <c r="A5038" i="1"/>
  <c r="B5038" i="1"/>
  <c r="A5039" i="1"/>
  <c r="B5039" i="1"/>
  <c r="A5040" i="1"/>
  <c r="B5040" i="1"/>
  <c r="A5041" i="1"/>
  <c r="B5041" i="1"/>
  <c r="A5042" i="1"/>
  <c r="B5042" i="1"/>
  <c r="A5043" i="1"/>
  <c r="B5043" i="1"/>
  <c r="A5044" i="1"/>
  <c r="B5044" i="1"/>
  <c r="A5045" i="1"/>
  <c r="B5045" i="1"/>
  <c r="A5046" i="1"/>
  <c r="B5046" i="1"/>
  <c r="A5047" i="1"/>
  <c r="B5047" i="1"/>
  <c r="A5048" i="1"/>
  <c r="B5048" i="1"/>
  <c r="A5049" i="1"/>
  <c r="B5049" i="1"/>
  <c r="A5050" i="1"/>
  <c r="B5050" i="1"/>
  <c r="A5051" i="1"/>
  <c r="B5051" i="1"/>
  <c r="A5052" i="1"/>
  <c r="B5052" i="1"/>
  <c r="A5053" i="1"/>
  <c r="B5053" i="1"/>
  <c r="A5054" i="1"/>
  <c r="B5054" i="1"/>
  <c r="A5055" i="1"/>
  <c r="B5055" i="1"/>
  <c r="A5056" i="1"/>
  <c r="B5056" i="1"/>
  <c r="A5057" i="1"/>
  <c r="B5057" i="1"/>
  <c r="A5058" i="1"/>
  <c r="B5058" i="1"/>
  <c r="A5059" i="1"/>
  <c r="B5059" i="1"/>
  <c r="A5060" i="1"/>
  <c r="B5060" i="1"/>
  <c r="A5061" i="1"/>
  <c r="B5061" i="1"/>
  <c r="A5062" i="1"/>
  <c r="B5062" i="1"/>
  <c r="A5063" i="1"/>
  <c r="B5063" i="1"/>
  <c r="A5064" i="1"/>
  <c r="B5064" i="1"/>
  <c r="A5065" i="1"/>
  <c r="B5065" i="1"/>
  <c r="A5066" i="1"/>
  <c r="B5066" i="1"/>
  <c r="A5067" i="1"/>
  <c r="B5067" i="1"/>
  <c r="A5068" i="1"/>
  <c r="B5068" i="1"/>
  <c r="A5069" i="1"/>
  <c r="B5069" i="1"/>
  <c r="A5070" i="1"/>
  <c r="B5070" i="1"/>
  <c r="A5071" i="1"/>
  <c r="B5071" i="1"/>
  <c r="A5072" i="1"/>
  <c r="B5072" i="1"/>
  <c r="A5073" i="1"/>
  <c r="B5073" i="1"/>
  <c r="A5074" i="1"/>
  <c r="B5074" i="1"/>
  <c r="A5075" i="1"/>
  <c r="B5075" i="1"/>
  <c r="A5076" i="1"/>
  <c r="B5076" i="1"/>
  <c r="A5077" i="1"/>
  <c r="B5077" i="1"/>
  <c r="A5078" i="1"/>
  <c r="B5078" i="1"/>
  <c r="A5079" i="1"/>
  <c r="B5079" i="1"/>
  <c r="A5080" i="1"/>
  <c r="B5080" i="1"/>
  <c r="A5081" i="1"/>
  <c r="B5081" i="1"/>
  <c r="A5082" i="1"/>
  <c r="B5082" i="1"/>
  <c r="A5083" i="1"/>
  <c r="B5083" i="1"/>
  <c r="A5084" i="1"/>
  <c r="B5084" i="1"/>
  <c r="A5085" i="1"/>
  <c r="B5085" i="1"/>
  <c r="A5086" i="1"/>
  <c r="B5086" i="1"/>
  <c r="A5087" i="1"/>
  <c r="B5087" i="1"/>
  <c r="A5088" i="1"/>
  <c r="B5088" i="1"/>
  <c r="A5089" i="1"/>
  <c r="B5089" i="1"/>
  <c r="A5090" i="1"/>
  <c r="B5090" i="1"/>
  <c r="A5091" i="1"/>
  <c r="B5091" i="1"/>
  <c r="A5092" i="1"/>
  <c r="B5092" i="1"/>
  <c r="A5093" i="1"/>
  <c r="B5093" i="1"/>
  <c r="A5094" i="1"/>
  <c r="B5094" i="1"/>
  <c r="A5095" i="1"/>
  <c r="B5095" i="1"/>
  <c r="A5096" i="1"/>
  <c r="B5096" i="1"/>
  <c r="A5097" i="1"/>
  <c r="B5097" i="1"/>
  <c r="A5098" i="1"/>
  <c r="B5098" i="1"/>
  <c r="A5099" i="1"/>
  <c r="B5099" i="1"/>
  <c r="A5100" i="1"/>
  <c r="B5100" i="1"/>
  <c r="A5101" i="1"/>
  <c r="B5101" i="1"/>
  <c r="A5102" i="1"/>
  <c r="B5102" i="1"/>
  <c r="A5103" i="1"/>
  <c r="B5103" i="1"/>
  <c r="A5104" i="1"/>
  <c r="B5104" i="1"/>
  <c r="A5105" i="1"/>
  <c r="B5105" i="1"/>
  <c r="A5106" i="1"/>
  <c r="B5106" i="1"/>
  <c r="A5107" i="1"/>
  <c r="B5107" i="1"/>
  <c r="A5108" i="1"/>
  <c r="B5108" i="1"/>
  <c r="A5109" i="1"/>
  <c r="B5109" i="1"/>
  <c r="A5110" i="1"/>
  <c r="B5110" i="1"/>
  <c r="A5111" i="1"/>
  <c r="B5111" i="1"/>
  <c r="A5112" i="1"/>
  <c r="B5112" i="1"/>
  <c r="A5113" i="1"/>
  <c r="B5113" i="1"/>
  <c r="A5114" i="1"/>
  <c r="B5114" i="1"/>
  <c r="A5115" i="1"/>
  <c r="B5115" i="1"/>
  <c r="A5116" i="1"/>
  <c r="B5116" i="1"/>
  <c r="A5117" i="1"/>
  <c r="B5117" i="1"/>
  <c r="A5118" i="1"/>
  <c r="B5118" i="1"/>
  <c r="A5119" i="1"/>
  <c r="B5119" i="1"/>
  <c r="A5120" i="1"/>
  <c r="B5120" i="1"/>
  <c r="A5121" i="1"/>
  <c r="B5121" i="1"/>
  <c r="A5122" i="1"/>
  <c r="B5122" i="1"/>
  <c r="A5123" i="1"/>
  <c r="B5123" i="1"/>
  <c r="A5124" i="1"/>
  <c r="B5124" i="1"/>
  <c r="A5125" i="1"/>
  <c r="B5125" i="1"/>
  <c r="A5126" i="1"/>
  <c r="B5126" i="1"/>
  <c r="A5127" i="1"/>
  <c r="B5127" i="1"/>
  <c r="A5128" i="1"/>
  <c r="B5128" i="1"/>
  <c r="A5129" i="1"/>
  <c r="B5129" i="1"/>
  <c r="A5130" i="1"/>
  <c r="B5130" i="1"/>
  <c r="A5131" i="1"/>
  <c r="B5131" i="1"/>
  <c r="A5132" i="1"/>
  <c r="B5132" i="1"/>
  <c r="A5133" i="1"/>
  <c r="B5133" i="1"/>
  <c r="A5134" i="1"/>
  <c r="B5134" i="1"/>
  <c r="A5135" i="1"/>
  <c r="B5135" i="1"/>
  <c r="A5136" i="1"/>
  <c r="B5136" i="1"/>
  <c r="A5137" i="1"/>
  <c r="B5137" i="1"/>
  <c r="A5138" i="1"/>
  <c r="B5138" i="1"/>
  <c r="A5139" i="1"/>
  <c r="B5139" i="1"/>
  <c r="A5140" i="1"/>
  <c r="B5140" i="1"/>
  <c r="A5141" i="1"/>
  <c r="B5141" i="1"/>
  <c r="A5142" i="1"/>
  <c r="B5142" i="1"/>
  <c r="A5143" i="1"/>
  <c r="B5143" i="1"/>
  <c r="A5144" i="1"/>
  <c r="B5144" i="1"/>
  <c r="A5145" i="1"/>
  <c r="B5145" i="1"/>
  <c r="A5146" i="1"/>
  <c r="B5146" i="1"/>
  <c r="A5147" i="1"/>
  <c r="B5147" i="1"/>
  <c r="A5148" i="1"/>
  <c r="B5148" i="1"/>
  <c r="A5149" i="1"/>
  <c r="B5149" i="1"/>
  <c r="A5150" i="1"/>
  <c r="B5150" i="1"/>
  <c r="A5151" i="1"/>
  <c r="B5151" i="1"/>
  <c r="A5152" i="1"/>
  <c r="B5152" i="1"/>
  <c r="A5153" i="1"/>
  <c r="B5153" i="1"/>
  <c r="A5154" i="1"/>
  <c r="B5154" i="1"/>
  <c r="A5155" i="1"/>
  <c r="B5155" i="1"/>
  <c r="A5156" i="1"/>
  <c r="B5156" i="1"/>
  <c r="A5157" i="1"/>
  <c r="B5157" i="1"/>
  <c r="A5158" i="1"/>
  <c r="B5158" i="1"/>
  <c r="A5159" i="1"/>
  <c r="B5159" i="1"/>
  <c r="A5160" i="1"/>
  <c r="B5160" i="1"/>
  <c r="A5161" i="1"/>
  <c r="B5161" i="1"/>
  <c r="A5162" i="1"/>
  <c r="B5162" i="1"/>
  <c r="A5163" i="1"/>
  <c r="B5163" i="1"/>
  <c r="A5164" i="1"/>
  <c r="B5164" i="1"/>
  <c r="A5165" i="1"/>
  <c r="B5165" i="1"/>
  <c r="A5166" i="1"/>
  <c r="B5166" i="1"/>
  <c r="A5167" i="1"/>
  <c r="B5167" i="1"/>
  <c r="A5168" i="1"/>
  <c r="B5168" i="1"/>
  <c r="A5169" i="1"/>
  <c r="B5169" i="1"/>
  <c r="A5170" i="1"/>
  <c r="B5170" i="1"/>
  <c r="A5171" i="1"/>
  <c r="B5171" i="1"/>
  <c r="A5172" i="1"/>
  <c r="B5172" i="1"/>
  <c r="A5173" i="1"/>
  <c r="B5173" i="1"/>
  <c r="A5174" i="1"/>
  <c r="B5174" i="1"/>
  <c r="A5175" i="1"/>
  <c r="B5175" i="1"/>
  <c r="A5176" i="1"/>
  <c r="B5176" i="1"/>
  <c r="A5177" i="1"/>
  <c r="B5177" i="1"/>
  <c r="A5178" i="1"/>
  <c r="B5178" i="1"/>
  <c r="A5179" i="1"/>
  <c r="B5179" i="1"/>
  <c r="A5180" i="1"/>
  <c r="B5180" i="1"/>
  <c r="A5181" i="1"/>
  <c r="B5181" i="1"/>
  <c r="A5182" i="1"/>
  <c r="B5182" i="1"/>
  <c r="A5183" i="1"/>
  <c r="B5183" i="1"/>
  <c r="A5184" i="1"/>
  <c r="B5184" i="1"/>
  <c r="A5185" i="1"/>
  <c r="B5185" i="1"/>
  <c r="A5186" i="1"/>
  <c r="B5186" i="1"/>
  <c r="A5187" i="1"/>
  <c r="B5187" i="1"/>
  <c r="A5188" i="1"/>
  <c r="B5188" i="1"/>
  <c r="A5189" i="1"/>
  <c r="B5189" i="1"/>
  <c r="A5190" i="1"/>
  <c r="B5190" i="1"/>
  <c r="A5191" i="1"/>
  <c r="B5191" i="1"/>
  <c r="A5192" i="1"/>
  <c r="B5192" i="1"/>
  <c r="A5193" i="1"/>
  <c r="B5193" i="1"/>
  <c r="A5194" i="1"/>
  <c r="B5194" i="1"/>
  <c r="A5195" i="1"/>
  <c r="B5195" i="1"/>
  <c r="A5196" i="1"/>
  <c r="B5196" i="1"/>
  <c r="A5197" i="1"/>
  <c r="B5197" i="1"/>
  <c r="A5198" i="1"/>
  <c r="B5198" i="1"/>
  <c r="A5199" i="1"/>
  <c r="B5199" i="1"/>
  <c r="A5200" i="1"/>
  <c r="B5200" i="1"/>
  <c r="A5201" i="1"/>
  <c r="B5201" i="1"/>
  <c r="A5202" i="1"/>
  <c r="B5202" i="1"/>
  <c r="A5203" i="1"/>
  <c r="B5203" i="1"/>
  <c r="A5204" i="1"/>
  <c r="B5204" i="1"/>
  <c r="A5205" i="1"/>
  <c r="B5205" i="1"/>
  <c r="A5206" i="1"/>
  <c r="B5206" i="1"/>
  <c r="A5207" i="1"/>
  <c r="B5207" i="1"/>
  <c r="A5208" i="1"/>
  <c r="B5208" i="1"/>
  <c r="A5209" i="1"/>
  <c r="B5209" i="1"/>
  <c r="A5210" i="1"/>
  <c r="B5210" i="1"/>
  <c r="A5211" i="1"/>
  <c r="B5211" i="1"/>
  <c r="A5212" i="1"/>
  <c r="B5212" i="1"/>
  <c r="A5213" i="1"/>
  <c r="B5213" i="1"/>
  <c r="A5214" i="1"/>
  <c r="B5214" i="1"/>
  <c r="A5215" i="1"/>
  <c r="B5215" i="1"/>
  <c r="A5216" i="1"/>
  <c r="B5216" i="1"/>
  <c r="A5217" i="1"/>
  <c r="B5217" i="1"/>
  <c r="A5218" i="1"/>
  <c r="B5218" i="1"/>
  <c r="A5219" i="1"/>
  <c r="B5219" i="1"/>
  <c r="A5220" i="1"/>
  <c r="B5220" i="1"/>
  <c r="A5221" i="1"/>
  <c r="B5221" i="1"/>
  <c r="A5222" i="1"/>
  <c r="B5222" i="1"/>
  <c r="A5223" i="1"/>
  <c r="B5223" i="1"/>
  <c r="A5224" i="1"/>
  <c r="B5224" i="1"/>
  <c r="A5225" i="1"/>
  <c r="B5225" i="1"/>
  <c r="A5226" i="1"/>
  <c r="B5226" i="1"/>
  <c r="A5227" i="1"/>
  <c r="B5227" i="1"/>
  <c r="A5228" i="1"/>
  <c r="B5228" i="1"/>
  <c r="A5229" i="1"/>
  <c r="B5229" i="1"/>
  <c r="A5230" i="1"/>
  <c r="B5230" i="1"/>
  <c r="A5231" i="1"/>
  <c r="B5231" i="1"/>
  <c r="A5232" i="1"/>
  <c r="B5232" i="1"/>
  <c r="A5233" i="1"/>
  <c r="B5233" i="1"/>
  <c r="A5234" i="1"/>
  <c r="B5234" i="1"/>
  <c r="A5235" i="1"/>
  <c r="B5235" i="1"/>
  <c r="A5236" i="1"/>
  <c r="B5236" i="1"/>
  <c r="A5237" i="1"/>
  <c r="B5237" i="1"/>
  <c r="A5238" i="1"/>
  <c r="B5238" i="1"/>
  <c r="A5239" i="1"/>
  <c r="B5239" i="1"/>
  <c r="A5240" i="1"/>
  <c r="B5240" i="1"/>
  <c r="A5241" i="1"/>
  <c r="B5241" i="1"/>
  <c r="A5242" i="1"/>
  <c r="B5242" i="1"/>
  <c r="A5243" i="1"/>
  <c r="B5243" i="1"/>
  <c r="A5244" i="1"/>
  <c r="B5244" i="1"/>
  <c r="A5245" i="1"/>
  <c r="B5245" i="1"/>
  <c r="A5246" i="1"/>
  <c r="B5246" i="1"/>
  <c r="A5247" i="1"/>
  <c r="B5247" i="1"/>
  <c r="A5248" i="1"/>
  <c r="B5248" i="1"/>
  <c r="A5249" i="1"/>
  <c r="B5249" i="1"/>
  <c r="A5250" i="1"/>
  <c r="B5250" i="1"/>
  <c r="A5251" i="1"/>
  <c r="B5251" i="1"/>
  <c r="A5252" i="1"/>
  <c r="B5252" i="1"/>
  <c r="A5253" i="1"/>
  <c r="B5253" i="1"/>
  <c r="A5254" i="1"/>
  <c r="B5254" i="1"/>
  <c r="A5255" i="1"/>
  <c r="B5255" i="1"/>
  <c r="A5256" i="1"/>
  <c r="B5256" i="1"/>
  <c r="A5257" i="1"/>
  <c r="B5257" i="1"/>
  <c r="A5258" i="1"/>
  <c r="B5258" i="1"/>
  <c r="A5259" i="1"/>
  <c r="B5259" i="1"/>
  <c r="A5260" i="1"/>
  <c r="B5260" i="1"/>
  <c r="A5261" i="1"/>
  <c r="B5261" i="1"/>
  <c r="A5262" i="1"/>
  <c r="B5262" i="1"/>
  <c r="A5263" i="1"/>
  <c r="B5263" i="1"/>
  <c r="A5264" i="1"/>
  <c r="B5264" i="1"/>
  <c r="A5265" i="1"/>
  <c r="B5265" i="1"/>
  <c r="A5266" i="1"/>
  <c r="B5266" i="1"/>
  <c r="A5267" i="1"/>
  <c r="B5267" i="1"/>
  <c r="A5268" i="1"/>
  <c r="B5268" i="1"/>
  <c r="A5269" i="1"/>
  <c r="B5269" i="1"/>
  <c r="A5270" i="1"/>
  <c r="B5270" i="1"/>
  <c r="A5271" i="1"/>
  <c r="B5271" i="1"/>
  <c r="A5272" i="1"/>
  <c r="B5272" i="1"/>
  <c r="A5273" i="1"/>
  <c r="B5273" i="1"/>
  <c r="A5274" i="1"/>
  <c r="B5274" i="1"/>
  <c r="A5275" i="1"/>
  <c r="B5275" i="1"/>
  <c r="A5276" i="1"/>
  <c r="B5276" i="1"/>
  <c r="A5277" i="1"/>
  <c r="B5277" i="1"/>
  <c r="A5278" i="1"/>
  <c r="B5278" i="1"/>
  <c r="A5279" i="1"/>
  <c r="B5279" i="1"/>
  <c r="A5280" i="1"/>
  <c r="B5280" i="1"/>
  <c r="A5281" i="1"/>
  <c r="B5281" i="1"/>
  <c r="A5282" i="1"/>
  <c r="B5282" i="1"/>
  <c r="A5283" i="1"/>
  <c r="B5283" i="1"/>
  <c r="A5284" i="1"/>
  <c r="B5284" i="1"/>
  <c r="A5285" i="1"/>
  <c r="B5285" i="1"/>
  <c r="A5286" i="1"/>
  <c r="B5286" i="1"/>
  <c r="A5287" i="1"/>
  <c r="B5287" i="1"/>
  <c r="A5288" i="1"/>
  <c r="B5288" i="1"/>
  <c r="A5289" i="1"/>
  <c r="B5289" i="1"/>
  <c r="A5290" i="1"/>
  <c r="B5290" i="1"/>
  <c r="A5291" i="1"/>
  <c r="B5291" i="1"/>
  <c r="A5292" i="1"/>
  <c r="B5292" i="1"/>
  <c r="A5293" i="1"/>
  <c r="B5293" i="1"/>
  <c r="A5294" i="1"/>
  <c r="B5294" i="1"/>
  <c r="A5295" i="1"/>
  <c r="B5295" i="1"/>
  <c r="A5296" i="1"/>
  <c r="B5296" i="1"/>
  <c r="A5297" i="1"/>
  <c r="B5297" i="1"/>
</calcChain>
</file>

<file path=xl/sharedStrings.xml><?xml version="1.0" encoding="utf-8"?>
<sst xmlns="http://schemas.openxmlformats.org/spreadsheetml/2006/main" count="10632" uniqueCount="97">
  <si>
    <t>SystemTime</t>
  </si>
  <si>
    <t>Timestamp</t>
  </si>
  <si>
    <t>NowSsceneName</t>
  </si>
  <si>
    <t>PupilRadiusH</t>
  </si>
  <si>
    <t>GazePointX</t>
  </si>
  <si>
    <t>Hitname</t>
  </si>
  <si>
    <t>HitPointX</t>
  </si>
  <si>
    <t>HitPointY</t>
  </si>
  <si>
    <t>HitPointZ</t>
  </si>
  <si>
    <t>CameraPosX</t>
  </si>
  <si>
    <t>CameraPosY</t>
  </si>
  <si>
    <t>CameraPosZ</t>
  </si>
  <si>
    <t>CarDirX</t>
  </si>
  <si>
    <t>CarDirY</t>
  </si>
  <si>
    <t>CarDirZ</t>
  </si>
  <si>
    <t>CameraDirX</t>
  </si>
  <si>
    <t>CameraDirY</t>
  </si>
  <si>
    <t>CameraDirZ</t>
  </si>
  <si>
    <t>EyeDirX</t>
  </si>
  <si>
    <t>EyeDirY</t>
  </si>
  <si>
    <t>EyeDirZ</t>
  </si>
  <si>
    <t>HeadLocalDirX</t>
  </si>
  <si>
    <t>HeadLocalDirY</t>
  </si>
  <si>
    <t>HeadLocalDirZ</t>
  </si>
  <si>
    <t>EyeLocalDirX</t>
  </si>
  <si>
    <t>EyeLocalDirY</t>
  </si>
  <si>
    <t>EyeLocalDirZ</t>
  </si>
  <si>
    <t>speed</t>
  </si>
  <si>
    <t>VecX</t>
  </si>
  <si>
    <t>VecY</t>
  </si>
  <si>
    <t>VecZ</t>
  </si>
  <si>
    <t>LocalVecX</t>
  </si>
  <si>
    <t>LocalVecY</t>
  </si>
  <si>
    <t>LocalVecZ</t>
  </si>
  <si>
    <t>Theta</t>
  </si>
  <si>
    <t>Phi</t>
  </si>
  <si>
    <t>r</t>
  </si>
  <si>
    <t>Theta_Head</t>
  </si>
  <si>
    <t>Phi_Head</t>
  </si>
  <si>
    <t>r_Head_value_is_1</t>
  </si>
  <si>
    <t>Testday_off</t>
  </si>
  <si>
    <t>Kooper</t>
  </si>
  <si>
    <t>mcp_road_part_02</t>
  </si>
  <si>
    <t>Plane_01</t>
  </si>
  <si>
    <t>Building 07 (16)</t>
  </si>
  <si>
    <t>mcp_roads_turn_01 (1)</t>
  </si>
  <si>
    <t>FAR</t>
  </si>
  <si>
    <t>Floor 01</t>
  </si>
  <si>
    <t>Building 18 (9)</t>
  </si>
  <si>
    <t>Pilar Small (28)</t>
  </si>
  <si>
    <t>Pilar Small (27)</t>
  </si>
  <si>
    <t>Building 07 (17)</t>
  </si>
  <si>
    <t>mcp_roads_T_cross_01</t>
  </si>
  <si>
    <t>Building 24 (1)</t>
  </si>
  <si>
    <t>Building 18 (11)</t>
  </si>
  <si>
    <t>mcp_roads_cross_02</t>
  </si>
  <si>
    <t>Building 15 (35)</t>
  </si>
  <si>
    <t>mcp_building_24_fountain_marble</t>
  </si>
  <si>
    <t>Building 29 (5)</t>
  </si>
  <si>
    <t>Building 18 (5)</t>
  </si>
  <si>
    <t>Building 21 (2)</t>
  </si>
  <si>
    <t>Box001</t>
  </si>
  <si>
    <t>mcp_road_part_01</t>
  </si>
  <si>
    <t>Building 18 (4)</t>
  </si>
  <si>
    <t>Building 02 (8)</t>
  </si>
  <si>
    <t>Building 15 (33)</t>
  </si>
  <si>
    <t>mcp_roads_cross_01</t>
  </si>
  <si>
    <t>Pilar 02 (8)</t>
  </si>
  <si>
    <t>Building 15 (31)</t>
  </si>
  <si>
    <t>Tree 01 (6)</t>
  </si>
  <si>
    <t>Building 02 (7)</t>
  </si>
  <si>
    <t>Building 07 (4)</t>
  </si>
  <si>
    <t>Building 15 (32)</t>
  </si>
  <si>
    <t>Building 07 (15)</t>
  </si>
  <si>
    <t>Tree 02 (3)</t>
  </si>
  <si>
    <t>Canopi 01 (4)</t>
  </si>
  <si>
    <t>Building 24</t>
  </si>
  <si>
    <t>Tong (3)</t>
  </si>
  <si>
    <t>Tree 02 (2)</t>
  </si>
  <si>
    <t>Canopi 01 (8)</t>
  </si>
  <si>
    <t>Building 07 (18)</t>
  </si>
  <si>
    <t>Building 11 (3)</t>
  </si>
  <si>
    <t>Building 02 (11)</t>
  </si>
  <si>
    <t>mcp_roads_turn_01</t>
  </si>
  <si>
    <t>Building 15 (30)</t>
  </si>
  <si>
    <t>Building 13 (1)</t>
  </si>
  <si>
    <t>Building 18 (6)</t>
  </si>
  <si>
    <t>mcp_road_part_02 (3)</t>
  </si>
  <si>
    <t>mcp_road_part_02 (2)</t>
  </si>
  <si>
    <t>mcp_road_part_02 (1)</t>
  </si>
  <si>
    <t>Shurbs (1)</t>
  </si>
  <si>
    <t>Building 30 (4)</t>
  </si>
  <si>
    <t>Building 07 (14)</t>
  </si>
  <si>
    <t>mcp_road_part_02 (9)</t>
  </si>
  <si>
    <t>mcp_road_part_02 (7)</t>
  </si>
  <si>
    <t>mcp_road_part_02 (6)</t>
  </si>
  <si>
    <t>Building 15 (22)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</si>
</sst>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5297"/>
  <sheetViews>
    <sheetView tabSelected="1" workbookViewId="0"/>
  </sheetViews>
  <sheetFormatPr defaultRowHeight="14" x14ac:dyDescent="0.3"/>
  <sheetData>
    <row r="1" spans="1:4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3">
      <c r="A2" t="str">
        <f>"20200111145916493"</f>
        <v>20200111145916493</v>
      </c>
      <c r="B2" t="str">
        <f>"1578725956486171"</f>
        <v>1578725956486171</v>
      </c>
      <c r="C2" t="s">
        <v>40</v>
      </c>
      <c r="D2">
        <v>3.9419360000000001</v>
      </c>
      <c r="E2">
        <v>0.57335879999999995</v>
      </c>
      <c r="F2" t="s">
        <v>41</v>
      </c>
      <c r="G2">
        <v>-476.42270000000002</v>
      </c>
      <c r="H2">
        <v>0.95038239999999996</v>
      </c>
      <c r="I2">
        <v>367.46660000000003</v>
      </c>
      <c r="J2">
        <v>-477.10340000000002</v>
      </c>
      <c r="K2">
        <v>1.104109</v>
      </c>
      <c r="L2">
        <v>367.52069999999998</v>
      </c>
      <c r="M2">
        <v>0.99995630000000002</v>
      </c>
      <c r="N2">
        <v>0</v>
      </c>
      <c r="O2">
        <v>-1.167333E-4</v>
      </c>
      <c r="P2">
        <v>0.99358990000000003</v>
      </c>
      <c r="Q2">
        <v>2.2719050000000001E-2</v>
      </c>
      <c r="R2">
        <v>0.11073860000000001</v>
      </c>
      <c r="S2">
        <v>3.061188</v>
      </c>
      <c r="T2">
        <v>-0.68678919999999999</v>
      </c>
      <c r="U2">
        <v>-0.24053959999999999</v>
      </c>
      <c r="V2">
        <v>-0.1108512</v>
      </c>
      <c r="W2">
        <v>3.202207E-2</v>
      </c>
      <c r="X2">
        <v>0.99332100000000001</v>
      </c>
      <c r="Y2">
        <v>7.6336150000000005E-2</v>
      </c>
      <c r="Z2">
        <v>-8.4196500000000007E-3</v>
      </c>
      <c r="AA2">
        <v>0.99704660000000001</v>
      </c>
      <c r="AB2">
        <v>1</v>
      </c>
      <c r="AC2">
        <v>0.68070000000000097</v>
      </c>
      <c r="AD2">
        <v>-0.15372659999999899</v>
      </c>
      <c r="AE2">
        <v>-5.4099999999948502E-2</v>
      </c>
      <c r="AF2">
        <v>5.1414744729054399E-2</v>
      </c>
      <c r="AG2">
        <v>-0.15372659999999899</v>
      </c>
      <c r="AH2">
        <v>0.64787104924594097</v>
      </c>
      <c r="AI2">
        <v>103.307920455304</v>
      </c>
      <c r="AJ2">
        <v>85.462543214640306</v>
      </c>
      <c r="AK2">
        <v>0.66784147817738104</v>
      </c>
      <c r="AL2">
        <v>88.164956843404099</v>
      </c>
      <c r="AM2">
        <v>96.367664880634706</v>
      </c>
      <c r="AN2">
        <v>1.00000000527476</v>
      </c>
    </row>
    <row r="3" spans="1:40" x14ac:dyDescent="0.3">
      <c r="A3" t="str">
        <f>"20200111145916505"</f>
        <v>20200111145916505</v>
      </c>
      <c r="B3" t="str">
        <f>"1578725956495932"</f>
        <v>1578725956495932</v>
      </c>
      <c r="C3" t="s">
        <v>40</v>
      </c>
      <c r="D3">
        <v>3.9369399999999999</v>
      </c>
      <c r="E3">
        <v>0.57333610000000002</v>
      </c>
      <c r="F3" t="s">
        <v>41</v>
      </c>
      <c r="G3">
        <v>-476.42189999999999</v>
      </c>
      <c r="H3">
        <v>0.95195949999999996</v>
      </c>
      <c r="I3">
        <v>367.46679999999998</v>
      </c>
      <c r="J3">
        <v>-477.09829999999999</v>
      </c>
      <c r="K3">
        <v>1.1039890000000001</v>
      </c>
      <c r="L3">
        <v>367.52069999999998</v>
      </c>
      <c r="M3">
        <v>0.99996220000000002</v>
      </c>
      <c r="N3">
        <v>0</v>
      </c>
      <c r="O3">
        <v>-1.446877E-4</v>
      </c>
      <c r="P3">
        <v>0.99357969999999896</v>
      </c>
      <c r="Q3">
        <v>2.309073E-2</v>
      </c>
      <c r="R3">
        <v>0.1107535</v>
      </c>
      <c r="S3">
        <v>3.0618289999999999</v>
      </c>
      <c r="T3">
        <v>-0.68362829999999997</v>
      </c>
      <c r="U3">
        <v>-0.24093629999999999</v>
      </c>
      <c r="V3">
        <v>-0.1108944</v>
      </c>
      <c r="W3">
        <v>3.1749939999999997E-2</v>
      </c>
      <c r="X3">
        <v>0.99332489999999996</v>
      </c>
      <c r="Y3">
        <v>7.6436500000000004E-2</v>
      </c>
      <c r="Z3">
        <v>-8.3849760000000006E-3</v>
      </c>
      <c r="AA3">
        <v>0.99703920000000001</v>
      </c>
      <c r="AB3">
        <v>1</v>
      </c>
      <c r="AC3">
        <v>0.676400000000001</v>
      </c>
      <c r="AD3">
        <v>-0.15202949999999901</v>
      </c>
      <c r="AE3">
        <v>-5.3899999999998699E-2</v>
      </c>
      <c r="AF3">
        <v>5.1230388410019402E-2</v>
      </c>
      <c r="AG3">
        <v>-0.15202949999999901</v>
      </c>
      <c r="AH3">
        <v>0.64407551449202805</v>
      </c>
      <c r="AI3">
        <v>103.240828650471</v>
      </c>
      <c r="AJ3">
        <v>85.452213165402497</v>
      </c>
      <c r="AK3">
        <v>0.66375506772834603</v>
      </c>
      <c r="AL3">
        <v>88.180556651652196</v>
      </c>
      <c r="AM3">
        <v>96.370101233640298</v>
      </c>
      <c r="AN3">
        <v>0.99999999180068599</v>
      </c>
    </row>
    <row r="4" spans="1:40" x14ac:dyDescent="0.3">
      <c r="A4" t="str">
        <f>"20200111145916525"</f>
        <v>20200111145916525</v>
      </c>
      <c r="B4" t="str">
        <f>"1578725956515454"</f>
        <v>1578725956515454</v>
      </c>
      <c r="C4" t="s">
        <v>40</v>
      </c>
      <c r="D4">
        <v>3.993242</v>
      </c>
      <c r="E4">
        <v>0.57333840000000003</v>
      </c>
      <c r="F4" t="s">
        <v>41</v>
      </c>
      <c r="G4">
        <v>-476.4126</v>
      </c>
      <c r="H4">
        <v>0.95119640000000005</v>
      </c>
      <c r="I4">
        <v>367.46640000000002</v>
      </c>
      <c r="J4">
        <v>-477.08859999999999</v>
      </c>
      <c r="K4">
        <v>1.103826</v>
      </c>
      <c r="L4">
        <v>367.5206</v>
      </c>
      <c r="M4">
        <v>0.99997029999999998</v>
      </c>
      <c r="N4">
        <v>0</v>
      </c>
      <c r="O4">
        <v>-2.0058009999999999E-4</v>
      </c>
      <c r="P4">
        <v>0.9935927</v>
      </c>
      <c r="Q4">
        <v>2.4181970000000001E-2</v>
      </c>
      <c r="R4">
        <v>0.11040320000000001</v>
      </c>
      <c r="S4">
        <v>3.0620729999999998</v>
      </c>
      <c r="T4">
        <v>-0.682411199999999</v>
      </c>
      <c r="U4">
        <v>-0.24072270000000001</v>
      </c>
      <c r="V4">
        <v>-0.1105984</v>
      </c>
      <c r="W4">
        <v>3.1857650000000001E-2</v>
      </c>
      <c r="X4">
        <v>0.99335439999999997</v>
      </c>
      <c r="Y4">
        <v>7.6316560000000006E-2</v>
      </c>
      <c r="Z4">
        <v>-8.3443059999999993E-3</v>
      </c>
      <c r="AA4">
        <v>0.99704870000000001</v>
      </c>
      <c r="AB4">
        <v>1</v>
      </c>
      <c r="AC4">
        <v>0.67599999999998694</v>
      </c>
      <c r="AD4">
        <v>-0.1526296</v>
      </c>
      <c r="AE4">
        <v>-5.4199999999980202E-2</v>
      </c>
      <c r="AF4">
        <v>5.1457927902291298E-2</v>
      </c>
      <c r="AG4">
        <v>-0.1526296</v>
      </c>
      <c r="AH4">
        <v>0.64341999983758302</v>
      </c>
      <c r="AI4">
        <v>103.30385991268901</v>
      </c>
      <c r="AJ4">
        <v>85.427465448221795</v>
      </c>
      <c r="AK4">
        <v>0.66327446003231005</v>
      </c>
      <c r="AL4">
        <v>88.174382105075495</v>
      </c>
      <c r="AM4">
        <v>96.353050204796901</v>
      </c>
      <c r="AN4">
        <v>0.99999993997271897</v>
      </c>
    </row>
    <row r="5" spans="1:40" x14ac:dyDescent="0.3">
      <c r="A5" t="str">
        <f>"20200111145916536"</f>
        <v>20200111145916536</v>
      </c>
      <c r="B5" t="str">
        <f>"1578725956526188"</f>
        <v>1578725956526188</v>
      </c>
      <c r="C5" t="s">
        <v>40</v>
      </c>
      <c r="D5">
        <v>3.9848569999999999</v>
      </c>
      <c r="E5">
        <v>0.57333319999999999</v>
      </c>
      <c r="F5" t="s">
        <v>41</v>
      </c>
      <c r="G5">
        <v>-476.4008</v>
      </c>
      <c r="H5">
        <v>0.95129819999999998</v>
      </c>
      <c r="I5">
        <v>367.46629999999999</v>
      </c>
      <c r="J5">
        <v>-477.08109999999999</v>
      </c>
      <c r="K5">
        <v>1.103734</v>
      </c>
      <c r="L5">
        <v>367.5206</v>
      </c>
      <c r="M5">
        <v>0.99997480000000005</v>
      </c>
      <c r="N5">
        <v>0</v>
      </c>
      <c r="O5">
        <v>-2.4447560000000001E-4</v>
      </c>
      <c r="P5">
        <v>0.99361560000000004</v>
      </c>
      <c r="Q5">
        <v>2.472661E-2</v>
      </c>
      <c r="R5">
        <v>0.1100763</v>
      </c>
      <c r="S5">
        <v>3.0627749999999998</v>
      </c>
      <c r="T5">
        <v>-0.67930109999999999</v>
      </c>
      <c r="U5">
        <v>-0.2421875</v>
      </c>
      <c r="V5">
        <v>-0.11031539999999999</v>
      </c>
      <c r="W5">
        <v>3.1774249999999997E-2</v>
      </c>
      <c r="X5">
        <v>0.99338859999999995</v>
      </c>
      <c r="Y5">
        <v>7.6737349999999996E-2</v>
      </c>
      <c r="Z5">
        <v>-8.3416040000000007E-3</v>
      </c>
      <c r="AA5">
        <v>0.99701640000000002</v>
      </c>
      <c r="AB5">
        <v>1</v>
      </c>
      <c r="AC5">
        <v>0.68029999999998803</v>
      </c>
      <c r="AD5">
        <v>-0.15243579999999901</v>
      </c>
      <c r="AE5">
        <v>-5.4300000000011998E-2</v>
      </c>
      <c r="AF5">
        <v>5.1561276779231099E-2</v>
      </c>
      <c r="AG5">
        <v>-0.15243579999999901</v>
      </c>
      <c r="AH5">
        <v>0.64798516741842305</v>
      </c>
      <c r="AI5">
        <v>103.197648694964</v>
      </c>
      <c r="AJ5">
        <v>85.450463696624993</v>
      </c>
      <c r="AK5">
        <v>0.66766759362651895</v>
      </c>
      <c r="AL5">
        <v>88.179163104019594</v>
      </c>
      <c r="AM5">
        <v>96.336709994669405</v>
      </c>
      <c r="AN5">
        <v>1.00000000052509</v>
      </c>
    </row>
    <row r="6" spans="1:40" x14ac:dyDescent="0.3">
      <c r="A6" t="str">
        <f>"20200111145916549"</f>
        <v>20200111145916549</v>
      </c>
      <c r="B6" t="str">
        <f>"1578725956545708"</f>
        <v>1578725956545708</v>
      </c>
      <c r="C6" t="s">
        <v>40</v>
      </c>
      <c r="D6">
        <v>3.9880450000000001</v>
      </c>
      <c r="E6">
        <v>0.57334659999999904</v>
      </c>
      <c r="F6" t="s">
        <v>41</v>
      </c>
      <c r="G6">
        <v>-476.4</v>
      </c>
      <c r="H6">
        <v>0.95303139999999997</v>
      </c>
      <c r="I6">
        <v>367.4667</v>
      </c>
      <c r="J6">
        <v>-477.07310000000001</v>
      </c>
      <c r="K6">
        <v>1.1036539999999999</v>
      </c>
      <c r="L6">
        <v>367.52050000000003</v>
      </c>
      <c r="M6">
        <v>0.99997899999999995</v>
      </c>
      <c r="N6">
        <v>0</v>
      </c>
      <c r="O6">
        <v>-2.9072180000000003E-4</v>
      </c>
      <c r="P6">
        <v>0.99362640000000002</v>
      </c>
      <c r="Q6">
        <v>2.4877460000000001E-2</v>
      </c>
      <c r="R6">
        <v>0.1099451</v>
      </c>
      <c r="S6">
        <v>3.0630190000000002</v>
      </c>
      <c r="T6">
        <v>-0.67778669999999996</v>
      </c>
      <c r="U6">
        <v>-0.2425842</v>
      </c>
      <c r="V6">
        <v>-0.1102303</v>
      </c>
      <c r="W6">
        <v>3.1336250000000003E-2</v>
      </c>
      <c r="X6">
        <v>0.99341199999999996</v>
      </c>
      <c r="Y6">
        <v>7.6820879999999994E-2</v>
      </c>
      <c r="Z6">
        <v>-8.3217810000000003E-3</v>
      </c>
      <c r="AA6">
        <v>0.99701019999999896</v>
      </c>
      <c r="AB6">
        <v>1</v>
      </c>
      <c r="AC6">
        <v>0.67310000000003301</v>
      </c>
      <c r="AD6">
        <v>-0.1506226</v>
      </c>
      <c r="AE6">
        <v>-5.3800000000023801E-2</v>
      </c>
      <c r="AF6">
        <v>5.1063533496963E-2</v>
      </c>
      <c r="AG6">
        <v>-0.1506226</v>
      </c>
      <c r="AH6">
        <v>0.64121079850555895</v>
      </c>
      <c r="AI6">
        <v>103.179044973609</v>
      </c>
      <c r="AJ6">
        <v>85.446796128839395</v>
      </c>
      <c r="AK6">
        <v>0.66064055295152102</v>
      </c>
      <c r="AL6">
        <v>88.204271231335994</v>
      </c>
      <c r="AM6">
        <v>96.331713482728901</v>
      </c>
      <c r="AN6">
        <v>1.00000004067307</v>
      </c>
    </row>
    <row r="7" spans="1:40" x14ac:dyDescent="0.3">
      <c r="A7" t="str">
        <f>"20200111145916562"</f>
        <v>20200111145916562</v>
      </c>
      <c r="B7" t="str">
        <f>"1578725956555468"</f>
        <v>1578725956555468</v>
      </c>
      <c r="C7" t="s">
        <v>40</v>
      </c>
      <c r="D7">
        <v>3.975133</v>
      </c>
      <c r="E7">
        <v>0.57334419999999897</v>
      </c>
      <c r="F7" t="s">
        <v>41</v>
      </c>
      <c r="G7">
        <v>-476.38659999999999</v>
      </c>
      <c r="H7">
        <v>0.95184000000000002</v>
      </c>
      <c r="I7">
        <v>367.46570000000003</v>
      </c>
      <c r="J7">
        <v>-477.06369999999998</v>
      </c>
      <c r="K7">
        <v>1.1035699999999999</v>
      </c>
      <c r="L7">
        <v>367.5204</v>
      </c>
      <c r="M7">
        <v>0.99998299999999996</v>
      </c>
      <c r="N7">
        <v>0</v>
      </c>
      <c r="O7">
        <v>-3.4426839999999998E-4</v>
      </c>
      <c r="P7">
        <v>0.99368310000000004</v>
      </c>
      <c r="Q7">
        <v>2.5058509999999999E-2</v>
      </c>
      <c r="R7">
        <v>0.10939</v>
      </c>
      <c r="S7">
        <v>3.06311</v>
      </c>
      <c r="T7">
        <v>-0.67749499999999996</v>
      </c>
      <c r="U7">
        <v>-0.24310300000000001</v>
      </c>
      <c r="V7">
        <v>-0.1097278</v>
      </c>
      <c r="W7">
        <v>3.0880129999999999E-2</v>
      </c>
      <c r="X7">
        <v>0.99348190000000003</v>
      </c>
      <c r="Y7">
        <v>7.6933260000000003E-2</v>
      </c>
      <c r="Z7">
        <v>-8.3185640000000005E-3</v>
      </c>
      <c r="AA7">
        <v>0.99700149999999998</v>
      </c>
      <c r="AB7">
        <v>1</v>
      </c>
      <c r="AC7">
        <v>0.67709999999999504</v>
      </c>
      <c r="AD7">
        <v>-0.15173</v>
      </c>
      <c r="AE7">
        <v>-5.4699999999968399E-2</v>
      </c>
      <c r="AF7">
        <v>5.1878669915166903E-2</v>
      </c>
      <c r="AG7">
        <v>-0.15173</v>
      </c>
      <c r="AH7">
        <v>0.64494270079927396</v>
      </c>
      <c r="AI7">
        <v>103.197603711456</v>
      </c>
      <c r="AJ7">
        <v>85.401075775476102</v>
      </c>
      <c r="AK7">
        <v>0.66457842020820102</v>
      </c>
      <c r="AL7">
        <v>88.230417615174701</v>
      </c>
      <c r="AM7">
        <v>96.302642426527399</v>
      </c>
      <c r="AN7">
        <v>1.00000002907463</v>
      </c>
    </row>
    <row r="8" spans="1:40" x14ac:dyDescent="0.3">
      <c r="A8" t="str">
        <f>"20200111145916580"</f>
        <v>20200111145916580</v>
      </c>
      <c r="B8" t="str">
        <f>"1578725956575964"</f>
        <v>1578725956575964</v>
      </c>
      <c r="C8" t="s">
        <v>40</v>
      </c>
      <c r="D8">
        <v>3.9500470000000001</v>
      </c>
      <c r="E8">
        <v>0.57336189999999998</v>
      </c>
      <c r="F8" t="s">
        <v>41</v>
      </c>
      <c r="G8">
        <v>-476.37090000000001</v>
      </c>
      <c r="H8">
        <v>0.95040570000000002</v>
      </c>
      <c r="I8">
        <v>367.46499999999997</v>
      </c>
      <c r="J8">
        <v>-477.04880000000003</v>
      </c>
      <c r="K8">
        <v>1.1034649999999999</v>
      </c>
      <c r="L8">
        <v>367.5204</v>
      </c>
      <c r="M8">
        <v>0.99998770000000003</v>
      </c>
      <c r="N8">
        <v>0</v>
      </c>
      <c r="O8">
        <v>-4.2803699999999998E-4</v>
      </c>
      <c r="P8">
        <v>0.99369980000000002</v>
      </c>
      <c r="Q8">
        <v>2.513398E-2</v>
      </c>
      <c r="R8">
        <v>0.10922080000000001</v>
      </c>
      <c r="S8">
        <v>3.0630489999999999</v>
      </c>
      <c r="T8">
        <v>-0.67717190000000005</v>
      </c>
      <c r="U8">
        <v>-0.24468989999999999</v>
      </c>
      <c r="V8">
        <v>-0.1096423</v>
      </c>
      <c r="W8">
        <v>3.0083229999999999E-2</v>
      </c>
      <c r="X8">
        <v>0.9935157</v>
      </c>
      <c r="Y8">
        <v>7.7358150000000001E-2</v>
      </c>
      <c r="Z8">
        <v>-8.3427529999999996E-3</v>
      </c>
      <c r="AA8">
        <v>0.99696839999999998</v>
      </c>
      <c r="AB8">
        <v>2</v>
      </c>
      <c r="AC8">
        <v>0.67790000000002204</v>
      </c>
      <c r="AD8">
        <v>-0.15305929999999901</v>
      </c>
      <c r="AE8">
        <v>-5.54000000000201E-2</v>
      </c>
      <c r="AF8">
        <v>5.2453554904879102E-2</v>
      </c>
      <c r="AG8">
        <v>-0.15305929999999901</v>
      </c>
      <c r="AH8">
        <v>0.64524801897710005</v>
      </c>
      <c r="AI8">
        <v>103.302176910672</v>
      </c>
      <c r="AJ8">
        <v>85.352526270866505</v>
      </c>
      <c r="AK8">
        <v>0.66522442132901305</v>
      </c>
      <c r="AL8">
        <v>88.276097695293402</v>
      </c>
      <c r="AM8">
        <v>96.297558344852604</v>
      </c>
      <c r="AN8">
        <v>0.99999994041150397</v>
      </c>
    </row>
    <row r="9" spans="1:40" x14ac:dyDescent="0.3">
      <c r="A9" t="str">
        <f>"20200111145916595"</f>
        <v>20200111145916595</v>
      </c>
      <c r="B9" t="str">
        <f>"1578725956585723"</f>
        <v>1578725956585723</v>
      </c>
      <c r="C9" t="s">
        <v>40</v>
      </c>
      <c r="D9">
        <v>3.9651550000000002</v>
      </c>
      <c r="E9">
        <v>0.57336679999999995</v>
      </c>
      <c r="F9" t="s">
        <v>41</v>
      </c>
      <c r="G9">
        <v>-476.36939999999998</v>
      </c>
      <c r="H9">
        <v>0.95335950000000003</v>
      </c>
      <c r="I9">
        <v>367.4658</v>
      </c>
      <c r="J9">
        <v>-477.03469999999999</v>
      </c>
      <c r="K9">
        <v>1.1033980000000001</v>
      </c>
      <c r="L9">
        <v>367.52030000000002</v>
      </c>
      <c r="M9">
        <v>0.99999079999999996</v>
      </c>
      <c r="N9">
        <v>0</v>
      </c>
      <c r="O9">
        <v>-5.0498329999999997E-4</v>
      </c>
      <c r="P9">
        <v>0.99370820000000004</v>
      </c>
      <c r="Q9">
        <v>2.5797649999999998E-2</v>
      </c>
      <c r="R9">
        <v>0.1089898</v>
      </c>
      <c r="S9">
        <v>3.0631409999999999</v>
      </c>
      <c r="T9">
        <v>-0.67683709999999997</v>
      </c>
      <c r="U9">
        <v>-0.2457886</v>
      </c>
      <c r="V9">
        <v>-0.109487</v>
      </c>
      <c r="W9">
        <v>3.0071319999999999E-2</v>
      </c>
      <c r="X9">
        <v>0.99353329999999995</v>
      </c>
      <c r="Y9">
        <v>7.7631649999999996E-2</v>
      </c>
      <c r="Z9">
        <v>-8.3514049999999992E-3</v>
      </c>
      <c r="AA9">
        <v>0.99694709999999997</v>
      </c>
      <c r="AB9">
        <v>2</v>
      </c>
      <c r="AC9">
        <v>0.665300000000002</v>
      </c>
      <c r="AD9">
        <v>-0.15003849999999899</v>
      </c>
      <c r="AE9">
        <v>-5.4500000000018603E-2</v>
      </c>
      <c r="AF9">
        <v>5.1559237425766201E-2</v>
      </c>
      <c r="AG9">
        <v>-0.15003849999999899</v>
      </c>
      <c r="AH9">
        <v>0.63333135850822997</v>
      </c>
      <c r="AI9">
        <v>103.28548306888401</v>
      </c>
      <c r="AJ9">
        <v>85.345838616731101</v>
      </c>
      <c r="AK9">
        <v>0.65290008126516297</v>
      </c>
      <c r="AL9">
        <v>88.276780590722396</v>
      </c>
      <c r="AM9">
        <v>96.288599339102902</v>
      </c>
      <c r="AN9">
        <v>1.0000000528322099</v>
      </c>
    </row>
    <row r="10" spans="1:40" x14ac:dyDescent="0.3">
      <c r="A10" t="str">
        <f>"20200111145916615"</f>
        <v>20200111145916615</v>
      </c>
      <c r="B10" t="str">
        <f>"1578725956606220"</f>
        <v>1578725956606220</v>
      </c>
      <c r="C10" t="s">
        <v>40</v>
      </c>
      <c r="D10">
        <v>4.0124610000000001</v>
      </c>
      <c r="E10">
        <v>0.57334839999999998</v>
      </c>
      <c r="F10" t="s">
        <v>41</v>
      </c>
      <c r="G10">
        <v>-476.351</v>
      </c>
      <c r="H10">
        <v>0.95277489999999998</v>
      </c>
      <c r="I10">
        <v>367.46499999999997</v>
      </c>
      <c r="J10">
        <v>-477.01479999999998</v>
      </c>
      <c r="K10">
        <v>1.103332</v>
      </c>
      <c r="L10">
        <v>367.52010000000001</v>
      </c>
      <c r="M10">
        <v>0.99999369999999999</v>
      </c>
      <c r="N10">
        <v>0</v>
      </c>
      <c r="O10">
        <v>-6.1077509999999996E-4</v>
      </c>
      <c r="P10">
        <v>0.99368959999999995</v>
      </c>
      <c r="Q10">
        <v>2.7234049999999999E-2</v>
      </c>
      <c r="R10">
        <v>0.1088075</v>
      </c>
      <c r="S10">
        <v>3.063507</v>
      </c>
      <c r="T10">
        <v>-0.67498309999999995</v>
      </c>
      <c r="U10">
        <v>-0.24627689999999999</v>
      </c>
      <c r="V10">
        <v>-0.10940999999999999</v>
      </c>
      <c r="W10">
        <v>3.0705219999999998E-2</v>
      </c>
      <c r="X10">
        <v>0.99352229999999997</v>
      </c>
      <c r="Y10">
        <v>7.7686249999999998E-2</v>
      </c>
      <c r="Z10">
        <v>-8.3109780000000001E-3</v>
      </c>
      <c r="AA10">
        <v>0.99694320000000003</v>
      </c>
      <c r="AB10">
        <v>2</v>
      </c>
      <c r="AC10">
        <v>0.66379999999997996</v>
      </c>
      <c r="AD10">
        <v>-0.1505571</v>
      </c>
      <c r="AE10">
        <v>-5.51000000000385E-2</v>
      </c>
      <c r="AF10">
        <v>5.20359755833762E-2</v>
      </c>
      <c r="AG10">
        <v>-0.1505571</v>
      </c>
      <c r="AH10">
        <v>0.63156607696257705</v>
      </c>
      <c r="AI10">
        <v>103.364659894425</v>
      </c>
      <c r="AJ10">
        <v>85.289926430720399</v>
      </c>
      <c r="AK10">
        <v>0.651345448042146</v>
      </c>
      <c r="AL10">
        <v>88.240443852004404</v>
      </c>
      <c r="AM10">
        <v>96.284281110238794</v>
      </c>
      <c r="AN10">
        <v>0.99999995961626797</v>
      </c>
    </row>
    <row r="11" spans="1:40" x14ac:dyDescent="0.3">
      <c r="A11" t="str">
        <f>"20200111145916629"</f>
        <v>20200111145916629</v>
      </c>
      <c r="B11" t="str">
        <f>"1578725956625740"</f>
        <v>1578725956625740</v>
      </c>
      <c r="C11" t="s">
        <v>40</v>
      </c>
      <c r="D11">
        <v>4.0130369999999997</v>
      </c>
      <c r="E11">
        <v>0.57333840000000003</v>
      </c>
      <c r="F11" t="s">
        <v>41</v>
      </c>
      <c r="G11">
        <v>-476.3297</v>
      </c>
      <c r="H11">
        <v>0.95346609999999998</v>
      </c>
      <c r="I11">
        <v>367.46510000000001</v>
      </c>
      <c r="J11">
        <v>-476.9991</v>
      </c>
      <c r="K11">
        <v>1.1032979999999999</v>
      </c>
      <c r="L11">
        <v>367.52010000000001</v>
      </c>
      <c r="M11">
        <v>0.99999550000000004</v>
      </c>
      <c r="N11">
        <v>0</v>
      </c>
      <c r="O11">
        <v>-6.9215659999999997E-4</v>
      </c>
      <c r="P11">
        <v>0.99367179999999999</v>
      </c>
      <c r="Q11">
        <v>2.8031690000000001E-2</v>
      </c>
      <c r="R11">
        <v>0.1087693</v>
      </c>
      <c r="S11">
        <v>3.0644840000000002</v>
      </c>
      <c r="T11">
        <v>-0.67040509999999998</v>
      </c>
      <c r="U11">
        <v>-0.24700929999999999</v>
      </c>
      <c r="V11">
        <v>-0.1094522</v>
      </c>
      <c r="W11">
        <v>3.098356E-2</v>
      </c>
      <c r="X11">
        <v>0.99350910000000003</v>
      </c>
      <c r="Y11">
        <v>7.7840489999999998E-2</v>
      </c>
      <c r="Z11">
        <v>-8.2523519999999993E-3</v>
      </c>
      <c r="AA11">
        <v>0.99693169999999998</v>
      </c>
      <c r="AB11">
        <v>2</v>
      </c>
      <c r="AC11">
        <v>0.669399999999996</v>
      </c>
      <c r="AD11">
        <v>-0.14983189999999899</v>
      </c>
      <c r="AE11">
        <v>-5.50000000000068E-2</v>
      </c>
      <c r="AF11">
        <v>5.1951348884711201E-2</v>
      </c>
      <c r="AG11">
        <v>-0.14983189999999899</v>
      </c>
      <c r="AH11">
        <v>0.63770325105150305</v>
      </c>
      <c r="AI11">
        <v>103.180003543787</v>
      </c>
      <c r="AJ11">
        <v>85.342607800410804</v>
      </c>
      <c r="AK11">
        <v>0.65712554151410596</v>
      </c>
      <c r="AL11">
        <v>88.224488710223198</v>
      </c>
      <c r="AM11">
        <v>96.286768443492207</v>
      </c>
      <c r="AN11">
        <v>1.00000004842896</v>
      </c>
    </row>
    <row r="12" spans="1:40" x14ac:dyDescent="0.3">
      <c r="A12" t="str">
        <f>"20200111145916647"</f>
        <v>20200111145916647</v>
      </c>
      <c r="B12" t="str">
        <f>"1578725956635499"</f>
        <v>1578725956635499</v>
      </c>
      <c r="C12" t="s">
        <v>40</v>
      </c>
      <c r="D12">
        <v>4.0027150000000002</v>
      </c>
      <c r="E12">
        <v>0.57331200000000004</v>
      </c>
      <c r="F12" t="s">
        <v>41</v>
      </c>
      <c r="G12">
        <v>-476.30709999999999</v>
      </c>
      <c r="H12">
        <v>0.95249099999999998</v>
      </c>
      <c r="I12">
        <v>367.46390000000002</v>
      </c>
      <c r="J12">
        <v>-476.97750000000002</v>
      </c>
      <c r="K12">
        <v>1.1032599999999999</v>
      </c>
      <c r="L12">
        <v>367.52</v>
      </c>
      <c r="M12">
        <v>0.99999709999999997</v>
      </c>
      <c r="N12">
        <v>0</v>
      </c>
      <c r="O12">
        <v>-8.0277099999999998E-4</v>
      </c>
      <c r="P12">
        <v>0.99362859999999997</v>
      </c>
      <c r="Q12">
        <v>2.8842010000000001E-2</v>
      </c>
      <c r="R12">
        <v>0.1089524</v>
      </c>
      <c r="S12">
        <v>3.0650019999999998</v>
      </c>
      <c r="T12">
        <v>-0.66802159999999999</v>
      </c>
      <c r="U12">
        <v>-0.24719240000000001</v>
      </c>
      <c r="V12">
        <v>-0.1097452</v>
      </c>
      <c r="W12">
        <v>3.1190880000000001E-2</v>
      </c>
      <c r="X12">
        <v>0.99347030000000003</v>
      </c>
      <c r="Y12">
        <v>7.7792940000000005E-2</v>
      </c>
      <c r="Z12">
        <v>-8.1934050000000008E-3</v>
      </c>
      <c r="AA12">
        <v>0.99693580000000004</v>
      </c>
      <c r="AB12">
        <v>2</v>
      </c>
      <c r="AC12">
        <v>0.67040000000002897</v>
      </c>
      <c r="AD12">
        <v>-0.15076899999999999</v>
      </c>
      <c r="AE12">
        <v>-5.6099999999958003E-2</v>
      </c>
      <c r="AF12">
        <v>5.29046335506567E-2</v>
      </c>
      <c r="AG12">
        <v>-0.15076899999999999</v>
      </c>
      <c r="AH12">
        <v>0.63838168795963102</v>
      </c>
      <c r="AI12">
        <v>103.244470908331</v>
      </c>
      <c r="AJ12">
        <v>85.262550075730999</v>
      </c>
      <c r="AK12">
        <v>0.65807398606411704</v>
      </c>
      <c r="AL12">
        <v>88.212604423711994</v>
      </c>
      <c r="AM12">
        <v>96.303706828563094</v>
      </c>
      <c r="AN12">
        <v>1.0000000584501501</v>
      </c>
    </row>
    <row r="13" spans="1:40" x14ac:dyDescent="0.3">
      <c r="A13" t="str">
        <f>"20200111145916669"</f>
        <v>20200111145916669</v>
      </c>
      <c r="B13" t="str">
        <f>"1578725956665756"</f>
        <v>1578725956665756</v>
      </c>
      <c r="C13" t="s">
        <v>40</v>
      </c>
      <c r="D13">
        <v>4.0332569999999999</v>
      </c>
      <c r="E13">
        <v>0.57326619999999995</v>
      </c>
      <c r="F13" t="s">
        <v>41</v>
      </c>
      <c r="G13">
        <v>-476.28190000000001</v>
      </c>
      <c r="H13">
        <v>0.95222150000000005</v>
      </c>
      <c r="I13">
        <v>367.46379999999999</v>
      </c>
      <c r="J13">
        <v>-476.94740000000002</v>
      </c>
      <c r="K13">
        <v>1.1032280000000001</v>
      </c>
      <c r="L13">
        <v>367.5197</v>
      </c>
      <c r="M13">
        <v>0.99999819999999995</v>
      </c>
      <c r="N13">
        <v>0</v>
      </c>
      <c r="O13">
        <v>-9.5354979999999999E-4</v>
      </c>
      <c r="P13">
        <v>0.99360879999999996</v>
      </c>
      <c r="Q13">
        <v>2.9128749999999998E-2</v>
      </c>
      <c r="R13">
        <v>0.1090566</v>
      </c>
      <c r="S13">
        <v>3.0655209999999999</v>
      </c>
      <c r="T13">
        <v>-0.66565180000000002</v>
      </c>
      <c r="U13">
        <v>-0.2462463</v>
      </c>
      <c r="V13">
        <v>-0.109999</v>
      </c>
      <c r="W13">
        <v>3.0798160000000002E-2</v>
      </c>
      <c r="X13">
        <v>0.99345439999999996</v>
      </c>
      <c r="Y13">
        <v>7.7350290000000002E-2</v>
      </c>
      <c r="Z13">
        <v>-8.0840069999999903E-3</v>
      </c>
      <c r="AA13">
        <v>0.99697119999999995</v>
      </c>
      <c r="AB13">
        <v>3</v>
      </c>
      <c r="AC13">
        <v>0.66550000000000797</v>
      </c>
      <c r="AD13">
        <v>-0.15100649999999999</v>
      </c>
      <c r="AE13">
        <v>-5.59000000000082E-2</v>
      </c>
      <c r="AF13">
        <v>5.2577318688912703E-2</v>
      </c>
      <c r="AG13">
        <v>-0.15100649999999999</v>
      </c>
      <c r="AH13">
        <v>0.633180993608769</v>
      </c>
      <c r="AI13">
        <v>103.369476579516</v>
      </c>
      <c r="AJ13">
        <v>85.253232093265197</v>
      </c>
      <c r="AK13">
        <v>0.65305857941700196</v>
      </c>
      <c r="AL13">
        <v>88.235116290900393</v>
      </c>
      <c r="AM13">
        <v>96.318267510953206</v>
      </c>
      <c r="AN13">
        <v>0.99999997576987198</v>
      </c>
    </row>
    <row r="14" spans="1:40" x14ac:dyDescent="0.3">
      <c r="A14" t="str">
        <f>"20200111145916683"</f>
        <v>20200111145916683</v>
      </c>
      <c r="B14" t="str">
        <f>"1578725956675516"</f>
        <v>1578725956675516</v>
      </c>
      <c r="C14" t="s">
        <v>40</v>
      </c>
      <c r="D14">
        <v>4.0013180000000004</v>
      </c>
      <c r="E14">
        <v>0.57323900000000005</v>
      </c>
      <c r="F14" t="s">
        <v>41</v>
      </c>
      <c r="G14">
        <v>-476.25400000000002</v>
      </c>
      <c r="H14">
        <v>0.95280779999999998</v>
      </c>
      <c r="I14">
        <v>367.46390000000002</v>
      </c>
      <c r="J14">
        <v>-476.92759999999998</v>
      </c>
      <c r="K14">
        <v>1.1032150000000001</v>
      </c>
      <c r="L14">
        <v>367.51960000000003</v>
      </c>
      <c r="M14">
        <v>0.99999870000000002</v>
      </c>
      <c r="N14">
        <v>0</v>
      </c>
      <c r="O14">
        <v>-1.051345E-3</v>
      </c>
      <c r="P14">
        <v>0.99361129999999998</v>
      </c>
      <c r="Q14">
        <v>2.9273500000000001E-2</v>
      </c>
      <c r="R14">
        <v>0.1089955</v>
      </c>
      <c r="S14">
        <v>3.0657649999999999</v>
      </c>
      <c r="T14">
        <v>-0.66521419999999998</v>
      </c>
      <c r="U14">
        <v>-0.24548339999999999</v>
      </c>
      <c r="V14">
        <v>-0.11003540000000001</v>
      </c>
      <c r="W14">
        <v>3.055985E-2</v>
      </c>
      <c r="X14">
        <v>0.9934577</v>
      </c>
      <c r="Y14">
        <v>7.7012540000000004E-2</v>
      </c>
      <c r="Z14">
        <v>-8.0211540000000008E-3</v>
      </c>
      <c r="AA14">
        <v>0.99699780000000005</v>
      </c>
      <c r="AB14">
        <v>3</v>
      </c>
      <c r="AC14">
        <v>0.67359999999996401</v>
      </c>
      <c r="AD14">
        <v>-0.15040719999999899</v>
      </c>
      <c r="AE14">
        <v>-5.5700000000001602E-2</v>
      </c>
      <c r="AF14">
        <v>5.2397119079050099E-2</v>
      </c>
      <c r="AG14">
        <v>-0.15040719999999899</v>
      </c>
      <c r="AH14">
        <v>0.64187314083425695</v>
      </c>
      <c r="AI14">
        <v>103.145717255544</v>
      </c>
      <c r="AJ14">
        <v>85.333202665037504</v>
      </c>
      <c r="AK14">
        <v>0.66133872775156399</v>
      </c>
      <c r="AL14">
        <v>88.248776829480605</v>
      </c>
      <c r="AM14">
        <v>96.320320560384999</v>
      </c>
      <c r="AN14">
        <v>0.99999994768723499</v>
      </c>
    </row>
    <row r="15" spans="1:40" x14ac:dyDescent="0.3">
      <c r="A15" t="str">
        <f>"20200111145916696"</f>
        <v>20200111145916696</v>
      </c>
      <c r="B15" t="str">
        <f>"1578725956686253"</f>
        <v>1578725956686253</v>
      </c>
      <c r="C15" t="s">
        <v>40</v>
      </c>
      <c r="D15">
        <v>4.0150189999999997</v>
      </c>
      <c r="E15">
        <v>0.57321769999999905</v>
      </c>
      <c r="F15" t="s">
        <v>41</v>
      </c>
      <c r="G15">
        <v>-476.2251</v>
      </c>
      <c r="H15">
        <v>0.9508529</v>
      </c>
      <c r="I15">
        <v>367.46319999999997</v>
      </c>
      <c r="J15">
        <v>-476.90809999999999</v>
      </c>
      <c r="K15">
        <v>1.1032</v>
      </c>
      <c r="L15">
        <v>367.51949999999999</v>
      </c>
      <c r="M15">
        <v>0.99999890000000002</v>
      </c>
      <c r="N15">
        <v>0</v>
      </c>
      <c r="O15">
        <v>-1.145786E-3</v>
      </c>
      <c r="P15">
        <v>0.99360559999999998</v>
      </c>
      <c r="Q15">
        <v>2.9667289999999999E-2</v>
      </c>
      <c r="R15">
        <v>0.1089412</v>
      </c>
      <c r="S15">
        <v>3.0657960000000002</v>
      </c>
      <c r="T15">
        <v>-0.66491999999999996</v>
      </c>
      <c r="U15">
        <v>-0.24526980000000001</v>
      </c>
      <c r="V15">
        <v>-0.11007500000000001</v>
      </c>
      <c r="W15">
        <v>3.062229E-2</v>
      </c>
      <c r="X15">
        <v>0.99345150000000004</v>
      </c>
      <c r="Y15">
        <v>7.6855939999999998E-2</v>
      </c>
      <c r="Z15">
        <v>-7.9806579999999998E-3</v>
      </c>
      <c r="AA15">
        <v>0.99701030000000002</v>
      </c>
      <c r="AB15">
        <v>3</v>
      </c>
      <c r="AC15">
        <v>0.68299999999999195</v>
      </c>
      <c r="AD15">
        <v>-0.15234709999999901</v>
      </c>
      <c r="AE15">
        <v>-5.63000000000215E-2</v>
      </c>
      <c r="AF15">
        <v>5.2903024063844402E-2</v>
      </c>
      <c r="AG15">
        <v>-0.15234709999999901</v>
      </c>
      <c r="AH15">
        <v>0.65089792252908296</v>
      </c>
      <c r="AI15">
        <v>103.13153446578001</v>
      </c>
      <c r="AJ15">
        <v>85.353385295364006</v>
      </c>
      <c r="AK15">
        <v>0.67057920813740302</v>
      </c>
      <c r="AL15">
        <v>88.245197796796603</v>
      </c>
      <c r="AM15">
        <v>96.322615865612804</v>
      </c>
      <c r="AN15">
        <v>1.0000000565610401</v>
      </c>
    </row>
    <row r="16" spans="1:40" x14ac:dyDescent="0.3">
      <c r="A16" t="str">
        <f>"20200111145916715"</f>
        <v>20200111145916715</v>
      </c>
      <c r="B16" t="str">
        <f>"1578725956705772"</f>
        <v>1578725956705772</v>
      </c>
      <c r="C16" t="s">
        <v>40</v>
      </c>
      <c r="D16">
        <v>4.0312049999999999</v>
      </c>
      <c r="E16">
        <v>0.57322879999999998</v>
      </c>
      <c r="F16" t="s">
        <v>41</v>
      </c>
      <c r="G16">
        <v>-476.22309999999999</v>
      </c>
      <c r="H16">
        <v>0.95490240000000004</v>
      </c>
      <c r="I16">
        <v>367.46449999999999</v>
      </c>
      <c r="J16">
        <v>-476.8793</v>
      </c>
      <c r="K16">
        <v>1.1031820000000001</v>
      </c>
      <c r="L16">
        <v>367.51929999999999</v>
      </c>
      <c r="M16">
        <v>0.99999919999999998</v>
      </c>
      <c r="N16">
        <v>0</v>
      </c>
      <c r="O16">
        <v>-1.2830439999999999E-3</v>
      </c>
      <c r="P16">
        <v>0.99359819999999999</v>
      </c>
      <c r="Q16">
        <v>3.0456810000000001E-2</v>
      </c>
      <c r="R16">
        <v>0.1087891</v>
      </c>
      <c r="S16">
        <v>3.0660099999999999</v>
      </c>
      <c r="T16">
        <v>-0.6638501</v>
      </c>
      <c r="U16">
        <v>-0.24523929999999999</v>
      </c>
      <c r="V16">
        <v>-0.11005860000000001</v>
      </c>
      <c r="W16">
        <v>3.0986900000000001E-2</v>
      </c>
      <c r="X16">
        <v>0.99344189999999999</v>
      </c>
      <c r="Y16">
        <v>7.6715909999999998E-2</v>
      </c>
      <c r="Z16">
        <v>-7.9232720000000003E-3</v>
      </c>
      <c r="AA16">
        <v>0.9970215</v>
      </c>
      <c r="AB16">
        <v>3</v>
      </c>
      <c r="AC16">
        <v>0.656200000000012</v>
      </c>
      <c r="AD16">
        <v>-0.14827959999999901</v>
      </c>
      <c r="AE16">
        <v>-5.4800000000000099E-2</v>
      </c>
      <c r="AF16">
        <v>5.1353989860966703E-2</v>
      </c>
      <c r="AG16">
        <v>-0.14827959999999901</v>
      </c>
      <c r="AH16">
        <v>0.62459797913715498</v>
      </c>
      <c r="AI16">
        <v>103.311487742883</v>
      </c>
      <c r="AJ16">
        <v>85.299755043393404</v>
      </c>
      <c r="AK16">
        <v>0.644008313294959</v>
      </c>
      <c r="AL16">
        <v>88.224297068528401</v>
      </c>
      <c r="AM16">
        <v>96.321742084550195</v>
      </c>
      <c r="AN16">
        <v>0.99999994604058795</v>
      </c>
    </row>
    <row r="17" spans="1:40" x14ac:dyDescent="0.3">
      <c r="A17" t="str">
        <f>"20200111145916728"</f>
        <v>20200111145916728</v>
      </c>
      <c r="B17" t="str">
        <f>"1578725956715532"</f>
        <v>1578725956715532</v>
      </c>
      <c r="C17" t="s">
        <v>40</v>
      </c>
      <c r="D17">
        <v>4.0247359999999999</v>
      </c>
      <c r="E17">
        <v>0.57320919999999997</v>
      </c>
      <c r="F17" t="s">
        <v>41</v>
      </c>
      <c r="G17">
        <v>-476.19119999999998</v>
      </c>
      <c r="H17">
        <v>0.95467420000000003</v>
      </c>
      <c r="I17">
        <v>367.46370000000002</v>
      </c>
      <c r="J17">
        <v>-476.8578</v>
      </c>
      <c r="K17">
        <v>1.1031709999999999</v>
      </c>
      <c r="L17">
        <v>367.51920000000001</v>
      </c>
      <c r="M17">
        <v>0.99999919999999998</v>
      </c>
      <c r="N17">
        <v>0</v>
      </c>
      <c r="O17">
        <v>-1.383582E-3</v>
      </c>
      <c r="P17">
        <v>0.99357430000000002</v>
      </c>
      <c r="Q17">
        <v>3.0753280000000001E-2</v>
      </c>
      <c r="R17">
        <v>0.1089247</v>
      </c>
      <c r="S17">
        <v>3.0665589999999998</v>
      </c>
      <c r="T17">
        <v>-0.66180229999999995</v>
      </c>
      <c r="U17">
        <v>-0.24597169999999999</v>
      </c>
      <c r="V17">
        <v>-0.110294</v>
      </c>
      <c r="W17">
        <v>3.100644E-2</v>
      </c>
      <c r="X17">
        <v>0.99341520000000005</v>
      </c>
      <c r="Y17">
        <v>7.6848589999999994E-2</v>
      </c>
      <c r="Z17">
        <v>-7.8906419999999998E-3</v>
      </c>
      <c r="AA17">
        <v>0.99701150000000005</v>
      </c>
      <c r="AB17">
        <v>3</v>
      </c>
      <c r="AC17">
        <v>0.66660000000001596</v>
      </c>
      <c r="AD17">
        <v>-0.14849679999999901</v>
      </c>
      <c r="AE17">
        <v>-5.5499999999994998E-2</v>
      </c>
      <c r="AF17">
        <v>5.2014198261054197E-2</v>
      </c>
      <c r="AG17">
        <v>-0.14849679999999901</v>
      </c>
      <c r="AH17">
        <v>0.63536309605488905</v>
      </c>
      <c r="AI17">
        <v>103.112664855655</v>
      </c>
      <c r="AJ17">
        <v>85.319899732317694</v>
      </c>
      <c r="AK17">
        <v>0.65455560516997702</v>
      </c>
      <c r="AL17">
        <v>88.223177000280103</v>
      </c>
      <c r="AM17">
        <v>96.3353224758268</v>
      </c>
      <c r="AN17">
        <v>0.99999996267425595</v>
      </c>
    </row>
    <row r="18" spans="1:40" x14ac:dyDescent="0.3">
      <c r="A18" t="str">
        <f>"20200111145916740"</f>
        <v>20200111145916740</v>
      </c>
      <c r="B18" t="str">
        <f>"1578725956736027"</f>
        <v>1578725956736027</v>
      </c>
      <c r="C18" t="s">
        <v>40</v>
      </c>
      <c r="D18">
        <v>4.0181040000000001</v>
      </c>
      <c r="E18">
        <v>0.57315830000000001</v>
      </c>
      <c r="F18" t="s">
        <v>41</v>
      </c>
      <c r="G18">
        <v>-476.15789999999998</v>
      </c>
      <c r="H18">
        <v>0.95232209999999995</v>
      </c>
      <c r="I18">
        <v>367.4631</v>
      </c>
      <c r="J18">
        <v>-476.83420000000001</v>
      </c>
      <c r="K18">
        <v>1.1031569999999999</v>
      </c>
      <c r="L18">
        <v>367.51900000000001</v>
      </c>
      <c r="M18">
        <v>0.99999899999999997</v>
      </c>
      <c r="N18">
        <v>0</v>
      </c>
      <c r="O18">
        <v>-1.492742E-3</v>
      </c>
      <c r="P18">
        <v>0.99355899999999997</v>
      </c>
      <c r="Q18">
        <v>3.1308309999999999E-2</v>
      </c>
      <c r="R18">
        <v>0.108906</v>
      </c>
      <c r="S18">
        <v>3.0668329999999999</v>
      </c>
      <c r="T18">
        <v>-0.6609429</v>
      </c>
      <c r="U18">
        <v>-0.24588009999999999</v>
      </c>
      <c r="V18">
        <v>-0.11038439999999999</v>
      </c>
      <c r="W18">
        <v>3.1282869999999997E-2</v>
      </c>
      <c r="X18">
        <v>0.99339650000000002</v>
      </c>
      <c r="Y18">
        <v>7.6713390000000006E-2</v>
      </c>
      <c r="Z18">
        <v>-7.84234199999999E-3</v>
      </c>
      <c r="AA18">
        <v>0.99702230000000003</v>
      </c>
      <c r="AB18">
        <v>4</v>
      </c>
      <c r="AC18">
        <v>0.67630000000002599</v>
      </c>
      <c r="AD18">
        <v>-0.15083489999999999</v>
      </c>
      <c r="AE18">
        <v>-5.59000000000082E-2</v>
      </c>
      <c r="AF18">
        <v>5.2306225151017197E-2</v>
      </c>
      <c r="AG18">
        <v>-0.15083489999999999</v>
      </c>
      <c r="AH18">
        <v>0.64453943894132504</v>
      </c>
      <c r="AI18">
        <v>103.129648591061</v>
      </c>
      <c r="AJ18">
        <v>85.360450271833798</v>
      </c>
      <c r="AK18">
        <v>0.66401671409563001</v>
      </c>
      <c r="AL18">
        <v>88.207331053309801</v>
      </c>
      <c r="AM18">
        <v>96.340591191551397</v>
      </c>
      <c r="AN18">
        <v>0.99999996996552298</v>
      </c>
    </row>
    <row r="19" spans="1:40" x14ac:dyDescent="0.3">
      <c r="A19" t="str">
        <f>"20200111145916760"</f>
        <v>20200111145916760</v>
      </c>
      <c r="B19" t="str">
        <f>"1578725956755547"</f>
        <v>1578725956755547</v>
      </c>
      <c r="C19" t="s">
        <v>40</v>
      </c>
      <c r="D19">
        <v>4.0412150000000002</v>
      </c>
      <c r="E19">
        <v>0.57312600000000002</v>
      </c>
      <c r="F19" t="s">
        <v>41</v>
      </c>
      <c r="G19">
        <v>-476.1223</v>
      </c>
      <c r="H19">
        <v>0.95009949999999999</v>
      </c>
      <c r="I19">
        <v>367.46190000000001</v>
      </c>
      <c r="J19">
        <v>-476.80349999999999</v>
      </c>
      <c r="K19">
        <v>1.1031390000000001</v>
      </c>
      <c r="L19">
        <v>367.51889999999997</v>
      </c>
      <c r="M19">
        <v>0.99999859999999896</v>
      </c>
      <c r="N19">
        <v>0</v>
      </c>
      <c r="O19">
        <v>-1.632342E-3</v>
      </c>
      <c r="P19">
        <v>0.99352470000000004</v>
      </c>
      <c r="Q19">
        <v>3.16549E-2</v>
      </c>
      <c r="R19">
        <v>0.1091167</v>
      </c>
      <c r="S19">
        <v>3.0671689999999998</v>
      </c>
      <c r="T19">
        <v>-0.6594392</v>
      </c>
      <c r="U19">
        <v>-0.24551390000000001</v>
      </c>
      <c r="V19">
        <v>-0.110733399999999</v>
      </c>
      <c r="W19">
        <v>3.1321469999999997E-2</v>
      </c>
      <c r="X19">
        <v>0.99335649999999998</v>
      </c>
      <c r="Y19">
        <v>7.646414E-2</v>
      </c>
      <c r="Z19">
        <v>-7.7680199999999996E-3</v>
      </c>
      <c r="AA19">
        <v>0.99704210000000004</v>
      </c>
      <c r="AB19">
        <v>4</v>
      </c>
      <c r="AC19">
        <v>0.68119999999998904</v>
      </c>
      <c r="AD19">
        <v>-0.153039499999999</v>
      </c>
      <c r="AE19">
        <v>-5.69999999999595E-2</v>
      </c>
      <c r="AF19">
        <v>5.3220461419371597E-2</v>
      </c>
      <c r="AG19">
        <v>-0.153039499999999</v>
      </c>
      <c r="AH19">
        <v>0.64877432729476903</v>
      </c>
      <c r="AI19">
        <v>103.230007199895</v>
      </c>
      <c r="AJ19">
        <v>85.310394884302795</v>
      </c>
      <c r="AK19">
        <v>0.66870145343846898</v>
      </c>
      <c r="AL19">
        <v>88.205118456460994</v>
      </c>
      <c r="AM19">
        <v>96.360728087034602</v>
      </c>
      <c r="AN19">
        <v>1.00000002822538</v>
      </c>
    </row>
    <row r="20" spans="1:40" x14ac:dyDescent="0.3">
      <c r="A20" t="str">
        <f>"20200111145916772"</f>
        <v>20200111145916772</v>
      </c>
      <c r="B20" t="str">
        <f>"1578725956765969"</f>
        <v>1578725956765969</v>
      </c>
      <c r="C20" t="s">
        <v>40</v>
      </c>
      <c r="D20">
        <v>4.0416359999999996</v>
      </c>
      <c r="E20">
        <v>0.57309849999999996</v>
      </c>
      <c r="F20" t="s">
        <v>41</v>
      </c>
      <c r="G20">
        <v>-476.11939999999998</v>
      </c>
      <c r="H20">
        <v>0.9562792</v>
      </c>
      <c r="I20">
        <v>367.46409999999997</v>
      </c>
      <c r="J20">
        <v>-476.77510000000001</v>
      </c>
      <c r="K20">
        <v>1.1031260000000001</v>
      </c>
      <c r="L20">
        <v>367.51870000000002</v>
      </c>
      <c r="M20">
        <v>0.99999839999999995</v>
      </c>
      <c r="N20">
        <v>0</v>
      </c>
      <c r="O20">
        <v>-1.7588619999999999E-3</v>
      </c>
      <c r="P20">
        <v>0.99351610000000001</v>
      </c>
      <c r="Q20">
        <v>3.198517E-2</v>
      </c>
      <c r="R20">
        <v>0.1091012</v>
      </c>
      <c r="S20">
        <v>3.067383</v>
      </c>
      <c r="T20">
        <v>-0.65850769999999903</v>
      </c>
      <c r="U20">
        <v>-0.24447630000000001</v>
      </c>
      <c r="V20">
        <v>-0.11084339999999999</v>
      </c>
      <c r="W20">
        <v>3.1407259999999999E-2</v>
      </c>
      <c r="X20">
        <v>0.99334149999999999</v>
      </c>
      <c r="Y20">
        <v>7.6015280000000005E-2</v>
      </c>
      <c r="Z20">
        <v>-7.6824859999999997E-3</v>
      </c>
      <c r="AA20">
        <v>0.99707699999999999</v>
      </c>
      <c r="AB20">
        <v>4</v>
      </c>
      <c r="AC20">
        <v>0.65570000000002404</v>
      </c>
      <c r="AD20">
        <v>-0.1468468</v>
      </c>
      <c r="AE20">
        <v>-5.4600000000050303E-2</v>
      </c>
      <c r="AF20">
        <v>5.09107582554396E-2</v>
      </c>
      <c r="AG20">
        <v>-0.1468468</v>
      </c>
      <c r="AH20">
        <v>0.62467964614084703</v>
      </c>
      <c r="AI20">
        <v>103.186458143794</v>
      </c>
      <c r="AJ20">
        <v>85.340749524112695</v>
      </c>
      <c r="AK20">
        <v>0.64372396901081597</v>
      </c>
      <c r="AL20">
        <v>88.200200591208699</v>
      </c>
      <c r="AM20">
        <v>96.367090178580597</v>
      </c>
      <c r="AN20">
        <v>1.0000000054632501</v>
      </c>
    </row>
    <row r="21" spans="1:40" x14ac:dyDescent="0.3">
      <c r="A21" t="str">
        <f>"20200111145916786"</f>
        <v>20200111145916786</v>
      </c>
      <c r="B21" t="str">
        <f>"1578725956775730"</f>
        <v>1578725956775730</v>
      </c>
      <c r="C21" t="s">
        <v>40</v>
      </c>
      <c r="D21">
        <v>4.0583429999999998</v>
      </c>
      <c r="E21">
        <v>0.57308239999999999</v>
      </c>
      <c r="F21" t="s">
        <v>41</v>
      </c>
      <c r="G21">
        <v>-476.08139999999997</v>
      </c>
      <c r="H21">
        <v>0.95441580000000004</v>
      </c>
      <c r="I21">
        <v>367.46300000000002</v>
      </c>
      <c r="J21">
        <v>-476.74889999999999</v>
      </c>
      <c r="K21">
        <v>1.1031139999999999</v>
      </c>
      <c r="L21">
        <v>367.51850000000002</v>
      </c>
      <c r="M21">
        <v>0.99999800000000005</v>
      </c>
      <c r="N21">
        <v>0</v>
      </c>
      <c r="O21">
        <v>-1.873956E-3</v>
      </c>
      <c r="P21">
        <v>0.99350689999999997</v>
      </c>
      <c r="Q21">
        <v>3.196765E-2</v>
      </c>
      <c r="R21">
        <v>0.10918940000000001</v>
      </c>
      <c r="S21">
        <v>3.0676570000000001</v>
      </c>
      <c r="T21">
        <v>-0.65770909999999905</v>
      </c>
      <c r="U21">
        <v>-0.2446594</v>
      </c>
      <c r="V21">
        <v>-0.11104600000000001</v>
      </c>
      <c r="W21">
        <v>3.118421E-2</v>
      </c>
      <c r="X21">
        <v>0.99332589999999998</v>
      </c>
      <c r="Y21">
        <v>7.596079E-2</v>
      </c>
      <c r="Z21">
        <v>-7.6425619999999899E-3</v>
      </c>
      <c r="AA21">
        <v>0.99708149999999995</v>
      </c>
      <c r="AB21">
        <v>4</v>
      </c>
      <c r="AC21">
        <v>0.66750000000001797</v>
      </c>
      <c r="AD21">
        <v>-0.148698199999999</v>
      </c>
      <c r="AE21">
        <v>-5.5499999999994998E-2</v>
      </c>
      <c r="AF21">
        <v>5.1700943537303999E-2</v>
      </c>
      <c r="AG21">
        <v>-0.148698199999999</v>
      </c>
      <c r="AH21">
        <v>0.63624533272728201</v>
      </c>
      <c r="AI21">
        <v>103.112878001807</v>
      </c>
      <c r="AJ21">
        <v>85.354383882992494</v>
      </c>
      <c r="AK21">
        <v>0.65543288417894996</v>
      </c>
      <c r="AL21">
        <v>88.212986679380904</v>
      </c>
      <c r="AM21">
        <v>96.378731486063003</v>
      </c>
      <c r="AN21">
        <v>1.00000000634006</v>
      </c>
    </row>
    <row r="22" spans="1:40" x14ac:dyDescent="0.3">
      <c r="A22" t="str">
        <f>"20200111145916803"</f>
        <v>20200111145916803</v>
      </c>
      <c r="B22" t="str">
        <f>"1578725956796224"</f>
        <v>1578725956796224</v>
      </c>
      <c r="C22" t="s">
        <v>40</v>
      </c>
      <c r="D22">
        <v>4.1146190000000002</v>
      </c>
      <c r="E22">
        <v>0.57308700000000001</v>
      </c>
      <c r="F22" t="s">
        <v>41</v>
      </c>
      <c r="G22">
        <v>-476.04169999999999</v>
      </c>
      <c r="H22">
        <v>0.95144399999999996</v>
      </c>
      <c r="I22">
        <v>367.46210000000002</v>
      </c>
      <c r="J22">
        <v>-476.71300000000002</v>
      </c>
      <c r="K22">
        <v>1.1030949999999999</v>
      </c>
      <c r="L22">
        <v>367.51819999999998</v>
      </c>
      <c r="M22">
        <v>0.99999740000000004</v>
      </c>
      <c r="N22">
        <v>0</v>
      </c>
      <c r="O22">
        <v>-2.0295019999999999E-3</v>
      </c>
      <c r="P22">
        <v>0.99344189999999999</v>
      </c>
      <c r="Q22">
        <v>3.2134459999999997E-2</v>
      </c>
      <c r="R22">
        <v>0.1097303</v>
      </c>
      <c r="S22">
        <v>3.0675659999999998</v>
      </c>
      <c r="T22">
        <v>-0.65789580000000003</v>
      </c>
      <c r="U22">
        <v>-0.24389649999999999</v>
      </c>
      <c r="V22">
        <v>-0.1117416</v>
      </c>
      <c r="W22">
        <v>3.1101759999999999E-2</v>
      </c>
      <c r="X22">
        <v>0.99325050000000004</v>
      </c>
      <c r="Y22">
        <v>7.5572849999999997E-2</v>
      </c>
      <c r="Z22">
        <v>-7.5709740000000003E-3</v>
      </c>
      <c r="AA22">
        <v>0.99711159999999999</v>
      </c>
      <c r="AB22">
        <v>4</v>
      </c>
      <c r="AC22">
        <v>0.67130000000002998</v>
      </c>
      <c r="AD22">
        <v>-0.15165100000000001</v>
      </c>
      <c r="AE22">
        <v>-5.6099999999958003E-2</v>
      </c>
      <c r="AF22">
        <v>5.2097203880734098E-2</v>
      </c>
      <c r="AG22">
        <v>-0.15165100000000001</v>
      </c>
      <c r="AH22">
        <v>0.63902673433384205</v>
      </c>
      <c r="AI22">
        <v>103.307642862359</v>
      </c>
      <c r="AJ22">
        <v>85.339219985541703</v>
      </c>
      <c r="AK22">
        <v>0.65883784928202604</v>
      </c>
      <c r="AL22">
        <v>88.217713051463704</v>
      </c>
      <c r="AM22">
        <v>96.418839066066795</v>
      </c>
      <c r="AN22">
        <v>1.0000000301979499</v>
      </c>
    </row>
    <row r="23" spans="1:40" x14ac:dyDescent="0.3">
      <c r="A23" t="str">
        <f>"20200111145916815"</f>
        <v>20200111145916815</v>
      </c>
      <c r="B23" t="str">
        <f>"1578725956805985"</f>
        <v>1578725956805985</v>
      </c>
      <c r="C23" t="s">
        <v>40</v>
      </c>
      <c r="D23">
        <v>4.1014239999999997</v>
      </c>
      <c r="E23">
        <v>0.57308099999999995</v>
      </c>
      <c r="F23" t="s">
        <v>41</v>
      </c>
      <c r="G23">
        <v>-475.99889999999999</v>
      </c>
      <c r="H23">
        <v>0.95000039999999997</v>
      </c>
      <c r="I23">
        <v>367.46170000000001</v>
      </c>
      <c r="J23">
        <v>-476.68599999999998</v>
      </c>
      <c r="K23">
        <v>1.103084</v>
      </c>
      <c r="L23">
        <v>367.5181</v>
      </c>
      <c r="M23">
        <v>0.99999700000000002</v>
      </c>
      <c r="N23">
        <v>0</v>
      </c>
      <c r="O23">
        <v>-2.1442620000000001E-3</v>
      </c>
      <c r="P23">
        <v>0.9933845</v>
      </c>
      <c r="Q23">
        <v>3.2224500000000003E-2</v>
      </c>
      <c r="R23">
        <v>0.110222</v>
      </c>
      <c r="S23">
        <v>3.0678100000000001</v>
      </c>
      <c r="T23">
        <v>-0.65782320000000005</v>
      </c>
      <c r="U23">
        <v>-0.24252319999999999</v>
      </c>
      <c r="V23">
        <v>-0.1123466</v>
      </c>
      <c r="W23">
        <v>3.1027889999999999E-2</v>
      </c>
      <c r="X23">
        <v>0.99318450000000003</v>
      </c>
      <c r="Y23">
        <v>7.502412E-2</v>
      </c>
      <c r="Z23">
        <v>-7.4873250000000004E-3</v>
      </c>
      <c r="AA23">
        <v>0.99715359999999997</v>
      </c>
      <c r="AB23">
        <v>5</v>
      </c>
      <c r="AC23">
        <v>0.68709999999998606</v>
      </c>
      <c r="AD23">
        <v>-0.15308359999999899</v>
      </c>
      <c r="AE23">
        <v>-5.6399999999996397E-2</v>
      </c>
      <c r="AF23">
        <v>5.2345587683630998E-2</v>
      </c>
      <c r="AG23">
        <v>-0.15308359999999899</v>
      </c>
      <c r="AH23">
        <v>0.65492741017577705</v>
      </c>
      <c r="AI23">
        <v>103.1158159475</v>
      </c>
      <c r="AJ23">
        <v>85.430303903522301</v>
      </c>
      <c r="AK23">
        <v>0.67461438002643803</v>
      </c>
      <c r="AL23">
        <v>88.221947426762199</v>
      </c>
      <c r="AM23">
        <v>96.453725269825398</v>
      </c>
      <c r="AN23">
        <v>0.99999996976482997</v>
      </c>
    </row>
    <row r="24" spans="1:40" x14ac:dyDescent="0.3">
      <c r="A24" t="str">
        <f>"20200111145916827"</f>
        <v>20200111145916827</v>
      </c>
      <c r="B24" t="str">
        <f>"1578725956815744"</f>
        <v>1578725956815744</v>
      </c>
      <c r="C24" t="s">
        <v>40</v>
      </c>
      <c r="D24">
        <v>4.1428520000000004</v>
      </c>
      <c r="E24">
        <v>0.57309189999999999</v>
      </c>
      <c r="F24" t="s">
        <v>41</v>
      </c>
      <c r="G24">
        <v>-475.99639999999999</v>
      </c>
      <c r="H24">
        <v>0.95534289999999999</v>
      </c>
      <c r="I24">
        <v>367.46370000000002</v>
      </c>
      <c r="J24">
        <v>-476.6601</v>
      </c>
      <c r="K24">
        <v>1.10307</v>
      </c>
      <c r="L24">
        <v>367.5179</v>
      </c>
      <c r="M24">
        <v>0.99999649999999995</v>
      </c>
      <c r="N24">
        <v>0</v>
      </c>
      <c r="O24">
        <v>-2.2529440000000002E-3</v>
      </c>
      <c r="P24">
        <v>0.99335150000000005</v>
      </c>
      <c r="Q24">
        <v>3.2015479999999999E-2</v>
      </c>
      <c r="R24">
        <v>0.110579399999999</v>
      </c>
      <c r="S24">
        <v>3.0680540000000001</v>
      </c>
      <c r="T24">
        <v>-0.65733469999999905</v>
      </c>
      <c r="U24">
        <v>-0.24142459999999999</v>
      </c>
      <c r="V24">
        <v>-0.11281239999999999</v>
      </c>
      <c r="W24">
        <v>3.0674719999999999E-2</v>
      </c>
      <c r="X24">
        <v>0.99314270000000004</v>
      </c>
      <c r="Y24">
        <v>7.4569990000000003E-2</v>
      </c>
      <c r="Z24">
        <v>-7.4103859999999997E-3</v>
      </c>
      <c r="AA24">
        <v>0.99718830000000003</v>
      </c>
      <c r="AB24">
        <v>5</v>
      </c>
      <c r="AC24">
        <v>0.66370000000000495</v>
      </c>
      <c r="AD24">
        <v>-0.1477271</v>
      </c>
      <c r="AE24">
        <v>-5.4199999999980202E-2</v>
      </c>
      <c r="AF24">
        <v>5.02324351128682E-2</v>
      </c>
      <c r="AG24">
        <v>-0.1477271</v>
      </c>
      <c r="AH24">
        <v>0.63268344282311095</v>
      </c>
      <c r="AI24">
        <v>103.10288879165699</v>
      </c>
      <c r="AJ24">
        <v>85.460475919263004</v>
      </c>
      <c r="AK24">
        <v>0.65164018632546195</v>
      </c>
      <c r="AL24">
        <v>88.2421922666867</v>
      </c>
      <c r="AM24">
        <v>96.480526327294896</v>
      </c>
      <c r="AN24">
        <v>0.99999999930206396</v>
      </c>
    </row>
    <row r="25" spans="1:40" x14ac:dyDescent="0.3">
      <c r="A25" t="str">
        <f>"20200111145916840"</f>
        <v>20200111145916840</v>
      </c>
      <c r="B25" t="str">
        <f>"1578725956836241"</f>
        <v>1578725956836241</v>
      </c>
      <c r="C25" t="s">
        <v>40</v>
      </c>
      <c r="D25">
        <v>4.3135770000000004</v>
      </c>
      <c r="E25">
        <v>0.57307819999999898</v>
      </c>
      <c r="F25" t="s">
        <v>41</v>
      </c>
      <c r="G25">
        <v>-475.95260000000002</v>
      </c>
      <c r="H25">
        <v>0.95138480000000003</v>
      </c>
      <c r="I25">
        <v>367.46190000000001</v>
      </c>
      <c r="J25">
        <v>-476.62990000000002</v>
      </c>
      <c r="K25">
        <v>1.1030549999999999</v>
      </c>
      <c r="L25">
        <v>367.51769999999999</v>
      </c>
      <c r="M25">
        <v>0.999996</v>
      </c>
      <c r="N25">
        <v>0</v>
      </c>
      <c r="O25">
        <v>-2.3784539999999999E-3</v>
      </c>
      <c r="P25">
        <v>0.99332759999999998</v>
      </c>
      <c r="Q25">
        <v>3.2055760000000003E-2</v>
      </c>
      <c r="R25">
        <v>0.11078349999999999</v>
      </c>
      <c r="S25">
        <v>3.0681150000000001</v>
      </c>
      <c r="T25">
        <v>-0.65787659999999903</v>
      </c>
      <c r="U25">
        <v>-0.24121090000000001</v>
      </c>
      <c r="V25">
        <v>-0.11314100000000001</v>
      </c>
      <c r="W25">
        <v>3.0558419999999999E-2</v>
      </c>
      <c r="X25">
        <v>0.99310889999999996</v>
      </c>
      <c r="Y25">
        <v>7.4378819999999998E-2</v>
      </c>
      <c r="Z25">
        <v>-7.36943199999999E-3</v>
      </c>
      <c r="AA25">
        <v>0.99720279999999994</v>
      </c>
      <c r="AB25">
        <v>5</v>
      </c>
      <c r="AC25">
        <v>0.67730000000000201</v>
      </c>
      <c r="AD25">
        <v>-0.15167019999999901</v>
      </c>
      <c r="AE25">
        <v>-5.57999999999765E-2</v>
      </c>
      <c r="AF25">
        <v>5.1617919335683202E-2</v>
      </c>
      <c r="AG25">
        <v>-0.15167019999999901</v>
      </c>
      <c r="AH25">
        <v>0.64529008452549697</v>
      </c>
      <c r="AI25">
        <v>103.186184069764</v>
      </c>
      <c r="AJ25">
        <v>85.426545229334906</v>
      </c>
      <c r="AK25">
        <v>0.66488160777051697</v>
      </c>
      <c r="AL25">
        <v>88.248858883762196</v>
      </c>
      <c r="AM25">
        <v>96.499460836792906</v>
      </c>
      <c r="AN25">
        <v>0.99999999508655302</v>
      </c>
    </row>
    <row r="26" spans="1:40" x14ac:dyDescent="0.3">
      <c r="A26" t="str">
        <f>"20200111145916858"</f>
        <v>20200111145916858</v>
      </c>
      <c r="B26" t="str">
        <f>"1578725956855761"</f>
        <v>1578725956855761</v>
      </c>
      <c r="C26" t="s">
        <v>40</v>
      </c>
      <c r="D26">
        <v>4.2756850000000002</v>
      </c>
      <c r="E26">
        <v>0.5177273</v>
      </c>
      <c r="F26" t="s">
        <v>41</v>
      </c>
      <c r="G26">
        <v>-475.94979999999998</v>
      </c>
      <c r="H26">
        <v>0.95724730000000002</v>
      </c>
      <c r="I26">
        <v>367.46409999999997</v>
      </c>
      <c r="J26">
        <v>-476.58730000000003</v>
      </c>
      <c r="K26">
        <v>1.1030340000000001</v>
      </c>
      <c r="L26">
        <v>367.51740000000001</v>
      </c>
      <c r="M26">
        <v>0.99999539999999998</v>
      </c>
      <c r="N26">
        <v>0</v>
      </c>
      <c r="O26">
        <v>-2.551565E-3</v>
      </c>
      <c r="P26">
        <v>0.99337880000000001</v>
      </c>
      <c r="Q26">
        <v>3.1997680000000001E-2</v>
      </c>
      <c r="R26">
        <v>0.1103407</v>
      </c>
      <c r="S26">
        <v>3.0682070000000001</v>
      </c>
      <c r="T26">
        <v>-0.65781800000000001</v>
      </c>
      <c r="U26">
        <v>-0.24038699999999999</v>
      </c>
      <c r="V26">
        <v>-0.1128705</v>
      </c>
      <c r="W26">
        <v>3.031058E-2</v>
      </c>
      <c r="X26">
        <v>0.99314729999999996</v>
      </c>
      <c r="Y26">
        <v>7.3951630000000004E-2</v>
      </c>
      <c r="Z26">
        <v>-7.2867969999999898E-3</v>
      </c>
      <c r="AA26">
        <v>0.99723519999999999</v>
      </c>
      <c r="AB26">
        <v>5</v>
      </c>
      <c r="AC26">
        <v>0.63750000000004503</v>
      </c>
      <c r="AD26">
        <v>-0.14578669999999999</v>
      </c>
      <c r="AE26">
        <v>-5.3300000000035597E-2</v>
      </c>
      <c r="AF26">
        <v>4.9122103773637703E-2</v>
      </c>
      <c r="AG26">
        <v>-0.14578669999999999</v>
      </c>
      <c r="AH26">
        <v>0.60615403674428203</v>
      </c>
      <c r="AI26">
        <v>103.480839059896</v>
      </c>
      <c r="AJ26">
        <v>85.366933142893799</v>
      </c>
      <c r="AK26">
        <v>0.62537145700569496</v>
      </c>
      <c r="AL26">
        <v>88.2630656947033</v>
      </c>
      <c r="AM26">
        <v>96.4838057012348</v>
      </c>
      <c r="AN26">
        <v>1.00000002026373</v>
      </c>
    </row>
    <row r="27" spans="1:40" x14ac:dyDescent="0.3">
      <c r="A27" t="str">
        <f>"20200111145916871"</f>
        <v>20200111145916871</v>
      </c>
      <c r="B27" t="str">
        <f>"1578725956865521"</f>
        <v>1578725956865521</v>
      </c>
      <c r="C27" t="s">
        <v>40</v>
      </c>
      <c r="D27">
        <v>4.1654720000000003</v>
      </c>
      <c r="E27">
        <v>0.51243709999999998</v>
      </c>
      <c r="F27" t="s">
        <v>41</v>
      </c>
      <c r="G27">
        <v>-475.8777</v>
      </c>
      <c r="H27">
        <v>1.0026839999999999</v>
      </c>
      <c r="I27">
        <v>367.56349999999998</v>
      </c>
      <c r="J27">
        <v>-476.55520000000001</v>
      </c>
      <c r="K27">
        <v>1.10302099999999</v>
      </c>
      <c r="L27">
        <v>367.5172</v>
      </c>
      <c r="M27">
        <v>0.99999490000000002</v>
      </c>
      <c r="N27">
        <v>0</v>
      </c>
      <c r="O27">
        <v>-2.6802940000000002E-3</v>
      </c>
      <c r="P27">
        <v>0.99343749999999997</v>
      </c>
      <c r="Q27">
        <v>3.2130069999999997E-2</v>
      </c>
      <c r="R27">
        <v>0.1097727</v>
      </c>
      <c r="S27">
        <v>3.0120239999999998</v>
      </c>
      <c r="T27">
        <v>-0.42607679999999998</v>
      </c>
      <c r="U27">
        <v>0.19561770000000001</v>
      </c>
      <c r="V27">
        <v>-0.11243010000000001</v>
      </c>
      <c r="W27">
        <v>3.0315829999999998E-2</v>
      </c>
      <c r="X27">
        <v>0.99319710000000005</v>
      </c>
      <c r="Y27">
        <v>-6.6794679999999995E-2</v>
      </c>
      <c r="Z27">
        <v>5.0729570000000003E-3</v>
      </c>
      <c r="AA27">
        <v>0.99775389999999997</v>
      </c>
      <c r="AB27">
        <v>5</v>
      </c>
      <c r="AC27">
        <v>0.67750000000000898</v>
      </c>
      <c r="AD27">
        <v>-0.100336999999999</v>
      </c>
      <c r="AE27">
        <v>4.62999999999738E-2</v>
      </c>
      <c r="AF27">
        <v>-4.70877477546097E-2</v>
      </c>
      <c r="AG27">
        <v>-0.100336999999999</v>
      </c>
      <c r="AH27">
        <v>0.662901452491793</v>
      </c>
      <c r="AI27">
        <v>98.585668566621806</v>
      </c>
      <c r="AJ27">
        <v>94.063055346393298</v>
      </c>
      <c r="AK27">
        <v>0.67210349297807603</v>
      </c>
      <c r="AL27">
        <v>88.262764767345899</v>
      </c>
      <c r="AM27">
        <v>96.458400153257998</v>
      </c>
      <c r="AN27">
        <v>1.0000000281915</v>
      </c>
    </row>
    <row r="28" spans="1:40" x14ac:dyDescent="0.3">
      <c r="A28" t="str">
        <f>"20200111145916884"</f>
        <v>20200111145916884</v>
      </c>
      <c r="B28" t="str">
        <f>"1578725956876258"</f>
        <v>1578725956876258</v>
      </c>
      <c r="C28" t="s">
        <v>40</v>
      </c>
      <c r="D28">
        <v>4.1152930000000003</v>
      </c>
      <c r="E28">
        <v>0.50993319999999998</v>
      </c>
      <c r="F28" t="s">
        <v>41</v>
      </c>
      <c r="G28">
        <v>-475.81450000000001</v>
      </c>
      <c r="H28">
        <v>1.014143</v>
      </c>
      <c r="I28">
        <v>367.57510000000002</v>
      </c>
      <c r="J28">
        <v>-476.52300000000002</v>
      </c>
      <c r="K28">
        <v>1.1030089999999999</v>
      </c>
      <c r="L28">
        <v>367.517</v>
      </c>
      <c r="M28">
        <v>0.9999943</v>
      </c>
      <c r="N28">
        <v>0</v>
      </c>
      <c r="O28">
        <v>-2.8074749999999998E-3</v>
      </c>
      <c r="P28">
        <v>0.9934788</v>
      </c>
      <c r="Q28">
        <v>3.2358270000000001E-2</v>
      </c>
      <c r="R28">
        <v>0.1093291</v>
      </c>
      <c r="S28">
        <v>3.0054319999999999</v>
      </c>
      <c r="T28">
        <v>-0.36068860000000003</v>
      </c>
      <c r="U28">
        <v>0.23583979999999999</v>
      </c>
      <c r="V28">
        <v>-0.1121128</v>
      </c>
      <c r="W28">
        <v>3.0425919999999999E-2</v>
      </c>
      <c r="X28">
        <v>0.99322960000000005</v>
      </c>
      <c r="Y28">
        <v>-8.0435549999999995E-2</v>
      </c>
      <c r="Z28">
        <v>5.1372930000000002E-3</v>
      </c>
      <c r="AA28">
        <v>0.99674660000000004</v>
      </c>
      <c r="AB28">
        <v>5</v>
      </c>
      <c r="AC28">
        <v>0.70850000000001501</v>
      </c>
      <c r="AD28">
        <v>-8.8865999999999806E-2</v>
      </c>
      <c r="AE28">
        <v>5.8100000000024403E-2</v>
      </c>
      <c r="AF28">
        <v>-5.9164298949663199E-2</v>
      </c>
      <c r="AG28">
        <v>-8.8865999999999806E-2</v>
      </c>
      <c r="AH28">
        <v>0.69743514321033195</v>
      </c>
      <c r="AI28">
        <v>97.2356905120009</v>
      </c>
      <c r="AJ28">
        <v>94.848863797395495</v>
      </c>
      <c r="AK28">
        <v>0.70555889847058195</v>
      </c>
      <c r="AL28">
        <v>88.256454162725106</v>
      </c>
      <c r="AM28">
        <v>96.440117658333804</v>
      </c>
      <c r="AN28">
        <v>1.00000002742392</v>
      </c>
    </row>
    <row r="29" spans="1:40" x14ac:dyDescent="0.3">
      <c r="A29" t="str">
        <f>"20200111145916895"</f>
        <v>20200111145916895</v>
      </c>
      <c r="B29" t="str">
        <f>"1578725956886017"</f>
        <v>1578725956886017</v>
      </c>
      <c r="C29" t="s">
        <v>40</v>
      </c>
      <c r="D29">
        <v>4.1501869999999998</v>
      </c>
      <c r="E29">
        <v>0.50844230000000001</v>
      </c>
      <c r="F29" t="s">
        <v>42</v>
      </c>
      <c r="G29">
        <v>-466.10899999999998</v>
      </c>
      <c r="H29" s="1">
        <v>-1.867788E-6</v>
      </c>
      <c r="I29">
        <v>368.3972</v>
      </c>
      <c r="J29">
        <v>-476.4905</v>
      </c>
      <c r="K29">
        <v>1.102992</v>
      </c>
      <c r="L29">
        <v>367.51679999999999</v>
      </c>
      <c r="M29">
        <v>0.99999369999999999</v>
      </c>
      <c r="N29">
        <v>0</v>
      </c>
      <c r="O29">
        <v>-2.9334579999999999E-3</v>
      </c>
      <c r="P29">
        <v>0.99349310000000002</v>
      </c>
      <c r="Q29">
        <v>3.281568E-2</v>
      </c>
      <c r="R29">
        <v>0.10906299999999999</v>
      </c>
      <c r="S29">
        <v>3.002075</v>
      </c>
      <c r="T29">
        <v>-0.31796540000000001</v>
      </c>
      <c r="U29">
        <v>0.25378420000000002</v>
      </c>
      <c r="V29">
        <v>-0.1119719</v>
      </c>
      <c r="W29">
        <v>3.0776230000000002E-2</v>
      </c>
      <c r="X29">
        <v>0.99323470000000003</v>
      </c>
      <c r="Y29">
        <v>-8.6660860000000006E-2</v>
      </c>
      <c r="Z29">
        <v>4.8777680000000002E-3</v>
      </c>
      <c r="AA29">
        <v>0.99622599999999994</v>
      </c>
      <c r="AB29">
        <v>6</v>
      </c>
      <c r="AC29">
        <v>10.3814999999999</v>
      </c>
      <c r="AD29">
        <v>-1.102993867788</v>
      </c>
      <c r="AE29">
        <v>0.88040000000000795</v>
      </c>
      <c r="AF29">
        <v>-0.90075464235459102</v>
      </c>
      <c r="AG29">
        <v>-1.102993867788</v>
      </c>
      <c r="AH29">
        <v>10.263839397319</v>
      </c>
      <c r="AI29">
        <v>96.110390984916705</v>
      </c>
      <c r="AJ29">
        <v>95.015428514810594</v>
      </c>
      <c r="AK29">
        <v>10.362159696320999</v>
      </c>
      <c r="AL29">
        <v>88.236373471906305</v>
      </c>
      <c r="AM29">
        <v>96.432059033814696</v>
      </c>
      <c r="AN29">
        <v>1.0000000260033499</v>
      </c>
    </row>
    <row r="30" spans="1:40" x14ac:dyDescent="0.3">
      <c r="A30" t="str">
        <f>"20200111145916908"</f>
        <v>20200111145916908</v>
      </c>
      <c r="B30" t="str">
        <f>"1578725956895777"</f>
        <v>1578725956895777</v>
      </c>
      <c r="C30" t="s">
        <v>40</v>
      </c>
      <c r="D30">
        <v>4.1504240000000001</v>
      </c>
      <c r="E30">
        <v>0.50741400000000003</v>
      </c>
      <c r="F30" t="s">
        <v>42</v>
      </c>
      <c r="G30">
        <v>-465.03769999999997</v>
      </c>
      <c r="H30" s="1">
        <v>-2.3045900000000001E-6</v>
      </c>
      <c r="I30">
        <v>368.52550000000002</v>
      </c>
      <c r="J30">
        <v>-476.45949999999999</v>
      </c>
      <c r="K30">
        <v>1.102981</v>
      </c>
      <c r="L30">
        <v>367.51650000000001</v>
      </c>
      <c r="M30">
        <v>0.99999309999999997</v>
      </c>
      <c r="N30">
        <v>0</v>
      </c>
      <c r="O30">
        <v>-3.0523999999999998E-3</v>
      </c>
      <c r="P30">
        <v>0.99352030000000002</v>
      </c>
      <c r="Q30">
        <v>3.283925E-2</v>
      </c>
      <c r="R30">
        <v>0.108809</v>
      </c>
      <c r="S30">
        <v>3.0001829999999998</v>
      </c>
      <c r="T30">
        <v>-0.2889388</v>
      </c>
      <c r="U30">
        <v>0.26428220000000002</v>
      </c>
      <c r="V30">
        <v>-0.1118363</v>
      </c>
      <c r="W30">
        <v>3.0706170000000001E-2</v>
      </c>
      <c r="X30">
        <v>0.99325209999999997</v>
      </c>
      <c r="Y30">
        <v>-9.0360220000000005E-2</v>
      </c>
      <c r="Z30">
        <v>4.6255250000000001E-3</v>
      </c>
      <c r="AA30">
        <v>0.99589839999999996</v>
      </c>
      <c r="AB30">
        <v>6</v>
      </c>
      <c r="AC30">
        <v>11.421799999999999</v>
      </c>
      <c r="AD30">
        <v>-1.1029833045899999</v>
      </c>
      <c r="AE30">
        <v>1.0090000000000101</v>
      </c>
      <c r="AF30">
        <v>-1.03428878180274</v>
      </c>
      <c r="AG30">
        <v>-1.1029833045899999</v>
      </c>
      <c r="AH30">
        <v>11.3139762390493</v>
      </c>
      <c r="AI30">
        <v>95.545110877986502</v>
      </c>
      <c r="AJ30">
        <v>95.223285155657194</v>
      </c>
      <c r="AK30">
        <v>11.4145689271273</v>
      </c>
      <c r="AL30">
        <v>88.240389432117297</v>
      </c>
      <c r="AM30">
        <v>96.424223252845707</v>
      </c>
      <c r="AN30">
        <v>0.99999998051408401</v>
      </c>
    </row>
    <row r="31" spans="1:40" x14ac:dyDescent="0.3">
      <c r="A31" t="str">
        <f>"20200111145916927"</f>
        <v>20200111145916927</v>
      </c>
      <c r="B31" t="str">
        <f>"1578725956915299"</f>
        <v>1578725956915299</v>
      </c>
      <c r="C31" t="s">
        <v>40</v>
      </c>
      <c r="D31">
        <v>4.1456549999999996</v>
      </c>
      <c r="E31">
        <v>0.50648470000000001</v>
      </c>
      <c r="F31" t="s">
        <v>42</v>
      </c>
      <c r="G31">
        <v>-464.20650000000001</v>
      </c>
      <c r="H31" s="1">
        <v>-2.6435129999999999E-6</v>
      </c>
      <c r="I31">
        <v>368.62509999999997</v>
      </c>
      <c r="J31">
        <v>-476.40710000000001</v>
      </c>
      <c r="K31">
        <v>1.102957</v>
      </c>
      <c r="L31">
        <v>367.51620000000003</v>
      </c>
      <c r="M31">
        <v>0.99999210000000005</v>
      </c>
      <c r="N31">
        <v>0</v>
      </c>
      <c r="O31">
        <v>-3.2500760000000002E-3</v>
      </c>
      <c r="P31">
        <v>0.99360389999999998</v>
      </c>
      <c r="Q31">
        <v>3.2997730000000003E-2</v>
      </c>
      <c r="R31">
        <v>0.1079929</v>
      </c>
      <c r="S31">
        <v>2.9987490000000001</v>
      </c>
      <c r="T31">
        <v>-0.26993859999999997</v>
      </c>
      <c r="U31">
        <v>0.27133180000000001</v>
      </c>
      <c r="V31">
        <v>-0.1112167</v>
      </c>
      <c r="W31">
        <v>3.0722860000000001E-2</v>
      </c>
      <c r="X31">
        <v>0.99332120000000002</v>
      </c>
      <c r="Y31">
        <v>-9.2964039999999998E-2</v>
      </c>
      <c r="Z31">
        <v>4.4586649999999997E-3</v>
      </c>
      <c r="AA31">
        <v>0.99565950000000003</v>
      </c>
      <c r="AB31">
        <v>6</v>
      </c>
      <c r="AC31">
        <v>12.2006</v>
      </c>
      <c r="AD31">
        <v>-1.102959643513</v>
      </c>
      <c r="AE31">
        <v>1.10889999999994</v>
      </c>
      <c r="AF31">
        <v>-1.1393123395068701</v>
      </c>
      <c r="AG31">
        <v>-1.102959643513</v>
      </c>
      <c r="AH31">
        <v>12.0988632651743</v>
      </c>
      <c r="AI31">
        <v>95.185998352191007</v>
      </c>
      <c r="AJ31">
        <v>95.379502117283096</v>
      </c>
      <c r="AK31">
        <v>12.2023376814263</v>
      </c>
      <c r="AL31">
        <v>88.239432796777194</v>
      </c>
      <c r="AM31">
        <v>96.388485850025305</v>
      </c>
      <c r="AN31">
        <v>1.0000000274274501</v>
      </c>
    </row>
    <row r="32" spans="1:40" x14ac:dyDescent="0.3">
      <c r="A32" t="str">
        <f>"20200111145916941"</f>
        <v>20200111145916941</v>
      </c>
      <c r="B32" t="str">
        <f>"1578725956935792"</f>
        <v>1578725956935792</v>
      </c>
      <c r="C32" t="s">
        <v>40</v>
      </c>
      <c r="D32">
        <v>4.1453509999999998</v>
      </c>
      <c r="E32">
        <v>0.50559129999999997</v>
      </c>
      <c r="F32" t="s">
        <v>42</v>
      </c>
      <c r="G32">
        <v>-463.0093</v>
      </c>
      <c r="H32" s="1">
        <v>-3.1349700000000001E-6</v>
      </c>
      <c r="I32">
        <v>368.74979999999999</v>
      </c>
      <c r="J32">
        <v>-476.36610000000002</v>
      </c>
      <c r="K32">
        <v>1.10294</v>
      </c>
      <c r="L32">
        <v>367.51580000000001</v>
      </c>
      <c r="M32">
        <v>0.99999119999999997</v>
      </c>
      <c r="N32">
        <v>0</v>
      </c>
      <c r="O32">
        <v>-3.402534E-3</v>
      </c>
      <c r="P32">
        <v>0.99366069999999995</v>
      </c>
      <c r="Q32">
        <v>3.3029540000000003E-2</v>
      </c>
      <c r="R32">
        <v>0.1074582</v>
      </c>
      <c r="S32">
        <v>2.9974980000000002</v>
      </c>
      <c r="T32">
        <v>-0.2467656</v>
      </c>
      <c r="U32">
        <v>0.27603149999999999</v>
      </c>
      <c r="V32">
        <v>-0.1108333</v>
      </c>
      <c r="W32">
        <v>3.0654219999999999E-2</v>
      </c>
      <c r="X32">
        <v>0.99336610000000003</v>
      </c>
      <c r="Y32">
        <v>-9.4757709999999995E-2</v>
      </c>
      <c r="Z32">
        <v>4.1647059999999998E-3</v>
      </c>
      <c r="AA32">
        <v>0.99549169999999998</v>
      </c>
      <c r="AB32">
        <v>6</v>
      </c>
      <c r="AC32">
        <v>13.3568</v>
      </c>
      <c r="AD32">
        <v>-1.1029431349700001</v>
      </c>
      <c r="AE32">
        <v>1.23399999999998</v>
      </c>
      <c r="AF32">
        <v>-1.27084777180362</v>
      </c>
      <c r="AG32">
        <v>-1.1029431349700001</v>
      </c>
      <c r="AH32">
        <v>13.262853931086701</v>
      </c>
      <c r="AI32">
        <v>94.732221131967506</v>
      </c>
      <c r="AJ32">
        <v>95.473375951730901</v>
      </c>
      <c r="AK32">
        <v>13.369174694625601</v>
      </c>
      <c r="AL32">
        <v>88.243367305132097</v>
      </c>
      <c r="AM32">
        <v>96.366358408506599</v>
      </c>
      <c r="AN32">
        <v>0.99999995511095296</v>
      </c>
    </row>
    <row r="33" spans="1:40" x14ac:dyDescent="0.3">
      <c r="A33" t="str">
        <f>"20200111145916959"</f>
        <v>20200111145916959</v>
      </c>
      <c r="B33" t="str">
        <f>"1578725956956289"</f>
        <v>1578725956956289</v>
      </c>
      <c r="C33" t="s">
        <v>40</v>
      </c>
      <c r="D33">
        <v>4.09734</v>
      </c>
      <c r="E33">
        <v>0.50501419999999997</v>
      </c>
      <c r="F33" t="s">
        <v>42</v>
      </c>
      <c r="G33">
        <v>-462.10559999999998</v>
      </c>
      <c r="H33" s="1">
        <v>-3.5036970000000001E-6</v>
      </c>
      <c r="I33">
        <v>368.85669999999999</v>
      </c>
      <c r="J33">
        <v>-476.30959999999999</v>
      </c>
      <c r="K33">
        <v>1.102919</v>
      </c>
      <c r="L33">
        <v>367.5154</v>
      </c>
      <c r="M33">
        <v>0.99999039999999995</v>
      </c>
      <c r="N33">
        <v>0</v>
      </c>
      <c r="O33">
        <v>-3.6081870000000001E-3</v>
      </c>
      <c r="P33">
        <v>0.99373619999999996</v>
      </c>
      <c r="Q33">
        <v>3.3390860000000001E-2</v>
      </c>
      <c r="R33">
        <v>0.1066483</v>
      </c>
      <c r="S33">
        <v>2.9963380000000002</v>
      </c>
      <c r="T33">
        <v>-0.2317438</v>
      </c>
      <c r="U33">
        <v>0.28176879999999999</v>
      </c>
      <c r="V33">
        <v>-0.11022849999999999</v>
      </c>
      <c r="W33">
        <v>3.0895389999999998E-2</v>
      </c>
      <c r="X33">
        <v>0.99342600000000003</v>
      </c>
      <c r="Y33">
        <v>-9.6918790000000005E-2</v>
      </c>
      <c r="Z33">
        <v>4.0122259999999998E-3</v>
      </c>
      <c r="AA33">
        <v>0.99528419999999895</v>
      </c>
      <c r="AB33">
        <v>6</v>
      </c>
      <c r="AC33">
        <v>14.204000000000001</v>
      </c>
      <c r="AD33">
        <v>-1.1029225036970001</v>
      </c>
      <c r="AE33">
        <v>1.34129999999998</v>
      </c>
      <c r="AF33">
        <v>-1.38426967138618</v>
      </c>
      <c r="AG33">
        <v>-1.1029225036970001</v>
      </c>
      <c r="AH33">
        <v>14.114717815653099</v>
      </c>
      <c r="AI33">
        <v>94.446759331061699</v>
      </c>
      <c r="AJ33">
        <v>95.601244341947506</v>
      </c>
      <c r="AK33">
        <v>14.2252556949883</v>
      </c>
      <c r="AL33">
        <v>88.229542870125002</v>
      </c>
      <c r="AM33">
        <v>96.331522424551807</v>
      </c>
      <c r="AN33">
        <v>1.0000000324057501</v>
      </c>
    </row>
    <row r="34" spans="1:40" x14ac:dyDescent="0.3">
      <c r="A34" t="str">
        <f>"20200111145916973"</f>
        <v>20200111145916973</v>
      </c>
      <c r="B34" t="str">
        <f>"1578725956965582"</f>
        <v>1578725956965582</v>
      </c>
      <c r="C34" t="s">
        <v>40</v>
      </c>
      <c r="D34">
        <v>4.0903980000000004</v>
      </c>
      <c r="E34">
        <v>0.50466820000000001</v>
      </c>
      <c r="F34" t="s">
        <v>42</v>
      </c>
      <c r="G34">
        <v>-461.39069999999998</v>
      </c>
      <c r="H34" s="1">
        <v>-3.797737E-6</v>
      </c>
      <c r="I34">
        <v>368.92829999999998</v>
      </c>
      <c r="J34">
        <v>-476.26900000000001</v>
      </c>
      <c r="K34">
        <v>1.102905</v>
      </c>
      <c r="L34">
        <v>367.51519999999999</v>
      </c>
      <c r="M34">
        <v>0.99998969999999998</v>
      </c>
      <c r="N34">
        <v>0</v>
      </c>
      <c r="O34">
        <v>-3.753115E-3</v>
      </c>
      <c r="P34">
        <v>0.99371710000000002</v>
      </c>
      <c r="Q34">
        <v>3.3887800000000003E-2</v>
      </c>
      <c r="R34">
        <v>0.1066685</v>
      </c>
      <c r="S34">
        <v>2.9958499999999999</v>
      </c>
      <c r="T34">
        <v>-0.22147439999999999</v>
      </c>
      <c r="U34">
        <v>0.28372190000000003</v>
      </c>
      <c r="V34">
        <v>-0.1103919</v>
      </c>
      <c r="W34">
        <v>3.131623E-2</v>
      </c>
      <c r="X34">
        <v>0.99339469999999996</v>
      </c>
      <c r="Y34">
        <v>-9.7744339999999999E-2</v>
      </c>
      <c r="Z34">
        <v>3.8765079999999999E-3</v>
      </c>
      <c r="AA34">
        <v>0.99520399999999998</v>
      </c>
      <c r="AB34">
        <v>6</v>
      </c>
      <c r="AC34">
        <v>14.878299999999999</v>
      </c>
      <c r="AD34">
        <v>-1.102908797737</v>
      </c>
      <c r="AE34">
        <v>1.41309999999998</v>
      </c>
      <c r="AF34">
        <v>-1.46097383069554</v>
      </c>
      <c r="AG34">
        <v>-1.102908797737</v>
      </c>
      <c r="AH34">
        <v>14.792333569799601</v>
      </c>
      <c r="AI34">
        <v>94.243483487303905</v>
      </c>
      <c r="AJ34">
        <v>95.640559458977407</v>
      </c>
      <c r="AK34">
        <v>14.905166379156</v>
      </c>
      <c r="AL34">
        <v>88.205418879810694</v>
      </c>
      <c r="AM34">
        <v>96.341029886223097</v>
      </c>
      <c r="AN34">
        <v>1.00000005391755</v>
      </c>
    </row>
    <row r="35" spans="1:40" x14ac:dyDescent="0.3">
      <c r="A35" t="str">
        <f>"20200111145916988"</f>
        <v>20200111145916988</v>
      </c>
      <c r="B35" t="str">
        <f>"1578725956986078"</f>
        <v>1578725956986078</v>
      </c>
      <c r="C35" t="s">
        <v>40</v>
      </c>
      <c r="D35">
        <v>4.0954220000000001</v>
      </c>
      <c r="E35">
        <v>0.5041118</v>
      </c>
      <c r="F35" t="s">
        <v>42</v>
      </c>
      <c r="G35">
        <v>-460.94819999999999</v>
      </c>
      <c r="H35" s="1">
        <v>-3.9784750000000001E-6</v>
      </c>
      <c r="I35">
        <v>368.9794</v>
      </c>
      <c r="J35">
        <v>-476.22340000000003</v>
      </c>
      <c r="K35">
        <v>1.1028880000000001</v>
      </c>
      <c r="L35">
        <v>367.51479999999998</v>
      </c>
      <c r="M35">
        <v>0.99998880000000001</v>
      </c>
      <c r="N35">
        <v>0</v>
      </c>
      <c r="O35">
        <v>-3.9131879999999997E-3</v>
      </c>
      <c r="P35">
        <v>0.99370939999999996</v>
      </c>
      <c r="Q35">
        <v>3.4325090000000003E-2</v>
      </c>
      <c r="R35">
        <v>0.1066001</v>
      </c>
      <c r="S35">
        <v>2.9956049999999999</v>
      </c>
      <c r="T35">
        <v>-0.215646</v>
      </c>
      <c r="U35">
        <v>0.28631590000000001</v>
      </c>
      <c r="V35">
        <v>-0.1104825</v>
      </c>
      <c r="W35">
        <v>3.1675580000000002E-2</v>
      </c>
      <c r="X35">
        <v>0.99337319999999996</v>
      </c>
      <c r="Y35">
        <v>-9.8776429999999998E-2</v>
      </c>
      <c r="Z35">
        <v>3.8234089999999998E-3</v>
      </c>
      <c r="AA35">
        <v>0.9951023</v>
      </c>
      <c r="AB35">
        <v>7</v>
      </c>
      <c r="AC35">
        <v>15.2752</v>
      </c>
      <c r="AD35">
        <v>-1.102891978475</v>
      </c>
      <c r="AE35">
        <v>1.4646000000000099</v>
      </c>
      <c r="AF35">
        <v>-1.51652999264105</v>
      </c>
      <c r="AG35">
        <v>-1.102891978475</v>
      </c>
      <c r="AH35">
        <v>15.190882274677501</v>
      </c>
      <c r="AI35">
        <v>94.132047701361401</v>
      </c>
      <c r="AJ35">
        <v>95.701039562774298</v>
      </c>
      <c r="AK35">
        <v>15.3061797394998</v>
      </c>
      <c r="AL35">
        <v>88.184819360756606</v>
      </c>
      <c r="AM35">
        <v>96.346327838349097</v>
      </c>
      <c r="AN35">
        <v>1.0000000198264101</v>
      </c>
    </row>
    <row r="36" spans="1:40" x14ac:dyDescent="0.3">
      <c r="A36" t="str">
        <f>"20200111145917004"</f>
        <v>20200111145917004</v>
      </c>
      <c r="B36" t="str">
        <f>"1578725956995837"</f>
        <v>1578725956995837</v>
      </c>
      <c r="C36" t="s">
        <v>40</v>
      </c>
      <c r="D36">
        <v>4.0964369999999999</v>
      </c>
      <c r="E36">
        <v>0.5039266</v>
      </c>
      <c r="F36" t="s">
        <v>42</v>
      </c>
      <c r="G36">
        <v>-460.38529999999997</v>
      </c>
      <c r="H36" s="1">
        <v>-4.2073079999999997E-6</v>
      </c>
      <c r="I36">
        <v>369.05070000000001</v>
      </c>
      <c r="J36">
        <v>-476.16820000000001</v>
      </c>
      <c r="K36">
        <v>1.10287</v>
      </c>
      <c r="L36">
        <v>367.51440000000002</v>
      </c>
      <c r="M36">
        <v>0.99998779999999998</v>
      </c>
      <c r="N36">
        <v>0</v>
      </c>
      <c r="O36">
        <v>-4.1045049999999996E-3</v>
      </c>
      <c r="P36">
        <v>0.99369130000000006</v>
      </c>
      <c r="Q36">
        <v>3.4287619999999998E-2</v>
      </c>
      <c r="R36">
        <v>0.1067825</v>
      </c>
      <c r="S36">
        <v>2.9950260000000002</v>
      </c>
      <c r="T36">
        <v>-0.20855799999999999</v>
      </c>
      <c r="U36">
        <v>0.29046630000000001</v>
      </c>
      <c r="V36">
        <v>-0.1108553</v>
      </c>
      <c r="W36">
        <v>3.1552629999999998E-2</v>
      </c>
      <c r="X36">
        <v>0.99333550000000004</v>
      </c>
      <c r="Y36">
        <v>-0.10036390000000001</v>
      </c>
      <c r="Z36">
        <v>3.7668649999999999E-3</v>
      </c>
      <c r="AA36">
        <v>0.99494369999999999</v>
      </c>
      <c r="AB36">
        <v>7</v>
      </c>
      <c r="AC36">
        <v>15.7829</v>
      </c>
      <c r="AD36">
        <v>-1.102874207308</v>
      </c>
      <c r="AE36">
        <v>1.53629999999998</v>
      </c>
      <c r="AF36">
        <v>-1.5933610889330301</v>
      </c>
      <c r="AG36">
        <v>-1.102874207308</v>
      </c>
      <c r="AH36">
        <v>15.7005167053153</v>
      </c>
      <c r="AI36">
        <v>93.997644223353305</v>
      </c>
      <c r="AJ36">
        <v>95.794801380246298</v>
      </c>
      <c r="AK36">
        <v>15.819650940863299</v>
      </c>
      <c r="AL36">
        <v>88.191867256704398</v>
      </c>
      <c r="AM36">
        <v>96.367806273296694</v>
      </c>
      <c r="AN36">
        <v>0.99999994077912602</v>
      </c>
    </row>
    <row r="37" spans="1:40" x14ac:dyDescent="0.3">
      <c r="A37" t="str">
        <f>"20200111145917017"</f>
        <v>20200111145917017</v>
      </c>
      <c r="B37" t="str">
        <f>"1578725957005599"</f>
        <v>1578725957005599</v>
      </c>
      <c r="C37" t="s">
        <v>40</v>
      </c>
      <c r="D37">
        <v>4.0678460000000003</v>
      </c>
      <c r="E37">
        <v>0.50378979999999995</v>
      </c>
      <c r="F37" t="s">
        <v>42</v>
      </c>
      <c r="G37">
        <v>-460.2124</v>
      </c>
      <c r="H37" s="1">
        <v>-4.2778909999999997E-6</v>
      </c>
      <c r="I37">
        <v>369.07089999999999</v>
      </c>
      <c r="J37">
        <v>-476.12509999999997</v>
      </c>
      <c r="K37">
        <v>1.1028549999999999</v>
      </c>
      <c r="L37">
        <v>367.51400000000001</v>
      </c>
      <c r="M37">
        <v>0.99998699999999996</v>
      </c>
      <c r="N37">
        <v>0</v>
      </c>
      <c r="O37">
        <v>-4.2512080000000002E-3</v>
      </c>
      <c r="P37">
        <v>0.99368630000000002</v>
      </c>
      <c r="Q37">
        <v>3.4364480000000003E-2</v>
      </c>
      <c r="R37">
        <v>0.1068032</v>
      </c>
      <c r="S37">
        <v>2.9948429999999999</v>
      </c>
      <c r="T37">
        <v>-0.20700499999999999</v>
      </c>
      <c r="U37">
        <v>0.29217530000000003</v>
      </c>
      <c r="V37">
        <v>-0.11102140000000001</v>
      </c>
      <c r="W37">
        <v>3.1569779999999999E-2</v>
      </c>
      <c r="X37">
        <v>0.99331650000000005</v>
      </c>
      <c r="Y37">
        <v>-0.1010798</v>
      </c>
      <c r="Z37">
        <v>3.773766E-3</v>
      </c>
      <c r="AA37">
        <v>0.99487110000000001</v>
      </c>
      <c r="AB37">
        <v>7</v>
      </c>
      <c r="AC37">
        <v>15.9126999999999</v>
      </c>
      <c r="AD37">
        <v>-1.102859277891</v>
      </c>
      <c r="AE37">
        <v>1.55689999999998</v>
      </c>
      <c r="AF37">
        <v>-1.6168416338918901</v>
      </c>
      <c r="AG37">
        <v>-1.102859277891</v>
      </c>
      <c r="AH37">
        <v>15.8306170579539</v>
      </c>
      <c r="AI37">
        <v>93.964583668344105</v>
      </c>
      <c r="AJ37">
        <v>95.831616647936002</v>
      </c>
      <c r="AK37">
        <v>15.9511413977652</v>
      </c>
      <c r="AL37">
        <v>88.190884316077202</v>
      </c>
      <c r="AM37">
        <v>96.377389903259797</v>
      </c>
      <c r="AN37">
        <v>1.0000000357197201</v>
      </c>
    </row>
    <row r="38" spans="1:40" x14ac:dyDescent="0.3">
      <c r="A38" t="str">
        <f>"20200111145917030"</f>
        <v>20200111145917030</v>
      </c>
      <c r="B38" t="str">
        <f>"1578725957026094"</f>
        <v>1578725957026094</v>
      </c>
      <c r="C38" t="s">
        <v>40</v>
      </c>
      <c r="D38">
        <v>4.0867339999999999</v>
      </c>
      <c r="E38">
        <v>0.5035039</v>
      </c>
      <c r="F38" t="s">
        <v>42</v>
      </c>
      <c r="G38">
        <v>-459.98360000000002</v>
      </c>
      <c r="H38" s="1">
        <v>-4.3716840000000004E-6</v>
      </c>
      <c r="I38">
        <v>369.09539999999998</v>
      </c>
      <c r="J38">
        <v>-476.08150000000001</v>
      </c>
      <c r="K38">
        <v>1.102841</v>
      </c>
      <c r="L38">
        <v>367.51369999999997</v>
      </c>
      <c r="M38">
        <v>0.99998609999999999</v>
      </c>
      <c r="N38">
        <v>0</v>
      </c>
      <c r="O38">
        <v>-4.3977870000000002E-3</v>
      </c>
      <c r="P38">
        <v>0.99369260000000004</v>
      </c>
      <c r="Q38">
        <v>3.432669E-2</v>
      </c>
      <c r="R38">
        <v>0.1067554</v>
      </c>
      <c r="S38">
        <v>2.9945680000000001</v>
      </c>
      <c r="T38">
        <v>-0.20460200000000001</v>
      </c>
      <c r="U38">
        <v>0.29339599999999999</v>
      </c>
      <c r="V38">
        <v>-0.11111889999999899</v>
      </c>
      <c r="W38">
        <v>3.1476839999999999E-2</v>
      </c>
      <c r="X38">
        <v>0.99330850000000004</v>
      </c>
      <c r="Y38">
        <v>-0.1016402</v>
      </c>
      <c r="Z38">
        <v>3.7593829999999998E-3</v>
      </c>
      <c r="AA38">
        <v>0.99481410000000003</v>
      </c>
      <c r="AB38">
        <v>7</v>
      </c>
      <c r="AC38">
        <v>16.0978999999999</v>
      </c>
      <c r="AD38">
        <v>-1.1028453716840001</v>
      </c>
      <c r="AE38">
        <v>1.5817000000000101</v>
      </c>
      <c r="AF38">
        <v>-1.64483403357478</v>
      </c>
      <c r="AG38">
        <v>-1.1028453716840001</v>
      </c>
      <c r="AH38">
        <v>16.016335461832799</v>
      </c>
      <c r="AI38">
        <v>93.918483825859695</v>
      </c>
      <c r="AJ38">
        <v>95.863564364721398</v>
      </c>
      <c r="AK38">
        <v>16.1383006706968</v>
      </c>
      <c r="AL38">
        <v>88.196211948729797</v>
      </c>
      <c r="AM38">
        <v>96.382995364067199</v>
      </c>
      <c r="AN38">
        <v>0.99999998878292196</v>
      </c>
    </row>
    <row r="39" spans="1:40" x14ac:dyDescent="0.3">
      <c r="A39" t="str">
        <f>"20200111145917048"</f>
        <v>20200111145917048</v>
      </c>
      <c r="B39" t="str">
        <f>"1578725957045613"</f>
        <v>1578725957045613</v>
      </c>
      <c r="C39" t="s">
        <v>40</v>
      </c>
      <c r="D39">
        <v>4.0282280000000004</v>
      </c>
      <c r="E39">
        <v>0.50321979999999999</v>
      </c>
      <c r="F39" t="s">
        <v>42</v>
      </c>
      <c r="G39">
        <v>-459.59210000000002</v>
      </c>
      <c r="H39" s="1">
        <v>-2.5108640000000002E-7</v>
      </c>
      <c r="I39">
        <v>369.142</v>
      </c>
      <c r="J39">
        <v>-476.0197</v>
      </c>
      <c r="K39">
        <v>1.1028180000000001</v>
      </c>
      <c r="L39">
        <v>367.51319999999998</v>
      </c>
      <c r="M39">
        <v>0.99998500000000001</v>
      </c>
      <c r="N39">
        <v>0</v>
      </c>
      <c r="O39">
        <v>-4.6031609999999997E-3</v>
      </c>
      <c r="P39">
        <v>0.99370570000000003</v>
      </c>
      <c r="Q39">
        <v>3.4066689999999997E-2</v>
      </c>
      <c r="R39">
        <v>0.1067182</v>
      </c>
      <c r="S39">
        <v>2.9941710000000001</v>
      </c>
      <c r="T39">
        <v>-0.2002535</v>
      </c>
      <c r="U39">
        <v>0.29568480000000003</v>
      </c>
      <c r="V39">
        <v>-0.1112858</v>
      </c>
      <c r="W39">
        <v>3.114418E-2</v>
      </c>
      <c r="X39">
        <v>0.99330030000000002</v>
      </c>
      <c r="Y39">
        <v>-0.102618</v>
      </c>
      <c r="Z39">
        <v>3.726282E-3</v>
      </c>
      <c r="AA39">
        <v>0.99471379999999998</v>
      </c>
      <c r="AB39">
        <v>7</v>
      </c>
      <c r="AC39">
        <v>16.427599999999899</v>
      </c>
      <c r="AD39">
        <v>-1.10281825108639</v>
      </c>
      <c r="AE39">
        <v>1.62880000000001</v>
      </c>
      <c r="AF39">
        <v>-1.6968292910968801</v>
      </c>
      <c r="AG39">
        <v>-1.10281825108639</v>
      </c>
      <c r="AH39">
        <v>16.346974405947801</v>
      </c>
      <c r="AI39">
        <v>93.838941195602203</v>
      </c>
      <c r="AJ39">
        <v>95.926125611361101</v>
      </c>
      <c r="AK39">
        <v>16.471764021098799</v>
      </c>
      <c r="AL39">
        <v>88.215281310540306</v>
      </c>
      <c r="AM39">
        <v>96.392555620485496</v>
      </c>
      <c r="AN39">
        <v>0.99999998760480102</v>
      </c>
    </row>
    <row r="40" spans="1:40" x14ac:dyDescent="0.3">
      <c r="A40" t="str">
        <f>"20200111145917061"</f>
        <v>20200111145917061</v>
      </c>
      <c r="B40" t="str">
        <f>"1578725957055374"</f>
        <v>1578725957055374</v>
      </c>
      <c r="C40" t="s">
        <v>40</v>
      </c>
      <c r="D40">
        <v>4.048019</v>
      </c>
      <c r="E40">
        <v>0.50311600000000001</v>
      </c>
      <c r="F40" t="s">
        <v>42</v>
      </c>
      <c r="G40">
        <v>-459.23329999999999</v>
      </c>
      <c r="H40" s="1">
        <v>-3.8843539999999999E-7</v>
      </c>
      <c r="I40">
        <v>369.18090000000001</v>
      </c>
      <c r="J40">
        <v>-475.97340000000003</v>
      </c>
      <c r="K40">
        <v>1.102805</v>
      </c>
      <c r="L40">
        <v>367.51280000000003</v>
      </c>
      <c r="M40">
        <v>0.99998419999999999</v>
      </c>
      <c r="N40">
        <v>0</v>
      </c>
      <c r="O40">
        <v>-4.7543849999999999E-3</v>
      </c>
      <c r="P40">
        <v>0.99371430000000005</v>
      </c>
      <c r="Q40">
        <v>3.3784799999999997E-2</v>
      </c>
      <c r="R40">
        <v>0.1067266</v>
      </c>
      <c r="S40">
        <v>2.993805</v>
      </c>
      <c r="T40">
        <v>-0.19668459999999999</v>
      </c>
      <c r="U40">
        <v>0.29745480000000002</v>
      </c>
      <c r="V40">
        <v>-0.11144419999999999</v>
      </c>
      <c r="W40">
        <v>3.0812929999999999E-2</v>
      </c>
      <c r="X40">
        <v>0.99329290000000003</v>
      </c>
      <c r="Y40">
        <v>-0.10336910000000001</v>
      </c>
      <c r="Z40">
        <v>3.69484E-3</v>
      </c>
      <c r="AA40">
        <v>0.99463619999999997</v>
      </c>
      <c r="AB40">
        <v>8</v>
      </c>
      <c r="AC40">
        <v>16.740100000000002</v>
      </c>
      <c r="AD40">
        <v>-1.1028053884353901</v>
      </c>
      <c r="AE40">
        <v>1.6680999999999799</v>
      </c>
      <c r="AF40">
        <v>-1.7401923438581699</v>
      </c>
      <c r="AG40">
        <v>-1.1028053884353901</v>
      </c>
      <c r="AH40">
        <v>16.660386133204099</v>
      </c>
      <c r="AI40">
        <v>93.766638416230606</v>
      </c>
      <c r="AJ40">
        <v>95.962973202210193</v>
      </c>
      <c r="AK40">
        <v>16.787284331476702</v>
      </c>
      <c r="AL40">
        <v>88.234269701057201</v>
      </c>
      <c r="AM40">
        <v>96.401626356925505</v>
      </c>
      <c r="AN40">
        <v>1.0000000157796101</v>
      </c>
    </row>
    <row r="41" spans="1:40" x14ac:dyDescent="0.3">
      <c r="A41" t="str">
        <f>"20200111145917073"</f>
        <v>20200111145917073</v>
      </c>
      <c r="B41" t="str">
        <f>"1578725957065641"</f>
        <v>1578725957065641</v>
      </c>
      <c r="C41" t="s">
        <v>40</v>
      </c>
      <c r="D41">
        <v>4.0267299999999997</v>
      </c>
      <c r="E41">
        <v>0.50300540000000005</v>
      </c>
      <c r="F41" t="s">
        <v>42</v>
      </c>
      <c r="G41">
        <v>-459.20909999999998</v>
      </c>
      <c r="H41" s="1">
        <v>-3.9845610000000002E-7</v>
      </c>
      <c r="I41">
        <v>369.18310000000002</v>
      </c>
      <c r="J41">
        <v>-475.92680000000001</v>
      </c>
      <c r="K41">
        <v>1.1027929999999999</v>
      </c>
      <c r="L41">
        <v>367.51249999999999</v>
      </c>
      <c r="M41">
        <v>0.99998339999999997</v>
      </c>
      <c r="N41">
        <v>0</v>
      </c>
      <c r="O41">
        <v>-4.9044120000000004E-3</v>
      </c>
      <c r="P41">
        <v>0.99369479999999999</v>
      </c>
      <c r="Q41">
        <v>3.3753850000000002E-2</v>
      </c>
      <c r="R41">
        <v>0.1069182</v>
      </c>
      <c r="S41">
        <v>2.9936219999999998</v>
      </c>
      <c r="T41">
        <v>-0.19692750000000001</v>
      </c>
      <c r="U41">
        <v>0.29827880000000001</v>
      </c>
      <c r="V41">
        <v>-0.111785</v>
      </c>
      <c r="W41">
        <v>3.0736200000000002E-2</v>
      </c>
      <c r="X41">
        <v>0.99325699999999995</v>
      </c>
      <c r="Y41">
        <v>-0.1037936</v>
      </c>
      <c r="Z41">
        <v>3.723316E-3</v>
      </c>
      <c r="AA41">
        <v>0.99459189999999997</v>
      </c>
      <c r="AB41">
        <v>8</v>
      </c>
      <c r="AC41">
        <v>16.717700000000001</v>
      </c>
      <c r="AD41">
        <v>-1.1027933984561</v>
      </c>
      <c r="AE41">
        <v>1.6706000000000301</v>
      </c>
      <c r="AF41">
        <v>-1.7450523207755899</v>
      </c>
      <c r="AG41">
        <v>-1.1027933984561</v>
      </c>
      <c r="AH41">
        <v>16.637623413130701</v>
      </c>
      <c r="AI41">
        <v>93.771566598491802</v>
      </c>
      <c r="AJ41">
        <v>95.987627446599703</v>
      </c>
      <c r="AK41">
        <v>16.765198290478999</v>
      </c>
      <c r="AL41">
        <v>88.238668121778801</v>
      </c>
      <c r="AM41">
        <v>96.421269627751101</v>
      </c>
      <c r="AN41">
        <v>1.0000000341322099</v>
      </c>
    </row>
    <row r="42" spans="1:40" x14ac:dyDescent="0.3">
      <c r="A42" t="str">
        <f>"20200111145917086"</f>
        <v>20200111145917086</v>
      </c>
      <c r="B42" t="str">
        <f>"1578725957075401"</f>
        <v>1578725957075401</v>
      </c>
      <c r="C42" t="s">
        <v>40</v>
      </c>
      <c r="D42">
        <v>4.0191420000000004</v>
      </c>
      <c r="E42">
        <v>0.50286189999999997</v>
      </c>
      <c r="F42" t="s">
        <v>42</v>
      </c>
      <c r="G42">
        <v>-459.02870000000001</v>
      </c>
      <c r="H42" s="1">
        <v>-4.7237889999999998E-7</v>
      </c>
      <c r="I42">
        <v>369.20280000000002</v>
      </c>
      <c r="J42">
        <v>-475.88290000000001</v>
      </c>
      <c r="K42">
        <v>1.102778</v>
      </c>
      <c r="L42">
        <v>367.51209999999998</v>
      </c>
      <c r="M42">
        <v>0.9999825</v>
      </c>
      <c r="N42">
        <v>0</v>
      </c>
      <c r="O42">
        <v>-5.0440629999999997E-3</v>
      </c>
      <c r="P42">
        <v>0.99369810000000003</v>
      </c>
      <c r="Q42">
        <v>3.376871E-2</v>
      </c>
      <c r="R42">
        <v>0.1068841</v>
      </c>
      <c r="S42">
        <v>2.9934080000000001</v>
      </c>
      <c r="T42">
        <v>-0.1953529</v>
      </c>
      <c r="U42">
        <v>0.2994385</v>
      </c>
      <c r="V42">
        <v>-0.1118893</v>
      </c>
      <c r="W42">
        <v>3.0709509999999999E-2</v>
      </c>
      <c r="X42">
        <v>0.99324610000000002</v>
      </c>
      <c r="Y42">
        <v>-0.10432329999999999</v>
      </c>
      <c r="Z42">
        <v>3.7201040000000001E-3</v>
      </c>
      <c r="AA42">
        <v>0.99453650000000005</v>
      </c>
      <c r="AB42">
        <v>8</v>
      </c>
      <c r="AC42">
        <v>16.854199999999899</v>
      </c>
      <c r="AD42">
        <v>-1.10277847237889</v>
      </c>
      <c r="AE42">
        <v>1.6907000000000401</v>
      </c>
      <c r="AF42">
        <v>-1.7681980419193599</v>
      </c>
      <c r="AG42">
        <v>-1.10277847237889</v>
      </c>
      <c r="AH42">
        <v>16.774359473194998</v>
      </c>
      <c r="AI42">
        <v>93.740656265124699</v>
      </c>
      <c r="AJ42">
        <v>96.017370334579795</v>
      </c>
      <c r="AK42">
        <v>16.903306789222</v>
      </c>
      <c r="AL42">
        <v>88.240198100308803</v>
      </c>
      <c r="AM42">
        <v>96.427280767509899</v>
      </c>
      <c r="AN42">
        <v>1.00000005231206</v>
      </c>
    </row>
    <row r="43" spans="1:40" x14ac:dyDescent="0.3">
      <c r="A43" t="str">
        <f>"20200111145917105"</f>
        <v>20200111145917105</v>
      </c>
      <c r="B43" t="str">
        <f>"1578725957095897"</f>
        <v>1578725957095897</v>
      </c>
      <c r="C43" t="s">
        <v>40</v>
      </c>
      <c r="D43">
        <v>4.0328839999999904</v>
      </c>
      <c r="E43">
        <v>0.50277499999999997</v>
      </c>
      <c r="F43" t="s">
        <v>42</v>
      </c>
      <c r="G43">
        <v>-458.90539999999999</v>
      </c>
      <c r="H43" s="1">
        <v>-5.2269319999999999E-7</v>
      </c>
      <c r="I43">
        <v>369.21730000000002</v>
      </c>
      <c r="J43">
        <v>-475.80930000000001</v>
      </c>
      <c r="K43">
        <v>1.1027579999999999</v>
      </c>
      <c r="L43">
        <v>367.51150000000001</v>
      </c>
      <c r="M43">
        <v>0.99998120000000001</v>
      </c>
      <c r="N43">
        <v>0</v>
      </c>
      <c r="O43">
        <v>-5.2750640000000003E-3</v>
      </c>
      <c r="P43">
        <v>0.99368290000000004</v>
      </c>
      <c r="Q43">
        <v>3.430627E-2</v>
      </c>
      <c r="R43">
        <v>0.10685269999999999</v>
      </c>
      <c r="S43">
        <v>2.9932859999999999</v>
      </c>
      <c r="T43">
        <v>-0.19442860000000001</v>
      </c>
      <c r="U43">
        <v>0.30065920000000002</v>
      </c>
      <c r="V43">
        <v>-0.11208700000000001</v>
      </c>
      <c r="W43">
        <v>3.118135E-2</v>
      </c>
      <c r="X43">
        <v>0.99320909999999996</v>
      </c>
      <c r="Y43">
        <v>-0.10495889999999999</v>
      </c>
      <c r="Z43">
        <v>3.7381379999999998E-3</v>
      </c>
      <c r="AA43">
        <v>0.99446950000000001</v>
      </c>
      <c r="AB43">
        <v>8</v>
      </c>
      <c r="AC43">
        <v>16.9039</v>
      </c>
      <c r="AD43">
        <v>-1.1027585226932</v>
      </c>
      <c r="AE43">
        <v>1.70580000000001</v>
      </c>
      <c r="AF43">
        <v>-1.7874155540805601</v>
      </c>
      <c r="AG43">
        <v>-1.1027585226932</v>
      </c>
      <c r="AH43">
        <v>16.8237886848252</v>
      </c>
      <c r="AI43">
        <v>93.729305752483299</v>
      </c>
      <c r="AJ43">
        <v>96.064545292640503</v>
      </c>
      <c r="AK43">
        <v>16.954373961724201</v>
      </c>
      <c r="AL43">
        <v>88.213150692779294</v>
      </c>
      <c r="AM43">
        <v>96.4387798495449</v>
      </c>
      <c r="AN43">
        <v>1.00000004423981</v>
      </c>
    </row>
    <row r="44" spans="1:40" x14ac:dyDescent="0.3">
      <c r="A44" t="str">
        <f>"20200111145917119"</f>
        <v>20200111145917119</v>
      </c>
      <c r="B44" t="str">
        <f>"1578725957115418"</f>
        <v>1578725957115418</v>
      </c>
      <c r="C44" t="s">
        <v>40</v>
      </c>
      <c r="D44">
        <v>4.0195569999999998</v>
      </c>
      <c r="E44">
        <v>0.50272340000000004</v>
      </c>
      <c r="F44" t="s">
        <v>42</v>
      </c>
      <c r="G44">
        <v>-458.48579999999998</v>
      </c>
      <c r="H44" s="1">
        <v>-6.9624289999999998E-7</v>
      </c>
      <c r="I44">
        <v>369.25360000000001</v>
      </c>
      <c r="J44">
        <v>-475.75630000000001</v>
      </c>
      <c r="K44">
        <v>1.102741</v>
      </c>
      <c r="L44">
        <v>367.51100000000002</v>
      </c>
      <c r="M44">
        <v>0.99997999999999998</v>
      </c>
      <c r="N44">
        <v>0</v>
      </c>
      <c r="O44">
        <v>-5.4395190000000003E-3</v>
      </c>
      <c r="P44">
        <v>0.99367879999999997</v>
      </c>
      <c r="Q44">
        <v>3.4229000000000002E-2</v>
      </c>
      <c r="R44">
        <v>0.106915</v>
      </c>
      <c r="S44">
        <v>2.9932859999999999</v>
      </c>
      <c r="T44">
        <v>-0.19054189999999999</v>
      </c>
      <c r="U44">
        <v>0.3010254</v>
      </c>
      <c r="V44">
        <v>-0.11231240000000001</v>
      </c>
      <c r="W44">
        <v>3.1057439999999999E-2</v>
      </c>
      <c r="X44">
        <v>0.9931875</v>
      </c>
      <c r="Y44">
        <v>-0.1052511</v>
      </c>
      <c r="Z44">
        <v>3.6832420000000002E-3</v>
      </c>
      <c r="AA44">
        <v>0.99443890000000001</v>
      </c>
      <c r="AB44">
        <v>8</v>
      </c>
      <c r="AC44">
        <v>17.270499999999998</v>
      </c>
      <c r="AD44">
        <v>-1.1027416962429</v>
      </c>
      <c r="AE44">
        <v>1.7426000000000299</v>
      </c>
      <c r="AF44">
        <v>-1.82913574232954</v>
      </c>
      <c r="AG44">
        <v>-1.1027416962429</v>
      </c>
      <c r="AH44">
        <v>17.191383117591201</v>
      </c>
      <c r="AI44">
        <v>93.649666950474895</v>
      </c>
      <c r="AJ44">
        <v>96.073330371612101</v>
      </c>
      <c r="AK44">
        <v>17.323551319181</v>
      </c>
      <c r="AL44">
        <v>88.220253618338802</v>
      </c>
      <c r="AM44">
        <v>96.451757902428</v>
      </c>
      <c r="AN44">
        <v>1.0000000249646801</v>
      </c>
    </row>
    <row r="45" spans="1:40" x14ac:dyDescent="0.3">
      <c r="A45" t="str">
        <f>"20200111145917132"</f>
        <v>20200111145917132</v>
      </c>
      <c r="B45" t="str">
        <f>"1578725957126153"</f>
        <v>1578725957126153</v>
      </c>
      <c r="C45" t="s">
        <v>40</v>
      </c>
      <c r="D45">
        <v>4.0156179999999999</v>
      </c>
      <c r="E45">
        <v>0.50279449999999903</v>
      </c>
      <c r="F45" t="s">
        <v>42</v>
      </c>
      <c r="G45">
        <v>-458.31729999999999</v>
      </c>
      <c r="H45" s="1">
        <v>-7.6605840000000004E-7</v>
      </c>
      <c r="I45">
        <v>369.26760000000002</v>
      </c>
      <c r="J45">
        <v>-475.70359999999999</v>
      </c>
      <c r="K45">
        <v>1.1027260000000001</v>
      </c>
      <c r="L45">
        <v>367.51060000000001</v>
      </c>
      <c r="M45">
        <v>0.99997910000000001</v>
      </c>
      <c r="N45">
        <v>0</v>
      </c>
      <c r="O45">
        <v>-5.5995630000000001E-3</v>
      </c>
      <c r="P45">
        <v>0.99366829999999995</v>
      </c>
      <c r="Q45">
        <v>3.4511640000000003E-2</v>
      </c>
      <c r="R45">
        <v>0.1069219</v>
      </c>
      <c r="S45">
        <v>2.9931640000000002</v>
      </c>
      <c r="T45">
        <v>-0.1892694</v>
      </c>
      <c r="U45">
        <v>0.3015137</v>
      </c>
      <c r="V45">
        <v>-0.1124783</v>
      </c>
      <c r="W45">
        <v>3.1295259999999998E-2</v>
      </c>
      <c r="X45">
        <v>0.99316130000000002</v>
      </c>
      <c r="Y45">
        <v>-0.1055768</v>
      </c>
      <c r="Z45">
        <v>3.6791580000000001E-3</v>
      </c>
      <c r="AA45">
        <v>0.99440430000000002</v>
      </c>
      <c r="AB45">
        <v>8</v>
      </c>
      <c r="AC45">
        <v>17.386299999999999</v>
      </c>
      <c r="AD45">
        <v>-1.1027267660583999</v>
      </c>
      <c r="AE45">
        <v>1.7569999999999999</v>
      </c>
      <c r="AF45">
        <v>-1.8469738671885001</v>
      </c>
      <c r="AG45">
        <v>-1.1027267660583999</v>
      </c>
      <c r="AH45">
        <v>17.307270192031101</v>
      </c>
      <c r="AI45">
        <v>93.625124496303499</v>
      </c>
      <c r="AJ45">
        <v>96.091359663012398</v>
      </c>
      <c r="AK45">
        <v>17.4404392228702</v>
      </c>
      <c r="AL45">
        <v>88.206620980499096</v>
      </c>
      <c r="AM45">
        <v>96.461376462834394</v>
      </c>
      <c r="AN45">
        <v>1.0000000645435201</v>
      </c>
    </row>
    <row r="46" spans="1:40" x14ac:dyDescent="0.3">
      <c r="A46" t="str">
        <f>"20200111145917150"</f>
        <v>20200111145917150</v>
      </c>
      <c r="B46" t="str">
        <f>"1578725957145673"</f>
        <v>1578725957145673</v>
      </c>
      <c r="C46" t="s">
        <v>40</v>
      </c>
      <c r="D46">
        <v>4.0030739999999998</v>
      </c>
      <c r="E46">
        <v>0.50293019999999999</v>
      </c>
      <c r="F46" t="s">
        <v>42</v>
      </c>
      <c r="G46">
        <v>-458.07589999999999</v>
      </c>
      <c r="H46" s="1">
        <v>-8.6660530000000005E-7</v>
      </c>
      <c r="I46">
        <v>369.28440000000001</v>
      </c>
      <c r="J46">
        <v>-475.63420000000002</v>
      </c>
      <c r="K46">
        <v>1.1027149999999999</v>
      </c>
      <c r="L46">
        <v>367.51</v>
      </c>
      <c r="M46">
        <v>0.99997780000000003</v>
      </c>
      <c r="N46">
        <v>0</v>
      </c>
      <c r="O46">
        <v>-5.8076710000000004E-3</v>
      </c>
      <c r="P46">
        <v>0.99363780000000002</v>
      </c>
      <c r="Q46">
        <v>3.4901130000000002E-2</v>
      </c>
      <c r="R46">
        <v>0.10708040000000001</v>
      </c>
      <c r="S46">
        <v>2.9932249999999998</v>
      </c>
      <c r="T46">
        <v>-0.18724569999999999</v>
      </c>
      <c r="U46">
        <v>0.30120849999999999</v>
      </c>
      <c r="V46">
        <v>-0.1128432</v>
      </c>
      <c r="W46">
        <v>3.1624119999999999E-2</v>
      </c>
      <c r="X46">
        <v>0.99310940000000003</v>
      </c>
      <c r="Y46">
        <v>-0.1056854</v>
      </c>
      <c r="Z46">
        <v>3.6562019999999999E-3</v>
      </c>
      <c r="AA46">
        <v>0.99439290000000002</v>
      </c>
      <c r="AB46">
        <v>9</v>
      </c>
      <c r="AC46">
        <v>17.558299999999999</v>
      </c>
      <c r="AD46">
        <v>-1.1027158666053001</v>
      </c>
      <c r="AE46">
        <v>1.77440000000001</v>
      </c>
      <c r="AF46">
        <v>-1.86904602591744</v>
      </c>
      <c r="AG46">
        <v>-1.1027158666053001</v>
      </c>
      <c r="AH46">
        <v>17.479452672758299</v>
      </c>
      <c r="AI46">
        <v>93.589393429755503</v>
      </c>
      <c r="AJ46">
        <v>96.1033426772795</v>
      </c>
      <c r="AK46">
        <v>17.6136475798926</v>
      </c>
      <c r="AL46">
        <v>88.187769200933701</v>
      </c>
      <c r="AM46">
        <v>96.482496088240296</v>
      </c>
      <c r="AN46">
        <v>0.99999997656018702</v>
      </c>
    </row>
    <row r="47" spans="1:40" x14ac:dyDescent="0.3">
      <c r="A47" t="str">
        <f>"20200111145917161"</f>
        <v>20200111145917161</v>
      </c>
      <c r="B47" t="str">
        <f>"1578725957155434"</f>
        <v>1578725957155434</v>
      </c>
      <c r="C47" t="s">
        <v>40</v>
      </c>
      <c r="D47">
        <v>4.0004720000000002</v>
      </c>
      <c r="E47">
        <v>0.50297539999999996</v>
      </c>
      <c r="F47" t="s">
        <v>42</v>
      </c>
      <c r="G47">
        <v>-457.74619999999999</v>
      </c>
      <c r="H47" s="1">
        <v>-1.004161E-6</v>
      </c>
      <c r="I47">
        <v>369.30650000000003</v>
      </c>
      <c r="J47">
        <v>-475.58280000000002</v>
      </c>
      <c r="K47">
        <v>1.1027</v>
      </c>
      <c r="L47">
        <v>367.5095</v>
      </c>
      <c r="M47">
        <v>0.99997659999999999</v>
      </c>
      <c r="N47">
        <v>0</v>
      </c>
      <c r="O47">
        <v>-5.95985E-3</v>
      </c>
      <c r="P47">
        <v>0.99363230000000002</v>
      </c>
      <c r="Q47">
        <v>3.5128189999999997E-2</v>
      </c>
      <c r="R47">
        <v>0.10705580000000001</v>
      </c>
      <c r="S47">
        <v>2.9932859999999999</v>
      </c>
      <c r="T47">
        <v>-0.1845214</v>
      </c>
      <c r="U47">
        <v>0.30062870000000003</v>
      </c>
      <c r="V47">
        <v>-0.1129694</v>
      </c>
      <c r="W47">
        <v>3.1805699999999999E-2</v>
      </c>
      <c r="X47">
        <v>0.99308929999999995</v>
      </c>
      <c r="Y47">
        <v>-0.1056501</v>
      </c>
      <c r="Z47">
        <v>3.6113320000000001E-3</v>
      </c>
      <c r="AA47">
        <v>0.99439679999999997</v>
      </c>
      <c r="AB47">
        <v>9</v>
      </c>
      <c r="AC47">
        <v>17.836600000000001</v>
      </c>
      <c r="AD47">
        <v>-1.1027010041609999</v>
      </c>
      <c r="AE47">
        <v>1.7970000000000199</v>
      </c>
      <c r="AF47">
        <v>-1.8960980641018901</v>
      </c>
      <c r="AG47">
        <v>-1.1027010041609999</v>
      </c>
      <c r="AH47">
        <v>17.758382651275401</v>
      </c>
      <c r="AI47">
        <v>93.533169612474893</v>
      </c>
      <c r="AJ47">
        <v>96.094495450148798</v>
      </c>
      <c r="AK47">
        <v>17.893330929773501</v>
      </c>
      <c r="AL47">
        <v>88.177360281205907</v>
      </c>
      <c r="AM47">
        <v>96.489814307900801</v>
      </c>
      <c r="AN47">
        <v>1.0000000228316599</v>
      </c>
    </row>
    <row r="48" spans="1:40" x14ac:dyDescent="0.3">
      <c r="A48" t="str">
        <f>"20200111145917173"</f>
        <v>20200111145917173</v>
      </c>
      <c r="B48" t="str">
        <f>"1578725957165701"</f>
        <v>1578725957165701</v>
      </c>
      <c r="C48" t="s">
        <v>40</v>
      </c>
      <c r="D48">
        <v>3.9490560000000001</v>
      </c>
      <c r="E48">
        <v>0.50292820000000005</v>
      </c>
      <c r="F48" t="s">
        <v>42</v>
      </c>
      <c r="G48">
        <v>-457.58010000000002</v>
      </c>
      <c r="H48" s="1">
        <v>-1.0743029999999999E-6</v>
      </c>
      <c r="I48">
        <v>369.31270000000001</v>
      </c>
      <c r="J48">
        <v>-475.5299</v>
      </c>
      <c r="K48">
        <v>1.1026860000000001</v>
      </c>
      <c r="L48">
        <v>367.50909999999999</v>
      </c>
      <c r="M48">
        <v>0.99997550000000002</v>
      </c>
      <c r="N48">
        <v>0</v>
      </c>
      <c r="O48">
        <v>-6.1138249999999998E-3</v>
      </c>
      <c r="P48">
        <v>0.99361900000000003</v>
      </c>
      <c r="Q48">
        <v>3.5422439999999999E-2</v>
      </c>
      <c r="R48">
        <v>0.1070822</v>
      </c>
      <c r="S48">
        <v>2.9934080000000001</v>
      </c>
      <c r="T48">
        <v>-0.1833516</v>
      </c>
      <c r="U48">
        <v>0.29983520000000002</v>
      </c>
      <c r="V48">
        <v>-0.1131485</v>
      </c>
      <c r="W48">
        <v>3.2050200000000001E-2</v>
      </c>
      <c r="X48">
        <v>0.99306099999999997</v>
      </c>
      <c r="Y48">
        <v>-0.1055408</v>
      </c>
      <c r="Z48">
        <v>3.5944480000000001E-3</v>
      </c>
      <c r="AA48">
        <v>0.99440850000000003</v>
      </c>
      <c r="AB48">
        <v>9</v>
      </c>
      <c r="AC48">
        <v>17.9497999999999</v>
      </c>
      <c r="AD48">
        <v>-1.1026870743029999</v>
      </c>
      <c r="AE48">
        <v>1.8036000000000101</v>
      </c>
      <c r="AF48">
        <v>-1.9061870921998201</v>
      </c>
      <c r="AG48">
        <v>-1.1026870743029999</v>
      </c>
      <c r="AH48">
        <v>17.871666602120801</v>
      </c>
      <c r="AI48">
        <v>93.510827191396302</v>
      </c>
      <c r="AJ48">
        <v>96.088135049443594</v>
      </c>
      <c r="AK48">
        <v>18.006830236098299</v>
      </c>
      <c r="AL48">
        <v>88.163344228052097</v>
      </c>
      <c r="AM48">
        <v>96.500198829380196</v>
      </c>
      <c r="AN48">
        <v>0.99999997404664398</v>
      </c>
    </row>
    <row r="49" spans="1:40" x14ac:dyDescent="0.3">
      <c r="A49" t="str">
        <f>"20200111145917187"</f>
        <v>20200111145917187</v>
      </c>
      <c r="B49" t="str">
        <f>"1578725957175462"</f>
        <v>1578725957175462</v>
      </c>
      <c r="C49" t="s">
        <v>40</v>
      </c>
      <c r="D49">
        <v>3.989214</v>
      </c>
      <c r="E49">
        <v>0.50298069999999995</v>
      </c>
      <c r="F49" t="s">
        <v>42</v>
      </c>
      <c r="G49">
        <v>-457.36099999999999</v>
      </c>
      <c r="H49" s="1">
        <v>-1.1644720000000001E-6</v>
      </c>
      <c r="I49">
        <v>369.33429999999998</v>
      </c>
      <c r="J49">
        <v>-475.47750000000002</v>
      </c>
      <c r="K49">
        <v>1.1026750000000001</v>
      </c>
      <c r="L49">
        <v>367.50850000000003</v>
      </c>
      <c r="M49">
        <v>0.99997440000000004</v>
      </c>
      <c r="N49">
        <v>0</v>
      </c>
      <c r="O49">
        <v>-6.2644650000000003E-3</v>
      </c>
      <c r="P49">
        <v>0.99362459999999997</v>
      </c>
      <c r="Q49">
        <v>3.5601470000000003E-2</v>
      </c>
      <c r="R49">
        <v>0.10697039999999999</v>
      </c>
      <c r="S49">
        <v>2.993347</v>
      </c>
      <c r="T49">
        <v>-0.18166789999999999</v>
      </c>
      <c r="U49">
        <v>0.30072019999999999</v>
      </c>
      <c r="V49">
        <v>-0.11318590000000001</v>
      </c>
      <c r="W49">
        <v>3.2177919999999999E-2</v>
      </c>
      <c r="X49">
        <v>0.99305259999999995</v>
      </c>
      <c r="Y49">
        <v>-0.10598630000000001</v>
      </c>
      <c r="Z49">
        <v>3.584107E-3</v>
      </c>
      <c r="AA49">
        <v>0.9943611</v>
      </c>
      <c r="AB49">
        <v>9</v>
      </c>
      <c r="AC49">
        <v>18.116499999999998</v>
      </c>
      <c r="AD49">
        <v>-1.102676164472</v>
      </c>
      <c r="AE49">
        <v>1.8257999999999499</v>
      </c>
      <c r="AF49">
        <v>-1.9321689910391</v>
      </c>
      <c r="AG49">
        <v>-1.102676164472</v>
      </c>
      <c r="AH49">
        <v>18.0385521548409</v>
      </c>
      <c r="AI49">
        <v>93.478225877635893</v>
      </c>
      <c r="AJ49">
        <v>96.113829729074496</v>
      </c>
      <c r="AK49">
        <v>18.175217621160499</v>
      </c>
      <c r="AL49">
        <v>88.156022620448098</v>
      </c>
      <c r="AM49">
        <v>96.502383532089596</v>
      </c>
      <c r="AN49">
        <v>0.999999966430547</v>
      </c>
    </row>
    <row r="50" spans="1:40" x14ac:dyDescent="0.3">
      <c r="A50" t="str">
        <f>"20200111145917205"</f>
        <v>20200111145917205</v>
      </c>
      <c r="B50" t="str">
        <f>"1578725957195956"</f>
        <v>1578725957195956</v>
      </c>
      <c r="C50" t="s">
        <v>40</v>
      </c>
      <c r="D50">
        <v>4.0206109999999997</v>
      </c>
      <c r="E50">
        <v>0.53196169999999998</v>
      </c>
      <c r="F50" t="s">
        <v>42</v>
      </c>
      <c r="G50">
        <v>-457.21629999999999</v>
      </c>
      <c r="H50" s="1">
        <v>-1.226037E-6</v>
      </c>
      <c r="I50">
        <v>369.33699999999999</v>
      </c>
      <c r="J50">
        <v>-475.39260000000002</v>
      </c>
      <c r="K50">
        <v>1.102652</v>
      </c>
      <c r="L50">
        <v>367.50779999999997</v>
      </c>
      <c r="M50">
        <v>0.99997259999999999</v>
      </c>
      <c r="N50">
        <v>0</v>
      </c>
      <c r="O50">
        <v>-6.5044559999999996E-3</v>
      </c>
      <c r="P50">
        <v>0.99360999999999999</v>
      </c>
      <c r="Q50">
        <v>3.6114930000000003E-2</v>
      </c>
      <c r="R50">
        <v>0.106934</v>
      </c>
      <c r="S50">
        <v>2.993439</v>
      </c>
      <c r="T50">
        <v>-0.18075359999999999</v>
      </c>
      <c r="U50">
        <v>0.2997437</v>
      </c>
      <c r="V50">
        <v>-0.113388</v>
      </c>
      <c r="W50">
        <v>3.2602079999999999E-2</v>
      </c>
      <c r="X50">
        <v>0.9930158</v>
      </c>
      <c r="Y50">
        <v>-0.1059026</v>
      </c>
      <c r="Z50">
        <v>3.5779760000000001E-3</v>
      </c>
      <c r="AA50">
        <v>0.99437010000000003</v>
      </c>
      <c r="AB50">
        <v>9</v>
      </c>
      <c r="AC50">
        <v>18.176300000000001</v>
      </c>
      <c r="AD50">
        <v>-1.1026532260369999</v>
      </c>
      <c r="AE50">
        <v>1.8292000000000099</v>
      </c>
      <c r="AF50">
        <v>-1.94031988847522</v>
      </c>
      <c r="AG50">
        <v>-1.1026532260369999</v>
      </c>
      <c r="AH50">
        <v>18.098081374824599</v>
      </c>
      <c r="AI50">
        <v>93.466705185275799</v>
      </c>
      <c r="AJ50">
        <v>96.119383826437499</v>
      </c>
      <c r="AK50">
        <v>18.235164788294998</v>
      </c>
      <c r="AL50">
        <v>88.131707452041795</v>
      </c>
      <c r="AM50">
        <v>96.514133540023906</v>
      </c>
      <c r="AN50">
        <v>1.00000005660698</v>
      </c>
    </row>
    <row r="51" spans="1:40" x14ac:dyDescent="0.3">
      <c r="A51" t="str">
        <f>"20200111145917218"</f>
        <v>20200111145917218</v>
      </c>
      <c r="B51" t="str">
        <f>"1578725957215477"</f>
        <v>1578725957215477</v>
      </c>
      <c r="C51" t="s">
        <v>40</v>
      </c>
      <c r="D51">
        <v>3.9244659999999998</v>
      </c>
      <c r="E51">
        <v>0.54369179999999995</v>
      </c>
      <c r="F51" t="s">
        <v>42</v>
      </c>
      <c r="G51">
        <v>-447.61950000000002</v>
      </c>
      <c r="H51" s="1">
        <v>-1.3661120000000001E-6</v>
      </c>
      <c r="I51">
        <v>368.14850000000001</v>
      </c>
      <c r="J51">
        <v>-475.33429999999998</v>
      </c>
      <c r="K51">
        <v>1.102635</v>
      </c>
      <c r="L51">
        <v>367.50720000000001</v>
      </c>
      <c r="M51">
        <v>0.99997130000000001</v>
      </c>
      <c r="N51">
        <v>0</v>
      </c>
      <c r="O51">
        <v>-6.6663290000000004E-3</v>
      </c>
      <c r="P51">
        <v>0.99363040000000002</v>
      </c>
      <c r="Q51">
        <v>3.6101139999999997E-2</v>
      </c>
      <c r="R51">
        <v>0.1067501</v>
      </c>
      <c r="S51">
        <v>3.0161739999999999</v>
      </c>
      <c r="T51">
        <v>-0.1197487</v>
      </c>
      <c r="U51">
        <v>6.9580080000000002E-2</v>
      </c>
      <c r="V51">
        <v>-0.1133651</v>
      </c>
      <c r="W51">
        <v>3.2523440000000001E-2</v>
      </c>
      <c r="X51">
        <v>0.99302100000000004</v>
      </c>
      <c r="Y51">
        <v>-2.96983E-2</v>
      </c>
      <c r="Z51">
        <v>8.5376649999999903E-4</v>
      </c>
      <c r="AA51">
        <v>0.99955859999999996</v>
      </c>
      <c r="AB51">
        <v>10</v>
      </c>
      <c r="AC51">
        <v>27.714799999999901</v>
      </c>
      <c r="AD51">
        <v>-1.102636366112</v>
      </c>
      <c r="AE51">
        <v>0.64130000000000098</v>
      </c>
      <c r="AF51">
        <v>-0.82473817977855002</v>
      </c>
      <c r="AG51">
        <v>-1.102636366112</v>
      </c>
      <c r="AH51">
        <v>27.666140964261398</v>
      </c>
      <c r="AI51">
        <v>92.281307815342799</v>
      </c>
      <c r="AJ51">
        <v>91.707503292884098</v>
      </c>
      <c r="AK51">
        <v>27.700385482434001</v>
      </c>
      <c r="AL51">
        <v>88.136215594957704</v>
      </c>
      <c r="AM51">
        <v>96.512795429170396</v>
      </c>
      <c r="AN51">
        <v>1.0000000632442101</v>
      </c>
    </row>
    <row r="52" spans="1:40" x14ac:dyDescent="0.3">
      <c r="A52" t="str">
        <f>"20200111145917231"</f>
        <v>20200111145917231</v>
      </c>
      <c r="B52" t="str">
        <f>"1578725957226215"</f>
        <v>1578725957226215</v>
      </c>
      <c r="C52" t="s">
        <v>40</v>
      </c>
      <c r="D52">
        <v>3.8846219999999998</v>
      </c>
      <c r="E52">
        <v>0.54641010000000001</v>
      </c>
      <c r="F52" t="s">
        <v>42</v>
      </c>
      <c r="G52">
        <v>-448.62369999999999</v>
      </c>
      <c r="H52" s="1">
        <v>-1.1303340000000001E-6</v>
      </c>
      <c r="I52">
        <v>367.29520000000002</v>
      </c>
      <c r="J52">
        <v>-475.27940000000001</v>
      </c>
      <c r="K52">
        <v>1.1026180000000001</v>
      </c>
      <c r="L52">
        <v>367.50670000000002</v>
      </c>
      <c r="M52">
        <v>0.99997000000000003</v>
      </c>
      <c r="N52">
        <v>0</v>
      </c>
      <c r="O52">
        <v>-6.8143780000000003E-3</v>
      </c>
      <c r="P52">
        <v>0.99363849999999998</v>
      </c>
      <c r="Q52">
        <v>3.6304299999999998E-2</v>
      </c>
      <c r="R52">
        <v>0.10660500000000001</v>
      </c>
      <c r="S52">
        <v>3.026367</v>
      </c>
      <c r="T52">
        <v>-0.124931</v>
      </c>
      <c r="U52">
        <v>-2.401733E-2</v>
      </c>
      <c r="V52">
        <v>-0.1133665</v>
      </c>
      <c r="W52">
        <v>3.2660700000000001E-2</v>
      </c>
      <c r="X52">
        <v>0.99301629999999996</v>
      </c>
      <c r="Y52">
        <v>1.1262290000000001E-3</v>
      </c>
      <c r="Z52">
        <v>2.5794199999999999E-4</v>
      </c>
      <c r="AA52">
        <v>0.99999930000000004</v>
      </c>
      <c r="AB52">
        <v>10</v>
      </c>
      <c r="AC52">
        <v>26.6557</v>
      </c>
      <c r="AD52">
        <v>-1.1026191303340001</v>
      </c>
      <c r="AE52">
        <v>-0.21149999999999999</v>
      </c>
      <c r="AF52">
        <v>2.9800853293342599E-2</v>
      </c>
      <c r="AG52">
        <v>-1.1026191303340001</v>
      </c>
      <c r="AH52">
        <v>26.610991619983199</v>
      </c>
      <c r="AI52">
        <v>92.372676192374001</v>
      </c>
      <c r="AJ52">
        <v>89.935836197680999</v>
      </c>
      <c r="AK52">
        <v>26.633841856484999</v>
      </c>
      <c r="AL52">
        <v>88.128346931139603</v>
      </c>
      <c r="AM52">
        <v>96.512905728709299</v>
      </c>
      <c r="AN52">
        <v>1.00000002835621</v>
      </c>
    </row>
    <row r="53" spans="1:40" x14ac:dyDescent="0.3">
      <c r="A53" t="str">
        <f>"20200111145917249"</f>
        <v>20200111145917249</v>
      </c>
      <c r="B53" t="str">
        <f>"1578725957245733"</f>
        <v>1578725957245733</v>
      </c>
      <c r="C53" t="s">
        <v>40</v>
      </c>
      <c r="D53">
        <v>3.804027</v>
      </c>
      <c r="E53">
        <v>0.54975249999999998</v>
      </c>
      <c r="F53" t="s">
        <v>42</v>
      </c>
      <c r="G53">
        <v>-448.1431</v>
      </c>
      <c r="H53" s="1">
        <v>-1.3688999999999999E-6</v>
      </c>
      <c r="I53">
        <v>367.09219999999999</v>
      </c>
      <c r="J53">
        <v>-475.19139999999999</v>
      </c>
      <c r="K53">
        <v>1.1025879999999999</v>
      </c>
      <c r="L53">
        <v>367.5059</v>
      </c>
      <c r="M53">
        <v>0.99996810000000003</v>
      </c>
      <c r="N53">
        <v>0</v>
      </c>
      <c r="O53">
        <v>-7.0463059999999996E-3</v>
      </c>
      <c r="P53">
        <v>0.99370789999999998</v>
      </c>
      <c r="Q53">
        <v>3.5993459999999998E-2</v>
      </c>
      <c r="R53">
        <v>0.1060637</v>
      </c>
      <c r="S53">
        <v>3.0286249999999999</v>
      </c>
      <c r="T53">
        <v>-0.1230609</v>
      </c>
      <c r="U53">
        <v>-4.6264649999999997E-2</v>
      </c>
      <c r="V53">
        <v>-0.1130559</v>
      </c>
      <c r="W53">
        <v>3.2241779999999998E-2</v>
      </c>
      <c r="X53">
        <v>0.99306539999999999</v>
      </c>
      <c r="Y53">
        <v>8.2271219999999999E-3</v>
      </c>
      <c r="Z53">
        <v>1.1910540000000001E-4</v>
      </c>
      <c r="AA53">
        <v>0.99996609999999997</v>
      </c>
      <c r="AB53">
        <v>10</v>
      </c>
      <c r="AC53">
        <v>27.048299999999902</v>
      </c>
      <c r="AD53">
        <v>-1.1025893688999999</v>
      </c>
      <c r="AE53">
        <v>-0.41370000000000501</v>
      </c>
      <c r="AF53">
        <v>0.22272776671372699</v>
      </c>
      <c r="AG53">
        <v>-1.1025893688999999</v>
      </c>
      <c r="AH53">
        <v>27.005679251075801</v>
      </c>
      <c r="AI53">
        <v>92.337897333853206</v>
      </c>
      <c r="AJ53">
        <v>89.527467109329507</v>
      </c>
      <c r="AK53">
        <v>27.029095855882002</v>
      </c>
      <c r="AL53">
        <v>88.152361927611906</v>
      </c>
      <c r="AM53">
        <v>96.494896051036903</v>
      </c>
      <c r="AN53">
        <v>1.0000000287897599</v>
      </c>
    </row>
    <row r="54" spans="1:40" x14ac:dyDescent="0.3">
      <c r="A54" t="str">
        <f>"20200111145917262"</f>
        <v>20200111145917262</v>
      </c>
      <c r="B54" t="str">
        <f>"1578725957255493"</f>
        <v>1578725957255493</v>
      </c>
      <c r="C54" t="s">
        <v>40</v>
      </c>
      <c r="D54">
        <v>3.876709</v>
      </c>
      <c r="E54">
        <v>0.55081899999999995</v>
      </c>
      <c r="F54" t="s">
        <v>42</v>
      </c>
      <c r="G54">
        <v>-447.42520000000002</v>
      </c>
      <c r="H54" s="1">
        <v>-1.715478E-6</v>
      </c>
      <c r="I54">
        <v>366.82569999999998</v>
      </c>
      <c r="J54">
        <v>-475.13060000000002</v>
      </c>
      <c r="K54">
        <v>1.1025700000000001</v>
      </c>
      <c r="L54">
        <v>367.5052</v>
      </c>
      <c r="M54">
        <v>0.99996660000000004</v>
      </c>
      <c r="N54">
        <v>0</v>
      </c>
      <c r="O54">
        <v>-7.2006919999999999E-3</v>
      </c>
      <c r="P54">
        <v>0.99376690000000001</v>
      </c>
      <c r="Q54">
        <v>3.5876970000000001E-2</v>
      </c>
      <c r="R54">
        <v>0.1055475</v>
      </c>
      <c r="S54">
        <v>3.031342</v>
      </c>
      <c r="T54">
        <v>-0.12037399999999999</v>
      </c>
      <c r="U54">
        <v>-7.4249270000000006E-2</v>
      </c>
      <c r="V54">
        <v>-0.1126934</v>
      </c>
      <c r="W54">
        <v>3.2052579999999997E-2</v>
      </c>
      <c r="X54">
        <v>0.99311269999999996</v>
      </c>
      <c r="Y54">
        <v>1.7279360000000001E-2</v>
      </c>
      <c r="Z54" s="1">
        <v>-5.7116910000000003E-5</v>
      </c>
      <c r="AA54">
        <v>0.99985069999999998</v>
      </c>
      <c r="AB54">
        <v>10</v>
      </c>
      <c r="AC54">
        <v>27.705400000000001</v>
      </c>
      <c r="AD54">
        <v>-1.1025717154779999</v>
      </c>
      <c r="AE54">
        <v>-0.67950000000001798</v>
      </c>
      <c r="AF54">
        <v>0.479224328035396</v>
      </c>
      <c r="AG54">
        <v>-1.1025717154779999</v>
      </c>
      <c r="AH54">
        <v>27.665785456938298</v>
      </c>
      <c r="AI54">
        <v>92.281873839861802</v>
      </c>
      <c r="AJ54">
        <v>89.007626738996507</v>
      </c>
      <c r="AK54">
        <v>27.6918942164254</v>
      </c>
      <c r="AL54">
        <v>88.1632078464514</v>
      </c>
      <c r="AM54">
        <v>96.473942314507099</v>
      </c>
      <c r="AN54">
        <v>1.00000000259475</v>
      </c>
    </row>
    <row r="55" spans="1:40" x14ac:dyDescent="0.3">
      <c r="A55" t="str">
        <f>"20200111145917274"</f>
        <v>20200111145917274</v>
      </c>
      <c r="B55" t="str">
        <f>"1578725957265761"</f>
        <v>1578725957265761</v>
      </c>
      <c r="C55" t="s">
        <v>40</v>
      </c>
      <c r="D55">
        <v>3.8568950000000002</v>
      </c>
      <c r="E55">
        <v>0.55176939999999997</v>
      </c>
      <c r="F55" t="s">
        <v>42</v>
      </c>
      <c r="G55">
        <v>-447.29239999999999</v>
      </c>
      <c r="H55" s="1">
        <v>-1.7911929999999999E-6</v>
      </c>
      <c r="I55">
        <v>366.7328</v>
      </c>
      <c r="J55">
        <v>-475.07040000000001</v>
      </c>
      <c r="K55">
        <v>1.1025579999999999</v>
      </c>
      <c r="L55">
        <v>367.50459999999998</v>
      </c>
      <c r="M55">
        <v>0.99996529999999995</v>
      </c>
      <c r="N55">
        <v>0</v>
      </c>
      <c r="O55">
        <v>-7.3432569999999997E-3</v>
      </c>
      <c r="P55">
        <v>0.99380409999999997</v>
      </c>
      <c r="Q55">
        <v>3.581496E-2</v>
      </c>
      <c r="R55">
        <v>0.10521750000000001</v>
      </c>
      <c r="S55">
        <v>3.0321039999999999</v>
      </c>
      <c r="T55">
        <v>-0.1200913</v>
      </c>
      <c r="U55">
        <v>-8.4136959999999997E-2</v>
      </c>
      <c r="V55">
        <v>-0.11250540000000001</v>
      </c>
      <c r="W55">
        <v>3.1930569999999998E-2</v>
      </c>
      <c r="X55">
        <v>0.99313799999999997</v>
      </c>
      <c r="Y55">
        <v>2.038657E-2</v>
      </c>
      <c r="Z55">
        <v>-1.128212E-4</v>
      </c>
      <c r="AA55">
        <v>0.99979220000000002</v>
      </c>
      <c r="AB55">
        <v>11</v>
      </c>
      <c r="AC55">
        <v>27.777999999999999</v>
      </c>
      <c r="AD55">
        <v>-1.1025597911929901</v>
      </c>
      <c r="AE55">
        <v>-0.77179999999998405</v>
      </c>
      <c r="AF55">
        <v>0.56690418346253701</v>
      </c>
      <c r="AG55">
        <v>-1.1025597911929901</v>
      </c>
      <c r="AH55">
        <v>27.7392507422759</v>
      </c>
      <c r="AI55">
        <v>92.275678601496196</v>
      </c>
      <c r="AJ55">
        <v>88.829215092088802</v>
      </c>
      <c r="AK55">
        <v>27.7669416787164</v>
      </c>
      <c r="AL55">
        <v>88.170202183588003</v>
      </c>
      <c r="AM55">
        <v>96.463070410352898</v>
      </c>
      <c r="AN55">
        <v>1.0000000566868401</v>
      </c>
    </row>
    <row r="56" spans="1:40" x14ac:dyDescent="0.3">
      <c r="A56" t="str">
        <f>"20200111145917287"</f>
        <v>20200111145917287</v>
      </c>
      <c r="B56" t="str">
        <f>"1578725957275521"</f>
        <v>1578725957275521</v>
      </c>
      <c r="C56" t="s">
        <v>40</v>
      </c>
      <c r="D56">
        <v>3.8521450000000002</v>
      </c>
      <c r="E56">
        <v>0.5522473</v>
      </c>
      <c r="F56" t="s">
        <v>42</v>
      </c>
      <c r="G56">
        <v>-447.55489999999998</v>
      </c>
      <c r="H56" s="1">
        <v>-1.7090760000000001E-6</v>
      </c>
      <c r="I56">
        <v>366.66269999999997</v>
      </c>
      <c r="J56">
        <v>-475.012</v>
      </c>
      <c r="K56">
        <v>1.102557</v>
      </c>
      <c r="L56">
        <v>367.50409999999999</v>
      </c>
      <c r="M56">
        <v>0.99996439999999998</v>
      </c>
      <c r="N56">
        <v>0</v>
      </c>
      <c r="O56">
        <v>-7.469196E-3</v>
      </c>
      <c r="P56">
        <v>0.99387970000000003</v>
      </c>
      <c r="Q56">
        <v>3.5635769999999997E-2</v>
      </c>
      <c r="R56">
        <v>0.1045644</v>
      </c>
      <c r="S56">
        <v>3.0328979999999999</v>
      </c>
      <c r="T56">
        <v>-0.121529399999999</v>
      </c>
      <c r="U56">
        <v>-9.2803960000000005E-2</v>
      </c>
      <c r="V56">
        <v>-0.1119781</v>
      </c>
      <c r="W56">
        <v>3.1723729999999999E-2</v>
      </c>
      <c r="X56">
        <v>0.99320419999999998</v>
      </c>
      <c r="Y56">
        <v>2.310564E-2</v>
      </c>
      <c r="Z56">
        <v>-1.6353679999999999E-4</v>
      </c>
      <c r="AA56">
        <v>0.99973299999999998</v>
      </c>
      <c r="AB56">
        <v>11</v>
      </c>
      <c r="AC56">
        <v>27.457099999999901</v>
      </c>
      <c r="AD56">
        <v>-1.1025587090760001</v>
      </c>
      <c r="AE56">
        <v>-0.84140000000002102</v>
      </c>
      <c r="AF56">
        <v>0.63526909012276001</v>
      </c>
      <c r="AG56">
        <v>-1.1025587090760001</v>
      </c>
      <c r="AH56">
        <v>27.418448508076001</v>
      </c>
      <c r="AI56">
        <v>92.302136882049496</v>
      </c>
      <c r="AJ56">
        <v>88.672728448159006</v>
      </c>
      <c r="AK56">
        <v>27.4479602359418</v>
      </c>
      <c r="AL56">
        <v>88.182059212031305</v>
      </c>
      <c r="AM56">
        <v>96.432608073922196</v>
      </c>
      <c r="AN56">
        <v>1.0000000364111801</v>
      </c>
    </row>
    <row r="57" spans="1:40" x14ac:dyDescent="0.3">
      <c r="A57" t="str">
        <f>"20200111145917299"</f>
        <v>20200111145917299</v>
      </c>
      <c r="B57" t="str">
        <f>"1578725957296018"</f>
        <v>1578725957296018</v>
      </c>
      <c r="C57" t="s">
        <v>40</v>
      </c>
      <c r="D57">
        <v>3.9178329999999999</v>
      </c>
      <c r="E57">
        <v>0.55343580000000003</v>
      </c>
      <c r="F57" t="s">
        <v>42</v>
      </c>
      <c r="G57">
        <v>-447.79829999999998</v>
      </c>
      <c r="H57" s="1">
        <v>-1.626805E-6</v>
      </c>
      <c r="I57">
        <v>366.62049999999999</v>
      </c>
      <c r="J57">
        <v>-474.94799999999998</v>
      </c>
      <c r="K57">
        <v>1.102562</v>
      </c>
      <c r="L57">
        <v>367.5034</v>
      </c>
      <c r="M57">
        <v>0.9999633</v>
      </c>
      <c r="N57">
        <v>0</v>
      </c>
      <c r="O57">
        <v>-7.5949679999999997E-3</v>
      </c>
      <c r="P57">
        <v>0.99391189999999996</v>
      </c>
      <c r="Q57">
        <v>3.5651490000000001E-2</v>
      </c>
      <c r="R57">
        <v>0.104251</v>
      </c>
      <c r="S57">
        <v>3.0332029999999999</v>
      </c>
      <c r="T57">
        <v>-0.122889899999999</v>
      </c>
      <c r="U57">
        <v>-9.8480219999999993E-2</v>
      </c>
      <c r="V57">
        <v>-0.11179</v>
      </c>
      <c r="W57">
        <v>3.1738500000000003E-2</v>
      </c>
      <c r="X57">
        <v>0.99322489999999997</v>
      </c>
      <c r="Y57">
        <v>2.48442E-2</v>
      </c>
      <c r="Z57">
        <v>-1.9544850000000001E-4</v>
      </c>
      <c r="AA57">
        <v>0.99969129999999995</v>
      </c>
      <c r="AB57">
        <v>11</v>
      </c>
      <c r="AC57">
        <v>27.149699999999999</v>
      </c>
      <c r="AD57">
        <v>-1.1025636268050001</v>
      </c>
      <c r="AE57">
        <v>-0.88290000000000601</v>
      </c>
      <c r="AF57">
        <v>0.67555884714043302</v>
      </c>
      <c r="AG57">
        <v>-1.1025636268050001</v>
      </c>
      <c r="AH57">
        <v>27.1109580189332</v>
      </c>
      <c r="AI57">
        <v>92.328131613755204</v>
      </c>
      <c r="AJ57">
        <v>88.572582258320097</v>
      </c>
      <c r="AK57">
        <v>27.141777226472499</v>
      </c>
      <c r="AL57">
        <v>88.1812124957858</v>
      </c>
      <c r="AM57">
        <v>96.421760248111994</v>
      </c>
      <c r="AN57">
        <v>1.00000001923112</v>
      </c>
    </row>
    <row r="58" spans="1:40" x14ac:dyDescent="0.3">
      <c r="A58" t="str">
        <f>"20200111145917317"</f>
        <v>20200111145917317</v>
      </c>
      <c r="B58" t="str">
        <f>"1578725957305777"</f>
        <v>1578725957305777</v>
      </c>
      <c r="C58" t="s">
        <v>40</v>
      </c>
      <c r="D58">
        <v>3.9652409999999998</v>
      </c>
      <c r="E58">
        <v>0.55404390000000003</v>
      </c>
      <c r="F58" t="s">
        <v>42</v>
      </c>
      <c r="G58">
        <v>-447.63549999999998</v>
      </c>
      <c r="H58" s="1">
        <v>-1.7153379999999999E-6</v>
      </c>
      <c r="I58">
        <v>366.52269999999999</v>
      </c>
      <c r="J58">
        <v>-474.86290000000002</v>
      </c>
      <c r="K58">
        <v>1.1026359999999999</v>
      </c>
      <c r="L58">
        <v>367.5025</v>
      </c>
      <c r="M58">
        <v>0.99996350000000001</v>
      </c>
      <c r="N58">
        <v>0</v>
      </c>
      <c r="O58">
        <v>-7.7010159999999998E-3</v>
      </c>
      <c r="P58">
        <v>0.99400350000000004</v>
      </c>
      <c r="Q58">
        <v>3.5767300000000002E-2</v>
      </c>
      <c r="R58">
        <v>0.10333299999999999</v>
      </c>
      <c r="S58">
        <v>3.0341800000000001</v>
      </c>
      <c r="T58">
        <v>-0.12248539999999999</v>
      </c>
      <c r="U58">
        <v>-0.1089478</v>
      </c>
      <c r="V58">
        <v>-0.1109784</v>
      </c>
      <c r="W58">
        <v>3.208689E-2</v>
      </c>
      <c r="X58">
        <v>0.99330469999999904</v>
      </c>
      <c r="Y58">
        <v>2.8169880000000001E-2</v>
      </c>
      <c r="Z58">
        <v>-2.5753279999999999E-4</v>
      </c>
      <c r="AA58">
        <v>0.99960309999999997</v>
      </c>
      <c r="AB58">
        <v>11</v>
      </c>
      <c r="AC58">
        <v>27.227399999999999</v>
      </c>
      <c r="AD58">
        <v>-1.102637715338</v>
      </c>
      <c r="AE58">
        <v>-0.979800000000011</v>
      </c>
      <c r="AF58">
        <v>0.76883158608693403</v>
      </c>
      <c r="AG58">
        <v>-1.102637715338</v>
      </c>
      <c r="AH58">
        <v>27.189603860457499</v>
      </c>
      <c r="AI58">
        <v>92.321353709273197</v>
      </c>
      <c r="AJ58">
        <v>88.380297472444497</v>
      </c>
      <c r="AK58">
        <v>27.222811574627201</v>
      </c>
      <c r="AL58">
        <v>88.1612410125705</v>
      </c>
      <c r="AM58">
        <v>96.375015305840805</v>
      </c>
      <c r="AN58">
        <v>1.00000000040926</v>
      </c>
    </row>
    <row r="59" spans="1:40" x14ac:dyDescent="0.3">
      <c r="A59" t="str">
        <f>"20200111145917329"</f>
        <v>20200111145917329</v>
      </c>
      <c r="B59" t="str">
        <f>"1578725957326273"</f>
        <v>1578725957326273</v>
      </c>
      <c r="C59" t="s">
        <v>40</v>
      </c>
      <c r="D59">
        <v>3.8653369999999998</v>
      </c>
      <c r="E59">
        <v>0.55469789999999997</v>
      </c>
      <c r="F59" t="s">
        <v>42</v>
      </c>
      <c r="G59">
        <v>-447.81810000000002</v>
      </c>
      <c r="H59" s="1">
        <v>-1.6606170000000001E-6</v>
      </c>
      <c r="I59">
        <v>366.4649</v>
      </c>
      <c r="J59">
        <v>-474.8005</v>
      </c>
      <c r="K59">
        <v>1.102751</v>
      </c>
      <c r="L59">
        <v>367.5018</v>
      </c>
      <c r="M59">
        <v>0.99996439999999998</v>
      </c>
      <c r="N59">
        <v>0</v>
      </c>
      <c r="O59">
        <v>-7.7512600000000003E-3</v>
      </c>
      <c r="P59">
        <v>0.99402630000000003</v>
      </c>
      <c r="Q59">
        <v>3.5485240000000001E-2</v>
      </c>
      <c r="R59">
        <v>0.10321130000000001</v>
      </c>
      <c r="S59">
        <v>3.034637</v>
      </c>
      <c r="T59">
        <v>-0.1237246</v>
      </c>
      <c r="U59">
        <v>-0.1164246</v>
      </c>
      <c r="V59">
        <v>-0.1109074</v>
      </c>
      <c r="W59">
        <v>3.2214140000000002E-2</v>
      </c>
      <c r="X59">
        <v>0.99330850000000004</v>
      </c>
      <c r="Y59">
        <v>3.0571339999999999E-2</v>
      </c>
      <c r="Z59">
        <v>-3.0695599999999999E-4</v>
      </c>
      <c r="AA59">
        <v>0.99953250000000005</v>
      </c>
      <c r="AB59">
        <v>11</v>
      </c>
      <c r="AC59">
        <v>26.982399999999899</v>
      </c>
      <c r="AD59">
        <v>-1.1027526606169999</v>
      </c>
      <c r="AE59">
        <v>-1.0368999999999999</v>
      </c>
      <c r="AF59">
        <v>0.82634188385861596</v>
      </c>
      <c r="AG59">
        <v>-1.1027526606169999</v>
      </c>
      <c r="AH59">
        <v>26.944687318511399</v>
      </c>
      <c r="AI59">
        <v>92.342509634160294</v>
      </c>
      <c r="AJ59">
        <v>88.243398902443204</v>
      </c>
      <c r="AK59">
        <v>26.979901390328799</v>
      </c>
      <c r="AL59">
        <v>88.153946332833897</v>
      </c>
      <c r="AM59">
        <v>96.370946173177003</v>
      </c>
      <c r="AN59">
        <v>0.99999998918147404</v>
      </c>
    </row>
    <row r="60" spans="1:40" x14ac:dyDescent="0.3">
      <c r="A60" t="str">
        <f>"20200111145917341"</f>
        <v>20200111145917341</v>
      </c>
      <c r="B60" t="str">
        <f>"1578725957336033"</f>
        <v>1578725957336033</v>
      </c>
      <c r="C60" t="s">
        <v>40</v>
      </c>
      <c r="D60">
        <v>4.0706660000000001</v>
      </c>
      <c r="E60">
        <v>0.55501259999999997</v>
      </c>
      <c r="F60" t="s">
        <v>42</v>
      </c>
      <c r="G60">
        <v>-448.12520000000001</v>
      </c>
      <c r="H60" s="1">
        <v>-1.5522609999999999E-6</v>
      </c>
      <c r="I60">
        <v>366.42899999999997</v>
      </c>
      <c r="J60">
        <v>-474.73450000000003</v>
      </c>
      <c r="K60">
        <v>1.102911</v>
      </c>
      <c r="L60">
        <v>367.50119999999998</v>
      </c>
      <c r="M60">
        <v>0.99996600000000002</v>
      </c>
      <c r="N60">
        <v>0</v>
      </c>
      <c r="O60">
        <v>-7.7950429999999998E-3</v>
      </c>
      <c r="P60">
        <v>0.99405730000000003</v>
      </c>
      <c r="Q60">
        <v>3.4930629999999997E-2</v>
      </c>
      <c r="R60">
        <v>0.1031025</v>
      </c>
      <c r="S60">
        <v>3.0351870000000001</v>
      </c>
      <c r="T60">
        <v>-0.125474</v>
      </c>
      <c r="U60">
        <v>-0.12207030000000001</v>
      </c>
      <c r="V60">
        <v>-0.110842899999999</v>
      </c>
      <c r="W60">
        <v>3.2242260000000002E-2</v>
      </c>
      <c r="X60">
        <v>0.99331480000000005</v>
      </c>
      <c r="Y60">
        <v>3.2374939999999998E-2</v>
      </c>
      <c r="Z60">
        <v>-3.4666710000000003E-4</v>
      </c>
      <c r="AA60">
        <v>0.99947569999999997</v>
      </c>
      <c r="AB60">
        <v>11</v>
      </c>
      <c r="AC60">
        <v>26.609300000000001</v>
      </c>
      <c r="AD60">
        <v>-1.1029125522609999</v>
      </c>
      <c r="AE60">
        <v>-1.0721999999999501</v>
      </c>
      <c r="AF60">
        <v>0.86326537731108799</v>
      </c>
      <c r="AG60">
        <v>-1.1029125522609999</v>
      </c>
      <c r="AH60">
        <v>26.571274807036801</v>
      </c>
      <c r="AI60">
        <v>92.375599770708703</v>
      </c>
      <c r="AJ60">
        <v>88.139190848960297</v>
      </c>
      <c r="AK60">
        <v>26.6081620575467</v>
      </c>
      <c r="AL60">
        <v>88.152334361548199</v>
      </c>
      <c r="AM60">
        <v>96.367231432466099</v>
      </c>
      <c r="AN60">
        <v>1.00000000185467</v>
      </c>
    </row>
    <row r="61" spans="1:40" x14ac:dyDescent="0.3">
      <c r="A61" t="str">
        <f>"20200111145917354"</f>
        <v>20200111145917354</v>
      </c>
      <c r="B61" t="str">
        <f>"1578725957345794"</f>
        <v>1578725957345794</v>
      </c>
      <c r="C61" t="s">
        <v>40</v>
      </c>
      <c r="D61">
        <v>4.1512900000000004</v>
      </c>
      <c r="E61">
        <v>0.55527059999999995</v>
      </c>
      <c r="F61" t="s">
        <v>42</v>
      </c>
      <c r="G61">
        <v>-448.11219999999997</v>
      </c>
      <c r="H61" s="1">
        <v>-1.5628929999999999E-6</v>
      </c>
      <c r="I61">
        <v>366.40769999999998</v>
      </c>
      <c r="J61">
        <v>-474.67250000000001</v>
      </c>
      <c r="K61">
        <v>1.103113</v>
      </c>
      <c r="L61">
        <v>367.50049999999999</v>
      </c>
      <c r="M61">
        <v>0.99996739999999995</v>
      </c>
      <c r="N61">
        <v>0</v>
      </c>
      <c r="O61">
        <v>-7.8483310000000001E-3</v>
      </c>
      <c r="P61">
        <v>0.99407299999999998</v>
      </c>
      <c r="Q61">
        <v>3.4067399999999998E-2</v>
      </c>
      <c r="R61">
        <v>0.10323980000000001</v>
      </c>
      <c r="S61">
        <v>3.0352779999999999</v>
      </c>
      <c r="T61">
        <v>-0.12574589999999999</v>
      </c>
      <c r="U61">
        <v>-0.12466430000000001</v>
      </c>
      <c r="V61">
        <v>-0.11103399999999999</v>
      </c>
      <c r="W61">
        <v>3.2173630000000002E-2</v>
      </c>
      <c r="X61">
        <v>0.9932957</v>
      </c>
      <c r="Y61">
        <v>3.3172510000000002E-2</v>
      </c>
      <c r="Z61">
        <v>-3.6170339999999998E-4</v>
      </c>
      <c r="AA61">
        <v>0.99944960000000005</v>
      </c>
      <c r="AB61">
        <v>11</v>
      </c>
      <c r="AC61">
        <v>26.560300000000002</v>
      </c>
      <c r="AD61">
        <v>-1.1031145628929999</v>
      </c>
      <c r="AE61">
        <v>-1.09280000000001</v>
      </c>
      <c r="AF61">
        <v>0.88279174790926795</v>
      </c>
      <c r="AG61">
        <v>-1.1031145628929999</v>
      </c>
      <c r="AH61">
        <v>26.522386302829499</v>
      </c>
      <c r="AI61">
        <v>92.3803468986724</v>
      </c>
      <c r="AJ61">
        <v>88.093626482660696</v>
      </c>
      <c r="AK61">
        <v>26.5599916830853</v>
      </c>
      <c r="AL61">
        <v>88.156268644805905</v>
      </c>
      <c r="AM61">
        <v>96.378240178828307</v>
      </c>
      <c r="AN61">
        <v>1.00000001963093</v>
      </c>
    </row>
    <row r="62" spans="1:40" x14ac:dyDescent="0.3">
      <c r="A62" t="str">
        <f>"20200111145917366"</f>
        <v>20200111145917366</v>
      </c>
      <c r="B62" t="str">
        <f>"1578725957355553"</f>
        <v>1578725957355553</v>
      </c>
      <c r="C62" t="s">
        <v>40</v>
      </c>
      <c r="D62">
        <v>3.8614769999999998</v>
      </c>
      <c r="E62">
        <v>0.55553030000000003</v>
      </c>
      <c r="F62" t="s">
        <v>42</v>
      </c>
      <c r="G62">
        <v>-448.29820000000001</v>
      </c>
      <c r="H62" s="1">
        <v>-1.4936350000000001E-6</v>
      </c>
      <c r="I62">
        <v>366.39960000000002</v>
      </c>
      <c r="J62">
        <v>-474.61399999999998</v>
      </c>
      <c r="K62">
        <v>1.1033029999999999</v>
      </c>
      <c r="L62">
        <v>367.49990000000003</v>
      </c>
      <c r="M62">
        <v>0.99996810000000003</v>
      </c>
      <c r="N62">
        <v>0</v>
      </c>
      <c r="O62">
        <v>-7.9156209999999994E-3</v>
      </c>
      <c r="P62">
        <v>0.99408300000000005</v>
      </c>
      <c r="Q62">
        <v>3.3204089999999999E-2</v>
      </c>
      <c r="R62">
        <v>0.1034241</v>
      </c>
      <c r="S62">
        <v>3.0354000000000001</v>
      </c>
      <c r="T62">
        <v>-0.12695680000000001</v>
      </c>
      <c r="U62">
        <v>-0.12670899999999999</v>
      </c>
      <c r="V62">
        <v>-0.1112862</v>
      </c>
      <c r="W62">
        <v>3.2112630000000003E-2</v>
      </c>
      <c r="X62">
        <v>0.99326939999999997</v>
      </c>
      <c r="Y62">
        <v>3.3774819999999997E-2</v>
      </c>
      <c r="Z62">
        <v>-3.749375E-4</v>
      </c>
      <c r="AA62">
        <v>0.99942940000000002</v>
      </c>
      <c r="AB62">
        <v>11</v>
      </c>
      <c r="AC62">
        <v>26.315799999999999</v>
      </c>
      <c r="AD62">
        <v>-1.103304493635</v>
      </c>
      <c r="AE62">
        <v>-1.1003000000000001</v>
      </c>
      <c r="AF62">
        <v>0.89039714447983298</v>
      </c>
      <c r="AG62">
        <v>-1.103304493635</v>
      </c>
      <c r="AH62">
        <v>26.277576256504499</v>
      </c>
      <c r="AI62">
        <v>92.402861982821193</v>
      </c>
      <c r="AJ62">
        <v>88.059315409639893</v>
      </c>
      <c r="AK62">
        <v>26.315795670983999</v>
      </c>
      <c r="AL62">
        <v>88.159765403098802</v>
      </c>
      <c r="AM62">
        <v>96.392775630186307</v>
      </c>
      <c r="AN62">
        <v>0.99999997014615805</v>
      </c>
    </row>
    <row r="63" spans="1:40" x14ac:dyDescent="0.3">
      <c r="A63" t="str">
        <f>"20200111145917384"</f>
        <v>20200111145917384</v>
      </c>
      <c r="B63" t="str">
        <f>"1578725957376052"</f>
        <v>1578725957376052</v>
      </c>
      <c r="C63" t="s">
        <v>40</v>
      </c>
      <c r="D63">
        <v>3.954869</v>
      </c>
      <c r="E63">
        <v>0.55595309999999998</v>
      </c>
      <c r="F63" t="s">
        <v>42</v>
      </c>
      <c r="G63">
        <v>-448.71719999999999</v>
      </c>
      <c r="H63" s="1">
        <v>-1.330491E-6</v>
      </c>
      <c r="I63">
        <v>366.40800000000002</v>
      </c>
      <c r="J63">
        <v>-474.52480000000003</v>
      </c>
      <c r="K63">
        <v>1.103577</v>
      </c>
      <c r="L63">
        <v>367.49900000000002</v>
      </c>
      <c r="M63">
        <v>0.99996759999999996</v>
      </c>
      <c r="N63">
        <v>0</v>
      </c>
      <c r="O63">
        <v>-8.0563030000000008E-3</v>
      </c>
      <c r="P63">
        <v>0.99414409999999998</v>
      </c>
      <c r="Q63">
        <v>3.1429220000000001E-2</v>
      </c>
      <c r="R63">
        <v>0.10339039999999999</v>
      </c>
      <c r="S63">
        <v>3.0354920000000001</v>
      </c>
      <c r="T63">
        <v>-0.1293241</v>
      </c>
      <c r="U63">
        <v>-0.12799070000000001</v>
      </c>
      <c r="V63">
        <v>-0.11139300000000001</v>
      </c>
      <c r="W63">
        <v>3.1628879999999998E-2</v>
      </c>
      <c r="X63">
        <v>0.99327299999999996</v>
      </c>
      <c r="Y63">
        <v>3.4053260000000002E-2</v>
      </c>
      <c r="Z63">
        <v>-3.818464E-4</v>
      </c>
      <c r="AA63">
        <v>0.99941990000000003</v>
      </c>
      <c r="AB63">
        <v>11</v>
      </c>
      <c r="AC63">
        <v>25.807600000000001</v>
      </c>
      <c r="AD63">
        <v>-1.1035783304910001</v>
      </c>
      <c r="AE63">
        <v>-1.091</v>
      </c>
      <c r="AF63">
        <v>0.88144185892388005</v>
      </c>
      <c r="AG63">
        <v>-1.1035783304910001</v>
      </c>
      <c r="AH63">
        <v>25.768516480214501</v>
      </c>
      <c r="AI63">
        <v>92.450854097086307</v>
      </c>
      <c r="AJ63">
        <v>88.040895559496093</v>
      </c>
      <c r="AK63">
        <v>25.8071940836907</v>
      </c>
      <c r="AL63">
        <v>88.187496414398296</v>
      </c>
      <c r="AM63">
        <v>96.3988368362659</v>
      </c>
      <c r="AN63">
        <v>1.00000001951402</v>
      </c>
    </row>
    <row r="64" spans="1:40" x14ac:dyDescent="0.3">
      <c r="A64" t="str">
        <f>"20200111145917396"</f>
        <v>20200111145917396</v>
      </c>
      <c r="B64" t="str">
        <f>"1578725957385809"</f>
        <v>1578725957385809</v>
      </c>
      <c r="C64" t="s">
        <v>40</v>
      </c>
      <c r="D64">
        <v>3.9780760000000002</v>
      </c>
      <c r="E64">
        <v>0.55629439999999997</v>
      </c>
      <c r="F64" t="s">
        <v>42</v>
      </c>
      <c r="G64">
        <v>-449.77019999999999</v>
      </c>
      <c r="H64" s="1">
        <v>-9.2095140000000005E-7</v>
      </c>
      <c r="I64">
        <v>366.42739999999998</v>
      </c>
      <c r="J64">
        <v>-474.46449999999999</v>
      </c>
      <c r="K64">
        <v>1.1037349999999999</v>
      </c>
      <c r="L64">
        <v>367.4984</v>
      </c>
      <c r="M64">
        <v>0.99996609999999997</v>
      </c>
      <c r="N64">
        <v>0</v>
      </c>
      <c r="O64">
        <v>-8.1797420000000003E-3</v>
      </c>
      <c r="P64">
        <v>0.99417630000000001</v>
      </c>
      <c r="Q64">
        <v>3.0318649999999999E-2</v>
      </c>
      <c r="R64">
        <v>0.1034134</v>
      </c>
      <c r="S64">
        <v>3.0355829999999999</v>
      </c>
      <c r="T64">
        <v>-0.1353287</v>
      </c>
      <c r="U64">
        <v>-0.13140869999999999</v>
      </c>
      <c r="V64">
        <v>-0.11153929999999999</v>
      </c>
      <c r="W64">
        <v>3.136866E-2</v>
      </c>
      <c r="X64">
        <v>0.99326479999999995</v>
      </c>
      <c r="Y64">
        <v>3.5048759999999998E-2</v>
      </c>
      <c r="Z64">
        <v>-4.1620889999999998E-4</v>
      </c>
      <c r="AA64">
        <v>0.99938550000000004</v>
      </c>
      <c r="AB64">
        <v>11</v>
      </c>
      <c r="AC64">
        <v>24.694299999999998</v>
      </c>
      <c r="AD64">
        <v>-1.1037359209513999</v>
      </c>
      <c r="AE64">
        <v>-1.0710000000000199</v>
      </c>
      <c r="AF64">
        <v>0.867241814453662</v>
      </c>
      <c r="AG64">
        <v>-1.1037359209513999</v>
      </c>
      <c r="AH64">
        <v>24.653076628055601</v>
      </c>
      <c r="AI64">
        <v>92.561878771757193</v>
      </c>
      <c r="AJ64">
        <v>87.985289412857597</v>
      </c>
      <c r="AK64">
        <v>24.693005661051298</v>
      </c>
      <c r="AL64">
        <v>88.202413262815298</v>
      </c>
      <c r="AM64">
        <v>96.407223476972106</v>
      </c>
      <c r="AN64">
        <v>0.99999998559686198</v>
      </c>
    </row>
    <row r="65" spans="1:40" x14ac:dyDescent="0.3">
      <c r="A65" t="str">
        <f>"20200111145917409"</f>
        <v>20200111145917409</v>
      </c>
      <c r="B65" t="str">
        <f>"1578725957406305"</f>
        <v>1578725957406305</v>
      </c>
      <c r="C65" t="s">
        <v>40</v>
      </c>
      <c r="D65">
        <v>3.8532419999999998</v>
      </c>
      <c r="E65">
        <v>0.55689659999999996</v>
      </c>
      <c r="F65" t="s">
        <v>42</v>
      </c>
      <c r="G65">
        <v>-450.53230000000002</v>
      </c>
      <c r="H65" s="1">
        <v>-4.6068249999999997E-6</v>
      </c>
      <c r="I65">
        <v>366.44279999999998</v>
      </c>
      <c r="J65">
        <v>-474.40260000000001</v>
      </c>
      <c r="K65">
        <v>1.1038589999999999</v>
      </c>
      <c r="L65">
        <v>367.49770000000001</v>
      </c>
      <c r="M65">
        <v>0.99996370000000001</v>
      </c>
      <c r="N65">
        <v>0</v>
      </c>
      <c r="O65">
        <v>-8.32163E-3</v>
      </c>
      <c r="P65">
        <v>0.99418870000000004</v>
      </c>
      <c r="Q65">
        <v>2.9876799999999998E-2</v>
      </c>
      <c r="R65">
        <v>0.10342320000000001</v>
      </c>
      <c r="S65">
        <v>3.0357669999999999</v>
      </c>
      <c r="T65">
        <v>-0.14000770000000001</v>
      </c>
      <c r="U65">
        <v>-0.13388059999999999</v>
      </c>
      <c r="V65">
        <v>-0.1116906</v>
      </c>
      <c r="W65">
        <v>3.1738500000000003E-2</v>
      </c>
      <c r="X65">
        <v>0.99323609999999896</v>
      </c>
      <c r="Y65">
        <v>3.5714129999999997E-2</v>
      </c>
      <c r="Z65">
        <v>-4.3934209999999999E-4</v>
      </c>
      <c r="AA65">
        <v>0.99936190000000003</v>
      </c>
      <c r="AB65">
        <v>11</v>
      </c>
      <c r="AC65">
        <v>23.870299999999901</v>
      </c>
      <c r="AD65">
        <v>-1.1038636068249901</v>
      </c>
      <c r="AE65">
        <v>-1.0549000000000299</v>
      </c>
      <c r="AF65">
        <v>0.85439973954155202</v>
      </c>
      <c r="AG65">
        <v>-1.1038636068249901</v>
      </c>
      <c r="AH65">
        <v>23.827395736093401</v>
      </c>
      <c r="AI65">
        <v>92.650772347008697</v>
      </c>
      <c r="AJ65">
        <v>87.946375065599696</v>
      </c>
      <c r="AK65">
        <v>23.8682488117961</v>
      </c>
      <c r="AL65">
        <v>88.181212527071807</v>
      </c>
      <c r="AM65">
        <v>96.416026120251999</v>
      </c>
      <c r="AN65">
        <v>1.0000000364268999</v>
      </c>
    </row>
    <row r="66" spans="1:40" x14ac:dyDescent="0.3">
      <c r="A66" t="str">
        <f>"20200111145917421"</f>
        <v>20200111145917421</v>
      </c>
      <c r="B66" t="str">
        <f>"1578725957416065"</f>
        <v>1578725957416065</v>
      </c>
      <c r="C66" t="s">
        <v>40</v>
      </c>
      <c r="D66">
        <v>3.9205960000000002</v>
      </c>
      <c r="E66">
        <v>0.55694339999999998</v>
      </c>
      <c r="F66" t="s">
        <v>42</v>
      </c>
      <c r="G66">
        <v>-450.77719999999999</v>
      </c>
      <c r="H66" s="1">
        <v>-4.506058E-6</v>
      </c>
      <c r="I66">
        <v>366.41890000000001</v>
      </c>
      <c r="J66">
        <v>-474.339</v>
      </c>
      <c r="K66">
        <v>1.1039669999999999</v>
      </c>
      <c r="L66">
        <v>367.49709999999999</v>
      </c>
      <c r="M66">
        <v>0.99996059999999998</v>
      </c>
      <c r="N66">
        <v>0</v>
      </c>
      <c r="O66">
        <v>-8.4738509999999993E-3</v>
      </c>
      <c r="P66">
        <v>0.99423300000000003</v>
      </c>
      <c r="Q66">
        <v>2.9305729999999999E-2</v>
      </c>
      <c r="R66">
        <v>0.10316019999999899</v>
      </c>
      <c r="S66">
        <v>3.0362239999999998</v>
      </c>
      <c r="T66">
        <v>-0.1418625</v>
      </c>
      <c r="U66">
        <v>-0.1386414</v>
      </c>
      <c r="V66">
        <v>-0.1115785</v>
      </c>
      <c r="W66">
        <v>3.1964880000000001E-2</v>
      </c>
      <c r="X66">
        <v>0.99324140000000005</v>
      </c>
      <c r="Y66">
        <v>3.7117020000000001E-2</v>
      </c>
      <c r="Z66">
        <v>-4.7070830000000001E-4</v>
      </c>
      <c r="AA66">
        <v>0.99931080000000005</v>
      </c>
      <c r="AB66">
        <v>11</v>
      </c>
      <c r="AC66">
        <v>23.561800000000002</v>
      </c>
      <c r="AD66">
        <v>-1.103971506058</v>
      </c>
      <c r="AE66">
        <v>-1.0781999999999801</v>
      </c>
      <c r="AF66">
        <v>0.876581048903326</v>
      </c>
      <c r="AG66">
        <v>-1.103971506058</v>
      </c>
      <c r="AH66">
        <v>23.518567569973101</v>
      </c>
      <c r="AI66">
        <v>92.685653317528306</v>
      </c>
      <c r="AJ66">
        <v>87.865467078170695</v>
      </c>
      <c r="AK66">
        <v>23.560776047593901</v>
      </c>
      <c r="AL66">
        <v>88.168235252052</v>
      </c>
      <c r="AM66">
        <v>96.409606277104203</v>
      </c>
      <c r="AN66">
        <v>0.99999999694481201</v>
      </c>
    </row>
    <row r="67" spans="1:40" x14ac:dyDescent="0.3">
      <c r="A67" t="str">
        <f>"20200111145917439"</f>
        <v>20200111145917439</v>
      </c>
      <c r="B67" t="str">
        <f>"1578725957435585"</f>
        <v>1578725957435585</v>
      </c>
      <c r="C67" t="s">
        <v>40</v>
      </c>
      <c r="D67">
        <v>4.0077720000000001</v>
      </c>
      <c r="E67">
        <v>0.55724700000000005</v>
      </c>
      <c r="F67" t="s">
        <v>42</v>
      </c>
      <c r="G67">
        <v>-450.82409999999999</v>
      </c>
      <c r="H67" s="1">
        <v>-4.4870980000000001E-6</v>
      </c>
      <c r="I67">
        <v>366.41210000000001</v>
      </c>
      <c r="J67">
        <v>-474.25259999999997</v>
      </c>
      <c r="K67">
        <v>1.104068</v>
      </c>
      <c r="L67">
        <v>367.49619999999999</v>
      </c>
      <c r="M67">
        <v>0.99995560000000006</v>
      </c>
      <c r="N67">
        <v>0</v>
      </c>
      <c r="O67">
        <v>-8.6805600000000004E-3</v>
      </c>
      <c r="P67">
        <v>0.99422390000000005</v>
      </c>
      <c r="Q67">
        <v>2.905986E-2</v>
      </c>
      <c r="R67">
        <v>0.1033173</v>
      </c>
      <c r="S67">
        <v>3.036133</v>
      </c>
      <c r="T67">
        <v>-0.14253940000000001</v>
      </c>
      <c r="U67">
        <v>-0.1400757</v>
      </c>
      <c r="V67">
        <v>-0.11194</v>
      </c>
      <c r="W67">
        <v>3.271027E-2</v>
      </c>
      <c r="X67">
        <v>0.99317650000000002</v>
      </c>
      <c r="Y67">
        <v>3.7382520000000002E-2</v>
      </c>
      <c r="Z67">
        <v>-4.694926E-4</v>
      </c>
      <c r="AA67">
        <v>0.99930090000000005</v>
      </c>
      <c r="AB67">
        <v>11</v>
      </c>
      <c r="AC67">
        <v>23.4284999999999</v>
      </c>
      <c r="AD67">
        <v>-1.1040724870980001</v>
      </c>
      <c r="AE67">
        <v>-1.0840999999999701</v>
      </c>
      <c r="AF67">
        <v>0.87873796963185702</v>
      </c>
      <c r="AG67">
        <v>-1.1040724870980001</v>
      </c>
      <c r="AH67">
        <v>23.385205420144</v>
      </c>
      <c r="AI67">
        <v>92.701162529384206</v>
      </c>
      <c r="AJ67">
        <v>87.848028319528694</v>
      </c>
      <c r="AK67">
        <v>23.4277397334521</v>
      </c>
      <c r="AL67">
        <v>88.125505288093095</v>
      </c>
      <c r="AM67">
        <v>96.430615591017499</v>
      </c>
      <c r="AN67">
        <v>1.0000000427578599</v>
      </c>
    </row>
    <row r="68" spans="1:40" x14ac:dyDescent="0.3">
      <c r="A68" t="str">
        <f>"20200111145917452"</f>
        <v>20200111145917452</v>
      </c>
      <c r="B68" t="str">
        <f>"1578725957445345"</f>
        <v>1578725957445345</v>
      </c>
      <c r="C68" t="s">
        <v>40</v>
      </c>
      <c r="D68">
        <v>3.9661559999999998</v>
      </c>
      <c r="E68">
        <v>0.55750549999999999</v>
      </c>
      <c r="F68" t="s">
        <v>42</v>
      </c>
      <c r="G68">
        <v>-450.6968</v>
      </c>
      <c r="H68" s="1">
        <v>-4.5449570000000004E-6</v>
      </c>
      <c r="I68">
        <v>366.3938</v>
      </c>
      <c r="J68">
        <v>-474.18990000000002</v>
      </c>
      <c r="K68">
        <v>1.1041179999999999</v>
      </c>
      <c r="L68">
        <v>367.49549999999999</v>
      </c>
      <c r="M68">
        <v>0.9999517</v>
      </c>
      <c r="N68">
        <v>0</v>
      </c>
      <c r="O68">
        <v>-8.8212559999999995E-3</v>
      </c>
      <c r="P68">
        <v>0.99423830000000002</v>
      </c>
      <c r="Q68">
        <v>2.85113E-2</v>
      </c>
      <c r="R68">
        <v>0.1033327</v>
      </c>
      <c r="S68">
        <v>3.0363769999999999</v>
      </c>
      <c r="T68">
        <v>-0.1423162</v>
      </c>
      <c r="U68">
        <v>-0.14208979999999999</v>
      </c>
      <c r="V68">
        <v>-0.112093899999999</v>
      </c>
      <c r="W68">
        <v>3.2836079999999997E-2</v>
      </c>
      <c r="X68">
        <v>0.99315489999999995</v>
      </c>
      <c r="Y68">
        <v>3.7899339999999997E-2</v>
      </c>
      <c r="Z68">
        <v>-4.7422449999999999E-4</v>
      </c>
      <c r="AA68">
        <v>0.99928150000000004</v>
      </c>
      <c r="AB68">
        <v>11</v>
      </c>
      <c r="AC68">
        <v>23.493099999999998</v>
      </c>
      <c r="AD68">
        <v>-1.104122544957</v>
      </c>
      <c r="AE68">
        <v>-1.1016999999999899</v>
      </c>
      <c r="AF68">
        <v>0.89244963255705401</v>
      </c>
      <c r="AG68">
        <v>-1.104122544957</v>
      </c>
      <c r="AH68">
        <v>23.4502214856733</v>
      </c>
      <c r="AI68">
        <v>92.693757704031697</v>
      </c>
      <c r="AJ68">
        <v>87.820535196809303</v>
      </c>
      <c r="AK68">
        <v>23.493157315866799</v>
      </c>
      <c r="AL68">
        <v>88.118292863066699</v>
      </c>
      <c r="AM68">
        <v>96.439521344390698</v>
      </c>
      <c r="AN68">
        <v>0.99999995298049205</v>
      </c>
    </row>
    <row r="69" spans="1:40" x14ac:dyDescent="0.3">
      <c r="A69" t="str">
        <f>"20200111145917464"</f>
        <v>20200111145917464</v>
      </c>
      <c r="B69" t="str">
        <f>"1578725957456081"</f>
        <v>1578725957456081</v>
      </c>
      <c r="C69" t="s">
        <v>40</v>
      </c>
      <c r="D69">
        <v>3.8788490000000002</v>
      </c>
      <c r="E69">
        <v>0.55750940000000004</v>
      </c>
      <c r="F69" t="s">
        <v>42</v>
      </c>
      <c r="G69">
        <v>-451.05270000000002</v>
      </c>
      <c r="H69" s="1">
        <v>-4.391492E-6</v>
      </c>
      <c r="I69">
        <v>366.39830000000001</v>
      </c>
      <c r="J69">
        <v>-474.13080000000002</v>
      </c>
      <c r="K69">
        <v>1.1041609999999999</v>
      </c>
      <c r="L69">
        <v>367.4948</v>
      </c>
      <c r="M69">
        <v>0.99994769999999999</v>
      </c>
      <c r="N69">
        <v>0</v>
      </c>
      <c r="O69">
        <v>-8.9516769999999999E-3</v>
      </c>
      <c r="P69">
        <v>0.99424199999999996</v>
      </c>
      <c r="Q69">
        <v>2.7817649999999999E-2</v>
      </c>
      <c r="R69">
        <v>0.10348640000000001</v>
      </c>
      <c r="S69">
        <v>3.0364990000000001</v>
      </c>
      <c r="T69">
        <v>-0.14490329999999901</v>
      </c>
      <c r="U69">
        <v>-0.1439819</v>
      </c>
      <c r="V69">
        <v>-0.1123764</v>
      </c>
      <c r="W69">
        <v>3.276126E-2</v>
      </c>
      <c r="X69">
        <v>0.99312549999999999</v>
      </c>
      <c r="Y69">
        <v>3.838681E-2</v>
      </c>
      <c r="Z69">
        <v>-4.8821070000000001E-4</v>
      </c>
      <c r="AA69">
        <v>0.99926280000000001</v>
      </c>
      <c r="AB69">
        <v>11</v>
      </c>
      <c r="AC69">
        <v>23.078099999999999</v>
      </c>
      <c r="AD69">
        <v>-1.104165391492</v>
      </c>
      <c r="AE69">
        <v>-1.09649999999999</v>
      </c>
      <c r="AF69">
        <v>0.88783805296232099</v>
      </c>
      <c r="AG69">
        <v>-1.104165391492</v>
      </c>
      <c r="AH69">
        <v>23.034381288670001</v>
      </c>
      <c r="AI69">
        <v>92.742369866284093</v>
      </c>
      <c r="AJ69">
        <v>87.792681996520898</v>
      </c>
      <c r="AK69">
        <v>23.077914961535999</v>
      </c>
      <c r="AL69">
        <v>88.122582142787294</v>
      </c>
      <c r="AM69">
        <v>96.455802944504399</v>
      </c>
      <c r="AN69">
        <v>1.0000000070919901</v>
      </c>
    </row>
    <row r="70" spans="1:40" x14ac:dyDescent="0.3">
      <c r="A70" t="str">
        <f>"20200111145917476"</f>
        <v>20200111145917476</v>
      </c>
      <c r="B70" t="str">
        <f>"1578725957465842"</f>
        <v>1578725957465842</v>
      </c>
      <c r="C70" t="s">
        <v>40</v>
      </c>
      <c r="D70">
        <v>4.0634459999999999</v>
      </c>
      <c r="E70">
        <v>0.55754380000000003</v>
      </c>
      <c r="F70" t="s">
        <v>42</v>
      </c>
      <c r="G70">
        <v>-451.28219999999999</v>
      </c>
      <c r="H70" s="1">
        <v>-4.2901870000000003E-6</v>
      </c>
      <c r="I70">
        <v>366.41430000000003</v>
      </c>
      <c r="J70">
        <v>-474.07139999999998</v>
      </c>
      <c r="K70">
        <v>1.1041939999999999</v>
      </c>
      <c r="L70">
        <v>367.49419999999998</v>
      </c>
      <c r="M70">
        <v>0.99994340000000004</v>
      </c>
      <c r="N70">
        <v>0</v>
      </c>
      <c r="O70">
        <v>-9.0794859999999995E-3</v>
      </c>
      <c r="P70">
        <v>0.99423859999999997</v>
      </c>
      <c r="Q70">
        <v>2.7149929999999999E-2</v>
      </c>
      <c r="R70">
        <v>0.10369399999999999</v>
      </c>
      <c r="S70">
        <v>3.036438</v>
      </c>
      <c r="T70">
        <v>-0.14673639999999999</v>
      </c>
      <c r="U70">
        <v>-0.1435852</v>
      </c>
      <c r="V70">
        <v>-0.11270959999999999</v>
      </c>
      <c r="W70">
        <v>3.2687389999999997E-2</v>
      </c>
      <c r="X70">
        <v>0.99309020000000003</v>
      </c>
      <c r="Y70">
        <v>3.8129339999999998E-2</v>
      </c>
      <c r="Z70">
        <v>-4.8200679999999999E-4</v>
      </c>
      <c r="AA70">
        <v>0.99927270000000001</v>
      </c>
      <c r="AB70">
        <v>11</v>
      </c>
      <c r="AC70">
        <v>22.789199999999902</v>
      </c>
      <c r="AD70">
        <v>-1.104198290187</v>
      </c>
      <c r="AE70">
        <v>-1.0798999999999499</v>
      </c>
      <c r="AF70">
        <v>0.87089808557391502</v>
      </c>
      <c r="AG70">
        <v>-1.104198290187</v>
      </c>
      <c r="AH70">
        <v>22.744788210091698</v>
      </c>
      <c r="AI70">
        <v>92.777341812486895</v>
      </c>
      <c r="AJ70">
        <v>87.807215450285497</v>
      </c>
      <c r="AK70">
        <v>22.788223012368402</v>
      </c>
      <c r="AL70">
        <v>88.126816897393695</v>
      </c>
      <c r="AM70">
        <v>96.4750105120104</v>
      </c>
      <c r="AN70">
        <v>1.0000000323666001</v>
      </c>
    </row>
    <row r="71" spans="1:40" x14ac:dyDescent="0.3">
      <c r="A71" t="str">
        <f>"20200111145917489"</f>
        <v>20200111145917489</v>
      </c>
      <c r="B71" t="str">
        <f>"1578725957486337"</f>
        <v>1578725957486337</v>
      </c>
      <c r="C71" t="s">
        <v>40</v>
      </c>
      <c r="D71">
        <v>4.0665469999999999</v>
      </c>
      <c r="E71">
        <v>0.55747809999999998</v>
      </c>
      <c r="F71" t="s">
        <v>42</v>
      </c>
      <c r="G71">
        <v>-451.36770000000001</v>
      </c>
      <c r="H71" s="1">
        <v>-4.2519580000000002E-6</v>
      </c>
      <c r="I71">
        <v>366.42320000000001</v>
      </c>
      <c r="J71">
        <v>-474.01060000000001</v>
      </c>
      <c r="K71">
        <v>1.104225</v>
      </c>
      <c r="L71">
        <v>367.49349999999998</v>
      </c>
      <c r="M71">
        <v>0.99993889999999996</v>
      </c>
      <c r="N71">
        <v>0</v>
      </c>
      <c r="O71">
        <v>-9.2112040000000006E-3</v>
      </c>
      <c r="P71">
        <v>0.99426000000000003</v>
      </c>
      <c r="Q71">
        <v>2.605623E-2</v>
      </c>
      <c r="R71">
        <v>0.1037705</v>
      </c>
      <c r="S71">
        <v>3.0363159999999998</v>
      </c>
      <c r="T71">
        <v>-0.14767069999999999</v>
      </c>
      <c r="U71">
        <v>-0.14321900000000001</v>
      </c>
      <c r="V71">
        <v>-0.1129165</v>
      </c>
      <c r="W71">
        <v>3.2164099999999897E-2</v>
      </c>
      <c r="X71">
        <v>0.99308379999999996</v>
      </c>
      <c r="Y71">
        <v>3.7879339999999997E-2</v>
      </c>
      <c r="Z71">
        <v>-4.7262129999999999E-4</v>
      </c>
      <c r="AA71">
        <v>0.99928220000000001</v>
      </c>
      <c r="AB71">
        <v>11</v>
      </c>
      <c r="AC71">
        <v>22.642900000000001</v>
      </c>
      <c r="AD71">
        <v>-1.1042292519579999</v>
      </c>
      <c r="AE71">
        <v>-1.0702999999999701</v>
      </c>
      <c r="AF71">
        <v>0.859642453385984</v>
      </c>
      <c r="AG71">
        <v>-1.1042292519579999</v>
      </c>
      <c r="AH71">
        <v>22.5981743862569</v>
      </c>
      <c r="AI71">
        <v>92.795437145021793</v>
      </c>
      <c r="AJ71">
        <v>87.821498926231399</v>
      </c>
      <c r="AK71">
        <v>22.641461811911</v>
      </c>
      <c r="AL71">
        <v>88.1568150115055</v>
      </c>
      <c r="AM71">
        <v>96.486836860901704</v>
      </c>
      <c r="AN71">
        <v>1.00000004956174</v>
      </c>
    </row>
    <row r="72" spans="1:40" x14ac:dyDescent="0.3">
      <c r="A72" t="str">
        <f>"20200111145917506"</f>
        <v>20200111145917506</v>
      </c>
      <c r="B72" t="str">
        <f>"1578725957496097"</f>
        <v>1578725957496097</v>
      </c>
      <c r="C72" t="s">
        <v>40</v>
      </c>
      <c r="D72">
        <v>3.9099599999999999</v>
      </c>
      <c r="E72">
        <v>0.55747429999999998</v>
      </c>
      <c r="F72" t="s">
        <v>42</v>
      </c>
      <c r="G72">
        <v>-451.5643</v>
      </c>
      <c r="H72" s="1">
        <v>-4.1643710000000001E-6</v>
      </c>
      <c r="I72">
        <v>366.44139999999999</v>
      </c>
      <c r="J72">
        <v>-473.92570000000001</v>
      </c>
      <c r="K72">
        <v>1.10426</v>
      </c>
      <c r="L72">
        <v>367.49239999999998</v>
      </c>
      <c r="M72">
        <v>0.99993220000000005</v>
      </c>
      <c r="N72">
        <v>0</v>
      </c>
      <c r="O72">
        <v>-9.3969710000000005E-3</v>
      </c>
      <c r="P72">
        <v>0.99430909999999995</v>
      </c>
      <c r="Q72">
        <v>2.474165E-2</v>
      </c>
      <c r="R72">
        <v>0.1036209</v>
      </c>
      <c r="S72">
        <v>3.036133</v>
      </c>
      <c r="T72">
        <v>-0.14935970000000001</v>
      </c>
      <c r="U72">
        <v>-0.1423035</v>
      </c>
      <c r="V72">
        <v>-0.1129522</v>
      </c>
      <c r="W72">
        <v>3.1591229999999998E-2</v>
      </c>
      <c r="X72">
        <v>0.99309809999999998</v>
      </c>
      <c r="Y72">
        <v>3.739584E-2</v>
      </c>
      <c r="Z72">
        <v>-4.5704410000000002E-4</v>
      </c>
      <c r="AA72">
        <v>0.99930039999999998</v>
      </c>
      <c r="AB72">
        <v>11</v>
      </c>
      <c r="AC72">
        <v>22.3614</v>
      </c>
      <c r="AD72">
        <v>-1.1042641643709901</v>
      </c>
      <c r="AE72">
        <v>-1.05099999999998</v>
      </c>
      <c r="AF72">
        <v>0.83877822642571598</v>
      </c>
      <c r="AG72">
        <v>-1.1042641643709901</v>
      </c>
      <c r="AH72">
        <v>22.315988347730499</v>
      </c>
      <c r="AI72">
        <v>92.830866153334696</v>
      </c>
      <c r="AJ72">
        <v>87.847469743152004</v>
      </c>
      <c r="AK72">
        <v>22.359031378704199</v>
      </c>
      <c r="AL72">
        <v>88.189654681246296</v>
      </c>
      <c r="AM72">
        <v>96.488777629793105</v>
      </c>
      <c r="AN72">
        <v>1.0000000207606801</v>
      </c>
    </row>
    <row r="73" spans="1:40" x14ac:dyDescent="0.3">
      <c r="A73" t="str">
        <f>"20200111145917518"</f>
        <v>20200111145917518</v>
      </c>
      <c r="B73" t="str">
        <f>"1578725957515617"</f>
        <v>1578725957515617</v>
      </c>
      <c r="C73" t="s">
        <v>40</v>
      </c>
      <c r="D73">
        <v>3.9176530000000001</v>
      </c>
      <c r="E73">
        <v>0.55755549999999998</v>
      </c>
      <c r="F73" t="s">
        <v>42</v>
      </c>
      <c r="G73">
        <v>-452.06439999999998</v>
      </c>
      <c r="H73" s="1">
        <v>-3.9458240000000002E-6</v>
      </c>
      <c r="I73">
        <v>366.46409999999997</v>
      </c>
      <c r="J73">
        <v>-473.86540000000002</v>
      </c>
      <c r="K73">
        <v>1.104287</v>
      </c>
      <c r="L73">
        <v>367.49169999999998</v>
      </c>
      <c r="M73">
        <v>0.99992749999999997</v>
      </c>
      <c r="N73">
        <v>0</v>
      </c>
      <c r="O73">
        <v>-9.5313289999999998E-3</v>
      </c>
      <c r="P73">
        <v>0.99438820000000006</v>
      </c>
      <c r="Q73">
        <v>2.4148200000000002E-2</v>
      </c>
      <c r="R73">
        <v>0.1030007</v>
      </c>
      <c r="S73">
        <v>3.0358580000000002</v>
      </c>
      <c r="T73">
        <v>-0.15334700000000001</v>
      </c>
      <c r="U73">
        <v>-0.14279169999999999</v>
      </c>
      <c r="V73">
        <v>-0.1124658</v>
      </c>
      <c r="W73">
        <v>3.1483999999999998E-2</v>
      </c>
      <c r="X73">
        <v>0.9931567</v>
      </c>
      <c r="Y73">
        <v>3.7424440000000003E-2</v>
      </c>
      <c r="Z73">
        <v>-4.6321269999999998E-4</v>
      </c>
      <c r="AA73">
        <v>0.9992993</v>
      </c>
      <c r="AB73">
        <v>11</v>
      </c>
      <c r="AC73">
        <v>21.800999999999998</v>
      </c>
      <c r="AD73">
        <v>-1.104290945824</v>
      </c>
      <c r="AE73">
        <v>-1.0276000000000001</v>
      </c>
      <c r="AF73">
        <v>0.81766192535954396</v>
      </c>
      <c r="AG73">
        <v>-1.104290945824</v>
      </c>
      <c r="AH73">
        <v>21.754112451406201</v>
      </c>
      <c r="AI73">
        <v>92.903929874423</v>
      </c>
      <c r="AJ73">
        <v>87.847462891087403</v>
      </c>
      <c r="AK73">
        <v>21.7974640283139</v>
      </c>
      <c r="AL73">
        <v>88.195801554093293</v>
      </c>
      <c r="AM73">
        <v>96.460694136040502</v>
      </c>
      <c r="AN73">
        <v>1.0000000145902599</v>
      </c>
    </row>
    <row r="74" spans="1:40" x14ac:dyDescent="0.3">
      <c r="A74" t="str">
        <f>"20200111145917531"</f>
        <v>20200111145917531</v>
      </c>
      <c r="B74" t="str">
        <f>"1578725957526353"</f>
        <v>1578725957526353</v>
      </c>
      <c r="C74" t="s">
        <v>40</v>
      </c>
      <c r="D74">
        <v>3.7788889999999999</v>
      </c>
      <c r="E74">
        <v>0.55765019999999998</v>
      </c>
      <c r="F74" t="s">
        <v>42</v>
      </c>
      <c r="G74">
        <v>-452.30290000000002</v>
      </c>
      <c r="H74" s="1">
        <v>-3.8441409999999998E-6</v>
      </c>
      <c r="I74">
        <v>366.46030000000002</v>
      </c>
      <c r="J74">
        <v>-473.80849999999998</v>
      </c>
      <c r="K74">
        <v>1.1043050000000001</v>
      </c>
      <c r="L74">
        <v>367.49099999999999</v>
      </c>
      <c r="M74">
        <v>0.99992329999999996</v>
      </c>
      <c r="N74">
        <v>0</v>
      </c>
      <c r="O74">
        <v>-9.6611739999999998E-3</v>
      </c>
      <c r="P74">
        <v>0.99447050000000004</v>
      </c>
      <c r="Q74">
        <v>2.4105040000000001E-2</v>
      </c>
      <c r="R74">
        <v>0.10221479999999999</v>
      </c>
      <c r="S74">
        <v>3.035736</v>
      </c>
      <c r="T74">
        <v>-0.15547030000000001</v>
      </c>
      <c r="U74">
        <v>-0.14520259999999999</v>
      </c>
      <c r="V74">
        <v>-0.11181000000000001</v>
      </c>
      <c r="W74">
        <v>3.1851919999999999E-2</v>
      </c>
      <c r="X74">
        <v>0.99321899999999996</v>
      </c>
      <c r="Y74">
        <v>3.8086679999999998E-2</v>
      </c>
      <c r="Z74">
        <v>-4.7992299999999999E-4</v>
      </c>
      <c r="AA74">
        <v>0.99927429999999995</v>
      </c>
      <c r="AB74">
        <v>11</v>
      </c>
      <c r="AC74">
        <v>21.505599999999902</v>
      </c>
      <c r="AD74">
        <v>-1.1043088441409901</v>
      </c>
      <c r="AE74">
        <v>-1.03069999999996</v>
      </c>
      <c r="AF74">
        <v>0.82071719983725799</v>
      </c>
      <c r="AG74">
        <v>-1.1043088441409901</v>
      </c>
      <c r="AH74">
        <v>21.4581031794214</v>
      </c>
      <c r="AI74">
        <v>92.943892981863698</v>
      </c>
      <c r="AJ74">
        <v>87.809651594732998</v>
      </c>
      <c r="AK74">
        <v>21.502168886046199</v>
      </c>
      <c r="AL74">
        <v>88.174710688831894</v>
      </c>
      <c r="AM74">
        <v>96.422937380055103</v>
      </c>
      <c r="AN74">
        <v>1.00000000143434</v>
      </c>
    </row>
    <row r="75" spans="1:40" x14ac:dyDescent="0.3">
      <c r="A75" t="str">
        <f>"20200111145917542"</f>
        <v>20200111145917542</v>
      </c>
      <c r="B75" t="str">
        <f>"1578725957536113"</f>
        <v>1578725957536113</v>
      </c>
      <c r="C75" t="s">
        <v>40</v>
      </c>
      <c r="D75">
        <v>3.9711479999999999</v>
      </c>
      <c r="E75">
        <v>0.55777790000000005</v>
      </c>
      <c r="F75" t="s">
        <v>42</v>
      </c>
      <c r="G75">
        <v>-452.32330000000002</v>
      </c>
      <c r="H75" s="1">
        <v>-3.8385450000000004E-6</v>
      </c>
      <c r="I75">
        <v>366.44260000000003</v>
      </c>
      <c r="J75">
        <v>-473.74790000000002</v>
      </c>
      <c r="K75">
        <v>1.1043289999999999</v>
      </c>
      <c r="L75">
        <v>367.49029999999999</v>
      </c>
      <c r="M75">
        <v>0.99991850000000004</v>
      </c>
      <c r="N75">
        <v>0</v>
      </c>
      <c r="O75">
        <v>-9.7992300000000008E-3</v>
      </c>
      <c r="P75">
        <v>0.99455660000000001</v>
      </c>
      <c r="Q75">
        <v>2.4209749999999999E-2</v>
      </c>
      <c r="R75">
        <v>0.1013467</v>
      </c>
      <c r="S75">
        <v>3.035736</v>
      </c>
      <c r="T75">
        <v>-0.15603239999999999</v>
      </c>
      <c r="U75">
        <v>-0.14813229999999999</v>
      </c>
      <c r="V75">
        <v>-0.1110802</v>
      </c>
      <c r="W75">
        <v>3.2375229999999998E-2</v>
      </c>
      <c r="X75">
        <v>0.99328399999999994</v>
      </c>
      <c r="Y75">
        <v>3.8909609999999997E-2</v>
      </c>
      <c r="Z75">
        <v>-4.956801E-4</v>
      </c>
      <c r="AA75">
        <v>0.99924259999999998</v>
      </c>
      <c r="AB75">
        <v>11</v>
      </c>
      <c r="AC75">
        <v>21.424600000000002</v>
      </c>
      <c r="AD75">
        <v>-1.104332838545</v>
      </c>
      <c r="AE75">
        <v>-1.0476999999999601</v>
      </c>
      <c r="AF75">
        <v>0.83548358238187004</v>
      </c>
      <c r="AG75">
        <v>-1.104332838545</v>
      </c>
      <c r="AH75">
        <v>21.377176822684699</v>
      </c>
      <c r="AI75">
        <v>92.954986731620195</v>
      </c>
      <c r="AJ75">
        <v>87.761849821078599</v>
      </c>
      <c r="AK75">
        <v>21.421981064855899</v>
      </c>
      <c r="AL75">
        <v>88.144711824720702</v>
      </c>
      <c r="AM75">
        <v>96.380946749092999</v>
      </c>
      <c r="AN75">
        <v>1.00000003550279</v>
      </c>
    </row>
    <row r="76" spans="1:40" x14ac:dyDescent="0.3">
      <c r="A76" t="str">
        <f>"20200111145917554"</f>
        <v>20200111145917554</v>
      </c>
      <c r="B76" t="str">
        <f>"1578725957545873"</f>
        <v>1578725957545873</v>
      </c>
      <c r="C76" t="s">
        <v>40</v>
      </c>
      <c r="D76">
        <v>3.8189129999999998</v>
      </c>
      <c r="E76">
        <v>0.55781769999999997</v>
      </c>
      <c r="F76" t="s">
        <v>42</v>
      </c>
      <c r="G76">
        <v>-452.1388</v>
      </c>
      <c r="H76" s="1">
        <v>-3.923239E-6</v>
      </c>
      <c r="I76">
        <v>366.41140000000001</v>
      </c>
      <c r="J76">
        <v>-473.6884</v>
      </c>
      <c r="K76">
        <v>1.104347</v>
      </c>
      <c r="L76">
        <v>367.48950000000002</v>
      </c>
      <c r="M76">
        <v>0.99991410000000003</v>
      </c>
      <c r="N76">
        <v>0</v>
      </c>
      <c r="O76">
        <v>-9.934422E-3</v>
      </c>
      <c r="P76">
        <v>0.99461759999999999</v>
      </c>
      <c r="Q76">
        <v>2.4690859999999999E-2</v>
      </c>
      <c r="R76">
        <v>0.10063</v>
      </c>
      <c r="S76">
        <v>3.0356749999999999</v>
      </c>
      <c r="T76">
        <v>-0.15513740000000001</v>
      </c>
      <c r="U76">
        <v>-0.1515503</v>
      </c>
      <c r="V76">
        <v>-0.11049870000000001</v>
      </c>
      <c r="W76">
        <v>3.3231169999999997E-2</v>
      </c>
      <c r="X76">
        <v>0.99332050000000005</v>
      </c>
      <c r="Y76">
        <v>3.989711E-2</v>
      </c>
      <c r="Z76">
        <v>-5.1113760000000004E-4</v>
      </c>
      <c r="AA76">
        <v>0.99920370000000003</v>
      </c>
      <c r="AB76">
        <v>11</v>
      </c>
      <c r="AC76">
        <v>21.549600000000002</v>
      </c>
      <c r="AD76">
        <v>-1.1043509232390001</v>
      </c>
      <c r="AE76">
        <v>-1.0781000000000001</v>
      </c>
      <c r="AF76">
        <v>0.86169876411723301</v>
      </c>
      <c r="AG76">
        <v>-1.1043509232390001</v>
      </c>
      <c r="AH76">
        <v>21.502916187642398</v>
      </c>
      <c r="AI76">
        <v>92.937670886078394</v>
      </c>
      <c r="AJ76">
        <v>87.705181061620294</v>
      </c>
      <c r="AK76">
        <v>21.5484922974791</v>
      </c>
      <c r="AL76">
        <v>88.095643495157006</v>
      </c>
      <c r="AM76">
        <v>96.347584804243994</v>
      </c>
      <c r="AN76">
        <v>0.99999994454075303</v>
      </c>
    </row>
    <row r="77" spans="1:40" x14ac:dyDescent="0.3">
      <c r="A77" t="str">
        <f>"20200111145917575"</f>
        <v>20200111145917575</v>
      </c>
      <c r="B77" t="str">
        <f>"1578725957565396"</f>
        <v>1578725957565396</v>
      </c>
      <c r="C77" t="s">
        <v>40</v>
      </c>
      <c r="D77">
        <v>3.7816920000000001</v>
      </c>
      <c r="E77">
        <v>0.55775869999999905</v>
      </c>
      <c r="F77" t="s">
        <v>42</v>
      </c>
      <c r="G77">
        <v>-451.59530000000001</v>
      </c>
      <c r="H77" s="1">
        <v>-4.1646440000000003E-6</v>
      </c>
      <c r="I77">
        <v>366.36489999999998</v>
      </c>
      <c r="J77">
        <v>-473.59649999999999</v>
      </c>
      <c r="K77">
        <v>1.104379</v>
      </c>
      <c r="L77">
        <v>367.48840000000001</v>
      </c>
      <c r="M77">
        <v>0.99990710000000005</v>
      </c>
      <c r="N77">
        <v>0</v>
      </c>
      <c r="O77">
        <v>-1.01374E-2</v>
      </c>
      <c r="P77">
        <v>0.99469160000000001</v>
      </c>
      <c r="Q77">
        <v>2.461182E-2</v>
      </c>
      <c r="R77">
        <v>9.9914939999999994E-2</v>
      </c>
      <c r="S77">
        <v>3.0356749999999999</v>
      </c>
      <c r="T77">
        <v>-0.151741299999999</v>
      </c>
      <c r="U77">
        <v>-0.1545105</v>
      </c>
      <c r="V77">
        <v>-0.109986899999999</v>
      </c>
      <c r="W77">
        <v>3.3689150000000001E-2</v>
      </c>
      <c r="X77">
        <v>0.99336190000000002</v>
      </c>
      <c r="Y77">
        <v>4.0667099999999998E-2</v>
      </c>
      <c r="Z77">
        <v>-5.0903639999999996E-4</v>
      </c>
      <c r="AA77">
        <v>0.99917259999999997</v>
      </c>
      <c r="AB77">
        <v>11</v>
      </c>
      <c r="AC77">
        <v>22.001199999999901</v>
      </c>
      <c r="AD77">
        <v>-1.1043831646439899</v>
      </c>
      <c r="AE77">
        <v>-1.1235000000000299</v>
      </c>
      <c r="AF77">
        <v>0.89814089111719597</v>
      </c>
      <c r="AG77">
        <v>-1.1043831646439899</v>
      </c>
      <c r="AH77">
        <v>21.956280128729802</v>
      </c>
      <c r="AI77">
        <v>92.877102637947004</v>
      </c>
      <c r="AJ77">
        <v>87.657571837646103</v>
      </c>
      <c r="AK77">
        <v>22.002376151813699</v>
      </c>
      <c r="AL77">
        <v>88.0693885214164</v>
      </c>
      <c r="AM77">
        <v>96.318161638906702</v>
      </c>
      <c r="AN77">
        <v>0.99999997068546997</v>
      </c>
    </row>
    <row r="78" spans="1:40" x14ac:dyDescent="0.3">
      <c r="A78" t="str">
        <f>"20200111145917586"</f>
        <v>20200111145917586</v>
      </c>
      <c r="B78" t="str">
        <f>"1578725957576129"</f>
        <v>1578725957576129</v>
      </c>
      <c r="C78" t="s">
        <v>40</v>
      </c>
      <c r="D78">
        <v>3.8692519999999999</v>
      </c>
      <c r="E78">
        <v>0.55777880000000002</v>
      </c>
      <c r="F78" t="s">
        <v>42</v>
      </c>
      <c r="G78">
        <v>-451.15370000000001</v>
      </c>
      <c r="H78" s="1">
        <v>-4.3602199999999999E-6</v>
      </c>
      <c r="I78">
        <v>366.3304</v>
      </c>
      <c r="J78">
        <v>-473.53809999999999</v>
      </c>
      <c r="K78">
        <v>1.1043909999999999</v>
      </c>
      <c r="L78">
        <v>367.48759999999999</v>
      </c>
      <c r="M78">
        <v>0.99990279999999998</v>
      </c>
      <c r="N78">
        <v>0</v>
      </c>
      <c r="O78">
        <v>-1.02621E-2</v>
      </c>
      <c r="P78">
        <v>0.99474499999999999</v>
      </c>
      <c r="Q78">
        <v>2.4293909999999998E-2</v>
      </c>
      <c r="R78">
        <v>9.9459179999999994E-2</v>
      </c>
      <c r="S78">
        <v>3.035431</v>
      </c>
      <c r="T78">
        <v>-0.14936940000000001</v>
      </c>
      <c r="U78">
        <v>-0.15661620000000001</v>
      </c>
      <c r="V78">
        <v>-0.1096553</v>
      </c>
      <c r="W78">
        <v>3.3685329999999999E-2</v>
      </c>
      <c r="X78">
        <v>0.99339869999999997</v>
      </c>
      <c r="Y78">
        <v>4.1238490000000003E-2</v>
      </c>
      <c r="Z78">
        <v>-5.0903220000000004E-4</v>
      </c>
      <c r="AA78">
        <v>0.99914919999999996</v>
      </c>
      <c r="AB78">
        <v>11</v>
      </c>
      <c r="AC78">
        <v>22.3843999999999</v>
      </c>
      <c r="AD78">
        <v>-1.1043953602199901</v>
      </c>
      <c r="AE78">
        <v>-1.15719999999998</v>
      </c>
      <c r="AF78">
        <v>0.92517181621024702</v>
      </c>
      <c r="AG78">
        <v>-1.1043953602199901</v>
      </c>
      <c r="AH78">
        <v>22.340859621350901</v>
      </c>
      <c r="AI78">
        <v>92.827629274854303</v>
      </c>
      <c r="AJ78">
        <v>87.628642290126393</v>
      </c>
      <c r="AK78">
        <v>22.387265143873499</v>
      </c>
      <c r="AL78">
        <v>88.069607536902595</v>
      </c>
      <c r="AM78">
        <v>96.2990348649449</v>
      </c>
      <c r="AN78">
        <v>0.99999998171849402</v>
      </c>
    </row>
    <row r="79" spans="1:40" x14ac:dyDescent="0.3">
      <c r="A79" t="str">
        <f>"20200111145917599"</f>
        <v>20200111145917599</v>
      </c>
      <c r="B79" t="str">
        <f>"1578725957595649"</f>
        <v>1578725957595649</v>
      </c>
      <c r="C79" t="s">
        <v>40</v>
      </c>
      <c r="D79">
        <v>3.8243230000000001</v>
      </c>
      <c r="E79">
        <v>0.55776740000000002</v>
      </c>
      <c r="F79" t="s">
        <v>42</v>
      </c>
      <c r="G79">
        <v>-451.2217</v>
      </c>
      <c r="H79" s="1">
        <v>-4.3316519999999999E-6</v>
      </c>
      <c r="I79">
        <v>366.32690000000002</v>
      </c>
      <c r="J79">
        <v>-473.47649999999999</v>
      </c>
      <c r="K79">
        <v>1.1044</v>
      </c>
      <c r="L79">
        <v>367.48680000000002</v>
      </c>
      <c r="M79">
        <v>0.99989870000000003</v>
      </c>
      <c r="N79">
        <v>0</v>
      </c>
      <c r="O79">
        <v>-1.039092E-2</v>
      </c>
      <c r="P79">
        <v>0.99478290000000003</v>
      </c>
      <c r="Q79">
        <v>2.3812690000000001E-2</v>
      </c>
      <c r="R79">
        <v>9.9198919999999996E-2</v>
      </c>
      <c r="S79">
        <v>3.0353089999999998</v>
      </c>
      <c r="T79">
        <v>-0.15021080000000001</v>
      </c>
      <c r="U79">
        <v>-0.15786739999999999</v>
      </c>
      <c r="V79">
        <v>-0.1095243</v>
      </c>
      <c r="W79">
        <v>3.3518539999999999E-2</v>
      </c>
      <c r="X79">
        <v>0.99341880000000005</v>
      </c>
      <c r="Y79">
        <v>4.1521959999999997E-2</v>
      </c>
      <c r="Z79">
        <v>-5.1254920000000002E-4</v>
      </c>
      <c r="AA79">
        <v>0.99913750000000001</v>
      </c>
      <c r="AB79">
        <v>11</v>
      </c>
      <c r="AC79">
        <v>22.2547999999999</v>
      </c>
      <c r="AD79">
        <v>-1.104404331652</v>
      </c>
      <c r="AE79">
        <v>-1.1598999999999899</v>
      </c>
      <c r="AF79">
        <v>0.92630357333363</v>
      </c>
      <c r="AG79">
        <v>-1.104404331652</v>
      </c>
      <c r="AH79">
        <v>22.211100657307199</v>
      </c>
      <c r="AI79">
        <v>92.8441100234419</v>
      </c>
      <c r="AJ79">
        <v>87.611890170057606</v>
      </c>
      <c r="AK79">
        <v>22.257824234340099</v>
      </c>
      <c r="AL79">
        <v>88.079169312762104</v>
      </c>
      <c r="AM79">
        <v>96.291443810235293</v>
      </c>
      <c r="AN79">
        <v>0.99999998850382998</v>
      </c>
    </row>
    <row r="80" spans="1:40" x14ac:dyDescent="0.3">
      <c r="A80" t="str">
        <f>"20200111145917613"</f>
        <v>20200111145917613</v>
      </c>
      <c r="B80" t="str">
        <f>"1578725957605409"</f>
        <v>1578725957605409</v>
      </c>
      <c r="C80" t="s">
        <v>40</v>
      </c>
      <c r="D80">
        <v>3.7636790000000002</v>
      </c>
      <c r="E80">
        <v>0.55777929999999998</v>
      </c>
      <c r="F80" t="s">
        <v>42</v>
      </c>
      <c r="G80">
        <v>-451.32929999999999</v>
      </c>
      <c r="H80" s="1">
        <v>-4.2848180000000001E-6</v>
      </c>
      <c r="I80">
        <v>366.3306</v>
      </c>
      <c r="J80">
        <v>-473.4153</v>
      </c>
      <c r="K80">
        <v>1.1044080000000001</v>
      </c>
      <c r="L80">
        <v>367.48610000000002</v>
      </c>
      <c r="M80">
        <v>0.99989459999999997</v>
      </c>
      <c r="N80">
        <v>0</v>
      </c>
      <c r="O80">
        <v>-1.0516040000000001E-2</v>
      </c>
      <c r="P80">
        <v>0.99478719999999998</v>
      </c>
      <c r="Q80">
        <v>2.3237669999999998E-2</v>
      </c>
      <c r="R80">
        <v>9.9292050000000007E-2</v>
      </c>
      <c r="S80">
        <v>3.0351560000000002</v>
      </c>
      <c r="T80">
        <v>-0.1513523</v>
      </c>
      <c r="U80">
        <v>-0.15844730000000001</v>
      </c>
      <c r="V80">
        <v>-0.1097418</v>
      </c>
      <c r="W80">
        <v>3.322307E-2</v>
      </c>
      <c r="X80">
        <v>0.99340470000000003</v>
      </c>
      <c r="Y80">
        <v>4.1589349999999997E-2</v>
      </c>
      <c r="Z80">
        <v>-5.1190899999999995E-4</v>
      </c>
      <c r="AA80">
        <v>0.99913470000000004</v>
      </c>
      <c r="AB80">
        <v>11</v>
      </c>
      <c r="AC80">
        <v>22.085999999999999</v>
      </c>
      <c r="AD80">
        <v>-1.104412284818</v>
      </c>
      <c r="AE80">
        <v>-1.15550000000001</v>
      </c>
      <c r="AF80">
        <v>0.92087084380582196</v>
      </c>
      <c r="AG80">
        <v>-1.104412284818</v>
      </c>
      <c r="AH80">
        <v>22.041964856541899</v>
      </c>
      <c r="AI80">
        <v>92.865909477998301</v>
      </c>
      <c r="AJ80">
        <v>87.607683879068006</v>
      </c>
      <c r="AK80">
        <v>22.088819442035799</v>
      </c>
      <c r="AL80">
        <v>88.0961078892513</v>
      </c>
      <c r="AM80">
        <v>96.303926011165103</v>
      </c>
      <c r="AN80">
        <v>0.99999996651477596</v>
      </c>
    </row>
    <row r="81" spans="1:40" x14ac:dyDescent="0.3">
      <c r="A81" t="str">
        <f>"20200111145917629"</f>
        <v>20200111145917629</v>
      </c>
      <c r="B81" t="str">
        <f>"1578725957625905"</f>
        <v>1578725957625905</v>
      </c>
      <c r="C81" t="s">
        <v>40</v>
      </c>
      <c r="D81">
        <v>4.0167169999999999</v>
      </c>
      <c r="E81">
        <v>0.55801999999999996</v>
      </c>
      <c r="F81" t="s">
        <v>42</v>
      </c>
      <c r="G81">
        <v>-451.62329999999997</v>
      </c>
      <c r="H81" s="1">
        <v>-4.1548509999999999E-6</v>
      </c>
      <c r="I81">
        <v>366.35250000000002</v>
      </c>
      <c r="J81">
        <v>-473.33390000000003</v>
      </c>
      <c r="K81">
        <v>1.104422</v>
      </c>
      <c r="L81">
        <v>367.48500000000001</v>
      </c>
      <c r="M81">
        <v>0.99988909999999998</v>
      </c>
      <c r="N81">
        <v>0</v>
      </c>
      <c r="O81">
        <v>-1.068125E-2</v>
      </c>
      <c r="P81">
        <v>0.99478610000000001</v>
      </c>
      <c r="Q81">
        <v>2.2757039999999999E-2</v>
      </c>
      <c r="R81">
        <v>9.9413340000000003E-2</v>
      </c>
      <c r="S81">
        <v>3.035034</v>
      </c>
      <c r="T81">
        <v>-0.15381349999999999</v>
      </c>
      <c r="U81">
        <v>-0.15786739999999999</v>
      </c>
      <c r="V81">
        <v>-0.1100275</v>
      </c>
      <c r="W81">
        <v>3.3088670000000001E-2</v>
      </c>
      <c r="X81">
        <v>0.99337759999999997</v>
      </c>
      <c r="Y81">
        <v>4.1235359999999999E-2</v>
      </c>
      <c r="Z81">
        <v>-5.0292550000000005E-4</v>
      </c>
      <c r="AA81">
        <v>0.99914930000000002</v>
      </c>
      <c r="AB81">
        <v>11</v>
      </c>
      <c r="AC81">
        <v>21.710599999999999</v>
      </c>
      <c r="AD81">
        <v>-1.1044261548509999</v>
      </c>
      <c r="AE81">
        <v>-1.1324999999999901</v>
      </c>
      <c r="AF81">
        <v>0.89820848247378604</v>
      </c>
      <c r="AG81">
        <v>-1.1044261548509999</v>
      </c>
      <c r="AH81">
        <v>21.665544701701801</v>
      </c>
      <c r="AI81">
        <v>92.9156922687839</v>
      </c>
      <c r="AJ81">
        <v>87.625995480093195</v>
      </c>
      <c r="AK81">
        <v>21.712262959695099</v>
      </c>
      <c r="AL81">
        <v>88.1038127106671</v>
      </c>
      <c r="AM81">
        <v>96.320375936766197</v>
      </c>
      <c r="AN81">
        <v>0.99999998351018904</v>
      </c>
    </row>
    <row r="82" spans="1:40" x14ac:dyDescent="0.3">
      <c r="A82" t="str">
        <f>"20200111145917642"</f>
        <v>20200111145917642</v>
      </c>
      <c r="B82" t="str">
        <f>"1578725957635667"</f>
        <v>1578725957635667</v>
      </c>
      <c r="C82" t="s">
        <v>40</v>
      </c>
      <c r="D82">
        <v>3.8605260000000001</v>
      </c>
      <c r="E82">
        <v>0.55811180000000005</v>
      </c>
      <c r="F82" t="s">
        <v>42</v>
      </c>
      <c r="G82">
        <v>-452.1216</v>
      </c>
      <c r="H82" s="1">
        <v>-3.9377789999999999E-6</v>
      </c>
      <c r="I82">
        <v>366.37099999999998</v>
      </c>
      <c r="J82">
        <v>-473.27280000000002</v>
      </c>
      <c r="K82">
        <v>1.104428</v>
      </c>
      <c r="L82">
        <v>367.48419999999999</v>
      </c>
      <c r="M82">
        <v>0.99988520000000003</v>
      </c>
      <c r="N82">
        <v>0</v>
      </c>
      <c r="O82">
        <v>-1.080506E-2</v>
      </c>
      <c r="P82">
        <v>0.99477090000000001</v>
      </c>
      <c r="Q82">
        <v>2.2784120000000001E-2</v>
      </c>
      <c r="R82">
        <v>9.9557329999999999E-2</v>
      </c>
      <c r="S82">
        <v>3.0352779999999999</v>
      </c>
      <c r="T82">
        <v>-0.15803220000000001</v>
      </c>
      <c r="U82">
        <v>-0.15939329999999999</v>
      </c>
      <c r="V82">
        <v>-0.11029410000000001</v>
      </c>
      <c r="W82">
        <v>3.3354599999999998E-2</v>
      </c>
      <c r="X82">
        <v>0.99333919999999998</v>
      </c>
      <c r="Y82">
        <v>4.1605860000000001E-2</v>
      </c>
      <c r="Z82">
        <v>-5.1984699999999895E-4</v>
      </c>
      <c r="AA82">
        <v>0.99913390000000002</v>
      </c>
      <c r="AB82">
        <v>11</v>
      </c>
      <c r="AC82">
        <v>21.151199999999999</v>
      </c>
      <c r="AD82">
        <v>-1.104431937779</v>
      </c>
      <c r="AE82">
        <v>-1.1132</v>
      </c>
      <c r="AF82">
        <v>0.88218348567973504</v>
      </c>
      <c r="AG82">
        <v>-1.104431937779</v>
      </c>
      <c r="AH82">
        <v>21.104610913770301</v>
      </c>
      <c r="AI82">
        <v>92.993021692893805</v>
      </c>
      <c r="AJ82">
        <v>87.606400682309996</v>
      </c>
      <c r="AK82">
        <v>21.151893991537101</v>
      </c>
      <c r="AL82">
        <v>88.088567740507798</v>
      </c>
      <c r="AM82">
        <v>96.335808945060606</v>
      </c>
      <c r="AN82">
        <v>1.0000000420463</v>
      </c>
    </row>
    <row r="83" spans="1:40" x14ac:dyDescent="0.3">
      <c r="A83" t="str">
        <f>"20200111145917654"</f>
        <v>20200111145917654</v>
      </c>
      <c r="B83" t="str">
        <f>"1578725957645425"</f>
        <v>1578725957645425</v>
      </c>
      <c r="C83" t="s">
        <v>40</v>
      </c>
      <c r="D83">
        <v>3.7821120000000001</v>
      </c>
      <c r="E83">
        <v>0.55811180000000005</v>
      </c>
      <c r="F83" t="s">
        <v>42</v>
      </c>
      <c r="G83">
        <v>-452.02910000000003</v>
      </c>
      <c r="H83" s="1">
        <v>-3.9781120000000004E-6</v>
      </c>
      <c r="I83">
        <v>366.36750000000001</v>
      </c>
      <c r="J83">
        <v>-473.2122</v>
      </c>
      <c r="K83">
        <v>1.1044389999999999</v>
      </c>
      <c r="L83">
        <v>367.48340000000002</v>
      </c>
      <c r="M83">
        <v>0.99988180000000004</v>
      </c>
      <c r="N83">
        <v>0</v>
      </c>
      <c r="O83">
        <v>-1.092887E-2</v>
      </c>
      <c r="P83">
        <v>0.99478610000000001</v>
      </c>
      <c r="Q83">
        <v>2.2623520000000001E-2</v>
      </c>
      <c r="R83">
        <v>9.9443829999999997E-2</v>
      </c>
      <c r="S83">
        <v>3.0352779999999999</v>
      </c>
      <c r="T83">
        <v>-0.15779939999999901</v>
      </c>
      <c r="U83">
        <v>-0.15954589999999999</v>
      </c>
      <c r="V83">
        <v>-0.11030429999999999</v>
      </c>
      <c r="W83">
        <v>3.3404629999999998E-2</v>
      </c>
      <c r="X83">
        <v>0.99333629999999995</v>
      </c>
      <c r="Y83">
        <v>4.1532600000000003E-2</v>
      </c>
      <c r="Z83">
        <v>-5.1075190000000003E-4</v>
      </c>
      <c r="AA83">
        <v>0.99913700000000005</v>
      </c>
      <c r="AB83">
        <v>11</v>
      </c>
      <c r="AC83">
        <v>21.1830999999999</v>
      </c>
      <c r="AD83">
        <v>-1.104442978112</v>
      </c>
      <c r="AE83">
        <v>-1.1159000000000101</v>
      </c>
      <c r="AF83">
        <v>0.881921714836992</v>
      </c>
      <c r="AG83">
        <v>-1.104442978112</v>
      </c>
      <c r="AH83">
        <v>21.136732675507101</v>
      </c>
      <c r="AI83">
        <v>92.988520671490505</v>
      </c>
      <c r="AJ83">
        <v>87.610742398522206</v>
      </c>
      <c r="AK83">
        <v>21.1839337328752</v>
      </c>
      <c r="AL83">
        <v>88.085699470501595</v>
      </c>
      <c r="AM83">
        <v>96.336408463531896</v>
      </c>
      <c r="AN83">
        <v>0.99999995640080697</v>
      </c>
    </row>
    <row r="84" spans="1:40" x14ac:dyDescent="0.3">
      <c r="A84" t="str">
        <f>"20200111145917666"</f>
        <v>20200111145917666</v>
      </c>
      <c r="B84" t="str">
        <f>"1578725957656161"</f>
        <v>1578725957656161</v>
      </c>
      <c r="C84" t="s">
        <v>40</v>
      </c>
      <c r="D84">
        <v>3.7144550000000001</v>
      </c>
      <c r="E84">
        <v>0.58098919999999998</v>
      </c>
      <c r="F84" t="s">
        <v>42</v>
      </c>
      <c r="G84">
        <v>-452.02569999999997</v>
      </c>
      <c r="H84" s="1">
        <v>-3.9796750000000001E-6</v>
      </c>
      <c r="I84">
        <v>366.36669999999998</v>
      </c>
      <c r="J84">
        <v>-473.15539999999999</v>
      </c>
      <c r="K84">
        <v>1.1044480000000001</v>
      </c>
      <c r="L84">
        <v>367.48259999999999</v>
      </c>
      <c r="M84">
        <v>0.9998783</v>
      </c>
      <c r="N84">
        <v>0</v>
      </c>
      <c r="O84">
        <v>-1.1044689999999999E-2</v>
      </c>
      <c r="P84">
        <v>0.9948091</v>
      </c>
      <c r="Q84">
        <v>2.2793250000000001E-2</v>
      </c>
      <c r="R84">
        <v>9.9172960000000004E-2</v>
      </c>
      <c r="S84">
        <v>3.0353089999999998</v>
      </c>
      <c r="T84">
        <v>-0.15822910000000001</v>
      </c>
      <c r="U84">
        <v>-0.15997310000000001</v>
      </c>
      <c r="V84">
        <v>-0.1101481</v>
      </c>
      <c r="W84">
        <v>3.375968E-2</v>
      </c>
      <c r="X84">
        <v>0.99334169999999999</v>
      </c>
      <c r="Y84">
        <v>4.1556469999999998E-2</v>
      </c>
      <c r="Z84">
        <v>-5.0672529999999996E-4</v>
      </c>
      <c r="AA84">
        <v>0.99913600000000002</v>
      </c>
      <c r="AB84">
        <v>11</v>
      </c>
      <c r="AC84">
        <v>21.1297</v>
      </c>
      <c r="AD84">
        <v>-1.1044519796750001</v>
      </c>
      <c r="AE84">
        <v>-1.1159000000000101</v>
      </c>
      <c r="AF84">
        <v>0.88004902275556995</v>
      </c>
      <c r="AG84">
        <v>-1.1044519796750001</v>
      </c>
      <c r="AH84">
        <v>21.083293731391599</v>
      </c>
      <c r="AI84">
        <v>92.996104031155198</v>
      </c>
      <c r="AJ84">
        <v>87.609773833293403</v>
      </c>
      <c r="AK84">
        <v>21.130536553102399</v>
      </c>
      <c r="AL84">
        <v>88.0653452578903</v>
      </c>
      <c r="AM84">
        <v>96.327474296305695</v>
      </c>
      <c r="AN84">
        <v>1.0000000264430999</v>
      </c>
    </row>
    <row r="85" spans="1:40" x14ac:dyDescent="0.3">
      <c r="A85" t="str">
        <f>"20200111145917679"</f>
        <v>20200111145917679</v>
      </c>
      <c r="B85" t="str">
        <f>"1578725957675682"</f>
        <v>1578725957675682</v>
      </c>
      <c r="C85" t="s">
        <v>40</v>
      </c>
      <c r="D85">
        <v>3.7926739999999999</v>
      </c>
      <c r="E85">
        <v>0.58635059999999894</v>
      </c>
      <c r="F85" t="s">
        <v>42</v>
      </c>
      <c r="G85">
        <v>-446.87450000000001</v>
      </c>
      <c r="H85" s="1">
        <v>-2.53697E-6</v>
      </c>
      <c r="I85">
        <v>364.53309999999999</v>
      </c>
      <c r="J85">
        <v>-473.09449999999998</v>
      </c>
      <c r="K85">
        <v>1.1044579999999999</v>
      </c>
      <c r="L85">
        <v>367.48180000000002</v>
      </c>
      <c r="M85">
        <v>0.99987490000000001</v>
      </c>
      <c r="N85">
        <v>0</v>
      </c>
      <c r="O85">
        <v>-1.116959E-2</v>
      </c>
      <c r="P85">
        <v>0.99481730000000002</v>
      </c>
      <c r="Q85">
        <v>2.2685650000000002E-2</v>
      </c>
      <c r="R85">
        <v>9.9117300000000005E-2</v>
      </c>
      <c r="S85">
        <v>3.052765</v>
      </c>
      <c r="T85">
        <v>-0.12829209999999999</v>
      </c>
      <c r="U85">
        <v>-0.3426208</v>
      </c>
      <c r="V85">
        <v>-0.1102175</v>
      </c>
      <c r="W85">
        <v>3.3838790000000001E-2</v>
      </c>
      <c r="X85">
        <v>0.99333130000000003</v>
      </c>
      <c r="Y85">
        <v>0.10034750000000001</v>
      </c>
      <c r="Z85">
        <v>-1.633352E-3</v>
      </c>
      <c r="AA85">
        <v>0.99495109999999998</v>
      </c>
      <c r="AB85">
        <v>11</v>
      </c>
      <c r="AC85">
        <v>26.219999999999899</v>
      </c>
      <c r="AD85">
        <v>-1.10446053697</v>
      </c>
      <c r="AE85">
        <v>-2.9487000000000299</v>
      </c>
      <c r="AF85">
        <v>2.65098602911175</v>
      </c>
      <c r="AG85">
        <v>-1.10446053697</v>
      </c>
      <c r="AH85">
        <v>26.2053856246077</v>
      </c>
      <c r="AI85">
        <v>92.401137331971199</v>
      </c>
      <c r="AJ85">
        <v>84.223502871035294</v>
      </c>
      <c r="AK85">
        <v>26.362279790235601</v>
      </c>
      <c r="AL85">
        <v>88.060809977935904</v>
      </c>
      <c r="AM85">
        <v>96.331494374774607</v>
      </c>
      <c r="AN85">
        <v>1.0000000162873</v>
      </c>
    </row>
    <row r="86" spans="1:40" x14ac:dyDescent="0.3">
      <c r="A86" t="str">
        <f>"20200111145917697"</f>
        <v>20200111145917697</v>
      </c>
      <c r="B86" t="str">
        <f>"1578725957685444"</f>
        <v>1578725957685444</v>
      </c>
      <c r="C86" t="s">
        <v>40</v>
      </c>
      <c r="D86">
        <v>3.8954270000000002</v>
      </c>
      <c r="E86">
        <v>0.58822559999999902</v>
      </c>
      <c r="F86" t="s">
        <v>42</v>
      </c>
      <c r="G86">
        <v>-441.95800000000003</v>
      </c>
      <c r="H86" s="1">
        <v>-4.8581290000000003E-6</v>
      </c>
      <c r="I86">
        <v>363.54950000000002</v>
      </c>
      <c r="J86">
        <v>-473.01400000000001</v>
      </c>
      <c r="K86">
        <v>1.104474</v>
      </c>
      <c r="L86">
        <v>367.48070000000001</v>
      </c>
      <c r="M86">
        <v>0.9998705</v>
      </c>
      <c r="N86">
        <v>0</v>
      </c>
      <c r="O86">
        <v>-1.133547E-2</v>
      </c>
      <c r="P86">
        <v>0.99488670000000001</v>
      </c>
      <c r="Q86">
        <v>2.2286489999999999E-2</v>
      </c>
      <c r="R86">
        <v>9.8507369999999997E-2</v>
      </c>
      <c r="S86">
        <v>3.056549</v>
      </c>
      <c r="T86">
        <v>-0.1084208</v>
      </c>
      <c r="U86">
        <v>-0.38601679999999999</v>
      </c>
      <c r="V86">
        <v>-0.10977290000000001</v>
      </c>
      <c r="W86">
        <v>3.3658170000000001E-2</v>
      </c>
      <c r="X86">
        <v>0.99338660000000001</v>
      </c>
      <c r="Y86">
        <v>0.113978</v>
      </c>
      <c r="Z86">
        <v>-1.612551E-3</v>
      </c>
      <c r="AA86">
        <v>0.99348190000000003</v>
      </c>
      <c r="AB86">
        <v>11</v>
      </c>
      <c r="AC86">
        <v>31.055999999999901</v>
      </c>
      <c r="AD86">
        <v>-1.1044788581289999</v>
      </c>
      <c r="AE86">
        <v>-3.9311999999999898</v>
      </c>
      <c r="AF86">
        <v>3.57444039363136</v>
      </c>
      <c r="AG86">
        <v>-1.1044788581289999</v>
      </c>
      <c r="AH86">
        <v>31.059904159161999</v>
      </c>
      <c r="AI86">
        <v>92.023216537181497</v>
      </c>
      <c r="AJ86">
        <v>83.435158513691604</v>
      </c>
      <c r="AK86">
        <v>31.2844073629661</v>
      </c>
      <c r="AL86">
        <v>88.071164511099198</v>
      </c>
      <c r="AM86">
        <v>96.305812075267596</v>
      </c>
      <c r="AN86">
        <v>0.99999994952085802</v>
      </c>
    </row>
    <row r="87" spans="1:40" x14ac:dyDescent="0.3">
      <c r="A87" t="str">
        <f>"20200111145917716"</f>
        <v>20200111145917716</v>
      </c>
      <c r="B87" t="str">
        <f>"1578725957705937"</f>
        <v>1578725957705937</v>
      </c>
      <c r="C87" t="s">
        <v>40</v>
      </c>
      <c r="D87">
        <v>3.8871859999999998</v>
      </c>
      <c r="E87">
        <v>0.58941739999999998</v>
      </c>
      <c r="F87" t="s">
        <v>42</v>
      </c>
      <c r="G87">
        <v>-441.85090000000002</v>
      </c>
      <c r="H87" s="1">
        <v>-4.9396110000000002E-6</v>
      </c>
      <c r="I87">
        <v>363.37549999999999</v>
      </c>
      <c r="J87">
        <v>-472.92160000000001</v>
      </c>
      <c r="K87">
        <v>1.1044879999999999</v>
      </c>
      <c r="L87">
        <v>367.4794</v>
      </c>
      <c r="M87">
        <v>0.99986580000000003</v>
      </c>
      <c r="N87">
        <v>0</v>
      </c>
      <c r="O87">
        <v>-1.152681E-2</v>
      </c>
      <c r="P87">
        <v>0.9949036</v>
      </c>
      <c r="Q87">
        <v>2.1725109999999999E-2</v>
      </c>
      <c r="R87">
        <v>9.846357E-2</v>
      </c>
      <c r="S87">
        <v>3.057709</v>
      </c>
      <c r="T87">
        <v>-0.108371</v>
      </c>
      <c r="U87">
        <v>-0.40280149999999998</v>
      </c>
      <c r="V87">
        <v>-0.10991960000000001</v>
      </c>
      <c r="W87">
        <v>3.3322669999999999E-2</v>
      </c>
      <c r="X87">
        <v>0.99338170000000003</v>
      </c>
      <c r="Y87">
        <v>0.1191009</v>
      </c>
      <c r="Z87">
        <v>-1.6942579999999999E-3</v>
      </c>
      <c r="AA87">
        <v>0.99288069999999895</v>
      </c>
      <c r="AB87">
        <v>11</v>
      </c>
      <c r="AC87">
        <v>31.070699999999899</v>
      </c>
      <c r="AD87">
        <v>-1.1044929396109999</v>
      </c>
      <c r="AE87">
        <v>-4.1039000000000003</v>
      </c>
      <c r="AF87">
        <v>3.74081100171676</v>
      </c>
      <c r="AG87">
        <v>-1.1044929396109999</v>
      </c>
      <c r="AH87">
        <v>31.0773463345366</v>
      </c>
      <c r="AI87">
        <v>92.020867297672993</v>
      </c>
      <c r="AJ87">
        <v>83.136272986932994</v>
      </c>
      <c r="AK87">
        <v>31.321159410228599</v>
      </c>
      <c r="AL87">
        <v>88.090398056135797</v>
      </c>
      <c r="AM87">
        <v>96.314202008479498</v>
      </c>
      <c r="AN87">
        <v>0.99999996034748795</v>
      </c>
    </row>
    <row r="88" spans="1:40" x14ac:dyDescent="0.3">
      <c r="A88" t="str">
        <f>"20200111145917730"</f>
        <v>20200111145917730</v>
      </c>
      <c r="B88" t="str">
        <f>"1578725957725457"</f>
        <v>1578725957725457</v>
      </c>
      <c r="C88" t="s">
        <v>40</v>
      </c>
      <c r="D88">
        <v>3.830546</v>
      </c>
      <c r="E88">
        <v>0.58967040000000004</v>
      </c>
      <c r="F88" t="s">
        <v>42</v>
      </c>
      <c r="G88">
        <v>-441.45609999999999</v>
      </c>
      <c r="H88" s="1">
        <v>-5.1507529999999996E-6</v>
      </c>
      <c r="I88">
        <v>363.23719999999997</v>
      </c>
      <c r="J88">
        <v>-472.8578</v>
      </c>
      <c r="K88">
        <v>1.104498</v>
      </c>
      <c r="L88">
        <v>367.4785</v>
      </c>
      <c r="M88">
        <v>0.99986260000000005</v>
      </c>
      <c r="N88">
        <v>0</v>
      </c>
      <c r="O88">
        <v>-1.1659249999999999E-2</v>
      </c>
      <c r="P88">
        <v>0.99489629999999996</v>
      </c>
      <c r="Q88">
        <v>2.0876120000000001E-2</v>
      </c>
      <c r="R88">
        <v>9.8721219999999998E-2</v>
      </c>
      <c r="S88">
        <v>3.0585330000000002</v>
      </c>
      <c r="T88">
        <v>-0.10735980000000001</v>
      </c>
      <c r="U88">
        <v>-0.41235349999999998</v>
      </c>
      <c r="V88">
        <v>-0.1103087</v>
      </c>
      <c r="W88">
        <v>3.261352E-2</v>
      </c>
      <c r="X88">
        <v>0.99336210000000003</v>
      </c>
      <c r="Y88">
        <v>0.12198050000000001</v>
      </c>
      <c r="Z88">
        <v>-1.723341E-3</v>
      </c>
      <c r="AA88">
        <v>0.99253100000000005</v>
      </c>
      <c r="AB88">
        <v>11</v>
      </c>
      <c r="AC88">
        <v>31.401700000000002</v>
      </c>
      <c r="AD88">
        <v>-1.1045031507530001</v>
      </c>
      <c r="AE88">
        <v>-4.2413000000000203</v>
      </c>
      <c r="AF88">
        <v>3.8701637344207702</v>
      </c>
      <c r="AG88">
        <v>-1.1045031507530001</v>
      </c>
      <c r="AH88">
        <v>31.410854911486702</v>
      </c>
      <c r="AI88">
        <v>91.998765660009198</v>
      </c>
      <c r="AJ88">
        <v>82.975929368106804</v>
      </c>
      <c r="AK88">
        <v>31.6676475414849</v>
      </c>
      <c r="AL88">
        <v>88.131051452173494</v>
      </c>
      <c r="AM88">
        <v>96.336495925104899</v>
      </c>
      <c r="AN88">
        <v>0.99999995634944405</v>
      </c>
    </row>
    <row r="89" spans="1:40" x14ac:dyDescent="0.3">
      <c r="A89" t="str">
        <f>"20200111145917743"</f>
        <v>20200111145917743</v>
      </c>
      <c r="B89" t="str">
        <f>"1578725957736193"</f>
        <v>1578725957736193</v>
      </c>
      <c r="C89" t="s">
        <v>40</v>
      </c>
      <c r="D89">
        <v>3.8278110000000001</v>
      </c>
      <c r="E89">
        <v>0.58992549999999999</v>
      </c>
      <c r="F89" t="s">
        <v>42</v>
      </c>
      <c r="G89">
        <v>-441.68</v>
      </c>
      <c r="H89" s="1">
        <v>-5.0407660000000004E-6</v>
      </c>
      <c r="I89">
        <v>363.26069999999999</v>
      </c>
      <c r="J89">
        <v>-472.79649999999998</v>
      </c>
      <c r="K89">
        <v>1.104509</v>
      </c>
      <c r="L89">
        <v>367.47770000000003</v>
      </c>
      <c r="M89">
        <v>0.99985959999999996</v>
      </c>
      <c r="N89">
        <v>0</v>
      </c>
      <c r="O89">
        <v>-1.178684E-2</v>
      </c>
      <c r="P89">
        <v>0.99487809999999999</v>
      </c>
      <c r="Q89">
        <v>2.0892419999999998E-2</v>
      </c>
      <c r="R89">
        <v>9.8901290000000003E-2</v>
      </c>
      <c r="S89">
        <v>3.0586549999999999</v>
      </c>
      <c r="T89">
        <v>-0.1083559</v>
      </c>
      <c r="U89">
        <v>-0.41378779999999998</v>
      </c>
      <c r="V89">
        <v>-0.11061559999999999</v>
      </c>
      <c r="W89">
        <v>3.275554E-2</v>
      </c>
      <c r="X89">
        <v>0.99332330000000002</v>
      </c>
      <c r="Y89">
        <v>0.12230439999999999</v>
      </c>
      <c r="Z89">
        <v>-1.7404089999999901E-3</v>
      </c>
      <c r="AA89">
        <v>0.99249109999999996</v>
      </c>
      <c r="AB89">
        <v>11</v>
      </c>
      <c r="AC89">
        <v>31.116499999999899</v>
      </c>
      <c r="AD89">
        <v>-1.1045140407659999</v>
      </c>
      <c r="AE89">
        <v>-4.2170000000000396</v>
      </c>
      <c r="AF89">
        <v>3.84515837651184</v>
      </c>
      <c r="AG89">
        <v>-1.1045140407659999</v>
      </c>
      <c r="AH89">
        <v>31.1255367257654</v>
      </c>
      <c r="AI89">
        <v>92.017012673231207</v>
      </c>
      <c r="AJ89">
        <v>82.957527246025194</v>
      </c>
      <c r="AK89">
        <v>31.3815906332627</v>
      </c>
      <c r="AL89">
        <v>88.122909957216194</v>
      </c>
      <c r="AM89">
        <v>96.354227447265004</v>
      </c>
      <c r="AN89">
        <v>0.99999995734346903</v>
      </c>
    </row>
    <row r="90" spans="1:40" x14ac:dyDescent="0.3">
      <c r="A90" t="str">
        <f>"20200111145917756"</f>
        <v>20200111145917756</v>
      </c>
      <c r="B90" t="str">
        <f>"1578725957745955"</f>
        <v>1578725957745955</v>
      </c>
      <c r="C90" t="s">
        <v>40</v>
      </c>
      <c r="D90">
        <v>3.8643800000000001</v>
      </c>
      <c r="E90">
        <v>0.59022940000000002</v>
      </c>
      <c r="F90" t="s">
        <v>42</v>
      </c>
      <c r="G90">
        <v>-441.67910000000001</v>
      </c>
      <c r="H90" s="1">
        <v>-5.042077E-6</v>
      </c>
      <c r="I90">
        <v>363.25569999999999</v>
      </c>
      <c r="J90">
        <v>-472.72910000000002</v>
      </c>
      <c r="K90">
        <v>1.104522</v>
      </c>
      <c r="L90">
        <v>367.47669999999999</v>
      </c>
      <c r="M90">
        <v>0.99985639999999998</v>
      </c>
      <c r="N90">
        <v>0</v>
      </c>
      <c r="O90">
        <v>-1.192731E-2</v>
      </c>
      <c r="P90">
        <v>0.99486079999999999</v>
      </c>
      <c r="Q90">
        <v>2.1024149999999998E-2</v>
      </c>
      <c r="R90">
        <v>9.9046200000000001E-2</v>
      </c>
      <c r="S90">
        <v>3.0589599999999999</v>
      </c>
      <c r="T90">
        <v>-0.1085781</v>
      </c>
      <c r="U90">
        <v>-0.41503909999999999</v>
      </c>
      <c r="V90">
        <v>-0.11089980000000001</v>
      </c>
      <c r="W90">
        <v>3.301051E-2</v>
      </c>
      <c r="X90">
        <v>0.99328320000000003</v>
      </c>
      <c r="Y90">
        <v>0.1225501</v>
      </c>
      <c r="Z90">
        <v>-1.7431359999999999E-3</v>
      </c>
      <c r="AA90">
        <v>0.99246080000000003</v>
      </c>
      <c r="AB90">
        <v>11</v>
      </c>
      <c r="AC90">
        <v>31.05</v>
      </c>
      <c r="AD90">
        <v>-1.1045270420769999</v>
      </c>
      <c r="AE90">
        <v>-4.2210000000000001</v>
      </c>
      <c r="AF90">
        <v>3.8455520075492902</v>
      </c>
      <c r="AG90">
        <v>-1.1045270420769999</v>
      </c>
      <c r="AH90">
        <v>31.0595500697248</v>
      </c>
      <c r="AI90">
        <v>92.021250395359502</v>
      </c>
      <c r="AJ90">
        <v>82.942000909175803</v>
      </c>
      <c r="AK90">
        <v>31.316192309461702</v>
      </c>
      <c r="AL90">
        <v>88.108293403982103</v>
      </c>
      <c r="AM90">
        <v>96.370674119162302</v>
      </c>
      <c r="AN90">
        <v>0.99999998740636997</v>
      </c>
    </row>
    <row r="91" spans="1:40" x14ac:dyDescent="0.3">
      <c r="A91" t="str">
        <f>"20200111145917777"</f>
        <v>20200111145917777</v>
      </c>
      <c r="B91" t="str">
        <f>"1578725957765472"</f>
        <v>1578725957765472</v>
      </c>
      <c r="C91" t="s">
        <v>40</v>
      </c>
      <c r="D91">
        <v>3.8814310000000001</v>
      </c>
      <c r="E91">
        <v>0.59084399999999904</v>
      </c>
      <c r="F91" t="s">
        <v>42</v>
      </c>
      <c r="G91">
        <v>-441.41039999999998</v>
      </c>
      <c r="H91" s="1">
        <v>-5.1776180000000003E-6</v>
      </c>
      <c r="I91">
        <v>363.20760000000001</v>
      </c>
      <c r="J91">
        <v>-472.63659999999999</v>
      </c>
      <c r="K91">
        <v>1.1045419999999999</v>
      </c>
      <c r="L91">
        <v>367.47539999999998</v>
      </c>
      <c r="M91">
        <v>0.99985219999999997</v>
      </c>
      <c r="N91">
        <v>0</v>
      </c>
      <c r="O91">
        <v>-1.2121120000000001E-2</v>
      </c>
      <c r="P91">
        <v>0.99485730000000006</v>
      </c>
      <c r="Q91">
        <v>2.1814340000000002E-2</v>
      </c>
      <c r="R91">
        <v>9.8909750000000005E-2</v>
      </c>
      <c r="S91">
        <v>3.0592959999999998</v>
      </c>
      <c r="T91">
        <v>-0.1078935</v>
      </c>
      <c r="U91">
        <v>-0.41702270000000002</v>
      </c>
      <c r="V91">
        <v>-0.1109555</v>
      </c>
      <c r="W91">
        <v>3.3952690000000001E-2</v>
      </c>
      <c r="X91">
        <v>0.99324520000000005</v>
      </c>
      <c r="Y91">
        <v>0.1229758</v>
      </c>
      <c r="Z91">
        <v>-1.732557E-3</v>
      </c>
      <c r="AA91">
        <v>0.99240819999999996</v>
      </c>
      <c r="AB91">
        <v>11</v>
      </c>
      <c r="AC91">
        <v>31.226199999999999</v>
      </c>
      <c r="AD91">
        <v>-1.10454717761799</v>
      </c>
      <c r="AE91">
        <v>-4.2677999999999603</v>
      </c>
      <c r="AF91">
        <v>3.8841909507652002</v>
      </c>
      <c r="AG91">
        <v>-1.10454717761799</v>
      </c>
      <c r="AH91">
        <v>31.237272339265601</v>
      </c>
      <c r="AI91">
        <v>92.009666025252201</v>
      </c>
      <c r="AJ91">
        <v>82.911951864599899</v>
      </c>
      <c r="AK91">
        <v>31.497208558966499</v>
      </c>
      <c r="AL91">
        <v>88.054280142081296</v>
      </c>
      <c r="AM91">
        <v>96.374089343133505</v>
      </c>
      <c r="AN91">
        <v>0.99999996773076205</v>
      </c>
    </row>
    <row r="92" spans="1:40" x14ac:dyDescent="0.3">
      <c r="A92" t="str">
        <f>"20200111145917791"</f>
        <v>20200111145917791</v>
      </c>
      <c r="B92" t="str">
        <f>"1578725957785969"</f>
        <v>1578725957785969</v>
      </c>
      <c r="C92" t="s">
        <v>40</v>
      </c>
      <c r="D92">
        <v>3.9145539999999999</v>
      </c>
      <c r="E92">
        <v>0.59121579999999996</v>
      </c>
      <c r="F92" t="s">
        <v>42</v>
      </c>
      <c r="G92">
        <v>-440.07330000000002</v>
      </c>
      <c r="H92" s="1">
        <v>-5.8494920000000003E-6</v>
      </c>
      <c r="I92">
        <v>362.98329999999999</v>
      </c>
      <c r="J92">
        <v>-472.5641</v>
      </c>
      <c r="K92">
        <v>1.104557</v>
      </c>
      <c r="L92">
        <v>367.47430000000003</v>
      </c>
      <c r="M92">
        <v>0.99984910000000005</v>
      </c>
      <c r="N92">
        <v>0</v>
      </c>
      <c r="O92">
        <v>-1.2273879999999999E-2</v>
      </c>
      <c r="P92">
        <v>0.9948574</v>
      </c>
      <c r="Q92">
        <v>2.1958040000000002E-2</v>
      </c>
      <c r="R92">
        <v>9.8879019999999998E-2</v>
      </c>
      <c r="S92">
        <v>3.059723</v>
      </c>
      <c r="T92">
        <v>-0.1037858</v>
      </c>
      <c r="U92">
        <v>-0.42208859999999898</v>
      </c>
      <c r="V92">
        <v>-0.1110767</v>
      </c>
      <c r="W92">
        <v>3.4201450000000001E-2</v>
      </c>
      <c r="X92">
        <v>0.99322310000000003</v>
      </c>
      <c r="Y92">
        <v>0.12442259999999999</v>
      </c>
      <c r="Z92">
        <v>-1.6854800000000001E-3</v>
      </c>
      <c r="AA92">
        <v>0.99222790000000005</v>
      </c>
      <c r="AB92">
        <v>11</v>
      </c>
      <c r="AC92">
        <v>32.490799999999901</v>
      </c>
      <c r="AD92">
        <v>-1.1045628494919999</v>
      </c>
      <c r="AE92">
        <v>-4.4910000000000396</v>
      </c>
      <c r="AF92">
        <v>4.0872081478346098</v>
      </c>
      <c r="AG92">
        <v>-1.1045628494919999</v>
      </c>
      <c r="AH92">
        <v>32.506613506448701</v>
      </c>
      <c r="AI92">
        <v>91.930948982229197</v>
      </c>
      <c r="AJ92">
        <v>82.833541809679403</v>
      </c>
      <c r="AK92">
        <v>32.7811722058538</v>
      </c>
      <c r="AL92">
        <v>88.040018924787901</v>
      </c>
      <c r="AM92">
        <v>96.381135363408603</v>
      </c>
      <c r="AN92">
        <v>0.99999994941929904</v>
      </c>
    </row>
    <row r="93" spans="1:40" x14ac:dyDescent="0.3">
      <c r="A93" t="str">
        <f>"20200111145917809"</f>
        <v>20200111145917809</v>
      </c>
      <c r="B93" t="str">
        <f>"1578725957805489"</f>
        <v>1578725957805489</v>
      </c>
      <c r="C93" t="s">
        <v>40</v>
      </c>
      <c r="D93">
        <v>3.8643269999999998</v>
      </c>
      <c r="E93">
        <v>0.59186229999999995</v>
      </c>
      <c r="F93" t="s">
        <v>43</v>
      </c>
      <c r="G93">
        <v>-437.87180000000001</v>
      </c>
      <c r="H93">
        <v>-0.05</v>
      </c>
      <c r="I93">
        <v>362.65199999999999</v>
      </c>
      <c r="J93">
        <v>-472.48630000000003</v>
      </c>
      <c r="K93">
        <v>1.1045739999999999</v>
      </c>
      <c r="L93">
        <v>367.47320000000002</v>
      </c>
      <c r="M93">
        <v>0.99984569999999995</v>
      </c>
      <c r="N93">
        <v>0</v>
      </c>
      <c r="O93">
        <v>-1.2438070000000001E-2</v>
      </c>
      <c r="P93">
        <v>0.99486640000000004</v>
      </c>
      <c r="Q93">
        <v>2.2355E-2</v>
      </c>
      <c r="R93">
        <v>9.8696679999999995E-2</v>
      </c>
      <c r="S93">
        <v>3.0600589999999999</v>
      </c>
      <c r="T93">
        <v>-0.1018384</v>
      </c>
      <c r="U93">
        <v>-0.42535400000000001</v>
      </c>
      <c r="V93">
        <v>-0.1110573</v>
      </c>
      <c r="W93">
        <v>3.4701360000000001E-2</v>
      </c>
      <c r="X93">
        <v>0.99320799999999998</v>
      </c>
      <c r="Y93">
        <v>0.1252857</v>
      </c>
      <c r="Z93">
        <v>-1.6624260000000001E-3</v>
      </c>
      <c r="AA93">
        <v>0.99211930000000004</v>
      </c>
      <c r="AB93">
        <v>10</v>
      </c>
      <c r="AC93">
        <v>34.6145</v>
      </c>
      <c r="AD93">
        <v>-1.154574</v>
      </c>
      <c r="AE93">
        <v>-4.8212000000000304</v>
      </c>
      <c r="AF93">
        <v>4.3854700027267501</v>
      </c>
      <c r="AG93">
        <v>-1.154574</v>
      </c>
      <c r="AH93">
        <v>34.633993540920699</v>
      </c>
      <c r="AI93">
        <v>91.894216275161696</v>
      </c>
      <c r="AJ93">
        <v>82.783425576915604</v>
      </c>
      <c r="AK93">
        <v>34.929627780135696</v>
      </c>
      <c r="AL93">
        <v>88.011359316685798</v>
      </c>
      <c r="AM93">
        <v>96.380126260084694</v>
      </c>
      <c r="AN93">
        <v>1.0000000197665599</v>
      </c>
    </row>
    <row r="94" spans="1:40" x14ac:dyDescent="0.3">
      <c r="A94" t="str">
        <f>"20200111145917824"</f>
        <v>20200111145917824</v>
      </c>
      <c r="B94" t="str">
        <f>"1578725957816226"</f>
        <v>1578725957816226</v>
      </c>
      <c r="C94" t="s">
        <v>40</v>
      </c>
      <c r="D94">
        <v>3.8385669999999998</v>
      </c>
      <c r="E94">
        <v>0.59205629999999998</v>
      </c>
      <c r="F94" t="s">
        <v>42</v>
      </c>
      <c r="G94">
        <v>-440.05450000000002</v>
      </c>
      <c r="H94" s="1">
        <v>-5.87223499999999E-6</v>
      </c>
      <c r="I94">
        <v>362.90499999999997</v>
      </c>
      <c r="J94">
        <v>-472.41379999999998</v>
      </c>
      <c r="K94">
        <v>1.1045849999999999</v>
      </c>
      <c r="L94">
        <v>367.47210000000001</v>
      </c>
      <c r="M94">
        <v>0.99984260000000003</v>
      </c>
      <c r="N94">
        <v>0</v>
      </c>
      <c r="O94">
        <v>-1.2591430000000001E-2</v>
      </c>
      <c r="P94">
        <v>0.99487329999999996</v>
      </c>
      <c r="Q94">
        <v>2.2235370000000001E-2</v>
      </c>
      <c r="R94">
        <v>9.8654240000000004E-2</v>
      </c>
      <c r="S94">
        <v>3.0605470000000001</v>
      </c>
      <c r="T94">
        <v>-0.10423780000000001</v>
      </c>
      <c r="U94">
        <v>-0.43109130000000001</v>
      </c>
      <c r="V94">
        <v>-0.11116769999999999</v>
      </c>
      <c r="W94">
        <v>3.4667999999999997E-2</v>
      </c>
      <c r="X94">
        <v>0.99319679999999999</v>
      </c>
      <c r="Y94">
        <v>0.1269322</v>
      </c>
      <c r="Z94">
        <v>-1.72378299999999E-3</v>
      </c>
      <c r="AA94">
        <v>0.99190990000000001</v>
      </c>
      <c r="AB94">
        <v>10</v>
      </c>
      <c r="AC94">
        <v>32.359299999999898</v>
      </c>
      <c r="AD94">
        <v>-1.104590872235</v>
      </c>
      <c r="AE94">
        <v>-4.5671000000000301</v>
      </c>
      <c r="AF94">
        <v>4.1545098569986099</v>
      </c>
      <c r="AG94">
        <v>-1.104590872235</v>
      </c>
      <c r="AH94">
        <v>32.377255600082499</v>
      </c>
      <c r="AI94">
        <v>91.9380820937469</v>
      </c>
      <c r="AJ94">
        <v>82.688008328762905</v>
      </c>
      <c r="AK94">
        <v>32.661395459165497</v>
      </c>
      <c r="AL94">
        <v>88.013271826536794</v>
      </c>
      <c r="AM94">
        <v>96.386487671345094</v>
      </c>
      <c r="AN94">
        <v>1.0000000056387599</v>
      </c>
    </row>
    <row r="95" spans="1:40" x14ac:dyDescent="0.3">
      <c r="A95" t="str">
        <f>"20200111145917843"</f>
        <v>20200111145917843</v>
      </c>
      <c r="B95" t="str">
        <f>"1578725957835746"</f>
        <v>1578725957835746</v>
      </c>
      <c r="C95" t="s">
        <v>40</v>
      </c>
      <c r="D95">
        <v>3.988858</v>
      </c>
      <c r="E95">
        <v>0.59211420000000003</v>
      </c>
      <c r="F95" t="s">
        <v>42</v>
      </c>
      <c r="G95">
        <v>-440.51209999999998</v>
      </c>
      <c r="H95" s="1">
        <v>-5.6457269999999997E-6</v>
      </c>
      <c r="I95">
        <v>362.96260000000001</v>
      </c>
      <c r="J95">
        <v>-472.32749999999999</v>
      </c>
      <c r="K95">
        <v>1.1046039999999999</v>
      </c>
      <c r="L95">
        <v>367.4708</v>
      </c>
      <c r="M95">
        <v>0.99983940000000004</v>
      </c>
      <c r="N95">
        <v>0</v>
      </c>
      <c r="O95">
        <v>-1.277404E-2</v>
      </c>
      <c r="P95">
        <v>0.99486479999999999</v>
      </c>
      <c r="Q95">
        <v>2.2361059999999999E-2</v>
      </c>
      <c r="R95">
        <v>9.8713090000000003E-2</v>
      </c>
      <c r="S95">
        <v>3.0606990000000001</v>
      </c>
      <c r="T95">
        <v>-0.10597620000000001</v>
      </c>
      <c r="U95">
        <v>-0.43264770000000002</v>
      </c>
      <c r="V95">
        <v>-0.11140750000000001</v>
      </c>
      <c r="W95">
        <v>3.4885310000000003E-2</v>
      </c>
      <c r="X95">
        <v>0.99316230000000005</v>
      </c>
      <c r="Y95">
        <v>0.1272364</v>
      </c>
      <c r="Z95">
        <v>-1.75132E-3</v>
      </c>
      <c r="AA95">
        <v>0.9918709</v>
      </c>
      <c r="AB95">
        <v>10</v>
      </c>
      <c r="AC95">
        <v>31.8154</v>
      </c>
      <c r="AD95">
        <v>-1.104609645727</v>
      </c>
      <c r="AE95">
        <v>-4.50819999999998</v>
      </c>
      <c r="AF95">
        <v>4.09654789598956</v>
      </c>
      <c r="AG95">
        <v>-1.104609645727</v>
      </c>
      <c r="AH95">
        <v>31.832779231634401</v>
      </c>
      <c r="AI95">
        <v>91.971146008931797</v>
      </c>
      <c r="AJ95">
        <v>82.666932341751405</v>
      </c>
      <c r="AK95">
        <v>32.114291222811403</v>
      </c>
      <c r="AL95">
        <v>88.000813303489196</v>
      </c>
      <c r="AM95">
        <v>96.400370262450593</v>
      </c>
      <c r="AN95">
        <v>0.999999985025667</v>
      </c>
    </row>
    <row r="96" spans="1:40" x14ac:dyDescent="0.3">
      <c r="A96" t="str">
        <f>"20200111145917858"</f>
        <v>20200111145917858</v>
      </c>
      <c r="B96" t="str">
        <f>"1578725957845505"</f>
        <v>1578725957845505</v>
      </c>
      <c r="C96" t="s">
        <v>40</v>
      </c>
      <c r="D96">
        <v>4.0401680000000004</v>
      </c>
      <c r="E96">
        <v>0.56007399999999996</v>
      </c>
      <c r="F96" t="s">
        <v>42</v>
      </c>
      <c r="G96">
        <v>-440.2577</v>
      </c>
      <c r="H96" s="1">
        <v>-5.7711940000000002E-6</v>
      </c>
      <c r="I96">
        <v>362.93329999999997</v>
      </c>
      <c r="J96">
        <v>-472.25790000000001</v>
      </c>
      <c r="K96">
        <v>1.104614</v>
      </c>
      <c r="L96">
        <v>367.46980000000002</v>
      </c>
      <c r="M96">
        <v>0.99983659999999996</v>
      </c>
      <c r="N96">
        <v>0</v>
      </c>
      <c r="O96">
        <v>-1.2920360000000001E-2</v>
      </c>
      <c r="P96">
        <v>0.99486799999999997</v>
      </c>
      <c r="Q96">
        <v>2.2201100000000001E-2</v>
      </c>
      <c r="R96">
        <v>9.8716419999999999E-2</v>
      </c>
      <c r="S96">
        <v>3.0608219999999999</v>
      </c>
      <c r="T96">
        <v>-0.1054268</v>
      </c>
      <c r="U96">
        <v>-0.43307499999999999</v>
      </c>
      <c r="V96">
        <v>-0.11155660000000001</v>
      </c>
      <c r="W96">
        <v>3.4790469999999997E-2</v>
      </c>
      <c r="X96">
        <v>0.9931489</v>
      </c>
      <c r="Y96">
        <v>0.12722229999999901</v>
      </c>
      <c r="Z96">
        <v>-1.736907E-3</v>
      </c>
      <c r="AA96">
        <v>0.99187270000000005</v>
      </c>
      <c r="AB96">
        <v>10</v>
      </c>
      <c r="AC96">
        <v>32.0002</v>
      </c>
      <c r="AD96">
        <v>-1.104619771194</v>
      </c>
      <c r="AE96">
        <v>-4.5365000000000402</v>
      </c>
      <c r="AF96">
        <v>4.1178241056627503</v>
      </c>
      <c r="AG96">
        <v>-1.104619771194</v>
      </c>
      <c r="AH96">
        <v>32.0187453919973</v>
      </c>
      <c r="AI96">
        <v>91.959744970761193</v>
      </c>
      <c r="AJ96">
        <v>82.671607204709105</v>
      </c>
      <c r="AK96">
        <v>32.301342335600197</v>
      </c>
      <c r="AL96">
        <v>88.006250555103307</v>
      </c>
      <c r="AM96">
        <v>96.408950598669193</v>
      </c>
      <c r="AN96">
        <v>0.99999999468879497</v>
      </c>
    </row>
    <row r="97" spans="1:40" x14ac:dyDescent="0.3">
      <c r="A97" t="str">
        <f>"20200111145917876"</f>
        <v>20200111145917876</v>
      </c>
      <c r="B97" t="str">
        <f>"1578725957866001"</f>
        <v>1578725957866001</v>
      </c>
      <c r="C97" t="s">
        <v>40</v>
      </c>
      <c r="D97">
        <v>4.0901339999999999</v>
      </c>
      <c r="E97">
        <v>0.55130170000000001</v>
      </c>
      <c r="F97" t="s">
        <v>43</v>
      </c>
      <c r="G97">
        <v>-419.91329999999999</v>
      </c>
      <c r="H97">
        <v>-0.05</v>
      </c>
      <c r="I97">
        <v>364.38299999999998</v>
      </c>
      <c r="J97">
        <v>-472.1728</v>
      </c>
      <c r="K97">
        <v>1.1046279999999999</v>
      </c>
      <c r="L97">
        <v>367.46839999999997</v>
      </c>
      <c r="M97">
        <v>0.99983330000000004</v>
      </c>
      <c r="N97">
        <v>0</v>
      </c>
      <c r="O97">
        <v>-1.3099980000000001E-2</v>
      </c>
      <c r="P97">
        <v>0.99486940000000001</v>
      </c>
      <c r="Q97">
        <v>2.20815E-2</v>
      </c>
      <c r="R97">
        <v>9.8730269999999995E-2</v>
      </c>
      <c r="S97">
        <v>3.0346980000000001</v>
      </c>
      <c r="T97">
        <v>-6.6939120000000005E-2</v>
      </c>
      <c r="U97">
        <v>-0.17895510000000001</v>
      </c>
      <c r="V97">
        <v>-0.111749</v>
      </c>
      <c r="W97">
        <v>3.4741870000000001E-2</v>
      </c>
      <c r="X97">
        <v>0.99312900000000004</v>
      </c>
      <c r="Y97">
        <v>4.5776089999999998E-2</v>
      </c>
      <c r="Z97">
        <v>-2.157014E-4</v>
      </c>
      <c r="AA97">
        <v>0.9989517</v>
      </c>
      <c r="AB97">
        <v>10</v>
      </c>
      <c r="AC97">
        <v>52.259500000000003</v>
      </c>
      <c r="AD97">
        <v>-1.154628</v>
      </c>
      <c r="AE97">
        <v>-3.0853999999999302</v>
      </c>
      <c r="AF97">
        <v>2.39931426319612</v>
      </c>
      <c r="AG97">
        <v>-1.154628</v>
      </c>
      <c r="AH97">
        <v>52.270009921111999</v>
      </c>
      <c r="AI97">
        <v>91.264109243453703</v>
      </c>
      <c r="AJ97">
        <v>87.371836127363807</v>
      </c>
      <c r="AK97">
        <v>52.337785699292901</v>
      </c>
      <c r="AL97">
        <v>88.009036871926398</v>
      </c>
      <c r="AM97">
        <v>96.420039380131101</v>
      </c>
      <c r="AN97">
        <v>1.0000000235865401</v>
      </c>
    </row>
    <row r="98" spans="1:40" x14ac:dyDescent="0.3">
      <c r="A98" t="str">
        <f>"20200111145917891"</f>
        <v>20200111145917891</v>
      </c>
      <c r="B98" t="str">
        <f>"1578725957885522"</f>
        <v>1578725957885522</v>
      </c>
      <c r="C98" t="s">
        <v>40</v>
      </c>
      <c r="D98">
        <v>3.8999169999999999</v>
      </c>
      <c r="E98">
        <v>0.54715119999999995</v>
      </c>
      <c r="F98" t="s">
        <v>42</v>
      </c>
      <c r="G98">
        <v>-380.37459999999999</v>
      </c>
      <c r="H98" s="1">
        <v>-5.0825419999999999E-6</v>
      </c>
      <c r="I98">
        <v>364.14240000000001</v>
      </c>
      <c r="J98">
        <v>-472.10469999999998</v>
      </c>
      <c r="K98">
        <v>1.1046389999999999</v>
      </c>
      <c r="L98">
        <v>367.4674</v>
      </c>
      <c r="M98">
        <v>0.99983080000000002</v>
      </c>
      <c r="N98">
        <v>0</v>
      </c>
      <c r="O98">
        <v>-1.3243700000000001E-2</v>
      </c>
      <c r="P98">
        <v>0.99486459999999999</v>
      </c>
      <c r="Q98">
        <v>2.196041E-2</v>
      </c>
      <c r="R98">
        <v>9.8805980000000002E-2</v>
      </c>
      <c r="S98">
        <v>3.0271910000000002</v>
      </c>
      <c r="T98">
        <v>-3.6427019999999997E-2</v>
      </c>
      <c r="U98">
        <v>-0.10968020000000001</v>
      </c>
      <c r="V98">
        <v>-0.1119671</v>
      </c>
      <c r="W98">
        <v>3.4671809999999997E-2</v>
      </c>
      <c r="X98">
        <v>0.99310679999999996</v>
      </c>
      <c r="Y98">
        <v>2.2967930000000001E-2</v>
      </c>
      <c r="Z98" s="1">
        <v>2.1167619999999998E-5</v>
      </c>
      <c r="AA98">
        <v>0.99973619999999996</v>
      </c>
      <c r="AB98">
        <v>10</v>
      </c>
      <c r="AC98">
        <v>91.730099999999993</v>
      </c>
      <c r="AD98">
        <v>-1.1046440825420001</v>
      </c>
      <c r="AE98">
        <v>-3.3249999999999802</v>
      </c>
      <c r="AF98">
        <v>2.1094579044800099</v>
      </c>
      <c r="AG98">
        <v>-1.1046440825420001</v>
      </c>
      <c r="AH98">
        <v>91.752804378561805</v>
      </c>
      <c r="AI98">
        <v>90.689588384722299</v>
      </c>
      <c r="AJ98">
        <v>88.682963995782899</v>
      </c>
      <c r="AK98">
        <v>91.783697694800395</v>
      </c>
      <c r="AL98">
        <v>88.013053269914394</v>
      </c>
      <c r="AM98">
        <v>96.432607008232196</v>
      </c>
      <c r="AN98">
        <v>0.99999994104866097</v>
      </c>
    </row>
    <row r="99" spans="1:40" x14ac:dyDescent="0.3">
      <c r="A99" t="str">
        <f>"20200111145917908"</f>
        <v>20200111145917908</v>
      </c>
      <c r="B99" t="str">
        <f>"1578725957906018"</f>
        <v>1578725957906018</v>
      </c>
      <c r="C99" t="s">
        <v>40</v>
      </c>
      <c r="D99">
        <v>3.9767939999999999</v>
      </c>
      <c r="E99">
        <v>0.54620369999999996</v>
      </c>
      <c r="F99" t="s">
        <v>43</v>
      </c>
      <c r="G99">
        <v>-293.52679999999998</v>
      </c>
      <c r="H99">
        <v>-0.05</v>
      </c>
      <c r="I99">
        <v>362.93430000000001</v>
      </c>
      <c r="J99">
        <v>-472.02249999999998</v>
      </c>
      <c r="K99">
        <v>1.104654</v>
      </c>
      <c r="L99">
        <v>367.46609999999998</v>
      </c>
      <c r="M99">
        <v>0.99982760000000004</v>
      </c>
      <c r="N99">
        <v>0</v>
      </c>
      <c r="O99">
        <v>-1.341678E-2</v>
      </c>
      <c r="P99">
        <v>0.99490020000000001</v>
      </c>
      <c r="Q99">
        <v>2.1849250000000001E-2</v>
      </c>
      <c r="R99">
        <v>9.84704E-2</v>
      </c>
      <c r="S99">
        <v>3.0235289999999999</v>
      </c>
      <c r="T99">
        <v>-1.954937E-2</v>
      </c>
      <c r="U99">
        <v>-7.6751710000000001E-2</v>
      </c>
      <c r="V99">
        <v>-0.111804399999999</v>
      </c>
      <c r="W99">
        <v>3.461653E-2</v>
      </c>
      <c r="X99">
        <v>0.99312710000000004</v>
      </c>
      <c r="Y99">
        <v>1.196082E-2</v>
      </c>
      <c r="Z99" s="1">
        <v>4.807496E-5</v>
      </c>
      <c r="AA99">
        <v>0.9999285</v>
      </c>
      <c r="AB99">
        <v>10</v>
      </c>
      <c r="AC99">
        <v>178.4957</v>
      </c>
      <c r="AD99">
        <v>-1.1546540000000001</v>
      </c>
      <c r="AE99">
        <v>-4.5317999999999703</v>
      </c>
      <c r="AF99">
        <v>2.1362678450029602</v>
      </c>
      <c r="AG99">
        <v>-1.1546540000000001</v>
      </c>
      <c r="AH99">
        <v>178.53297231871699</v>
      </c>
      <c r="AI99">
        <v>90.370526196851301</v>
      </c>
      <c r="AJ99">
        <v>89.314449937493194</v>
      </c>
      <c r="AK99">
        <v>178.54948633676099</v>
      </c>
      <c r="AL99">
        <v>88.016222565266503</v>
      </c>
      <c r="AM99">
        <v>96.423207732104203</v>
      </c>
      <c r="AN99">
        <v>0.999999982381505</v>
      </c>
    </row>
    <row r="100" spans="1:40" x14ac:dyDescent="0.3">
      <c r="A100" t="str">
        <f>"20200111145917923"</f>
        <v>20200111145917923</v>
      </c>
      <c r="B100" t="str">
        <f>"1578725957915780"</f>
        <v>1578725957915780</v>
      </c>
      <c r="C100" t="s">
        <v>40</v>
      </c>
      <c r="D100">
        <v>3.9981469999999999</v>
      </c>
      <c r="E100">
        <v>0.54585329999999999</v>
      </c>
      <c r="F100" t="s">
        <v>44</v>
      </c>
      <c r="G100">
        <v>-158.19499999999999</v>
      </c>
      <c r="H100">
        <v>1.2781229999999999</v>
      </c>
      <c r="I100">
        <v>360.13339999999999</v>
      </c>
      <c r="J100">
        <v>-471.95740000000001</v>
      </c>
      <c r="K100">
        <v>1.1046659999999999</v>
      </c>
      <c r="L100">
        <v>367.46510000000001</v>
      </c>
      <c r="M100">
        <v>0.99982550000000003</v>
      </c>
      <c r="N100">
        <v>0</v>
      </c>
      <c r="O100">
        <v>-1.3553999999999899E-2</v>
      </c>
      <c r="P100">
        <v>0.99492369999999997</v>
      </c>
      <c r="Q100">
        <v>2.1383180000000002E-2</v>
      </c>
      <c r="R100">
        <v>9.8336060000000003E-2</v>
      </c>
      <c r="S100">
        <v>3.0223080000000002</v>
      </c>
      <c r="T100">
        <v>1.6714329999999999E-3</v>
      </c>
      <c r="U100">
        <v>-7.0617680000000002E-2</v>
      </c>
      <c r="V100">
        <v>-0.111807</v>
      </c>
      <c r="W100">
        <v>3.419001E-2</v>
      </c>
      <c r="X100">
        <v>0.99314159999999996</v>
      </c>
      <c r="Y100">
        <v>9.8055380000000008E-3</v>
      </c>
      <c r="Z100" s="1">
        <v>-4.7839059999999998E-6</v>
      </c>
      <c r="AA100">
        <v>0.9999519</v>
      </c>
      <c r="AB100">
        <v>10</v>
      </c>
      <c r="AC100">
        <v>313.76240000000001</v>
      </c>
      <c r="AD100">
        <v>0.173456999999999</v>
      </c>
      <c r="AE100">
        <v>-7.3317000000000103</v>
      </c>
      <c r="AF100">
        <v>3.0779384471208999</v>
      </c>
      <c r="AG100">
        <v>0.173456999999999</v>
      </c>
      <c r="AH100">
        <v>313.83285933587501</v>
      </c>
      <c r="AI100">
        <v>89.968333860599799</v>
      </c>
      <c r="AJ100">
        <v>89.4380855180396</v>
      </c>
      <c r="AK100">
        <v>313.84800045778002</v>
      </c>
      <c r="AL100">
        <v>88.040674870940194</v>
      </c>
      <c r="AM100">
        <v>96.423262856686193</v>
      </c>
      <c r="AN100">
        <v>0.99999999984167998</v>
      </c>
    </row>
    <row r="101" spans="1:40" x14ac:dyDescent="0.3">
      <c r="A101" t="str">
        <f>"20200111145917938"</f>
        <v>20200111145917938</v>
      </c>
      <c r="B101" t="str">
        <f>"1578725957925537"</f>
        <v>1578725957925537</v>
      </c>
      <c r="C101" t="s">
        <v>40</v>
      </c>
      <c r="D101">
        <v>4.0521630000000002</v>
      </c>
      <c r="E101">
        <v>0.54543430000000004</v>
      </c>
      <c r="F101" t="s">
        <v>44</v>
      </c>
      <c r="G101">
        <v>-158.19499999999999</v>
      </c>
      <c r="H101">
        <v>1.6702439999999901</v>
      </c>
      <c r="I101">
        <v>360.37060000000002</v>
      </c>
      <c r="J101">
        <v>-471.88659999999999</v>
      </c>
      <c r="K101">
        <v>1.1046720000000001</v>
      </c>
      <c r="L101">
        <v>367.46390000000002</v>
      </c>
      <c r="M101">
        <v>0.99982289999999996</v>
      </c>
      <c r="N101">
        <v>0</v>
      </c>
      <c r="O101">
        <v>-1.3702890000000001E-2</v>
      </c>
      <c r="P101">
        <v>0.99496660000000003</v>
      </c>
      <c r="Q101">
        <v>2.1435139999999998E-2</v>
      </c>
      <c r="R101">
        <v>9.7890110000000002E-2</v>
      </c>
      <c r="S101">
        <v>3.0219420000000001</v>
      </c>
      <c r="T101">
        <v>5.4481030000000001E-3</v>
      </c>
      <c r="U101">
        <v>-6.8328860000000005E-2</v>
      </c>
      <c r="V101">
        <v>-0.1115097</v>
      </c>
      <c r="W101">
        <v>3.4281039999999999E-2</v>
      </c>
      <c r="X101">
        <v>0.9931719</v>
      </c>
      <c r="Y101">
        <v>8.9024889999999995E-3</v>
      </c>
      <c r="Z101" s="1">
        <v>-1.6677679999999902E-5</v>
      </c>
      <c r="AA101">
        <v>0.99996039999999997</v>
      </c>
      <c r="AB101">
        <v>10</v>
      </c>
      <c r="AC101">
        <v>313.69159999999999</v>
      </c>
      <c r="AD101">
        <v>0.56557199999999996</v>
      </c>
      <c r="AE101">
        <v>-7.0932999999999904</v>
      </c>
      <c r="AF101">
        <v>2.7937856634840599</v>
      </c>
      <c r="AG101">
        <v>0.56557199999999996</v>
      </c>
      <c r="AH101">
        <v>313.75833030671799</v>
      </c>
      <c r="AI101">
        <v>89.896724434573798</v>
      </c>
      <c r="AJ101">
        <v>89.489836980767507</v>
      </c>
      <c r="AK101">
        <v>313.77127807828498</v>
      </c>
      <c r="AL101">
        <v>88.035456202601395</v>
      </c>
      <c r="AM101">
        <v>96.406131464484204</v>
      </c>
      <c r="AN101">
        <v>1.00000001292359</v>
      </c>
    </row>
    <row r="102" spans="1:40" x14ac:dyDescent="0.3">
      <c r="A102" t="str">
        <f>"20200111145917956"</f>
        <v>20200111145917956</v>
      </c>
      <c r="B102" t="str">
        <f>"1578725957946034"</f>
        <v>1578725957946034</v>
      </c>
      <c r="C102" t="s">
        <v>40</v>
      </c>
      <c r="D102">
        <v>3.9630939999999999</v>
      </c>
      <c r="E102">
        <v>0.54412069999999901</v>
      </c>
      <c r="F102" t="s">
        <v>44</v>
      </c>
      <c r="G102">
        <v>-158.19499999999999</v>
      </c>
      <c r="H102">
        <v>2.04312</v>
      </c>
      <c r="I102">
        <v>360.59500000000003</v>
      </c>
      <c r="J102">
        <v>-471.80250000000001</v>
      </c>
      <c r="K102">
        <v>1.104684</v>
      </c>
      <c r="L102">
        <v>367.46260000000001</v>
      </c>
      <c r="M102">
        <v>0.99981980000000004</v>
      </c>
      <c r="N102">
        <v>0</v>
      </c>
      <c r="O102">
        <v>-1.387969E-2</v>
      </c>
      <c r="P102">
        <v>0.99499919999999997</v>
      </c>
      <c r="Q102">
        <v>2.1139359999999999E-2</v>
      </c>
      <c r="R102">
        <v>9.762245E-2</v>
      </c>
      <c r="S102">
        <v>3.0214840000000001</v>
      </c>
      <c r="T102">
        <v>9.0399980000000005E-3</v>
      </c>
      <c r="U102">
        <v>-6.6162109999999996E-2</v>
      </c>
      <c r="V102">
        <v>-0.1114179</v>
      </c>
      <c r="W102">
        <v>3.402608E-2</v>
      </c>
      <c r="X102">
        <v>0.99319089999999999</v>
      </c>
      <c r="Y102">
        <v>8.0123650000000005E-3</v>
      </c>
      <c r="Z102" s="1">
        <v>-2.9537910000000001E-5</v>
      </c>
      <c r="AA102">
        <v>0.99996790000000002</v>
      </c>
      <c r="AB102">
        <v>10</v>
      </c>
      <c r="AC102">
        <v>313.60750000000002</v>
      </c>
      <c r="AD102">
        <v>0.93843600000000005</v>
      </c>
      <c r="AE102">
        <v>-6.8675999999999799</v>
      </c>
      <c r="AF102">
        <v>2.51377589639432</v>
      </c>
      <c r="AG102">
        <v>0.93843600000000005</v>
      </c>
      <c r="AH102">
        <v>313.66980666960302</v>
      </c>
      <c r="AI102">
        <v>89.828588745162804</v>
      </c>
      <c r="AJ102">
        <v>89.540836691576104</v>
      </c>
      <c r="AK102">
        <v>313.68128306854601</v>
      </c>
      <c r="AL102">
        <v>88.050072725794607</v>
      </c>
      <c r="AM102">
        <v>96.400779991733899</v>
      </c>
      <c r="AN102">
        <v>0.99999994320169105</v>
      </c>
    </row>
    <row r="103" spans="1:40" x14ac:dyDescent="0.3">
      <c r="A103" t="str">
        <f>"20200111145917978"</f>
        <v>20200111145917978</v>
      </c>
      <c r="B103" t="str">
        <f>"1578725957965553"</f>
        <v>1578725957965553</v>
      </c>
      <c r="C103" t="s">
        <v>40</v>
      </c>
      <c r="D103">
        <v>4.0244759999999999</v>
      </c>
      <c r="E103">
        <v>0.54308999999999996</v>
      </c>
      <c r="F103" t="s">
        <v>44</v>
      </c>
      <c r="G103">
        <v>-158.19499999999999</v>
      </c>
      <c r="H103">
        <v>1.488327</v>
      </c>
      <c r="I103">
        <v>361.5883</v>
      </c>
      <c r="J103">
        <v>-471.70620000000002</v>
      </c>
      <c r="K103">
        <v>1.104697</v>
      </c>
      <c r="L103">
        <v>367.46100000000001</v>
      </c>
      <c r="M103">
        <v>0.9998165</v>
      </c>
      <c r="N103">
        <v>0</v>
      </c>
      <c r="O103">
        <v>-1.408247E-2</v>
      </c>
      <c r="P103">
        <v>0.99504060000000005</v>
      </c>
      <c r="Q103">
        <v>2.0679489999999998E-2</v>
      </c>
      <c r="R103">
        <v>9.7296999999999995E-2</v>
      </c>
      <c r="S103">
        <v>3.0205690000000001</v>
      </c>
      <c r="T103">
        <v>3.6959649999999998E-3</v>
      </c>
      <c r="U103">
        <v>-5.6579589999999999E-2</v>
      </c>
      <c r="V103">
        <v>-0.1112949</v>
      </c>
      <c r="W103">
        <v>3.360718E-2</v>
      </c>
      <c r="X103">
        <v>0.99321899999999996</v>
      </c>
      <c r="Y103">
        <v>4.6451089999999997E-3</v>
      </c>
      <c r="Z103" s="1">
        <v>-1.4388619999999999E-5</v>
      </c>
      <c r="AA103">
        <v>0.99998920000000002</v>
      </c>
      <c r="AB103">
        <v>10</v>
      </c>
      <c r="AC103">
        <v>313.51119999999997</v>
      </c>
      <c r="AD103">
        <v>0.38362999999999903</v>
      </c>
      <c r="AE103">
        <v>-5.8727</v>
      </c>
      <c r="AF103">
        <v>1.4567309549049301</v>
      </c>
      <c r="AG103">
        <v>0.38362999999999903</v>
      </c>
      <c r="AH103">
        <v>313.56234582991902</v>
      </c>
      <c r="AI103">
        <v>89.929901877494899</v>
      </c>
      <c r="AJ103">
        <v>89.733820287258695</v>
      </c>
      <c r="AK103">
        <v>313.56596428728301</v>
      </c>
      <c r="AL103">
        <v>88.074087754081503</v>
      </c>
      <c r="AM103">
        <v>96.393592993471898</v>
      </c>
      <c r="AN103">
        <v>0.99999998963728098</v>
      </c>
    </row>
    <row r="104" spans="1:40" x14ac:dyDescent="0.3">
      <c r="A104" t="str">
        <f>"20200111145917991"</f>
        <v>20200111145917991</v>
      </c>
      <c r="B104" t="str">
        <f>"1578725957986051"</f>
        <v>1578725957986051</v>
      </c>
      <c r="C104" t="s">
        <v>40</v>
      </c>
      <c r="D104">
        <v>4.0340309999999997</v>
      </c>
      <c r="E104">
        <v>0.54226149999999995</v>
      </c>
      <c r="F104" t="s">
        <v>44</v>
      </c>
      <c r="G104">
        <v>-158.19499999999999</v>
      </c>
      <c r="H104">
        <v>0.94085980000000002</v>
      </c>
      <c r="I104">
        <v>362.34100000000001</v>
      </c>
      <c r="J104">
        <v>-471.6438</v>
      </c>
      <c r="K104">
        <v>1.104706</v>
      </c>
      <c r="L104">
        <v>367.4599</v>
      </c>
      <c r="M104">
        <v>0.99981430000000004</v>
      </c>
      <c r="N104">
        <v>0</v>
      </c>
      <c r="O104">
        <v>-1.421351E-2</v>
      </c>
      <c r="P104">
        <v>0.99505909999999997</v>
      </c>
      <c r="Q104">
        <v>2.0653689999999999E-2</v>
      </c>
      <c r="R104">
        <v>9.7113640000000001E-2</v>
      </c>
      <c r="S104">
        <v>3.0197750000000001</v>
      </c>
      <c r="T104">
        <v>-1.57725799999999E-3</v>
      </c>
      <c r="U104">
        <v>-4.9316409999999998E-2</v>
      </c>
      <c r="V104">
        <v>-0.1112419</v>
      </c>
      <c r="W104">
        <v>3.360432E-2</v>
      </c>
      <c r="X104">
        <v>0.99322500000000002</v>
      </c>
      <c r="Y104">
        <v>2.11451E-3</v>
      </c>
      <c r="Z104" s="1">
        <v>6.871407E-6</v>
      </c>
      <c r="AA104">
        <v>0.99999769999999999</v>
      </c>
      <c r="AB104">
        <v>10</v>
      </c>
      <c r="AC104">
        <v>313.44880000000001</v>
      </c>
      <c r="AD104">
        <v>-0.163846199999999</v>
      </c>
      <c r="AE104">
        <v>-5.1188999999999902</v>
      </c>
      <c r="AF104">
        <v>0.66279770794920401</v>
      </c>
      <c r="AG104">
        <v>-0.163846199999999</v>
      </c>
      <c r="AH104">
        <v>313.48980903167399</v>
      </c>
      <c r="AI104">
        <v>90.029945706821096</v>
      </c>
      <c r="AJ104">
        <v>89.878862235205006</v>
      </c>
      <c r="AK104">
        <v>313.490552510111</v>
      </c>
      <c r="AL104">
        <v>88.074251647110799</v>
      </c>
      <c r="AM104">
        <v>96.390535195008894</v>
      </c>
      <c r="AN104">
        <v>0.99999995563163502</v>
      </c>
    </row>
    <row r="105" spans="1:40" x14ac:dyDescent="0.3">
      <c r="A105" t="str">
        <f>"20200111145918004"</f>
        <v>20200111145918004</v>
      </c>
      <c r="B105" t="str">
        <f>"1578725957995809"</f>
        <v>1578725957995809</v>
      </c>
      <c r="C105" t="s">
        <v>40</v>
      </c>
      <c r="D105">
        <v>4.0321980000000002</v>
      </c>
      <c r="E105">
        <v>0.54226339999999995</v>
      </c>
      <c r="F105" t="s">
        <v>44</v>
      </c>
      <c r="G105">
        <v>-158.19499999999999</v>
      </c>
      <c r="H105">
        <v>0.82685759999999897</v>
      </c>
      <c r="I105">
        <v>362.94819999999999</v>
      </c>
      <c r="J105">
        <v>-471.58030000000002</v>
      </c>
      <c r="K105">
        <v>1.1047180000000001</v>
      </c>
      <c r="L105">
        <v>367.45890000000003</v>
      </c>
      <c r="M105">
        <v>0.99981220000000004</v>
      </c>
      <c r="N105">
        <v>0</v>
      </c>
      <c r="O105">
        <v>-1.434703E-2</v>
      </c>
      <c r="P105">
        <v>0.99508540000000001</v>
      </c>
      <c r="Q105">
        <v>2.0648860000000002E-2</v>
      </c>
      <c r="R105">
        <v>9.6844550000000001E-2</v>
      </c>
      <c r="S105">
        <v>3.0191650000000001</v>
      </c>
      <c r="T105">
        <v>-2.6754140000000001E-3</v>
      </c>
      <c r="U105">
        <v>-4.3457030000000001E-2</v>
      </c>
      <c r="V105">
        <v>-0.11110589999999999</v>
      </c>
      <c r="W105">
        <v>3.3621959999999999E-2</v>
      </c>
      <c r="X105">
        <v>0.99323969999999995</v>
      </c>
      <c r="Y105">
        <v>0</v>
      </c>
      <c r="Z105">
        <v>0</v>
      </c>
      <c r="AA105">
        <v>1</v>
      </c>
      <c r="AB105">
        <v>10</v>
      </c>
      <c r="AC105">
        <v>313.38529999999997</v>
      </c>
      <c r="AD105">
        <v>-0.27786040000000001</v>
      </c>
      <c r="AE105">
        <v>-4.5107000000000399</v>
      </c>
      <c r="AF105">
        <v>1.3705742279428E-2</v>
      </c>
      <c r="AG105">
        <v>-0.27786040000000001</v>
      </c>
      <c r="AH105">
        <v>313.41751398112802</v>
      </c>
      <c r="AI105">
        <v>90.050795578796496</v>
      </c>
      <c r="AJ105">
        <v>89.997494456588498</v>
      </c>
      <c r="AK105">
        <v>313.41763744939402</v>
      </c>
      <c r="AL105">
        <v>88.073240520316403</v>
      </c>
      <c r="AM105">
        <v>96.382693207705103</v>
      </c>
      <c r="AN105">
        <v>1.0000000294325699</v>
      </c>
    </row>
    <row r="106" spans="1:40" x14ac:dyDescent="0.3">
      <c r="A106" t="str">
        <f>"20200111145918020"</f>
        <v>20200111145918020</v>
      </c>
      <c r="B106" t="str">
        <f>"1578725958016305"</f>
        <v>1578725958016305</v>
      </c>
      <c r="C106" t="s">
        <v>40</v>
      </c>
      <c r="D106">
        <v>4.1307029999999996</v>
      </c>
      <c r="E106">
        <v>0.54222919999999997</v>
      </c>
      <c r="F106" t="s">
        <v>44</v>
      </c>
      <c r="G106">
        <v>-158.19499999999999</v>
      </c>
      <c r="H106">
        <v>0.58111380000000001</v>
      </c>
      <c r="I106">
        <v>362.88479999999998</v>
      </c>
      <c r="J106">
        <v>-471.51119999999997</v>
      </c>
      <c r="K106">
        <v>1.1047279999999999</v>
      </c>
      <c r="L106">
        <v>367.45769999999999</v>
      </c>
      <c r="M106">
        <v>0.99980990000000003</v>
      </c>
      <c r="N106">
        <v>0</v>
      </c>
      <c r="O106">
        <v>-1.44926E-2</v>
      </c>
      <c r="P106">
        <v>0.99506760000000005</v>
      </c>
      <c r="Q106">
        <v>2.0973450000000001E-2</v>
      </c>
      <c r="R106">
        <v>9.6958520000000006E-2</v>
      </c>
      <c r="S106">
        <v>3.019196</v>
      </c>
      <c r="T106">
        <v>-5.0436259999999998E-3</v>
      </c>
      <c r="U106">
        <v>-4.4067380000000003E-2</v>
      </c>
      <c r="V106">
        <v>-0.11136409999999999</v>
      </c>
      <c r="W106">
        <v>3.3967459999999998E-2</v>
      </c>
      <c r="X106">
        <v>0.99319900000000005</v>
      </c>
      <c r="Y106">
        <v>1.003814E-4</v>
      </c>
      <c r="Z106" s="1">
        <v>2.4125809999999999E-5</v>
      </c>
      <c r="AA106">
        <v>1</v>
      </c>
      <c r="AB106">
        <v>10</v>
      </c>
      <c r="AC106">
        <v>313.31619999999998</v>
      </c>
      <c r="AD106">
        <v>-0.52361420000000003</v>
      </c>
      <c r="AE106">
        <v>-4.5728999999999997</v>
      </c>
      <c r="AF106">
        <v>3.1266904097772198E-2</v>
      </c>
      <c r="AG106">
        <v>-0.52361420000000003</v>
      </c>
      <c r="AH106">
        <v>313.34869279744299</v>
      </c>
      <c r="AI106">
        <v>90.095742718476998</v>
      </c>
      <c r="AJ106">
        <v>89.994282849494894</v>
      </c>
      <c r="AK106">
        <v>313.34913184388398</v>
      </c>
      <c r="AL106">
        <v>88.0534334624016</v>
      </c>
      <c r="AM106">
        <v>96.397663156803404</v>
      </c>
      <c r="AN106">
        <v>1.0000000023543301</v>
      </c>
    </row>
    <row r="107" spans="1:40" x14ac:dyDescent="0.3">
      <c r="A107" t="str">
        <f>"20200111145918032"</f>
        <v>20200111145918032</v>
      </c>
      <c r="B107" t="str">
        <f>"1578725958026066"</f>
        <v>1578725958026066</v>
      </c>
      <c r="C107" t="s">
        <v>40</v>
      </c>
      <c r="D107">
        <v>4.0944500000000001</v>
      </c>
      <c r="E107">
        <v>0.54218529999999998</v>
      </c>
      <c r="F107" t="s">
        <v>44</v>
      </c>
      <c r="G107">
        <v>-158.19499999999999</v>
      </c>
      <c r="H107">
        <v>0.17165849999999999</v>
      </c>
      <c r="I107">
        <v>362.89760000000001</v>
      </c>
      <c r="J107">
        <v>-471.45650000000001</v>
      </c>
      <c r="K107">
        <v>1.104735</v>
      </c>
      <c r="L107">
        <v>367.45679999999999</v>
      </c>
      <c r="M107">
        <v>0.99980789999999997</v>
      </c>
      <c r="N107">
        <v>0</v>
      </c>
      <c r="O107">
        <v>-1.460725E-2</v>
      </c>
      <c r="P107">
        <v>0.99505639999999995</v>
      </c>
      <c r="Q107">
        <v>2.093279E-2</v>
      </c>
      <c r="R107">
        <v>9.7081550000000003E-2</v>
      </c>
      <c r="S107">
        <v>3.0193789999999998</v>
      </c>
      <c r="T107">
        <v>-8.9910029999999991E-3</v>
      </c>
      <c r="U107">
        <v>-4.3945310000000001E-2</v>
      </c>
      <c r="V107">
        <v>-0.11160150000000001</v>
      </c>
      <c r="W107">
        <v>3.3941249999999999E-2</v>
      </c>
      <c r="X107">
        <v>0.99317319999999998</v>
      </c>
      <c r="Y107" s="1">
        <v>-5.5554779999999997E-5</v>
      </c>
      <c r="Z107" s="1">
        <v>4.3578680000000002E-5</v>
      </c>
      <c r="AA107">
        <v>1</v>
      </c>
      <c r="AB107">
        <v>10</v>
      </c>
      <c r="AC107">
        <v>313.26150000000001</v>
      </c>
      <c r="AD107">
        <v>-0.93307649999999998</v>
      </c>
      <c r="AE107">
        <v>-4.5591999999999704</v>
      </c>
      <c r="AF107">
        <v>-1.7566212536871999E-2</v>
      </c>
      <c r="AG107">
        <v>-0.93307649999999998</v>
      </c>
      <c r="AH107">
        <v>313.29189606176499</v>
      </c>
      <c r="AI107">
        <v>90.170643377405298</v>
      </c>
      <c r="AJ107">
        <v>90.003212562635596</v>
      </c>
      <c r="AK107">
        <v>313.293286040895</v>
      </c>
      <c r="AL107">
        <v>88.054935957546306</v>
      </c>
      <c r="AM107">
        <v>96.411353073219502</v>
      </c>
      <c r="AN107">
        <v>0.99999995422602495</v>
      </c>
    </row>
    <row r="108" spans="1:40" x14ac:dyDescent="0.3">
      <c r="A108" t="str">
        <f>"20200111145918046"</f>
        <v>20200111145918046</v>
      </c>
      <c r="B108" t="str">
        <f>"1578725958035825"</f>
        <v>1578725958035825</v>
      </c>
      <c r="C108" t="s">
        <v>40</v>
      </c>
      <c r="D108">
        <v>4.1907629999999996</v>
      </c>
      <c r="E108">
        <v>0.54214980000000002</v>
      </c>
      <c r="F108" t="s">
        <v>45</v>
      </c>
      <c r="G108">
        <v>-179.97409999999999</v>
      </c>
      <c r="H108">
        <v>7.5864109999999998E-2</v>
      </c>
      <c r="I108">
        <v>363.3116</v>
      </c>
      <c r="J108">
        <v>-471.39440000000002</v>
      </c>
      <c r="K108">
        <v>1.1047389999999999</v>
      </c>
      <c r="L108">
        <v>367.45569999999998</v>
      </c>
      <c r="M108">
        <v>0.99980579999999997</v>
      </c>
      <c r="N108">
        <v>0</v>
      </c>
      <c r="O108">
        <v>-1.473764E-2</v>
      </c>
      <c r="P108">
        <v>0.9950677</v>
      </c>
      <c r="Q108">
        <v>2.1152879999999999E-2</v>
      </c>
      <c r="R108">
        <v>9.6917600000000007E-2</v>
      </c>
      <c r="S108">
        <v>3.0193180000000002</v>
      </c>
      <c r="T108">
        <v>-1.065755E-2</v>
      </c>
      <c r="U108">
        <v>-4.2938230000000001E-2</v>
      </c>
      <c r="V108">
        <v>-0.1115675</v>
      </c>
      <c r="W108">
        <v>3.4177150000000003E-2</v>
      </c>
      <c r="X108">
        <v>0.99316899999999997</v>
      </c>
      <c r="Y108">
        <v>-5.1912810000000003E-4</v>
      </c>
      <c r="Z108" s="1">
        <v>5.2935790000000002E-5</v>
      </c>
      <c r="AA108">
        <v>0.99999990000000005</v>
      </c>
      <c r="AB108">
        <v>10</v>
      </c>
      <c r="AC108">
        <v>291.4203</v>
      </c>
      <c r="AD108">
        <v>-1.02887489</v>
      </c>
      <c r="AE108">
        <v>-4.1440999999999697</v>
      </c>
      <c r="AF108">
        <v>-0.15156333731583599</v>
      </c>
      <c r="AG108">
        <v>-1.02887489</v>
      </c>
      <c r="AH108">
        <v>291.446092301737</v>
      </c>
      <c r="AI108">
        <v>90.202267031677096</v>
      </c>
      <c r="AJ108">
        <v>90.029796037770396</v>
      </c>
      <c r="AK108">
        <v>291.44794779331801</v>
      </c>
      <c r="AL108">
        <v>88.0414121720883</v>
      </c>
      <c r="AM108">
        <v>96.409442955885893</v>
      </c>
      <c r="AN108">
        <v>1.00000002359968</v>
      </c>
    </row>
    <row r="109" spans="1:40" x14ac:dyDescent="0.3">
      <c r="A109" t="str">
        <f>"20200111145918059"</f>
        <v>20200111145918059</v>
      </c>
      <c r="B109" t="str">
        <f>"1578725958056321"</f>
        <v>1578725958056321</v>
      </c>
      <c r="C109" t="s">
        <v>40</v>
      </c>
      <c r="D109">
        <v>4.0229670000000004</v>
      </c>
      <c r="E109">
        <v>0.54188040000000004</v>
      </c>
      <c r="F109" t="s">
        <v>44</v>
      </c>
      <c r="G109">
        <v>-158.19499999999999</v>
      </c>
      <c r="H109">
        <v>0.26763439999999999</v>
      </c>
      <c r="I109">
        <v>362.9889</v>
      </c>
      <c r="J109">
        <v>-471.33449999999999</v>
      </c>
      <c r="K109">
        <v>1.104746</v>
      </c>
      <c r="L109">
        <v>367.4547</v>
      </c>
      <c r="M109">
        <v>0.99980380000000002</v>
      </c>
      <c r="N109">
        <v>0</v>
      </c>
      <c r="O109">
        <v>-1.486326E-2</v>
      </c>
      <c r="P109">
        <v>0.99505759999999999</v>
      </c>
      <c r="Q109">
        <v>2.1118359999999999E-2</v>
      </c>
      <c r="R109">
        <v>9.7029400000000002E-2</v>
      </c>
      <c r="S109">
        <v>3.0192260000000002</v>
      </c>
      <c r="T109">
        <v>-8.0687999999999992E-3</v>
      </c>
      <c r="U109">
        <v>-4.3060300000000003E-2</v>
      </c>
      <c r="V109">
        <v>-0.11180379999999999</v>
      </c>
      <c r="W109">
        <v>3.4156659999999998E-2</v>
      </c>
      <c r="X109">
        <v>0.99314309999999995</v>
      </c>
      <c r="Y109">
        <v>-6.0395540000000001E-4</v>
      </c>
      <c r="Z109" s="1">
        <v>4.0527800000000002E-5</v>
      </c>
      <c r="AA109">
        <v>0.99999979999999999</v>
      </c>
      <c r="AB109">
        <v>10</v>
      </c>
      <c r="AC109">
        <v>313.1395</v>
      </c>
      <c r="AD109">
        <v>-0.83711159999999996</v>
      </c>
      <c r="AE109">
        <v>-4.4657999999999998</v>
      </c>
      <c r="AF109">
        <v>-0.189364875359602</v>
      </c>
      <c r="AG109">
        <v>-0.83711159999999996</v>
      </c>
      <c r="AH109">
        <v>313.16904775886201</v>
      </c>
      <c r="AI109">
        <v>90.153153189956996</v>
      </c>
      <c r="AJ109">
        <v>90.034645208079894</v>
      </c>
      <c r="AK109">
        <v>313.17022382257102</v>
      </c>
      <c r="AL109">
        <v>88.042586786740898</v>
      </c>
      <c r="AM109">
        <v>96.423070934419897</v>
      </c>
      <c r="AN109">
        <v>0.99999999209720203</v>
      </c>
    </row>
    <row r="110" spans="1:40" x14ac:dyDescent="0.3">
      <c r="A110" t="str">
        <f>"20200111145918075"</f>
        <v>20200111145918075</v>
      </c>
      <c r="B110" t="str">
        <f>"1578725958066084"</f>
        <v>1578725958066084</v>
      </c>
      <c r="C110" t="s">
        <v>40</v>
      </c>
      <c r="D110">
        <v>4.0969110000000004</v>
      </c>
      <c r="E110">
        <v>0.54170719999999895</v>
      </c>
      <c r="F110" t="s">
        <v>45</v>
      </c>
      <c r="G110">
        <v>-177.14830000000001</v>
      </c>
      <c r="H110">
        <v>7.9988000000000004E-2</v>
      </c>
      <c r="I110">
        <v>363.49970000000002</v>
      </c>
      <c r="J110">
        <v>-471.25889999999998</v>
      </c>
      <c r="K110">
        <v>1.1047579999999999</v>
      </c>
      <c r="L110">
        <v>367.45339999999999</v>
      </c>
      <c r="M110">
        <v>0.99980119999999895</v>
      </c>
      <c r="N110">
        <v>0</v>
      </c>
      <c r="O110">
        <v>-1.502213E-2</v>
      </c>
      <c r="P110">
        <v>0.99505509999999997</v>
      </c>
      <c r="Q110">
        <v>2.0959060000000002E-2</v>
      </c>
      <c r="R110">
        <v>9.708899E-2</v>
      </c>
      <c r="S110">
        <v>3.019104</v>
      </c>
      <c r="T110">
        <v>-1.0516640000000001E-2</v>
      </c>
      <c r="U110">
        <v>-4.058838E-2</v>
      </c>
      <c r="V110">
        <v>-0.1120213</v>
      </c>
      <c r="W110">
        <v>3.4012260000000002E-2</v>
      </c>
      <c r="X110">
        <v>0.99312350000000005</v>
      </c>
      <c r="Y110">
        <v>-1.58085E-3</v>
      </c>
      <c r="Z110" s="1">
        <v>5.507998E-5</v>
      </c>
      <c r="AA110">
        <v>0.99999870000000002</v>
      </c>
      <c r="AB110">
        <v>10</v>
      </c>
      <c r="AC110">
        <v>294.11059999999998</v>
      </c>
      <c r="AD110">
        <v>-1.02477</v>
      </c>
      <c r="AE110">
        <v>-3.9536999999999698</v>
      </c>
      <c r="AF110">
        <v>-0.46528800819472399</v>
      </c>
      <c r="AG110">
        <v>-1.02477</v>
      </c>
      <c r="AH110">
        <v>294.13323514056299</v>
      </c>
      <c r="AI110">
        <v>90.199619349074496</v>
      </c>
      <c r="AJ110">
        <v>90.090635853774799</v>
      </c>
      <c r="AK110">
        <v>294.13538831758598</v>
      </c>
      <c r="AL110">
        <v>88.050865017302499</v>
      </c>
      <c r="AM110">
        <v>96.435587414257895</v>
      </c>
      <c r="AN110">
        <v>0.99999994586812202</v>
      </c>
    </row>
    <row r="111" spans="1:40" x14ac:dyDescent="0.3">
      <c r="A111" t="str">
        <f>"20200111145918089"</f>
        <v>20200111145918089</v>
      </c>
      <c r="B111" t="str">
        <f>"1578725958085601"</f>
        <v>1578725958085601</v>
      </c>
      <c r="C111" t="s">
        <v>40</v>
      </c>
      <c r="D111">
        <v>4.0632720000000004</v>
      </c>
      <c r="E111">
        <v>0.54155989999999998</v>
      </c>
      <c r="F111" t="s">
        <v>45</v>
      </c>
      <c r="G111">
        <v>-190.82060000000001</v>
      </c>
      <c r="H111" s="1">
        <v>-6.4766519999999997E-6</v>
      </c>
      <c r="I111">
        <v>363.83330000000001</v>
      </c>
      <c r="J111">
        <v>-471.2002</v>
      </c>
      <c r="K111">
        <v>1.1047629999999999</v>
      </c>
      <c r="L111">
        <v>367.45240000000001</v>
      </c>
      <c r="M111">
        <v>0.99979910000000005</v>
      </c>
      <c r="N111">
        <v>0</v>
      </c>
      <c r="O111">
        <v>-1.51451E-2</v>
      </c>
      <c r="P111">
        <v>0.9950504</v>
      </c>
      <c r="Q111">
        <v>2.124303E-2</v>
      </c>
      <c r="R111">
        <v>9.7075400000000006E-2</v>
      </c>
      <c r="S111">
        <v>3.0189210000000002</v>
      </c>
      <c r="T111">
        <v>-1.18928E-2</v>
      </c>
      <c r="U111">
        <v>-3.8970949999999997E-2</v>
      </c>
      <c r="V111">
        <v>-0.11212949999999999</v>
      </c>
      <c r="W111">
        <v>3.430677E-2</v>
      </c>
      <c r="X111">
        <v>0.99310120000000002</v>
      </c>
      <c r="Y111">
        <v>-2.2386659999999998E-3</v>
      </c>
      <c r="Z111" s="1">
        <v>6.4071489999999997E-5</v>
      </c>
      <c r="AA111">
        <v>0.99999749999999998</v>
      </c>
      <c r="AB111">
        <v>10</v>
      </c>
      <c r="AC111">
        <v>280.37959999999998</v>
      </c>
      <c r="AD111">
        <v>-1.104769476652</v>
      </c>
      <c r="AE111">
        <v>-3.6191</v>
      </c>
      <c r="AF111">
        <v>-0.62804854432775403</v>
      </c>
      <c r="AG111">
        <v>-1.104769476652</v>
      </c>
      <c r="AH111">
        <v>280.397900423024</v>
      </c>
      <c r="AI111">
        <v>90.225743994280094</v>
      </c>
      <c r="AJ111">
        <v>90.1283335955372</v>
      </c>
      <c r="AK111">
        <v>280.40078017403999</v>
      </c>
      <c r="AL111">
        <v>88.033981062268694</v>
      </c>
      <c r="AM111">
        <v>96.441894676906401</v>
      </c>
      <c r="AN111">
        <v>0.99999998633976095</v>
      </c>
    </row>
    <row r="112" spans="1:40" x14ac:dyDescent="0.3">
      <c r="A112" t="str">
        <f>"20200111145918101"</f>
        <v>20200111145918101</v>
      </c>
      <c r="B112" t="str">
        <f>"1578725958096337"</f>
        <v>1578725958096337</v>
      </c>
      <c r="C112" t="s">
        <v>40</v>
      </c>
      <c r="D112">
        <v>4.0456159999999999</v>
      </c>
      <c r="E112">
        <v>0.54149429999999998</v>
      </c>
      <c r="F112" t="s">
        <v>42</v>
      </c>
      <c r="G112">
        <v>-227.5461</v>
      </c>
      <c r="H112" s="1">
        <v>-2.2089539999999999E-6</v>
      </c>
      <c r="I112">
        <v>364.40050000000002</v>
      </c>
      <c r="J112">
        <v>-471.1431</v>
      </c>
      <c r="K112">
        <v>1.1047670000000001</v>
      </c>
      <c r="L112">
        <v>367.45139999999998</v>
      </c>
      <c r="M112">
        <v>0.99979700000000005</v>
      </c>
      <c r="N112">
        <v>0</v>
      </c>
      <c r="O112">
        <v>-1.5264959999999999E-2</v>
      </c>
      <c r="P112">
        <v>0.99506709999999998</v>
      </c>
      <c r="Q112">
        <v>2.1193170000000001E-2</v>
      </c>
      <c r="R112">
        <v>9.6913540000000006E-2</v>
      </c>
      <c r="S112">
        <v>3.0188600000000001</v>
      </c>
      <c r="T112">
        <v>-1.3687970000000001E-2</v>
      </c>
      <c r="U112">
        <v>-3.7811280000000003E-2</v>
      </c>
      <c r="V112">
        <v>-0.1120871</v>
      </c>
      <c r="W112">
        <v>3.4266739999999997E-2</v>
      </c>
      <c r="X112">
        <v>0.99310739999999997</v>
      </c>
      <c r="Y112">
        <v>-2.742324E-3</v>
      </c>
      <c r="Z112" s="1">
        <v>7.5429690000000007E-5</v>
      </c>
      <c r="AA112">
        <v>0.9999962</v>
      </c>
      <c r="AB112">
        <v>10</v>
      </c>
      <c r="AC112">
        <v>243.59700000000001</v>
      </c>
      <c r="AD112">
        <v>-1.104769208954</v>
      </c>
      <c r="AE112">
        <v>-3.0508999999999502</v>
      </c>
      <c r="AF112">
        <v>-0.66826183915578996</v>
      </c>
      <c r="AG112">
        <v>-1.104769208954</v>
      </c>
      <c r="AH112">
        <v>243.61017809445499</v>
      </c>
      <c r="AI112">
        <v>90.259832907727599</v>
      </c>
      <c r="AJ112">
        <v>90.157171129932095</v>
      </c>
      <c r="AK112">
        <v>243.613599702691</v>
      </c>
      <c r="AL112">
        <v>88.036276023270105</v>
      </c>
      <c r="AM112">
        <v>96.439439376803705</v>
      </c>
      <c r="AN112">
        <v>1.00000001769569</v>
      </c>
    </row>
    <row r="113" spans="1:40" x14ac:dyDescent="0.3">
      <c r="A113" t="str">
        <f>"20200111145918113"</f>
        <v>20200111145918113</v>
      </c>
      <c r="B113" t="str">
        <f>"1578725958106097"</f>
        <v>1578725958106097</v>
      </c>
      <c r="C113" t="s">
        <v>40</v>
      </c>
      <c r="D113">
        <v>4.0397829999999999</v>
      </c>
      <c r="E113">
        <v>0.54142619999999997</v>
      </c>
      <c r="F113" t="s">
        <v>42</v>
      </c>
      <c r="G113">
        <v>-228.55289999999999</v>
      </c>
      <c r="H113" s="1">
        <v>-1.861751E-6</v>
      </c>
      <c r="I113">
        <v>364.4178</v>
      </c>
      <c r="J113">
        <v>-471.0865</v>
      </c>
      <c r="K113">
        <v>1.1047689999999999</v>
      </c>
      <c r="L113">
        <v>367.45030000000003</v>
      </c>
      <c r="M113">
        <v>0.99979530000000005</v>
      </c>
      <c r="N113">
        <v>0</v>
      </c>
      <c r="O113">
        <v>-1.53841E-2</v>
      </c>
      <c r="P113">
        <v>0.99506220000000001</v>
      </c>
      <c r="Q113">
        <v>2.1263710000000002E-2</v>
      </c>
      <c r="R113">
        <v>9.6949789999999994E-2</v>
      </c>
      <c r="S113">
        <v>3.0188600000000001</v>
      </c>
      <c r="T113">
        <v>-1.374805E-2</v>
      </c>
      <c r="U113">
        <v>-3.7750239999999997E-2</v>
      </c>
      <c r="V113">
        <v>-0.1122416</v>
      </c>
      <c r="W113">
        <v>3.4345380000000002E-2</v>
      </c>
      <c r="X113">
        <v>0.99308719999999995</v>
      </c>
      <c r="Y113">
        <v>-2.881696E-3</v>
      </c>
      <c r="Z113" s="1">
        <v>7.6620639999999999E-5</v>
      </c>
      <c r="AA113">
        <v>0.99999579999999999</v>
      </c>
      <c r="AB113">
        <v>10</v>
      </c>
      <c r="AC113">
        <v>242.53360000000001</v>
      </c>
      <c r="AD113">
        <v>-1.1047708617509999</v>
      </c>
      <c r="AE113">
        <v>-3.0325000000000202</v>
      </c>
      <c r="AF113">
        <v>-0.69932778677757801</v>
      </c>
      <c r="AG113">
        <v>-1.1047708617509999</v>
      </c>
      <c r="AH113">
        <v>242.54651752705601</v>
      </c>
      <c r="AI113">
        <v>90.260972647655805</v>
      </c>
      <c r="AJ113">
        <v>90.165198907220997</v>
      </c>
      <c r="AK113">
        <v>242.55004172853299</v>
      </c>
      <c r="AL113">
        <v>88.031767563833299</v>
      </c>
      <c r="AM113">
        <v>96.448370798330998</v>
      </c>
      <c r="AN113">
        <v>0.99999998435087201</v>
      </c>
    </row>
    <row r="114" spans="1:40" x14ac:dyDescent="0.3">
      <c r="A114" t="str">
        <f>"20200111145918133"</f>
        <v>20200111145918133</v>
      </c>
      <c r="B114" t="str">
        <f>"1578725958125617"</f>
        <v>1578725958125617</v>
      </c>
      <c r="C114" t="s">
        <v>40</v>
      </c>
      <c r="D114">
        <v>4.0611040000000003</v>
      </c>
      <c r="E114">
        <v>0.54153569999999995</v>
      </c>
      <c r="F114" t="s">
        <v>42</v>
      </c>
      <c r="G114">
        <v>-239.13059999999999</v>
      </c>
      <c r="H114" s="1">
        <v>-1.618183E-6</v>
      </c>
      <c r="I114">
        <v>364.5942</v>
      </c>
      <c r="J114">
        <v>-470.99939999999998</v>
      </c>
      <c r="K114">
        <v>1.104776</v>
      </c>
      <c r="L114">
        <v>367.44880000000001</v>
      </c>
      <c r="M114">
        <v>0.99979220000000002</v>
      </c>
      <c r="N114">
        <v>0</v>
      </c>
      <c r="O114">
        <v>-1.556715E-2</v>
      </c>
      <c r="P114">
        <v>0.99505779999999999</v>
      </c>
      <c r="Q114">
        <v>2.166392E-2</v>
      </c>
      <c r="R114">
        <v>9.6905599999999995E-2</v>
      </c>
      <c r="S114">
        <v>3.018799</v>
      </c>
      <c r="T114">
        <v>-1.437807E-2</v>
      </c>
      <c r="U114">
        <v>-3.7170410000000001E-2</v>
      </c>
      <c r="V114">
        <v>-0.1123792</v>
      </c>
      <c r="W114">
        <v>3.4757110000000001E-2</v>
      </c>
      <c r="X114">
        <v>0.99305730000000003</v>
      </c>
      <c r="Y114">
        <v>-3.2565519999999998E-3</v>
      </c>
      <c r="Z114" s="1">
        <v>8.1897989999999993E-5</v>
      </c>
      <c r="AA114">
        <v>0.99999470000000001</v>
      </c>
      <c r="AB114">
        <v>10</v>
      </c>
      <c r="AC114">
        <v>231.86879999999999</v>
      </c>
      <c r="AD114">
        <v>-1.104777618183</v>
      </c>
      <c r="AE114">
        <v>-2.8546</v>
      </c>
      <c r="AF114">
        <v>-0.75557787040005497</v>
      </c>
      <c r="AG114">
        <v>-1.104777618183</v>
      </c>
      <c r="AH114">
        <v>231.879876816901</v>
      </c>
      <c r="AI114">
        <v>90.272978753915993</v>
      </c>
      <c r="AJ114">
        <v>90.186696967600398</v>
      </c>
      <c r="AK114">
        <v>231.883739628558</v>
      </c>
      <c r="AL114">
        <v>88.008163052174496</v>
      </c>
      <c r="AM114">
        <v>96.456402072142197</v>
      </c>
      <c r="AN114">
        <v>0.99999997118574002</v>
      </c>
    </row>
    <row r="115" spans="1:40" x14ac:dyDescent="0.3">
      <c r="A115" t="str">
        <f>"20200111145918147"</f>
        <v>20200111145918147</v>
      </c>
      <c r="B115" t="str">
        <f>"1578725958135377"</f>
        <v>1578725958135377</v>
      </c>
      <c r="C115" t="s">
        <v>40</v>
      </c>
      <c r="D115">
        <v>4.0724280000000004</v>
      </c>
      <c r="E115">
        <v>0.54155830000000005</v>
      </c>
      <c r="F115" t="s">
        <v>42</v>
      </c>
      <c r="G115">
        <v>-210.76740000000001</v>
      </c>
      <c r="H115" s="1">
        <v>-4.9094790000000002E-6</v>
      </c>
      <c r="I115">
        <v>364.16840000000002</v>
      </c>
      <c r="J115">
        <v>-470.93900000000002</v>
      </c>
      <c r="K115">
        <v>1.104786</v>
      </c>
      <c r="L115">
        <v>367.4477</v>
      </c>
      <c r="M115">
        <v>0.99979030000000002</v>
      </c>
      <c r="N115">
        <v>0</v>
      </c>
      <c r="O115">
        <v>-1.5694260000000002E-2</v>
      </c>
      <c r="P115">
        <v>0.99505569999999999</v>
      </c>
      <c r="Q115">
        <v>2.1703139999999999E-2</v>
      </c>
      <c r="R115">
        <v>9.6919720000000001E-2</v>
      </c>
      <c r="S115">
        <v>3.0189210000000002</v>
      </c>
      <c r="T115">
        <v>-1.281643E-2</v>
      </c>
      <c r="U115">
        <v>-3.805542E-2</v>
      </c>
      <c r="V115">
        <v>-0.1125197</v>
      </c>
      <c r="W115">
        <v>3.4803340000000002E-2</v>
      </c>
      <c r="X115">
        <v>0.99303980000000003</v>
      </c>
      <c r="Y115">
        <v>-3.091126E-3</v>
      </c>
      <c r="Z115" s="1">
        <v>7.3188239999999994E-5</v>
      </c>
      <c r="AA115">
        <v>0.99999519999999997</v>
      </c>
      <c r="AB115">
        <v>10</v>
      </c>
      <c r="AC115">
        <v>260.17160000000001</v>
      </c>
      <c r="AD115">
        <v>-1.104790909479</v>
      </c>
      <c r="AE115">
        <v>-3.2792999999999699</v>
      </c>
      <c r="AF115">
        <v>-0.80464352184628896</v>
      </c>
      <c r="AG115">
        <v>-1.104790909479</v>
      </c>
      <c r="AH115">
        <v>260.18633081689802</v>
      </c>
      <c r="AI115">
        <v>90.243284007439897</v>
      </c>
      <c r="AJ115">
        <v>90.177190441540802</v>
      </c>
      <c r="AK115">
        <v>260.18992055441203</v>
      </c>
      <c r="AL115">
        <v>88.005512721927502</v>
      </c>
      <c r="AM115">
        <v>96.464518738681704</v>
      </c>
      <c r="AN115">
        <v>0.99999999987364196</v>
      </c>
    </row>
    <row r="116" spans="1:40" x14ac:dyDescent="0.3">
      <c r="A116" t="str">
        <f>"20200111145918159"</f>
        <v>20200111145918159</v>
      </c>
      <c r="B116" t="str">
        <f>"1578725958155873"</f>
        <v>1578725958155873</v>
      </c>
      <c r="C116" t="s">
        <v>40</v>
      </c>
      <c r="D116">
        <v>4.1795280000000004</v>
      </c>
      <c r="E116">
        <v>0.54186389999999995</v>
      </c>
      <c r="F116" t="s">
        <v>45</v>
      </c>
      <c r="G116">
        <v>-194.45349999999999</v>
      </c>
      <c r="H116" s="1">
        <v>-7.7377659999999993E-6</v>
      </c>
      <c r="I116">
        <v>363.92329999999998</v>
      </c>
      <c r="J116">
        <v>-470.8818</v>
      </c>
      <c r="K116">
        <v>1.1047910000000001</v>
      </c>
      <c r="L116">
        <v>367.44659999999999</v>
      </c>
      <c r="M116">
        <v>0.99978829999999996</v>
      </c>
      <c r="N116">
        <v>0</v>
      </c>
      <c r="O116">
        <v>-1.5814209999999999E-2</v>
      </c>
      <c r="P116">
        <v>0.99504789999999999</v>
      </c>
      <c r="Q116">
        <v>2.1769429999999999E-2</v>
      </c>
      <c r="R116">
        <v>9.6984399999999998E-2</v>
      </c>
      <c r="S116">
        <v>3.0189210000000002</v>
      </c>
      <c r="T116">
        <v>-1.206315E-2</v>
      </c>
      <c r="U116">
        <v>-3.8482669999999997E-2</v>
      </c>
      <c r="V116">
        <v>-0.1127031</v>
      </c>
      <c r="W116">
        <v>3.4875299999999998E-2</v>
      </c>
      <c r="X116">
        <v>0.99301649999999997</v>
      </c>
      <c r="Y116">
        <v>-3.0696180000000001E-3</v>
      </c>
      <c r="Z116" s="1">
        <v>6.9322869999999896E-5</v>
      </c>
      <c r="AA116">
        <v>0.99999530000000003</v>
      </c>
      <c r="AB116">
        <v>10</v>
      </c>
      <c r="AC116">
        <v>276.42829999999998</v>
      </c>
      <c r="AD116">
        <v>-1.104798737766</v>
      </c>
      <c r="AE116">
        <v>-3.5232999999999999</v>
      </c>
      <c r="AF116">
        <v>-0.84900106524535401</v>
      </c>
      <c r="AG116">
        <v>-1.104798737766</v>
      </c>
      <c r="AH116">
        <v>276.44503391985398</v>
      </c>
      <c r="AI116">
        <v>90.228977415417503</v>
      </c>
      <c r="AJ116">
        <v>90.175962737388403</v>
      </c>
      <c r="AK116">
        <v>276.448545234025</v>
      </c>
      <c r="AL116">
        <v>88.001387257957504</v>
      </c>
      <c r="AM116">
        <v>96.475116722845797</v>
      </c>
      <c r="AN116">
        <v>1.00000002228597</v>
      </c>
    </row>
    <row r="117" spans="1:40" x14ac:dyDescent="0.3">
      <c r="A117" t="str">
        <f>"20200111145918176"</f>
        <v>20200111145918176</v>
      </c>
      <c r="B117" t="str">
        <f>"1578725958165633"</f>
        <v>1578725958165633</v>
      </c>
      <c r="C117" t="s">
        <v>40</v>
      </c>
      <c r="D117">
        <v>4.1656209999999998</v>
      </c>
      <c r="E117">
        <v>0.54192069999999903</v>
      </c>
      <c r="F117" t="s">
        <v>45</v>
      </c>
      <c r="G117">
        <v>-202.1908</v>
      </c>
      <c r="H117" s="1">
        <v>-2.8232369999999999E-6</v>
      </c>
      <c r="I117">
        <v>363.83460000000002</v>
      </c>
      <c r="J117">
        <v>-470.80790000000002</v>
      </c>
      <c r="K117">
        <v>1.1048</v>
      </c>
      <c r="L117">
        <v>367.44529999999997</v>
      </c>
      <c r="M117">
        <v>0.9997857</v>
      </c>
      <c r="N117">
        <v>0</v>
      </c>
      <c r="O117">
        <v>-1.59673E-2</v>
      </c>
      <c r="P117">
        <v>0.9951352</v>
      </c>
      <c r="Q117">
        <v>2.1594499999999999E-2</v>
      </c>
      <c r="R117">
        <v>9.6124139999999997E-2</v>
      </c>
      <c r="S117">
        <v>3.019196</v>
      </c>
      <c r="T117">
        <v>-1.241422E-2</v>
      </c>
      <c r="U117">
        <v>-4.058838E-2</v>
      </c>
      <c r="V117">
        <v>-0.11199679999999999</v>
      </c>
      <c r="W117">
        <v>3.4707549999999997E-2</v>
      </c>
      <c r="X117">
        <v>0.99310229999999999</v>
      </c>
      <c r="Y117">
        <v>-2.5265729999999998E-3</v>
      </c>
      <c r="Z117" s="1">
        <v>7.0846439999999996E-5</v>
      </c>
      <c r="AA117">
        <v>0.99999680000000002</v>
      </c>
      <c r="AB117">
        <v>10</v>
      </c>
      <c r="AC117">
        <v>268.61709999999999</v>
      </c>
      <c r="AD117">
        <v>-1.104802823237</v>
      </c>
      <c r="AE117">
        <v>-3.6106999999999498</v>
      </c>
      <c r="AF117">
        <v>-0.67921106513541996</v>
      </c>
      <c r="AG117">
        <v>-1.104802823237</v>
      </c>
      <c r="AH117">
        <v>268.63596394117201</v>
      </c>
      <c r="AI117">
        <v>90.2356347930168</v>
      </c>
      <c r="AJ117">
        <v>90.144864611330703</v>
      </c>
      <c r="AK117">
        <v>268.63909439906899</v>
      </c>
      <c r="AL117">
        <v>88.011004477833694</v>
      </c>
      <c r="AM117">
        <v>96.434327902337699</v>
      </c>
      <c r="AN117">
        <v>1.0000000377512599</v>
      </c>
    </row>
    <row r="118" spans="1:40" x14ac:dyDescent="0.3">
      <c r="A118" t="str">
        <f>"20200111145918190"</f>
        <v>20200111145918190</v>
      </c>
      <c r="B118" t="str">
        <f>"1578725958186129"</f>
        <v>1578725958186129</v>
      </c>
      <c r="C118" t="s">
        <v>40</v>
      </c>
      <c r="D118">
        <v>4.0859940000000003</v>
      </c>
      <c r="E118">
        <v>0.57543889999999998</v>
      </c>
      <c r="F118" t="s">
        <v>42</v>
      </c>
      <c r="G118">
        <v>-251.82429999999999</v>
      </c>
      <c r="H118" s="1">
        <v>-4.4327010000000002E-6</v>
      </c>
      <c r="I118">
        <v>364.3</v>
      </c>
      <c r="J118">
        <v>-470.74979999999999</v>
      </c>
      <c r="K118">
        <v>1.1048070000000001</v>
      </c>
      <c r="L118">
        <v>367.44420000000002</v>
      </c>
      <c r="M118">
        <v>0.9997838</v>
      </c>
      <c r="N118">
        <v>0</v>
      </c>
      <c r="O118">
        <v>-1.608675E-2</v>
      </c>
      <c r="P118">
        <v>0.99519159999999995</v>
      </c>
      <c r="Q118">
        <v>2.16235E-2</v>
      </c>
      <c r="R118">
        <v>9.5531149999999995E-2</v>
      </c>
      <c r="S118">
        <v>3.0192260000000002</v>
      </c>
      <c r="T118">
        <v>-1.523244E-2</v>
      </c>
      <c r="U118">
        <v>-4.3365479999999998E-2</v>
      </c>
      <c r="V118">
        <v>-0.1115236</v>
      </c>
      <c r="W118">
        <v>3.4741389999999997E-2</v>
      </c>
      <c r="X118">
        <v>0.99315430000000005</v>
      </c>
      <c r="Y118">
        <v>-1.726495E-3</v>
      </c>
      <c r="Z118" s="1">
        <v>8.5512410000000005E-5</v>
      </c>
      <c r="AA118">
        <v>0.99999850000000001</v>
      </c>
      <c r="AB118">
        <v>10</v>
      </c>
      <c r="AC118">
        <v>218.9255</v>
      </c>
      <c r="AD118">
        <v>-1.1048114327009999</v>
      </c>
      <c r="AE118">
        <v>-3.1442000000000099</v>
      </c>
      <c r="AF118">
        <v>-0.37830276400138402</v>
      </c>
      <c r="AG118">
        <v>-1.1048114327009999</v>
      </c>
      <c r="AH118">
        <v>218.94217571664799</v>
      </c>
      <c r="AI118">
        <v>90.289119262992998</v>
      </c>
      <c r="AJ118">
        <v>90.098999336760698</v>
      </c>
      <c r="AK118">
        <v>218.94529003571299</v>
      </c>
      <c r="AL118">
        <v>88.009064284921706</v>
      </c>
      <c r="AM118">
        <v>96.407035962203906</v>
      </c>
      <c r="AN118">
        <v>0.99999997057228995</v>
      </c>
    </row>
    <row r="119" spans="1:40" x14ac:dyDescent="0.3">
      <c r="A119" t="str">
        <f>"20200111145918201"</f>
        <v>20200111145918201</v>
      </c>
      <c r="B119" t="str">
        <f>"1578725958195890"</f>
        <v>1578725958195890</v>
      </c>
      <c r="C119" t="s">
        <v>40</v>
      </c>
      <c r="D119">
        <v>3.8361000000000001</v>
      </c>
      <c r="E119">
        <v>0.57955119999999904</v>
      </c>
      <c r="F119" t="s">
        <v>43</v>
      </c>
      <c r="G119">
        <v>-421.90690000000001</v>
      </c>
      <c r="H119">
        <v>-0.05</v>
      </c>
      <c r="I119">
        <v>362.46010000000001</v>
      </c>
      <c r="J119">
        <v>-470.69420000000002</v>
      </c>
      <c r="K119">
        <v>1.1048129999999901</v>
      </c>
      <c r="L119">
        <v>367.44319999999999</v>
      </c>
      <c r="M119">
        <v>0.99978180000000005</v>
      </c>
      <c r="N119">
        <v>0</v>
      </c>
      <c r="O119">
        <v>-1.6200119999999998E-2</v>
      </c>
      <c r="P119">
        <v>0.99526429999999999</v>
      </c>
      <c r="Q119">
        <v>2.1790730000000001E-2</v>
      </c>
      <c r="R119">
        <v>9.473057E-2</v>
      </c>
      <c r="S119">
        <v>3.0459589999999999</v>
      </c>
      <c r="T119">
        <v>-7.2016479999999994E-2</v>
      </c>
      <c r="U119">
        <v>-0.31082149999999997</v>
      </c>
      <c r="V119">
        <v>-0.1108372</v>
      </c>
      <c r="W119">
        <v>3.4913420000000001E-2</v>
      </c>
      <c r="X119">
        <v>0.99322520000000003</v>
      </c>
      <c r="Y119">
        <v>8.5366440000000002E-2</v>
      </c>
      <c r="Z119">
        <v>-6.2449719999999997E-4</v>
      </c>
      <c r="AA119">
        <v>0.9963495</v>
      </c>
      <c r="AB119">
        <v>10</v>
      </c>
      <c r="AC119">
        <v>48.787300000000002</v>
      </c>
      <c r="AD119">
        <v>-1.1548130000000001</v>
      </c>
      <c r="AE119">
        <v>-4.9830999999999701</v>
      </c>
      <c r="AF119">
        <v>4.1896939123987602</v>
      </c>
      <c r="AG119">
        <v>-1.1548130000000001</v>
      </c>
      <c r="AH119">
        <v>48.834551523365697</v>
      </c>
      <c r="AI119">
        <v>91.349690781601495</v>
      </c>
      <c r="AJ119">
        <v>85.096394095430199</v>
      </c>
      <c r="AK119">
        <v>49.027548894808298</v>
      </c>
      <c r="AL119">
        <v>87.999201897180001</v>
      </c>
      <c r="AM119">
        <v>96.367476340764</v>
      </c>
      <c r="AN119">
        <v>1.0000000648574801</v>
      </c>
    </row>
    <row r="120" spans="1:40" x14ac:dyDescent="0.3">
      <c r="A120" t="str">
        <f>"20200111145918214"</f>
        <v>20200111145918214</v>
      </c>
      <c r="B120" t="str">
        <f>"1578725958205649"</f>
        <v>1578725958205649</v>
      </c>
      <c r="C120" t="s">
        <v>40</v>
      </c>
      <c r="D120">
        <v>4.1470310000000001</v>
      </c>
      <c r="E120">
        <v>0.57955119999999904</v>
      </c>
      <c r="F120" t="s">
        <v>43</v>
      </c>
      <c r="G120">
        <v>-424.28160000000003</v>
      </c>
      <c r="H120">
        <v>-0.05</v>
      </c>
      <c r="I120">
        <v>362.18369999999999</v>
      </c>
      <c r="J120">
        <v>-470.63760000000002</v>
      </c>
      <c r="K120">
        <v>1.1048169999999999</v>
      </c>
      <c r="L120">
        <v>367.44209999999998</v>
      </c>
      <c r="M120">
        <v>0.99977990000000005</v>
      </c>
      <c r="N120">
        <v>0</v>
      </c>
      <c r="O120">
        <v>-1.6313959999999999E-2</v>
      </c>
      <c r="P120">
        <v>0.99529860000000003</v>
      </c>
      <c r="Q120">
        <v>2.199624E-2</v>
      </c>
      <c r="R120">
        <v>9.4323199999999996E-2</v>
      </c>
      <c r="S120">
        <v>3.0488279999999999</v>
      </c>
      <c r="T120">
        <v>-7.5859190000000007E-2</v>
      </c>
      <c r="U120">
        <v>-0.3454895</v>
      </c>
      <c r="V120">
        <v>-0.11054369999999999</v>
      </c>
      <c r="W120">
        <v>3.512262E-2</v>
      </c>
      <c r="X120">
        <v>0.99325050000000004</v>
      </c>
      <c r="Y120">
        <v>9.6347089999999996E-2</v>
      </c>
      <c r="Z120">
        <v>-7.901335E-4</v>
      </c>
      <c r="AA120">
        <v>0.99534750000000005</v>
      </c>
      <c r="AB120">
        <v>10</v>
      </c>
      <c r="AC120">
        <v>46.356000000000002</v>
      </c>
      <c r="AD120">
        <v>-1.154817</v>
      </c>
      <c r="AE120">
        <v>-5.2583999999999902</v>
      </c>
      <c r="AF120">
        <v>4.49862795042828</v>
      </c>
      <c r="AG120">
        <v>-1.154817</v>
      </c>
      <c r="AH120">
        <v>46.4071879980714</v>
      </c>
      <c r="AI120">
        <v>91.418831282295898</v>
      </c>
      <c r="AJ120">
        <v>84.463151920813203</v>
      </c>
      <c r="AK120">
        <v>46.639021791073198</v>
      </c>
      <c r="AL120">
        <v>87.987208198572205</v>
      </c>
      <c r="AM120">
        <v>96.350592586179502</v>
      </c>
      <c r="AN120">
        <v>1.0000000318978</v>
      </c>
    </row>
    <row r="121" spans="1:40" x14ac:dyDescent="0.3">
      <c r="A121" t="str">
        <f>"20200111145918233"</f>
        <v>20200111145918233</v>
      </c>
      <c r="B121" t="str">
        <f>"1578725958226145"</f>
        <v>1578725958226145</v>
      </c>
      <c r="C121" t="s">
        <v>40</v>
      </c>
      <c r="D121">
        <v>4.0886579999999997</v>
      </c>
      <c r="E121">
        <v>0.61266759999999998</v>
      </c>
      <c r="F121" t="s">
        <v>43</v>
      </c>
      <c r="G121">
        <v>-423.5283</v>
      </c>
      <c r="H121">
        <v>-0.05</v>
      </c>
      <c r="I121">
        <v>362.07580000000002</v>
      </c>
      <c r="J121">
        <v>-470.54969999999997</v>
      </c>
      <c r="K121">
        <v>1.1048249999999999</v>
      </c>
      <c r="L121">
        <v>367.44049999999999</v>
      </c>
      <c r="M121">
        <v>0.99977689999999997</v>
      </c>
      <c r="N121">
        <v>0</v>
      </c>
      <c r="O121">
        <v>-1.6488220000000001E-2</v>
      </c>
      <c r="P121">
        <v>0.99540030000000002</v>
      </c>
      <c r="Q121">
        <v>2.1924840000000001E-2</v>
      </c>
      <c r="R121">
        <v>9.3262239999999996E-2</v>
      </c>
      <c r="S121">
        <v>3.0487669999999998</v>
      </c>
      <c r="T121">
        <v>-7.4736120000000003E-2</v>
      </c>
      <c r="U121">
        <v>-0.34728999999999999</v>
      </c>
      <c r="V121">
        <v>-0.1096577</v>
      </c>
      <c r="W121">
        <v>3.505639E-2</v>
      </c>
      <c r="X121">
        <v>0.99335099999999998</v>
      </c>
      <c r="Y121">
        <v>9.6756809999999999E-2</v>
      </c>
      <c r="Z121">
        <v>-7.7917899999999996E-4</v>
      </c>
      <c r="AA121">
        <v>0.99530770000000002</v>
      </c>
      <c r="AB121">
        <v>10</v>
      </c>
      <c r="AC121">
        <v>47.0213999999999</v>
      </c>
      <c r="AD121">
        <v>-1.154825</v>
      </c>
      <c r="AE121">
        <v>-5.3646999999999698</v>
      </c>
      <c r="AF121">
        <v>4.5858733076938503</v>
      </c>
      <c r="AG121">
        <v>-1.154825</v>
      </c>
      <c r="AH121">
        <v>47.075439124929403</v>
      </c>
      <c r="AI121">
        <v>91.398644022457006</v>
      </c>
      <c r="AJ121">
        <v>84.436063845738104</v>
      </c>
      <c r="AK121">
        <v>47.312374951800699</v>
      </c>
      <c r="AL121">
        <v>87.991005142842695</v>
      </c>
      <c r="AM121">
        <v>96.299471672203794</v>
      </c>
      <c r="AN121">
        <v>0.99999998542506097</v>
      </c>
    </row>
    <row r="122" spans="1:40" x14ac:dyDescent="0.3">
      <c r="A122" t="str">
        <f>"20200111145918246"</f>
        <v>20200111145918246</v>
      </c>
      <c r="B122" t="str">
        <f>"1578725958235905"</f>
        <v>1578725958235905</v>
      </c>
      <c r="C122" t="s">
        <v>40</v>
      </c>
      <c r="D122">
        <v>4.0265680000000001</v>
      </c>
      <c r="E122">
        <v>0.61238349999999997</v>
      </c>
      <c r="F122" t="s">
        <v>43</v>
      </c>
      <c r="G122">
        <v>-416.7697</v>
      </c>
      <c r="H122">
        <v>-0.05</v>
      </c>
      <c r="I122">
        <v>356.7047</v>
      </c>
      <c r="J122">
        <v>-470.49689999999998</v>
      </c>
      <c r="K122">
        <v>1.1048290000000001</v>
      </c>
      <c r="L122">
        <v>367.43950000000001</v>
      </c>
      <c r="M122">
        <v>0.99977530000000003</v>
      </c>
      <c r="N122">
        <v>0</v>
      </c>
      <c r="O122">
        <v>-1.6591680000000001E-2</v>
      </c>
      <c r="P122">
        <v>0.9954539</v>
      </c>
      <c r="Q122">
        <v>2.1739580000000001E-2</v>
      </c>
      <c r="R122">
        <v>9.2731859999999999E-2</v>
      </c>
      <c r="S122">
        <v>3.072784</v>
      </c>
      <c r="T122">
        <v>-6.5982219999999994E-2</v>
      </c>
      <c r="U122">
        <v>-0.61340329999999998</v>
      </c>
      <c r="V122">
        <v>-0.1092316</v>
      </c>
      <c r="W122">
        <v>3.487386E-2</v>
      </c>
      <c r="X122">
        <v>0.99340439999999997</v>
      </c>
      <c r="Y122">
        <v>0.17942710000000001</v>
      </c>
      <c r="Z122">
        <v>-1.554766E-3</v>
      </c>
      <c r="AA122">
        <v>0.98377009999999998</v>
      </c>
      <c r="AB122">
        <v>10</v>
      </c>
      <c r="AC122">
        <v>53.727199999999897</v>
      </c>
      <c r="AD122">
        <v>-1.1548290000000001</v>
      </c>
      <c r="AE122">
        <v>-10.7348</v>
      </c>
      <c r="AF122">
        <v>9.8374494989795291</v>
      </c>
      <c r="AG122">
        <v>-1.1548290000000001</v>
      </c>
      <c r="AH122">
        <v>53.873992376826401</v>
      </c>
      <c r="AI122">
        <v>91.208021072343101</v>
      </c>
      <c r="AJ122">
        <v>79.651737860489604</v>
      </c>
      <c r="AK122">
        <v>54.776966849968701</v>
      </c>
      <c r="AL122">
        <v>88.001469800019194</v>
      </c>
      <c r="AM122">
        <v>96.274854662629494</v>
      </c>
      <c r="AN122">
        <v>1.0000000152446</v>
      </c>
    </row>
    <row r="123" spans="1:40" x14ac:dyDescent="0.3">
      <c r="A123" t="str">
        <f>"20200111145918258"</f>
        <v>20200111145918258</v>
      </c>
      <c r="B123" t="str">
        <f>"1578725958255425"</f>
        <v>1578725958255425</v>
      </c>
      <c r="C123" t="s">
        <v>40</v>
      </c>
      <c r="D123">
        <v>4.065836</v>
      </c>
      <c r="E123">
        <v>0.61126740000000002</v>
      </c>
      <c r="F123" t="s">
        <v>43</v>
      </c>
      <c r="G123">
        <v>-406.46530000000001</v>
      </c>
      <c r="H123">
        <v>-0.05</v>
      </c>
      <c r="I123">
        <v>354.6628</v>
      </c>
      <c r="J123">
        <v>-470.44229999999999</v>
      </c>
      <c r="K123">
        <v>1.104832</v>
      </c>
      <c r="L123">
        <v>367.4384</v>
      </c>
      <c r="M123">
        <v>0.99977349999999998</v>
      </c>
      <c r="N123">
        <v>0</v>
      </c>
      <c r="O123">
        <v>-1.6697409999999999E-2</v>
      </c>
      <c r="P123">
        <v>0.9955022</v>
      </c>
      <c r="Q123">
        <v>2.16896E-2</v>
      </c>
      <c r="R123">
        <v>9.2222120000000005E-2</v>
      </c>
      <c r="S123">
        <v>3.0719910000000001</v>
      </c>
      <c r="T123">
        <v>-5.5404309999999998E-2</v>
      </c>
      <c r="U123">
        <v>-0.61297609999999902</v>
      </c>
      <c r="V123">
        <v>-0.1088278</v>
      </c>
      <c r="W123">
        <v>3.4826700000000002E-2</v>
      </c>
      <c r="X123">
        <v>0.99345030000000001</v>
      </c>
      <c r="Y123">
        <v>0.17925089999999999</v>
      </c>
      <c r="Z123">
        <v>-1.3024460000000001E-3</v>
      </c>
      <c r="AA123">
        <v>0.98380259999999997</v>
      </c>
      <c r="AB123">
        <v>10</v>
      </c>
      <c r="AC123">
        <v>63.976999999999897</v>
      </c>
      <c r="AD123">
        <v>-1.1548320000000001</v>
      </c>
      <c r="AE123">
        <v>-12.775599999999899</v>
      </c>
      <c r="AF123">
        <v>11.701808817324</v>
      </c>
      <c r="AG123">
        <v>-1.1548320000000001</v>
      </c>
      <c r="AH123">
        <v>64.161313374697599</v>
      </c>
      <c r="AI123">
        <v>91.014419073155295</v>
      </c>
      <c r="AJ123">
        <v>79.663937691107705</v>
      </c>
      <c r="AK123">
        <v>65.229901889483003</v>
      </c>
      <c r="AL123">
        <v>88.004173368731401</v>
      </c>
      <c r="AM123">
        <v>96.251555658077905</v>
      </c>
      <c r="AN123">
        <v>0.99999994382790802</v>
      </c>
    </row>
    <row r="124" spans="1:40" x14ac:dyDescent="0.3">
      <c r="A124" t="str">
        <f>"20200111145918272"</f>
        <v>20200111145918272</v>
      </c>
      <c r="B124" t="str">
        <f>"1578725958266161"</f>
        <v>1578725958266161</v>
      </c>
      <c r="C124" t="s">
        <v>40</v>
      </c>
      <c r="D124">
        <v>4.0271749999999997</v>
      </c>
      <c r="E124">
        <v>0.6111915</v>
      </c>
      <c r="F124" t="s">
        <v>43</v>
      </c>
      <c r="G124">
        <v>-392.91609999999997</v>
      </c>
      <c r="H124">
        <v>-0.05</v>
      </c>
      <c r="I124">
        <v>352.14949999999999</v>
      </c>
      <c r="J124">
        <v>-470.38580000000002</v>
      </c>
      <c r="K124">
        <v>1.104835</v>
      </c>
      <c r="L124">
        <v>367.43740000000003</v>
      </c>
      <c r="M124">
        <v>0.99977169999999904</v>
      </c>
      <c r="N124">
        <v>0</v>
      </c>
      <c r="O124">
        <v>-1.6804800000000002E-2</v>
      </c>
      <c r="P124">
        <v>0.99553840000000005</v>
      </c>
      <c r="Q124">
        <v>2.1479600000000001E-2</v>
      </c>
      <c r="R124">
        <v>9.1882220000000001E-2</v>
      </c>
      <c r="S124">
        <v>3.0706479999999998</v>
      </c>
      <c r="T124">
        <v>-4.5740490000000002E-2</v>
      </c>
      <c r="U124">
        <v>-0.60556030000000005</v>
      </c>
      <c r="V124">
        <v>-0.108596</v>
      </c>
      <c r="W124">
        <v>3.461844E-2</v>
      </c>
      <c r="X124">
        <v>0.993483</v>
      </c>
      <c r="Y124">
        <v>0.17694960000000001</v>
      </c>
      <c r="Z124">
        <v>-1.0574479999999999E-3</v>
      </c>
      <c r="AA124">
        <v>0.98421930000000002</v>
      </c>
      <c r="AB124">
        <v>10</v>
      </c>
      <c r="AC124">
        <v>77.469700000000003</v>
      </c>
      <c r="AD124">
        <v>-1.1548350000000001</v>
      </c>
      <c r="AE124">
        <v>-15.2879</v>
      </c>
      <c r="AF124">
        <v>13.980774317907199</v>
      </c>
      <c r="AG124">
        <v>-1.1548350000000001</v>
      </c>
      <c r="AH124">
        <v>77.699072206303896</v>
      </c>
      <c r="AI124">
        <v>90.8380630526445</v>
      </c>
      <c r="AJ124">
        <v>79.799639552087896</v>
      </c>
      <c r="AK124">
        <v>78.955313412878695</v>
      </c>
      <c r="AL124">
        <v>88.016113098563494</v>
      </c>
      <c r="AM124">
        <v>96.238141413288204</v>
      </c>
      <c r="AN124">
        <v>0.99999999944651596</v>
      </c>
    </row>
    <row r="125" spans="1:40" x14ac:dyDescent="0.3">
      <c r="A125" t="str">
        <f>"20200111145918288"</f>
        <v>20200111145918288</v>
      </c>
      <c r="B125" t="str">
        <f>"1578725958285683"</f>
        <v>1578725958285683</v>
      </c>
      <c r="C125" t="s">
        <v>40</v>
      </c>
      <c r="D125">
        <v>4.0782439999999998</v>
      </c>
      <c r="E125">
        <v>0.61095489999999997</v>
      </c>
      <c r="F125" t="s">
        <v>43</v>
      </c>
      <c r="G125">
        <v>-390.27550000000002</v>
      </c>
      <c r="H125">
        <v>-0.05</v>
      </c>
      <c r="I125">
        <v>351.62459999999999</v>
      </c>
      <c r="J125">
        <v>-470.30900000000003</v>
      </c>
      <c r="K125">
        <v>1.1048389999999999</v>
      </c>
      <c r="L125">
        <v>367.4359</v>
      </c>
      <c r="M125">
        <v>0.99976909999999997</v>
      </c>
      <c r="N125">
        <v>0</v>
      </c>
      <c r="O125">
        <v>-1.694855E-2</v>
      </c>
      <c r="P125">
        <v>0.99550879999999997</v>
      </c>
      <c r="Q125">
        <v>2.121634E-2</v>
      </c>
      <c r="R125">
        <v>9.2261090000000004E-2</v>
      </c>
      <c r="S125">
        <v>3.0703429999999998</v>
      </c>
      <c r="T125">
        <v>-4.426074E-2</v>
      </c>
      <c r="U125">
        <v>-0.60604859999999905</v>
      </c>
      <c r="V125">
        <v>-0.10911709999999999</v>
      </c>
      <c r="W125">
        <v>3.4357289999999999E-2</v>
      </c>
      <c r="X125">
        <v>0.99343499999999996</v>
      </c>
      <c r="Y125">
        <v>0.17697839999999901</v>
      </c>
      <c r="Z125">
        <v>-1.0214810000000001E-3</v>
      </c>
      <c r="AA125">
        <v>0.98421420000000004</v>
      </c>
      <c r="AB125">
        <v>10</v>
      </c>
      <c r="AC125">
        <v>80.033500000000004</v>
      </c>
      <c r="AD125">
        <v>-1.1548389999999999</v>
      </c>
      <c r="AE125">
        <v>-15.811299999999999</v>
      </c>
      <c r="AF125">
        <v>14.4495628610662</v>
      </c>
      <c r="AG125">
        <v>-1.1548389999999999</v>
      </c>
      <c r="AH125">
        <v>80.2739182945609</v>
      </c>
      <c r="AI125">
        <v>90.811178354089094</v>
      </c>
      <c r="AJ125">
        <v>79.795848207794805</v>
      </c>
      <c r="AK125">
        <v>81.572210208830697</v>
      </c>
      <c r="AL125">
        <v>88.031084862081201</v>
      </c>
      <c r="AM125">
        <v>96.268138006735001</v>
      </c>
      <c r="AN125">
        <v>1.0000000320567699</v>
      </c>
    </row>
    <row r="126" spans="1:40" x14ac:dyDescent="0.3">
      <c r="A126" t="str">
        <f>"20200111145918311"</f>
        <v>20200111145918311</v>
      </c>
      <c r="B126" t="str">
        <f>"1578725958306177"</f>
        <v>1578725958306177</v>
      </c>
      <c r="C126" t="s">
        <v>40</v>
      </c>
      <c r="D126">
        <v>4.0489290000000002</v>
      </c>
      <c r="E126">
        <v>0.61081770000000002</v>
      </c>
      <c r="F126" t="s">
        <v>43</v>
      </c>
      <c r="G126">
        <v>-381.76760000000002</v>
      </c>
      <c r="H126">
        <v>-0.05</v>
      </c>
      <c r="I126">
        <v>350.03829999999999</v>
      </c>
      <c r="J126">
        <v>-470.21260000000001</v>
      </c>
      <c r="K126">
        <v>1.10484</v>
      </c>
      <c r="L126">
        <v>367.4341</v>
      </c>
      <c r="M126">
        <v>0.99976609999999999</v>
      </c>
      <c r="N126">
        <v>0</v>
      </c>
      <c r="O126">
        <v>-1.7126280000000001E-2</v>
      </c>
      <c r="P126">
        <v>0.99545090000000003</v>
      </c>
      <c r="Q126">
        <v>2.1160890000000002E-2</v>
      </c>
      <c r="R126">
        <v>9.2897090000000002E-2</v>
      </c>
      <c r="S126">
        <v>3.0703740000000002</v>
      </c>
      <c r="T126">
        <v>-4.0046690000000003E-2</v>
      </c>
      <c r="U126">
        <v>-0.603302</v>
      </c>
      <c r="V126">
        <v>-0.1099282</v>
      </c>
      <c r="W126">
        <v>3.4302480000000003E-2</v>
      </c>
      <c r="X126">
        <v>0.99334739999999999</v>
      </c>
      <c r="Y126">
        <v>0.175957</v>
      </c>
      <c r="Z126">
        <v>-9.1541259999999998E-4</v>
      </c>
      <c r="AA126">
        <v>0.98439739999999998</v>
      </c>
      <c r="AB126">
        <v>10</v>
      </c>
      <c r="AC126">
        <v>88.444999999999993</v>
      </c>
      <c r="AD126">
        <v>-1.1548399999999901</v>
      </c>
      <c r="AE126">
        <v>-17.395800000000001</v>
      </c>
      <c r="AF126">
        <v>15.8757763848593</v>
      </c>
      <c r="AG126">
        <v>-1.1548399999999901</v>
      </c>
      <c r="AH126">
        <v>88.715415529319401</v>
      </c>
      <c r="AI126">
        <v>90.7341363906651</v>
      </c>
      <c r="AJ126">
        <v>79.854213859433003</v>
      </c>
      <c r="AK126">
        <v>90.132119046361396</v>
      </c>
      <c r="AL126">
        <v>88.034226960394093</v>
      </c>
      <c r="AM126">
        <v>96.314908317768499</v>
      </c>
      <c r="AN126">
        <v>0.99999996318807405</v>
      </c>
    </row>
    <row r="127" spans="1:40" x14ac:dyDescent="0.3">
      <c r="A127" t="str">
        <f>"20200111145918324"</f>
        <v>20200111145918324</v>
      </c>
      <c r="B127" t="str">
        <f>"1578725958315940"</f>
        <v>1578725958315940</v>
      </c>
      <c r="C127" t="s">
        <v>40</v>
      </c>
      <c r="D127">
        <v>3.9977079999999998</v>
      </c>
      <c r="E127">
        <v>0.61076969999999997</v>
      </c>
      <c r="F127" t="s">
        <v>43</v>
      </c>
      <c r="G127">
        <v>-375.08170000000001</v>
      </c>
      <c r="H127">
        <v>-0.05</v>
      </c>
      <c r="I127">
        <v>348.83730000000003</v>
      </c>
      <c r="J127">
        <v>-470.15370000000001</v>
      </c>
      <c r="K127">
        <v>1.104843</v>
      </c>
      <c r="L127">
        <v>367.43299999999999</v>
      </c>
      <c r="M127">
        <v>0.99976430000000005</v>
      </c>
      <c r="N127">
        <v>0</v>
      </c>
      <c r="O127">
        <v>-1.723452E-2</v>
      </c>
      <c r="P127">
        <v>0.9954326</v>
      </c>
      <c r="Q127">
        <v>2.0990669999999999E-2</v>
      </c>
      <c r="R127">
        <v>9.3131580000000005E-2</v>
      </c>
      <c r="S127">
        <v>3.070557</v>
      </c>
      <c r="T127">
        <v>-3.7274960000000003E-2</v>
      </c>
      <c r="U127">
        <v>-0.60025019999999996</v>
      </c>
      <c r="V127">
        <v>-0.1102704</v>
      </c>
      <c r="W127">
        <v>3.4132830000000003E-2</v>
      </c>
      <c r="X127">
        <v>0.99331530000000001</v>
      </c>
      <c r="Y127">
        <v>0.1748989</v>
      </c>
      <c r="Z127">
        <v>-8.4442700000000002E-4</v>
      </c>
      <c r="AA127">
        <v>0.98458610000000002</v>
      </c>
      <c r="AB127">
        <v>10</v>
      </c>
      <c r="AC127">
        <v>95.072000000000003</v>
      </c>
      <c r="AD127">
        <v>-1.1548430000000001</v>
      </c>
      <c r="AE127">
        <v>-18.595700000000001</v>
      </c>
      <c r="AF127">
        <v>16.951865381658902</v>
      </c>
      <c r="AG127">
        <v>-1.1548430000000001</v>
      </c>
      <c r="AH127">
        <v>95.364840199884497</v>
      </c>
      <c r="AI127">
        <v>90.683095599974493</v>
      </c>
      <c r="AJ127">
        <v>79.920499249253098</v>
      </c>
      <c r="AK127">
        <v>96.8666720220223</v>
      </c>
      <c r="AL127">
        <v>88.0439528559004</v>
      </c>
      <c r="AM127">
        <v>96.3346097475427</v>
      </c>
      <c r="AN127">
        <v>0.99999994820702798</v>
      </c>
    </row>
    <row r="128" spans="1:40" x14ac:dyDescent="0.3">
      <c r="A128" t="str">
        <f>"20200111145918336"</f>
        <v>20200111145918336</v>
      </c>
      <c r="B128" t="str">
        <f>"1578725958325697"</f>
        <v>1578725958325697</v>
      </c>
      <c r="C128" t="s">
        <v>40</v>
      </c>
      <c r="D128">
        <v>4.0368729999999999</v>
      </c>
      <c r="E128">
        <v>0.61082579999999997</v>
      </c>
      <c r="F128" t="s">
        <v>43</v>
      </c>
      <c r="G128">
        <v>-369.74689999999998</v>
      </c>
      <c r="H128">
        <v>-0.05</v>
      </c>
      <c r="I128">
        <v>347.84280000000001</v>
      </c>
      <c r="J128">
        <v>-470.09769999999997</v>
      </c>
      <c r="K128">
        <v>1.104846</v>
      </c>
      <c r="L128">
        <v>367.43189999999998</v>
      </c>
      <c r="M128">
        <v>0.9997625</v>
      </c>
      <c r="N128">
        <v>0</v>
      </c>
      <c r="O128">
        <v>-1.7336549999999999E-2</v>
      </c>
      <c r="P128">
        <v>0.99541230000000003</v>
      </c>
      <c r="Q128">
        <v>2.125788E-2</v>
      </c>
      <c r="R128">
        <v>9.3287499999999995E-2</v>
      </c>
      <c r="S128">
        <v>3.070557</v>
      </c>
      <c r="T128">
        <v>-3.5316470000000003E-2</v>
      </c>
      <c r="U128">
        <v>-0.59909060000000003</v>
      </c>
      <c r="V128">
        <v>-0.1105275</v>
      </c>
      <c r="W128">
        <v>3.4400649999999998E-2</v>
      </c>
      <c r="X128">
        <v>0.99327750000000004</v>
      </c>
      <c r="Y128">
        <v>0.17444129999999899</v>
      </c>
      <c r="Z128">
        <v>-7.9632249999999998E-4</v>
      </c>
      <c r="AA128">
        <v>0.98466719999999996</v>
      </c>
      <c r="AB128">
        <v>10</v>
      </c>
      <c r="AC128">
        <v>100.35080000000001</v>
      </c>
      <c r="AD128">
        <v>-1.15484599999999</v>
      </c>
      <c r="AE128">
        <v>-19.589099999999899</v>
      </c>
      <c r="AF128">
        <v>17.8439906349053</v>
      </c>
      <c r="AG128">
        <v>-1.15484599999999</v>
      </c>
      <c r="AH128">
        <v>100.66251074479</v>
      </c>
      <c r="AI128">
        <v>90.647205289713398</v>
      </c>
      <c r="AJ128">
        <v>79.947856463344493</v>
      </c>
      <c r="AK128">
        <v>102.238362371995</v>
      </c>
      <c r="AL128">
        <v>88.028598910522604</v>
      </c>
      <c r="AM128">
        <v>96.349498327399303</v>
      </c>
      <c r="AN128">
        <v>0.99999996249145995</v>
      </c>
    </row>
    <row r="129" spans="1:40" x14ac:dyDescent="0.3">
      <c r="A129" t="str">
        <f>"20200111145918355"</f>
        <v>20200111145918355</v>
      </c>
      <c r="B129" t="str">
        <f>"1578725958346193"</f>
        <v>1578725958346193</v>
      </c>
      <c r="C129" t="s">
        <v>40</v>
      </c>
      <c r="D129">
        <v>4.007708</v>
      </c>
      <c r="E129">
        <v>0.61065230000000004</v>
      </c>
      <c r="F129" t="s">
        <v>43</v>
      </c>
      <c r="G129">
        <v>-368.31040000000002</v>
      </c>
      <c r="H129">
        <v>-0.05</v>
      </c>
      <c r="I129">
        <v>347.56540000000001</v>
      </c>
      <c r="J129">
        <v>-470.01670000000001</v>
      </c>
      <c r="K129">
        <v>1.1048439999999999</v>
      </c>
      <c r="L129">
        <v>367.43029999999999</v>
      </c>
      <c r="M129">
        <v>0.99975999999999998</v>
      </c>
      <c r="N129">
        <v>0</v>
      </c>
      <c r="O129">
        <v>-1.7483309999999998E-2</v>
      </c>
      <c r="P129">
        <v>0.99535870000000004</v>
      </c>
      <c r="Q129">
        <v>2.149945E-2</v>
      </c>
      <c r="R129">
        <v>9.3803490000000003E-2</v>
      </c>
      <c r="S129">
        <v>3.0707399999999998</v>
      </c>
      <c r="T129">
        <v>-3.4839630000000003E-2</v>
      </c>
      <c r="U129">
        <v>-0.5993347</v>
      </c>
      <c r="V129">
        <v>-0.1111882</v>
      </c>
      <c r="W129">
        <v>3.4642270000000003E-2</v>
      </c>
      <c r="X129">
        <v>0.99319539999999995</v>
      </c>
      <c r="Y129">
        <v>0.1743615</v>
      </c>
      <c r="Z129">
        <v>-7.8342309999999895E-4</v>
      </c>
      <c r="AA129">
        <v>0.98468140000000004</v>
      </c>
      <c r="AB129">
        <v>10</v>
      </c>
      <c r="AC129">
        <v>101.7063</v>
      </c>
      <c r="AD129">
        <v>-1.154844</v>
      </c>
      <c r="AE129">
        <v>-19.864899999999899</v>
      </c>
      <c r="AF129">
        <v>18.0812999455766</v>
      </c>
      <c r="AG129">
        <v>-1.154844</v>
      </c>
      <c r="AH129">
        <v>102.02541581123801</v>
      </c>
      <c r="AI129">
        <v>90.638563832270094</v>
      </c>
      <c r="AJ129">
        <v>79.950190501216099</v>
      </c>
      <c r="AK129">
        <v>103.621679892975</v>
      </c>
      <c r="AL129">
        <v>88.0147469270225</v>
      </c>
      <c r="AM129">
        <v>96.387664574676904</v>
      </c>
      <c r="AN129">
        <v>1.00000000263557</v>
      </c>
    </row>
    <row r="130" spans="1:40" x14ac:dyDescent="0.3">
      <c r="A130" t="str">
        <f>"20200111145918368"</f>
        <v>20200111145918368</v>
      </c>
      <c r="B130" t="str">
        <f>"1578725958365713"</f>
        <v>1578725958365713</v>
      </c>
      <c r="C130" t="s">
        <v>40</v>
      </c>
      <c r="D130">
        <v>4.0126089999999897</v>
      </c>
      <c r="E130">
        <v>0.61090900000000004</v>
      </c>
      <c r="F130" t="s">
        <v>43</v>
      </c>
      <c r="G130">
        <v>-376.11520000000002</v>
      </c>
      <c r="H130">
        <v>-0.05</v>
      </c>
      <c r="I130">
        <v>349.20589999999999</v>
      </c>
      <c r="J130">
        <v>-469.96080000000001</v>
      </c>
      <c r="K130">
        <v>1.104843</v>
      </c>
      <c r="L130">
        <v>367.42919999999998</v>
      </c>
      <c r="M130">
        <v>0.99975820000000004</v>
      </c>
      <c r="N130">
        <v>0</v>
      </c>
      <c r="O130">
        <v>-1.7584160000000001E-2</v>
      </c>
      <c r="P130">
        <v>0.99534920000000005</v>
      </c>
      <c r="Q130">
        <v>2.1605389999999999E-2</v>
      </c>
      <c r="R130">
        <v>9.3879710000000005E-2</v>
      </c>
      <c r="S130">
        <v>3.0709529999999998</v>
      </c>
      <c r="T130">
        <v>-3.7768009999999998E-2</v>
      </c>
      <c r="U130">
        <v>-0.59600830000000005</v>
      </c>
      <c r="V130">
        <v>-0.1113644</v>
      </c>
      <c r="W130">
        <v>3.4748540000000001E-2</v>
      </c>
      <c r="X130">
        <v>0.9931719</v>
      </c>
      <c r="Y130">
        <v>0.17321979999999901</v>
      </c>
      <c r="Z130">
        <v>-8.41113E-4</v>
      </c>
      <c r="AA130">
        <v>0.98488279999999995</v>
      </c>
      <c r="AB130">
        <v>10</v>
      </c>
      <c r="AC130">
        <v>93.845600000000005</v>
      </c>
      <c r="AD130">
        <v>-1.1548430000000001</v>
      </c>
      <c r="AE130">
        <v>-18.223299999999899</v>
      </c>
      <c r="AF130">
        <v>16.567724312976999</v>
      </c>
      <c r="AG130">
        <v>-1.1548430000000001</v>
      </c>
      <c r="AH130">
        <v>94.137819564606602</v>
      </c>
      <c r="AI130">
        <v>90.692207745658393</v>
      </c>
      <c r="AJ130">
        <v>80.018484737948398</v>
      </c>
      <c r="AK130">
        <v>95.591590757994496</v>
      </c>
      <c r="AL130">
        <v>88.008654345118501</v>
      </c>
      <c r="AM130">
        <v>96.397853369993001</v>
      </c>
      <c r="AN130">
        <v>0.999999956784549</v>
      </c>
    </row>
    <row r="131" spans="1:40" x14ac:dyDescent="0.3">
      <c r="A131" t="str">
        <f>"20200111145918381"</f>
        <v>20200111145918381</v>
      </c>
      <c r="B131" t="str">
        <f>"1578725958376449"</f>
        <v>1578725958376449</v>
      </c>
      <c r="C131" t="s">
        <v>40</v>
      </c>
      <c r="D131">
        <v>3.9821599999999999</v>
      </c>
      <c r="E131">
        <v>0.61140950000000005</v>
      </c>
      <c r="F131" t="s">
        <v>43</v>
      </c>
      <c r="G131">
        <v>-384.22739999999999</v>
      </c>
      <c r="H131">
        <v>-0.05</v>
      </c>
      <c r="I131">
        <v>350.74239999999998</v>
      </c>
      <c r="J131">
        <v>-469.90320000000003</v>
      </c>
      <c r="K131">
        <v>1.1048480000000001</v>
      </c>
      <c r="L131">
        <v>367.428</v>
      </c>
      <c r="M131">
        <v>0.99975630000000004</v>
      </c>
      <c r="N131">
        <v>0</v>
      </c>
      <c r="O131">
        <v>-1.768788E-2</v>
      </c>
      <c r="P131">
        <v>0.99533020000000005</v>
      </c>
      <c r="Q131">
        <v>2.13905E-2</v>
      </c>
      <c r="R131">
        <v>9.4129030000000002E-2</v>
      </c>
      <c r="S131">
        <v>3.071259</v>
      </c>
      <c r="T131">
        <v>-4.137039E-2</v>
      </c>
      <c r="U131">
        <v>-0.59777829999999998</v>
      </c>
      <c r="V131">
        <v>-0.1117162</v>
      </c>
      <c r="W131">
        <v>3.4533609999999999E-2</v>
      </c>
      <c r="X131">
        <v>0.99313989999999996</v>
      </c>
      <c r="Y131">
        <v>0.17364399999999999</v>
      </c>
      <c r="Z131">
        <v>-9.2264069999999998E-4</v>
      </c>
      <c r="AA131">
        <v>0.98480809999999996</v>
      </c>
      <c r="AB131">
        <v>10</v>
      </c>
      <c r="AC131">
        <v>85.675799999999995</v>
      </c>
      <c r="AD131">
        <v>-1.1548479999999901</v>
      </c>
      <c r="AE131">
        <v>-16.685600000000001</v>
      </c>
      <c r="AF131">
        <v>15.164779093691401</v>
      </c>
      <c r="AG131">
        <v>-1.1548479999999901</v>
      </c>
      <c r="AH131">
        <v>85.942508576691594</v>
      </c>
      <c r="AI131">
        <v>90.758151870545106</v>
      </c>
      <c r="AJ131">
        <v>79.993019721475406</v>
      </c>
      <c r="AK131">
        <v>87.277826389743893</v>
      </c>
      <c r="AL131">
        <v>88.020976349689803</v>
      </c>
      <c r="AM131">
        <v>96.418100875513105</v>
      </c>
      <c r="AN131">
        <v>0.99999997026704002</v>
      </c>
    </row>
    <row r="132" spans="1:40" x14ac:dyDescent="0.3">
      <c r="A132" t="str">
        <f>"20200111145918399"</f>
        <v>20200111145918399</v>
      </c>
      <c r="B132" t="str">
        <f>"1578725958395969"</f>
        <v>1578725958395969</v>
      </c>
      <c r="C132" t="s">
        <v>40</v>
      </c>
      <c r="D132">
        <v>6.1603199999999996</v>
      </c>
      <c r="E132">
        <v>0.61166609999999999</v>
      </c>
      <c r="F132" t="s">
        <v>43</v>
      </c>
      <c r="G132">
        <v>-387.74950000000001</v>
      </c>
      <c r="H132">
        <v>-0.05</v>
      </c>
      <c r="I132">
        <v>351.35610000000003</v>
      </c>
      <c r="J132">
        <v>-469.82350000000002</v>
      </c>
      <c r="K132">
        <v>1.104851</v>
      </c>
      <c r="L132">
        <v>367.42649999999998</v>
      </c>
      <c r="M132">
        <v>0.99975380000000003</v>
      </c>
      <c r="N132">
        <v>0</v>
      </c>
      <c r="O132">
        <v>-1.7832489999999999E-2</v>
      </c>
      <c r="P132">
        <v>0.99527100000000002</v>
      </c>
      <c r="Q132">
        <v>2.1313370000000002E-2</v>
      </c>
      <c r="R132">
        <v>9.4772010000000004E-2</v>
      </c>
      <c r="S132">
        <v>3.0718380000000001</v>
      </c>
      <c r="T132">
        <v>-4.3181299999999999E-2</v>
      </c>
      <c r="U132">
        <v>-0.60095209999999999</v>
      </c>
      <c r="V132">
        <v>-0.11250209999999999</v>
      </c>
      <c r="W132">
        <v>3.445546E-2</v>
      </c>
      <c r="X132">
        <v>0.99305390000000004</v>
      </c>
      <c r="Y132">
        <v>0.17444560000000001</v>
      </c>
      <c r="Z132">
        <v>-9.6632049999999996E-4</v>
      </c>
      <c r="AA132">
        <v>0.98466629999999999</v>
      </c>
      <c r="AB132">
        <v>10</v>
      </c>
      <c r="AC132">
        <v>82.073999999999998</v>
      </c>
      <c r="AD132">
        <v>-1.1548510000000001</v>
      </c>
      <c r="AE132">
        <v>-16.0703999999999</v>
      </c>
      <c r="AF132">
        <v>14.601348631569699</v>
      </c>
      <c r="AG132">
        <v>-1.1548510000000001</v>
      </c>
      <c r="AH132">
        <v>82.3318483416558</v>
      </c>
      <c r="AI132">
        <v>90.791277049036694</v>
      </c>
      <c r="AJ132">
        <v>79.943300813893501</v>
      </c>
      <c r="AK132">
        <v>83.624555688184401</v>
      </c>
      <c r="AL132">
        <v>88.025456690187596</v>
      </c>
      <c r="AM132">
        <v>96.463425138821606</v>
      </c>
      <c r="AN132">
        <v>0.99999997476671498</v>
      </c>
    </row>
    <row r="133" spans="1:40" x14ac:dyDescent="0.3">
      <c r="A133" t="str">
        <f>"20200111145918413"</f>
        <v>20200111145918413</v>
      </c>
      <c r="B133" t="str">
        <f>"1578725958405729"</f>
        <v>1578725958405729</v>
      </c>
      <c r="C133" t="s">
        <v>40</v>
      </c>
      <c r="D133">
        <v>4.5891699999999904</v>
      </c>
      <c r="E133">
        <v>0.61208280000000004</v>
      </c>
      <c r="F133" t="s">
        <v>43</v>
      </c>
      <c r="G133">
        <v>-390.26850000000002</v>
      </c>
      <c r="H133">
        <v>-0.05</v>
      </c>
      <c r="I133">
        <v>351.863</v>
      </c>
      <c r="J133">
        <v>-469.76889999999997</v>
      </c>
      <c r="K133">
        <v>1.104854</v>
      </c>
      <c r="L133">
        <v>367.42540000000002</v>
      </c>
      <c r="M133">
        <v>0.99975199999999997</v>
      </c>
      <c r="N133">
        <v>0</v>
      </c>
      <c r="O133">
        <v>-1.7930950000000001E-2</v>
      </c>
      <c r="P133">
        <v>0.99527030000000005</v>
      </c>
      <c r="Q133">
        <v>2.1513399999999998E-2</v>
      </c>
      <c r="R133">
        <v>9.4734159999999998E-2</v>
      </c>
      <c r="S133">
        <v>3.072479</v>
      </c>
      <c r="T133">
        <v>-4.460132E-2</v>
      </c>
      <c r="U133">
        <v>-0.601074199999999</v>
      </c>
      <c r="V133">
        <v>-0.112562</v>
      </c>
      <c r="W133">
        <v>3.4655619999999998E-2</v>
      </c>
      <c r="X133">
        <v>0.99304020000000004</v>
      </c>
      <c r="Y133">
        <v>0.17434659999999999</v>
      </c>
      <c r="Z133">
        <v>-9.9576070000000007E-4</v>
      </c>
      <c r="AA133">
        <v>0.98468389999999995</v>
      </c>
      <c r="AB133">
        <v>10</v>
      </c>
      <c r="AC133">
        <v>79.5003999999999</v>
      </c>
      <c r="AD133">
        <v>-1.154854</v>
      </c>
      <c r="AE133">
        <v>-15.562399999999901</v>
      </c>
      <c r="AF133">
        <v>14.131383625623</v>
      </c>
      <c r="AG133">
        <v>-1.154854</v>
      </c>
      <c r="AH133">
        <v>79.750481679629004</v>
      </c>
      <c r="AI133">
        <v>90.816909255913401</v>
      </c>
      <c r="AJ133">
        <v>79.951775059807403</v>
      </c>
      <c r="AK133">
        <v>81.001043320865193</v>
      </c>
      <c r="AL133">
        <v>88.013981617865795</v>
      </c>
      <c r="AM133">
        <v>96.466925805773499</v>
      </c>
      <c r="AN133">
        <v>1.0000000273288101</v>
      </c>
    </row>
    <row r="134" spans="1:40" x14ac:dyDescent="0.3">
      <c r="A134" t="str">
        <f>"20200111145918427"</f>
        <v>20200111145918427</v>
      </c>
      <c r="B134" t="str">
        <f>"1578725958416465"</f>
        <v>1578725958416465</v>
      </c>
      <c r="C134" t="s">
        <v>40</v>
      </c>
      <c r="D134">
        <v>3.8169279999999999</v>
      </c>
      <c r="E134">
        <v>0.61156119999999903</v>
      </c>
      <c r="F134" t="s">
        <v>43</v>
      </c>
      <c r="G134">
        <v>-389.23829999999998</v>
      </c>
      <c r="H134">
        <v>-0.05</v>
      </c>
      <c r="I134">
        <v>351.57889999999998</v>
      </c>
      <c r="J134">
        <v>-469.70929999999998</v>
      </c>
      <c r="K134">
        <v>1.1048549999999999</v>
      </c>
      <c r="L134">
        <v>367.42419999999998</v>
      </c>
      <c r="M134">
        <v>0.99974989999999997</v>
      </c>
      <c r="N134">
        <v>0</v>
      </c>
      <c r="O134">
        <v>-1.803776E-2</v>
      </c>
      <c r="P134">
        <v>0.99524509999999999</v>
      </c>
      <c r="Q134">
        <v>2.2003430000000001E-2</v>
      </c>
      <c r="R134">
        <v>9.4884460000000004E-2</v>
      </c>
      <c r="S134">
        <v>3.0727540000000002</v>
      </c>
      <c r="T134">
        <v>-4.4065E-2</v>
      </c>
      <c r="U134">
        <v>-0.60464479999999998</v>
      </c>
      <c r="V134">
        <v>-0.1128176</v>
      </c>
      <c r="W134">
        <v>3.5145019999999999E-2</v>
      </c>
      <c r="X134">
        <v>0.99299400000000004</v>
      </c>
      <c r="Y134">
        <v>0.17532679999999901</v>
      </c>
      <c r="Z134">
        <v>-9.8903909999999997E-4</v>
      </c>
      <c r="AA134">
        <v>0.98450979999999999</v>
      </c>
      <c r="AB134">
        <v>10</v>
      </c>
      <c r="AC134">
        <v>80.471000000000004</v>
      </c>
      <c r="AD134">
        <v>-1.154855</v>
      </c>
      <c r="AE134">
        <v>-15.8453</v>
      </c>
      <c r="AF134">
        <v>14.3882254276482</v>
      </c>
      <c r="AG134">
        <v>-1.154855</v>
      </c>
      <c r="AH134">
        <v>80.7277384488835</v>
      </c>
      <c r="AI134">
        <v>90.806878028745999</v>
      </c>
      <c r="AJ134">
        <v>79.8942043935199</v>
      </c>
      <c r="AK134">
        <v>82.008063482191702</v>
      </c>
      <c r="AL134">
        <v>87.985923983864595</v>
      </c>
      <c r="AM134">
        <v>96.481784739875494</v>
      </c>
      <c r="AN134">
        <v>1.0000000336682699</v>
      </c>
    </row>
    <row r="135" spans="1:40" x14ac:dyDescent="0.3">
      <c r="A135" t="str">
        <f>"20200111145918438"</f>
        <v>20200111145918438</v>
      </c>
      <c r="B135" t="str">
        <f>"1578725958435985"</f>
        <v>1578725958435985</v>
      </c>
      <c r="C135" t="s">
        <v>40</v>
      </c>
      <c r="D135">
        <v>4.652412</v>
      </c>
      <c r="E135">
        <v>0.61027909999999996</v>
      </c>
      <c r="F135" t="s">
        <v>43</v>
      </c>
      <c r="G135">
        <v>-387.19869999999997</v>
      </c>
      <c r="H135">
        <v>-0.05</v>
      </c>
      <c r="I135">
        <v>351.31169999999997</v>
      </c>
      <c r="J135">
        <v>-469.65269999999998</v>
      </c>
      <c r="K135">
        <v>1.10486</v>
      </c>
      <c r="L135">
        <v>367.42309999999998</v>
      </c>
      <c r="M135">
        <v>0.99974819999999998</v>
      </c>
      <c r="N135">
        <v>0</v>
      </c>
      <c r="O135">
        <v>-1.8138959999999999E-2</v>
      </c>
      <c r="P135">
        <v>0.99526389999999998</v>
      </c>
      <c r="Q135">
        <v>2.2012150000000001E-2</v>
      </c>
      <c r="R135">
        <v>9.4685770000000002E-2</v>
      </c>
      <c r="S135">
        <v>3.0724179999999999</v>
      </c>
      <c r="T135">
        <v>-4.300296E-2</v>
      </c>
      <c r="U135">
        <v>-0.59997559999999905</v>
      </c>
      <c r="V135">
        <v>-0.1127196</v>
      </c>
      <c r="W135">
        <v>3.5153610000000002E-2</v>
      </c>
      <c r="X135">
        <v>0.99300480000000002</v>
      </c>
      <c r="Y135">
        <v>0.173807399999999</v>
      </c>
      <c r="Z135">
        <v>-9.5351129999999998E-4</v>
      </c>
      <c r="AA135">
        <v>0.98477919999999997</v>
      </c>
      <c r="AB135">
        <v>10</v>
      </c>
      <c r="AC135">
        <v>82.453999999999994</v>
      </c>
      <c r="AD135">
        <v>-1.15486</v>
      </c>
      <c r="AE135">
        <v>-16.1114</v>
      </c>
      <c r="AF135">
        <v>14.610227787675599</v>
      </c>
      <c r="AG135">
        <v>-1.15486</v>
      </c>
      <c r="AH135">
        <v>82.717071530356804</v>
      </c>
      <c r="AI135">
        <v>90.787695699480906</v>
      </c>
      <c r="AJ135">
        <v>79.983222151518504</v>
      </c>
      <c r="AK135">
        <v>84.005394946905298</v>
      </c>
      <c r="AL135">
        <v>87.985431458442704</v>
      </c>
      <c r="AM135">
        <v>96.476132297959694</v>
      </c>
      <c r="AN135">
        <v>1.0000000086716101</v>
      </c>
    </row>
    <row r="136" spans="1:40" x14ac:dyDescent="0.3">
      <c r="A136" t="str">
        <f>"20200111145918455"</f>
        <v>20200111145918455</v>
      </c>
      <c r="B136" t="str">
        <f>"1578725958445745"</f>
        <v>1578725958445745</v>
      </c>
      <c r="C136" t="s">
        <v>40</v>
      </c>
      <c r="D136">
        <v>3.7079390000000001</v>
      </c>
      <c r="E136">
        <v>0.60973520000000003</v>
      </c>
      <c r="F136" t="s">
        <v>43</v>
      </c>
      <c r="G136">
        <v>-389.6397</v>
      </c>
      <c r="H136">
        <v>-0.05</v>
      </c>
      <c r="I136">
        <v>352.0421</v>
      </c>
      <c r="J136">
        <v>-469.58240000000001</v>
      </c>
      <c r="K136">
        <v>1.1048639999999901</v>
      </c>
      <c r="L136">
        <v>367.42169999999999</v>
      </c>
      <c r="M136">
        <v>0.99974600000000002</v>
      </c>
      <c r="N136">
        <v>0</v>
      </c>
      <c r="O136">
        <v>-1.8262069999999998E-2</v>
      </c>
      <c r="P136">
        <v>0.9952685</v>
      </c>
      <c r="Q136">
        <v>2.25519E-2</v>
      </c>
      <c r="R136">
        <v>9.4509029999999994E-2</v>
      </c>
      <c r="S136">
        <v>3.0714109999999999</v>
      </c>
      <c r="T136">
        <v>-4.4330950000000001E-2</v>
      </c>
      <c r="U136">
        <v>-0.59042359999999905</v>
      </c>
      <c r="V136">
        <v>-0.1126658</v>
      </c>
      <c r="W136">
        <v>3.5692099999999997E-2</v>
      </c>
      <c r="X136">
        <v>0.99299170000000003</v>
      </c>
      <c r="Y136">
        <v>0.17079369999999999</v>
      </c>
      <c r="Z136">
        <v>-9.6024680000000005E-4</v>
      </c>
      <c r="AA136">
        <v>0.98530629999999997</v>
      </c>
      <c r="AB136">
        <v>10</v>
      </c>
      <c r="AC136">
        <v>79.942700000000002</v>
      </c>
      <c r="AD136">
        <v>-1.1548639999999999</v>
      </c>
      <c r="AE136">
        <v>-15.3795999999999</v>
      </c>
      <c r="AF136">
        <v>13.9141881051205</v>
      </c>
      <c r="AG136">
        <v>-1.1548639999999999</v>
      </c>
      <c r="AH136">
        <v>80.194115320838705</v>
      </c>
      <c r="AI136">
        <v>90.812907631781698</v>
      </c>
      <c r="AJ136">
        <v>80.156812432457599</v>
      </c>
      <c r="AK136">
        <v>81.400457453107506</v>
      </c>
      <c r="AL136">
        <v>87.954558886408606</v>
      </c>
      <c r="AM136">
        <v>96.473152212795199</v>
      </c>
      <c r="AN136">
        <v>1.00000001238047</v>
      </c>
    </row>
    <row r="137" spans="1:40" x14ac:dyDescent="0.3">
      <c r="A137" t="str">
        <f>"20200111145918670"</f>
        <v>20200111145918670</v>
      </c>
      <c r="B137" t="str">
        <f>"1578725958665854"</f>
        <v>1578725958665854</v>
      </c>
      <c r="C137" t="s">
        <v>40</v>
      </c>
      <c r="D137">
        <v>4.281828</v>
      </c>
      <c r="E137">
        <v>0.52083610000000002</v>
      </c>
      <c r="F137" t="s">
        <v>43</v>
      </c>
      <c r="G137">
        <v>-405.26010000000002</v>
      </c>
      <c r="H137">
        <v>-0.05</v>
      </c>
      <c r="I137">
        <v>355.13740000000001</v>
      </c>
      <c r="J137">
        <v>-468.67399999999998</v>
      </c>
      <c r="K137">
        <v>1.1049169999999999</v>
      </c>
      <c r="L137">
        <v>367.40309999999999</v>
      </c>
      <c r="M137">
        <v>0.9997298</v>
      </c>
      <c r="N137">
        <v>0</v>
      </c>
      <c r="O137">
        <v>-1.920556E-2</v>
      </c>
      <c r="P137">
        <v>0.99531700000000001</v>
      </c>
      <c r="Q137">
        <v>2.636119E-2</v>
      </c>
      <c r="R137">
        <v>9.3002039999999994E-2</v>
      </c>
      <c r="S137">
        <v>3.071259</v>
      </c>
      <c r="T137">
        <v>-5.5142400000000001E-2</v>
      </c>
      <c r="U137">
        <v>-0.58654790000000001</v>
      </c>
      <c r="V137">
        <v>-0.1121024</v>
      </c>
      <c r="W137">
        <v>3.9376870000000001E-2</v>
      </c>
      <c r="X137">
        <v>0.99291620000000003</v>
      </c>
      <c r="Y137">
        <v>0.16866519999999999</v>
      </c>
      <c r="Z137">
        <v>-1.1588919999999999E-3</v>
      </c>
      <c r="AA137">
        <v>0.98567269999999896</v>
      </c>
      <c r="AB137">
        <v>9</v>
      </c>
      <c r="AC137">
        <v>63.413899999999998</v>
      </c>
      <c r="AD137">
        <v>-1.154917</v>
      </c>
      <c r="AE137">
        <v>-12.265699999999899</v>
      </c>
      <c r="AF137">
        <v>11.041902976806799</v>
      </c>
      <c r="AG137">
        <v>-1.154917</v>
      </c>
      <c r="AH137">
        <v>63.617451227197499</v>
      </c>
      <c r="AI137">
        <v>91.024721262923507</v>
      </c>
      <c r="AJ137">
        <v>80.153427731053299</v>
      </c>
      <c r="AK137">
        <v>64.578925008635395</v>
      </c>
      <c r="AL137">
        <v>87.743288170670994</v>
      </c>
      <c r="AM137">
        <v>96.441540731680604</v>
      </c>
      <c r="AN137">
        <v>1.00000003309959</v>
      </c>
    </row>
    <row r="138" spans="1:40" x14ac:dyDescent="0.3">
      <c r="A138" t="str">
        <f>"20200111145918682"</f>
        <v>20200111145918682</v>
      </c>
      <c r="B138" t="str">
        <f>"1578725958676122"</f>
        <v>1578725958676122</v>
      </c>
      <c r="C138" t="s">
        <v>40</v>
      </c>
      <c r="D138">
        <v>4.209549</v>
      </c>
      <c r="E138">
        <v>0.52083610000000002</v>
      </c>
      <c r="F138" t="s">
        <v>41</v>
      </c>
      <c r="G138">
        <v>-467.97899999999998</v>
      </c>
      <c r="H138">
        <v>0.87012040000000002</v>
      </c>
      <c r="I138">
        <v>367.43150000000003</v>
      </c>
      <c r="J138">
        <v>-468.62020000000001</v>
      </c>
      <c r="K138">
        <v>1.1049359999999999</v>
      </c>
      <c r="L138">
        <v>367.40190000000001</v>
      </c>
      <c r="M138">
        <v>0.99972919999999998</v>
      </c>
      <c r="N138">
        <v>0</v>
      </c>
      <c r="O138">
        <v>-1.9246889999999999E-2</v>
      </c>
      <c r="P138">
        <v>0.99527569999999999</v>
      </c>
      <c r="Q138">
        <v>2.694968E-2</v>
      </c>
      <c r="R138">
        <v>9.3274650000000001E-2</v>
      </c>
      <c r="S138">
        <v>3.0296020000000001</v>
      </c>
      <c r="T138">
        <v>-1.0234259999999999</v>
      </c>
      <c r="U138">
        <v>0.1251526</v>
      </c>
      <c r="V138">
        <v>-0.11241950000000001</v>
      </c>
      <c r="W138">
        <v>3.9929569999999998E-2</v>
      </c>
      <c r="X138">
        <v>0.99285820000000002</v>
      </c>
      <c r="Y138">
        <v>-5.631063E-2</v>
      </c>
      <c r="Z138">
        <v>1.557513E-2</v>
      </c>
      <c r="AA138">
        <v>0.99829179999999995</v>
      </c>
      <c r="AB138">
        <v>9</v>
      </c>
      <c r="AC138">
        <v>0.64119999999996902</v>
      </c>
      <c r="AD138">
        <v>-0.23481560000000001</v>
      </c>
      <c r="AE138">
        <v>2.96000000000162E-2</v>
      </c>
      <c r="AF138">
        <v>-3.6986853964194197E-2</v>
      </c>
      <c r="AG138">
        <v>-0.23481560000000001</v>
      </c>
      <c r="AH138">
        <v>0.56491130670834699</v>
      </c>
      <c r="AI138">
        <v>112.527695713013</v>
      </c>
      <c r="AJ138">
        <v>93.746022039524306</v>
      </c>
      <c r="AK138">
        <v>0.61288757355363399</v>
      </c>
      <c r="AL138">
        <v>87.7115957004942</v>
      </c>
      <c r="AM138">
        <v>96.459982053663296</v>
      </c>
      <c r="AN138">
        <v>0.99999995992393598</v>
      </c>
    </row>
    <row r="139" spans="1:40" x14ac:dyDescent="0.3">
      <c r="A139" t="str">
        <f>"20200111145918695"</f>
        <v>20200111145918695</v>
      </c>
      <c r="B139" t="str">
        <f>"1578725958685881"</f>
        <v>1578725958685881</v>
      </c>
      <c r="C139" t="s">
        <v>40</v>
      </c>
      <c r="D139">
        <v>4.2743640000000003</v>
      </c>
      <c r="E139">
        <v>0.54463229999999996</v>
      </c>
      <c r="F139" t="s">
        <v>41</v>
      </c>
      <c r="G139">
        <v>-467.899</v>
      </c>
      <c r="H139">
        <v>0.86177649999999995</v>
      </c>
      <c r="I139">
        <v>367.43169999999998</v>
      </c>
      <c r="J139">
        <v>-468.56369999999998</v>
      </c>
      <c r="K139">
        <v>1.104984</v>
      </c>
      <c r="L139">
        <v>367.40069999999997</v>
      </c>
      <c r="M139">
        <v>0.99972589999999995</v>
      </c>
      <c r="N139">
        <v>0</v>
      </c>
      <c r="O139">
        <v>-1.941122E-2</v>
      </c>
      <c r="P139">
        <v>0.99524749999999995</v>
      </c>
      <c r="Q139">
        <v>2.720796E-2</v>
      </c>
      <c r="R139">
        <v>9.3498159999999997E-2</v>
      </c>
      <c r="S139">
        <v>3.0301209999999998</v>
      </c>
      <c r="T139">
        <v>-1.0215669999999999</v>
      </c>
      <c r="U139">
        <v>0.12582399999999999</v>
      </c>
      <c r="V139">
        <v>-0.1128137</v>
      </c>
      <c r="W139">
        <v>4.0179699999999999E-2</v>
      </c>
      <c r="X139">
        <v>0.99280349999999995</v>
      </c>
      <c r="Y139">
        <v>-5.6675490000000002E-2</v>
      </c>
      <c r="Z139">
        <v>1.565946E-2</v>
      </c>
      <c r="AA139">
        <v>0.99826990000000004</v>
      </c>
      <c r="AB139">
        <v>9</v>
      </c>
      <c r="AC139">
        <v>0.66469999999998197</v>
      </c>
      <c r="AD139">
        <v>-0.24320749999999999</v>
      </c>
      <c r="AE139">
        <v>3.1000000000005901E-2</v>
      </c>
      <c r="AF139">
        <v>-3.8724829829651003E-2</v>
      </c>
      <c r="AG139">
        <v>-0.24320749999999999</v>
      </c>
      <c r="AH139">
        <v>0.58572820598002795</v>
      </c>
      <c r="AI139">
        <v>112.50510400227201</v>
      </c>
      <c r="AJ139">
        <v>93.782547860652002</v>
      </c>
      <c r="AK139">
        <v>0.63539517765101705</v>
      </c>
      <c r="AL139">
        <v>87.697253036968704</v>
      </c>
      <c r="AM139">
        <v>96.482795678875902</v>
      </c>
      <c r="AN139">
        <v>1.0000000644060101</v>
      </c>
    </row>
    <row r="140" spans="1:40" x14ac:dyDescent="0.3">
      <c r="A140" t="str">
        <f>"20200111145918714"</f>
        <v>20200111145918714</v>
      </c>
      <c r="B140" t="str">
        <f>"1578725958706379"</f>
        <v>1578725958706379</v>
      </c>
      <c r="C140" t="s">
        <v>40</v>
      </c>
      <c r="D140">
        <v>3.9158750000000002</v>
      </c>
      <c r="E140">
        <v>0.53950779999999998</v>
      </c>
      <c r="F140" t="s">
        <v>41</v>
      </c>
      <c r="G140">
        <v>-467.81920000000002</v>
      </c>
      <c r="H140">
        <v>1.0378969999999901</v>
      </c>
      <c r="I140">
        <v>367.38330000000002</v>
      </c>
      <c r="J140">
        <v>-468.48869999999999</v>
      </c>
      <c r="K140">
        <v>1.10501</v>
      </c>
      <c r="L140">
        <v>367.39909999999998</v>
      </c>
      <c r="M140">
        <v>0.99972079999999997</v>
      </c>
      <c r="N140">
        <v>0</v>
      </c>
      <c r="O140">
        <v>-1.965801E-2</v>
      </c>
      <c r="P140">
        <v>0.99520410000000004</v>
      </c>
      <c r="Q140">
        <v>2.7706600000000001E-2</v>
      </c>
      <c r="R140">
        <v>9.3814809999999998E-2</v>
      </c>
      <c r="S140">
        <v>3.0283509999999998</v>
      </c>
      <c r="T140">
        <v>-0.27304909999999999</v>
      </c>
      <c r="U140">
        <v>-6.997681E-2</v>
      </c>
      <c r="V140">
        <v>-0.11338090000000001</v>
      </c>
      <c r="W140">
        <v>4.067283E-2</v>
      </c>
      <c r="X140">
        <v>0.99271880000000001</v>
      </c>
      <c r="Y140">
        <v>3.5076220000000002E-3</v>
      </c>
      <c r="Z140">
        <v>1.610804E-3</v>
      </c>
      <c r="AA140">
        <v>0.99999249999999995</v>
      </c>
      <c r="AB140">
        <v>9</v>
      </c>
      <c r="AC140">
        <v>0.66949999999997001</v>
      </c>
      <c r="AD140">
        <v>-6.71130000000002E-2</v>
      </c>
      <c r="AE140">
        <v>-1.5799999999955999E-2</v>
      </c>
      <c r="AF140">
        <v>2.6085790202056099E-3</v>
      </c>
      <c r="AG140">
        <v>-6.71130000000002E-2</v>
      </c>
      <c r="AH140">
        <v>0.66302238943914804</v>
      </c>
      <c r="AI140">
        <v>95.779909356028597</v>
      </c>
      <c r="AJ140">
        <v>89.774578054090199</v>
      </c>
      <c r="AK140">
        <v>0.666415522291537</v>
      </c>
      <c r="AL140">
        <v>87.6689756484393</v>
      </c>
      <c r="AM140">
        <v>96.515661162649906</v>
      </c>
      <c r="AN140">
        <v>1.00000006172922</v>
      </c>
    </row>
    <row r="141" spans="1:40" x14ac:dyDescent="0.3">
      <c r="A141" t="str">
        <f>"20200111145918726"</f>
        <v>20200111145918726</v>
      </c>
      <c r="B141" t="str">
        <f>"1578725958716138"</f>
        <v>1578725958716138</v>
      </c>
      <c r="C141" t="s">
        <v>40</v>
      </c>
      <c r="D141">
        <v>3.9238019999999998</v>
      </c>
      <c r="E141">
        <v>0.53845849999999995</v>
      </c>
      <c r="F141" t="s">
        <v>42</v>
      </c>
      <c r="G141">
        <v>-453.44779999999997</v>
      </c>
      <c r="H141" s="1">
        <v>-3.2122200000000001E-6</v>
      </c>
      <c r="I141">
        <v>367.25409999999999</v>
      </c>
      <c r="J141">
        <v>-468.43360000000001</v>
      </c>
      <c r="K141">
        <v>1.1049979999999999</v>
      </c>
      <c r="L141">
        <v>367.39800000000002</v>
      </c>
      <c r="M141">
        <v>0.999718</v>
      </c>
      <c r="N141">
        <v>0</v>
      </c>
      <c r="O141">
        <v>-1.9807700000000001E-2</v>
      </c>
      <c r="P141">
        <v>0.99521119999999996</v>
      </c>
      <c r="Q141">
        <v>2.7819110000000001E-2</v>
      </c>
      <c r="R141">
        <v>9.3705860000000002E-2</v>
      </c>
      <c r="S141">
        <v>3.0233759999999998</v>
      </c>
      <c r="T141">
        <v>-0.2221178</v>
      </c>
      <c r="U141">
        <v>-2.914429E-2</v>
      </c>
      <c r="V141">
        <v>-0.1134226</v>
      </c>
      <c r="W141">
        <v>4.0776689999999997E-2</v>
      </c>
      <c r="X141">
        <v>0.99270970000000003</v>
      </c>
      <c r="Y141">
        <v>-1.009061E-2</v>
      </c>
      <c r="Z141">
        <v>1.82339E-3</v>
      </c>
      <c r="AA141">
        <v>0.99994740000000004</v>
      </c>
      <c r="AB141">
        <v>9</v>
      </c>
      <c r="AC141">
        <v>14.985799999999999</v>
      </c>
      <c r="AD141">
        <v>-1.1050012122199999</v>
      </c>
      <c r="AE141">
        <v>-0.14390000000003</v>
      </c>
      <c r="AF141">
        <v>-0.15216070202994</v>
      </c>
      <c r="AG141">
        <v>-1.1050012122199999</v>
      </c>
      <c r="AH141">
        <v>14.9046795291419</v>
      </c>
      <c r="AI141">
        <v>94.239810015360305</v>
      </c>
      <c r="AJ141">
        <v>90.5849077909279</v>
      </c>
      <c r="AK141">
        <v>14.946359169532601</v>
      </c>
      <c r="AL141">
        <v>87.663019792553499</v>
      </c>
      <c r="AM141">
        <v>96.518096154351397</v>
      </c>
      <c r="AN141">
        <v>0.999999986556103</v>
      </c>
    </row>
    <row r="142" spans="1:40" x14ac:dyDescent="0.3">
      <c r="A142" t="str">
        <f>"20200111145918739"</f>
        <v>20200111145918739</v>
      </c>
      <c r="B142" t="str">
        <f>"1578725958735658"</f>
        <v>1578725958735658</v>
      </c>
      <c r="C142" t="s">
        <v>40</v>
      </c>
      <c r="D142">
        <v>3.9671180000000001</v>
      </c>
      <c r="E142">
        <v>0.53568549999999904</v>
      </c>
      <c r="F142" t="s">
        <v>42</v>
      </c>
      <c r="G142">
        <v>-452.95269999999999</v>
      </c>
      <c r="H142" s="1">
        <v>-3.4181189999999998E-6</v>
      </c>
      <c r="I142">
        <v>367.29059999999998</v>
      </c>
      <c r="J142">
        <v>-468.38029999999998</v>
      </c>
      <c r="K142">
        <v>1.1049599999999999</v>
      </c>
      <c r="L142">
        <v>367.39690000000002</v>
      </c>
      <c r="M142">
        <v>0.9997163</v>
      </c>
      <c r="N142">
        <v>0</v>
      </c>
      <c r="O142">
        <v>-1.9910239999999999E-2</v>
      </c>
      <c r="P142">
        <v>0.99519760000000002</v>
      </c>
      <c r="Q142">
        <v>2.8185149999999999E-2</v>
      </c>
      <c r="R142">
        <v>9.3742729999999996E-2</v>
      </c>
      <c r="S142">
        <v>3.0224609999999998</v>
      </c>
      <c r="T142">
        <v>-0.2157377</v>
      </c>
      <c r="U142">
        <v>-2.0965580000000001E-2</v>
      </c>
      <c r="V142">
        <v>-0.1135601</v>
      </c>
      <c r="W142">
        <v>4.1124019999999997E-2</v>
      </c>
      <c r="X142">
        <v>0.99267969999999905</v>
      </c>
      <c r="Y142">
        <v>-1.289297E-2</v>
      </c>
      <c r="Z142">
        <v>1.8789080000000001E-3</v>
      </c>
      <c r="AA142">
        <v>0.99991509999999995</v>
      </c>
      <c r="AB142">
        <v>9</v>
      </c>
      <c r="AC142">
        <v>15.427599999999901</v>
      </c>
      <c r="AD142">
        <v>-1.104963418119</v>
      </c>
      <c r="AE142">
        <v>-0.10630000000003199</v>
      </c>
      <c r="AF142">
        <v>-0.199889205277652</v>
      </c>
      <c r="AG142">
        <v>-1.104963418119</v>
      </c>
      <c r="AH142">
        <v>15.347930101727201</v>
      </c>
      <c r="AI142">
        <v>94.117516564869106</v>
      </c>
      <c r="AJ142">
        <v>90.746169697013698</v>
      </c>
      <c r="AK142">
        <v>15.388952474332701</v>
      </c>
      <c r="AL142">
        <v>87.643102654177397</v>
      </c>
      <c r="AM142">
        <v>96.526125313356403</v>
      </c>
      <c r="AN142">
        <v>1.0000000340625199</v>
      </c>
    </row>
    <row r="143" spans="1:40" x14ac:dyDescent="0.3">
      <c r="A143" t="str">
        <f>"20200111145918758"</f>
        <v>20200111145918758</v>
      </c>
      <c r="B143" t="str">
        <f>"1578725958746394"</f>
        <v>1578725958746394</v>
      </c>
      <c r="C143" t="s">
        <v>40</v>
      </c>
      <c r="D143">
        <v>4.09145</v>
      </c>
      <c r="E143">
        <v>0.53491299999999997</v>
      </c>
      <c r="F143" t="s">
        <v>42</v>
      </c>
      <c r="G143">
        <v>-451.48970000000003</v>
      </c>
      <c r="H143" s="1">
        <v>-4.0261759999999999E-6</v>
      </c>
      <c r="I143">
        <v>367.40089999999998</v>
      </c>
      <c r="J143">
        <v>-468.30579999999998</v>
      </c>
      <c r="K143">
        <v>1.104889</v>
      </c>
      <c r="L143">
        <v>367.3954</v>
      </c>
      <c r="M143">
        <v>0.99971659999999996</v>
      </c>
      <c r="N143">
        <v>0</v>
      </c>
      <c r="O143">
        <v>-1.9919099999999999E-2</v>
      </c>
      <c r="P143">
        <v>0.99518839999999997</v>
      </c>
      <c r="Q143">
        <v>2.8992210000000001E-2</v>
      </c>
      <c r="R143">
        <v>9.3591530000000006E-2</v>
      </c>
      <c r="S143">
        <v>3.0199579999999999</v>
      </c>
      <c r="T143">
        <v>-0.19756109999999999</v>
      </c>
      <c r="U143">
        <v>7.3242190000000001E-4</v>
      </c>
      <c r="V143">
        <v>-0.1134131</v>
      </c>
      <c r="W143">
        <v>4.1895830000000002E-2</v>
      </c>
      <c r="X143">
        <v>0.9926642</v>
      </c>
      <c r="Y143">
        <v>-2.007778E-2</v>
      </c>
      <c r="Z143">
        <v>1.9577610000000001E-3</v>
      </c>
      <c r="AA143">
        <v>0.99979649999999998</v>
      </c>
      <c r="AB143">
        <v>9</v>
      </c>
      <c r="AC143">
        <v>16.816099999999899</v>
      </c>
      <c r="AD143">
        <v>-1.1048930261759999</v>
      </c>
      <c r="AE143">
        <v>5.4999999999836204E-3</v>
      </c>
      <c r="AF143">
        <v>-0.33902535417746199</v>
      </c>
      <c r="AG143">
        <v>-1.1048930261759999</v>
      </c>
      <c r="AH143">
        <v>16.740383934320601</v>
      </c>
      <c r="AI143">
        <v>93.775367435782201</v>
      </c>
      <c r="AJ143">
        <v>91.160192445093202</v>
      </c>
      <c r="AK143">
        <v>16.7802318535391</v>
      </c>
      <c r="AL143">
        <v>87.598842976384105</v>
      </c>
      <c r="AM143">
        <v>96.517851081747494</v>
      </c>
      <c r="AN143">
        <v>1.0000000028923099</v>
      </c>
    </row>
    <row r="144" spans="1:40" x14ac:dyDescent="0.3">
      <c r="A144" t="str">
        <f>"20200111145918770"</f>
        <v>20200111145918770</v>
      </c>
      <c r="B144" t="str">
        <f>"1578725958765914"</f>
        <v>1578725958765914</v>
      </c>
      <c r="C144" t="s">
        <v>40</v>
      </c>
      <c r="D144">
        <v>4.2169589999999904</v>
      </c>
      <c r="E144">
        <v>0.53371829999999998</v>
      </c>
      <c r="F144" t="s">
        <v>42</v>
      </c>
      <c r="G144">
        <v>-450.92970000000003</v>
      </c>
      <c r="H144" s="1">
        <v>-4.2606460000000003E-6</v>
      </c>
      <c r="I144">
        <v>367.43360000000001</v>
      </c>
      <c r="J144">
        <v>-468.25470000000001</v>
      </c>
      <c r="K144">
        <v>1.1048420000000001</v>
      </c>
      <c r="L144">
        <v>367.39420000000001</v>
      </c>
      <c r="M144">
        <v>0.99971759999999998</v>
      </c>
      <c r="N144">
        <v>0</v>
      </c>
      <c r="O144">
        <v>-1.9887930000000002E-2</v>
      </c>
      <c r="P144">
        <v>0.99516300000000002</v>
      </c>
      <c r="Q144">
        <v>2.9770000000000001E-2</v>
      </c>
      <c r="R144">
        <v>9.3619720000000003E-2</v>
      </c>
      <c r="S144">
        <v>3.0194700000000001</v>
      </c>
      <c r="T144">
        <v>-0.19199720000000001</v>
      </c>
      <c r="U144">
        <v>6.6528319999999896E-3</v>
      </c>
      <c r="V144">
        <v>-0.11340749999999999</v>
      </c>
      <c r="W144">
        <v>4.2655699999999998E-2</v>
      </c>
      <c r="X144">
        <v>0.99263239999999997</v>
      </c>
      <c r="Y144">
        <v>-2.2007829999999999E-2</v>
      </c>
      <c r="Z144">
        <v>1.9623679999999999E-3</v>
      </c>
      <c r="AA144">
        <v>0.99975590000000003</v>
      </c>
      <c r="AB144">
        <v>9</v>
      </c>
      <c r="AC144">
        <v>17.3249999999999</v>
      </c>
      <c r="AD144">
        <v>-1.1048462606459999</v>
      </c>
      <c r="AE144">
        <v>3.9400000000000497E-2</v>
      </c>
      <c r="AF144">
        <v>-0.38242449328629402</v>
      </c>
      <c r="AG144">
        <v>-1.1048462606459999</v>
      </c>
      <c r="AH144">
        <v>17.250633928137798</v>
      </c>
      <c r="AI144">
        <v>93.663702941202303</v>
      </c>
      <c r="AJ144">
        <v>91.269966144045696</v>
      </c>
      <c r="AK144">
        <v>17.290208346788301</v>
      </c>
      <c r="AL144">
        <v>87.5552664844828</v>
      </c>
      <c r="AM144">
        <v>96.517739018136197</v>
      </c>
      <c r="AN144">
        <v>0.999999925664247</v>
      </c>
    </row>
    <row r="145" spans="1:40" x14ac:dyDescent="0.3">
      <c r="A145" t="str">
        <f>"20200111145918783"</f>
        <v>20200111145918783</v>
      </c>
      <c r="B145" t="str">
        <f>"1578725958776182"</f>
        <v>1578725958776182</v>
      </c>
      <c r="C145" t="s">
        <v>40</v>
      </c>
      <c r="D145">
        <v>4.0404790000000004</v>
      </c>
      <c r="E145">
        <v>0.53355540000000001</v>
      </c>
      <c r="F145" t="s">
        <v>42</v>
      </c>
      <c r="G145">
        <v>-449.46769999999998</v>
      </c>
      <c r="H145" s="1">
        <v>-7.5322609999999996E-7</v>
      </c>
      <c r="I145">
        <v>367.49430000000001</v>
      </c>
      <c r="J145">
        <v>-468.20010000000002</v>
      </c>
      <c r="K145">
        <v>1.104808</v>
      </c>
      <c r="L145">
        <v>367.39299999999997</v>
      </c>
      <c r="M145">
        <v>0.99971849999999995</v>
      </c>
      <c r="N145">
        <v>0</v>
      </c>
      <c r="O145">
        <v>-1.984913E-2</v>
      </c>
      <c r="P145">
        <v>0.99513010000000002</v>
      </c>
      <c r="Q145">
        <v>3.0303819999999999E-2</v>
      </c>
      <c r="R145">
        <v>9.3795580000000003E-2</v>
      </c>
      <c r="S145">
        <v>3.0183409999999999</v>
      </c>
      <c r="T145">
        <v>-0.17750589999999999</v>
      </c>
      <c r="U145">
        <v>1.6082760000000001E-2</v>
      </c>
      <c r="V145">
        <v>-0.1135413</v>
      </c>
      <c r="W145">
        <v>4.3176880000000001E-2</v>
      </c>
      <c r="X145">
        <v>0.99259470000000005</v>
      </c>
      <c r="Y145">
        <v>-2.510008E-2</v>
      </c>
      <c r="Z145">
        <v>1.9037629999999999E-3</v>
      </c>
      <c r="AA145">
        <v>0.99968310000000005</v>
      </c>
      <c r="AB145">
        <v>9</v>
      </c>
      <c r="AC145">
        <v>18.732399999999998</v>
      </c>
      <c r="AD145">
        <v>-1.1048087532260999</v>
      </c>
      <c r="AE145">
        <v>0.10129999999998</v>
      </c>
      <c r="AF145">
        <v>-0.47149326856525497</v>
      </c>
      <c r="AG145">
        <v>-1.1048087532260999</v>
      </c>
      <c r="AH145">
        <v>18.6617855270168</v>
      </c>
      <c r="AI145">
        <v>93.3869726697137</v>
      </c>
      <c r="AJ145">
        <v>91.447279975248094</v>
      </c>
      <c r="AK145">
        <v>18.700405004701999</v>
      </c>
      <c r="AL145">
        <v>87.525377848087004</v>
      </c>
      <c r="AM145">
        <v>96.525608172283796</v>
      </c>
      <c r="AN145">
        <v>1.0000000541201499</v>
      </c>
    </row>
    <row r="146" spans="1:40" x14ac:dyDescent="0.3">
      <c r="A146" t="str">
        <f>"20200111145918795"</f>
        <v>20200111145918795</v>
      </c>
      <c r="B146" t="str">
        <f>"1578725958785942"</f>
        <v>1578725958785942</v>
      </c>
      <c r="C146" t="s">
        <v>40</v>
      </c>
      <c r="D146">
        <v>4.0987239999999998</v>
      </c>
      <c r="E146">
        <v>0.53329659999999901</v>
      </c>
      <c r="F146" t="s">
        <v>42</v>
      </c>
      <c r="G146">
        <v>-448.6841</v>
      </c>
      <c r="H146" s="1">
        <v>-1.0506829999999999E-6</v>
      </c>
      <c r="I146">
        <v>367.50740000000002</v>
      </c>
      <c r="J146">
        <v>-468.14830000000001</v>
      </c>
      <c r="K146">
        <v>1.104797</v>
      </c>
      <c r="L146">
        <v>367.39190000000002</v>
      </c>
      <c r="M146">
        <v>0.99971889999999997</v>
      </c>
      <c r="N146">
        <v>0</v>
      </c>
      <c r="O146">
        <v>-1.983391E-2</v>
      </c>
      <c r="P146">
        <v>0.9951139</v>
      </c>
      <c r="Q146">
        <v>3.058162E-2</v>
      </c>
      <c r="R146">
        <v>9.3878310000000006E-2</v>
      </c>
      <c r="S146">
        <v>3.0182500000000001</v>
      </c>
      <c r="T146">
        <v>-0.1708635</v>
      </c>
      <c r="U146">
        <v>1.7700199999999999E-2</v>
      </c>
      <c r="V146">
        <v>-0.1136076</v>
      </c>
      <c r="W146">
        <v>4.3456040000000001E-2</v>
      </c>
      <c r="X146">
        <v>0.99257490000000004</v>
      </c>
      <c r="Y146">
        <v>-2.562559E-2</v>
      </c>
      <c r="Z146">
        <v>1.8466960000000001E-3</v>
      </c>
      <c r="AA146">
        <v>0.9996699</v>
      </c>
      <c r="AB146">
        <v>9</v>
      </c>
      <c r="AC146">
        <v>19.464200000000002</v>
      </c>
      <c r="AD146">
        <v>-1.104798050683</v>
      </c>
      <c r="AE146">
        <v>0.11549999999999699</v>
      </c>
      <c r="AF146">
        <v>-0.49995038015437898</v>
      </c>
      <c r="AG146">
        <v>-1.104798050683</v>
      </c>
      <c r="AH146">
        <v>19.3955938392657</v>
      </c>
      <c r="AI146">
        <v>93.259038476032799</v>
      </c>
      <c r="AJ146">
        <v>91.476557270060397</v>
      </c>
      <c r="AK146">
        <v>19.433465709779401</v>
      </c>
      <c r="AL146">
        <v>87.509368055216996</v>
      </c>
      <c r="AM146">
        <v>96.529514889547798</v>
      </c>
      <c r="AN146">
        <v>1.00000002315012</v>
      </c>
    </row>
    <row r="147" spans="1:40" x14ac:dyDescent="0.3">
      <c r="A147" t="str">
        <f>"20200111145918808"</f>
        <v>20200111145918808</v>
      </c>
      <c r="B147" t="str">
        <f>"1578725958805461"</f>
        <v>1578725958805461</v>
      </c>
      <c r="C147" t="s">
        <v>40</v>
      </c>
      <c r="D147">
        <v>4.1080930000000002</v>
      </c>
      <c r="E147">
        <v>0.5330104</v>
      </c>
      <c r="F147" t="s">
        <v>42</v>
      </c>
      <c r="G147">
        <v>-448.0711</v>
      </c>
      <c r="H147" s="1">
        <v>-1.2810600000000001E-6</v>
      </c>
      <c r="I147">
        <v>367.52629999999999</v>
      </c>
      <c r="J147">
        <v>-468.09629999999999</v>
      </c>
      <c r="K147">
        <v>1.1048020000000001</v>
      </c>
      <c r="L147">
        <v>367.39080000000001</v>
      </c>
      <c r="M147">
        <v>0.99971849999999995</v>
      </c>
      <c r="N147">
        <v>0</v>
      </c>
      <c r="O147">
        <v>-1.9853409999999998E-2</v>
      </c>
      <c r="P147">
        <v>0.99512279999999997</v>
      </c>
      <c r="Q147">
        <v>3.0528949999999999E-2</v>
      </c>
      <c r="R147">
        <v>9.3802399999999994E-2</v>
      </c>
      <c r="S147">
        <v>3.017944</v>
      </c>
      <c r="T147">
        <v>-0.1660693</v>
      </c>
      <c r="U147">
        <v>2.0202640000000001E-2</v>
      </c>
      <c r="V147">
        <v>-0.1135506</v>
      </c>
      <c r="W147">
        <v>4.3410789999999998E-2</v>
      </c>
      <c r="X147">
        <v>0.9925834</v>
      </c>
      <c r="Y147">
        <v>-2.6477250000000001E-2</v>
      </c>
      <c r="Z147">
        <v>1.8196250000000001E-3</v>
      </c>
      <c r="AA147">
        <v>0.99964770000000003</v>
      </c>
      <c r="AB147">
        <v>9</v>
      </c>
      <c r="AC147">
        <v>20.025199999999899</v>
      </c>
      <c r="AD147">
        <v>-1.1048032810599999</v>
      </c>
      <c r="AE147">
        <v>0.135499999999979</v>
      </c>
      <c r="AF147">
        <v>-0.53145776887287499</v>
      </c>
      <c r="AG147">
        <v>-1.1048032810599999</v>
      </c>
      <c r="AH147">
        <v>19.957817202336301</v>
      </c>
      <c r="AI147">
        <v>93.167363495684796</v>
      </c>
      <c r="AJ147">
        <v>91.525371858031804</v>
      </c>
      <c r="AK147">
        <v>19.995437107795599</v>
      </c>
      <c r="AL147">
        <v>87.511963132003103</v>
      </c>
      <c r="AM147">
        <v>96.526211719781003</v>
      </c>
      <c r="AN147">
        <v>1.00000002070217</v>
      </c>
    </row>
    <row r="148" spans="1:40" x14ac:dyDescent="0.3">
      <c r="A148" t="str">
        <f>"20200111145918825"</f>
        <v>20200111145918825</v>
      </c>
      <c r="B148" t="str">
        <f>"1578725958816197"</f>
        <v>1578725958816197</v>
      </c>
      <c r="C148" t="s">
        <v>40</v>
      </c>
      <c r="D148">
        <v>4.1037109999999997</v>
      </c>
      <c r="E148">
        <v>0.53289249999999999</v>
      </c>
      <c r="F148" t="s">
        <v>42</v>
      </c>
      <c r="G148">
        <v>-447.09429999999998</v>
      </c>
      <c r="H148" s="1">
        <v>-1.7220260000000001E-6</v>
      </c>
      <c r="I148">
        <v>367.54169999999999</v>
      </c>
      <c r="J148">
        <v>-468.02330000000001</v>
      </c>
      <c r="K148">
        <v>1.1048209999999901</v>
      </c>
      <c r="L148">
        <v>367.38929999999999</v>
      </c>
      <c r="M148">
        <v>0.99971659999999996</v>
      </c>
      <c r="N148">
        <v>0</v>
      </c>
      <c r="O148">
        <v>-1.992816E-2</v>
      </c>
      <c r="P148">
        <v>0.99519290000000005</v>
      </c>
      <c r="Q148">
        <v>3.087173E-2</v>
      </c>
      <c r="R148">
        <v>9.2941579999999996E-2</v>
      </c>
      <c r="S148">
        <v>3.0175169999999998</v>
      </c>
      <c r="T148">
        <v>-0.15873570000000001</v>
      </c>
      <c r="U148">
        <v>2.1667479999999999E-2</v>
      </c>
      <c r="V148">
        <v>-0.1127668</v>
      </c>
      <c r="W148">
        <v>4.3770459999999997E-2</v>
      </c>
      <c r="X148">
        <v>0.99265689999999995</v>
      </c>
      <c r="Y148">
        <v>-2.7043339999999999E-2</v>
      </c>
      <c r="Z148">
        <v>1.7584370000000001E-3</v>
      </c>
      <c r="AA148">
        <v>0.99963270000000004</v>
      </c>
      <c r="AB148">
        <v>9</v>
      </c>
      <c r="AC148">
        <v>20.928999999999998</v>
      </c>
      <c r="AD148">
        <v>-1.1048227220259901</v>
      </c>
      <c r="AE148">
        <v>0.15240000000000001</v>
      </c>
      <c r="AF148">
        <v>-0.567899087913179</v>
      </c>
      <c r="AG148">
        <v>-1.1048227220259901</v>
      </c>
      <c r="AH148">
        <v>20.863668352902401</v>
      </c>
      <c r="AI148">
        <v>93.030111303040599</v>
      </c>
      <c r="AJ148">
        <v>91.5591787630499</v>
      </c>
      <c r="AK148">
        <v>20.900617210050498</v>
      </c>
      <c r="AL148">
        <v>87.491335807176796</v>
      </c>
      <c r="AM148">
        <v>96.481072388831095</v>
      </c>
      <c r="AN148">
        <v>0.99999996273422997</v>
      </c>
    </row>
    <row r="149" spans="1:40" x14ac:dyDescent="0.3">
      <c r="A149" t="str">
        <f>"20200111145918841"</f>
        <v>20200111145918841</v>
      </c>
      <c r="B149" t="str">
        <f>"1578725958835717"</f>
        <v>1578725958835717</v>
      </c>
      <c r="C149" t="s">
        <v>40</v>
      </c>
      <c r="D149">
        <v>4.2623600000000001</v>
      </c>
      <c r="E149">
        <v>0.53298789999999996</v>
      </c>
      <c r="F149" t="s">
        <v>42</v>
      </c>
      <c r="G149">
        <v>-446.6773</v>
      </c>
      <c r="H149" s="1">
        <v>-1.9205099999999999E-6</v>
      </c>
      <c r="I149">
        <v>367.53390000000002</v>
      </c>
      <c r="J149">
        <v>-467.9624</v>
      </c>
      <c r="K149">
        <v>1.1048450000000001</v>
      </c>
      <c r="L149">
        <v>367.38799999999998</v>
      </c>
      <c r="M149">
        <v>0.99971469999999996</v>
      </c>
      <c r="N149">
        <v>0</v>
      </c>
      <c r="O149">
        <v>-2.0021379999999998E-2</v>
      </c>
      <c r="P149">
        <v>0.99526539999999997</v>
      </c>
      <c r="Q149">
        <v>3.0867329999999998E-2</v>
      </c>
      <c r="R149">
        <v>9.2163889999999998E-2</v>
      </c>
      <c r="S149">
        <v>3.017395</v>
      </c>
      <c r="T149">
        <v>-0.156173799999999</v>
      </c>
      <c r="U149">
        <v>2.0446780000000001E-2</v>
      </c>
      <c r="V149">
        <v>-0.11208369999999999</v>
      </c>
      <c r="W149">
        <v>4.378046E-2</v>
      </c>
      <c r="X149">
        <v>0.9927338</v>
      </c>
      <c r="Y149">
        <v>-2.6734819999999999E-2</v>
      </c>
      <c r="Z149">
        <v>1.7270089999999901E-3</v>
      </c>
      <c r="AA149">
        <v>0.99964109999999995</v>
      </c>
      <c r="AB149">
        <v>9</v>
      </c>
      <c r="AC149">
        <v>21.2851</v>
      </c>
      <c r="AD149">
        <v>-1.10484692051</v>
      </c>
      <c r="AE149">
        <v>0.14589999999998299</v>
      </c>
      <c r="AF149">
        <v>-0.57052685861822205</v>
      </c>
      <c r="AG149">
        <v>-1.10484692051</v>
      </c>
      <c r="AH149">
        <v>21.220738100865699</v>
      </c>
      <c r="AI149">
        <v>92.979309913663201</v>
      </c>
      <c r="AJ149">
        <v>91.5400457939907</v>
      </c>
      <c r="AK149">
        <v>21.257137934343302</v>
      </c>
      <c r="AL149">
        <v>87.490762245205104</v>
      </c>
      <c r="AM149">
        <v>96.441648631648107</v>
      </c>
      <c r="AN149">
        <v>0.99999994107296897</v>
      </c>
    </row>
    <row r="150" spans="1:40" x14ac:dyDescent="0.3">
      <c r="A150" t="str">
        <f>"20200111145918858"</f>
        <v>20200111145918858</v>
      </c>
      <c r="B150" t="str">
        <f>"1578725958846454"</f>
        <v>1578725958846454</v>
      </c>
      <c r="C150" t="s">
        <v>40</v>
      </c>
      <c r="D150">
        <v>4.3091280000000003</v>
      </c>
      <c r="E150">
        <v>0.53328180000000003</v>
      </c>
      <c r="F150" t="s">
        <v>42</v>
      </c>
      <c r="G150">
        <v>-446.6773</v>
      </c>
      <c r="H150" s="1">
        <v>-1.9240530000000001E-6</v>
      </c>
      <c r="I150">
        <v>367.51389999999998</v>
      </c>
      <c r="J150">
        <v>-467.89060000000001</v>
      </c>
      <c r="K150">
        <v>1.104859</v>
      </c>
      <c r="L150">
        <v>367.38659999999999</v>
      </c>
      <c r="M150">
        <v>0.9997123</v>
      </c>
      <c r="N150">
        <v>0</v>
      </c>
      <c r="O150">
        <v>-2.013239E-2</v>
      </c>
      <c r="P150">
        <v>0.99536009999999997</v>
      </c>
      <c r="Q150">
        <v>3.1426610000000001E-2</v>
      </c>
      <c r="R150">
        <v>9.0942389999999998E-2</v>
      </c>
      <c r="S150">
        <v>3.017487</v>
      </c>
      <c r="T150">
        <v>-0.15662899999999999</v>
      </c>
      <c r="U150">
        <v>1.7852779999999999E-2</v>
      </c>
      <c r="V150">
        <v>-0.11097410000000001</v>
      </c>
      <c r="W150">
        <v>4.4352589999999997E-2</v>
      </c>
      <c r="X150">
        <v>0.99283310000000002</v>
      </c>
      <c r="Y150">
        <v>-2.5986800000000001E-2</v>
      </c>
      <c r="Z150">
        <v>1.71834299999999E-3</v>
      </c>
      <c r="AA150">
        <v>0.99966080000000002</v>
      </c>
      <c r="AB150">
        <v>9</v>
      </c>
      <c r="AC150">
        <v>21.2133</v>
      </c>
      <c r="AD150">
        <v>-1.1048609240530001</v>
      </c>
      <c r="AE150">
        <v>0.127299999999991</v>
      </c>
      <c r="AF150">
        <v>-0.55288518319206903</v>
      </c>
      <c r="AG150">
        <v>-1.1048609240530001</v>
      </c>
      <c r="AH150">
        <v>21.149068133604001</v>
      </c>
      <c r="AI150">
        <v>92.989484485989394</v>
      </c>
      <c r="AJ150">
        <v>91.497502105402205</v>
      </c>
      <c r="AK150">
        <v>21.1851240876025</v>
      </c>
      <c r="AL150">
        <v>87.457949843018895</v>
      </c>
      <c r="AM150">
        <v>96.377773429434399</v>
      </c>
      <c r="AN150">
        <v>0.99999998378306398</v>
      </c>
    </row>
    <row r="151" spans="1:40" x14ac:dyDescent="0.3">
      <c r="A151" t="str">
        <f>"20200111145918871"</f>
        <v>20200111145918871</v>
      </c>
      <c r="B151" t="str">
        <f>"1578725958865974"</f>
        <v>1578725958865974</v>
      </c>
      <c r="C151" t="s">
        <v>40</v>
      </c>
      <c r="D151">
        <v>4.163856</v>
      </c>
      <c r="E151">
        <v>0.53299619999999903</v>
      </c>
      <c r="F151" t="s">
        <v>42</v>
      </c>
      <c r="G151">
        <v>-446.53230000000002</v>
      </c>
      <c r="H151" s="1">
        <v>-2.000625E-6</v>
      </c>
      <c r="I151">
        <v>367.46879999999999</v>
      </c>
      <c r="J151">
        <v>-467.83390000000003</v>
      </c>
      <c r="K151">
        <v>1.1048559999999901</v>
      </c>
      <c r="L151">
        <v>367.3854</v>
      </c>
      <c r="M151">
        <v>0.99971100000000002</v>
      </c>
      <c r="N151">
        <v>0</v>
      </c>
      <c r="O151">
        <v>-2.0199410000000001E-2</v>
      </c>
      <c r="P151">
        <v>0.99538709999999997</v>
      </c>
      <c r="Q151">
        <v>3.1648589999999997E-2</v>
      </c>
      <c r="R151">
        <v>9.0571780000000005E-2</v>
      </c>
      <c r="S151">
        <v>3.0178829999999999</v>
      </c>
      <c r="T151">
        <v>-0.156114</v>
      </c>
      <c r="U151">
        <v>1.1627200000000001E-2</v>
      </c>
      <c r="V151">
        <v>-0.1106695</v>
      </c>
      <c r="W151">
        <v>4.4583619999999997E-2</v>
      </c>
      <c r="X151">
        <v>0.99285670000000004</v>
      </c>
      <c r="Y151">
        <v>-2.3993830000000001E-2</v>
      </c>
      <c r="Z151">
        <v>1.6644310000000001E-3</v>
      </c>
      <c r="AA151">
        <v>0.99971069999999995</v>
      </c>
      <c r="AB151">
        <v>9</v>
      </c>
      <c r="AC151">
        <v>21.301600000000001</v>
      </c>
      <c r="AD151">
        <v>-1.1048580006249999</v>
      </c>
      <c r="AE151">
        <v>8.3399999999983196E-2</v>
      </c>
      <c r="AF151">
        <v>-0.51232105276441797</v>
      </c>
      <c r="AG151">
        <v>-1.1048580006249999</v>
      </c>
      <c r="AH151">
        <v>21.238433074175099</v>
      </c>
      <c r="AI151">
        <v>92.977071207267997</v>
      </c>
      <c r="AJ151">
        <v>91.381841231641801</v>
      </c>
      <c r="AK151">
        <v>21.273321872920199</v>
      </c>
      <c r="AL151">
        <v>87.444699559610797</v>
      </c>
      <c r="AM151">
        <v>96.360261526607701</v>
      </c>
      <c r="AN151">
        <v>0.99999993206871995</v>
      </c>
    </row>
    <row r="152" spans="1:40" x14ac:dyDescent="0.3">
      <c r="A152" t="str">
        <f>"20200111145918885"</f>
        <v>20200111145918885</v>
      </c>
      <c r="B152" t="str">
        <f>"1578725958875734"</f>
        <v>1578725958875734</v>
      </c>
      <c r="C152" t="s">
        <v>40</v>
      </c>
      <c r="D152">
        <v>4.3194889999999999</v>
      </c>
      <c r="E152">
        <v>0.53305419999999903</v>
      </c>
      <c r="F152" t="s">
        <v>42</v>
      </c>
      <c r="G152">
        <v>-446.56229999999999</v>
      </c>
      <c r="H152" s="1">
        <v>-1.9854679999999998E-6</v>
      </c>
      <c r="I152">
        <v>367.4742</v>
      </c>
      <c r="J152">
        <v>-467.78100000000001</v>
      </c>
      <c r="K152">
        <v>1.1048500000000001</v>
      </c>
      <c r="L152">
        <v>367.3843</v>
      </c>
      <c r="M152">
        <v>0.99970990000000004</v>
      </c>
      <c r="N152">
        <v>0</v>
      </c>
      <c r="O152">
        <v>-2.0249420000000001E-2</v>
      </c>
      <c r="P152">
        <v>0.99544449999999995</v>
      </c>
      <c r="Q152">
        <v>3.1534989999999999E-2</v>
      </c>
      <c r="R152">
        <v>8.9979240000000002E-2</v>
      </c>
      <c r="S152">
        <v>3.0177309999999999</v>
      </c>
      <c r="T152">
        <v>-0.15674279999999999</v>
      </c>
      <c r="U152">
        <v>1.260376E-2</v>
      </c>
      <c r="V152">
        <v>-0.110126</v>
      </c>
      <c r="W152">
        <v>4.4479299999999999E-2</v>
      </c>
      <c r="X152">
        <v>0.99292190000000002</v>
      </c>
      <c r="Y152">
        <v>-2.4366499999999999E-2</v>
      </c>
      <c r="Z152">
        <v>1.683478E-3</v>
      </c>
      <c r="AA152">
        <v>0.99970170000000003</v>
      </c>
      <c r="AB152">
        <v>9</v>
      </c>
      <c r="AC152">
        <v>21.218699999999998</v>
      </c>
      <c r="AD152">
        <v>-1.1048519854679999</v>
      </c>
      <c r="AE152">
        <v>8.9899999999999994E-2</v>
      </c>
      <c r="AF152">
        <v>-0.51817958198218905</v>
      </c>
      <c r="AG152">
        <v>-1.1048519854679999</v>
      </c>
      <c r="AH152">
        <v>21.155171914430699</v>
      </c>
      <c r="AI152">
        <v>92.988723775841706</v>
      </c>
      <c r="AJ152">
        <v>91.403135259710396</v>
      </c>
      <c r="AK152">
        <v>21.1903399387101</v>
      </c>
      <c r="AL152">
        <v>87.4506828197934</v>
      </c>
      <c r="AM152">
        <v>96.328868030257198</v>
      </c>
      <c r="AN152">
        <v>1.0000000217520399</v>
      </c>
    </row>
    <row r="153" spans="1:40" x14ac:dyDescent="0.3">
      <c r="A153" t="str">
        <f>"20200111145918904"</f>
        <v>20200111145918904</v>
      </c>
      <c r="B153" t="str">
        <f>"1578725958896230"</f>
        <v>1578725958896230</v>
      </c>
      <c r="C153" t="s">
        <v>40</v>
      </c>
      <c r="D153">
        <v>4.1494419999999996</v>
      </c>
      <c r="E153">
        <v>0.53292200000000001</v>
      </c>
      <c r="F153" t="s">
        <v>42</v>
      </c>
      <c r="G153">
        <v>-446.77069999999998</v>
      </c>
      <c r="H153" s="1">
        <v>-1.8903900000000001E-6</v>
      </c>
      <c r="I153">
        <v>367.45490000000001</v>
      </c>
      <c r="J153">
        <v>-467.7047</v>
      </c>
      <c r="K153">
        <v>1.104835</v>
      </c>
      <c r="L153">
        <v>367.3827</v>
      </c>
      <c r="M153">
        <v>0.99970870000000001</v>
      </c>
      <c r="N153">
        <v>0</v>
      </c>
      <c r="O153">
        <v>-2.0298699999999999E-2</v>
      </c>
      <c r="P153">
        <v>0.99552700000000005</v>
      </c>
      <c r="Q153">
        <v>3.128968E-2</v>
      </c>
      <c r="R153">
        <v>8.9147190000000001E-2</v>
      </c>
      <c r="S153">
        <v>3.0178829999999999</v>
      </c>
      <c r="T153">
        <v>-0.1586987</v>
      </c>
      <c r="U153">
        <v>1.013184E-2</v>
      </c>
      <c r="V153">
        <v>-0.1093412</v>
      </c>
      <c r="W153">
        <v>4.4249690000000001E-2</v>
      </c>
      <c r="X153">
        <v>0.99301890000000004</v>
      </c>
      <c r="Y153">
        <v>-2.3596220000000001E-2</v>
      </c>
      <c r="Z153">
        <v>1.686721E-3</v>
      </c>
      <c r="AA153">
        <v>0.99972019999999995</v>
      </c>
      <c r="AB153">
        <v>9</v>
      </c>
      <c r="AC153">
        <v>20.934000000000001</v>
      </c>
      <c r="AD153">
        <v>-1.1048368903899899</v>
      </c>
      <c r="AE153">
        <v>7.2200000000009298E-2</v>
      </c>
      <c r="AF153">
        <v>-0.49577340809528397</v>
      </c>
      <c r="AG153">
        <v>-1.1048368903899899</v>
      </c>
      <c r="AH153">
        <v>20.870088902689499</v>
      </c>
      <c r="AI153">
        <v>93.029486426991298</v>
      </c>
      <c r="AJ153">
        <v>91.360817512889895</v>
      </c>
      <c r="AK153">
        <v>20.905192336658999</v>
      </c>
      <c r="AL153">
        <v>87.463851501324498</v>
      </c>
      <c r="AM153">
        <v>96.283519269585994</v>
      </c>
      <c r="AN153">
        <v>1.0000000344198701</v>
      </c>
    </row>
    <row r="154" spans="1:40" x14ac:dyDescent="0.3">
      <c r="A154" t="str">
        <f>"20200111145918916"</f>
        <v>20200111145918916</v>
      </c>
      <c r="B154" t="str">
        <f>"1578725958905990"</f>
        <v>1578725958905990</v>
      </c>
      <c r="C154" t="s">
        <v>40</v>
      </c>
      <c r="D154">
        <v>4.2150639999999999</v>
      </c>
      <c r="E154">
        <v>0.53271420000000003</v>
      </c>
      <c r="F154" t="s">
        <v>42</v>
      </c>
      <c r="G154">
        <v>-447.15089999999998</v>
      </c>
      <c r="H154" s="1">
        <v>-1.7122659999999901E-6</v>
      </c>
      <c r="I154">
        <v>367.44569999999999</v>
      </c>
      <c r="J154">
        <v>-467.65019999999998</v>
      </c>
      <c r="K154">
        <v>1.1048249999999999</v>
      </c>
      <c r="L154">
        <v>367.38159999999999</v>
      </c>
      <c r="M154">
        <v>0.99970820000000005</v>
      </c>
      <c r="N154">
        <v>0</v>
      </c>
      <c r="O154">
        <v>-2.032921E-2</v>
      </c>
      <c r="P154">
        <v>0.99556659999999997</v>
      </c>
      <c r="Q154">
        <v>3.106246E-2</v>
      </c>
      <c r="R154">
        <v>8.8784219999999997E-2</v>
      </c>
      <c r="S154">
        <v>3.0177610000000001</v>
      </c>
      <c r="T154">
        <v>-0.16221569999999999</v>
      </c>
      <c r="U154">
        <v>9.2468259999999997E-3</v>
      </c>
      <c r="V154">
        <v>-0.10900749999999999</v>
      </c>
      <c r="W154">
        <v>4.4033889999999999E-2</v>
      </c>
      <c r="X154">
        <v>0.99306519999999998</v>
      </c>
      <c r="Y154">
        <v>-2.3331299999999999E-2</v>
      </c>
      <c r="Z154">
        <v>1.7186409999999999E-3</v>
      </c>
      <c r="AA154">
        <v>0.99972629999999996</v>
      </c>
      <c r="AB154">
        <v>9</v>
      </c>
      <c r="AC154">
        <v>20.499300000000002</v>
      </c>
      <c r="AD154">
        <v>-1.104826712266</v>
      </c>
      <c r="AE154">
        <v>6.4099999999996202E-2</v>
      </c>
      <c r="AF154">
        <v>-0.47946408745296198</v>
      </c>
      <c r="AG154">
        <v>-1.104826712266</v>
      </c>
      <c r="AH154">
        <v>20.434403226573298</v>
      </c>
      <c r="AI154">
        <v>93.093947281327999</v>
      </c>
      <c r="AJ154">
        <v>91.344117010046801</v>
      </c>
      <c r="AK154">
        <v>20.469864755329599</v>
      </c>
      <c r="AL154">
        <v>87.476228045746296</v>
      </c>
      <c r="AM154">
        <v>96.264205452278205</v>
      </c>
      <c r="AN154">
        <v>1.0000000549879</v>
      </c>
    </row>
    <row r="155" spans="1:40" x14ac:dyDescent="0.3">
      <c r="A155" t="str">
        <f>"20200111145918930"</f>
        <v>20200111145918930</v>
      </c>
      <c r="B155" t="str">
        <f>"1578725958925510"</f>
        <v>1578725958925510</v>
      </c>
      <c r="C155" t="s">
        <v>40</v>
      </c>
      <c r="D155">
        <v>4.3034850000000002</v>
      </c>
      <c r="E155">
        <v>0.53239389999999998</v>
      </c>
      <c r="F155" t="s">
        <v>42</v>
      </c>
      <c r="G155">
        <v>-447.21350000000001</v>
      </c>
      <c r="H155" s="1">
        <v>-1.6821360000000001E-6</v>
      </c>
      <c r="I155">
        <v>367.44880000000001</v>
      </c>
      <c r="J155">
        <v>-467.59739999999999</v>
      </c>
      <c r="K155">
        <v>1.104822</v>
      </c>
      <c r="L155">
        <v>367.38049999999998</v>
      </c>
      <c r="M155">
        <v>0.99970729999999997</v>
      </c>
      <c r="N155">
        <v>0</v>
      </c>
      <c r="O155">
        <v>-2.0365709999999999E-2</v>
      </c>
      <c r="P155">
        <v>0.99558760000000002</v>
      </c>
      <c r="Q155">
        <v>3.1073429999999999E-2</v>
      </c>
      <c r="R155">
        <v>8.8543709999999998E-2</v>
      </c>
      <c r="S155">
        <v>3.0175480000000001</v>
      </c>
      <c r="T155">
        <v>-0.16313169999999999</v>
      </c>
      <c r="U155">
        <v>9.9182130000000004E-3</v>
      </c>
      <c r="V155">
        <v>-0.1088018</v>
      </c>
      <c r="W155">
        <v>4.4055820000000002E-2</v>
      </c>
      <c r="X155">
        <v>0.99308680000000005</v>
      </c>
      <c r="Y155">
        <v>-2.3589300000000001E-2</v>
      </c>
      <c r="Z155">
        <v>1.737394E-3</v>
      </c>
      <c r="AA155">
        <v>0.99972019999999995</v>
      </c>
      <c r="AB155">
        <v>9</v>
      </c>
      <c r="AC155">
        <v>20.383899999999901</v>
      </c>
      <c r="AD155">
        <v>-1.104823682136</v>
      </c>
      <c r="AE155">
        <v>6.8300000000021996E-2</v>
      </c>
      <c r="AF155">
        <v>-0.482037754190698</v>
      </c>
      <c r="AG155">
        <v>-1.104823682136</v>
      </c>
      <c r="AH155">
        <v>20.318590712509899</v>
      </c>
      <c r="AI155">
        <v>93.111520114550004</v>
      </c>
      <c r="AJ155">
        <v>91.359028758367998</v>
      </c>
      <c r="AK155">
        <v>20.354314636154399</v>
      </c>
      <c r="AL155">
        <v>87.474970365862802</v>
      </c>
      <c r="AM155">
        <v>96.252343525586397</v>
      </c>
      <c r="AN155">
        <v>1.00000006964667</v>
      </c>
    </row>
    <row r="156" spans="1:40" x14ac:dyDescent="0.3">
      <c r="A156" t="str">
        <f>"20200111145918947"</f>
        <v>20200111145918947</v>
      </c>
      <c r="B156" t="str">
        <f>"1578725958946006"</f>
        <v>1578725958946006</v>
      </c>
      <c r="C156" t="s">
        <v>40</v>
      </c>
      <c r="D156">
        <v>4.3153389999999998</v>
      </c>
      <c r="E156">
        <v>0.53169100000000002</v>
      </c>
      <c r="F156" t="s">
        <v>42</v>
      </c>
      <c r="G156">
        <v>-447.5018</v>
      </c>
      <c r="H156" s="1">
        <v>-1.5444399999999901E-6</v>
      </c>
      <c r="I156">
        <v>367.45690000000002</v>
      </c>
      <c r="J156">
        <v>-467.5256</v>
      </c>
      <c r="K156">
        <v>1.1048230000000001</v>
      </c>
      <c r="L156">
        <v>367.37889999999999</v>
      </c>
      <c r="M156">
        <v>0.99970599999999998</v>
      </c>
      <c r="N156">
        <v>0</v>
      </c>
      <c r="O156">
        <v>-2.0426280000000002E-2</v>
      </c>
      <c r="P156">
        <v>0.99558999999999997</v>
      </c>
      <c r="Q156">
        <v>3.078881E-2</v>
      </c>
      <c r="R156">
        <v>8.8618820000000001E-2</v>
      </c>
      <c r="S156">
        <v>3.0174560000000001</v>
      </c>
      <c r="T156">
        <v>-0.1658944</v>
      </c>
      <c r="U156">
        <v>1.147461E-2</v>
      </c>
      <c r="V156">
        <v>-0.1089362</v>
      </c>
      <c r="W156">
        <v>4.3783320000000001E-2</v>
      </c>
      <c r="X156">
        <v>0.99308410000000003</v>
      </c>
      <c r="Y156">
        <v>-2.4162469999999998E-2</v>
      </c>
      <c r="Z156">
        <v>1.7858990000000001E-3</v>
      </c>
      <c r="AA156">
        <v>0.9997064</v>
      </c>
      <c r="AB156">
        <v>9</v>
      </c>
      <c r="AC156">
        <v>20.023799999999898</v>
      </c>
      <c r="AD156">
        <v>-1.10482454443999</v>
      </c>
      <c r="AE156">
        <v>7.8000000000031294E-2</v>
      </c>
      <c r="AF156">
        <v>-0.48555221335244497</v>
      </c>
      <c r="AG156">
        <v>-1.10482454443999</v>
      </c>
      <c r="AH156">
        <v>19.9572723038284</v>
      </c>
      <c r="AI156">
        <v>93.167695724248304</v>
      </c>
      <c r="AJ156">
        <v>91.393707762851804</v>
      </c>
      <c r="AK156">
        <v>19.993726917086899</v>
      </c>
      <c r="AL156">
        <v>87.490598501094297</v>
      </c>
      <c r="AM156">
        <v>96.260022485774499</v>
      </c>
      <c r="AN156">
        <v>1.0000000522267301</v>
      </c>
    </row>
    <row r="157" spans="1:40" x14ac:dyDescent="0.3">
      <c r="A157" t="str">
        <f>"20200111145918970"</f>
        <v>20200111145918970</v>
      </c>
      <c r="B157" t="str">
        <f>"1578725958965526"</f>
        <v>1578725958965526</v>
      </c>
      <c r="C157" t="s">
        <v>40</v>
      </c>
      <c r="D157">
        <v>4.3737849999999998</v>
      </c>
      <c r="E157">
        <v>0.53104439999999997</v>
      </c>
      <c r="F157" t="s">
        <v>42</v>
      </c>
      <c r="G157">
        <v>-447.86759999999998</v>
      </c>
      <c r="H157" s="1">
        <v>-1.368595E-6</v>
      </c>
      <c r="I157">
        <v>367.49110000000002</v>
      </c>
      <c r="J157">
        <v>-467.43520000000001</v>
      </c>
      <c r="K157">
        <v>1.104835</v>
      </c>
      <c r="L157">
        <v>367.37700000000001</v>
      </c>
      <c r="M157">
        <v>0.99970389999999998</v>
      </c>
      <c r="N157">
        <v>0</v>
      </c>
      <c r="O157">
        <v>-2.0521109999999999E-2</v>
      </c>
      <c r="P157">
        <v>0.99555859999999996</v>
      </c>
      <c r="Q157">
        <v>3.1024240000000002E-2</v>
      </c>
      <c r="R157">
        <v>8.8886889999999996E-2</v>
      </c>
      <c r="S157">
        <v>3.0169980000000001</v>
      </c>
      <c r="T157">
        <v>-0.16956189999999999</v>
      </c>
      <c r="U157">
        <v>1.721191E-2</v>
      </c>
      <c r="V157">
        <v>-0.1092968</v>
      </c>
      <c r="W157">
        <v>4.4029140000000001E-2</v>
      </c>
      <c r="X157">
        <v>0.99303350000000001</v>
      </c>
      <c r="Y157">
        <v>-2.6152559999999998E-2</v>
      </c>
      <c r="Z157">
        <v>1.886797E-3</v>
      </c>
      <c r="AA157">
        <v>0.99965619999999999</v>
      </c>
      <c r="AB157">
        <v>9</v>
      </c>
      <c r="AC157">
        <v>19.567599999999999</v>
      </c>
      <c r="AD157">
        <v>-1.104836368595</v>
      </c>
      <c r="AE157">
        <v>0.114100000000064</v>
      </c>
      <c r="AF157">
        <v>-0.51402052573116497</v>
      </c>
      <c r="AG157">
        <v>-1.104836368595</v>
      </c>
      <c r="AH157">
        <v>19.4989761099595</v>
      </c>
      <c r="AI157">
        <v>93.241859124952498</v>
      </c>
      <c r="AJ157">
        <v>91.510047874708505</v>
      </c>
      <c r="AK157">
        <v>19.537014865096801</v>
      </c>
      <c r="AL157">
        <v>87.476500184356794</v>
      </c>
      <c r="AM157">
        <v>96.280896520539798</v>
      </c>
      <c r="AN157">
        <v>0.99999994389081304</v>
      </c>
    </row>
    <row r="158" spans="1:40" x14ac:dyDescent="0.3">
      <c r="A158" t="str">
        <f>"20200111145918985"</f>
        <v>20200111145918985</v>
      </c>
      <c r="B158" t="str">
        <f>"1578725958976262"</f>
        <v>1578725958976262</v>
      </c>
      <c r="C158" t="s">
        <v>40</v>
      </c>
      <c r="D158">
        <v>4.5336730000000003</v>
      </c>
      <c r="E158">
        <v>0.53072489999999894</v>
      </c>
      <c r="F158" t="s">
        <v>42</v>
      </c>
      <c r="G158">
        <v>-448.09339999999997</v>
      </c>
      <c r="H158" s="1">
        <v>-1.272311E-6</v>
      </c>
      <c r="I158">
        <v>367.52690000000001</v>
      </c>
      <c r="J158">
        <v>-467.37610000000001</v>
      </c>
      <c r="K158">
        <v>1.1048420000000001</v>
      </c>
      <c r="L158">
        <v>367.37569999999999</v>
      </c>
      <c r="M158">
        <v>0.99970230000000004</v>
      </c>
      <c r="N158">
        <v>0</v>
      </c>
      <c r="O158">
        <v>-2.0587569999999999E-2</v>
      </c>
      <c r="P158">
        <v>0.9955657</v>
      </c>
      <c r="Q158">
        <v>3.0833329999999999E-2</v>
      </c>
      <c r="R158">
        <v>8.8872370000000006E-2</v>
      </c>
      <c r="S158">
        <v>3.016632</v>
      </c>
      <c r="T158">
        <v>-0.1723161</v>
      </c>
      <c r="U158">
        <v>2.3376460000000002E-2</v>
      </c>
      <c r="V158">
        <v>-0.1093483</v>
      </c>
      <c r="W158">
        <v>4.3843819999999999E-2</v>
      </c>
      <c r="X158">
        <v>0.99303609999999998</v>
      </c>
      <c r="Y158">
        <v>-2.8256409999999999E-2</v>
      </c>
      <c r="Z158">
        <v>1.9814519999999999E-3</v>
      </c>
      <c r="AA158">
        <v>0.99959869999999995</v>
      </c>
      <c r="AB158">
        <v>9</v>
      </c>
      <c r="AC158">
        <v>19.282699999999998</v>
      </c>
      <c r="AD158">
        <v>-1.104843272311</v>
      </c>
      <c r="AE158">
        <v>0.15120000000001699</v>
      </c>
      <c r="AF158">
        <v>-0.54639224880230997</v>
      </c>
      <c r="AG158">
        <v>-1.104843272311</v>
      </c>
      <c r="AH158">
        <v>19.212429521135402</v>
      </c>
      <c r="AI158">
        <v>93.289938592604699</v>
      </c>
      <c r="AJ158">
        <v>91.629025299465297</v>
      </c>
      <c r="AK158">
        <v>19.251926429594501</v>
      </c>
      <c r="AL158">
        <v>87.487128677555106</v>
      </c>
      <c r="AM158">
        <v>96.283816051121903</v>
      </c>
      <c r="AN158">
        <v>1.00000001358414</v>
      </c>
    </row>
    <row r="159" spans="1:40" x14ac:dyDescent="0.3">
      <c r="A159" t="str">
        <f>"20200111145918998"</f>
        <v>20200111145918998</v>
      </c>
      <c r="B159" t="str">
        <f>"1578725958995782"</f>
        <v>1578725958995782</v>
      </c>
      <c r="C159" t="s">
        <v>40</v>
      </c>
      <c r="D159">
        <v>4.3288060000000002</v>
      </c>
      <c r="E159">
        <v>0.53040279999999995</v>
      </c>
      <c r="F159" t="s">
        <v>42</v>
      </c>
      <c r="G159">
        <v>-448.01389999999998</v>
      </c>
      <c r="H159" s="1">
        <v>-1.298195E-6</v>
      </c>
      <c r="I159">
        <v>367.54430000000002</v>
      </c>
      <c r="J159">
        <v>-467.32170000000002</v>
      </c>
      <c r="K159">
        <v>1.1048500000000001</v>
      </c>
      <c r="L159">
        <v>367.37450000000001</v>
      </c>
      <c r="M159">
        <v>0.99970099999999995</v>
      </c>
      <c r="N159">
        <v>0</v>
      </c>
      <c r="O159">
        <v>-2.0648650000000001E-2</v>
      </c>
      <c r="P159">
        <v>0.99555110000000002</v>
      </c>
      <c r="Q159">
        <v>3.093972E-2</v>
      </c>
      <c r="R159">
        <v>8.899878E-2</v>
      </c>
      <c r="S159">
        <v>3.0163570000000002</v>
      </c>
      <c r="T159">
        <v>-0.17211940000000001</v>
      </c>
      <c r="U159">
        <v>2.6275630000000001E-2</v>
      </c>
      <c r="V159">
        <v>-0.1095349</v>
      </c>
      <c r="W159">
        <v>4.3954340000000001E-2</v>
      </c>
      <c r="X159">
        <v>0.99301059999999997</v>
      </c>
      <c r="Y159">
        <v>-2.9277290000000001E-2</v>
      </c>
      <c r="Z159">
        <v>2.0119539999999998E-3</v>
      </c>
      <c r="AA159">
        <v>0.99956929999999999</v>
      </c>
      <c r="AB159">
        <v>9</v>
      </c>
      <c r="AC159">
        <v>19.3078</v>
      </c>
      <c r="AD159">
        <v>-1.1048512981950001</v>
      </c>
      <c r="AE159">
        <v>0.169800000000009</v>
      </c>
      <c r="AF159">
        <v>-0.56662274558331505</v>
      </c>
      <c r="AG159">
        <v>-1.1048512981950001</v>
      </c>
      <c r="AH159">
        <v>19.237189429131799</v>
      </c>
      <c r="AI159">
        <v>93.285641011442493</v>
      </c>
      <c r="AJ159">
        <v>91.687133576172002</v>
      </c>
      <c r="AK159">
        <v>19.2772201019555</v>
      </c>
      <c r="AL159">
        <v>87.480790115216294</v>
      </c>
      <c r="AM159">
        <v>96.294613560815804</v>
      </c>
      <c r="AN159">
        <v>0.99999996501760202</v>
      </c>
    </row>
    <row r="160" spans="1:40" x14ac:dyDescent="0.3">
      <c r="A160" t="str">
        <f>"20200111145919016"</f>
        <v>20200111145919016</v>
      </c>
      <c r="B160" t="str">
        <f>"1578725959005543"</f>
        <v>1578725959005543</v>
      </c>
      <c r="C160" t="s">
        <v>40</v>
      </c>
      <c r="D160">
        <v>4.2952919999999999</v>
      </c>
      <c r="E160">
        <v>0.53022029999999998</v>
      </c>
      <c r="F160" t="s">
        <v>42</v>
      </c>
      <c r="G160">
        <v>-447.69319999999999</v>
      </c>
      <c r="H160" s="1">
        <v>-1.435152E-6</v>
      </c>
      <c r="I160">
        <v>367.56299999999999</v>
      </c>
      <c r="J160">
        <v>-467.25130000000001</v>
      </c>
      <c r="K160">
        <v>1.1048629999999999</v>
      </c>
      <c r="L160">
        <v>367.37299999999999</v>
      </c>
      <c r="M160">
        <v>0.99969949999999996</v>
      </c>
      <c r="N160">
        <v>0</v>
      </c>
      <c r="O160">
        <v>-2.0723209999999999E-2</v>
      </c>
      <c r="P160">
        <v>0.99554679999999995</v>
      </c>
      <c r="Q160">
        <v>3.1166240000000001E-2</v>
      </c>
      <c r="R160">
        <v>8.8968870000000005E-2</v>
      </c>
      <c r="S160">
        <v>3.0160830000000001</v>
      </c>
      <c r="T160">
        <v>-0.1697698</v>
      </c>
      <c r="U160">
        <v>2.896118E-2</v>
      </c>
      <c r="V160">
        <v>-0.1095787</v>
      </c>
      <c r="W160">
        <v>4.4185380000000003E-2</v>
      </c>
      <c r="X160">
        <v>0.99299559999999998</v>
      </c>
      <c r="Y160">
        <v>-3.024311E-2</v>
      </c>
      <c r="Z160">
        <v>2.016061E-3</v>
      </c>
      <c r="AA160">
        <v>0.9995406</v>
      </c>
      <c r="AB160">
        <v>9</v>
      </c>
      <c r="AC160">
        <v>19.5581</v>
      </c>
      <c r="AD160">
        <v>-1.1048644351519901</v>
      </c>
      <c r="AE160">
        <v>0.189999999999997</v>
      </c>
      <c r="AF160">
        <v>-0.59340700715440398</v>
      </c>
      <c r="AG160">
        <v>-1.1048644351519901</v>
      </c>
      <c r="AH160">
        <v>19.487776407079298</v>
      </c>
      <c r="AI160">
        <v>93.2434248593879</v>
      </c>
      <c r="AJ160">
        <v>91.744129951967096</v>
      </c>
      <c r="AK160">
        <v>19.528089680983101</v>
      </c>
      <c r="AL160">
        <v>87.467539840851899</v>
      </c>
      <c r="AM160">
        <v>96.297204746459201</v>
      </c>
      <c r="AN160">
        <v>1.00000005045939</v>
      </c>
    </row>
    <row r="161" spans="1:40" x14ac:dyDescent="0.3">
      <c r="A161" t="str">
        <f>"20200111145919028"</f>
        <v>20200111145919028</v>
      </c>
      <c r="B161" t="str">
        <f>"1578725959026038"</f>
        <v>1578725959026038</v>
      </c>
      <c r="C161" t="s">
        <v>40</v>
      </c>
      <c r="D161">
        <v>4.2467689999999996</v>
      </c>
      <c r="E161">
        <v>0.52987910000000005</v>
      </c>
      <c r="F161" t="s">
        <v>42</v>
      </c>
      <c r="G161">
        <v>-447.44670000000002</v>
      </c>
      <c r="H161" s="1">
        <v>-1.5503309999999901E-6</v>
      </c>
      <c r="I161">
        <v>367.57040000000001</v>
      </c>
      <c r="J161">
        <v>-467.20119999999997</v>
      </c>
      <c r="K161">
        <v>1.10487</v>
      </c>
      <c r="L161">
        <v>367.37189999999998</v>
      </c>
      <c r="M161">
        <v>0.99969830000000004</v>
      </c>
      <c r="N161">
        <v>0</v>
      </c>
      <c r="O161">
        <v>-2.077476E-2</v>
      </c>
      <c r="P161">
        <v>0.99553250000000004</v>
      </c>
      <c r="Q161">
        <v>3.1255699999999997E-2</v>
      </c>
      <c r="R161">
        <v>8.9094409999999999E-2</v>
      </c>
      <c r="S161">
        <v>3.0159910000000001</v>
      </c>
      <c r="T161">
        <v>-0.16825689999999999</v>
      </c>
      <c r="U161">
        <v>3.0059809999999999E-2</v>
      </c>
      <c r="V161">
        <v>-0.1097549</v>
      </c>
      <c r="W161">
        <v>4.4278270000000002E-2</v>
      </c>
      <c r="X161">
        <v>0.99297199999999997</v>
      </c>
      <c r="Y161">
        <v>-3.065971E-2</v>
      </c>
      <c r="Z161">
        <v>2.0126660000000002E-3</v>
      </c>
      <c r="AA161">
        <v>0.99952790000000002</v>
      </c>
      <c r="AB161">
        <v>9</v>
      </c>
      <c r="AC161">
        <v>19.754499999999901</v>
      </c>
      <c r="AD161">
        <v>-1.104871550331</v>
      </c>
      <c r="AE161">
        <v>0.19850000000002399</v>
      </c>
      <c r="AF161">
        <v>-0.60698881224643197</v>
      </c>
      <c r="AG161">
        <v>-1.104871550331</v>
      </c>
      <c r="AH161">
        <v>19.684541197118801</v>
      </c>
      <c r="AI161">
        <v>93.211054890118106</v>
      </c>
      <c r="AJ161">
        <v>91.766202232824597</v>
      </c>
      <c r="AK161">
        <v>19.724865999595298</v>
      </c>
      <c r="AL161">
        <v>87.462212416003695</v>
      </c>
      <c r="AM161">
        <v>96.307397660988499</v>
      </c>
      <c r="AN161">
        <v>1.0000000480261</v>
      </c>
    </row>
    <row r="162" spans="1:40" x14ac:dyDescent="0.3">
      <c r="A162" t="str">
        <f>"20200111145919042"</f>
        <v>20200111145919042</v>
      </c>
      <c r="B162" t="str">
        <f>"1578725959035797"</f>
        <v>1578725959035797</v>
      </c>
      <c r="C162" t="s">
        <v>40</v>
      </c>
      <c r="D162">
        <v>4.2539790000000002</v>
      </c>
      <c r="E162">
        <v>0.52975850000000002</v>
      </c>
      <c r="F162" t="s">
        <v>42</v>
      </c>
      <c r="G162">
        <v>-447.02289999999999</v>
      </c>
      <c r="H162" s="1">
        <v>-1.746403E-6</v>
      </c>
      <c r="I162">
        <v>367.59449999999998</v>
      </c>
      <c r="J162">
        <v>-467.14670000000001</v>
      </c>
      <c r="K162">
        <v>1.1048770000000001</v>
      </c>
      <c r="L162">
        <v>367.37060000000002</v>
      </c>
      <c r="M162">
        <v>0.99969710000000001</v>
      </c>
      <c r="N162">
        <v>0</v>
      </c>
      <c r="O162">
        <v>-2.0830009999999999E-2</v>
      </c>
      <c r="P162">
        <v>0.99550110000000003</v>
      </c>
      <c r="Q162">
        <v>3.1499979999999997E-2</v>
      </c>
      <c r="R162">
        <v>8.9361709999999997E-2</v>
      </c>
      <c r="S162">
        <v>3.0156559999999999</v>
      </c>
      <c r="T162">
        <v>-0.16512389999999999</v>
      </c>
      <c r="U162">
        <v>3.3264160000000001E-2</v>
      </c>
      <c r="V162">
        <v>-0.1100766</v>
      </c>
      <c r="W162">
        <v>4.4525509999999997E-2</v>
      </c>
      <c r="X162">
        <v>0.99292530000000001</v>
      </c>
      <c r="Y162">
        <v>-3.1779160000000001E-2</v>
      </c>
      <c r="Z162">
        <v>2.0091039999999998E-3</v>
      </c>
      <c r="AA162">
        <v>0.99949290000000002</v>
      </c>
      <c r="AB162">
        <v>9</v>
      </c>
      <c r="AC162">
        <v>20.123799999999999</v>
      </c>
      <c r="AD162">
        <v>-1.1048787464030001</v>
      </c>
      <c r="AE162">
        <v>0.22389999999995699</v>
      </c>
      <c r="AF162">
        <v>-0.64113395156475805</v>
      </c>
      <c r="AG162">
        <v>-1.1048787464030001</v>
      </c>
      <c r="AH162">
        <v>20.054323349836</v>
      </c>
      <c r="AI162">
        <v>93.151875250429498</v>
      </c>
      <c r="AJ162">
        <v>91.831114494964496</v>
      </c>
      <c r="AK162">
        <v>20.094966902383302</v>
      </c>
      <c r="AL162">
        <v>87.448032539328807</v>
      </c>
      <c r="AM162">
        <v>96.326030580151993</v>
      </c>
      <c r="AN162">
        <v>1.0000000151441999</v>
      </c>
    </row>
    <row r="163" spans="1:40" x14ac:dyDescent="0.3">
      <c r="A163" t="str">
        <f>"20200111145919059"</f>
        <v>20200111145919059</v>
      </c>
      <c r="B163" t="str">
        <f>"1578725959056294"</f>
        <v>1578725959056294</v>
      </c>
      <c r="C163" t="s">
        <v>40</v>
      </c>
      <c r="D163">
        <v>4.1851399999999996</v>
      </c>
      <c r="E163">
        <v>0.52950739999999996</v>
      </c>
      <c r="F163" t="s">
        <v>42</v>
      </c>
      <c r="G163">
        <v>-446.69799999999998</v>
      </c>
      <c r="H163" s="1">
        <v>-1.897797E-6</v>
      </c>
      <c r="I163">
        <v>367.60680000000002</v>
      </c>
      <c r="J163">
        <v>-467.07870000000003</v>
      </c>
      <c r="K163">
        <v>1.1048849999999999</v>
      </c>
      <c r="L163">
        <v>367.36919999999998</v>
      </c>
      <c r="M163">
        <v>0.99969560000000002</v>
      </c>
      <c r="N163">
        <v>0</v>
      </c>
      <c r="O163">
        <v>-2.0901349999999999E-2</v>
      </c>
      <c r="P163">
        <v>0.9954942</v>
      </c>
      <c r="Q163">
        <v>3.194396E-2</v>
      </c>
      <c r="R163">
        <v>8.9279349999999993E-2</v>
      </c>
      <c r="S163">
        <v>3.015625</v>
      </c>
      <c r="T163">
        <v>-0.16293949999999999</v>
      </c>
      <c r="U163">
        <v>3.482056E-2</v>
      </c>
      <c r="V163">
        <v>-0.11006440000000001</v>
      </c>
      <c r="W163">
        <v>4.4973760000000002E-2</v>
      </c>
      <c r="X163">
        <v>0.99290650000000003</v>
      </c>
      <c r="Y163">
        <v>-3.2367489999999999E-2</v>
      </c>
      <c r="Z163">
        <v>2.0023150000000002E-3</v>
      </c>
      <c r="AA163">
        <v>0.99947399999999997</v>
      </c>
      <c r="AB163">
        <v>9</v>
      </c>
      <c r="AC163">
        <v>20.380699999999901</v>
      </c>
      <c r="AD163">
        <v>-1.1048868977969999</v>
      </c>
      <c r="AE163">
        <v>0.237600000000043</v>
      </c>
      <c r="AF163">
        <v>-0.661624594195654</v>
      </c>
      <c r="AG163">
        <v>-1.1048868977969999</v>
      </c>
      <c r="AH163">
        <v>20.311592972439101</v>
      </c>
      <c r="AI163">
        <v>93.111994556257997</v>
      </c>
      <c r="AJ163">
        <v>91.865678282046403</v>
      </c>
      <c r="AK163">
        <v>20.352379006853301</v>
      </c>
      <c r="AL163">
        <v>87.422324079610107</v>
      </c>
      <c r="AM163">
        <v>96.325453932362393</v>
      </c>
      <c r="AN163">
        <v>1.0000000644890701</v>
      </c>
    </row>
    <row r="164" spans="1:40" x14ac:dyDescent="0.3">
      <c r="A164" t="str">
        <f>"20200111145919071"</f>
        <v>20200111145919071</v>
      </c>
      <c r="B164" t="str">
        <f>"1578725959066054"</f>
        <v>1578725959066054</v>
      </c>
      <c r="C164" t="s">
        <v>40</v>
      </c>
      <c r="D164">
        <v>4.3146060000000004</v>
      </c>
      <c r="E164">
        <v>0.529497</v>
      </c>
      <c r="F164" t="s">
        <v>42</v>
      </c>
      <c r="G164">
        <v>-446.13630000000001</v>
      </c>
      <c r="H164" s="1">
        <v>-2.1603049999999998E-6</v>
      </c>
      <c r="I164">
        <v>367.62389999999999</v>
      </c>
      <c r="J164">
        <v>-467.02870000000001</v>
      </c>
      <c r="K164">
        <v>1.1048899999999999</v>
      </c>
      <c r="L164">
        <v>367.36810000000003</v>
      </c>
      <c r="M164">
        <v>0.99969450000000004</v>
      </c>
      <c r="N164">
        <v>0</v>
      </c>
      <c r="O164">
        <v>-2.0956579999999999E-2</v>
      </c>
      <c r="P164">
        <v>0.99549960000000004</v>
      </c>
      <c r="Q164">
        <v>3.244706E-2</v>
      </c>
      <c r="R164">
        <v>8.9039359999999998E-2</v>
      </c>
      <c r="S164">
        <v>3.0153500000000002</v>
      </c>
      <c r="T164">
        <v>-0.15908439999999999</v>
      </c>
      <c r="U164">
        <v>3.668213E-2</v>
      </c>
      <c r="V164">
        <v>-0.10987909999999999</v>
      </c>
      <c r="W164">
        <v>4.5479159999999998E-2</v>
      </c>
      <c r="X164">
        <v>0.99290389999999995</v>
      </c>
      <c r="Y164">
        <v>-3.3043290000000003E-2</v>
      </c>
      <c r="Z164">
        <v>1.9759059999999999E-3</v>
      </c>
      <c r="AA164">
        <v>0.99945200000000001</v>
      </c>
      <c r="AB164">
        <v>9</v>
      </c>
      <c r="AC164">
        <v>20.892399999999999</v>
      </c>
      <c r="AD164">
        <v>-1.1048921603049999</v>
      </c>
      <c r="AE164">
        <v>0.255799999999965</v>
      </c>
      <c r="AF164">
        <v>-0.69168045477090101</v>
      </c>
      <c r="AG164">
        <v>-1.1048921603049999</v>
      </c>
      <c r="AH164">
        <v>20.824217140581599</v>
      </c>
      <c r="AI164">
        <v>93.035483064128698</v>
      </c>
      <c r="AJ164">
        <v>91.902391150811297</v>
      </c>
      <c r="AK164">
        <v>20.8649761096319</v>
      </c>
      <c r="AL164">
        <v>87.393336867892899</v>
      </c>
      <c r="AM164">
        <v>96.314907158475904</v>
      </c>
      <c r="AN164">
        <v>0.99999996262316204</v>
      </c>
    </row>
    <row r="165" spans="1:40" x14ac:dyDescent="0.3">
      <c r="A165" t="str">
        <f>"20200111145919085"</f>
        <v>20200111145919085</v>
      </c>
      <c r="B165" t="str">
        <f>"1578725959075814"</f>
        <v>1578725959075814</v>
      </c>
      <c r="C165" t="s">
        <v>40</v>
      </c>
      <c r="D165">
        <v>4.1174200000000001</v>
      </c>
      <c r="E165">
        <v>0.52932860000000004</v>
      </c>
      <c r="F165" t="s">
        <v>42</v>
      </c>
      <c r="G165">
        <v>-445.99</v>
      </c>
      <c r="H165" s="1">
        <v>-2.230043E-6</v>
      </c>
      <c r="I165">
        <v>367.62060000000002</v>
      </c>
      <c r="J165">
        <v>-466.9744</v>
      </c>
      <c r="K165">
        <v>1.104897</v>
      </c>
      <c r="L165">
        <v>367.36689999999999</v>
      </c>
      <c r="M165">
        <v>0.99969319999999895</v>
      </c>
      <c r="N165">
        <v>0</v>
      </c>
      <c r="O165">
        <v>-2.101836E-2</v>
      </c>
      <c r="P165">
        <v>0.99551060000000002</v>
      </c>
      <c r="Q165">
        <v>3.2462079999999997E-2</v>
      </c>
      <c r="R165">
        <v>8.8911119999999996E-2</v>
      </c>
      <c r="S165">
        <v>3.0154420000000002</v>
      </c>
      <c r="T165">
        <v>-0.15836239999999999</v>
      </c>
      <c r="U165">
        <v>3.619385E-2</v>
      </c>
      <c r="V165">
        <v>-0.1098123</v>
      </c>
      <c r="W165">
        <v>4.5496799999999997E-2</v>
      </c>
      <c r="X165">
        <v>0.99291050000000003</v>
      </c>
      <c r="Y165">
        <v>-3.2943609999999998E-2</v>
      </c>
      <c r="Z165">
        <v>1.9675180000000001E-3</v>
      </c>
      <c r="AA165">
        <v>0.99945530000000005</v>
      </c>
      <c r="AB165">
        <v>9</v>
      </c>
      <c r="AC165">
        <v>20.984399999999901</v>
      </c>
      <c r="AD165">
        <v>-1.1048992300430001</v>
      </c>
      <c r="AE165">
        <v>0.25370000000003701</v>
      </c>
      <c r="AF165">
        <v>-0.69281902176891097</v>
      </c>
      <c r="AG165">
        <v>-1.1048992300430001</v>
      </c>
      <c r="AH165">
        <v>20.916450916235998</v>
      </c>
      <c r="AI165">
        <v>93.022151079198693</v>
      </c>
      <c r="AJ165">
        <v>91.897123864703502</v>
      </c>
      <c r="AK165">
        <v>20.957068483850101</v>
      </c>
      <c r="AL165">
        <v>87.392325169750094</v>
      </c>
      <c r="AM165">
        <v>96.311057442817201</v>
      </c>
      <c r="AN165">
        <v>0.99999998052588901</v>
      </c>
    </row>
    <row r="166" spans="1:40" x14ac:dyDescent="0.3">
      <c r="A166" t="str">
        <f>"20200111145919098"</f>
        <v>20200111145919098</v>
      </c>
      <c r="B166" t="str">
        <f>"1578725959085573"</f>
        <v>1578725959085573</v>
      </c>
      <c r="C166" t="s">
        <v>40</v>
      </c>
      <c r="D166">
        <v>4.1068639999999998</v>
      </c>
      <c r="E166">
        <v>0.52919550000000004</v>
      </c>
      <c r="F166" t="s">
        <v>42</v>
      </c>
      <c r="G166">
        <v>-445.90879999999999</v>
      </c>
      <c r="H166" s="1">
        <v>-2.267281E-6</v>
      </c>
      <c r="I166">
        <v>367.62700000000001</v>
      </c>
      <c r="J166">
        <v>-466.92360000000002</v>
      </c>
      <c r="K166">
        <v>1.1049009999999999</v>
      </c>
      <c r="L166">
        <v>367.3657</v>
      </c>
      <c r="M166">
        <v>0.99969200000000003</v>
      </c>
      <c r="N166">
        <v>0</v>
      </c>
      <c r="O166">
        <v>-2.1077760000000001E-2</v>
      </c>
      <c r="P166">
        <v>0.99553259999999999</v>
      </c>
      <c r="Q166">
        <v>3.2641360000000001E-2</v>
      </c>
      <c r="R166">
        <v>8.8598419999999997E-2</v>
      </c>
      <c r="S166">
        <v>3.01532</v>
      </c>
      <c r="T166">
        <v>-0.15815509999999999</v>
      </c>
      <c r="U166">
        <v>3.7231449999999999E-2</v>
      </c>
      <c r="V166">
        <v>-0.1095595</v>
      </c>
      <c r="W166">
        <v>4.5678280000000002E-2</v>
      </c>
      <c r="X166">
        <v>0.99293010000000004</v>
      </c>
      <c r="Y166">
        <v>-3.3346899999999999E-2</v>
      </c>
      <c r="Z166">
        <v>1.978704E-3</v>
      </c>
      <c r="AA166">
        <v>0.99944189999999999</v>
      </c>
      <c r="AB166">
        <v>9</v>
      </c>
      <c r="AC166">
        <v>21.014800000000001</v>
      </c>
      <c r="AD166">
        <v>-1.104903267281</v>
      </c>
      <c r="AE166">
        <v>0.26129999999994802</v>
      </c>
      <c r="AF166">
        <v>-0.70228378694072402</v>
      </c>
      <c r="AG166">
        <v>-1.104903267281</v>
      </c>
      <c r="AH166">
        <v>20.946726650599601</v>
      </c>
      <c r="AI166">
        <v>93.017761537474399</v>
      </c>
      <c r="AJ166">
        <v>91.920244204246103</v>
      </c>
      <c r="AK166">
        <v>20.9876004136344</v>
      </c>
      <c r="AL166">
        <v>87.381916325247701</v>
      </c>
      <c r="AM166">
        <v>96.296522229622397</v>
      </c>
      <c r="AN166">
        <v>0.99999998639500898</v>
      </c>
    </row>
    <row r="167" spans="1:40" x14ac:dyDescent="0.3">
      <c r="A167" t="str">
        <f>"20200111145919116"</f>
        <v>20200111145919116</v>
      </c>
      <c r="B167" t="str">
        <f>"1578725959106069"</f>
        <v>1578725959106069</v>
      </c>
      <c r="C167" t="s">
        <v>40</v>
      </c>
      <c r="D167">
        <v>4.0453070000000002</v>
      </c>
      <c r="E167">
        <v>0.52900400000000003</v>
      </c>
      <c r="F167" t="s">
        <v>42</v>
      </c>
      <c r="G167">
        <v>-445.7679</v>
      </c>
      <c r="H167" s="1">
        <v>-2.3337330000000001E-6</v>
      </c>
      <c r="I167">
        <v>367.62779999999998</v>
      </c>
      <c r="J167">
        <v>-466.85059999999999</v>
      </c>
      <c r="K167">
        <v>1.1049</v>
      </c>
      <c r="L167">
        <v>367.36410000000001</v>
      </c>
      <c r="M167">
        <v>0.99969010000000003</v>
      </c>
      <c r="N167">
        <v>0</v>
      </c>
      <c r="O167">
        <v>-2.116577E-2</v>
      </c>
      <c r="P167">
        <v>0.99555289999999996</v>
      </c>
      <c r="Q167">
        <v>3.2798760000000003E-2</v>
      </c>
      <c r="R167">
        <v>8.831174E-2</v>
      </c>
      <c r="S167">
        <v>3.0152589999999999</v>
      </c>
      <c r="T167">
        <v>-0.1574789</v>
      </c>
      <c r="U167">
        <v>3.7353520000000001E-2</v>
      </c>
      <c r="V167">
        <v>-0.10936029999999999</v>
      </c>
      <c r="W167">
        <v>4.5837849999999999E-2</v>
      </c>
      <c r="X167">
        <v>0.99294470000000001</v>
      </c>
      <c r="Y167">
        <v>-3.3475940000000003E-2</v>
      </c>
      <c r="Z167">
        <v>1.9782559999999999E-3</v>
      </c>
      <c r="AA167">
        <v>0.99943760000000004</v>
      </c>
      <c r="AB167">
        <v>9</v>
      </c>
      <c r="AC167">
        <v>21.0826999999999</v>
      </c>
      <c r="AD167">
        <v>-1.104902333733</v>
      </c>
      <c r="AE167">
        <v>0.26369999999997101</v>
      </c>
      <c r="AF167">
        <v>-0.70796661549797901</v>
      </c>
      <c r="AG167">
        <v>-1.104902333733</v>
      </c>
      <c r="AH167">
        <v>21.014684457879401</v>
      </c>
      <c r="AI167">
        <v>93.008001710868399</v>
      </c>
      <c r="AJ167">
        <v>91.929515699869199</v>
      </c>
      <c r="AK167">
        <v>21.055616560908099</v>
      </c>
      <c r="AL167">
        <v>87.372764035495393</v>
      </c>
      <c r="AM167">
        <v>96.285073981958604</v>
      </c>
      <c r="AN167">
        <v>0.999999980483401</v>
      </c>
    </row>
    <row r="168" spans="1:40" x14ac:dyDescent="0.3">
      <c r="A168" t="str">
        <f>"20200111145919132"</f>
        <v>20200111145919132</v>
      </c>
      <c r="B168" t="str">
        <f>"1578725959125590"</f>
        <v>1578725959125590</v>
      </c>
      <c r="C168" t="s">
        <v>40</v>
      </c>
      <c r="D168">
        <v>4.025633</v>
      </c>
      <c r="E168">
        <v>0.52882189999999996</v>
      </c>
      <c r="F168" t="s">
        <v>42</v>
      </c>
      <c r="G168">
        <v>-445.505</v>
      </c>
      <c r="H168" s="1">
        <v>-2.457108E-6</v>
      </c>
      <c r="I168">
        <v>367.63310000000001</v>
      </c>
      <c r="J168">
        <v>-466.78809999999999</v>
      </c>
      <c r="K168">
        <v>1.1049009999999999</v>
      </c>
      <c r="L168">
        <v>367.36259999999999</v>
      </c>
      <c r="M168">
        <v>0.99968829999999997</v>
      </c>
      <c r="N168">
        <v>0</v>
      </c>
      <c r="O168">
        <v>-2.1241739999999999E-2</v>
      </c>
      <c r="P168">
        <v>0.99556650000000002</v>
      </c>
      <c r="Q168">
        <v>3.2930389999999997E-2</v>
      </c>
      <c r="R168">
        <v>8.810714E-2</v>
      </c>
      <c r="S168">
        <v>3.0151669999999999</v>
      </c>
      <c r="T168">
        <v>-0.15607260000000001</v>
      </c>
      <c r="U168">
        <v>3.7994380000000001E-2</v>
      </c>
      <c r="V168">
        <v>-0.10923139999999899</v>
      </c>
      <c r="W168">
        <v>4.5971230000000002E-2</v>
      </c>
      <c r="X168">
        <v>0.99295279999999997</v>
      </c>
      <c r="Y168">
        <v>-3.3765490000000002E-2</v>
      </c>
      <c r="Z168">
        <v>1.9720900000000001E-3</v>
      </c>
      <c r="AA168">
        <v>0.99942790000000004</v>
      </c>
      <c r="AB168">
        <v>9</v>
      </c>
      <c r="AC168">
        <v>21.283099999999902</v>
      </c>
      <c r="AD168">
        <v>-1.1049034571080001</v>
      </c>
      <c r="AE168">
        <v>0.270500000000026</v>
      </c>
      <c r="AF168">
        <v>-0.72062607466875805</v>
      </c>
      <c r="AG168">
        <v>-1.1049034571080001</v>
      </c>
      <c r="AH168">
        <v>21.215381787912399</v>
      </c>
      <c r="AI168">
        <v>92.979572644872704</v>
      </c>
      <c r="AJ168">
        <v>91.945426429095406</v>
      </c>
      <c r="AK168">
        <v>21.256352885570699</v>
      </c>
      <c r="AL168">
        <v>87.365114063767393</v>
      </c>
      <c r="AM168">
        <v>96.277674316174199</v>
      </c>
      <c r="AN168">
        <v>1.00000005788075</v>
      </c>
    </row>
    <row r="169" spans="1:40" x14ac:dyDescent="0.3">
      <c r="A169" t="str">
        <f>"20200111145919149"</f>
        <v>20200111145919149</v>
      </c>
      <c r="B169" t="str">
        <f>"1578725959146086"</f>
        <v>1578725959146086</v>
      </c>
      <c r="C169" t="s">
        <v>40</v>
      </c>
      <c r="D169">
        <v>4.0905519999999997</v>
      </c>
      <c r="E169">
        <v>0.52871499999999905</v>
      </c>
      <c r="F169" t="s">
        <v>42</v>
      </c>
      <c r="G169">
        <v>-445.18950000000001</v>
      </c>
      <c r="H169" s="1">
        <v>-2.6054239999999999E-6</v>
      </c>
      <c r="I169">
        <v>367.63740000000001</v>
      </c>
      <c r="J169">
        <v>-466.72199999999998</v>
      </c>
      <c r="K169">
        <v>1.1049100000000001</v>
      </c>
      <c r="L169">
        <v>367.36110000000002</v>
      </c>
      <c r="M169">
        <v>0.99968670000000004</v>
      </c>
      <c r="N169">
        <v>0</v>
      </c>
      <c r="O169">
        <v>-2.1323060000000001E-2</v>
      </c>
      <c r="P169">
        <v>0.99560470000000001</v>
      </c>
      <c r="Q169">
        <v>3.3083499999999898E-2</v>
      </c>
      <c r="R169">
        <v>8.7617899999999999E-2</v>
      </c>
      <c r="S169">
        <v>3.0151059999999998</v>
      </c>
      <c r="T169">
        <v>-0.1542422</v>
      </c>
      <c r="U169">
        <v>3.8360600000000002E-2</v>
      </c>
      <c r="V169">
        <v>-0.1088234</v>
      </c>
      <c r="W169">
        <v>4.6126029999999998E-2</v>
      </c>
      <c r="X169">
        <v>0.99299040000000005</v>
      </c>
      <c r="Y169">
        <v>-3.396975E-2</v>
      </c>
      <c r="Z169">
        <v>1.9584070000000001E-3</v>
      </c>
      <c r="AA169">
        <v>0.99942089999999995</v>
      </c>
      <c r="AB169">
        <v>9</v>
      </c>
      <c r="AC169">
        <v>21.532499999999899</v>
      </c>
      <c r="AD169">
        <v>-1.1049126054239999</v>
      </c>
      <c r="AE169">
        <v>0.276299999999992</v>
      </c>
      <c r="AF169">
        <v>-0.73348439221818895</v>
      </c>
      <c r="AG169">
        <v>-1.1049126054239999</v>
      </c>
      <c r="AH169">
        <v>21.465200750066899</v>
      </c>
      <c r="AI169">
        <v>92.944960775834602</v>
      </c>
      <c r="AJ169">
        <v>91.957084628984404</v>
      </c>
      <c r="AK169">
        <v>21.506131089992099</v>
      </c>
      <c r="AL169">
        <v>87.356235208378607</v>
      </c>
      <c r="AM169">
        <v>96.254177235193893</v>
      </c>
      <c r="AN169">
        <v>1.0000000387616299</v>
      </c>
    </row>
    <row r="170" spans="1:40" x14ac:dyDescent="0.3">
      <c r="A170" t="str">
        <f>"20200111145919163"</f>
        <v>20200111145919163</v>
      </c>
      <c r="B170" t="str">
        <f>"1578725959155846"</f>
        <v>1578725959155846</v>
      </c>
      <c r="C170" t="s">
        <v>40</v>
      </c>
      <c r="D170">
        <v>3.9628649999999999</v>
      </c>
      <c r="E170">
        <v>0.52862039999999999</v>
      </c>
      <c r="F170" t="s">
        <v>42</v>
      </c>
      <c r="G170">
        <v>-444.94850000000002</v>
      </c>
      <c r="H170" s="1">
        <v>-2.7194589999999999E-6</v>
      </c>
      <c r="I170">
        <v>367.63679999999999</v>
      </c>
      <c r="J170">
        <v>-466.66719999999998</v>
      </c>
      <c r="K170">
        <v>1.104911</v>
      </c>
      <c r="L170">
        <v>367.35989999999998</v>
      </c>
      <c r="M170">
        <v>0.99968520000000005</v>
      </c>
      <c r="N170">
        <v>0</v>
      </c>
      <c r="O170">
        <v>-2.139102E-2</v>
      </c>
      <c r="P170">
        <v>0.99561489999999997</v>
      </c>
      <c r="Q170">
        <v>3.3325519999999997E-2</v>
      </c>
      <c r="R170">
        <v>8.7412809999999994E-2</v>
      </c>
      <c r="S170">
        <v>3.0149840000000001</v>
      </c>
      <c r="T170">
        <v>-0.15299760000000001</v>
      </c>
      <c r="U170">
        <v>3.8177490000000001E-2</v>
      </c>
      <c r="V170">
        <v>-0.1086862</v>
      </c>
      <c r="W170">
        <v>4.6369439999999998E-2</v>
      </c>
      <c r="X170">
        <v>0.99299409999999999</v>
      </c>
      <c r="Y170">
        <v>-3.397857E-2</v>
      </c>
      <c r="Z170">
        <v>1.946375E-3</v>
      </c>
      <c r="AA170">
        <v>0.99942059999999999</v>
      </c>
      <c r="AB170">
        <v>9</v>
      </c>
      <c r="AC170">
        <v>21.718699999999899</v>
      </c>
      <c r="AD170">
        <v>-1.104913719459</v>
      </c>
      <c r="AE170">
        <v>0.27690000000001103</v>
      </c>
      <c r="AF170">
        <v>-0.73954797025417296</v>
      </c>
      <c r="AG170">
        <v>-1.104913719459</v>
      </c>
      <c r="AH170">
        <v>21.651777026572301</v>
      </c>
      <c r="AI170">
        <v>92.9196321212561</v>
      </c>
      <c r="AJ170">
        <v>91.956260245106293</v>
      </c>
      <c r="AK170">
        <v>21.692561258093999</v>
      </c>
      <c r="AL170">
        <v>87.342273931407107</v>
      </c>
      <c r="AM170">
        <v>96.246331506312501</v>
      </c>
      <c r="AN170">
        <v>1.00000004883558</v>
      </c>
    </row>
    <row r="171" spans="1:40" x14ac:dyDescent="0.3">
      <c r="A171" t="str">
        <f>"20200111145919176"</f>
        <v>20200111145919176</v>
      </c>
      <c r="B171" t="str">
        <f>"1578725959165606"</f>
        <v>1578725959165606</v>
      </c>
      <c r="C171" t="s">
        <v>40</v>
      </c>
      <c r="D171">
        <v>3.9628709999999998</v>
      </c>
      <c r="E171">
        <v>0.52853830000000002</v>
      </c>
      <c r="F171" t="s">
        <v>42</v>
      </c>
      <c r="G171">
        <v>-444.74959999999999</v>
      </c>
      <c r="H171" s="1">
        <v>-2.81317E-6</v>
      </c>
      <c r="I171">
        <v>367.6388</v>
      </c>
      <c r="J171">
        <v>-466.61329999999998</v>
      </c>
      <c r="K171">
        <v>1.1049150000000001</v>
      </c>
      <c r="L171">
        <v>367.35860000000002</v>
      </c>
      <c r="M171">
        <v>0.99968389999999996</v>
      </c>
      <c r="N171">
        <v>0</v>
      </c>
      <c r="O171">
        <v>-2.1458129999999999E-2</v>
      </c>
      <c r="P171">
        <v>0.99563809999999997</v>
      </c>
      <c r="Q171">
        <v>3.3045489999999997E-2</v>
      </c>
      <c r="R171">
        <v>8.7252850000000007E-2</v>
      </c>
      <c r="S171">
        <v>3.0149539999999999</v>
      </c>
      <c r="T171">
        <v>-0.151990299999999</v>
      </c>
      <c r="U171">
        <v>3.8360600000000002E-2</v>
      </c>
      <c r="V171">
        <v>-0.10859340000000001</v>
      </c>
      <c r="W171">
        <v>4.6089829999999998E-2</v>
      </c>
      <c r="X171">
        <v>0.99301719999999905</v>
      </c>
      <c r="Y171">
        <v>-3.4107169999999999E-2</v>
      </c>
      <c r="Z171">
        <v>1.9402149999999999E-3</v>
      </c>
      <c r="AA171">
        <v>0.99941630000000004</v>
      </c>
      <c r="AB171">
        <v>9</v>
      </c>
      <c r="AC171">
        <v>21.863699999999898</v>
      </c>
      <c r="AD171">
        <v>-1.1049178131699999</v>
      </c>
      <c r="AE171">
        <v>0.28019999999997902</v>
      </c>
      <c r="AF171">
        <v>-0.74742129497918997</v>
      </c>
      <c r="AG171">
        <v>-1.1049178131699999</v>
      </c>
      <c r="AH171">
        <v>21.796992568635901</v>
      </c>
      <c r="AI171">
        <v>92.900211817751696</v>
      </c>
      <c r="AJ171">
        <v>91.963909152285694</v>
      </c>
      <c r="AK171">
        <v>21.837773856398801</v>
      </c>
      <c r="AL171">
        <v>87.358311366362699</v>
      </c>
      <c r="AM171">
        <v>96.240896242869894</v>
      </c>
      <c r="AN171">
        <v>0.99999997922441397</v>
      </c>
    </row>
    <row r="172" spans="1:40" x14ac:dyDescent="0.3">
      <c r="A172" t="str">
        <f>"20200111145919194"</f>
        <v>20200111145919194</v>
      </c>
      <c r="B172" t="str">
        <f>"1578725959186102"</f>
        <v>1578725959186102</v>
      </c>
      <c r="C172" t="s">
        <v>40</v>
      </c>
      <c r="D172">
        <v>3.9366159999999999</v>
      </c>
      <c r="E172">
        <v>0.52833699999999995</v>
      </c>
      <c r="F172" t="s">
        <v>42</v>
      </c>
      <c r="G172">
        <v>-444.71010000000001</v>
      </c>
      <c r="H172" s="1">
        <v>-2.8317860000000002E-6</v>
      </c>
      <c r="I172">
        <v>367.63909999999998</v>
      </c>
      <c r="J172">
        <v>-466.54309999999998</v>
      </c>
      <c r="K172">
        <v>1.1049199999999999</v>
      </c>
      <c r="L172">
        <v>367.3571</v>
      </c>
      <c r="M172">
        <v>0.99968179999999995</v>
      </c>
      <c r="N172">
        <v>0</v>
      </c>
      <c r="O172">
        <v>-2.154621E-2</v>
      </c>
      <c r="P172">
        <v>0.99565689999999996</v>
      </c>
      <c r="Q172">
        <v>3.3036599999999999E-2</v>
      </c>
      <c r="R172">
        <v>8.7041359999999998E-2</v>
      </c>
      <c r="S172">
        <v>3.0148320000000002</v>
      </c>
      <c r="T172">
        <v>-0.15208459999999999</v>
      </c>
      <c r="U172">
        <v>3.8604739999999999E-2</v>
      </c>
      <c r="V172">
        <v>-0.10847039999999999</v>
      </c>
      <c r="W172">
        <v>4.6081259999999999E-2</v>
      </c>
      <c r="X172">
        <v>0.99303110000000006</v>
      </c>
      <c r="Y172">
        <v>-3.4276239999999999E-2</v>
      </c>
      <c r="Z172">
        <v>1.9501970000000001E-3</v>
      </c>
      <c r="AA172">
        <v>0.99941049999999998</v>
      </c>
      <c r="AB172">
        <v>9</v>
      </c>
      <c r="AC172">
        <v>21.832999999999899</v>
      </c>
      <c r="AD172">
        <v>-1.104922831786</v>
      </c>
      <c r="AE172">
        <v>0.28199999999998199</v>
      </c>
      <c r="AF172">
        <v>-0.75047164264096</v>
      </c>
      <c r="AG172">
        <v>-1.104922831786</v>
      </c>
      <c r="AH172">
        <v>21.766116863577299</v>
      </c>
      <c r="AI172">
        <v>92.904313162936504</v>
      </c>
      <c r="AJ172">
        <v>91.974712864490698</v>
      </c>
      <c r="AK172">
        <v>21.807060908556899</v>
      </c>
      <c r="AL172">
        <v>87.358803068513197</v>
      </c>
      <c r="AM172">
        <v>96.233796508563799</v>
      </c>
      <c r="AN172">
        <v>1.0000000378832701</v>
      </c>
    </row>
    <row r="173" spans="1:40" x14ac:dyDescent="0.3">
      <c r="A173" t="str">
        <f>"20200111145919209"</f>
        <v>20200111145919209</v>
      </c>
      <c r="B173" t="str">
        <f>"1578725959205622"</f>
        <v>1578725959205622</v>
      </c>
      <c r="C173" t="s">
        <v>40</v>
      </c>
      <c r="D173">
        <v>3.8726340000000001</v>
      </c>
      <c r="E173">
        <v>0.52826219999999902</v>
      </c>
      <c r="F173" t="s">
        <v>42</v>
      </c>
      <c r="G173">
        <v>-444.44080000000002</v>
      </c>
      <c r="H173" s="1">
        <v>-2.9579099999999999E-6</v>
      </c>
      <c r="I173">
        <v>367.64569999999998</v>
      </c>
      <c r="J173">
        <v>-466.48669999999998</v>
      </c>
      <c r="K173">
        <v>1.1049230000000001</v>
      </c>
      <c r="L173">
        <v>367.35579999999999</v>
      </c>
      <c r="M173">
        <v>0.99968029999999997</v>
      </c>
      <c r="N173">
        <v>0</v>
      </c>
      <c r="O173">
        <v>-2.1617959999999999E-2</v>
      </c>
      <c r="P173">
        <v>0.99566860000000001</v>
      </c>
      <c r="Q173">
        <v>3.2769930000000003E-2</v>
      </c>
      <c r="R173">
        <v>8.7008790000000003E-2</v>
      </c>
      <c r="S173">
        <v>3.0147089999999999</v>
      </c>
      <c r="T173">
        <v>-0.15070929999999999</v>
      </c>
      <c r="U173">
        <v>3.9367680000000002E-2</v>
      </c>
      <c r="V173">
        <v>-0.1085091</v>
      </c>
      <c r="W173">
        <v>4.5814979999999998E-2</v>
      </c>
      <c r="X173">
        <v>0.99303909999999995</v>
      </c>
      <c r="Y173">
        <v>-3.4602140000000003E-2</v>
      </c>
      <c r="Z173">
        <v>1.944384E-3</v>
      </c>
      <c r="AA173">
        <v>0.99939929999999999</v>
      </c>
      <c r="AB173">
        <v>9</v>
      </c>
      <c r="AC173">
        <v>22.0458999999999</v>
      </c>
      <c r="AD173">
        <v>-1.1049259579099999</v>
      </c>
      <c r="AE173">
        <v>0.289899999999988</v>
      </c>
      <c r="AF173">
        <v>-0.76454045304440599</v>
      </c>
      <c r="AG173">
        <v>-1.1049259579099999</v>
      </c>
      <c r="AH173">
        <v>21.9792782387172</v>
      </c>
      <c r="AI173">
        <v>92.876171583864405</v>
      </c>
      <c r="AJ173">
        <v>91.992207661791099</v>
      </c>
      <c r="AK173">
        <v>22.020310065295501</v>
      </c>
      <c r="AL173">
        <v>87.374075676552494</v>
      </c>
      <c r="AM173">
        <v>96.235953237018506</v>
      </c>
      <c r="AN173">
        <v>0.999999945652008</v>
      </c>
    </row>
    <row r="174" spans="1:40" x14ac:dyDescent="0.3">
      <c r="A174" t="str">
        <f>"20200111145919227"</f>
        <v>20200111145919227</v>
      </c>
      <c r="B174" t="str">
        <f>"1578725959216357"</f>
        <v>1578725959216357</v>
      </c>
      <c r="C174" t="s">
        <v>40</v>
      </c>
      <c r="D174">
        <v>3.8514599999999999</v>
      </c>
      <c r="E174">
        <v>0.52814209999999995</v>
      </c>
      <c r="F174" t="s">
        <v>42</v>
      </c>
      <c r="G174">
        <v>-444.40269999999998</v>
      </c>
      <c r="H174" s="1">
        <v>-2.9754560000000002E-6</v>
      </c>
      <c r="I174">
        <v>367.64819999999997</v>
      </c>
      <c r="J174">
        <v>-466.4151</v>
      </c>
      <c r="K174">
        <v>1.104924</v>
      </c>
      <c r="L174">
        <v>367.35410000000002</v>
      </c>
      <c r="M174">
        <v>0.99967839999999997</v>
      </c>
      <c r="N174">
        <v>0</v>
      </c>
      <c r="O174">
        <v>-2.170913E-2</v>
      </c>
      <c r="P174">
        <v>0.9956718</v>
      </c>
      <c r="Q174">
        <v>3.2651899999999998E-2</v>
      </c>
      <c r="R174">
        <v>8.7016679999999999E-2</v>
      </c>
      <c r="S174">
        <v>3.014526</v>
      </c>
      <c r="T174">
        <v>-0.15082570000000001</v>
      </c>
      <c r="U174">
        <v>3.9916989999999999E-2</v>
      </c>
      <c r="V174">
        <v>-0.1086082</v>
      </c>
      <c r="W174">
        <v>4.5696870000000001E-2</v>
      </c>
      <c r="X174">
        <v>0.99303379999999997</v>
      </c>
      <c r="Y174">
        <v>-3.4875589999999998E-2</v>
      </c>
      <c r="Z174">
        <v>1.9573949999999998E-3</v>
      </c>
      <c r="AA174">
        <v>0.99938979999999999</v>
      </c>
      <c r="AB174">
        <v>9</v>
      </c>
      <c r="AC174">
        <v>22.0124</v>
      </c>
      <c r="AD174">
        <v>-1.104926975456</v>
      </c>
      <c r="AE174">
        <v>0.29409999999995701</v>
      </c>
      <c r="AF174">
        <v>-0.77000203299233905</v>
      </c>
      <c r="AG174">
        <v>-1.104926975456</v>
      </c>
      <c r="AH174">
        <v>21.9455420059817</v>
      </c>
      <c r="AI174">
        <v>92.880557906552298</v>
      </c>
      <c r="AJ174">
        <v>92.009509523454398</v>
      </c>
      <c r="AK174">
        <v>21.9868274357218</v>
      </c>
      <c r="AL174">
        <v>87.380850214592698</v>
      </c>
      <c r="AM174">
        <v>96.241636574189599</v>
      </c>
      <c r="AN174">
        <v>1.00000003648873</v>
      </c>
    </row>
    <row r="175" spans="1:40" x14ac:dyDescent="0.3">
      <c r="A175" t="str">
        <f>"20200111145919241"</f>
        <v>20200111145919241</v>
      </c>
      <c r="B175" t="str">
        <f>"1578725959235878"</f>
        <v>1578725959235878</v>
      </c>
      <c r="C175" t="s">
        <v>40</v>
      </c>
      <c r="D175">
        <v>3.7962539999999998</v>
      </c>
      <c r="E175">
        <v>0.52798259999999997</v>
      </c>
      <c r="F175" t="s">
        <v>42</v>
      </c>
      <c r="G175">
        <v>-444.28629999999998</v>
      </c>
      <c r="H175" s="1">
        <v>-3.0294709999999998E-6</v>
      </c>
      <c r="I175">
        <v>367.65390000000002</v>
      </c>
      <c r="J175">
        <v>-466.3612</v>
      </c>
      <c r="K175">
        <v>1.1049249999999999</v>
      </c>
      <c r="L175">
        <v>367.35289999999998</v>
      </c>
      <c r="M175">
        <v>0.99967680000000003</v>
      </c>
      <c r="N175">
        <v>0</v>
      </c>
      <c r="O175">
        <v>-2.1777419999999999E-2</v>
      </c>
      <c r="P175">
        <v>0.99567969999999895</v>
      </c>
      <c r="Q175">
        <v>3.2581270000000002E-2</v>
      </c>
      <c r="R175">
        <v>8.6951849999999997E-2</v>
      </c>
      <c r="S175">
        <v>3.0144350000000002</v>
      </c>
      <c r="T175">
        <v>-0.15051589999999901</v>
      </c>
      <c r="U175">
        <v>4.0832519999999997E-2</v>
      </c>
      <c r="V175">
        <v>-0.1086119</v>
      </c>
      <c r="W175">
        <v>4.5625409999999998E-2</v>
      </c>
      <c r="X175">
        <v>0.99303660000000005</v>
      </c>
      <c r="Y175">
        <v>-3.5247460000000001E-2</v>
      </c>
      <c r="Z175">
        <v>1.96612E-3</v>
      </c>
      <c r="AA175">
        <v>0.99937670000000001</v>
      </c>
      <c r="AB175">
        <v>9</v>
      </c>
      <c r="AC175">
        <v>22.0749</v>
      </c>
      <c r="AD175">
        <v>-1.104928029471</v>
      </c>
      <c r="AE175">
        <v>0.30100000000004401</v>
      </c>
      <c r="AF175">
        <v>-0.77975113472690905</v>
      </c>
      <c r="AG175">
        <v>-1.104928029471</v>
      </c>
      <c r="AH175">
        <v>22.007980624297499</v>
      </c>
      <c r="AI175">
        <v>92.872367265536795</v>
      </c>
      <c r="AJ175">
        <v>92.029162494638797</v>
      </c>
      <c r="AK175">
        <v>22.049491806884699</v>
      </c>
      <c r="AL175">
        <v>87.384948634885106</v>
      </c>
      <c r="AM175">
        <v>96.241830071394105</v>
      </c>
      <c r="AN175">
        <v>0.99999995589941804</v>
      </c>
    </row>
    <row r="176" spans="1:40" x14ac:dyDescent="0.3">
      <c r="A176" t="str">
        <f>"20200111145919254"</f>
        <v>20200111145919254</v>
      </c>
      <c r="B176" t="str">
        <f>"1578725959245637"</f>
        <v>1578725959245637</v>
      </c>
      <c r="C176" t="s">
        <v>40</v>
      </c>
      <c r="D176">
        <v>3.7890039999999998</v>
      </c>
      <c r="E176">
        <v>0.52795199999999998</v>
      </c>
      <c r="F176" t="s">
        <v>42</v>
      </c>
      <c r="G176">
        <v>-444.05619999999999</v>
      </c>
      <c r="H176" s="1">
        <v>-3.1366109999999998E-6</v>
      </c>
      <c r="I176">
        <v>367.66309999999999</v>
      </c>
      <c r="J176">
        <v>-466.30619999999999</v>
      </c>
      <c r="K176">
        <v>1.1049279999999999</v>
      </c>
      <c r="L176">
        <v>367.35160000000002</v>
      </c>
      <c r="M176">
        <v>0.99967530000000004</v>
      </c>
      <c r="N176">
        <v>0</v>
      </c>
      <c r="O176">
        <v>-2.184618E-2</v>
      </c>
      <c r="P176">
        <v>0.99569399999999997</v>
      </c>
      <c r="Q176">
        <v>3.237458E-2</v>
      </c>
      <c r="R176">
        <v>8.6864040000000003E-2</v>
      </c>
      <c r="S176">
        <v>3.0142519999999999</v>
      </c>
      <c r="T176">
        <v>-0.149317899999999</v>
      </c>
      <c r="U176">
        <v>4.193115E-2</v>
      </c>
      <c r="V176">
        <v>-0.10859249999999999</v>
      </c>
      <c r="W176">
        <v>4.541866E-2</v>
      </c>
      <c r="X176">
        <v>0.99304829999999999</v>
      </c>
      <c r="Y176">
        <v>-3.568172E-2</v>
      </c>
      <c r="Z176">
        <v>1.9647589999999999E-3</v>
      </c>
      <c r="AA176">
        <v>0.99936130000000001</v>
      </c>
      <c r="AB176">
        <v>9</v>
      </c>
      <c r="AC176">
        <v>22.25</v>
      </c>
      <c r="AD176">
        <v>-1.104931136611</v>
      </c>
      <c r="AE176">
        <v>0.31149999999996603</v>
      </c>
      <c r="AF176">
        <v>-0.79558336596037504</v>
      </c>
      <c r="AG176">
        <v>-1.104931136611</v>
      </c>
      <c r="AH176">
        <v>22.183188110257301</v>
      </c>
      <c r="AI176">
        <v>92.849682303561096</v>
      </c>
      <c r="AJ176">
        <v>92.0539897193417</v>
      </c>
      <c r="AK176">
        <v>22.224933305724601</v>
      </c>
      <c r="AL176">
        <v>87.396807091408107</v>
      </c>
      <c r="AM176">
        <v>96.240651020922598</v>
      </c>
      <c r="AN176">
        <v>1.0000000559326601</v>
      </c>
    </row>
    <row r="177" spans="1:40" x14ac:dyDescent="0.3">
      <c r="A177" t="str">
        <f>"20200111145919271"</f>
        <v>20200111145919271</v>
      </c>
      <c r="B177" t="str">
        <f>"1578725959266134"</f>
        <v>1578725959266134</v>
      </c>
      <c r="C177" t="s">
        <v>40</v>
      </c>
      <c r="D177">
        <v>3.75475</v>
      </c>
      <c r="E177">
        <v>0.52791919999999903</v>
      </c>
      <c r="F177" t="s">
        <v>42</v>
      </c>
      <c r="G177">
        <v>-443.95960000000002</v>
      </c>
      <c r="H177" s="1">
        <v>-3.1821890000000001E-6</v>
      </c>
      <c r="I177">
        <v>367.66359999999997</v>
      </c>
      <c r="J177">
        <v>-466.23919999999998</v>
      </c>
      <c r="K177">
        <v>1.1049279999999999</v>
      </c>
      <c r="L177">
        <v>367.35</v>
      </c>
      <c r="M177">
        <v>0.99967340000000005</v>
      </c>
      <c r="N177">
        <v>0</v>
      </c>
      <c r="O177">
        <v>-2.1929730000000001E-2</v>
      </c>
      <c r="P177">
        <v>0.9957319</v>
      </c>
      <c r="Q177">
        <v>3.2083309999999997E-2</v>
      </c>
      <c r="R177">
        <v>8.6536520000000006E-2</v>
      </c>
      <c r="S177">
        <v>3.014221</v>
      </c>
      <c r="T177">
        <v>-0.149039</v>
      </c>
      <c r="U177">
        <v>4.2083740000000001E-2</v>
      </c>
      <c r="V177">
        <v>-0.10834870000000001</v>
      </c>
      <c r="W177">
        <v>4.5126670000000001E-2</v>
      </c>
      <c r="X177">
        <v>0.99308819999999998</v>
      </c>
      <c r="Y177">
        <v>-3.5815949999999999E-2</v>
      </c>
      <c r="Z177">
        <v>1.9685570000000001E-3</v>
      </c>
      <c r="AA177">
        <v>0.99935640000000003</v>
      </c>
      <c r="AB177">
        <v>9</v>
      </c>
      <c r="AC177">
        <v>22.279599999999899</v>
      </c>
      <c r="AD177">
        <v>-1.104931182189</v>
      </c>
      <c r="AE177">
        <v>0.31359999999995097</v>
      </c>
      <c r="AF177">
        <v>-0.80018454695048802</v>
      </c>
      <c r="AG177">
        <v>-1.104931182189</v>
      </c>
      <c r="AH177">
        <v>22.212740874241501</v>
      </c>
      <c r="AI177">
        <v>92.845881060262002</v>
      </c>
      <c r="AJ177">
        <v>92.063112382710401</v>
      </c>
      <c r="AK177">
        <v>22.254595601195501</v>
      </c>
      <c r="AL177">
        <v>87.413553950610407</v>
      </c>
      <c r="AM177">
        <v>96.226502163536793</v>
      </c>
      <c r="AN177">
        <v>1.0000000150581001</v>
      </c>
    </row>
    <row r="178" spans="1:40" x14ac:dyDescent="0.3">
      <c r="A178" t="str">
        <f>"20200111145919284"</f>
        <v>20200111145919284</v>
      </c>
      <c r="B178" t="str">
        <f>"1578725959275893"</f>
        <v>1578725959275893</v>
      </c>
      <c r="C178" t="s">
        <v>40</v>
      </c>
      <c r="D178">
        <v>3.7637040000000002</v>
      </c>
      <c r="E178">
        <v>0.52791299999999997</v>
      </c>
      <c r="F178" t="s">
        <v>42</v>
      </c>
      <c r="G178">
        <v>-443.78359999999998</v>
      </c>
      <c r="H178" s="1">
        <v>-3.2666089999999998E-6</v>
      </c>
      <c r="I178">
        <v>367.6567</v>
      </c>
      <c r="J178">
        <v>-466.19</v>
      </c>
      <c r="K178">
        <v>1.1049290000000001</v>
      </c>
      <c r="L178">
        <v>367.34890000000001</v>
      </c>
      <c r="M178">
        <v>0.99967220000000001</v>
      </c>
      <c r="N178">
        <v>0</v>
      </c>
      <c r="O178">
        <v>-2.199075E-2</v>
      </c>
      <c r="P178">
        <v>0.99573789999999995</v>
      </c>
      <c r="Q178">
        <v>3.1812149999999997E-2</v>
      </c>
      <c r="R178">
        <v>8.6569889999999997E-2</v>
      </c>
      <c r="S178">
        <v>3.0140989999999999</v>
      </c>
      <c r="T178">
        <v>-0.1483092</v>
      </c>
      <c r="U178">
        <v>4.1168209999999997E-2</v>
      </c>
      <c r="V178">
        <v>-0.10844330000000001</v>
      </c>
      <c r="W178">
        <v>4.4855619999999999E-2</v>
      </c>
      <c r="X178">
        <v>0.99309020000000003</v>
      </c>
      <c r="Y178">
        <v>-3.5574920000000003E-2</v>
      </c>
      <c r="Z178">
        <v>1.956087E-3</v>
      </c>
      <c r="AA178">
        <v>0.99936510000000001</v>
      </c>
      <c r="AB178">
        <v>9</v>
      </c>
      <c r="AC178">
        <v>22.406400000000001</v>
      </c>
      <c r="AD178">
        <v>-1.104932266609</v>
      </c>
      <c r="AE178">
        <v>0.30779999999998597</v>
      </c>
      <c r="AF178">
        <v>-0.79855988145366597</v>
      </c>
      <c r="AG178">
        <v>-1.104932266609</v>
      </c>
      <c r="AH178">
        <v>22.339895469451001</v>
      </c>
      <c r="AI178">
        <v>92.829740124531</v>
      </c>
      <c r="AJ178">
        <v>92.047218087527597</v>
      </c>
      <c r="AK178">
        <v>22.381454438531499</v>
      </c>
      <c r="AL178">
        <v>87.429099830608394</v>
      </c>
      <c r="AM178">
        <v>96.231883357556498</v>
      </c>
      <c r="AN178">
        <v>1.00000006064825</v>
      </c>
    </row>
    <row r="179" spans="1:40" x14ac:dyDescent="0.3">
      <c r="A179" t="str">
        <f>"20200111145919297"</f>
        <v>20200111145919297</v>
      </c>
      <c r="B179" t="str">
        <f>"1578725959285654"</f>
        <v>1578725959285654</v>
      </c>
      <c r="C179" t="s">
        <v>40</v>
      </c>
      <c r="D179">
        <v>3.7852350000000001</v>
      </c>
      <c r="E179">
        <v>0.5279026</v>
      </c>
      <c r="F179" t="s">
        <v>42</v>
      </c>
      <c r="G179">
        <v>-443.8057</v>
      </c>
      <c r="H179" s="1">
        <v>-3.2564470000000001E-6</v>
      </c>
      <c r="I179">
        <v>367.6551</v>
      </c>
      <c r="J179">
        <v>-466.14100000000002</v>
      </c>
      <c r="K179">
        <v>1.1049260000000001</v>
      </c>
      <c r="L179">
        <v>367.34769999999997</v>
      </c>
      <c r="M179">
        <v>0.99967079999999997</v>
      </c>
      <c r="N179">
        <v>0</v>
      </c>
      <c r="O179">
        <v>-2.2050589999999998E-2</v>
      </c>
      <c r="P179">
        <v>0.99573630000000002</v>
      </c>
      <c r="Q179">
        <v>3.1736849999999997E-2</v>
      </c>
      <c r="R179">
        <v>8.6614849999999993E-2</v>
      </c>
      <c r="S179">
        <v>3.014008</v>
      </c>
      <c r="T179">
        <v>-0.1487773</v>
      </c>
      <c r="U179">
        <v>4.1229250000000002E-2</v>
      </c>
      <c r="V179">
        <v>-0.1085478</v>
      </c>
      <c r="W179">
        <v>4.4779409999999999E-2</v>
      </c>
      <c r="X179">
        <v>0.99308220000000003</v>
      </c>
      <c r="Y179">
        <v>-3.5654779999999997E-2</v>
      </c>
      <c r="Z179">
        <v>1.967234E-3</v>
      </c>
      <c r="AA179">
        <v>0.99936219999999998</v>
      </c>
      <c r="AB179">
        <v>9</v>
      </c>
      <c r="AC179">
        <v>22.335299999999901</v>
      </c>
      <c r="AD179">
        <v>-1.1049292564469999</v>
      </c>
      <c r="AE179">
        <v>0.30740000000002898</v>
      </c>
      <c r="AF179">
        <v>-0.79792178824320203</v>
      </c>
      <c r="AG179">
        <v>-1.1049292564469999</v>
      </c>
      <c r="AH179">
        <v>22.268602043199099</v>
      </c>
      <c r="AI179">
        <v>92.8387683939917</v>
      </c>
      <c r="AJ179">
        <v>92.052127029367497</v>
      </c>
      <c r="AK179">
        <v>22.3102708365514</v>
      </c>
      <c r="AL179">
        <v>87.433470675975798</v>
      </c>
      <c r="AM179">
        <v>96.237891168236899</v>
      </c>
      <c r="AN179">
        <v>1.0000000382008101</v>
      </c>
    </row>
    <row r="180" spans="1:40" x14ac:dyDescent="0.3">
      <c r="A180" t="str">
        <f>"20200111145919316"</f>
        <v>20200111145919316</v>
      </c>
      <c r="B180" t="str">
        <f>"1578725959306151"</f>
        <v>1578725959306151</v>
      </c>
      <c r="C180" t="s">
        <v>40</v>
      </c>
      <c r="D180">
        <v>3.758902</v>
      </c>
      <c r="E180">
        <v>0.52782479999999998</v>
      </c>
      <c r="F180" t="s">
        <v>42</v>
      </c>
      <c r="G180">
        <v>-443.721</v>
      </c>
      <c r="H180" s="1">
        <v>-3.2963830000000001E-6</v>
      </c>
      <c r="I180">
        <v>367.65559999999999</v>
      </c>
      <c r="J180">
        <v>-466.0684</v>
      </c>
      <c r="K180">
        <v>1.1049180000000001</v>
      </c>
      <c r="L180">
        <v>367.346</v>
      </c>
      <c r="M180">
        <v>0.99966889999999997</v>
      </c>
      <c r="N180">
        <v>0</v>
      </c>
      <c r="O180">
        <v>-2.2139499999999999E-2</v>
      </c>
      <c r="P180">
        <v>0.9957201</v>
      </c>
      <c r="Q180">
        <v>3.0655180000000001E-2</v>
      </c>
      <c r="R180">
        <v>8.7186769999999997E-2</v>
      </c>
      <c r="S180">
        <v>3.0139469999999999</v>
      </c>
      <c r="T180">
        <v>-0.14853710000000001</v>
      </c>
      <c r="U180">
        <v>4.1381840000000003E-2</v>
      </c>
      <c r="V180">
        <v>-0.1092075</v>
      </c>
      <c r="W180">
        <v>4.3696609999999997E-2</v>
      </c>
      <c r="X180">
        <v>0.99305810000000005</v>
      </c>
      <c r="Y180">
        <v>-3.5794470000000002E-2</v>
      </c>
      <c r="Z180">
        <v>1.9719189999999999E-3</v>
      </c>
      <c r="AA180">
        <v>0.99935719999999995</v>
      </c>
      <c r="AB180">
        <v>9</v>
      </c>
      <c r="AC180">
        <v>22.3474</v>
      </c>
      <c r="AD180">
        <v>-1.104921296383</v>
      </c>
      <c r="AE180">
        <v>0.309599999999989</v>
      </c>
      <c r="AF180">
        <v>-0.80236581082469205</v>
      </c>
      <c r="AG180">
        <v>-1.104921296383</v>
      </c>
      <c r="AH180">
        <v>22.2806096994026</v>
      </c>
      <c r="AI180">
        <v>92.837202288241997</v>
      </c>
      <c r="AJ180">
        <v>92.062435346563404</v>
      </c>
      <c r="AK180">
        <v>22.322414980075401</v>
      </c>
      <c r="AL180">
        <v>87.495571323670902</v>
      </c>
      <c r="AM180">
        <v>96.275651508947405</v>
      </c>
      <c r="AN180">
        <v>1.0000000308786701</v>
      </c>
    </row>
    <row r="181" spans="1:40" x14ac:dyDescent="0.3">
      <c r="A181" t="str">
        <f>"20200111145919329"</f>
        <v>20200111145919329</v>
      </c>
      <c r="B181" t="str">
        <f>"1578725959325670"</f>
        <v>1578725959325670</v>
      </c>
      <c r="C181" t="s">
        <v>40</v>
      </c>
      <c r="D181">
        <v>3.9032460000000002</v>
      </c>
      <c r="E181">
        <v>0.54097259999999903</v>
      </c>
      <c r="F181" t="s">
        <v>42</v>
      </c>
      <c r="G181">
        <v>-444.01799999999997</v>
      </c>
      <c r="H181" s="1">
        <v>-3.1542630000000001E-6</v>
      </c>
      <c r="I181">
        <v>367.6653</v>
      </c>
      <c r="J181">
        <v>-466.01900000000001</v>
      </c>
      <c r="K181">
        <v>1.1049180000000001</v>
      </c>
      <c r="L181">
        <v>367.3449</v>
      </c>
      <c r="M181">
        <v>0.99966759999999999</v>
      </c>
      <c r="N181">
        <v>0</v>
      </c>
      <c r="O181">
        <v>-2.219981E-2</v>
      </c>
      <c r="P181">
        <v>0.99570530000000002</v>
      </c>
      <c r="Q181">
        <v>3.0222209999999999E-2</v>
      </c>
      <c r="R181">
        <v>8.7508429999999998E-2</v>
      </c>
      <c r="S181">
        <v>3.0137330000000002</v>
      </c>
      <c r="T181">
        <v>-0.15101500000000001</v>
      </c>
      <c r="U181">
        <v>4.3640140000000001E-2</v>
      </c>
      <c r="V181">
        <v>-0.1095884</v>
      </c>
      <c r="W181">
        <v>4.3262149999999999E-2</v>
      </c>
      <c r="X181">
        <v>0.99303509999999995</v>
      </c>
      <c r="Y181">
        <v>-3.6600960000000002E-2</v>
      </c>
      <c r="Z181">
        <v>2.02812E-3</v>
      </c>
      <c r="AA181">
        <v>0.99932790000000005</v>
      </c>
      <c r="AB181">
        <v>9</v>
      </c>
      <c r="AC181">
        <v>22.000999999999902</v>
      </c>
      <c r="AD181">
        <v>-1.104921154263</v>
      </c>
      <c r="AE181">
        <v>0.32040000000000601</v>
      </c>
      <c r="AF181">
        <v>-0.80674668288804396</v>
      </c>
      <c r="AG181">
        <v>-1.104921154263</v>
      </c>
      <c r="AH181">
        <v>21.933155727648501</v>
      </c>
      <c r="AI181">
        <v>92.881991704355897</v>
      </c>
      <c r="AJ181">
        <v>92.106507249664205</v>
      </c>
      <c r="AK181">
        <v>21.975782378353902</v>
      </c>
      <c r="AL181">
        <v>87.520487460218902</v>
      </c>
      <c r="AM181">
        <v>96.297509208127593</v>
      </c>
      <c r="AN181">
        <v>0.99999997043459499</v>
      </c>
    </row>
    <row r="182" spans="1:40" x14ac:dyDescent="0.3">
      <c r="A182" t="str">
        <f>"20200111145919341"</f>
        <v>20200111145919341</v>
      </c>
      <c r="B182" t="str">
        <f>"1578725959336405"</f>
        <v>1578725959336405</v>
      </c>
      <c r="C182" t="s">
        <v>40</v>
      </c>
      <c r="D182">
        <v>3.8247550000000001</v>
      </c>
      <c r="E182">
        <v>0.54236319999999905</v>
      </c>
      <c r="F182" t="s">
        <v>43</v>
      </c>
      <c r="G182">
        <v>-427.49650000000003</v>
      </c>
      <c r="H182">
        <v>-0.05</v>
      </c>
      <c r="I182">
        <v>366.57209999999998</v>
      </c>
      <c r="J182">
        <v>-465.97059999999999</v>
      </c>
      <c r="K182">
        <v>1.1049180000000001</v>
      </c>
      <c r="L182">
        <v>367.34370000000001</v>
      </c>
      <c r="M182">
        <v>0.99966619999999995</v>
      </c>
      <c r="N182">
        <v>0</v>
      </c>
      <c r="O182">
        <v>-2.225856E-2</v>
      </c>
      <c r="P182">
        <v>0.99569609999999997</v>
      </c>
      <c r="Q182">
        <v>2.9590350000000001E-2</v>
      </c>
      <c r="R182">
        <v>8.7829420000000005E-2</v>
      </c>
      <c r="S182">
        <v>3.0210270000000001</v>
      </c>
      <c r="T182">
        <v>-9.0571399999999996E-2</v>
      </c>
      <c r="U182">
        <v>-6.0607910000000001E-2</v>
      </c>
      <c r="V182">
        <v>-0.1099683</v>
      </c>
      <c r="W182">
        <v>4.2629500000000001E-2</v>
      </c>
      <c r="X182">
        <v>0.99302049999999997</v>
      </c>
      <c r="Y182">
        <v>-2.1920009999999998E-3</v>
      </c>
      <c r="Z182">
        <v>6.9992899999999996E-4</v>
      </c>
      <c r="AA182">
        <v>0.99999740000000004</v>
      </c>
      <c r="AB182">
        <v>9</v>
      </c>
      <c r="AC182">
        <v>38.4740999999999</v>
      </c>
      <c r="AD182">
        <v>-1.1549179999999999</v>
      </c>
      <c r="AE182">
        <v>-0.77160000000003404</v>
      </c>
      <c r="AF182">
        <v>-8.4966408196065199E-2</v>
      </c>
      <c r="AG182">
        <v>-1.1549179999999999</v>
      </c>
      <c r="AH182">
        <v>38.447112334050402</v>
      </c>
      <c r="AI182">
        <v>91.720594057383295</v>
      </c>
      <c r="AJ182">
        <v>90.126620918170502</v>
      </c>
      <c r="AK182">
        <v>38.464548635130697</v>
      </c>
      <c r="AL182">
        <v>87.556769200413299</v>
      </c>
      <c r="AM182">
        <v>96.319256056674604</v>
      </c>
      <c r="AN182">
        <v>1.00000000734769</v>
      </c>
    </row>
    <row r="183" spans="1:40" x14ac:dyDescent="0.3">
      <c r="A183" t="str">
        <f>"20200111145919353"</f>
        <v>20200111145919353</v>
      </c>
      <c r="B183" t="str">
        <f>"1578725959346166"</f>
        <v>1578725959346166</v>
      </c>
      <c r="C183" t="s">
        <v>40</v>
      </c>
      <c r="D183">
        <v>3.8028770000000001</v>
      </c>
      <c r="E183">
        <v>0.54225299999999999</v>
      </c>
      <c r="F183" t="s">
        <v>43</v>
      </c>
      <c r="G183">
        <v>-435.59699999999998</v>
      </c>
      <c r="H183">
        <v>-0.05</v>
      </c>
      <c r="I183">
        <v>366.63619999999997</v>
      </c>
      <c r="J183">
        <v>-465.9205</v>
      </c>
      <c r="K183">
        <v>1.104919</v>
      </c>
      <c r="L183">
        <v>367.34249999999997</v>
      </c>
      <c r="M183">
        <v>0.99966489999999997</v>
      </c>
      <c r="N183">
        <v>0</v>
      </c>
      <c r="O183">
        <v>-2.2318620000000001E-2</v>
      </c>
      <c r="P183">
        <v>0.99568999999999996</v>
      </c>
      <c r="Q183">
        <v>2.9290099999999999E-2</v>
      </c>
      <c r="R183">
        <v>8.7996899999999906E-2</v>
      </c>
      <c r="S183">
        <v>3.022583</v>
      </c>
      <c r="T183">
        <v>-0.1149299</v>
      </c>
      <c r="U183">
        <v>-7.0404049999999996E-2</v>
      </c>
      <c r="V183">
        <v>-0.1101955</v>
      </c>
      <c r="W183">
        <v>4.2328409999999997E-2</v>
      </c>
      <c r="X183">
        <v>0.99300820000000001</v>
      </c>
      <c r="Y183">
        <v>9.8147709999999995E-4</v>
      </c>
      <c r="Z183">
        <v>8.2953080000000004E-4</v>
      </c>
      <c r="AA183">
        <v>0.99999919999999998</v>
      </c>
      <c r="AB183">
        <v>9</v>
      </c>
      <c r="AC183">
        <v>30.323499999999999</v>
      </c>
      <c r="AD183">
        <v>-1.154919</v>
      </c>
      <c r="AE183">
        <v>-0.70629999999999804</v>
      </c>
      <c r="AF183">
        <v>2.9244764486889702E-2</v>
      </c>
      <c r="AG183">
        <v>-1.154919</v>
      </c>
      <c r="AH183">
        <v>30.287799046827001</v>
      </c>
      <c r="AI183">
        <v>92.183714631541093</v>
      </c>
      <c r="AJ183">
        <v>89.944677358211607</v>
      </c>
      <c r="AK183">
        <v>30.309824550032999</v>
      </c>
      <c r="AL183">
        <v>87.574035988134796</v>
      </c>
      <c r="AM183">
        <v>96.332283808492406</v>
      </c>
      <c r="AN183">
        <v>1.0000000138903</v>
      </c>
    </row>
    <row r="184" spans="1:40" x14ac:dyDescent="0.3">
      <c r="A184" t="str">
        <f>"20200111145919372"</f>
        <v>20200111145919372</v>
      </c>
      <c r="B184" t="str">
        <f>"1578725959365686"</f>
        <v>1578725959365686</v>
      </c>
      <c r="C184" t="s">
        <v>40</v>
      </c>
      <c r="D184">
        <v>3.733549</v>
      </c>
      <c r="E184">
        <v>0.54210380000000002</v>
      </c>
      <c r="F184" t="s">
        <v>43</v>
      </c>
      <c r="G184">
        <v>-437.72770000000003</v>
      </c>
      <c r="H184">
        <v>-0.05</v>
      </c>
      <c r="I184">
        <v>366.69920000000002</v>
      </c>
      <c r="J184">
        <v>-465.85300000000001</v>
      </c>
      <c r="K184">
        <v>1.1049169999999999</v>
      </c>
      <c r="L184">
        <v>367.34089999999998</v>
      </c>
      <c r="M184">
        <v>0.99966310000000003</v>
      </c>
      <c r="N184">
        <v>0</v>
      </c>
      <c r="O184">
        <v>-2.239762E-2</v>
      </c>
      <c r="P184">
        <v>0.99566189999999999</v>
      </c>
      <c r="Q184">
        <v>2.8903169999999999E-2</v>
      </c>
      <c r="R184">
        <v>8.8443300000000002E-2</v>
      </c>
      <c r="S184">
        <v>3.0227360000000001</v>
      </c>
      <c r="T184">
        <v>-0.1238267</v>
      </c>
      <c r="U184">
        <v>-6.8969730000000007E-2</v>
      </c>
      <c r="V184">
        <v>-0.1107196</v>
      </c>
      <c r="W184">
        <v>4.1939659999999997E-2</v>
      </c>
      <c r="X184">
        <v>0.99296640000000003</v>
      </c>
      <c r="Y184">
        <v>4.30025E-4</v>
      </c>
      <c r="Z184">
        <v>9.0817700000000003E-4</v>
      </c>
      <c r="AA184">
        <v>0.99999950000000004</v>
      </c>
      <c r="AB184">
        <v>9</v>
      </c>
      <c r="AC184">
        <v>28.1252999999999</v>
      </c>
      <c r="AD184">
        <v>-1.154917</v>
      </c>
      <c r="AE184">
        <v>-0.64169999999995697</v>
      </c>
      <c r="AF184">
        <v>1.1525598320777399E-2</v>
      </c>
      <c r="AG184">
        <v>-1.154917</v>
      </c>
      <c r="AH184">
        <v>28.085284549996899</v>
      </c>
      <c r="AI184">
        <v>92.354777748602004</v>
      </c>
      <c r="AJ184">
        <v>89.976487042461699</v>
      </c>
      <c r="AK184">
        <v>28.1090230063338</v>
      </c>
      <c r="AL184">
        <v>87.596329530044102</v>
      </c>
      <c r="AM184">
        <v>96.362419987578804</v>
      </c>
      <c r="AN184">
        <v>1.0000000182170099</v>
      </c>
    </row>
    <row r="185" spans="1:40" x14ac:dyDescent="0.3">
      <c r="A185" t="str">
        <f>"20200111145919385"</f>
        <v>20200111145919385</v>
      </c>
      <c r="B185" t="str">
        <f>"1578725959375544"</f>
        <v>1578725959375544</v>
      </c>
      <c r="C185" t="s">
        <v>40</v>
      </c>
      <c r="D185">
        <v>3.8481610000000002</v>
      </c>
      <c r="E185">
        <v>0.54232669999999905</v>
      </c>
      <c r="F185" t="s">
        <v>42</v>
      </c>
      <c r="G185">
        <v>-439.99650000000003</v>
      </c>
      <c r="H185" s="1">
        <v>-5.2129870000000002E-6</v>
      </c>
      <c r="I185">
        <v>366.77629999999999</v>
      </c>
      <c r="J185">
        <v>-465.8032</v>
      </c>
      <c r="K185">
        <v>1.1049209999999901</v>
      </c>
      <c r="L185">
        <v>367.33980000000003</v>
      </c>
      <c r="M185">
        <v>0.99966189999999999</v>
      </c>
      <c r="N185">
        <v>0</v>
      </c>
      <c r="O185">
        <v>-2.2453730000000002E-2</v>
      </c>
      <c r="P185">
        <v>0.99566460000000001</v>
      </c>
      <c r="Q185">
        <v>2.885422E-2</v>
      </c>
      <c r="R185">
        <v>8.8428549999999995E-2</v>
      </c>
      <c r="S185">
        <v>3.0227050000000002</v>
      </c>
      <c r="T185">
        <v>-0.12916849999999999</v>
      </c>
      <c r="U185">
        <v>-6.6009520000000002E-2</v>
      </c>
      <c r="V185">
        <v>-0.1107606</v>
      </c>
      <c r="W185">
        <v>4.1888679999999998E-2</v>
      </c>
      <c r="X185">
        <v>0.99296399999999996</v>
      </c>
      <c r="Y185">
        <v>-6.0209E-4</v>
      </c>
      <c r="Z185">
        <v>9.7177799999999996E-4</v>
      </c>
      <c r="AA185">
        <v>0.99999930000000004</v>
      </c>
      <c r="AB185">
        <v>9</v>
      </c>
      <c r="AC185">
        <v>25.8066999999999</v>
      </c>
      <c r="AD185">
        <v>-1.1049262129869999</v>
      </c>
      <c r="AE185">
        <v>-0.56350000000003297</v>
      </c>
      <c r="AF185">
        <v>-1.6119046704037999E-2</v>
      </c>
      <c r="AG185">
        <v>-1.1049262129869999</v>
      </c>
      <c r="AH185">
        <v>25.765636184879401</v>
      </c>
      <c r="AI185">
        <v>92.455550904417194</v>
      </c>
      <c r="AJ185">
        <v>90.0358443788774</v>
      </c>
      <c r="AK185">
        <v>25.7893220106962</v>
      </c>
      <c r="AL185">
        <v>87.599253087073194</v>
      </c>
      <c r="AM185">
        <v>96.364771948545297</v>
      </c>
      <c r="AN185">
        <v>1.0000000386602499</v>
      </c>
    </row>
    <row r="186" spans="1:40" x14ac:dyDescent="0.3">
      <c r="A186" t="str">
        <f>"20200111145919397"</f>
        <v>20200111145919397</v>
      </c>
      <c r="B186" t="str">
        <f>"1578725959386279"</f>
        <v>1578725959386279</v>
      </c>
      <c r="C186" t="s">
        <v>40</v>
      </c>
      <c r="D186">
        <v>3.6952250000000002</v>
      </c>
      <c r="E186">
        <v>0.54266409999999998</v>
      </c>
      <c r="F186" t="s">
        <v>43</v>
      </c>
      <c r="G186">
        <v>-437.63920000000002</v>
      </c>
      <c r="H186">
        <v>-0.05</v>
      </c>
      <c r="I186">
        <v>366.70679999999999</v>
      </c>
      <c r="J186">
        <v>-465.75290000000001</v>
      </c>
      <c r="K186">
        <v>1.104924</v>
      </c>
      <c r="L186">
        <v>367.33859999999999</v>
      </c>
      <c r="M186">
        <v>0.99966069999999996</v>
      </c>
      <c r="N186">
        <v>0</v>
      </c>
      <c r="O186">
        <v>-2.2506959999999999E-2</v>
      </c>
      <c r="P186">
        <v>0.99567039999999996</v>
      </c>
      <c r="Q186">
        <v>2.8739629999999999E-2</v>
      </c>
      <c r="R186">
        <v>8.8400790000000007E-2</v>
      </c>
      <c r="S186">
        <v>3.022675</v>
      </c>
      <c r="T186">
        <v>-0.1239508</v>
      </c>
      <c r="U186">
        <v>-6.7932129999999993E-2</v>
      </c>
      <c r="V186">
        <v>-0.1107867</v>
      </c>
      <c r="W186">
        <v>4.1772900000000002E-2</v>
      </c>
      <c r="X186">
        <v>0.99296589999999996</v>
      </c>
      <c r="Y186" s="1">
        <v>-2.1482059999999999E-5</v>
      </c>
      <c r="Z186">
        <v>9.22842E-4</v>
      </c>
      <c r="AA186">
        <v>0.99999959999999999</v>
      </c>
      <c r="AB186">
        <v>9</v>
      </c>
      <c r="AC186">
        <v>28.113699999999898</v>
      </c>
      <c r="AD186">
        <v>-1.1549240000000001</v>
      </c>
      <c r="AE186">
        <v>-0.63179999999999803</v>
      </c>
      <c r="AF186">
        <v>-1.16642406278388E-3</v>
      </c>
      <c r="AG186">
        <v>-1.1549240000000001</v>
      </c>
      <c r="AH186">
        <v>28.0734453381489</v>
      </c>
      <c r="AI186">
        <v>92.3557841519211</v>
      </c>
      <c r="AJ186">
        <v>90.0023805833262</v>
      </c>
      <c r="AK186">
        <v>28.097191745090001</v>
      </c>
      <c r="AL186">
        <v>87.605892447148506</v>
      </c>
      <c r="AM186">
        <v>96.366247370701501</v>
      </c>
      <c r="AN186">
        <v>0.99999997331705404</v>
      </c>
    </row>
    <row r="187" spans="1:40" x14ac:dyDescent="0.3">
      <c r="A187" t="str">
        <f>"20200111145919416"</f>
        <v>20200111145919416</v>
      </c>
      <c r="B187" t="str">
        <f>"1578725959405799"</f>
        <v>1578725959405799</v>
      </c>
      <c r="C187" t="s">
        <v>40</v>
      </c>
      <c r="D187">
        <v>3.8220700000000001</v>
      </c>
      <c r="E187">
        <v>0.54308400000000001</v>
      </c>
      <c r="F187" t="s">
        <v>43</v>
      </c>
      <c r="G187">
        <v>-436.77109999999999</v>
      </c>
      <c r="H187">
        <v>-0.05</v>
      </c>
      <c r="I187">
        <v>366.65890000000002</v>
      </c>
      <c r="J187">
        <v>-465.68389999999999</v>
      </c>
      <c r="K187">
        <v>1.104932</v>
      </c>
      <c r="L187">
        <v>367.33690000000001</v>
      </c>
      <c r="M187">
        <v>0.99965919999999997</v>
      </c>
      <c r="N187">
        <v>0</v>
      </c>
      <c r="O187">
        <v>-2.25729E-2</v>
      </c>
      <c r="P187">
        <v>0.99568780000000001</v>
      </c>
      <c r="Q187">
        <v>2.8737909999999998E-2</v>
      </c>
      <c r="R187">
        <v>8.8202550000000005E-2</v>
      </c>
      <c r="S187">
        <v>3.0227970000000002</v>
      </c>
      <c r="T187">
        <v>-0.1204582</v>
      </c>
      <c r="U187">
        <v>-7.0892330000000003E-2</v>
      </c>
      <c r="V187">
        <v>-0.11065460000000001</v>
      </c>
      <c r="W187">
        <v>4.1768609999999998E-2</v>
      </c>
      <c r="X187">
        <v>0.9929808</v>
      </c>
      <c r="Y187">
        <v>8.8870899999999903E-4</v>
      </c>
      <c r="Z187">
        <v>8.8131069999999997E-4</v>
      </c>
      <c r="AA187">
        <v>0.99999919999999998</v>
      </c>
      <c r="AB187">
        <v>9</v>
      </c>
      <c r="AC187">
        <v>28.912800000000001</v>
      </c>
      <c r="AD187">
        <v>-1.1549320000000001</v>
      </c>
      <c r="AE187">
        <v>-0.67799999999999705</v>
      </c>
      <c r="AF187">
        <v>2.50853497319183E-2</v>
      </c>
      <c r="AG187">
        <v>-1.1549320000000001</v>
      </c>
      <c r="AH187">
        <v>28.874689448517099</v>
      </c>
      <c r="AI187">
        <v>92.290499072545003</v>
      </c>
      <c r="AJ187">
        <v>89.950223384801603</v>
      </c>
      <c r="AK187">
        <v>28.897788634213899</v>
      </c>
      <c r="AL187">
        <v>87.606138436593</v>
      </c>
      <c r="AM187">
        <v>96.358623956527595</v>
      </c>
      <c r="AN187">
        <v>0.99999996322556495</v>
      </c>
    </row>
    <row r="188" spans="1:40" x14ac:dyDescent="0.3">
      <c r="A188" t="str">
        <f>"20200111145919428"</f>
        <v>20200111145919428</v>
      </c>
      <c r="B188" t="str">
        <f>"1578725959415559"</f>
        <v>1578725959415559</v>
      </c>
      <c r="C188" t="s">
        <v>40</v>
      </c>
      <c r="D188">
        <v>3.6383830000000001</v>
      </c>
      <c r="E188">
        <v>0.54269489999999998</v>
      </c>
      <c r="F188" t="s">
        <v>43</v>
      </c>
      <c r="G188">
        <v>-438.21420000000001</v>
      </c>
      <c r="H188">
        <v>-0.05</v>
      </c>
      <c r="I188">
        <v>366.6567</v>
      </c>
      <c r="J188">
        <v>-465.63749999999999</v>
      </c>
      <c r="K188">
        <v>1.1049370000000001</v>
      </c>
      <c r="L188">
        <v>367.33589999999998</v>
      </c>
      <c r="M188">
        <v>0.99965850000000001</v>
      </c>
      <c r="N188">
        <v>0</v>
      </c>
      <c r="O188">
        <v>-2.2610950000000001E-2</v>
      </c>
      <c r="P188">
        <v>0.9957182</v>
      </c>
      <c r="Q188">
        <v>2.8595389999999998E-2</v>
      </c>
      <c r="R188">
        <v>8.7907029999999997E-2</v>
      </c>
      <c r="S188">
        <v>3.023285</v>
      </c>
      <c r="T188">
        <v>-0.12711059999999999</v>
      </c>
      <c r="U188">
        <v>-7.4859620000000002E-2</v>
      </c>
      <c r="V188">
        <v>-0.1103986</v>
      </c>
      <c r="W188">
        <v>4.1623790000000001E-2</v>
      </c>
      <c r="X188">
        <v>0.99301539999999999</v>
      </c>
      <c r="Y188">
        <v>2.1591940000000001E-3</v>
      </c>
      <c r="Z188">
        <v>9.0467779999999995E-4</v>
      </c>
      <c r="AA188">
        <v>0.99999729999999998</v>
      </c>
      <c r="AB188">
        <v>9</v>
      </c>
      <c r="AC188">
        <v>27.423299999999902</v>
      </c>
      <c r="AD188">
        <v>-1.1549370000000001</v>
      </c>
      <c r="AE188">
        <v>-0.67919999999998004</v>
      </c>
      <c r="AF188">
        <v>5.8802010804893098E-2</v>
      </c>
      <c r="AG188">
        <v>-1.1549370000000001</v>
      </c>
      <c r="AH188">
        <v>27.383107118872498</v>
      </c>
      <c r="AI188">
        <v>92.415126471526904</v>
      </c>
      <c r="AJ188">
        <v>89.876964222767299</v>
      </c>
      <c r="AK188">
        <v>27.407515258302599</v>
      </c>
      <c r="AL188">
        <v>87.6144432925188</v>
      </c>
      <c r="AM188">
        <v>96.343814078166005</v>
      </c>
      <c r="AN188">
        <v>0.99999998770654097</v>
      </c>
    </row>
    <row r="189" spans="1:40" x14ac:dyDescent="0.3">
      <c r="A189" t="str">
        <f>"20200111145919441"</f>
        <v>20200111145919441</v>
      </c>
      <c r="B189" t="str">
        <f>"1578725959436055"</f>
        <v>1578725959436055</v>
      </c>
      <c r="C189" t="s">
        <v>40</v>
      </c>
      <c r="D189">
        <v>3.6430189999999998</v>
      </c>
      <c r="E189">
        <v>0.54281899999999905</v>
      </c>
      <c r="F189" t="s">
        <v>43</v>
      </c>
      <c r="G189">
        <v>-438.55790000000002</v>
      </c>
      <c r="H189">
        <v>-0.05</v>
      </c>
      <c r="I189">
        <v>366.68029999999999</v>
      </c>
      <c r="J189">
        <v>-465.5883</v>
      </c>
      <c r="K189">
        <v>1.104943</v>
      </c>
      <c r="L189">
        <v>367.3347</v>
      </c>
      <c r="M189">
        <v>0.99965760000000004</v>
      </c>
      <c r="N189">
        <v>0</v>
      </c>
      <c r="O189">
        <v>-2.2647319999999999E-2</v>
      </c>
      <c r="P189">
        <v>0.99580060000000004</v>
      </c>
      <c r="Q189">
        <v>2.8414120000000001E-2</v>
      </c>
      <c r="R189">
        <v>8.7027339999999995E-2</v>
      </c>
      <c r="S189">
        <v>3.0230709999999998</v>
      </c>
      <c r="T189">
        <v>-0.12893299999999999</v>
      </c>
      <c r="U189">
        <v>-7.318115E-2</v>
      </c>
      <c r="V189">
        <v>-0.1095575</v>
      </c>
      <c r="W189">
        <v>4.144084E-2</v>
      </c>
      <c r="X189">
        <v>0.9931162</v>
      </c>
      <c r="Y189">
        <v>1.57077E-3</v>
      </c>
      <c r="Z189">
        <v>9.3179920000000004E-4</v>
      </c>
      <c r="AA189">
        <v>0.99999830000000001</v>
      </c>
      <c r="AB189">
        <v>9</v>
      </c>
      <c r="AC189">
        <v>27.030399999999901</v>
      </c>
      <c r="AD189">
        <v>-1.1549430000000001</v>
      </c>
      <c r="AE189">
        <v>-0.65440000000000897</v>
      </c>
      <c r="AF189">
        <v>4.1936906609453997E-2</v>
      </c>
      <c r="AG189">
        <v>-1.1549430000000001</v>
      </c>
      <c r="AH189">
        <v>26.989044106673699</v>
      </c>
      <c r="AI189">
        <v>92.450362103328601</v>
      </c>
      <c r="AJ189">
        <v>89.910971066213193</v>
      </c>
      <c r="AK189">
        <v>27.013777111491901</v>
      </c>
      <c r="AL189">
        <v>87.624934608213806</v>
      </c>
      <c r="AM189">
        <v>96.295237800308499</v>
      </c>
      <c r="AN189">
        <v>0.999999987864297</v>
      </c>
    </row>
    <row r="190" spans="1:40" x14ac:dyDescent="0.3">
      <c r="A190" t="str">
        <f>"20200111145919454"</f>
        <v>20200111145919454</v>
      </c>
      <c r="B190" t="str">
        <f>"1578725959445815"</f>
        <v>1578725959445815</v>
      </c>
      <c r="C190" t="s">
        <v>40</v>
      </c>
      <c r="D190">
        <v>3.8044389999999999</v>
      </c>
      <c r="E190">
        <v>0.54332329999999995</v>
      </c>
      <c r="F190" t="s">
        <v>42</v>
      </c>
      <c r="G190">
        <v>-440.81880000000001</v>
      </c>
      <c r="H190" s="1">
        <v>-4.8364680000000002E-6</v>
      </c>
      <c r="I190">
        <v>366.70760000000001</v>
      </c>
      <c r="J190">
        <v>-465.53480000000002</v>
      </c>
      <c r="K190">
        <v>1.104949</v>
      </c>
      <c r="L190">
        <v>367.33339999999998</v>
      </c>
      <c r="M190">
        <v>0.99965700000000002</v>
      </c>
      <c r="N190">
        <v>0</v>
      </c>
      <c r="O190">
        <v>-2.2675790000000001E-2</v>
      </c>
      <c r="P190">
        <v>0.99588339999999997</v>
      </c>
      <c r="Q190">
        <v>2.8244410000000001E-2</v>
      </c>
      <c r="R190">
        <v>8.61315E-2</v>
      </c>
      <c r="S190">
        <v>3.0231629999999998</v>
      </c>
      <c r="T190">
        <v>-0.1348606</v>
      </c>
      <c r="U190">
        <v>-7.6538090000000003E-2</v>
      </c>
      <c r="V190">
        <v>-0.1086926</v>
      </c>
      <c r="W190">
        <v>4.126933E-2</v>
      </c>
      <c r="X190">
        <v>0.99321839999999995</v>
      </c>
      <c r="Y190">
        <v>2.652031E-3</v>
      </c>
      <c r="Z190">
        <v>9.5171850000000001E-4</v>
      </c>
      <c r="AA190">
        <v>0.999996</v>
      </c>
      <c r="AB190">
        <v>9</v>
      </c>
      <c r="AC190">
        <v>24.716000000000001</v>
      </c>
      <c r="AD190">
        <v>-1.1049538364680001</v>
      </c>
      <c r="AE190">
        <v>-0.62579999999996905</v>
      </c>
      <c r="AF190">
        <v>6.5006276734346502E-2</v>
      </c>
      <c r="AG190">
        <v>-1.1049538364680001</v>
      </c>
      <c r="AH190">
        <v>24.6745517942955</v>
      </c>
      <c r="AI190">
        <v>92.564046735548501</v>
      </c>
      <c r="AJ190">
        <v>89.849051901222893</v>
      </c>
      <c r="AK190">
        <v>24.699365478613299</v>
      </c>
      <c r="AL190">
        <v>87.634769884417096</v>
      </c>
      <c r="AM190">
        <v>96.245296862397197</v>
      </c>
      <c r="AN190">
        <v>1.00000001449598</v>
      </c>
    </row>
    <row r="191" spans="1:40" x14ac:dyDescent="0.3">
      <c r="A191" t="str">
        <f>"20200111145919473"</f>
        <v>20200111145919473</v>
      </c>
      <c r="B191" t="str">
        <f>"1578725959466311"</f>
        <v>1578725959466311</v>
      </c>
      <c r="C191" t="s">
        <v>40</v>
      </c>
      <c r="D191">
        <v>3.6544850000000002</v>
      </c>
      <c r="E191">
        <v>0.54338199999999903</v>
      </c>
      <c r="F191" t="s">
        <v>42</v>
      </c>
      <c r="G191">
        <v>-441.36649999999997</v>
      </c>
      <c r="H191" s="1">
        <v>-4.584681E-6</v>
      </c>
      <c r="I191">
        <v>366.66719999999998</v>
      </c>
      <c r="J191">
        <v>-465.46789999999999</v>
      </c>
      <c r="K191">
        <v>1.1049599999999999</v>
      </c>
      <c r="L191">
        <v>367.33190000000002</v>
      </c>
      <c r="M191">
        <v>0.9996564</v>
      </c>
      <c r="N191">
        <v>0</v>
      </c>
      <c r="O191">
        <v>-2.2700410000000001E-2</v>
      </c>
      <c r="P191">
        <v>0.99605630000000001</v>
      </c>
      <c r="Q191">
        <v>2.7703789999999999E-2</v>
      </c>
      <c r="R191">
        <v>8.4287199999999896E-2</v>
      </c>
      <c r="S191">
        <v>3.0235289999999999</v>
      </c>
      <c r="T191">
        <v>-0.13823350000000001</v>
      </c>
      <c r="U191">
        <v>-8.3343509999999996E-2</v>
      </c>
      <c r="V191">
        <v>-0.106879</v>
      </c>
      <c r="W191">
        <v>4.0727140000000002E-2</v>
      </c>
      <c r="X191">
        <v>0.99343749999999997</v>
      </c>
      <c r="Y191">
        <v>4.8722770000000004E-3</v>
      </c>
      <c r="Z191">
        <v>9.2574970000000004E-4</v>
      </c>
      <c r="AA191">
        <v>0.99998770000000003</v>
      </c>
      <c r="AB191">
        <v>9</v>
      </c>
      <c r="AC191">
        <v>24.101400000000002</v>
      </c>
      <c r="AD191">
        <v>-1.1049645846809999</v>
      </c>
      <c r="AE191">
        <v>-0.66470000000003804</v>
      </c>
      <c r="AF191">
        <v>0.117124032492746</v>
      </c>
      <c r="AG191">
        <v>-1.1049645846809999</v>
      </c>
      <c r="AH191">
        <v>24.059745803550602</v>
      </c>
      <c r="AI191">
        <v>92.629479326822604</v>
      </c>
      <c r="AJ191">
        <v>89.721083514888804</v>
      </c>
      <c r="AK191">
        <v>24.0853904453271</v>
      </c>
      <c r="AL191">
        <v>87.665861058223996</v>
      </c>
      <c r="AM191">
        <v>96.140549314780401</v>
      </c>
      <c r="AN191">
        <v>0.99999994348991295</v>
      </c>
    </row>
    <row r="192" spans="1:40" x14ac:dyDescent="0.3">
      <c r="A192" t="str">
        <f>"20200111145919485"</f>
        <v>20200111145919485</v>
      </c>
      <c r="B192" t="str">
        <f>"1578725959476072"</f>
        <v>1578725959476072</v>
      </c>
      <c r="C192" t="s">
        <v>40</v>
      </c>
      <c r="D192">
        <v>3.6800310000000001</v>
      </c>
      <c r="E192">
        <v>0.54324329999999998</v>
      </c>
      <c r="F192" t="s">
        <v>42</v>
      </c>
      <c r="G192">
        <v>-441.92660000000001</v>
      </c>
      <c r="H192" s="1">
        <v>-4.3255859999999998E-6</v>
      </c>
      <c r="I192">
        <v>366.6354</v>
      </c>
      <c r="J192">
        <v>-465.42059999999998</v>
      </c>
      <c r="K192">
        <v>1.1049659999999999</v>
      </c>
      <c r="L192">
        <v>367.33080000000001</v>
      </c>
      <c r="M192">
        <v>0.99965619999999999</v>
      </c>
      <c r="N192">
        <v>0</v>
      </c>
      <c r="O192">
        <v>-2.2710660000000001E-2</v>
      </c>
      <c r="P192">
        <v>0.99613669999999999</v>
      </c>
      <c r="Q192">
        <v>2.7533829999999999E-2</v>
      </c>
      <c r="R192">
        <v>8.3388909999999997E-2</v>
      </c>
      <c r="S192">
        <v>3.0233759999999998</v>
      </c>
      <c r="T192">
        <v>-0.14190920000000001</v>
      </c>
      <c r="U192">
        <v>-8.9447020000000002E-2</v>
      </c>
      <c r="V192">
        <v>-0.1059934</v>
      </c>
      <c r="W192">
        <v>4.0555620000000001E-2</v>
      </c>
      <c r="X192">
        <v>0.99353950000000002</v>
      </c>
      <c r="Y192">
        <v>6.8793070000000003E-3</v>
      </c>
      <c r="Z192">
        <v>9.0376810000000003E-4</v>
      </c>
      <c r="AA192">
        <v>0.99997590000000003</v>
      </c>
      <c r="AB192">
        <v>8</v>
      </c>
      <c r="AC192">
        <v>23.4939999999999</v>
      </c>
      <c r="AD192">
        <v>-1.1049703255859999</v>
      </c>
      <c r="AE192">
        <v>-0.69540000000000601</v>
      </c>
      <c r="AF192">
        <v>0.16125416714763799</v>
      </c>
      <c r="AG192">
        <v>-1.1049703255859999</v>
      </c>
      <c r="AH192">
        <v>23.451903267299599</v>
      </c>
      <c r="AI192">
        <v>92.697514817306796</v>
      </c>
      <c r="AJ192">
        <v>89.606043164185905</v>
      </c>
      <c r="AK192">
        <v>23.478473740548498</v>
      </c>
      <c r="AL192">
        <v>87.675696801467197</v>
      </c>
      <c r="AM192">
        <v>96.089432103234898</v>
      </c>
      <c r="AN192">
        <v>1.00000004860869</v>
      </c>
    </row>
    <row r="193" spans="1:40" x14ac:dyDescent="0.3">
      <c r="A193" t="str">
        <f>"20200111145919497"</f>
        <v>20200111145919497</v>
      </c>
      <c r="B193" t="str">
        <f>"1578725959485831"</f>
        <v>1578725959485831</v>
      </c>
      <c r="C193" t="s">
        <v>40</v>
      </c>
      <c r="D193">
        <v>3.690477</v>
      </c>
      <c r="E193">
        <v>0.54300999999999999</v>
      </c>
      <c r="F193" t="s">
        <v>42</v>
      </c>
      <c r="G193">
        <v>-442.0231</v>
      </c>
      <c r="H193" s="1">
        <v>-4.281647E-6</v>
      </c>
      <c r="I193">
        <v>366.62610000000001</v>
      </c>
      <c r="J193">
        <v>-465.37270000000001</v>
      </c>
      <c r="K193">
        <v>1.1049719999999901</v>
      </c>
      <c r="L193">
        <v>367.3297</v>
      </c>
      <c r="M193">
        <v>0.99965630000000005</v>
      </c>
      <c r="N193">
        <v>0</v>
      </c>
      <c r="O193">
        <v>-2.2715329999999999E-2</v>
      </c>
      <c r="P193">
        <v>0.99617469999999997</v>
      </c>
      <c r="Q193">
        <v>2.7267570000000001E-2</v>
      </c>
      <c r="R193">
        <v>8.3022449999999998E-2</v>
      </c>
      <c r="S193">
        <v>3.0232239999999999</v>
      </c>
      <c r="T193">
        <v>-0.1427745</v>
      </c>
      <c r="U193">
        <v>-9.1064450000000005E-2</v>
      </c>
      <c r="V193">
        <v>-0.105633</v>
      </c>
      <c r="W193">
        <v>4.0287379999999998E-2</v>
      </c>
      <c r="X193">
        <v>0.99358869999999999</v>
      </c>
      <c r="Y193">
        <v>7.410275E-3</v>
      </c>
      <c r="Z193">
        <v>8.9700130000000002E-4</v>
      </c>
      <c r="AA193">
        <v>0.99997219999999998</v>
      </c>
      <c r="AB193">
        <v>8</v>
      </c>
      <c r="AC193">
        <v>23.349599999999999</v>
      </c>
      <c r="AD193">
        <v>-1.1049762816469999</v>
      </c>
      <c r="AE193">
        <v>-0.70359999999999401</v>
      </c>
      <c r="AF193">
        <v>0.17259295156298801</v>
      </c>
      <c r="AG193">
        <v>-1.1049762816469999</v>
      </c>
      <c r="AH193">
        <v>23.307408925744099</v>
      </c>
      <c r="AI193">
        <v>92.714217505807795</v>
      </c>
      <c r="AJ193">
        <v>89.575728602696699</v>
      </c>
      <c r="AK193">
        <v>23.334225329797999</v>
      </c>
      <c r="AL193">
        <v>87.691078173721493</v>
      </c>
      <c r="AM193">
        <v>96.068583253732996</v>
      </c>
      <c r="AN193">
        <v>0.99999995422197596</v>
      </c>
    </row>
    <row r="194" spans="1:40" x14ac:dyDescent="0.3">
      <c r="A194" t="str">
        <f>"20200111145919517"</f>
        <v>20200111145919517</v>
      </c>
      <c r="B194" t="str">
        <f>"1578725959506332"</f>
        <v>1578725959506332</v>
      </c>
      <c r="C194" t="s">
        <v>40</v>
      </c>
      <c r="D194">
        <v>3.7752279999999998</v>
      </c>
      <c r="E194">
        <v>0.54310179999999997</v>
      </c>
      <c r="F194" t="s">
        <v>42</v>
      </c>
      <c r="G194">
        <v>-442.0822</v>
      </c>
      <c r="H194" s="1">
        <v>-4.2525399999999998E-6</v>
      </c>
      <c r="I194">
        <v>366.63260000000002</v>
      </c>
      <c r="J194">
        <v>-465.3032</v>
      </c>
      <c r="K194">
        <v>1.104976</v>
      </c>
      <c r="L194">
        <v>367.32819999999998</v>
      </c>
      <c r="M194">
        <v>0.99965630000000005</v>
      </c>
      <c r="N194">
        <v>0</v>
      </c>
      <c r="O194">
        <v>-2.2712610000000001E-2</v>
      </c>
      <c r="P194">
        <v>0.99626590000000004</v>
      </c>
      <c r="Q194">
        <v>2.72914E-2</v>
      </c>
      <c r="R194">
        <v>8.1913169999999993E-2</v>
      </c>
      <c r="S194">
        <v>3.0230100000000002</v>
      </c>
      <c r="T194">
        <v>-0.1434212</v>
      </c>
      <c r="U194">
        <v>-9.0484620000000002E-2</v>
      </c>
      <c r="V194">
        <v>-0.1045238</v>
      </c>
      <c r="W194">
        <v>4.0309780000000003E-2</v>
      </c>
      <c r="X194">
        <v>0.99370519999999996</v>
      </c>
      <c r="Y194">
        <v>7.2238579999999997E-3</v>
      </c>
      <c r="Z194">
        <v>9.0541660000000002E-4</v>
      </c>
      <c r="AA194">
        <v>0.99997349999999996</v>
      </c>
      <c r="AB194">
        <v>8</v>
      </c>
      <c r="AC194">
        <v>23.221</v>
      </c>
      <c r="AD194">
        <v>-1.1049802525400001</v>
      </c>
      <c r="AE194">
        <v>-0.69559999999995603</v>
      </c>
      <c r="AF194">
        <v>0.16758666454157101</v>
      </c>
      <c r="AG194">
        <v>-1.1049802525400001</v>
      </c>
      <c r="AH194">
        <v>23.178371691026801</v>
      </c>
      <c r="AI194">
        <v>92.729318427459901</v>
      </c>
      <c r="AJ194">
        <v>89.585741337147397</v>
      </c>
      <c r="AK194">
        <v>23.205300706865</v>
      </c>
      <c r="AL194">
        <v>87.689793958132697</v>
      </c>
      <c r="AM194">
        <v>96.004629261399003</v>
      </c>
      <c r="AN194">
        <v>1.00000006381856</v>
      </c>
    </row>
    <row r="195" spans="1:40" x14ac:dyDescent="0.3">
      <c r="A195" t="str">
        <f>"20200111145919529"</f>
        <v>20200111145919529</v>
      </c>
      <c r="B195" t="str">
        <f>"1578725959525847"</f>
        <v>1578725959525847</v>
      </c>
      <c r="C195" t="s">
        <v>40</v>
      </c>
      <c r="D195">
        <v>3.7980330000000002</v>
      </c>
      <c r="E195">
        <v>0.54307620000000001</v>
      </c>
      <c r="F195" t="s">
        <v>42</v>
      </c>
      <c r="G195">
        <v>-442.13080000000002</v>
      </c>
      <c r="H195" s="1">
        <v>-4.2346330000000004E-6</v>
      </c>
      <c r="I195">
        <v>366.60390000000001</v>
      </c>
      <c r="J195">
        <v>-465.25650000000002</v>
      </c>
      <c r="K195">
        <v>1.1049789999999999</v>
      </c>
      <c r="L195">
        <v>367.32709999999997</v>
      </c>
      <c r="M195">
        <v>0.99965630000000005</v>
      </c>
      <c r="N195">
        <v>0</v>
      </c>
      <c r="O195">
        <v>-2.2705659999999999E-2</v>
      </c>
      <c r="P195">
        <v>0.99629710000000005</v>
      </c>
      <c r="Q195">
        <v>2.7402719999999998E-2</v>
      </c>
      <c r="R195">
        <v>8.1494730000000001E-2</v>
      </c>
      <c r="S195">
        <v>3.0230100000000002</v>
      </c>
      <c r="T195">
        <v>-0.14415310000000001</v>
      </c>
      <c r="U195">
        <v>-9.4482419999999998E-2</v>
      </c>
      <c r="V195">
        <v>-0.1040997</v>
      </c>
      <c r="W195">
        <v>4.0420310000000001E-2</v>
      </c>
      <c r="X195">
        <v>0.99374510000000005</v>
      </c>
      <c r="Y195">
        <v>8.5506479999999992E-3</v>
      </c>
      <c r="Z195">
        <v>8.7806959999999997E-4</v>
      </c>
      <c r="AA195">
        <v>0.99996300000000005</v>
      </c>
      <c r="AB195">
        <v>8</v>
      </c>
      <c r="AC195">
        <v>23.125699999999899</v>
      </c>
      <c r="AD195">
        <v>-1.104983234633</v>
      </c>
      <c r="AE195">
        <v>-0.72319999999996298</v>
      </c>
      <c r="AF195">
        <v>0.19743382991115499</v>
      </c>
      <c r="AG195">
        <v>-1.104983234633</v>
      </c>
      <c r="AH195">
        <v>23.083509093239002</v>
      </c>
      <c r="AI195">
        <v>92.740496429045905</v>
      </c>
      <c r="AJ195">
        <v>89.509959715824095</v>
      </c>
      <c r="AK195">
        <v>23.1107844982307</v>
      </c>
      <c r="AL195">
        <v>87.683455595135001</v>
      </c>
      <c r="AM195">
        <v>95.9802043302589</v>
      </c>
      <c r="AN195">
        <v>0.99999993638729601</v>
      </c>
    </row>
    <row r="196" spans="1:40" x14ac:dyDescent="0.3">
      <c r="A196" t="str">
        <f>"20200111145919542"</f>
        <v>20200111145919542</v>
      </c>
      <c r="B196" t="str">
        <f>"1578725959535608"</f>
        <v>1578725959535608</v>
      </c>
      <c r="C196" t="s">
        <v>40</v>
      </c>
      <c r="D196">
        <v>3.7247319999999999</v>
      </c>
      <c r="E196">
        <v>0.54285190000000005</v>
      </c>
      <c r="F196" t="s">
        <v>42</v>
      </c>
      <c r="G196">
        <v>-442.03390000000002</v>
      </c>
      <c r="H196" s="1">
        <v>-4.2830450000000001E-6</v>
      </c>
      <c r="I196">
        <v>366.58929999999998</v>
      </c>
      <c r="J196">
        <v>-465.20600000000002</v>
      </c>
      <c r="K196">
        <v>1.104981</v>
      </c>
      <c r="L196">
        <v>367.32600000000002</v>
      </c>
      <c r="M196">
        <v>0.99965660000000001</v>
      </c>
      <c r="N196">
        <v>0</v>
      </c>
      <c r="O196">
        <v>-2.2695389999999999E-2</v>
      </c>
      <c r="P196">
        <v>0.99630790000000002</v>
      </c>
      <c r="Q196">
        <v>2.7753389999999999E-2</v>
      </c>
      <c r="R196">
        <v>8.1243170000000003E-2</v>
      </c>
      <c r="S196">
        <v>3.0229490000000001</v>
      </c>
      <c r="T196">
        <v>-0.14383859999999901</v>
      </c>
      <c r="U196">
        <v>-9.6038819999999997E-2</v>
      </c>
      <c r="V196">
        <v>-0.1038381</v>
      </c>
      <c r="W196">
        <v>4.0769550000000002E-2</v>
      </c>
      <c r="X196">
        <v>0.99375829999999998</v>
      </c>
      <c r="Y196">
        <v>9.0752130000000004E-3</v>
      </c>
      <c r="Z196">
        <v>8.6320769999999997E-4</v>
      </c>
      <c r="AA196">
        <v>0.99995849999999997</v>
      </c>
      <c r="AB196">
        <v>8</v>
      </c>
      <c r="AC196">
        <v>23.172099999999901</v>
      </c>
      <c r="AD196">
        <v>-1.104985283045</v>
      </c>
      <c r="AE196">
        <v>-0.73669999999998403</v>
      </c>
      <c r="AF196">
        <v>0.210087989401364</v>
      </c>
      <c r="AG196">
        <v>-1.104985283045</v>
      </c>
      <c r="AH196">
        <v>23.130307375708401</v>
      </c>
      <c r="AI196">
        <v>92.734952466450906</v>
      </c>
      <c r="AJ196">
        <v>89.479608120674996</v>
      </c>
      <c r="AK196">
        <v>23.157639101034999</v>
      </c>
      <c r="AL196">
        <v>87.6634293335199</v>
      </c>
      <c r="AM196">
        <v>95.965206057865402</v>
      </c>
      <c r="AN196">
        <v>1.0000000330188501</v>
      </c>
    </row>
    <row r="197" spans="1:40" x14ac:dyDescent="0.3">
      <c r="A197" t="str">
        <f>"20200111145919555"</f>
        <v>20200111145919555</v>
      </c>
      <c r="B197" t="str">
        <f>"1578725959546343"</f>
        <v>1578725959546343</v>
      </c>
      <c r="C197" t="s">
        <v>40</v>
      </c>
      <c r="D197">
        <v>3.9181680000000001</v>
      </c>
      <c r="E197">
        <v>0.54281829999999998</v>
      </c>
      <c r="F197" t="s">
        <v>42</v>
      </c>
      <c r="G197">
        <v>-441.65750000000003</v>
      </c>
      <c r="H197" s="1">
        <v>-4.4613729999999996E-6</v>
      </c>
      <c r="I197">
        <v>366.58710000000002</v>
      </c>
      <c r="J197">
        <v>-465.15879999999999</v>
      </c>
      <c r="K197">
        <v>1.104984</v>
      </c>
      <c r="L197">
        <v>367.32499999999999</v>
      </c>
      <c r="M197">
        <v>0.99965689999999996</v>
      </c>
      <c r="N197">
        <v>0</v>
      </c>
      <c r="O197">
        <v>-2.268181E-2</v>
      </c>
      <c r="P197">
        <v>0.99629440000000002</v>
      </c>
      <c r="Q197">
        <v>2.8110690000000001E-2</v>
      </c>
      <c r="R197">
        <v>8.1285700000000002E-2</v>
      </c>
      <c r="S197">
        <v>3.0228269999999999</v>
      </c>
      <c r="T197">
        <v>-0.14184240000000001</v>
      </c>
      <c r="U197">
        <v>-9.4848630000000003E-2</v>
      </c>
      <c r="V197">
        <v>-0.103866899999999</v>
      </c>
      <c r="W197">
        <v>4.1125920000000003E-2</v>
      </c>
      <c r="X197">
        <v>0.99374059999999997</v>
      </c>
      <c r="Y197">
        <v>8.6967309999999992E-3</v>
      </c>
      <c r="Z197">
        <v>8.5951780000000002E-4</v>
      </c>
      <c r="AA197">
        <v>0.99996180000000001</v>
      </c>
      <c r="AB197">
        <v>8</v>
      </c>
      <c r="AC197">
        <v>23.501299999999901</v>
      </c>
      <c r="AD197">
        <v>-1.1049884613730001</v>
      </c>
      <c r="AE197">
        <v>-0.73789999999996703</v>
      </c>
      <c r="AF197">
        <v>0.204161466257232</v>
      </c>
      <c r="AG197">
        <v>-1.1049884613730001</v>
      </c>
      <c r="AH197">
        <v>23.460178671321799</v>
      </c>
      <c r="AI197">
        <v>92.696570581132505</v>
      </c>
      <c r="AJ197">
        <v>89.501397869328599</v>
      </c>
      <c r="AK197">
        <v>23.487074417526198</v>
      </c>
      <c r="AL197">
        <v>87.642993683723702</v>
      </c>
      <c r="AM197">
        <v>95.966954113599002</v>
      </c>
      <c r="AN197">
        <v>1.0000000271499001</v>
      </c>
    </row>
    <row r="198" spans="1:40" x14ac:dyDescent="0.3">
      <c r="A198" t="str">
        <f>"20200111145919573"</f>
        <v>20200111145919573</v>
      </c>
      <c r="B198" t="str">
        <f>"1578725959565863"</f>
        <v>1578725959565863</v>
      </c>
      <c r="C198" t="s">
        <v>40</v>
      </c>
      <c r="D198">
        <v>3.8920910000000002</v>
      </c>
      <c r="E198">
        <v>0.54283549999999903</v>
      </c>
      <c r="F198" t="s">
        <v>42</v>
      </c>
      <c r="G198">
        <v>-441.13060000000002</v>
      </c>
      <c r="H198" s="1">
        <v>-4.7127109999999999E-6</v>
      </c>
      <c r="I198">
        <v>366.57440000000003</v>
      </c>
      <c r="J198">
        <v>-465.08969999999999</v>
      </c>
      <c r="K198">
        <v>1.1049770000000001</v>
      </c>
      <c r="L198">
        <v>367.32339999999999</v>
      </c>
      <c r="M198">
        <v>0.99965760000000004</v>
      </c>
      <c r="N198">
        <v>0</v>
      </c>
      <c r="O198">
        <v>-2.2659789999999999E-2</v>
      </c>
      <c r="P198">
        <v>0.99617429999999996</v>
      </c>
      <c r="Q198">
        <v>2.849643E-2</v>
      </c>
      <c r="R198">
        <v>8.2613919999999993E-2</v>
      </c>
      <c r="S198">
        <v>3.0227659999999998</v>
      </c>
      <c r="T198">
        <v>-0.13900850000000001</v>
      </c>
      <c r="U198">
        <v>-9.4421389999999994E-2</v>
      </c>
      <c r="V198">
        <v>-0.1051696</v>
      </c>
      <c r="W198">
        <v>4.1508490000000002E-2</v>
      </c>
      <c r="X198">
        <v>0.99358760000000002</v>
      </c>
      <c r="Y198">
        <v>8.577688E-3</v>
      </c>
      <c r="Z198">
        <v>8.4410629999999995E-4</v>
      </c>
      <c r="AA198">
        <v>0.99996289999999999</v>
      </c>
      <c r="AB198">
        <v>8</v>
      </c>
      <c r="AC198">
        <v>23.9590999999999</v>
      </c>
      <c r="AD198">
        <v>-1.104981712711</v>
      </c>
      <c r="AE198">
        <v>-0.74899999999996603</v>
      </c>
      <c r="AF198">
        <v>0.20541649529394301</v>
      </c>
      <c r="AG198">
        <v>-1.104981712711</v>
      </c>
      <c r="AH198">
        <v>23.919094260331899</v>
      </c>
      <c r="AI198">
        <v>92.644894412858704</v>
      </c>
      <c r="AJ198">
        <v>89.507957585635594</v>
      </c>
      <c r="AK198">
        <v>23.945484976433601</v>
      </c>
      <c r="AL198">
        <v>87.621055142423401</v>
      </c>
      <c r="AM198">
        <v>96.042165071379699</v>
      </c>
      <c r="AN198">
        <v>0.99999995918999895</v>
      </c>
    </row>
    <row r="199" spans="1:40" x14ac:dyDescent="0.3">
      <c r="A199" t="str">
        <f>"20200111145919587"</f>
        <v>20200111145919587</v>
      </c>
      <c r="B199" t="str">
        <f>"1578725959575623"</f>
        <v>1578725959575623</v>
      </c>
      <c r="C199" t="s">
        <v>40</v>
      </c>
      <c r="D199">
        <v>3.7386210000000002</v>
      </c>
      <c r="E199">
        <v>0.54284169999999998</v>
      </c>
      <c r="F199" t="s">
        <v>42</v>
      </c>
      <c r="G199">
        <v>-440.12540000000001</v>
      </c>
      <c r="H199" s="1">
        <v>-5.1881499999999996E-6</v>
      </c>
      <c r="I199">
        <v>366.57260000000002</v>
      </c>
      <c r="J199">
        <v>-465.04079999999999</v>
      </c>
      <c r="K199">
        <v>1.1049739999999999</v>
      </c>
      <c r="L199">
        <v>367.32229999999998</v>
      </c>
      <c r="M199">
        <v>0.99965800000000005</v>
      </c>
      <c r="N199">
        <v>0</v>
      </c>
      <c r="O199">
        <v>-2.2642780000000001E-2</v>
      </c>
      <c r="P199">
        <v>0.99608470000000005</v>
      </c>
      <c r="Q199">
        <v>2.823736E-2</v>
      </c>
      <c r="R199">
        <v>8.377387E-2</v>
      </c>
      <c r="S199">
        <v>3.022888</v>
      </c>
      <c r="T199">
        <v>-0.13380059999999999</v>
      </c>
      <c r="U199">
        <v>-9.0911870000000006E-2</v>
      </c>
      <c r="V199">
        <v>-0.10631019999999899</v>
      </c>
      <c r="W199">
        <v>4.124742E-2</v>
      </c>
      <c r="X199">
        <v>0.9934771</v>
      </c>
      <c r="Y199">
        <v>7.4335959999999998E-3</v>
      </c>
      <c r="Z199">
        <v>8.3704910000000001E-4</v>
      </c>
      <c r="AA199">
        <v>0.99997199999999997</v>
      </c>
      <c r="AB199">
        <v>8</v>
      </c>
      <c r="AC199">
        <v>24.915399999999899</v>
      </c>
      <c r="AD199">
        <v>-1.10497918815</v>
      </c>
      <c r="AE199">
        <v>-0.74969999999996095</v>
      </c>
      <c r="AF199">
        <v>0.184942118078082</v>
      </c>
      <c r="AG199">
        <v>-1.10497918815</v>
      </c>
      <c r="AH199">
        <v>24.877102419461401</v>
      </c>
      <c r="AI199">
        <v>92.543194562997698</v>
      </c>
      <c r="AJ199">
        <v>89.574057804858001</v>
      </c>
      <c r="AK199">
        <v>24.902317309472501</v>
      </c>
      <c r="AL199">
        <v>87.636026219029304</v>
      </c>
      <c r="AM199">
        <v>96.107875950681802</v>
      </c>
      <c r="AN199">
        <v>0.99999997825255205</v>
      </c>
    </row>
    <row r="200" spans="1:40" x14ac:dyDescent="0.3">
      <c r="A200" t="str">
        <f>"20200111145919600"</f>
        <v>20200111145919600</v>
      </c>
      <c r="B200" t="str">
        <f>"1578725959596119"</f>
        <v>1578725959596119</v>
      </c>
      <c r="C200" t="s">
        <v>40</v>
      </c>
      <c r="D200">
        <v>3.7948499999999998</v>
      </c>
      <c r="E200">
        <v>0.54290539999999998</v>
      </c>
      <c r="F200" t="s">
        <v>43</v>
      </c>
      <c r="G200">
        <v>-438.71510000000001</v>
      </c>
      <c r="H200">
        <v>-0.05</v>
      </c>
      <c r="I200">
        <v>366.55739999999997</v>
      </c>
      <c r="J200">
        <v>-464.99369999999999</v>
      </c>
      <c r="K200">
        <v>1.1049709999999999</v>
      </c>
      <c r="L200">
        <v>367.32130000000001</v>
      </c>
      <c r="M200">
        <v>0.99965820000000005</v>
      </c>
      <c r="N200">
        <v>0</v>
      </c>
      <c r="O200">
        <v>-2.2626139999999999E-2</v>
      </c>
      <c r="P200">
        <v>0.99598980000000004</v>
      </c>
      <c r="Q200">
        <v>2.765341E-2</v>
      </c>
      <c r="R200">
        <v>8.5086460000000003E-2</v>
      </c>
      <c r="S200">
        <v>3.0229490000000001</v>
      </c>
      <c r="T200">
        <v>-0.13262470000000001</v>
      </c>
      <c r="U200">
        <v>-8.7829589999999999E-2</v>
      </c>
      <c r="V200">
        <v>-0.10760359999999999</v>
      </c>
      <c r="W200">
        <v>4.0661870000000003E-2</v>
      </c>
      <c r="X200">
        <v>0.99336199999999997</v>
      </c>
      <c r="Y200">
        <v>6.4316119999999997E-3</v>
      </c>
      <c r="Z200">
        <v>8.5093339999999895E-4</v>
      </c>
      <c r="AA200">
        <v>0.99997899999999995</v>
      </c>
      <c r="AB200">
        <v>8</v>
      </c>
      <c r="AC200">
        <v>26.278599999999901</v>
      </c>
      <c r="AD200">
        <v>-1.154971</v>
      </c>
      <c r="AE200">
        <v>-0.763900000000035</v>
      </c>
      <c r="AF200">
        <v>0.16874443129620401</v>
      </c>
      <c r="AG200">
        <v>-1.154971</v>
      </c>
      <c r="AH200">
        <v>26.238515096982201</v>
      </c>
      <c r="AI200">
        <v>92.520375378300102</v>
      </c>
      <c r="AJ200">
        <v>89.631526006597895</v>
      </c>
      <c r="AK200">
        <v>26.264464723053099</v>
      </c>
      <c r="AL200">
        <v>87.669603969163703</v>
      </c>
      <c r="AM200">
        <v>96.182324913551795</v>
      </c>
      <c r="AN200">
        <v>0.99999999272442797</v>
      </c>
    </row>
    <row r="201" spans="1:40" x14ac:dyDescent="0.3">
      <c r="A201" t="str">
        <f>"20200111145919617"</f>
        <v>20200111145919617</v>
      </c>
      <c r="B201" t="str">
        <f>"1578725959605879"</f>
        <v>1578725959605879</v>
      </c>
      <c r="C201" t="s">
        <v>40</v>
      </c>
      <c r="D201">
        <v>3.859302</v>
      </c>
      <c r="E201">
        <v>0.54303459999999903</v>
      </c>
      <c r="F201" t="s">
        <v>43</v>
      </c>
      <c r="G201">
        <v>-438.52390000000003</v>
      </c>
      <c r="H201">
        <v>-0.05</v>
      </c>
      <c r="I201">
        <v>366.58479999999997</v>
      </c>
      <c r="J201">
        <v>-464.9264</v>
      </c>
      <c r="K201">
        <v>1.104965</v>
      </c>
      <c r="L201">
        <v>367.31990000000002</v>
      </c>
      <c r="M201">
        <v>0.99965879999999996</v>
      </c>
      <c r="N201">
        <v>0</v>
      </c>
      <c r="O201">
        <v>-2.2604510000000001E-2</v>
      </c>
      <c r="P201">
        <v>0.99578230000000001</v>
      </c>
      <c r="Q201">
        <v>2.7454490000000002E-2</v>
      </c>
      <c r="R201">
        <v>8.7544490000000003E-2</v>
      </c>
      <c r="S201">
        <v>3.02298</v>
      </c>
      <c r="T201">
        <v>-0.1319032</v>
      </c>
      <c r="U201">
        <v>-8.4106449999999999E-2</v>
      </c>
      <c r="V201">
        <v>-0.1100341</v>
      </c>
      <c r="W201">
        <v>4.0458910000000001E-2</v>
      </c>
      <c r="X201">
        <v>0.99310399999999999</v>
      </c>
      <c r="Y201">
        <v>5.2233139999999997E-3</v>
      </c>
      <c r="Z201">
        <v>8.7171869999999997E-4</v>
      </c>
      <c r="AA201">
        <v>0.99998600000000004</v>
      </c>
      <c r="AB201">
        <v>8</v>
      </c>
      <c r="AC201">
        <v>26.4024999999999</v>
      </c>
      <c r="AD201">
        <v>-1.154965</v>
      </c>
      <c r="AE201">
        <v>-0.73510000000004505</v>
      </c>
      <c r="AF201">
        <v>0.13778198088483301</v>
      </c>
      <c r="AG201">
        <v>-1.154965</v>
      </c>
      <c r="AH201">
        <v>26.361963859558699</v>
      </c>
      <c r="AI201">
        <v>92.508592561664301</v>
      </c>
      <c r="AJ201">
        <v>89.700543777451699</v>
      </c>
      <c r="AK201">
        <v>26.387611990442799</v>
      </c>
      <c r="AL201">
        <v>87.681242293266607</v>
      </c>
      <c r="AM201">
        <v>96.322479262557295</v>
      </c>
      <c r="AN201">
        <v>0.99999999068859902</v>
      </c>
    </row>
    <row r="202" spans="1:40" x14ac:dyDescent="0.3">
      <c r="A202" t="str">
        <f>"20200111145919630"</f>
        <v>20200111145919630</v>
      </c>
      <c r="B202" t="str">
        <f>"1578725959626375"</f>
        <v>1578725959626375</v>
      </c>
      <c r="C202" t="s">
        <v>40</v>
      </c>
      <c r="D202">
        <v>4.0162329999999997</v>
      </c>
      <c r="E202">
        <v>0.51226959999999999</v>
      </c>
      <c r="F202" t="s">
        <v>42</v>
      </c>
      <c r="G202">
        <v>-440.0016</v>
      </c>
      <c r="H202" s="1">
        <v>-5.2281059999999997E-6</v>
      </c>
      <c r="I202">
        <v>366.67750000000001</v>
      </c>
      <c r="J202">
        <v>-464.8827</v>
      </c>
      <c r="K202">
        <v>1.1049599999999999</v>
      </c>
      <c r="L202">
        <v>367.31889999999999</v>
      </c>
      <c r="M202">
        <v>0.99965919999999997</v>
      </c>
      <c r="N202">
        <v>0</v>
      </c>
      <c r="O202">
        <v>-2.2591920000000001E-2</v>
      </c>
      <c r="P202">
        <v>0.99568080000000003</v>
      </c>
      <c r="Q202">
        <v>2.8010509999999999E-2</v>
      </c>
      <c r="R202">
        <v>8.851929E-2</v>
      </c>
      <c r="S202">
        <v>3.0232540000000001</v>
      </c>
      <c r="T202">
        <v>-0.13402739999999999</v>
      </c>
      <c r="U202">
        <v>-7.7911380000000002E-2</v>
      </c>
      <c r="V202">
        <v>-0.1109938</v>
      </c>
      <c r="W202">
        <v>4.1013010000000003E-2</v>
      </c>
      <c r="X202">
        <v>0.99297449999999998</v>
      </c>
      <c r="Y202">
        <v>3.1882590000000001E-3</v>
      </c>
      <c r="Z202">
        <v>9.3021490000000004E-4</v>
      </c>
      <c r="AA202">
        <v>0.99999450000000001</v>
      </c>
      <c r="AB202">
        <v>8</v>
      </c>
      <c r="AC202">
        <v>24.8811</v>
      </c>
      <c r="AD202">
        <v>-1.1049652281059901</v>
      </c>
      <c r="AE202">
        <v>-0.64139999999997599</v>
      </c>
      <c r="AF202">
        <v>7.89208082033626E-2</v>
      </c>
      <c r="AG202">
        <v>-1.1049652281059901</v>
      </c>
      <c r="AH202">
        <v>24.840281935266798</v>
      </c>
      <c r="AI202">
        <v>92.546984667253696</v>
      </c>
      <c r="AJ202">
        <v>89.817964465016601</v>
      </c>
      <c r="AK202">
        <v>24.8649710088878</v>
      </c>
      <c r="AL202">
        <v>87.649468405705093</v>
      </c>
      <c r="AM202">
        <v>96.377995401485407</v>
      </c>
      <c r="AN202">
        <v>1.0000000241389699</v>
      </c>
    </row>
    <row r="203" spans="1:40" x14ac:dyDescent="0.3">
      <c r="A203" t="str">
        <f>"20200111145919642"</f>
        <v>20200111145919642</v>
      </c>
      <c r="B203" t="str">
        <f>"1578725959636137"</f>
        <v>1578725959636137</v>
      </c>
      <c r="C203" t="s">
        <v>40</v>
      </c>
      <c r="D203">
        <v>3.8339509999999999</v>
      </c>
      <c r="E203">
        <v>0.49979050000000003</v>
      </c>
      <c r="F203" t="s">
        <v>43</v>
      </c>
      <c r="G203">
        <v>-437.08539999999999</v>
      </c>
      <c r="H203">
        <v>-0.05</v>
      </c>
      <c r="I203">
        <v>368.88889999999998</v>
      </c>
      <c r="J203">
        <v>-464.834</v>
      </c>
      <c r="K203">
        <v>1.104957</v>
      </c>
      <c r="L203">
        <v>367.31779999999998</v>
      </c>
      <c r="M203">
        <v>0.99965959999999998</v>
      </c>
      <c r="N203">
        <v>0</v>
      </c>
      <c r="O203">
        <v>-2.2578709999999998E-2</v>
      </c>
      <c r="P203">
        <v>0.99559359999999997</v>
      </c>
      <c r="Q203">
        <v>2.7837310000000001E-2</v>
      </c>
      <c r="R203">
        <v>8.9547799999999997E-2</v>
      </c>
      <c r="S203">
        <v>3.001465</v>
      </c>
      <c r="T203">
        <v>-0.1247089</v>
      </c>
      <c r="U203">
        <v>0.16952509999999901</v>
      </c>
      <c r="V203">
        <v>-0.11200639999999901</v>
      </c>
      <c r="W203">
        <v>4.0834339999999997E-2</v>
      </c>
      <c r="X203">
        <v>0.99286810000000003</v>
      </c>
      <c r="Y203">
        <v>-7.8834009999999996E-2</v>
      </c>
      <c r="Z203">
        <v>2.5728930000000001E-3</v>
      </c>
      <c r="AA203">
        <v>0.99688449999999995</v>
      </c>
      <c r="AB203">
        <v>8</v>
      </c>
      <c r="AC203">
        <v>27.7486</v>
      </c>
      <c r="AD203">
        <v>-1.154957</v>
      </c>
      <c r="AE203">
        <v>1.5710999999999999</v>
      </c>
      <c r="AF203">
        <v>-2.1934926648841202</v>
      </c>
      <c r="AG203">
        <v>-1.154957</v>
      </c>
      <c r="AH203">
        <v>27.658286107859599</v>
      </c>
      <c r="AI203">
        <v>92.383696883177393</v>
      </c>
      <c r="AJ203">
        <v>94.534459379028704</v>
      </c>
      <c r="AK203">
        <v>27.769157822429001</v>
      </c>
      <c r="AL203">
        <v>87.659713899758202</v>
      </c>
      <c r="AM203">
        <v>96.436379942916602</v>
      </c>
      <c r="AN203">
        <v>0.99999997048090195</v>
      </c>
    </row>
    <row r="204" spans="1:40" x14ac:dyDescent="0.3">
      <c r="A204" t="str">
        <f>"20200111145919655"</f>
        <v>20200111145919655</v>
      </c>
      <c r="B204" t="str">
        <f>"1578725959645895"</f>
        <v>1578725959645895</v>
      </c>
      <c r="C204" t="s">
        <v>40</v>
      </c>
      <c r="D204">
        <v>3.8287010000000001</v>
      </c>
      <c r="E204">
        <v>0.49149219999999999</v>
      </c>
      <c r="F204" t="s">
        <v>42</v>
      </c>
      <c r="G204">
        <v>-440.11169999999998</v>
      </c>
      <c r="H204" s="1">
        <v>-4.6641830000000003E-6</v>
      </c>
      <c r="I204">
        <v>369.56310000000002</v>
      </c>
      <c r="J204">
        <v>-464.78530000000001</v>
      </c>
      <c r="K204">
        <v>1.104946</v>
      </c>
      <c r="L204">
        <v>367.31670000000003</v>
      </c>
      <c r="M204">
        <v>0.99966010000000005</v>
      </c>
      <c r="N204">
        <v>0</v>
      </c>
      <c r="O204">
        <v>-2.256787E-2</v>
      </c>
      <c r="P204">
        <v>0.99553599999999998</v>
      </c>
      <c r="Q204">
        <v>2.7849180000000001E-2</v>
      </c>
      <c r="R204">
        <v>9.0182269999999995E-2</v>
      </c>
      <c r="S204">
        <v>2.9925540000000002</v>
      </c>
      <c r="T204">
        <v>-0.13375219999999999</v>
      </c>
      <c r="U204">
        <v>0.27178960000000002</v>
      </c>
      <c r="V204">
        <v>-0.11262800000000001</v>
      </c>
      <c r="W204">
        <v>4.0821000000000003E-2</v>
      </c>
      <c r="X204">
        <v>0.99279830000000002</v>
      </c>
      <c r="Y204">
        <v>-0.11276989999999899</v>
      </c>
      <c r="Z204">
        <v>3.520081E-3</v>
      </c>
      <c r="AA204">
        <v>0.99361489999999997</v>
      </c>
      <c r="AB204">
        <v>8</v>
      </c>
      <c r="AC204">
        <v>24.6736</v>
      </c>
      <c r="AD204">
        <v>-1.104950664183</v>
      </c>
      <c r="AE204">
        <v>2.2463999999999902</v>
      </c>
      <c r="AF204">
        <v>-2.79714228545406</v>
      </c>
      <c r="AG204">
        <v>-1.104950664183</v>
      </c>
      <c r="AH204">
        <v>24.567748756488701</v>
      </c>
      <c r="AI204">
        <v>92.558671769518099</v>
      </c>
      <c r="AJ204">
        <v>96.495397462818801</v>
      </c>
      <c r="AK204">
        <v>24.751145425965699</v>
      </c>
      <c r="AL204">
        <v>87.660478797697607</v>
      </c>
      <c r="AM204">
        <v>96.472248732621395</v>
      </c>
      <c r="AN204">
        <v>0.99999994245394297</v>
      </c>
    </row>
    <row r="205" spans="1:40" x14ac:dyDescent="0.3">
      <c r="A205" t="str">
        <f>"20200111145919675"</f>
        <v>20200111145919675</v>
      </c>
      <c r="B205" t="str">
        <f>"1578725959666391"</f>
        <v>1578725959666391</v>
      </c>
      <c r="C205" t="s">
        <v>40</v>
      </c>
      <c r="D205">
        <v>3.9033950000000002</v>
      </c>
      <c r="E205">
        <v>0.48477130000000002</v>
      </c>
      <c r="F205" t="s">
        <v>42</v>
      </c>
      <c r="G205">
        <v>-443.36930000000001</v>
      </c>
      <c r="H205" s="1">
        <v>-3.151593E-6</v>
      </c>
      <c r="I205">
        <v>369.75439999999998</v>
      </c>
      <c r="J205">
        <v>-464.71559999999999</v>
      </c>
      <c r="K205">
        <v>1.1049209999999901</v>
      </c>
      <c r="L205">
        <v>367.3152</v>
      </c>
      <c r="M205">
        <v>0.99966160000000004</v>
      </c>
      <c r="N205">
        <v>0</v>
      </c>
      <c r="O205">
        <v>-2.2555180000000001E-2</v>
      </c>
      <c r="P205">
        <v>0.99548899999999996</v>
      </c>
      <c r="Q205">
        <v>2.808538E-2</v>
      </c>
      <c r="R205">
        <v>9.0627180000000002E-2</v>
      </c>
      <c r="S205">
        <v>2.9870000000000001</v>
      </c>
      <c r="T205">
        <v>-0.15411269999999999</v>
      </c>
      <c r="U205">
        <v>0.33999629999999997</v>
      </c>
      <c r="V205">
        <v>-0.1130591</v>
      </c>
      <c r="W205">
        <v>4.0966790000000003E-2</v>
      </c>
      <c r="X205">
        <v>0.99274340000000005</v>
      </c>
      <c r="Y205">
        <v>-0.13527129999999901</v>
      </c>
      <c r="Z205">
        <v>4.6357150000000003E-3</v>
      </c>
      <c r="AA205">
        <v>0.99079779999999995</v>
      </c>
      <c r="AB205">
        <v>8</v>
      </c>
      <c r="AC205">
        <v>21.3462999999999</v>
      </c>
      <c r="AD205">
        <v>-1.10492415159299</v>
      </c>
      <c r="AE205">
        <v>2.4391999999999698</v>
      </c>
      <c r="AF205">
        <v>-2.9123868821820298</v>
      </c>
      <c r="AG205">
        <v>-1.10492415159299</v>
      </c>
      <c r="AH205">
        <v>21.229699969241999</v>
      </c>
      <c r="AI205">
        <v>92.951740292363198</v>
      </c>
      <c r="AJ205">
        <v>97.811337291829702</v>
      </c>
      <c r="AK205">
        <v>21.457003880232602</v>
      </c>
      <c r="AL205">
        <v>87.652118900414294</v>
      </c>
      <c r="AM205">
        <v>96.497167007599103</v>
      </c>
      <c r="AN205">
        <v>1.0000000481096301</v>
      </c>
    </row>
    <row r="206" spans="1:40" x14ac:dyDescent="0.3">
      <c r="A206" t="str">
        <f>"20200111145919686"</f>
        <v>20200111145919686</v>
      </c>
      <c r="B206" t="str">
        <f>"1578725959676151"</f>
        <v>1578725959676151</v>
      </c>
      <c r="C206" t="s">
        <v>40</v>
      </c>
      <c r="D206">
        <v>3.9088029999999998</v>
      </c>
      <c r="E206">
        <v>0.48285</v>
      </c>
      <c r="F206" t="s">
        <v>42</v>
      </c>
      <c r="G206">
        <v>-445.95</v>
      </c>
      <c r="H206" s="1">
        <v>-1.9434910000000001E-6</v>
      </c>
      <c r="I206">
        <v>369.79880000000003</v>
      </c>
      <c r="J206">
        <v>-464.6696</v>
      </c>
      <c r="K206">
        <v>1.1049</v>
      </c>
      <c r="L206">
        <v>367.3141</v>
      </c>
      <c r="M206">
        <v>0.99966310000000003</v>
      </c>
      <c r="N206">
        <v>0</v>
      </c>
      <c r="O206">
        <v>-2.2547729999999998E-2</v>
      </c>
      <c r="P206">
        <v>0.9954653</v>
      </c>
      <c r="Q206">
        <v>2.86095E-2</v>
      </c>
      <c r="R206">
        <v>9.0723399999999996E-2</v>
      </c>
      <c r="S206">
        <v>2.9826350000000001</v>
      </c>
      <c r="T206">
        <v>-0.1756182</v>
      </c>
      <c r="U206">
        <v>0.39474490000000001</v>
      </c>
      <c r="V206">
        <v>-0.1131471</v>
      </c>
      <c r="W206">
        <v>4.1382240000000001E-2</v>
      </c>
      <c r="X206">
        <v>0.99271609999999999</v>
      </c>
      <c r="Y206">
        <v>-0.15322549999999999</v>
      </c>
      <c r="Z206">
        <v>5.8087959999999998E-3</v>
      </c>
      <c r="AA206">
        <v>0.9881742</v>
      </c>
      <c r="AB206">
        <v>8</v>
      </c>
      <c r="AC206">
        <v>18.7196</v>
      </c>
      <c r="AD206">
        <v>-1.1049019434909999</v>
      </c>
      <c r="AE206">
        <v>2.4847000000000299</v>
      </c>
      <c r="AF206">
        <v>-2.8962722064867501</v>
      </c>
      <c r="AG206">
        <v>-1.1049019434909999</v>
      </c>
      <c r="AH206">
        <v>18.595150718610501</v>
      </c>
      <c r="AI206">
        <v>93.360032200177599</v>
      </c>
      <c r="AJ206">
        <v>98.852924958018903</v>
      </c>
      <c r="AK206">
        <v>18.851759367407499</v>
      </c>
      <c r="AL206">
        <v>87.628295065703</v>
      </c>
      <c r="AM206">
        <v>96.5023580930158</v>
      </c>
      <c r="AN206">
        <v>1.00000000561251</v>
      </c>
    </row>
    <row r="207" spans="1:40" x14ac:dyDescent="0.3">
      <c r="A207" t="str">
        <f>"20200111145919700"</f>
        <v>20200111145919700</v>
      </c>
      <c r="B207" t="str">
        <f>"1578725959695671"</f>
        <v>1578725959695671</v>
      </c>
      <c r="C207" t="s">
        <v>40</v>
      </c>
      <c r="D207">
        <v>3.916118</v>
      </c>
      <c r="E207">
        <v>0.48090159999999998</v>
      </c>
      <c r="F207" t="s">
        <v>42</v>
      </c>
      <c r="G207">
        <v>-446.67270000000002</v>
      </c>
      <c r="H207" s="1">
        <v>-1.6002200000000001E-6</v>
      </c>
      <c r="I207">
        <v>369.79270000000002</v>
      </c>
      <c r="J207">
        <v>-464.61989999999997</v>
      </c>
      <c r="K207">
        <v>1.1048659999999999</v>
      </c>
      <c r="L207">
        <v>367.31299999999999</v>
      </c>
      <c r="M207">
        <v>0.99966529999999998</v>
      </c>
      <c r="N207">
        <v>0</v>
      </c>
      <c r="O207">
        <v>-2.2540359999999999E-2</v>
      </c>
      <c r="P207">
        <v>0.99546769999999996</v>
      </c>
      <c r="Q207">
        <v>2.9560119999999999E-2</v>
      </c>
      <c r="R207">
        <v>9.0389689999999995E-2</v>
      </c>
      <c r="S207">
        <v>2.9815369999999999</v>
      </c>
      <c r="T207">
        <v>-0.18304899999999999</v>
      </c>
      <c r="U207">
        <v>0.41061399999999998</v>
      </c>
      <c r="V207">
        <v>-0.1128058</v>
      </c>
      <c r="W207">
        <v>4.218073E-2</v>
      </c>
      <c r="X207">
        <v>0.99272130000000003</v>
      </c>
      <c r="Y207">
        <v>-0.15839329999999999</v>
      </c>
      <c r="Z207">
        <v>6.2115089999999996E-3</v>
      </c>
      <c r="AA207">
        <v>0.98735649999999997</v>
      </c>
      <c r="AB207">
        <v>8</v>
      </c>
      <c r="AC207">
        <v>17.947199999999899</v>
      </c>
      <c r="AD207">
        <v>-1.10486760022</v>
      </c>
      <c r="AE207">
        <v>2.4796999999999798</v>
      </c>
      <c r="AF207">
        <v>-2.8729546209265999</v>
      </c>
      <c r="AG207">
        <v>-1.10486760022</v>
      </c>
      <c r="AH207">
        <v>17.820469100882701</v>
      </c>
      <c r="AI207">
        <v>93.502680390387596</v>
      </c>
      <c r="AJ207">
        <v>99.158227541357704</v>
      </c>
      <c r="AK207">
        <v>18.084350130525401</v>
      </c>
      <c r="AL207">
        <v>87.582504888823294</v>
      </c>
      <c r="AM207">
        <v>96.482877759047398</v>
      </c>
      <c r="AN207">
        <v>0.999999970985331</v>
      </c>
    </row>
    <row r="208" spans="1:40" x14ac:dyDescent="0.3">
      <c r="A208" t="str">
        <f>"20200111145919718"</f>
        <v>20200111145919718</v>
      </c>
      <c r="B208" t="str">
        <f>"1578725959706407"</f>
        <v>1578725959706407</v>
      </c>
      <c r="C208" t="s">
        <v>40</v>
      </c>
      <c r="D208">
        <v>3.9424459999999999</v>
      </c>
      <c r="E208">
        <v>0.48031309999999999</v>
      </c>
      <c r="F208" t="s">
        <v>42</v>
      </c>
      <c r="G208">
        <v>-447.17910000000001</v>
      </c>
      <c r="H208" s="1">
        <v>-1.3627450000000001E-6</v>
      </c>
      <c r="I208">
        <v>369.7998</v>
      </c>
      <c r="J208">
        <v>-464.55439999999999</v>
      </c>
      <c r="K208">
        <v>1.1048039999999999</v>
      </c>
      <c r="L208">
        <v>367.3116</v>
      </c>
      <c r="M208">
        <v>0.99966929999999998</v>
      </c>
      <c r="N208">
        <v>0</v>
      </c>
      <c r="O208">
        <v>-2.2530830000000002E-2</v>
      </c>
      <c r="P208">
        <v>0.99546299999999999</v>
      </c>
      <c r="Q208">
        <v>3.1366709999999999E-2</v>
      </c>
      <c r="R208">
        <v>8.9832869999999995E-2</v>
      </c>
      <c r="S208">
        <v>2.9806520000000001</v>
      </c>
      <c r="T208">
        <v>-0.18882260000000001</v>
      </c>
      <c r="U208">
        <v>0.42498780000000003</v>
      </c>
      <c r="V208">
        <v>-0.11223900000000001</v>
      </c>
      <c r="W208">
        <v>4.3695669999999999E-2</v>
      </c>
      <c r="X208">
        <v>0.99272009999999999</v>
      </c>
      <c r="Y208">
        <v>-0.16306080000000001</v>
      </c>
      <c r="Z208">
        <v>6.5531670000000004E-3</v>
      </c>
      <c r="AA208">
        <v>0.98659430000000004</v>
      </c>
      <c r="AB208">
        <v>8</v>
      </c>
      <c r="AC208">
        <v>17.3752999999999</v>
      </c>
      <c r="AD208">
        <v>-1.1048053627450001</v>
      </c>
      <c r="AE208">
        <v>2.4882</v>
      </c>
      <c r="AF208">
        <v>-2.8677170027646799</v>
      </c>
      <c r="AG208">
        <v>-1.1048053627450001</v>
      </c>
      <c r="AH208">
        <v>17.246496156906801</v>
      </c>
      <c r="AI208">
        <v>93.615831311077301</v>
      </c>
      <c r="AJ208">
        <v>99.440667049728205</v>
      </c>
      <c r="AK208">
        <v>17.518162728656701</v>
      </c>
      <c r="AL208">
        <v>87.4956252831673</v>
      </c>
      <c r="AM208">
        <v>96.450587091214103</v>
      </c>
      <c r="AN208">
        <v>1.00000005082087</v>
      </c>
    </row>
    <row r="209" spans="1:40" x14ac:dyDescent="0.3">
      <c r="A209" t="str">
        <f>"20200111145919730"</f>
        <v>20200111145919730</v>
      </c>
      <c r="B209" t="str">
        <f>"1578725959725927"</f>
        <v>1578725959725927</v>
      </c>
      <c r="C209" t="s">
        <v>40</v>
      </c>
      <c r="D209">
        <v>3.9406940000000001</v>
      </c>
      <c r="E209">
        <v>0.47913800000000001</v>
      </c>
      <c r="F209" t="s">
        <v>42</v>
      </c>
      <c r="G209">
        <v>-447.0539</v>
      </c>
      <c r="H209" s="1">
        <v>-1.427957E-6</v>
      </c>
      <c r="I209">
        <v>369.82249999999999</v>
      </c>
      <c r="J209">
        <v>-464.50760000000002</v>
      </c>
      <c r="K209">
        <v>1.1047530000000001</v>
      </c>
      <c r="L209">
        <v>367.31049999999999</v>
      </c>
      <c r="M209">
        <v>0.99967220000000001</v>
      </c>
      <c r="N209">
        <v>0</v>
      </c>
      <c r="O209">
        <v>-2.2524639999999999E-2</v>
      </c>
      <c r="P209">
        <v>0.99547390000000002</v>
      </c>
      <c r="Q209">
        <v>3.1921209999999998E-2</v>
      </c>
      <c r="R209">
        <v>8.95151E-2</v>
      </c>
      <c r="S209">
        <v>2.980988</v>
      </c>
      <c r="T209">
        <v>-0.18818969999999999</v>
      </c>
      <c r="U209">
        <v>0.42770390000000003</v>
      </c>
      <c r="V209">
        <v>-0.1119155</v>
      </c>
      <c r="W209">
        <v>4.401389E-2</v>
      </c>
      <c r="X209">
        <v>0.99274249999999997</v>
      </c>
      <c r="Y209">
        <v>-0.16392079999999901</v>
      </c>
      <c r="Z209">
        <v>6.5566959999999999E-3</v>
      </c>
      <c r="AA209">
        <v>0.98645170000000004</v>
      </c>
      <c r="AB209">
        <v>8</v>
      </c>
      <c r="AC209">
        <v>17.453700000000001</v>
      </c>
      <c r="AD209">
        <v>-1.1047544279570001</v>
      </c>
      <c r="AE209">
        <v>2.512</v>
      </c>
      <c r="AF209">
        <v>-2.8931739708986499</v>
      </c>
      <c r="AG209">
        <v>-1.1047544279570001</v>
      </c>
      <c r="AH209">
        <v>17.3246836660058</v>
      </c>
      <c r="AI209">
        <v>93.598971837485493</v>
      </c>
      <c r="AJ209">
        <v>99.480748532781902</v>
      </c>
      <c r="AK209">
        <v>17.599306864167801</v>
      </c>
      <c r="AL209">
        <v>87.477374900409004</v>
      </c>
      <c r="AM209">
        <v>96.432007056439801</v>
      </c>
      <c r="AN209">
        <v>0.999999986479716</v>
      </c>
    </row>
    <row r="210" spans="1:40" x14ac:dyDescent="0.3">
      <c r="A210" t="str">
        <f>"20200111145919742"</f>
        <v>20200111145919742</v>
      </c>
      <c r="B210" t="str">
        <f>"1578725959735688"</f>
        <v>1578725959735688</v>
      </c>
      <c r="C210" t="s">
        <v>40</v>
      </c>
      <c r="D210">
        <v>3.9640140000000001</v>
      </c>
      <c r="E210">
        <v>0.47877740000000002</v>
      </c>
      <c r="F210" t="s">
        <v>42</v>
      </c>
      <c r="G210">
        <v>-447.42770000000002</v>
      </c>
      <c r="H210" s="1">
        <v>-1.247979E-6</v>
      </c>
      <c r="I210">
        <v>369.81009999999998</v>
      </c>
      <c r="J210">
        <v>-464.46089999999998</v>
      </c>
      <c r="K210">
        <v>1.1046990000000001</v>
      </c>
      <c r="L210">
        <v>367.30950000000001</v>
      </c>
      <c r="M210">
        <v>0.99967530000000004</v>
      </c>
      <c r="N210">
        <v>0</v>
      </c>
      <c r="O210">
        <v>-2.2518659999999999E-2</v>
      </c>
      <c r="P210">
        <v>0.99547569999999996</v>
      </c>
      <c r="Q210">
        <v>3.1634580000000002E-2</v>
      </c>
      <c r="R210">
        <v>8.9597010000000005E-2</v>
      </c>
      <c r="S210">
        <v>2.980591</v>
      </c>
      <c r="T210">
        <v>-0.1927884</v>
      </c>
      <c r="U210">
        <v>0.43618770000000001</v>
      </c>
      <c r="V210">
        <v>-0.11199149999999999</v>
      </c>
      <c r="W210">
        <v>4.3482720000000002E-2</v>
      </c>
      <c r="X210">
        <v>0.99275740000000001</v>
      </c>
      <c r="Y210">
        <v>-0.16665920000000001</v>
      </c>
      <c r="Z210">
        <v>6.8037419999999998E-3</v>
      </c>
      <c r="AA210">
        <v>0.98599110000000001</v>
      </c>
      <c r="AB210">
        <v>8</v>
      </c>
      <c r="AC210">
        <v>17.033199999999901</v>
      </c>
      <c r="AD210">
        <v>-1.10470024797899</v>
      </c>
      <c r="AE210">
        <v>2.50059999999996</v>
      </c>
      <c r="AF210">
        <v>-2.8717335082606801</v>
      </c>
      <c r="AG210">
        <v>-1.10470024797899</v>
      </c>
      <c r="AH210">
        <v>16.9029676758162</v>
      </c>
      <c r="AI210">
        <v>93.686592565118502</v>
      </c>
      <c r="AJ210">
        <v>99.642210707128498</v>
      </c>
      <c r="AK210">
        <v>17.180731423022699</v>
      </c>
      <c r="AL210">
        <v>87.507838022339001</v>
      </c>
      <c r="AM210">
        <v>96.436242496412703</v>
      </c>
      <c r="AN210">
        <v>1.0000000491328001</v>
      </c>
    </row>
    <row r="211" spans="1:40" x14ac:dyDescent="0.3">
      <c r="A211" t="str">
        <f>"20200111145919755"</f>
        <v>20200111145919755</v>
      </c>
      <c r="B211" t="str">
        <f>"1578725959746424"</f>
        <v>1578725959746424</v>
      </c>
      <c r="C211" t="s">
        <v>40</v>
      </c>
      <c r="D211">
        <v>4.0525769999999897</v>
      </c>
      <c r="E211">
        <v>0.4784195</v>
      </c>
      <c r="F211" t="s">
        <v>42</v>
      </c>
      <c r="G211">
        <v>-447.72280000000001</v>
      </c>
      <c r="H211" s="1">
        <v>-1.098871E-6</v>
      </c>
      <c r="I211">
        <v>369.77409999999998</v>
      </c>
      <c r="J211">
        <v>-464.40940000000001</v>
      </c>
      <c r="K211">
        <v>1.1046400000000001</v>
      </c>
      <c r="L211">
        <v>367.30829999999997</v>
      </c>
      <c r="M211">
        <v>0.99967870000000003</v>
      </c>
      <c r="N211">
        <v>0</v>
      </c>
      <c r="O211">
        <v>-2.251208E-2</v>
      </c>
      <c r="P211">
        <v>0.9955098</v>
      </c>
      <c r="Q211">
        <v>3.0987529999999999E-2</v>
      </c>
      <c r="R211">
        <v>8.9442690000000005E-2</v>
      </c>
      <c r="S211">
        <v>2.9803769999999998</v>
      </c>
      <c r="T211">
        <v>-0.19670309999999999</v>
      </c>
      <c r="U211">
        <v>0.43884279999999998</v>
      </c>
      <c r="V211">
        <v>-0.11183120000000001</v>
      </c>
      <c r="W211">
        <v>4.2563759999999999E-2</v>
      </c>
      <c r="X211">
        <v>0.99281529999999996</v>
      </c>
      <c r="Y211">
        <v>-0.16750489999999901</v>
      </c>
      <c r="Z211">
        <v>6.968943E-3</v>
      </c>
      <c r="AA211">
        <v>0.98584660000000002</v>
      </c>
      <c r="AB211">
        <v>9</v>
      </c>
      <c r="AC211">
        <v>16.686599999999999</v>
      </c>
      <c r="AD211">
        <v>-1.104641098871</v>
      </c>
      <c r="AE211">
        <v>2.4658000000000002</v>
      </c>
      <c r="AF211">
        <v>-2.8287190569434602</v>
      </c>
      <c r="AG211">
        <v>-1.104641098871</v>
      </c>
      <c r="AH211">
        <v>16.555853469422299</v>
      </c>
      <c r="AI211">
        <v>93.762866904630499</v>
      </c>
      <c r="AJ211">
        <v>99.695881539521693</v>
      </c>
      <c r="AK211">
        <v>16.8320577340209</v>
      </c>
      <c r="AL211">
        <v>87.560539364189395</v>
      </c>
      <c r="AM211">
        <v>96.426735380513307</v>
      </c>
      <c r="AN211">
        <v>1.0000000554364299</v>
      </c>
    </row>
    <row r="212" spans="1:40" x14ac:dyDescent="0.3">
      <c r="A212" t="str">
        <f>"20200111145919767"</f>
        <v>20200111145919767</v>
      </c>
      <c r="B212" t="str">
        <f>"1578725959756184"</f>
        <v>1578725959756184</v>
      </c>
      <c r="C212" t="s">
        <v>40</v>
      </c>
      <c r="D212">
        <v>3.994262</v>
      </c>
      <c r="E212">
        <v>0.47809659999999898</v>
      </c>
      <c r="F212" t="s">
        <v>42</v>
      </c>
      <c r="G212">
        <v>-448.04300000000001</v>
      </c>
      <c r="H212" s="1">
        <v>-9.369153E-7</v>
      </c>
      <c r="I212">
        <v>369.73419999999999</v>
      </c>
      <c r="J212">
        <v>-464.36439999999999</v>
      </c>
      <c r="K212">
        <v>1.104598</v>
      </c>
      <c r="L212">
        <v>367.3073</v>
      </c>
      <c r="M212">
        <v>0.9996815</v>
      </c>
      <c r="N212">
        <v>0</v>
      </c>
      <c r="O212">
        <v>-2.2506600000000002E-2</v>
      </c>
      <c r="P212">
        <v>0.99555669999999996</v>
      </c>
      <c r="Q212">
        <v>3.0200399999999999E-2</v>
      </c>
      <c r="R212">
        <v>8.9190190000000003E-2</v>
      </c>
      <c r="S212">
        <v>2.9801329999999999</v>
      </c>
      <c r="T212">
        <v>-0.2011423</v>
      </c>
      <c r="U212">
        <v>0.44171139999999998</v>
      </c>
      <c r="V212">
        <v>-0.1115741</v>
      </c>
      <c r="W212">
        <v>4.154708E-2</v>
      </c>
      <c r="X212">
        <v>0.99288730000000003</v>
      </c>
      <c r="Y212">
        <v>-0.16841919999999999</v>
      </c>
      <c r="Z212">
        <v>7.1562350000000004E-3</v>
      </c>
      <c r="AA212">
        <v>0.9856895</v>
      </c>
      <c r="AB212">
        <v>9</v>
      </c>
      <c r="AC212">
        <v>16.321399999999901</v>
      </c>
      <c r="AD212">
        <v>-1.1045989369153</v>
      </c>
      <c r="AE212">
        <v>2.4268999999999799</v>
      </c>
      <c r="AF212">
        <v>-2.7811852199848399</v>
      </c>
      <c r="AG212">
        <v>-1.1045989369153</v>
      </c>
      <c r="AH212">
        <v>16.190088894379901</v>
      </c>
      <c r="AI212">
        <v>93.846888296528903</v>
      </c>
      <c r="AJ212">
        <v>99.747315829555504</v>
      </c>
      <c r="AK212">
        <v>16.464328363076898</v>
      </c>
      <c r="AL212">
        <v>87.618842441468601</v>
      </c>
      <c r="AM212">
        <v>96.411622402800305</v>
      </c>
      <c r="AN212">
        <v>1.0000000650743099</v>
      </c>
    </row>
    <row r="213" spans="1:40" x14ac:dyDescent="0.3">
      <c r="A213" t="str">
        <f>"20200111145919786"</f>
        <v>20200111145919786</v>
      </c>
      <c r="B213" t="str">
        <f>"1578725959775703"</f>
        <v>1578725959775703</v>
      </c>
      <c r="C213" t="s">
        <v>40</v>
      </c>
      <c r="D213">
        <v>4.010643</v>
      </c>
      <c r="E213">
        <v>0.47784670000000001</v>
      </c>
      <c r="F213" t="s">
        <v>42</v>
      </c>
      <c r="G213">
        <v>-448.33179999999999</v>
      </c>
      <c r="H213" s="1">
        <v>-7.8937339999999998E-7</v>
      </c>
      <c r="I213">
        <v>369.6927</v>
      </c>
      <c r="J213">
        <v>-464.29390000000001</v>
      </c>
      <c r="K213">
        <v>1.1045480000000001</v>
      </c>
      <c r="L213">
        <v>367.30579999999998</v>
      </c>
      <c r="M213">
        <v>0.99968579999999996</v>
      </c>
      <c r="N213">
        <v>0</v>
      </c>
      <c r="O213">
        <v>-2.2497650000000001E-2</v>
      </c>
      <c r="P213">
        <v>0.99559960000000003</v>
      </c>
      <c r="Q213">
        <v>2.8985090000000002E-2</v>
      </c>
      <c r="R213">
        <v>8.9115979999999997E-2</v>
      </c>
      <c r="S213">
        <v>2.9798580000000001</v>
      </c>
      <c r="T213">
        <v>-0.20530300000000001</v>
      </c>
      <c r="U213">
        <v>0.44335940000000001</v>
      </c>
      <c r="V213">
        <v>-0.1114922</v>
      </c>
      <c r="W213">
        <v>3.9988650000000001E-2</v>
      </c>
      <c r="X213">
        <v>0.99296039999999997</v>
      </c>
      <c r="Y213">
        <v>-0.1689378</v>
      </c>
      <c r="Z213">
        <v>7.3214229999999996E-3</v>
      </c>
      <c r="AA213">
        <v>0.98559949999999996</v>
      </c>
      <c r="AB213">
        <v>9</v>
      </c>
      <c r="AC213">
        <v>15.9621</v>
      </c>
      <c r="AD213">
        <v>-1.1045487893733901</v>
      </c>
      <c r="AE213">
        <v>2.3869000000000198</v>
      </c>
      <c r="AF213">
        <v>-2.7326287575096502</v>
      </c>
      <c r="AG213">
        <v>-1.1045487893733901</v>
      </c>
      <c r="AH213">
        <v>15.8302131446075</v>
      </c>
      <c r="AI213">
        <v>93.933342323216195</v>
      </c>
      <c r="AJ213">
        <v>99.793941377281797</v>
      </c>
      <c r="AK213">
        <v>16.1022649387649</v>
      </c>
      <c r="AL213">
        <v>87.708208004579902</v>
      </c>
      <c r="AM213">
        <v>96.406487409413799</v>
      </c>
      <c r="AN213">
        <v>0.99999997937891105</v>
      </c>
    </row>
    <row r="214" spans="1:40" x14ac:dyDescent="0.3">
      <c r="A214" t="str">
        <f>"20200111145919798"</f>
        <v>20200111145919798</v>
      </c>
      <c r="B214" t="str">
        <f>"1578725959786440"</f>
        <v>1578725959786440</v>
      </c>
      <c r="C214" t="s">
        <v>40</v>
      </c>
      <c r="D214">
        <v>4.0053799999999997</v>
      </c>
      <c r="E214">
        <v>0.47777969999999997</v>
      </c>
      <c r="F214" t="s">
        <v>42</v>
      </c>
      <c r="G214">
        <v>-448.60550000000001</v>
      </c>
      <c r="H214" s="1">
        <v>-6.4849599999999895E-7</v>
      </c>
      <c r="I214">
        <v>369.64960000000002</v>
      </c>
      <c r="J214">
        <v>-464.24459999999999</v>
      </c>
      <c r="K214">
        <v>1.104519</v>
      </c>
      <c r="L214">
        <v>367.30459999999999</v>
      </c>
      <c r="M214">
        <v>0.99968809999999997</v>
      </c>
      <c r="N214">
        <v>0</v>
      </c>
      <c r="O214">
        <v>-2.2491190000000001E-2</v>
      </c>
      <c r="P214">
        <v>0.99559909999999996</v>
      </c>
      <c r="Q214">
        <v>2.929636E-2</v>
      </c>
      <c r="R214">
        <v>8.9017289999999999E-2</v>
      </c>
      <c r="S214">
        <v>2.979492</v>
      </c>
      <c r="T214">
        <v>-0.20977199999999999</v>
      </c>
      <c r="U214">
        <v>0.44512940000000001</v>
      </c>
      <c r="V214">
        <v>-0.11138720000000001</v>
      </c>
      <c r="W214">
        <v>4.0073930000000001E-2</v>
      </c>
      <c r="X214">
        <v>0.99296870000000004</v>
      </c>
      <c r="Y214">
        <v>-0.16950090000000001</v>
      </c>
      <c r="Z214">
        <v>7.5002300000000001E-3</v>
      </c>
      <c r="AA214">
        <v>0.98550150000000003</v>
      </c>
      <c r="AB214">
        <v>9</v>
      </c>
      <c r="AC214">
        <v>15.6390999999999</v>
      </c>
      <c r="AD214">
        <v>-1.104519648496</v>
      </c>
      <c r="AE214">
        <v>2.3450000000000202</v>
      </c>
      <c r="AF214">
        <v>-2.6830806092055699</v>
      </c>
      <c r="AG214">
        <v>-1.104519648496</v>
      </c>
      <c r="AH214">
        <v>15.5067521909093</v>
      </c>
      <c r="AI214">
        <v>94.014745818938493</v>
      </c>
      <c r="AJ214">
        <v>99.8165011762039</v>
      </c>
      <c r="AK214">
        <v>15.775875529417601</v>
      </c>
      <c r="AL214">
        <v>87.703317795621999</v>
      </c>
      <c r="AM214">
        <v>96.400451008624401</v>
      </c>
      <c r="AN214">
        <v>0.99999993368458495</v>
      </c>
    </row>
    <row r="215" spans="1:40" x14ac:dyDescent="0.3">
      <c r="A215" t="str">
        <f>"20200111145919811"</f>
        <v>20200111145919811</v>
      </c>
      <c r="B215" t="str">
        <f>"1578725959805960"</f>
        <v>1578725959805960</v>
      </c>
      <c r="C215" t="s">
        <v>40</v>
      </c>
      <c r="D215">
        <v>4.0333139999999998</v>
      </c>
      <c r="E215">
        <v>0.47724359999999999</v>
      </c>
      <c r="F215" t="s">
        <v>42</v>
      </c>
      <c r="G215">
        <v>-448.56270000000001</v>
      </c>
      <c r="H215" s="1">
        <v>-6.6860330000000005E-7</v>
      </c>
      <c r="I215">
        <v>369.649</v>
      </c>
      <c r="J215">
        <v>-464.19439999999997</v>
      </c>
      <c r="K215">
        <v>1.104501</v>
      </c>
      <c r="L215">
        <v>367.30349999999999</v>
      </c>
      <c r="M215">
        <v>0.99969070000000004</v>
      </c>
      <c r="N215">
        <v>0</v>
      </c>
      <c r="O215">
        <v>-2.248435E-2</v>
      </c>
      <c r="P215">
        <v>0.99558170000000001</v>
      </c>
      <c r="Q215">
        <v>2.9824639999999999E-2</v>
      </c>
      <c r="R215">
        <v>8.9037399999999906E-2</v>
      </c>
      <c r="S215">
        <v>2.979584</v>
      </c>
      <c r="T215">
        <v>-0.2098594</v>
      </c>
      <c r="U215">
        <v>0.44543460000000001</v>
      </c>
      <c r="V215">
        <v>-0.1114</v>
      </c>
      <c r="W215">
        <v>4.0391719999999999E-2</v>
      </c>
      <c r="X215">
        <v>0.99295440000000001</v>
      </c>
      <c r="Y215">
        <v>-0.16958779999999901</v>
      </c>
      <c r="Z215">
        <v>7.5056230000000003E-3</v>
      </c>
      <c r="AA215">
        <v>0.98548650000000004</v>
      </c>
      <c r="AB215">
        <v>9</v>
      </c>
      <c r="AC215">
        <v>15.631699999999899</v>
      </c>
      <c r="AD215">
        <v>-1.1045016686033</v>
      </c>
      <c r="AE215">
        <v>2.3455000000000101</v>
      </c>
      <c r="AF215">
        <v>-2.6832940002030701</v>
      </c>
      <c r="AG215">
        <v>-1.1045016686033</v>
      </c>
      <c r="AH215">
        <v>15.4993307644214</v>
      </c>
      <c r="AI215">
        <v>94.016531709429302</v>
      </c>
      <c r="AJ215">
        <v>99.821875909313803</v>
      </c>
      <c r="AK215">
        <v>15.768615816628101</v>
      </c>
      <c r="AL215">
        <v>87.685095042136297</v>
      </c>
      <c r="AM215">
        <v>96.401271829546999</v>
      </c>
      <c r="AN215">
        <v>0.99999994576195705</v>
      </c>
    </row>
    <row r="216" spans="1:40" x14ac:dyDescent="0.3">
      <c r="A216" t="str">
        <f>"20200111145919823"</f>
        <v>20200111145919823</v>
      </c>
      <c r="B216" t="str">
        <f>"1578725959815719"</f>
        <v>1578725959815719</v>
      </c>
      <c r="C216" t="s">
        <v>40</v>
      </c>
      <c r="D216">
        <v>4.0772919999999999</v>
      </c>
      <c r="E216">
        <v>0.47709590000000002</v>
      </c>
      <c r="F216" t="s">
        <v>42</v>
      </c>
      <c r="G216">
        <v>-448.6771</v>
      </c>
      <c r="H216" s="1">
        <v>-6.1345359999999996E-7</v>
      </c>
      <c r="I216">
        <v>369.64499999999998</v>
      </c>
      <c r="J216">
        <v>-464.1465</v>
      </c>
      <c r="K216">
        <v>1.1044879999999999</v>
      </c>
      <c r="L216">
        <v>367.30250000000001</v>
      </c>
      <c r="M216">
        <v>0.99969300000000005</v>
      </c>
      <c r="N216">
        <v>0</v>
      </c>
      <c r="O216">
        <v>-2.2478100000000001E-2</v>
      </c>
      <c r="P216">
        <v>0.99552300000000005</v>
      </c>
      <c r="Q216">
        <v>3.0697539999999999E-2</v>
      </c>
      <c r="R216">
        <v>8.9398779999999997E-2</v>
      </c>
      <c r="S216">
        <v>2.9794619999999998</v>
      </c>
      <c r="T216">
        <v>-0.21207409999999999</v>
      </c>
      <c r="U216">
        <v>0.44958500000000001</v>
      </c>
      <c r="V216">
        <v>-0.1117534</v>
      </c>
      <c r="W216">
        <v>4.1072560000000001E-2</v>
      </c>
      <c r="X216">
        <v>0.99288679999999996</v>
      </c>
      <c r="Y216">
        <v>-0.17091679999999901</v>
      </c>
      <c r="Z216">
        <v>7.630698E-3</v>
      </c>
      <c r="AA216">
        <v>0.98525589999999996</v>
      </c>
      <c r="AB216">
        <v>9</v>
      </c>
      <c r="AC216">
        <v>15.4694</v>
      </c>
      <c r="AD216">
        <v>-1.1044886134535901</v>
      </c>
      <c r="AE216">
        <v>2.3424999999999701</v>
      </c>
      <c r="AF216">
        <v>-2.6763124304307202</v>
      </c>
      <c r="AG216">
        <v>-1.1044886134535901</v>
      </c>
      <c r="AH216">
        <v>15.3364051064375</v>
      </c>
      <c r="AI216">
        <v>94.058066986720604</v>
      </c>
      <c r="AJ216">
        <v>99.898844393715393</v>
      </c>
      <c r="AK216">
        <v>15.607301653754501</v>
      </c>
      <c r="AL216">
        <v>87.646053478691101</v>
      </c>
      <c r="AM216">
        <v>96.421843104447504</v>
      </c>
      <c r="AN216">
        <v>0.99999998760537601</v>
      </c>
    </row>
    <row r="217" spans="1:40" x14ac:dyDescent="0.3">
      <c r="A217" t="str">
        <f>"20200111145919842"</f>
        <v>20200111145919842</v>
      </c>
      <c r="B217" t="str">
        <f>"1578725959836216"</f>
        <v>1578725959836216</v>
      </c>
      <c r="C217" t="s">
        <v>40</v>
      </c>
      <c r="D217">
        <v>4.0564539999999996</v>
      </c>
      <c r="E217">
        <v>0.47695330000000002</v>
      </c>
      <c r="F217" t="s">
        <v>42</v>
      </c>
      <c r="G217">
        <v>-448.58109999999999</v>
      </c>
      <c r="H217" s="1">
        <v>-6.6359350000000002E-7</v>
      </c>
      <c r="I217">
        <v>369.66300000000001</v>
      </c>
      <c r="J217">
        <v>-464.07380000000001</v>
      </c>
      <c r="K217">
        <v>1.104479</v>
      </c>
      <c r="L217">
        <v>367.30079999999998</v>
      </c>
      <c r="M217">
        <v>0.99969580000000002</v>
      </c>
      <c r="N217">
        <v>0</v>
      </c>
      <c r="O217">
        <v>-2.24683E-2</v>
      </c>
      <c r="P217">
        <v>0.99532719999999997</v>
      </c>
      <c r="Q217">
        <v>3.197995E-2</v>
      </c>
      <c r="R217">
        <v>9.1111310000000001E-2</v>
      </c>
      <c r="S217">
        <v>2.9794309999999999</v>
      </c>
      <c r="T217">
        <v>-0.21141550000000001</v>
      </c>
      <c r="U217">
        <v>0.4518433</v>
      </c>
      <c r="V217">
        <v>-0.11345139999999999</v>
      </c>
      <c r="W217">
        <v>4.2090679999999998E-2</v>
      </c>
      <c r="X217">
        <v>0.99265159999999997</v>
      </c>
      <c r="Y217">
        <v>-0.17163989999999901</v>
      </c>
      <c r="Z217">
        <v>7.631494E-3</v>
      </c>
      <c r="AA217">
        <v>0.98513019999999996</v>
      </c>
      <c r="AB217">
        <v>9</v>
      </c>
      <c r="AC217">
        <v>15.492699999999999</v>
      </c>
      <c r="AD217">
        <v>-1.1044796635934999</v>
      </c>
      <c r="AE217">
        <v>2.3622000000000298</v>
      </c>
      <c r="AF217">
        <v>-2.6963240392465702</v>
      </c>
      <c r="AG217">
        <v>-1.1044796635934999</v>
      </c>
      <c r="AH217">
        <v>15.359423339041101</v>
      </c>
      <c r="AI217">
        <v>94.051258814574794</v>
      </c>
      <c r="AJ217">
        <v>99.956736680594105</v>
      </c>
      <c r="AK217">
        <v>15.6333593306043</v>
      </c>
      <c r="AL217">
        <v>87.587669083873607</v>
      </c>
      <c r="AM217">
        <v>96.520115280903994</v>
      </c>
      <c r="AN217">
        <v>1.00000002224369</v>
      </c>
    </row>
    <row r="218" spans="1:40" x14ac:dyDescent="0.3">
      <c r="A218" t="str">
        <f>"20200111145919855"</f>
        <v>20200111145919855</v>
      </c>
      <c r="B218" t="str">
        <f>"1578725959845976"</f>
        <v>1578725959845976</v>
      </c>
      <c r="C218" t="s">
        <v>40</v>
      </c>
      <c r="D218">
        <v>4.106147</v>
      </c>
      <c r="E218">
        <v>0.47681069999999998</v>
      </c>
      <c r="F218" t="s">
        <v>42</v>
      </c>
      <c r="G218">
        <v>-448.42899999999997</v>
      </c>
      <c r="H218" s="1">
        <v>-7.4655539999999997E-7</v>
      </c>
      <c r="I218">
        <v>369.70460000000003</v>
      </c>
      <c r="J218">
        <v>-464.01949999999999</v>
      </c>
      <c r="K218">
        <v>1.104468</v>
      </c>
      <c r="L218">
        <v>367.2996</v>
      </c>
      <c r="M218">
        <v>0.99969759999999996</v>
      </c>
      <c r="N218">
        <v>0</v>
      </c>
      <c r="O218">
        <v>-2.2459929999999999E-2</v>
      </c>
      <c r="P218">
        <v>0.9952143</v>
      </c>
      <c r="Q218">
        <v>3.2236099999999997E-2</v>
      </c>
      <c r="R218">
        <v>9.2244870000000007E-2</v>
      </c>
      <c r="S218">
        <v>2.9789430000000001</v>
      </c>
      <c r="T218">
        <v>-0.21030589999999999</v>
      </c>
      <c r="U218">
        <v>0.45770260000000001</v>
      </c>
      <c r="V218">
        <v>-0.1145737</v>
      </c>
      <c r="W218">
        <v>4.2174530000000002E-2</v>
      </c>
      <c r="X218">
        <v>0.99251909999999999</v>
      </c>
      <c r="Y218">
        <v>-0.17354919999999999</v>
      </c>
      <c r="Z218">
        <v>7.6579909999999899E-3</v>
      </c>
      <c r="AA218">
        <v>0.98479550000000005</v>
      </c>
      <c r="AB218">
        <v>9</v>
      </c>
      <c r="AC218">
        <v>15.590499999999899</v>
      </c>
      <c r="AD218">
        <v>-1.1044687465553999</v>
      </c>
      <c r="AE218">
        <v>2.4050000000000198</v>
      </c>
      <c r="AF218">
        <v>-2.7411353148339601</v>
      </c>
      <c r="AG218">
        <v>-1.1044687465553999</v>
      </c>
      <c r="AH218">
        <v>15.4567788560023</v>
      </c>
      <c r="AI218">
        <v>94.024554990530305</v>
      </c>
      <c r="AJ218">
        <v>100.056390151993</v>
      </c>
      <c r="AK218">
        <v>15.736762266416401</v>
      </c>
      <c r="AL218">
        <v>87.582860494212298</v>
      </c>
      <c r="AM218">
        <v>96.584922152845493</v>
      </c>
      <c r="AN218">
        <v>0.99999999378861004</v>
      </c>
    </row>
    <row r="219" spans="1:40" x14ac:dyDescent="0.3">
      <c r="A219" t="str">
        <f>"20200111145919869"</f>
        <v>20200111145919869</v>
      </c>
      <c r="B219" t="str">
        <f>"1578725959866472"</f>
        <v>1578725959866472</v>
      </c>
      <c r="C219" t="s">
        <v>40</v>
      </c>
      <c r="D219">
        <v>4.3514410000000003</v>
      </c>
      <c r="E219">
        <v>0.4764275</v>
      </c>
      <c r="F219" t="s">
        <v>42</v>
      </c>
      <c r="G219">
        <v>-448.46199999999999</v>
      </c>
      <c r="H219" s="1">
        <v>-7.3400759999999896E-7</v>
      </c>
      <c r="I219">
        <v>369.71589999999998</v>
      </c>
      <c r="J219">
        <v>-463.96710000000002</v>
      </c>
      <c r="K219">
        <v>1.1044620000000001</v>
      </c>
      <c r="L219">
        <v>367.29849999999999</v>
      </c>
      <c r="M219">
        <v>0.99969940000000002</v>
      </c>
      <c r="N219">
        <v>0</v>
      </c>
      <c r="O219">
        <v>-2.2452050000000001E-2</v>
      </c>
      <c r="P219">
        <v>0.99511530000000004</v>
      </c>
      <c r="Q219">
        <v>3.1981709999999997E-2</v>
      </c>
      <c r="R219">
        <v>9.3396519999999997E-2</v>
      </c>
      <c r="S219">
        <v>2.9783940000000002</v>
      </c>
      <c r="T219">
        <v>-0.2114432</v>
      </c>
      <c r="U219">
        <v>0.46258539999999998</v>
      </c>
      <c r="V219">
        <v>-0.1157157</v>
      </c>
      <c r="W219">
        <v>4.1770040000000001E-2</v>
      </c>
      <c r="X219">
        <v>0.9924037</v>
      </c>
      <c r="Y219">
        <v>-0.17513609999999999</v>
      </c>
      <c r="Z219">
        <v>7.7551219999999997E-3</v>
      </c>
      <c r="AA219">
        <v>0.98451370000000005</v>
      </c>
      <c r="AB219">
        <v>9</v>
      </c>
      <c r="AC219">
        <v>15.505100000000001</v>
      </c>
      <c r="AD219">
        <v>-1.1044627340076001</v>
      </c>
      <c r="AE219">
        <v>2.4173999999999798</v>
      </c>
      <c r="AF219">
        <v>-2.7512998464642102</v>
      </c>
      <c r="AG219">
        <v>-1.1044627340076001</v>
      </c>
      <c r="AH219">
        <v>15.370771968258</v>
      </c>
      <c r="AI219">
        <v>94.0458261069397</v>
      </c>
      <c r="AJ219">
        <v>100.148219586648</v>
      </c>
      <c r="AK219">
        <v>15.654076774954</v>
      </c>
      <c r="AL219">
        <v>87.606056476121395</v>
      </c>
      <c r="AM219">
        <v>96.650737962752601</v>
      </c>
      <c r="AN219">
        <v>0.99999998162088999</v>
      </c>
    </row>
    <row r="220" spans="1:40" x14ac:dyDescent="0.3">
      <c r="A220" t="str">
        <f>"20200111145919886"</f>
        <v>20200111145919886</v>
      </c>
      <c r="B220" t="str">
        <f>"1578725959876231"</f>
        <v>1578725959876231</v>
      </c>
      <c r="C220" t="s">
        <v>40</v>
      </c>
      <c r="D220">
        <v>4.100784</v>
      </c>
      <c r="E220">
        <v>0.4762864</v>
      </c>
      <c r="F220" t="s">
        <v>42</v>
      </c>
      <c r="G220">
        <v>-448.6506</v>
      </c>
      <c r="H220" s="1">
        <v>-6.4365530000000003E-7</v>
      </c>
      <c r="I220">
        <v>369.7115</v>
      </c>
      <c r="J220">
        <v>-463.89530000000002</v>
      </c>
      <c r="K220">
        <v>1.1044430000000001</v>
      </c>
      <c r="L220">
        <v>367.29689999999999</v>
      </c>
      <c r="M220">
        <v>0.99970130000000001</v>
      </c>
      <c r="N220">
        <v>0</v>
      </c>
      <c r="O220">
        <v>-2.2440700000000001E-2</v>
      </c>
      <c r="P220">
        <v>0.99490350000000005</v>
      </c>
      <c r="Q220">
        <v>3.1517200000000002E-2</v>
      </c>
      <c r="R220">
        <v>9.5781119999999997E-2</v>
      </c>
      <c r="S220">
        <v>2.9776310000000001</v>
      </c>
      <c r="T220">
        <v>-0.2147155</v>
      </c>
      <c r="U220">
        <v>0.46911619999999998</v>
      </c>
      <c r="V220">
        <v>-0.1180832</v>
      </c>
      <c r="W220">
        <v>4.1125920000000003E-2</v>
      </c>
      <c r="X220">
        <v>0.99215169999999997</v>
      </c>
      <c r="Y220">
        <v>-0.17724999999999999</v>
      </c>
      <c r="Z220">
        <v>7.950347E-3</v>
      </c>
      <c r="AA220">
        <v>0.98413379999999995</v>
      </c>
      <c r="AB220">
        <v>9</v>
      </c>
      <c r="AC220">
        <v>15.2447</v>
      </c>
      <c r="AD220">
        <v>-1.1044436436553</v>
      </c>
      <c r="AE220">
        <v>2.4146000000000001</v>
      </c>
      <c r="AF220">
        <v>-2.7420696634306601</v>
      </c>
      <c r="AG220">
        <v>-1.1044436436553</v>
      </c>
      <c r="AH220">
        <v>15.1093098270228</v>
      </c>
      <c r="AI220">
        <v>94.113748572012994</v>
      </c>
      <c r="AJ220">
        <v>100.28620691008599</v>
      </c>
      <c r="AK220">
        <v>15.3957781631876</v>
      </c>
      <c r="AL220">
        <v>87.642993595204899</v>
      </c>
      <c r="AM220">
        <v>96.787260749417598</v>
      </c>
      <c r="AN220">
        <v>0.99999998961548797</v>
      </c>
    </row>
    <row r="221" spans="1:40" x14ac:dyDescent="0.3">
      <c r="A221" t="str">
        <f>"20200111145919899"</f>
        <v>20200111145919899</v>
      </c>
      <c r="B221" t="str">
        <f>"1578725959895751"</f>
        <v>1578725959895751</v>
      </c>
      <c r="C221" t="s">
        <v>40</v>
      </c>
      <c r="D221">
        <v>4.1562190000000001</v>
      </c>
      <c r="E221">
        <v>0.4762517</v>
      </c>
      <c r="F221" t="s">
        <v>42</v>
      </c>
      <c r="G221">
        <v>-448.71129999999999</v>
      </c>
      <c r="H221" s="1">
        <v>-6.2104469999999895E-7</v>
      </c>
      <c r="I221">
        <v>369.73430000000002</v>
      </c>
      <c r="J221">
        <v>-463.84390000000002</v>
      </c>
      <c r="K221">
        <v>1.1044419999999999</v>
      </c>
      <c r="L221">
        <v>367.29570000000001</v>
      </c>
      <c r="M221">
        <v>0.9997026</v>
      </c>
      <c r="N221">
        <v>0</v>
      </c>
      <c r="O221">
        <v>-2.2432440000000001E-2</v>
      </c>
      <c r="P221">
        <v>0.9948264</v>
      </c>
      <c r="Q221">
        <v>3.1138220000000001E-2</v>
      </c>
      <c r="R221">
        <v>9.6700330000000001E-2</v>
      </c>
      <c r="S221">
        <v>2.9761959999999998</v>
      </c>
      <c r="T221">
        <v>-0.2164807</v>
      </c>
      <c r="U221">
        <v>0.47775269999999997</v>
      </c>
      <c r="V221">
        <v>-0.1189924</v>
      </c>
      <c r="W221">
        <v>4.0636619999999998E-2</v>
      </c>
      <c r="X221">
        <v>0.99206320000000003</v>
      </c>
      <c r="Y221">
        <v>-0.18008339999999901</v>
      </c>
      <c r="Z221">
        <v>8.1192160000000003E-3</v>
      </c>
      <c r="AA221">
        <v>0.98361779999999999</v>
      </c>
      <c r="AB221">
        <v>9</v>
      </c>
      <c r="AC221">
        <v>15.1326</v>
      </c>
      <c r="AD221">
        <v>-1.1044426210447</v>
      </c>
      <c r="AE221">
        <v>2.4386000000000001</v>
      </c>
      <c r="AF221">
        <v>-2.76311718521419</v>
      </c>
      <c r="AG221">
        <v>-1.1044426210447</v>
      </c>
      <c r="AH221">
        <v>14.996226776805701</v>
      </c>
      <c r="AI221">
        <v>94.142632433379205</v>
      </c>
      <c r="AJ221">
        <v>100.43989337172199</v>
      </c>
      <c r="AK221">
        <v>15.2886045021706</v>
      </c>
      <c r="AL221">
        <v>87.671051806846904</v>
      </c>
      <c r="AM221">
        <v>96.839631529067802</v>
      </c>
      <c r="AN221">
        <v>0.99999995946851095</v>
      </c>
    </row>
    <row r="222" spans="1:40" x14ac:dyDescent="0.3">
      <c r="A222" t="str">
        <f>"20200111145919912"</f>
        <v>20200111145919912</v>
      </c>
      <c r="B222" t="str">
        <f>"1578725959905512"</f>
        <v>1578725959905512</v>
      </c>
      <c r="C222" t="s">
        <v>40</v>
      </c>
      <c r="D222">
        <v>4.1289850000000001</v>
      </c>
      <c r="E222">
        <v>0.47622330000000002</v>
      </c>
      <c r="F222" t="s">
        <v>42</v>
      </c>
      <c r="G222">
        <v>-448.91449999999998</v>
      </c>
      <c r="H222" s="1">
        <v>-5.175199E-7</v>
      </c>
      <c r="I222">
        <v>369.70620000000002</v>
      </c>
      <c r="J222">
        <v>-463.79169999999999</v>
      </c>
      <c r="K222">
        <v>1.1044419999999999</v>
      </c>
      <c r="L222">
        <v>367.2946</v>
      </c>
      <c r="M222">
        <v>0.99970360000000003</v>
      </c>
      <c r="N222">
        <v>0</v>
      </c>
      <c r="O222">
        <v>-2.242429E-2</v>
      </c>
      <c r="P222">
        <v>0.99475020000000003</v>
      </c>
      <c r="Q222">
        <v>3.1254499999999998E-2</v>
      </c>
      <c r="R222">
        <v>9.7444180000000005E-2</v>
      </c>
      <c r="S222">
        <v>2.9757690000000001</v>
      </c>
      <c r="T222">
        <v>-0.2201409</v>
      </c>
      <c r="U222">
        <v>0.48046879999999997</v>
      </c>
      <c r="V222">
        <v>-0.119726399999999</v>
      </c>
      <c r="W222">
        <v>4.0667590000000003E-2</v>
      </c>
      <c r="X222">
        <v>0.99197360000000001</v>
      </c>
      <c r="Y222">
        <v>-0.18095240000000001</v>
      </c>
      <c r="Z222">
        <v>8.2880000000000002E-3</v>
      </c>
      <c r="AA222">
        <v>0.98345689999999997</v>
      </c>
      <c r="AB222">
        <v>9</v>
      </c>
      <c r="AC222">
        <v>14.8772</v>
      </c>
      <c r="AD222">
        <v>-1.1044425175199</v>
      </c>
      <c r="AE222">
        <v>2.4116000000000199</v>
      </c>
      <c r="AF222">
        <v>-2.7299591179267302</v>
      </c>
      <c r="AG222">
        <v>-1.1044425175199</v>
      </c>
      <c r="AH222">
        <v>14.740221925153699</v>
      </c>
      <c r="AI222">
        <v>94.213610341545802</v>
      </c>
      <c r="AJ222">
        <v>100.492560827049</v>
      </c>
      <c r="AK222">
        <v>15.0315206304232</v>
      </c>
      <c r="AL222">
        <v>87.669275851004201</v>
      </c>
      <c r="AM222">
        <v>96.882033801516997</v>
      </c>
      <c r="AN222">
        <v>0.99999994341516196</v>
      </c>
    </row>
    <row r="223" spans="1:40" x14ac:dyDescent="0.3">
      <c r="A223" t="str">
        <f>"20200111145919934"</f>
        <v>20200111145919934</v>
      </c>
      <c r="B223" t="str">
        <f>"1578725959926008"</f>
        <v>1578725959926008</v>
      </c>
      <c r="C223" t="s">
        <v>40</v>
      </c>
      <c r="D223">
        <v>4.1135449999999896</v>
      </c>
      <c r="E223">
        <v>0.4762922</v>
      </c>
      <c r="F223" t="s">
        <v>42</v>
      </c>
      <c r="G223">
        <v>-448.91050000000001</v>
      </c>
      <c r="H223" s="1">
        <v>-5.2081540000000002E-7</v>
      </c>
      <c r="I223">
        <v>369.7115</v>
      </c>
      <c r="J223">
        <v>-463.70100000000002</v>
      </c>
      <c r="K223">
        <v>1.1044510000000001</v>
      </c>
      <c r="L223">
        <v>367.29250000000002</v>
      </c>
      <c r="M223">
        <v>0.99970510000000001</v>
      </c>
      <c r="N223">
        <v>0</v>
      </c>
      <c r="O223">
        <v>-2.240847E-2</v>
      </c>
      <c r="P223">
        <v>0.99468849999999998</v>
      </c>
      <c r="Q223">
        <v>3.1253620000000003E-2</v>
      </c>
      <c r="R223">
        <v>9.8072450000000005E-2</v>
      </c>
      <c r="S223">
        <v>2.9754330000000002</v>
      </c>
      <c r="T223">
        <v>-0.22082750000000001</v>
      </c>
      <c r="U223">
        <v>0.4832458</v>
      </c>
      <c r="V223">
        <v>-0.12033720000000001</v>
      </c>
      <c r="W223">
        <v>4.0549429999999997E-2</v>
      </c>
      <c r="X223">
        <v>0.99190460000000003</v>
      </c>
      <c r="Y223">
        <v>-0.1818429</v>
      </c>
      <c r="Z223">
        <v>8.3457129999999994E-3</v>
      </c>
      <c r="AA223">
        <v>0.98329219999999895</v>
      </c>
      <c r="AB223">
        <v>9</v>
      </c>
      <c r="AC223">
        <v>14.7904999999999</v>
      </c>
      <c r="AD223">
        <v>-1.1044515208154</v>
      </c>
      <c r="AE223">
        <v>2.4189999999999801</v>
      </c>
      <c r="AF223">
        <v>-2.7349863731673301</v>
      </c>
      <c r="AG223">
        <v>-1.1044515208154</v>
      </c>
      <c r="AH223">
        <v>14.6529998700706</v>
      </c>
      <c r="AI223">
        <v>94.237538201007496</v>
      </c>
      <c r="AJ223">
        <v>100.572615555211</v>
      </c>
      <c r="AK223">
        <v>14.946918371876301</v>
      </c>
      <c r="AL223">
        <v>87.676051680202605</v>
      </c>
      <c r="AM223">
        <v>96.917280624606207</v>
      </c>
      <c r="AN223">
        <v>1.0000000167391601</v>
      </c>
    </row>
    <row r="224" spans="1:40" x14ac:dyDescent="0.3">
      <c r="A224" t="str">
        <f>"20200111145919949"</f>
        <v>20200111145919949</v>
      </c>
      <c r="B224" t="str">
        <f>"1578725959946505"</f>
        <v>1578725959946505</v>
      </c>
      <c r="C224" t="s">
        <v>40</v>
      </c>
      <c r="D224">
        <v>4.1090549999999997</v>
      </c>
      <c r="E224">
        <v>0.47630240000000001</v>
      </c>
      <c r="F224" t="s">
        <v>42</v>
      </c>
      <c r="G224">
        <v>-449.01179999999999</v>
      </c>
      <c r="H224" s="1">
        <v>-4.660306E-7</v>
      </c>
      <c r="I224">
        <v>369.68560000000002</v>
      </c>
      <c r="J224">
        <v>-463.6429</v>
      </c>
      <c r="K224">
        <v>1.1044590000000001</v>
      </c>
      <c r="L224">
        <v>367.29129999999998</v>
      </c>
      <c r="M224">
        <v>0.99970579999999998</v>
      </c>
      <c r="N224">
        <v>0</v>
      </c>
      <c r="O224">
        <v>-2.2395209999999999E-2</v>
      </c>
      <c r="P224">
        <v>0.99470400000000003</v>
      </c>
      <c r="Q224">
        <v>3.0761839999999999E-2</v>
      </c>
      <c r="R224">
        <v>9.8069790000000004E-2</v>
      </c>
      <c r="S224">
        <v>2.975311</v>
      </c>
      <c r="T224">
        <v>-0.22370760000000001</v>
      </c>
      <c r="U224">
        <v>0.48471069999999999</v>
      </c>
      <c r="V224">
        <v>-0.12032180000000001</v>
      </c>
      <c r="W224">
        <v>4.0002940000000001E-2</v>
      </c>
      <c r="X224">
        <v>0.99192860000000005</v>
      </c>
      <c r="Y224">
        <v>-0.18229229999999999</v>
      </c>
      <c r="Z224">
        <v>8.470043E-3</v>
      </c>
      <c r="AA224">
        <v>0.98320790000000002</v>
      </c>
      <c r="AB224">
        <v>9</v>
      </c>
      <c r="AC224">
        <v>14.6311</v>
      </c>
      <c r="AD224">
        <v>-1.1044594660306</v>
      </c>
      <c r="AE224">
        <v>2.3943000000000398</v>
      </c>
      <c r="AF224">
        <v>-2.7063607688917601</v>
      </c>
      <c r="AG224">
        <v>-1.1044594660306</v>
      </c>
      <c r="AH224">
        <v>14.493373294486499</v>
      </c>
      <c r="AI224">
        <v>94.284005242278297</v>
      </c>
      <c r="AJ224">
        <v>100.57708025119599</v>
      </c>
      <c r="AK224">
        <v>14.7851983002202</v>
      </c>
      <c r="AL224">
        <v>87.707388545773796</v>
      </c>
      <c r="AM224">
        <v>96.916238246070506</v>
      </c>
      <c r="AN224">
        <v>0.99999995913092099</v>
      </c>
    </row>
    <row r="225" spans="1:40" x14ac:dyDescent="0.3">
      <c r="A225" t="str">
        <f>"20200111145919966"</f>
        <v>20200111145919966</v>
      </c>
      <c r="B225" t="str">
        <f>"1578725959956263"</f>
        <v>1578725959956263</v>
      </c>
      <c r="C225" t="s">
        <v>40</v>
      </c>
      <c r="D225">
        <v>4.1241810000000001</v>
      </c>
      <c r="E225">
        <v>0.47631000000000001</v>
      </c>
      <c r="F225" t="s">
        <v>42</v>
      </c>
      <c r="G225">
        <v>-449.2063</v>
      </c>
      <c r="H225" s="1">
        <v>-3.6248530000000001E-7</v>
      </c>
      <c r="I225">
        <v>369.642</v>
      </c>
      <c r="J225">
        <v>-463.5727</v>
      </c>
      <c r="K225">
        <v>1.104471</v>
      </c>
      <c r="L225">
        <v>367.28969999999998</v>
      </c>
      <c r="M225">
        <v>0.99970680000000001</v>
      </c>
      <c r="N225">
        <v>0</v>
      </c>
      <c r="O225">
        <v>-2.2375989999999998E-2</v>
      </c>
      <c r="P225">
        <v>0.99475040000000003</v>
      </c>
      <c r="Q225">
        <v>3.0246950000000002E-2</v>
      </c>
      <c r="R225">
        <v>9.7758460000000005E-2</v>
      </c>
      <c r="S225">
        <v>2.9752200000000002</v>
      </c>
      <c r="T225">
        <v>-0.2276176</v>
      </c>
      <c r="U225">
        <v>0.48446660000000002</v>
      </c>
      <c r="V225">
        <v>-0.1199925</v>
      </c>
      <c r="W225">
        <v>3.9435480000000002E-2</v>
      </c>
      <c r="X225">
        <v>0.99199130000000002</v>
      </c>
      <c r="Y225">
        <v>-0.18218010000000001</v>
      </c>
      <c r="Z225">
        <v>8.6122639999999997E-3</v>
      </c>
      <c r="AA225">
        <v>0.98322739999999997</v>
      </c>
      <c r="AB225">
        <v>9</v>
      </c>
      <c r="AC225">
        <v>14.366400000000001</v>
      </c>
      <c r="AD225">
        <v>-1.1044713624853</v>
      </c>
      <c r="AE225">
        <v>2.3523000000000098</v>
      </c>
      <c r="AF225">
        <v>-2.6578882951470799</v>
      </c>
      <c r="AG225">
        <v>-1.1044713624853</v>
      </c>
      <c r="AH225">
        <v>14.228267082583001</v>
      </c>
      <c r="AI225">
        <v>94.363510867128895</v>
      </c>
      <c r="AJ225">
        <v>100.581092238989</v>
      </c>
      <c r="AK225">
        <v>14.5164669032566</v>
      </c>
      <c r="AL225">
        <v>87.739927488955004</v>
      </c>
      <c r="AM225">
        <v>96.897060526688307</v>
      </c>
      <c r="AN225">
        <v>1.0000000482073801</v>
      </c>
    </row>
    <row r="226" spans="1:40" x14ac:dyDescent="0.3">
      <c r="A226" t="str">
        <f>"20200111145919987"</f>
        <v>20200111145919987</v>
      </c>
      <c r="B226" t="str">
        <f>"1578725959975783"</f>
        <v>1578725959975783</v>
      </c>
      <c r="C226" t="s">
        <v>40</v>
      </c>
      <c r="D226">
        <v>4.2587950000000001</v>
      </c>
      <c r="E226">
        <v>0.47635070000000002</v>
      </c>
      <c r="F226" t="s">
        <v>42</v>
      </c>
      <c r="G226">
        <v>-449.26670000000001</v>
      </c>
      <c r="H226" s="1">
        <v>-3.2748400000000002E-7</v>
      </c>
      <c r="I226">
        <v>369.61430000000001</v>
      </c>
      <c r="J226">
        <v>-463.48750000000001</v>
      </c>
      <c r="K226">
        <v>1.104484</v>
      </c>
      <c r="L226">
        <v>367.2878</v>
      </c>
      <c r="M226">
        <v>0.99970789999999998</v>
      </c>
      <c r="N226">
        <v>0</v>
      </c>
      <c r="O226">
        <v>-2.234386E-2</v>
      </c>
      <c r="P226">
        <v>0.99483909999999998</v>
      </c>
      <c r="Q226">
        <v>3.026597E-2</v>
      </c>
      <c r="R226">
        <v>9.6845539999999994E-2</v>
      </c>
      <c r="S226">
        <v>2.9753419999999999</v>
      </c>
      <c r="T226">
        <v>-0.2297054</v>
      </c>
      <c r="U226">
        <v>0.48345949999999999</v>
      </c>
      <c r="V226">
        <v>-0.1190508</v>
      </c>
      <c r="W226">
        <v>3.9403550000000002E-2</v>
      </c>
      <c r="X226">
        <v>0.99210600000000004</v>
      </c>
      <c r="Y226">
        <v>-0.18180830000000001</v>
      </c>
      <c r="Z226">
        <v>8.6742099999999999E-3</v>
      </c>
      <c r="AA226">
        <v>0.98329569999999999</v>
      </c>
      <c r="AB226">
        <v>9</v>
      </c>
      <c r="AC226">
        <v>14.220799999999899</v>
      </c>
      <c r="AD226">
        <v>-1.1044843274839999</v>
      </c>
      <c r="AE226">
        <v>2.32650000000001</v>
      </c>
      <c r="AF226">
        <v>-2.6282395400447802</v>
      </c>
      <c r="AG226">
        <v>-1.1044843274839999</v>
      </c>
      <c r="AH226">
        <v>14.0825307906966</v>
      </c>
      <c r="AI226">
        <v>94.408678513461794</v>
      </c>
      <c r="AJ226">
        <v>100.57155942224701</v>
      </c>
      <c r="AK226">
        <v>14.368201076698201</v>
      </c>
      <c r="AL226">
        <v>87.741758311428796</v>
      </c>
      <c r="AM226">
        <v>96.842664103448996</v>
      </c>
      <c r="AN226">
        <v>1.0000000239846201</v>
      </c>
    </row>
    <row r="227" spans="1:40" x14ac:dyDescent="0.3">
      <c r="A227" t="str">
        <f>"20200111145920002"</f>
        <v>20200111145920002</v>
      </c>
      <c r="B227" t="str">
        <f>"1578725959996281"</f>
        <v>1578725959996281</v>
      </c>
      <c r="C227" t="s">
        <v>40</v>
      </c>
      <c r="D227">
        <v>4.1229829999999996</v>
      </c>
      <c r="E227">
        <v>0.51455030000000002</v>
      </c>
      <c r="F227" t="s">
        <v>42</v>
      </c>
      <c r="G227">
        <v>-449.2208</v>
      </c>
      <c r="H227" s="1">
        <v>-3.53127099999999E-7</v>
      </c>
      <c r="I227">
        <v>369.59199999999998</v>
      </c>
      <c r="J227">
        <v>-463.42770000000002</v>
      </c>
      <c r="K227">
        <v>1.1044909999999999</v>
      </c>
      <c r="L227">
        <v>367.28649999999999</v>
      </c>
      <c r="M227">
        <v>0.99970890000000001</v>
      </c>
      <c r="N227">
        <v>0</v>
      </c>
      <c r="O227">
        <v>-2.2316010000000001E-2</v>
      </c>
      <c r="P227">
        <v>0.99488719999999997</v>
      </c>
      <c r="Q227">
        <v>3.022942E-2</v>
      </c>
      <c r="R227">
        <v>9.6363519999999994E-2</v>
      </c>
      <c r="S227">
        <v>2.9758300000000002</v>
      </c>
      <c r="T227">
        <v>-0.2303789</v>
      </c>
      <c r="U227">
        <v>0.48062129999999997</v>
      </c>
      <c r="V227">
        <v>-0.118543</v>
      </c>
      <c r="W227">
        <v>3.9335889999999998E-2</v>
      </c>
      <c r="X227">
        <v>0.99216939999999998</v>
      </c>
      <c r="Y227">
        <v>-0.180841</v>
      </c>
      <c r="Z227">
        <v>8.659524E-3</v>
      </c>
      <c r="AA227">
        <v>0.98347430000000002</v>
      </c>
      <c r="AB227">
        <v>9</v>
      </c>
      <c r="AC227">
        <v>14.206899999999999</v>
      </c>
      <c r="AD227">
        <v>-1.1044913531270999</v>
      </c>
      <c r="AE227">
        <v>2.3054999999999901</v>
      </c>
      <c r="AF227">
        <v>-2.6066301818244102</v>
      </c>
      <c r="AG227">
        <v>-1.1044913531270999</v>
      </c>
      <c r="AH227">
        <v>14.0690581928491</v>
      </c>
      <c r="AI227">
        <v>94.413983962179302</v>
      </c>
      <c r="AJ227">
        <v>100.49639493270701</v>
      </c>
      <c r="AK227">
        <v>14.351056424100101</v>
      </c>
      <c r="AL227">
        <v>87.7456377547297</v>
      </c>
      <c r="AM227">
        <v>96.813321039186803</v>
      </c>
      <c r="AN227">
        <v>0.999999936693724</v>
      </c>
    </row>
    <row r="228" spans="1:40" x14ac:dyDescent="0.3">
      <c r="A228" t="str">
        <f>"20200111145920019"</f>
        <v>20200111145920019</v>
      </c>
      <c r="B228" t="str">
        <f>"1578725960015799"</f>
        <v>1578725960015799</v>
      </c>
      <c r="C228" t="s">
        <v>40</v>
      </c>
      <c r="D228">
        <v>4.052727</v>
      </c>
      <c r="E228">
        <v>0.52778729999999996</v>
      </c>
      <c r="F228" t="s">
        <v>42</v>
      </c>
      <c r="G228">
        <v>-446.86840000000001</v>
      </c>
      <c r="H228" s="1">
        <v>-1.7022730000000001E-6</v>
      </c>
      <c r="I228">
        <v>368.255</v>
      </c>
      <c r="J228">
        <v>-463.35219999999998</v>
      </c>
      <c r="K228">
        <v>1.1044940000000001</v>
      </c>
      <c r="L228">
        <v>367.28489999999999</v>
      </c>
      <c r="M228">
        <v>0.99971010000000005</v>
      </c>
      <c r="N228">
        <v>0</v>
      </c>
      <c r="O228">
        <v>-2.226976E-2</v>
      </c>
      <c r="P228">
        <v>0.99504899999999996</v>
      </c>
      <c r="Q228">
        <v>2.9650409999999999E-2</v>
      </c>
      <c r="R228">
        <v>9.4859680000000002E-2</v>
      </c>
      <c r="S228">
        <v>3.0044559999999998</v>
      </c>
      <c r="T228">
        <v>-0.2003945</v>
      </c>
      <c r="U228">
        <v>0.17572019999999999</v>
      </c>
      <c r="V228">
        <v>-0.116997699999999</v>
      </c>
      <c r="W228">
        <v>3.8725059999999999E-2</v>
      </c>
      <c r="X228">
        <v>0.99237690000000001</v>
      </c>
      <c r="Y228">
        <v>-8.0377630000000005E-2</v>
      </c>
      <c r="Z228">
        <v>4.157979E-3</v>
      </c>
      <c r="AA228">
        <v>0.99675579999999997</v>
      </c>
      <c r="AB228">
        <v>9</v>
      </c>
      <c r="AC228">
        <v>16.483799999999899</v>
      </c>
      <c r="AD228">
        <v>-1.104495702273</v>
      </c>
      <c r="AE228">
        <v>0.97010000000000196</v>
      </c>
      <c r="AF228">
        <v>-1.3310098852491301</v>
      </c>
      <c r="AG228">
        <v>-1.104495702273</v>
      </c>
      <c r="AH228">
        <v>16.384798586593298</v>
      </c>
      <c r="AI228">
        <v>93.843837909708299</v>
      </c>
      <c r="AJ228">
        <v>94.644192567098202</v>
      </c>
      <c r="AK228">
        <v>16.475834509796499</v>
      </c>
      <c r="AL228">
        <v>87.780662571281297</v>
      </c>
      <c r="AM228">
        <v>96.723929616103206</v>
      </c>
      <c r="AN228">
        <v>1.00000000186545</v>
      </c>
    </row>
    <row r="229" spans="1:40" x14ac:dyDescent="0.3">
      <c r="A229" t="str">
        <f>"20200111145920032"</f>
        <v>20200111145920032</v>
      </c>
      <c r="B229" t="str">
        <f>"1578725960025559"</f>
        <v>1578725960025559</v>
      </c>
      <c r="C229" t="s">
        <v>40</v>
      </c>
      <c r="D229">
        <v>4.2352650000000001</v>
      </c>
      <c r="E229">
        <v>0.53129850000000001</v>
      </c>
      <c r="F229" t="s">
        <v>42</v>
      </c>
      <c r="G229">
        <v>-444.99160000000001</v>
      </c>
      <c r="H229" s="1">
        <v>-2.6903209999999998E-6</v>
      </c>
      <c r="I229">
        <v>367.68639999999999</v>
      </c>
      <c r="J229">
        <v>-463.30119999999999</v>
      </c>
      <c r="K229">
        <v>1.1044959999999999</v>
      </c>
      <c r="L229">
        <v>367.28379999999999</v>
      </c>
      <c r="M229">
        <v>0.99971120000000002</v>
      </c>
      <c r="N229">
        <v>0</v>
      </c>
      <c r="O229">
        <v>-2.2229570000000001E-2</v>
      </c>
      <c r="P229">
        <v>0.9951063</v>
      </c>
      <c r="Q229">
        <v>2.9121060000000001E-2</v>
      </c>
      <c r="R229">
        <v>9.4421329999999998E-2</v>
      </c>
      <c r="S229">
        <v>3.0140380000000002</v>
      </c>
      <c r="T229">
        <v>-0.18131130000000001</v>
      </c>
      <c r="U229">
        <v>6.5917970000000006E-2</v>
      </c>
      <c r="V229">
        <v>-0.11652120000000001</v>
      </c>
      <c r="W229">
        <v>3.8179959999999999E-2</v>
      </c>
      <c r="X229">
        <v>0.99245410000000001</v>
      </c>
      <c r="Y229">
        <v>-4.3965259999999999E-2</v>
      </c>
      <c r="Z229">
        <v>2.6569480000000001E-3</v>
      </c>
      <c r="AA229">
        <v>0.99902950000000001</v>
      </c>
      <c r="AB229">
        <v>9</v>
      </c>
      <c r="AC229">
        <v>18.3095999999999</v>
      </c>
      <c r="AD229">
        <v>-1.1044986903209999</v>
      </c>
      <c r="AE229">
        <v>0.40260000000000601</v>
      </c>
      <c r="AF229">
        <v>-0.80659827767984604</v>
      </c>
      <c r="AG229">
        <v>-1.1044986903209999</v>
      </c>
      <c r="AH229">
        <v>18.229820357833201</v>
      </c>
      <c r="AI229">
        <v>93.463787345026404</v>
      </c>
      <c r="AJ229">
        <v>92.533461829599901</v>
      </c>
      <c r="AK229">
        <v>18.281052169318599</v>
      </c>
      <c r="AL229">
        <v>87.811917656058299</v>
      </c>
      <c r="AM229">
        <v>96.696277902311294</v>
      </c>
      <c r="AN229">
        <v>1.00000002000092</v>
      </c>
    </row>
    <row r="230" spans="1:40" x14ac:dyDescent="0.3">
      <c r="A230" t="str">
        <f>"20200111145920044"</f>
        <v>20200111145920044</v>
      </c>
      <c r="B230" t="str">
        <f>"1578725960036296"</f>
        <v>1578725960036296</v>
      </c>
      <c r="C230" t="s">
        <v>40</v>
      </c>
      <c r="D230">
        <v>3.9544820000000001</v>
      </c>
      <c r="E230">
        <v>0.53384549999999997</v>
      </c>
      <c r="F230" t="s">
        <v>42</v>
      </c>
      <c r="G230">
        <v>-443.88529999999997</v>
      </c>
      <c r="H230" s="1">
        <v>-3.2429579999999998E-6</v>
      </c>
      <c r="I230">
        <v>367.51909999999998</v>
      </c>
      <c r="J230">
        <v>-463.24950000000001</v>
      </c>
      <c r="K230">
        <v>1.1045020000000001</v>
      </c>
      <c r="L230">
        <v>367.28269999999998</v>
      </c>
      <c r="M230">
        <v>0.99971239999999995</v>
      </c>
      <c r="N230">
        <v>0</v>
      </c>
      <c r="O230">
        <v>-2.2184269999999999E-2</v>
      </c>
      <c r="P230">
        <v>0.99516839999999995</v>
      </c>
      <c r="Q230">
        <v>2.8585929999999999E-2</v>
      </c>
      <c r="R230">
        <v>9.3930509999999995E-2</v>
      </c>
      <c r="S230">
        <v>3.016327</v>
      </c>
      <c r="T230">
        <v>-0.17158770000000001</v>
      </c>
      <c r="U230">
        <v>3.6560059999999998E-2</v>
      </c>
      <c r="V230">
        <v>-0.1159879</v>
      </c>
      <c r="W230">
        <v>3.7633420000000001E-2</v>
      </c>
      <c r="X230">
        <v>0.99253740000000001</v>
      </c>
      <c r="Y230">
        <v>-3.4209249999999997E-2</v>
      </c>
      <c r="Z230">
        <v>2.2331299999999998E-3</v>
      </c>
      <c r="AA230">
        <v>0.99941219999999997</v>
      </c>
      <c r="AB230">
        <v>9</v>
      </c>
      <c r="AC230">
        <v>19.3642</v>
      </c>
      <c r="AD230">
        <v>-1.104505242958</v>
      </c>
      <c r="AE230">
        <v>0.236400000000003</v>
      </c>
      <c r="AF230">
        <v>-0.66378106297057404</v>
      </c>
      <c r="AG230">
        <v>-1.104505242958</v>
      </c>
      <c r="AH230">
        <v>19.2914362137249</v>
      </c>
      <c r="AI230">
        <v>93.274881703788495</v>
      </c>
      <c r="AJ230">
        <v>91.970659666317403</v>
      </c>
      <c r="AK230">
        <v>19.334426506092601</v>
      </c>
      <c r="AL230">
        <v>87.843254524705401</v>
      </c>
      <c r="AM230">
        <v>96.665352067480299</v>
      </c>
      <c r="AN230">
        <v>0.99999997882303204</v>
      </c>
    </row>
    <row r="231" spans="1:40" x14ac:dyDescent="0.3">
      <c r="A231" t="str">
        <f>"20200111145920056"</f>
        <v>20200111145920056</v>
      </c>
      <c r="B231" t="str">
        <f>"1578725960046056"</f>
        <v>1578725960046056</v>
      </c>
      <c r="C231" t="s">
        <v>40</v>
      </c>
      <c r="D231">
        <v>3.9943119999999999</v>
      </c>
      <c r="E231">
        <v>0.53586820000000002</v>
      </c>
      <c r="F231" t="s">
        <v>42</v>
      </c>
      <c r="G231">
        <v>-443.11880000000002</v>
      </c>
      <c r="H231" s="1">
        <v>-3.6301359999999999E-6</v>
      </c>
      <c r="I231">
        <v>367.37900000000002</v>
      </c>
      <c r="J231">
        <v>-463.19740000000002</v>
      </c>
      <c r="K231">
        <v>1.104511</v>
      </c>
      <c r="L231">
        <v>367.28160000000003</v>
      </c>
      <c r="M231">
        <v>0.99971350000000003</v>
      </c>
      <c r="N231">
        <v>0</v>
      </c>
      <c r="O231">
        <v>-2.2129340000000001E-2</v>
      </c>
      <c r="P231">
        <v>0.99520929999999996</v>
      </c>
      <c r="Q231">
        <v>2.818613E-2</v>
      </c>
      <c r="R231">
        <v>9.3617480000000003E-2</v>
      </c>
      <c r="S231">
        <v>3.017944</v>
      </c>
      <c r="T231">
        <v>-0.1655846</v>
      </c>
      <c r="U231">
        <v>1.4434809999999999E-2</v>
      </c>
      <c r="V231">
        <v>-0.1156219</v>
      </c>
      <c r="W231">
        <v>3.7230300000000001E-2</v>
      </c>
      <c r="X231">
        <v>0.99259529999999996</v>
      </c>
      <c r="Y231">
        <v>-2.6838130000000002E-2</v>
      </c>
      <c r="Z231">
        <v>1.9489380000000001E-3</v>
      </c>
      <c r="AA231">
        <v>0.99963789999999997</v>
      </c>
      <c r="AB231">
        <v>9</v>
      </c>
      <c r="AC231">
        <v>20.078599999999899</v>
      </c>
      <c r="AD231">
        <v>-1.104514630136</v>
      </c>
      <c r="AE231">
        <v>9.73999999999932E-2</v>
      </c>
      <c r="AF231">
        <v>-0.54008650956120596</v>
      </c>
      <c r="AG231">
        <v>-1.104514630136</v>
      </c>
      <c r="AH231">
        <v>20.010974396154602</v>
      </c>
      <c r="AI231">
        <v>93.158112662703303</v>
      </c>
      <c r="AJ231">
        <v>91.546010030373907</v>
      </c>
      <c r="AK231">
        <v>20.048709242481099</v>
      </c>
      <c r="AL231">
        <v>87.866367788503098</v>
      </c>
      <c r="AM231">
        <v>96.644123777333405</v>
      </c>
      <c r="AN231">
        <v>0.99999997428989396</v>
      </c>
    </row>
    <row r="232" spans="1:40" x14ac:dyDescent="0.3">
      <c r="A232" t="str">
        <f>"20200111145920076"</f>
        <v>20200111145920076</v>
      </c>
      <c r="B232" t="str">
        <f>"1578725960065591"</f>
        <v>1578725960065591</v>
      </c>
      <c r="C232" t="s">
        <v>40</v>
      </c>
      <c r="D232">
        <v>4.0569940000000004</v>
      </c>
      <c r="E232">
        <v>0.53850430000000005</v>
      </c>
      <c r="F232" t="s">
        <v>42</v>
      </c>
      <c r="G232">
        <v>-442.5061</v>
      </c>
      <c r="H232" s="1">
        <v>-3.9403049999999997E-6</v>
      </c>
      <c r="I232">
        <v>367.26299999999998</v>
      </c>
      <c r="J232">
        <v>-463.11759999999998</v>
      </c>
      <c r="K232">
        <v>1.10453</v>
      </c>
      <c r="L232">
        <v>367.28</v>
      </c>
      <c r="M232">
        <v>0.99971560000000004</v>
      </c>
      <c r="N232">
        <v>0</v>
      </c>
      <c r="O232">
        <v>-2.2028280000000001E-2</v>
      </c>
      <c r="P232">
        <v>0.99536760000000002</v>
      </c>
      <c r="Q232">
        <v>2.8118480000000001E-2</v>
      </c>
      <c r="R232">
        <v>9.1938210000000006E-2</v>
      </c>
      <c r="S232">
        <v>3.0192570000000001</v>
      </c>
      <c r="T232">
        <v>-0.161169799999999</v>
      </c>
      <c r="U232">
        <v>-2.7160639999999998E-3</v>
      </c>
      <c r="V232">
        <v>-0.11384759999999999</v>
      </c>
      <c r="W232">
        <v>3.7174069999999997E-2</v>
      </c>
      <c r="X232">
        <v>0.99280250000000003</v>
      </c>
      <c r="Y232">
        <v>-2.1068480000000001E-2</v>
      </c>
      <c r="Z232">
        <v>1.7369460000000001E-3</v>
      </c>
      <c r="AA232">
        <v>0.99977649999999996</v>
      </c>
      <c r="AB232">
        <v>9</v>
      </c>
      <c r="AC232">
        <v>20.6114999999999</v>
      </c>
      <c r="AD232">
        <v>-1.1045339403049901</v>
      </c>
      <c r="AE232">
        <v>-1.6999999999939001E-2</v>
      </c>
      <c r="AF232">
        <v>-0.43580746287822503</v>
      </c>
      <c r="AG232">
        <v>-1.1045339403049901</v>
      </c>
      <c r="AH232">
        <v>20.547865410442999</v>
      </c>
      <c r="AI232">
        <v>93.076236614372604</v>
      </c>
      <c r="AJ232">
        <v>91.215025730213</v>
      </c>
      <c r="AK232">
        <v>20.582145084895</v>
      </c>
      <c r="AL232">
        <v>87.869591807787899</v>
      </c>
      <c r="AM232">
        <v>96.541702200634504</v>
      </c>
      <c r="AN232">
        <v>0.99999999575618703</v>
      </c>
    </row>
    <row r="233" spans="1:40" x14ac:dyDescent="0.3">
      <c r="A233" t="str">
        <f>"20200111145920089"</f>
        <v>20200111145920089</v>
      </c>
      <c r="B233" t="str">
        <f>"1578725960086074"</f>
        <v>1578725960086074</v>
      </c>
      <c r="C233" t="s">
        <v>40</v>
      </c>
      <c r="D233">
        <v>4.0593560000000002</v>
      </c>
      <c r="E233">
        <v>0.54010469999999999</v>
      </c>
      <c r="F233" t="s">
        <v>42</v>
      </c>
      <c r="G233">
        <v>-441.2115</v>
      </c>
      <c r="H233" s="1">
        <v>-4.5855980000000001E-6</v>
      </c>
      <c r="I233">
        <v>367.07530000000003</v>
      </c>
      <c r="J233">
        <v>-463.06299999999999</v>
      </c>
      <c r="K233">
        <v>1.1045430000000001</v>
      </c>
      <c r="L233">
        <v>367.27890000000002</v>
      </c>
      <c r="M233">
        <v>0.99971730000000003</v>
      </c>
      <c r="N233">
        <v>0</v>
      </c>
      <c r="O233">
        <v>-2.1947319999999999E-2</v>
      </c>
      <c r="P233">
        <v>0.99541760000000001</v>
      </c>
      <c r="Q233">
        <v>2.8040579999999999E-2</v>
      </c>
      <c r="R233">
        <v>9.1419840000000002E-2</v>
      </c>
      <c r="S233">
        <v>3.0208740000000001</v>
      </c>
      <c r="T233">
        <v>-0.15231620000000001</v>
      </c>
      <c r="U233">
        <v>-2.8228759999999999E-2</v>
      </c>
      <c r="V233">
        <v>-0.1132508</v>
      </c>
      <c r="W233">
        <v>3.7111169999999999E-2</v>
      </c>
      <c r="X233">
        <v>0.99287309999999995</v>
      </c>
      <c r="Y233">
        <v>-1.256154E-2</v>
      </c>
      <c r="Z233">
        <v>1.422312E-3</v>
      </c>
      <c r="AA233">
        <v>0.99992009999999998</v>
      </c>
      <c r="AB233">
        <v>9</v>
      </c>
      <c r="AC233">
        <v>21.851500000000001</v>
      </c>
      <c r="AD233">
        <v>-1.104547585598</v>
      </c>
      <c r="AE233">
        <v>-0.20359999999999401</v>
      </c>
      <c r="AF233">
        <v>-0.275347487949818</v>
      </c>
      <c r="AG233">
        <v>-1.104547585598</v>
      </c>
      <c r="AH233">
        <v>21.7950213924126</v>
      </c>
      <c r="AI233">
        <v>92.900973582261997</v>
      </c>
      <c r="AJ233">
        <v>90.723807948174795</v>
      </c>
      <c r="AK233">
        <v>21.824729072858901</v>
      </c>
      <c r="AL233">
        <v>87.873198183634699</v>
      </c>
      <c r="AM233">
        <v>96.507246131343095</v>
      </c>
      <c r="AN233">
        <v>0.99999998767150899</v>
      </c>
    </row>
    <row r="234" spans="1:40" x14ac:dyDescent="0.3">
      <c r="A234" t="str">
        <f>"20200111145920101"</f>
        <v>20200111145920101</v>
      </c>
      <c r="B234" t="str">
        <f>"1578725960095831"</f>
        <v>1578725960095831</v>
      </c>
      <c r="C234" t="s">
        <v>40</v>
      </c>
      <c r="D234">
        <v>4.1435149999999998</v>
      </c>
      <c r="E234">
        <v>0.5411918</v>
      </c>
      <c r="F234" t="s">
        <v>42</v>
      </c>
      <c r="G234">
        <v>-440.23020000000002</v>
      </c>
      <c r="H234" s="1">
        <v>-5.0705300000000004E-6</v>
      </c>
      <c r="I234">
        <v>366.95650000000001</v>
      </c>
      <c r="J234">
        <v>-463.01</v>
      </c>
      <c r="K234">
        <v>1.104552</v>
      </c>
      <c r="L234">
        <v>367.27780000000001</v>
      </c>
      <c r="M234">
        <v>0.99971900000000002</v>
      </c>
      <c r="N234">
        <v>0</v>
      </c>
      <c r="O234">
        <v>-2.186304E-2</v>
      </c>
      <c r="P234">
        <v>0.99544719999999998</v>
      </c>
      <c r="Q234">
        <v>2.8158140000000002E-2</v>
      </c>
      <c r="R234">
        <v>9.1062260000000006E-2</v>
      </c>
      <c r="S234">
        <v>3.0218509999999998</v>
      </c>
      <c r="T234">
        <v>-0.14618329999999999</v>
      </c>
      <c r="U234">
        <v>-4.2663569999999998E-2</v>
      </c>
      <c r="V234">
        <v>-0.11281090000000001</v>
      </c>
      <c r="W234">
        <v>3.7246500000000002E-2</v>
      </c>
      <c r="X234">
        <v>0.99291810000000003</v>
      </c>
      <c r="Y234">
        <v>-7.7136239999999997E-3</v>
      </c>
      <c r="Z234">
        <v>1.24336E-3</v>
      </c>
      <c r="AA234">
        <v>0.99996949999999996</v>
      </c>
      <c r="AB234">
        <v>9</v>
      </c>
      <c r="AC234">
        <v>22.779799999999899</v>
      </c>
      <c r="AD234">
        <v>-1.1045570705299901</v>
      </c>
      <c r="AE234">
        <v>-0.32130000000000702</v>
      </c>
      <c r="AF234">
        <v>-0.17641868410004699</v>
      </c>
      <c r="AG234">
        <v>-1.1045570705299901</v>
      </c>
      <c r="AH234">
        <v>22.727953766122099</v>
      </c>
      <c r="AI234">
        <v>92.782247921629704</v>
      </c>
      <c r="AJ234">
        <v>90.444731766393701</v>
      </c>
      <c r="AK234">
        <v>22.755462031546301</v>
      </c>
      <c r="AL234">
        <v>87.865438958651794</v>
      </c>
      <c r="AM234">
        <v>96.481894306795695</v>
      </c>
      <c r="AN234">
        <v>0.99999997711433397</v>
      </c>
    </row>
    <row r="235" spans="1:40" x14ac:dyDescent="0.3">
      <c r="A235" t="str">
        <f>"20200111145920113"</f>
        <v>20200111145920113</v>
      </c>
      <c r="B235" t="str">
        <f>"1578725960105591"</f>
        <v>1578725960105591</v>
      </c>
      <c r="C235" t="s">
        <v>40</v>
      </c>
      <c r="D235">
        <v>4.0135569999999996</v>
      </c>
      <c r="E235">
        <v>0.5415008</v>
      </c>
      <c r="F235" t="s">
        <v>42</v>
      </c>
      <c r="G235">
        <v>-440.69580000000002</v>
      </c>
      <c r="H235" s="1">
        <v>-4.8623489999999999E-6</v>
      </c>
      <c r="I235">
        <v>366.88940000000002</v>
      </c>
      <c r="J235">
        <v>-462.95859999999999</v>
      </c>
      <c r="K235">
        <v>1.10456</v>
      </c>
      <c r="L235">
        <v>367.27679999999998</v>
      </c>
      <c r="M235">
        <v>0.99972090000000002</v>
      </c>
      <c r="N235">
        <v>0</v>
      </c>
      <c r="O235">
        <v>-2.1770319999999999E-2</v>
      </c>
      <c r="P235">
        <v>0.99545689999999998</v>
      </c>
      <c r="Q235">
        <v>2.8080669999999999E-2</v>
      </c>
      <c r="R235">
        <v>9.0980340000000007E-2</v>
      </c>
      <c r="S235">
        <v>3.0227360000000001</v>
      </c>
      <c r="T235">
        <v>-0.149625799999999</v>
      </c>
      <c r="U235">
        <v>-5.2612300000000001E-2</v>
      </c>
      <c r="V235">
        <v>-0.1126379</v>
      </c>
      <c r="W235">
        <v>3.7189310000000003E-2</v>
      </c>
      <c r="X235">
        <v>0.99293989999999999</v>
      </c>
      <c r="Y235">
        <v>-4.3372259999999996E-3</v>
      </c>
      <c r="Z235">
        <v>1.1840959999999999E-3</v>
      </c>
      <c r="AA235">
        <v>0.99998989999999999</v>
      </c>
      <c r="AB235">
        <v>9</v>
      </c>
      <c r="AC235">
        <v>22.262799999999899</v>
      </c>
      <c r="AD235">
        <v>-1.1045648623490001</v>
      </c>
      <c r="AE235">
        <v>-0.387399999999956</v>
      </c>
      <c r="AF235">
        <v>-9.7141448064753097E-2</v>
      </c>
      <c r="AG235">
        <v>-1.1045648623490001</v>
      </c>
      <c r="AH235">
        <v>22.211297956546801</v>
      </c>
      <c r="AI235">
        <v>92.846938872614501</v>
      </c>
      <c r="AJ235">
        <v>90.250582361929702</v>
      </c>
      <c r="AK235">
        <v>22.2389580895906</v>
      </c>
      <c r="AL235">
        <v>87.868718010346498</v>
      </c>
      <c r="AM235">
        <v>96.471897580160899</v>
      </c>
      <c r="AN235">
        <v>0.99999999315334798</v>
      </c>
    </row>
    <row r="236" spans="1:40" x14ac:dyDescent="0.3">
      <c r="A236" t="str">
        <f>"20200111145920131"</f>
        <v>20200111145920131</v>
      </c>
      <c r="B236" t="str">
        <f>"1578725960126088"</f>
        <v>1578725960126088</v>
      </c>
      <c r="C236" t="s">
        <v>40</v>
      </c>
      <c r="D236">
        <v>3.943435</v>
      </c>
      <c r="E236">
        <v>0.5421821</v>
      </c>
      <c r="F236" t="s">
        <v>42</v>
      </c>
      <c r="G236">
        <v>-440.63209999999998</v>
      </c>
      <c r="H236" s="1">
        <v>-4.8966529999999998E-6</v>
      </c>
      <c r="I236">
        <v>366.8657</v>
      </c>
      <c r="J236">
        <v>-462.88119999999998</v>
      </c>
      <c r="K236">
        <v>1.1045670000000001</v>
      </c>
      <c r="L236">
        <v>367.27530000000002</v>
      </c>
      <c r="M236">
        <v>0.99972380000000005</v>
      </c>
      <c r="N236">
        <v>0</v>
      </c>
      <c r="O236">
        <v>-2.1621499999999998E-2</v>
      </c>
      <c r="P236">
        <v>0.99547050000000004</v>
      </c>
      <c r="Q236">
        <v>2.733025E-2</v>
      </c>
      <c r="R236">
        <v>9.1058790000000001E-2</v>
      </c>
      <c r="S236">
        <v>3.0230100000000002</v>
      </c>
      <c r="T236">
        <v>-0.1495582</v>
      </c>
      <c r="U236">
        <v>-5.5664060000000001E-2</v>
      </c>
      <c r="V236">
        <v>-0.1125689</v>
      </c>
      <c r="W236">
        <v>3.6472160000000003E-2</v>
      </c>
      <c r="X236">
        <v>0.99297429999999998</v>
      </c>
      <c r="Y236">
        <v>-3.1824090000000002E-3</v>
      </c>
      <c r="Z236">
        <v>1.1475389999999999E-3</v>
      </c>
      <c r="AA236">
        <v>0.9999943</v>
      </c>
      <c r="AB236">
        <v>9</v>
      </c>
      <c r="AC236">
        <v>22.249099999999999</v>
      </c>
      <c r="AD236">
        <v>-1.104571896653</v>
      </c>
      <c r="AE236">
        <v>-0.40960000000001101</v>
      </c>
      <c r="AF236">
        <v>-7.1399165746714705E-2</v>
      </c>
      <c r="AG236">
        <v>-1.104571896653</v>
      </c>
      <c r="AH236">
        <v>22.198061981932199</v>
      </c>
      <c r="AI236">
        <v>92.848664212522706</v>
      </c>
      <c r="AJ236">
        <v>90.184288914678206</v>
      </c>
      <c r="AK236">
        <v>22.2256413331415</v>
      </c>
      <c r="AL236">
        <v>87.909835524879796</v>
      </c>
      <c r="AM236">
        <v>96.467744441926996</v>
      </c>
      <c r="AN236">
        <v>0.99999996808138203</v>
      </c>
    </row>
    <row r="237" spans="1:40" x14ac:dyDescent="0.3">
      <c r="A237" t="str">
        <f>"20200111145920144"</f>
        <v>20200111145920144</v>
      </c>
      <c r="B237" t="str">
        <f>"1578725960135847"</f>
        <v>1578725960135847</v>
      </c>
      <c r="C237" t="s">
        <v>40</v>
      </c>
      <c r="D237">
        <v>3.9273920000000002</v>
      </c>
      <c r="E237">
        <v>0.54257069999999996</v>
      </c>
      <c r="F237" t="s">
        <v>42</v>
      </c>
      <c r="G237">
        <v>-441.20179999999999</v>
      </c>
      <c r="H237" s="1">
        <v>-4.6321939999999997E-6</v>
      </c>
      <c r="I237">
        <v>366.83850000000001</v>
      </c>
      <c r="J237">
        <v>-462.82679999999999</v>
      </c>
      <c r="K237">
        <v>1.104573</v>
      </c>
      <c r="L237">
        <v>367.27420000000001</v>
      </c>
      <c r="M237">
        <v>0.99972589999999995</v>
      </c>
      <c r="N237">
        <v>0</v>
      </c>
      <c r="O237">
        <v>-2.1510479999999998E-2</v>
      </c>
      <c r="P237">
        <v>0.99543859999999995</v>
      </c>
      <c r="Q237">
        <v>2.6927130000000001E-2</v>
      </c>
      <c r="R237">
        <v>9.1526670000000004E-2</v>
      </c>
      <c r="S237">
        <v>3.0234679999999998</v>
      </c>
      <c r="T237">
        <v>-0.1540463</v>
      </c>
      <c r="U237">
        <v>-6.0913090000000003E-2</v>
      </c>
      <c r="V237">
        <v>-0.112926</v>
      </c>
      <c r="W237">
        <v>3.609333E-2</v>
      </c>
      <c r="X237">
        <v>0.99294760000000004</v>
      </c>
      <c r="Y237">
        <v>-1.3394049999999999E-3</v>
      </c>
      <c r="Z237">
        <v>1.129162E-3</v>
      </c>
      <c r="AA237">
        <v>0.99999850000000001</v>
      </c>
      <c r="AB237">
        <v>9</v>
      </c>
      <c r="AC237">
        <v>21.625</v>
      </c>
      <c r="AD237">
        <v>-1.104577632194</v>
      </c>
      <c r="AE237">
        <v>-0.43569999999999698</v>
      </c>
      <c r="AF237">
        <v>-2.95078631550297E-2</v>
      </c>
      <c r="AG237">
        <v>-1.104577632194</v>
      </c>
      <c r="AH237">
        <v>21.5731063622646</v>
      </c>
      <c r="AI237">
        <v>92.9310734460867</v>
      </c>
      <c r="AJ237">
        <v>90.078369565257901</v>
      </c>
      <c r="AK237">
        <v>21.601386079997599</v>
      </c>
      <c r="AL237">
        <v>87.931555197335399</v>
      </c>
      <c r="AM237">
        <v>96.488260234443501</v>
      </c>
      <c r="AN237">
        <v>0.99999997314612399</v>
      </c>
    </row>
    <row r="238" spans="1:40" x14ac:dyDescent="0.3">
      <c r="A238" t="str">
        <f>"20200111145920157"</f>
        <v>20200111145920157</v>
      </c>
      <c r="B238" t="str">
        <f>"1578725960145608"</f>
        <v>1578725960145608</v>
      </c>
      <c r="C238" t="s">
        <v>40</v>
      </c>
      <c r="D238">
        <v>4.0204409999999999</v>
      </c>
      <c r="E238">
        <v>0.54308239999999997</v>
      </c>
      <c r="F238" t="s">
        <v>42</v>
      </c>
      <c r="G238">
        <v>-441.505</v>
      </c>
      <c r="H238" s="1">
        <v>-4.4900119999999997E-6</v>
      </c>
      <c r="I238">
        <v>366.83199999999999</v>
      </c>
      <c r="J238">
        <v>-462.77420000000001</v>
      </c>
      <c r="K238">
        <v>1.104576</v>
      </c>
      <c r="L238">
        <v>367.27330000000001</v>
      </c>
      <c r="M238">
        <v>0.99972799999999995</v>
      </c>
      <c r="N238">
        <v>0</v>
      </c>
      <c r="O238">
        <v>-2.139829E-2</v>
      </c>
      <c r="P238">
        <v>0.99537439999999999</v>
      </c>
      <c r="Q238">
        <v>2.652382E-2</v>
      </c>
      <c r="R238">
        <v>9.2339669999999999E-2</v>
      </c>
      <c r="S238">
        <v>3.0237430000000001</v>
      </c>
      <c r="T238">
        <v>-0.15664539999999999</v>
      </c>
      <c r="U238">
        <v>-6.2713619999999998E-2</v>
      </c>
      <c r="V238">
        <v>-0.1136259</v>
      </c>
      <c r="W238">
        <v>3.5714959999999997E-2</v>
      </c>
      <c r="X238">
        <v>0.99288149999999997</v>
      </c>
      <c r="Y238">
        <v>-6.3389480000000003E-4</v>
      </c>
      <c r="Z238">
        <v>1.124009E-3</v>
      </c>
      <c r="AA238">
        <v>0.99999919999999998</v>
      </c>
      <c r="AB238">
        <v>9</v>
      </c>
      <c r="AC238">
        <v>21.269200000000001</v>
      </c>
      <c r="AD238">
        <v>-1.104580490012</v>
      </c>
      <c r="AE238">
        <v>-0.44130000000001202</v>
      </c>
      <c r="AF238">
        <v>-1.3907649414222199E-2</v>
      </c>
      <c r="AG238">
        <v>-1.104580490012</v>
      </c>
      <c r="AH238">
        <v>21.216575059715499</v>
      </c>
      <c r="AI238">
        <v>92.9802500848497</v>
      </c>
      <c r="AJ238">
        <v>90.037557876236207</v>
      </c>
      <c r="AK238">
        <v>21.2453135713778</v>
      </c>
      <c r="AL238">
        <v>87.953248322322693</v>
      </c>
      <c r="AM238">
        <v>96.5285583720528</v>
      </c>
      <c r="AN238">
        <v>1.0000000382804299</v>
      </c>
    </row>
    <row r="239" spans="1:40" x14ac:dyDescent="0.3">
      <c r="A239" t="str">
        <f>"20200111145920170"</f>
        <v>20200111145920170</v>
      </c>
      <c r="B239" t="str">
        <f>"1578725960166103"</f>
        <v>1578725960166103</v>
      </c>
      <c r="C239" t="s">
        <v>40</v>
      </c>
      <c r="D239">
        <v>3.996127</v>
      </c>
      <c r="E239">
        <v>0.54360310000000001</v>
      </c>
      <c r="F239" t="s">
        <v>42</v>
      </c>
      <c r="G239">
        <v>-441.8793</v>
      </c>
      <c r="H239" s="1">
        <v>-4.3136350000000004E-6</v>
      </c>
      <c r="I239">
        <v>366.8288</v>
      </c>
      <c r="J239">
        <v>-462.71929999999998</v>
      </c>
      <c r="K239">
        <v>1.1045750000000001</v>
      </c>
      <c r="L239">
        <v>367.2722</v>
      </c>
      <c r="M239">
        <v>0.99973029999999996</v>
      </c>
      <c r="N239">
        <v>0</v>
      </c>
      <c r="O239">
        <v>-2.1277790000000001E-2</v>
      </c>
      <c r="P239">
        <v>0.99526570000000003</v>
      </c>
      <c r="Q239">
        <v>2.6325210000000002E-2</v>
      </c>
      <c r="R239">
        <v>9.3558680000000005E-2</v>
      </c>
      <c r="S239">
        <v>3.0241699999999998</v>
      </c>
      <c r="T239">
        <v>-0.15986879999999901</v>
      </c>
      <c r="U239">
        <v>-6.4331050000000001E-2</v>
      </c>
      <c r="V239">
        <v>-0.11472250000000001</v>
      </c>
      <c r="W239">
        <v>3.5542459999999998E-2</v>
      </c>
      <c r="X239">
        <v>0.99276160000000002</v>
      </c>
      <c r="Y239" s="1">
        <v>1.8448210000000001E-5</v>
      </c>
      <c r="Z239">
        <v>1.123345E-3</v>
      </c>
      <c r="AA239">
        <v>0.99999930000000004</v>
      </c>
      <c r="AB239">
        <v>9</v>
      </c>
      <c r="AC239">
        <v>20.8399999999999</v>
      </c>
      <c r="AD239">
        <v>-1.1045793136349999</v>
      </c>
      <c r="AE239">
        <v>-0.44339999999999602</v>
      </c>
      <c r="AF239">
        <v>-1.4831853611774101E-4</v>
      </c>
      <c r="AG239">
        <v>-1.1045793136349999</v>
      </c>
      <c r="AH239">
        <v>20.7863477423615</v>
      </c>
      <c r="AI239">
        <v>93.0418168311828</v>
      </c>
      <c r="AJ239">
        <v>90.000408827286407</v>
      </c>
      <c r="AK239">
        <v>20.8156755342815</v>
      </c>
      <c r="AL239">
        <v>87.963138160024897</v>
      </c>
      <c r="AM239">
        <v>96.5918025374623</v>
      </c>
      <c r="AN239">
        <v>1.0000000564518201</v>
      </c>
    </row>
    <row r="240" spans="1:40" x14ac:dyDescent="0.3">
      <c r="A240" t="str">
        <f>"20200111145920187"</f>
        <v>20200111145920187</v>
      </c>
      <c r="B240" t="str">
        <f>"1578725960175866"</f>
        <v>1578725960175866</v>
      </c>
      <c r="C240" t="s">
        <v>40</v>
      </c>
      <c r="D240">
        <v>3.893519</v>
      </c>
      <c r="E240">
        <v>0.54378400000000005</v>
      </c>
      <c r="F240" t="s">
        <v>42</v>
      </c>
      <c r="G240">
        <v>-442.1198</v>
      </c>
      <c r="H240" s="1">
        <v>-4.1995150000000004E-6</v>
      </c>
      <c r="I240">
        <v>366.83120000000002</v>
      </c>
      <c r="J240">
        <v>-462.64659999999998</v>
      </c>
      <c r="K240">
        <v>1.1045700000000001</v>
      </c>
      <c r="L240">
        <v>367.27089999999998</v>
      </c>
      <c r="M240">
        <v>0.99973339999999999</v>
      </c>
      <c r="N240">
        <v>0</v>
      </c>
      <c r="O240">
        <v>-2.1115979999999999E-2</v>
      </c>
      <c r="P240">
        <v>0.99507080000000003</v>
      </c>
      <c r="Q240">
        <v>2.6437579999999999E-2</v>
      </c>
      <c r="R240">
        <v>9.5579209999999998E-2</v>
      </c>
      <c r="S240">
        <v>3.0246279999999999</v>
      </c>
      <c r="T240">
        <v>-0.1621861</v>
      </c>
      <c r="U240">
        <v>-6.4758300000000005E-2</v>
      </c>
      <c r="V240">
        <v>-0.116577399999999</v>
      </c>
      <c r="W240">
        <v>3.5690180000000002E-2</v>
      </c>
      <c r="X240">
        <v>0.99254010000000004</v>
      </c>
      <c r="Y240">
        <v>3.1845389999999999E-4</v>
      </c>
      <c r="Z240">
        <v>1.122727E-3</v>
      </c>
      <c r="AA240">
        <v>0.99999930000000004</v>
      </c>
      <c r="AB240">
        <v>10</v>
      </c>
      <c r="AC240">
        <v>20.526799999999898</v>
      </c>
      <c r="AD240">
        <v>-1.104574199515</v>
      </c>
      <c r="AE240">
        <v>-0.43969999999995901</v>
      </c>
      <c r="AF240">
        <v>6.12182695413571E-3</v>
      </c>
      <c r="AG240">
        <v>-1.104574199515</v>
      </c>
      <c r="AH240">
        <v>20.472254437939402</v>
      </c>
      <c r="AI240">
        <v>93.0883814968373</v>
      </c>
      <c r="AJ240">
        <v>89.982866819187393</v>
      </c>
      <c r="AK240">
        <v>20.502032177585001</v>
      </c>
      <c r="AL240">
        <v>87.954668866717995</v>
      </c>
      <c r="AM240">
        <v>96.698903061634695</v>
      </c>
      <c r="AN240">
        <v>0.99999996462359997</v>
      </c>
    </row>
    <row r="241" spans="1:40" x14ac:dyDescent="0.3">
      <c r="A241" t="str">
        <f>"20200111145920201"</f>
        <v>20200111145920201</v>
      </c>
      <c r="B241" t="str">
        <f>"1578725960196359"</f>
        <v>1578725960196359</v>
      </c>
      <c r="C241" t="s">
        <v>40</v>
      </c>
      <c r="D241">
        <v>3.8568449999999999</v>
      </c>
      <c r="E241">
        <v>0.5441127</v>
      </c>
      <c r="F241" t="s">
        <v>42</v>
      </c>
      <c r="G241">
        <v>-442.0437</v>
      </c>
      <c r="H241" s="1">
        <v>-4.2302039999999999E-6</v>
      </c>
      <c r="I241">
        <v>366.86099999999999</v>
      </c>
      <c r="J241">
        <v>-462.58780000000002</v>
      </c>
      <c r="K241">
        <v>1.1045670000000001</v>
      </c>
      <c r="L241">
        <v>367.26979999999998</v>
      </c>
      <c r="M241">
        <v>0.99973599999999996</v>
      </c>
      <c r="N241">
        <v>0</v>
      </c>
      <c r="O241">
        <v>-2.098324E-2</v>
      </c>
      <c r="P241">
        <v>0.99497690000000005</v>
      </c>
      <c r="Q241">
        <v>2.6497119999999999E-2</v>
      </c>
      <c r="R241">
        <v>9.6535819999999994E-2</v>
      </c>
      <c r="S241">
        <v>3.0249329999999999</v>
      </c>
      <c r="T241">
        <v>-0.1621745</v>
      </c>
      <c r="U241">
        <v>-6.0180659999999997E-2</v>
      </c>
      <c r="V241">
        <v>-0.1174005</v>
      </c>
      <c r="W241">
        <v>3.5778820000000003E-2</v>
      </c>
      <c r="X241">
        <v>0.99243990000000004</v>
      </c>
      <c r="Y241">
        <v>-1.0618100000000001E-3</v>
      </c>
      <c r="Z241">
        <v>1.1524160000000001E-3</v>
      </c>
      <c r="AA241">
        <v>0.99999870000000002</v>
      </c>
      <c r="AB241">
        <v>10</v>
      </c>
      <c r="AC241">
        <v>20.5441</v>
      </c>
      <c r="AD241">
        <v>-1.1045712302040001</v>
      </c>
      <c r="AE241">
        <v>-0.40879999999998501</v>
      </c>
      <c r="AF241">
        <v>-2.2326170965421201E-2</v>
      </c>
      <c r="AG241">
        <v>-1.1045712302040001</v>
      </c>
      <c r="AH241">
        <v>20.488949330766602</v>
      </c>
      <c r="AI241">
        <v>93.085859904124206</v>
      </c>
      <c r="AJ241">
        <v>90.062433404566406</v>
      </c>
      <c r="AK241">
        <v>20.518713915331599</v>
      </c>
      <c r="AL241">
        <v>87.949586950822194</v>
      </c>
      <c r="AM241">
        <v>96.746441395428604</v>
      </c>
      <c r="AN241">
        <v>0.99999997823642595</v>
      </c>
    </row>
    <row r="242" spans="1:40" x14ac:dyDescent="0.3">
      <c r="A242" t="str">
        <f>"20200111145920212"</f>
        <v>20200111145920212</v>
      </c>
      <c r="B242" t="str">
        <f>"1578725960206120"</f>
        <v>1578725960206120</v>
      </c>
      <c r="C242" t="s">
        <v>40</v>
      </c>
      <c r="D242">
        <v>3.8985650000000001</v>
      </c>
      <c r="E242">
        <v>0.5442089</v>
      </c>
      <c r="F242" t="s">
        <v>42</v>
      </c>
      <c r="G242">
        <v>-441.54950000000002</v>
      </c>
      <c r="H242" s="1">
        <v>-4.4648489999999999E-6</v>
      </c>
      <c r="I242">
        <v>366.8553</v>
      </c>
      <c r="J242">
        <v>-462.53140000000002</v>
      </c>
      <c r="K242">
        <v>1.104563</v>
      </c>
      <c r="L242">
        <v>367.2688</v>
      </c>
      <c r="M242">
        <v>0.99973829999999997</v>
      </c>
      <c r="N242">
        <v>0</v>
      </c>
      <c r="O242">
        <v>-2.085588E-2</v>
      </c>
      <c r="P242">
        <v>0.99490590000000001</v>
      </c>
      <c r="Q242">
        <v>2.653898E-2</v>
      </c>
      <c r="R242">
        <v>9.725201E-2</v>
      </c>
      <c r="S242">
        <v>3.0251459999999999</v>
      </c>
      <c r="T242">
        <v>-0.15882859999999999</v>
      </c>
      <c r="U242">
        <v>-5.960083E-2</v>
      </c>
      <c r="V242">
        <v>-0.11798790000000001</v>
      </c>
      <c r="W242">
        <v>3.585029E-2</v>
      </c>
      <c r="X242">
        <v>0.99236769999999996</v>
      </c>
      <c r="Y242">
        <v>-1.1287999999999999E-3</v>
      </c>
      <c r="Z242">
        <v>1.1236740000000001E-3</v>
      </c>
      <c r="AA242">
        <v>0.99999870000000002</v>
      </c>
      <c r="AB242">
        <v>10</v>
      </c>
      <c r="AC242">
        <v>20.9819</v>
      </c>
      <c r="AD242">
        <v>-1.104567464849</v>
      </c>
      <c r="AE242">
        <v>-0.41349999999999898</v>
      </c>
      <c r="AF242">
        <v>-2.4138400457908701E-2</v>
      </c>
      <c r="AG242">
        <v>-1.104567464849</v>
      </c>
      <c r="AH242">
        <v>20.927983447159999</v>
      </c>
      <c r="AI242">
        <v>93.021234439778198</v>
      </c>
      <c r="AJ242">
        <v>90.066085098959803</v>
      </c>
      <c r="AK242">
        <v>20.957126308522898</v>
      </c>
      <c r="AL242">
        <v>87.945489478273203</v>
      </c>
      <c r="AM242">
        <v>96.780371678059495</v>
      </c>
      <c r="AN242">
        <v>1.0000000199213901</v>
      </c>
    </row>
    <row r="243" spans="1:40" x14ac:dyDescent="0.3">
      <c r="A243" t="str">
        <f>"20200111145920232"</f>
        <v>20200111145920232</v>
      </c>
      <c r="B243" t="str">
        <f>"1578725960225640"</f>
        <v>1578725960225640</v>
      </c>
      <c r="C243" t="s">
        <v>40</v>
      </c>
      <c r="D243">
        <v>3.8925209999999999</v>
      </c>
      <c r="E243">
        <v>0.544494699999999</v>
      </c>
      <c r="F243" t="s">
        <v>42</v>
      </c>
      <c r="G243">
        <v>-441.17360000000002</v>
      </c>
      <c r="H243" s="1">
        <v>-4.6420949999999996E-6</v>
      </c>
      <c r="I243">
        <v>366.85770000000002</v>
      </c>
      <c r="J243">
        <v>-462.45100000000002</v>
      </c>
      <c r="K243">
        <v>1.104554</v>
      </c>
      <c r="L243">
        <v>367.26729999999998</v>
      </c>
      <c r="M243">
        <v>0.99974169999999996</v>
      </c>
      <c r="N243">
        <v>0</v>
      </c>
      <c r="O243">
        <v>-2.0676989999999999E-2</v>
      </c>
      <c r="P243">
        <v>0.99484700000000004</v>
      </c>
      <c r="Q243">
        <v>2.6673220000000001E-2</v>
      </c>
      <c r="R243">
        <v>9.7817589999999996E-2</v>
      </c>
      <c r="S243">
        <v>3.0252379999999999</v>
      </c>
      <c r="T243">
        <v>-0.1564575</v>
      </c>
      <c r="U243">
        <v>-5.8227540000000001E-2</v>
      </c>
      <c r="V243">
        <v>-0.1183733</v>
      </c>
      <c r="W243">
        <v>3.6027089999999998E-2</v>
      </c>
      <c r="X243">
        <v>0.99231539999999996</v>
      </c>
      <c r="Y243">
        <v>-1.4050009999999999E-3</v>
      </c>
      <c r="Z243">
        <v>1.1047889999999999E-3</v>
      </c>
      <c r="AA243">
        <v>0.99999839999999995</v>
      </c>
      <c r="AB243">
        <v>10</v>
      </c>
      <c r="AC243">
        <v>21.277399999999901</v>
      </c>
      <c r="AD243">
        <v>-1.104558642095</v>
      </c>
      <c r="AE243">
        <v>-0.409599999999954</v>
      </c>
      <c r="AF243">
        <v>-3.03779074451965E-2</v>
      </c>
      <c r="AG243">
        <v>-1.104558642095</v>
      </c>
      <c r="AH243">
        <v>21.224144865000401</v>
      </c>
      <c r="AI243">
        <v>92.979127836313594</v>
      </c>
      <c r="AJ243">
        <v>90.082006823341004</v>
      </c>
      <c r="AK243">
        <v>21.2528891650432</v>
      </c>
      <c r="AL243">
        <v>87.935353039154805</v>
      </c>
      <c r="AM243">
        <v>96.802667292126102</v>
      </c>
      <c r="AN243">
        <v>1.00000002122195</v>
      </c>
    </row>
    <row r="244" spans="1:40" x14ac:dyDescent="0.3">
      <c r="A244" t="str">
        <f>"20200111145920245"</f>
        <v>20200111145920245</v>
      </c>
      <c r="B244" t="str">
        <f>"1578725960236377"</f>
        <v>1578725960236377</v>
      </c>
      <c r="C244" t="s">
        <v>40</v>
      </c>
      <c r="D244">
        <v>3.9481290000000002</v>
      </c>
      <c r="E244">
        <v>0.54477949999999997</v>
      </c>
      <c r="F244" t="s">
        <v>42</v>
      </c>
      <c r="G244">
        <v>-440.57279999999997</v>
      </c>
      <c r="H244" s="1">
        <v>-4.9286370000000001E-6</v>
      </c>
      <c r="I244">
        <v>366.84350000000001</v>
      </c>
      <c r="J244">
        <v>-462.39640000000003</v>
      </c>
      <c r="K244">
        <v>1.1045450000000001</v>
      </c>
      <c r="L244">
        <v>367.2663</v>
      </c>
      <c r="M244">
        <v>0.99974379999999996</v>
      </c>
      <c r="N244">
        <v>0</v>
      </c>
      <c r="O244">
        <v>-2.0556890000000001E-2</v>
      </c>
      <c r="P244">
        <v>0.99486269999999999</v>
      </c>
      <c r="Q244">
        <v>2.6634149999999999E-2</v>
      </c>
      <c r="R244">
        <v>9.7667749999999998E-2</v>
      </c>
      <c r="S244">
        <v>3.0253909999999999</v>
      </c>
      <c r="T244">
        <v>-0.15274190000000001</v>
      </c>
      <c r="U244">
        <v>-5.859375E-2</v>
      </c>
      <c r="V244">
        <v>-0.1181046</v>
      </c>
      <c r="W244">
        <v>3.6018509999999997E-2</v>
      </c>
      <c r="X244">
        <v>0.99234770000000005</v>
      </c>
      <c r="Y244">
        <v>-1.1666980000000001E-3</v>
      </c>
      <c r="Z244">
        <v>1.0664610000000001E-3</v>
      </c>
      <c r="AA244">
        <v>0.99999870000000002</v>
      </c>
      <c r="AB244">
        <v>10</v>
      </c>
      <c r="AC244">
        <v>21.823599999999999</v>
      </c>
      <c r="AD244">
        <v>-1.104549928637</v>
      </c>
      <c r="AE244">
        <v>-0.42279999999999501</v>
      </c>
      <c r="AF244">
        <v>-2.5868588676102901E-2</v>
      </c>
      <c r="AG244">
        <v>-1.104549928637</v>
      </c>
      <c r="AH244">
        <v>21.771928875154</v>
      </c>
      <c r="AI244">
        <v>92.904280700134706</v>
      </c>
      <c r="AJ244">
        <v>90.068076662574498</v>
      </c>
      <c r="AK244">
        <v>21.799944648404399</v>
      </c>
      <c r="AL244">
        <v>87.935844899263898</v>
      </c>
      <c r="AM244">
        <v>96.787151020967997</v>
      </c>
      <c r="AN244">
        <v>0.99999999364953496</v>
      </c>
    </row>
    <row r="245" spans="1:40" x14ac:dyDescent="0.3">
      <c r="A245" t="str">
        <f>"20200111145920258"</f>
        <v>20200111145920258</v>
      </c>
      <c r="B245" t="str">
        <f>"1578725960255895"</f>
        <v>1578725960255895</v>
      </c>
      <c r="C245" t="s">
        <v>40</v>
      </c>
      <c r="D245">
        <v>3.8566739999999999</v>
      </c>
      <c r="E245">
        <v>0.54515849999999999</v>
      </c>
      <c r="F245" t="s">
        <v>42</v>
      </c>
      <c r="G245">
        <v>-440.5573</v>
      </c>
      <c r="H245" s="1">
        <v>-4.9396540000000003E-6</v>
      </c>
      <c r="I245">
        <v>366.8227</v>
      </c>
      <c r="J245">
        <v>-462.33839999999998</v>
      </c>
      <c r="K245">
        <v>1.104541</v>
      </c>
      <c r="L245">
        <v>367.26530000000002</v>
      </c>
      <c r="M245">
        <v>0.99974620000000003</v>
      </c>
      <c r="N245">
        <v>0</v>
      </c>
      <c r="O245">
        <v>-2.043157E-2</v>
      </c>
      <c r="P245">
        <v>0.99485029999999997</v>
      </c>
      <c r="Q245">
        <v>2.674839E-2</v>
      </c>
      <c r="R245">
        <v>9.7760879999999994E-2</v>
      </c>
      <c r="S245">
        <v>3.0256349999999999</v>
      </c>
      <c r="T245">
        <v>-0.15302689999999999</v>
      </c>
      <c r="U245">
        <v>-6.14624E-2</v>
      </c>
      <c r="V245">
        <v>-0.1180722</v>
      </c>
      <c r="W245">
        <v>3.6164330000000001E-2</v>
      </c>
      <c r="X245">
        <v>0.99234619999999996</v>
      </c>
      <c r="Y245" s="1">
        <v>-9.6588119999999999E-5</v>
      </c>
      <c r="Z245">
        <v>1.0349770000000001E-3</v>
      </c>
      <c r="AA245">
        <v>0.99999950000000004</v>
      </c>
      <c r="AB245">
        <v>10</v>
      </c>
      <c r="AC245">
        <v>21.781099999999899</v>
      </c>
      <c r="AD245">
        <v>-1.1045459396540001</v>
      </c>
      <c r="AE245">
        <v>-0.44260000000002703</v>
      </c>
      <c r="AF245">
        <v>-2.5280169395073201E-3</v>
      </c>
      <c r="AG245">
        <v>-1.1045459396540001</v>
      </c>
      <c r="AH245">
        <v>21.729738571992101</v>
      </c>
      <c r="AI245">
        <v>92.909901488283793</v>
      </c>
      <c r="AJ245">
        <v>90.006665735992996</v>
      </c>
      <c r="AK245">
        <v>21.757793236695601</v>
      </c>
      <c r="AL245">
        <v>87.927484474559293</v>
      </c>
      <c r="AM245">
        <v>96.785316604033497</v>
      </c>
      <c r="AN245">
        <v>0.99999994191581199</v>
      </c>
    </row>
    <row r="246" spans="1:40" x14ac:dyDescent="0.3">
      <c r="A246" t="str">
        <f>"20200111145920271"</f>
        <v>20200111145920271</v>
      </c>
      <c r="B246" t="str">
        <f>"1578725960265655"</f>
        <v>1578725960265655</v>
      </c>
      <c r="C246" t="s">
        <v>40</v>
      </c>
      <c r="D246">
        <v>3.9352480000000001</v>
      </c>
      <c r="E246">
        <v>0.54539769999999999</v>
      </c>
      <c r="F246" t="s">
        <v>42</v>
      </c>
      <c r="G246">
        <v>-440.29180000000002</v>
      </c>
      <c r="H246" s="1">
        <v>-5.0694640000000002E-6</v>
      </c>
      <c r="I246">
        <v>366.79829999999998</v>
      </c>
      <c r="J246">
        <v>-462.28269999999998</v>
      </c>
      <c r="K246">
        <v>1.1045400000000001</v>
      </c>
      <c r="L246">
        <v>367.26420000000002</v>
      </c>
      <c r="M246">
        <v>0.99974830000000003</v>
      </c>
      <c r="N246">
        <v>0</v>
      </c>
      <c r="O246">
        <v>-2.0313370000000001E-2</v>
      </c>
      <c r="P246">
        <v>0.9948555</v>
      </c>
      <c r="Q246">
        <v>2.680432E-2</v>
      </c>
      <c r="R246">
        <v>9.7695879999999999E-2</v>
      </c>
      <c r="S246">
        <v>3.025909</v>
      </c>
      <c r="T246">
        <v>-0.1515995</v>
      </c>
      <c r="U246">
        <v>-6.4086909999999997E-2</v>
      </c>
      <c r="V246">
        <v>-0.1178897</v>
      </c>
      <c r="W246">
        <v>3.62501E-2</v>
      </c>
      <c r="X246">
        <v>0.99236480000000005</v>
      </c>
      <c r="Y246">
        <v>8.8489039999999997E-4</v>
      </c>
      <c r="Z246">
        <v>9.947465999999999E-4</v>
      </c>
      <c r="AA246">
        <v>0.99999910000000003</v>
      </c>
      <c r="AB246">
        <v>10</v>
      </c>
      <c r="AC246">
        <v>21.9908999999999</v>
      </c>
      <c r="AD246">
        <v>-1.10454506946399</v>
      </c>
      <c r="AE246">
        <v>-0.46590000000003301</v>
      </c>
      <c r="AF246">
        <v>1.9026331831389499E-2</v>
      </c>
      <c r="AG246">
        <v>-1.10454506946399</v>
      </c>
      <c r="AH246">
        <v>21.940500050773</v>
      </c>
      <c r="AI246">
        <v>92.881992861416705</v>
      </c>
      <c r="AJ246">
        <v>89.950314339337098</v>
      </c>
      <c r="AK246">
        <v>21.968293613518401</v>
      </c>
      <c r="AL246">
        <v>87.922567056941304</v>
      </c>
      <c r="AM246">
        <v>96.774800539225097</v>
      </c>
      <c r="AN246">
        <v>0.99999997369756899</v>
      </c>
    </row>
    <row r="247" spans="1:40" x14ac:dyDescent="0.3">
      <c r="A247" t="str">
        <f>"20200111145920288"</f>
        <v>20200111145920288</v>
      </c>
      <c r="B247" t="str">
        <f>"1578725960276391"</f>
        <v>1578725960276391</v>
      </c>
      <c r="C247" t="s">
        <v>40</v>
      </c>
      <c r="D247">
        <v>3.9278909999999998</v>
      </c>
      <c r="E247">
        <v>0.54555819999999999</v>
      </c>
      <c r="F247" t="s">
        <v>42</v>
      </c>
      <c r="G247">
        <v>-440.14060000000001</v>
      </c>
      <c r="H247" s="1">
        <v>-5.1438419999999997E-6</v>
      </c>
      <c r="I247">
        <v>366.78210000000001</v>
      </c>
      <c r="J247">
        <v>-462.21319999999997</v>
      </c>
      <c r="K247">
        <v>1.1045419999999999</v>
      </c>
      <c r="L247">
        <v>367.26299999999998</v>
      </c>
      <c r="M247">
        <v>0.9997509</v>
      </c>
      <c r="N247">
        <v>0</v>
      </c>
      <c r="O247">
        <v>-2.016838E-2</v>
      </c>
      <c r="P247">
        <v>0.99487639999999999</v>
      </c>
      <c r="Q247">
        <v>2.6567609999999998E-2</v>
      </c>
      <c r="R247">
        <v>9.7544270000000002E-2</v>
      </c>
      <c r="S247">
        <v>3.026062</v>
      </c>
      <c r="T247">
        <v>-0.15095310000000001</v>
      </c>
      <c r="U247">
        <v>-6.588745E-2</v>
      </c>
      <c r="V247">
        <v>-0.1175943</v>
      </c>
      <c r="W247">
        <v>3.6049970000000001E-2</v>
      </c>
      <c r="X247">
        <v>0.99240709999999999</v>
      </c>
      <c r="Y247">
        <v>1.6222630000000001E-3</v>
      </c>
      <c r="Z247">
        <v>9.6484900000000005E-4</v>
      </c>
      <c r="AA247">
        <v>0.99999819999999995</v>
      </c>
      <c r="AB247">
        <v>10</v>
      </c>
      <c r="AC247">
        <v>22.072599999999898</v>
      </c>
      <c r="AD247">
        <v>-1.10454714384199</v>
      </c>
      <c r="AE247">
        <v>-0.48090000000001898</v>
      </c>
      <c r="AF247">
        <v>3.5524334230875497E-2</v>
      </c>
      <c r="AG247">
        <v>-1.10454714384199</v>
      </c>
      <c r="AH247">
        <v>22.022687287811902</v>
      </c>
      <c r="AI247">
        <v>92.871258214524005</v>
      </c>
      <c r="AJ247">
        <v>89.907577461848206</v>
      </c>
      <c r="AK247">
        <v>22.050397768476699</v>
      </c>
      <c r="AL247">
        <v>87.934041083330797</v>
      </c>
      <c r="AM247">
        <v>96.757696520279097</v>
      </c>
      <c r="AN247">
        <v>0.99999993592994796</v>
      </c>
    </row>
    <row r="248" spans="1:40" x14ac:dyDescent="0.3">
      <c r="A248" t="str">
        <f>"20200111145920301"</f>
        <v>20200111145920301</v>
      </c>
      <c r="B248" t="str">
        <f>"1578725960295912"</f>
        <v>1578725960295912</v>
      </c>
      <c r="C248" t="s">
        <v>40</v>
      </c>
      <c r="D248">
        <v>3.8357139999999998</v>
      </c>
      <c r="E248">
        <v>0.54580010000000001</v>
      </c>
      <c r="F248" t="s">
        <v>42</v>
      </c>
      <c r="G248">
        <v>-440.18560000000002</v>
      </c>
      <c r="H248" s="1">
        <v>-5.1250040000000002E-6</v>
      </c>
      <c r="I248">
        <v>366.76819999999998</v>
      </c>
      <c r="J248">
        <v>-462.15199999999999</v>
      </c>
      <c r="K248">
        <v>1.104541</v>
      </c>
      <c r="L248">
        <v>367.26190000000003</v>
      </c>
      <c r="M248">
        <v>0.99975320000000001</v>
      </c>
      <c r="N248">
        <v>0</v>
      </c>
      <c r="O248">
        <v>-2.0043269999999998E-2</v>
      </c>
      <c r="P248">
        <v>0.99486680000000005</v>
      </c>
      <c r="Q248">
        <v>2.681147E-2</v>
      </c>
      <c r="R248">
        <v>9.7577570000000002E-2</v>
      </c>
      <c r="S248">
        <v>3.0260929999999999</v>
      </c>
      <c r="T248">
        <v>-0.15174009999999999</v>
      </c>
      <c r="U248">
        <v>-6.7962649999999999E-2</v>
      </c>
      <c r="V248">
        <v>-0.1175032</v>
      </c>
      <c r="W248">
        <v>3.6324919999999997E-2</v>
      </c>
      <c r="X248">
        <v>0.99240790000000001</v>
      </c>
      <c r="Y248">
        <v>2.431679E-3</v>
      </c>
      <c r="Z248">
        <v>9.433086E-4</v>
      </c>
      <c r="AA248">
        <v>0.99999660000000001</v>
      </c>
      <c r="AB248">
        <v>10</v>
      </c>
      <c r="AC248">
        <v>21.966399999999901</v>
      </c>
      <c r="AD248">
        <v>-1.1045461250040001</v>
      </c>
      <c r="AE248">
        <v>-0.49370000000004599</v>
      </c>
      <c r="AF248">
        <v>5.31677527454281E-2</v>
      </c>
      <c r="AG248">
        <v>-1.1045461250040001</v>
      </c>
      <c r="AH248">
        <v>21.916496435684401</v>
      </c>
      <c r="AI248">
        <v>92.885139337853602</v>
      </c>
      <c r="AJ248">
        <v>89.861005071154494</v>
      </c>
      <c r="AK248">
        <v>21.944376613783302</v>
      </c>
      <c r="AL248">
        <v>87.918277355553499</v>
      </c>
      <c r="AM248">
        <v>96.752504316944894</v>
      </c>
      <c r="AN248">
        <v>0.999999970902827</v>
      </c>
    </row>
    <row r="249" spans="1:40" x14ac:dyDescent="0.3">
      <c r="A249" t="str">
        <f>"20200111145920313"</f>
        <v>20200111145920313</v>
      </c>
      <c r="B249" t="str">
        <f>"1578725960305671"</f>
        <v>1578725960305671</v>
      </c>
      <c r="C249" t="s">
        <v>40</v>
      </c>
      <c r="D249">
        <v>4.0129519999999896</v>
      </c>
      <c r="E249">
        <v>0.54592619999999903</v>
      </c>
      <c r="F249" t="s">
        <v>42</v>
      </c>
      <c r="G249">
        <v>-439.99250000000001</v>
      </c>
      <c r="H249" s="1">
        <v>-5.2191289999999999E-6</v>
      </c>
      <c r="I249">
        <v>366.75220000000002</v>
      </c>
      <c r="J249">
        <v>-462.09730000000002</v>
      </c>
      <c r="K249">
        <v>1.1045419999999999</v>
      </c>
      <c r="L249">
        <v>367.26089999999999</v>
      </c>
      <c r="M249">
        <v>0.99975499999999995</v>
      </c>
      <c r="N249">
        <v>0</v>
      </c>
      <c r="O249">
        <v>-1.9933030000000001E-2</v>
      </c>
      <c r="P249">
        <v>0.99488650000000001</v>
      </c>
      <c r="Q249">
        <v>2.6720979999999998E-2</v>
      </c>
      <c r="R249">
        <v>9.7401769999999999E-2</v>
      </c>
      <c r="S249">
        <v>3.0263979999999999</v>
      </c>
      <c r="T249">
        <v>-0.15085170000000001</v>
      </c>
      <c r="U249">
        <v>-6.9610599999999995E-2</v>
      </c>
      <c r="V249">
        <v>-0.11721819999999999</v>
      </c>
      <c r="W249">
        <v>3.6262969999999999E-2</v>
      </c>
      <c r="X249">
        <v>0.99244390000000005</v>
      </c>
      <c r="Y249">
        <v>3.0827089999999999E-3</v>
      </c>
      <c r="Z249">
        <v>9.1598880000000001E-4</v>
      </c>
      <c r="AA249">
        <v>0.99999479999999996</v>
      </c>
      <c r="AB249">
        <v>10</v>
      </c>
      <c r="AC249">
        <v>22.104800000000001</v>
      </c>
      <c r="AD249">
        <v>-1.104547219129</v>
      </c>
      <c r="AE249">
        <v>-0.50869999999997595</v>
      </c>
      <c r="AF249">
        <v>6.77936919688642E-2</v>
      </c>
      <c r="AG249">
        <v>-1.104547219129</v>
      </c>
      <c r="AH249">
        <v>22.055507638881998</v>
      </c>
      <c r="AI249">
        <v>92.866983085240705</v>
      </c>
      <c r="AJ249">
        <v>89.823886157687497</v>
      </c>
      <c r="AK249">
        <v>22.083252426957898</v>
      </c>
      <c r="AL249">
        <v>87.921829233990593</v>
      </c>
      <c r="AM249">
        <v>96.736034930698295</v>
      </c>
      <c r="AN249">
        <v>1.0000000020258299</v>
      </c>
    </row>
    <row r="250" spans="1:40" x14ac:dyDescent="0.3">
      <c r="A250" t="str">
        <f>"20200111145920325"</f>
        <v>20200111145920325</v>
      </c>
      <c r="B250" t="str">
        <f>"1578725960316407"</f>
        <v>1578725960316407</v>
      </c>
      <c r="C250" t="s">
        <v>40</v>
      </c>
      <c r="D250">
        <v>3.9738910000000001</v>
      </c>
      <c r="E250">
        <v>0.54604410000000003</v>
      </c>
      <c r="F250" t="s">
        <v>43</v>
      </c>
      <c r="G250">
        <v>-438.76440000000002</v>
      </c>
      <c r="H250">
        <v>-0.05</v>
      </c>
      <c r="I250">
        <v>366.71129999999999</v>
      </c>
      <c r="J250">
        <v>-462.04539999999997</v>
      </c>
      <c r="K250">
        <v>1.104544</v>
      </c>
      <c r="L250">
        <v>367.26</v>
      </c>
      <c r="M250">
        <v>0.99975689999999995</v>
      </c>
      <c r="N250">
        <v>0</v>
      </c>
      <c r="O250">
        <v>-1.982946E-2</v>
      </c>
      <c r="P250">
        <v>0.99489729999999998</v>
      </c>
      <c r="Q250">
        <v>2.6839450000000001E-2</v>
      </c>
      <c r="R250">
        <v>9.7258280000000003E-2</v>
      </c>
      <c r="S250">
        <v>3.0264280000000001</v>
      </c>
      <c r="T250">
        <v>-0.14975160000000001</v>
      </c>
      <c r="U250">
        <v>-7.1289060000000001E-2</v>
      </c>
      <c r="V250">
        <v>-0.1169719</v>
      </c>
      <c r="W250">
        <v>3.6407839999999997E-2</v>
      </c>
      <c r="X250">
        <v>0.99246760000000001</v>
      </c>
      <c r="Y250">
        <v>3.7391400000000002E-3</v>
      </c>
      <c r="Z250">
        <v>8.8795240000000004E-4</v>
      </c>
      <c r="AA250">
        <v>0.99999260000000001</v>
      </c>
      <c r="AB250">
        <v>10</v>
      </c>
      <c r="AC250">
        <v>23.280999999999899</v>
      </c>
      <c r="AD250">
        <v>-1.154544</v>
      </c>
      <c r="AE250">
        <v>-0.54869999999999597</v>
      </c>
      <c r="AF250">
        <v>8.6707866479507803E-2</v>
      </c>
      <c r="AG250">
        <v>-1.154544</v>
      </c>
      <c r="AH250">
        <v>23.230203783847902</v>
      </c>
      <c r="AI250">
        <v>92.845246379662697</v>
      </c>
      <c r="AJ250">
        <v>89.786141706932696</v>
      </c>
      <c r="AK250">
        <v>23.25903819897</v>
      </c>
      <c r="AL250">
        <v>87.913523193973703</v>
      </c>
      <c r="AM250">
        <v>96.721851713244703</v>
      </c>
      <c r="AN250">
        <v>0.999999946626416</v>
      </c>
    </row>
    <row r="251" spans="1:40" x14ac:dyDescent="0.3">
      <c r="A251" t="str">
        <f>"20200111145920344"</f>
        <v>20200111145920344</v>
      </c>
      <c r="B251" t="str">
        <f>"1578725960335930"</f>
        <v>1578725960335930</v>
      </c>
      <c r="C251" t="s">
        <v>40</v>
      </c>
      <c r="D251">
        <v>3.945192</v>
      </c>
      <c r="E251">
        <v>0.54629380000000005</v>
      </c>
      <c r="F251" t="s">
        <v>43</v>
      </c>
      <c r="G251">
        <v>-438.50709999999998</v>
      </c>
      <c r="H251">
        <v>-0.05</v>
      </c>
      <c r="I251">
        <v>366.69600000000003</v>
      </c>
      <c r="J251">
        <v>-461.96269999999998</v>
      </c>
      <c r="K251">
        <v>1.1045419999999999</v>
      </c>
      <c r="L251">
        <v>367.25850000000003</v>
      </c>
      <c r="M251">
        <v>0.99975970000000003</v>
      </c>
      <c r="N251">
        <v>0</v>
      </c>
      <c r="O251">
        <v>-1.96654E-2</v>
      </c>
      <c r="P251">
        <v>0.99492570000000002</v>
      </c>
      <c r="Q251">
        <v>2.696875E-2</v>
      </c>
      <c r="R251">
        <v>9.6932190000000001E-2</v>
      </c>
      <c r="S251">
        <v>3.0264890000000002</v>
      </c>
      <c r="T251">
        <v>-0.14844779999999999</v>
      </c>
      <c r="U251">
        <v>-7.2509770000000001E-2</v>
      </c>
      <c r="V251">
        <v>-0.1164833</v>
      </c>
      <c r="W251">
        <v>3.6581290000000002E-2</v>
      </c>
      <c r="X251">
        <v>0.99251869999999998</v>
      </c>
      <c r="Y251">
        <v>4.3046400000000002E-3</v>
      </c>
      <c r="Z251">
        <v>8.5831069999999995E-4</v>
      </c>
      <c r="AA251">
        <v>0.9999903</v>
      </c>
      <c r="AB251">
        <v>10</v>
      </c>
      <c r="AC251">
        <v>23.4556</v>
      </c>
      <c r="AD251">
        <v>-1.154542</v>
      </c>
      <c r="AE251">
        <v>-0.56250000000005596</v>
      </c>
      <c r="AF251">
        <v>0.10086158575804199</v>
      </c>
      <c r="AG251">
        <v>-1.154542</v>
      </c>
      <c r="AH251">
        <v>23.405450691856601</v>
      </c>
      <c r="AI251">
        <v>92.823965960096103</v>
      </c>
      <c r="AJ251">
        <v>89.7530956577898</v>
      </c>
      <c r="AK251">
        <v>23.434126021214801</v>
      </c>
      <c r="AL251">
        <v>87.903578643754003</v>
      </c>
      <c r="AM251">
        <v>96.693687876706605</v>
      </c>
      <c r="AN251">
        <v>0.99999995990332102</v>
      </c>
    </row>
    <row r="252" spans="1:40" x14ac:dyDescent="0.3">
      <c r="A252" t="str">
        <f>"20200111145920357"</f>
        <v>20200111145920357</v>
      </c>
      <c r="B252" t="str">
        <f>"1578725960345687"</f>
        <v>1578725960345687</v>
      </c>
      <c r="C252" t="s">
        <v>40</v>
      </c>
      <c r="D252">
        <v>3.8591169999999999</v>
      </c>
      <c r="E252">
        <v>0.54638419999999999</v>
      </c>
      <c r="F252" t="s">
        <v>43</v>
      </c>
      <c r="G252">
        <v>-438.20209999999997</v>
      </c>
      <c r="H252">
        <v>-0.05</v>
      </c>
      <c r="I252">
        <v>366.6678</v>
      </c>
      <c r="J252">
        <v>-461.90730000000002</v>
      </c>
      <c r="K252">
        <v>1.104544</v>
      </c>
      <c r="L252">
        <v>367.25760000000002</v>
      </c>
      <c r="M252">
        <v>0.99976160000000003</v>
      </c>
      <c r="N252">
        <v>0</v>
      </c>
      <c r="O252">
        <v>-1.9556230000000001E-2</v>
      </c>
      <c r="P252">
        <v>0.99493069999999895</v>
      </c>
      <c r="Q252">
        <v>2.7023809999999999E-2</v>
      </c>
      <c r="R252">
        <v>9.6864469999999994E-2</v>
      </c>
      <c r="S252">
        <v>3.0266109999999999</v>
      </c>
      <c r="T252">
        <v>-0.14706459999999999</v>
      </c>
      <c r="U252">
        <v>-7.525635E-2</v>
      </c>
      <c r="V252">
        <v>-0.1163078</v>
      </c>
      <c r="W252">
        <v>3.6665150000000001E-2</v>
      </c>
      <c r="X252">
        <v>0.99253619999999998</v>
      </c>
      <c r="Y252">
        <v>5.3181239999999996E-3</v>
      </c>
      <c r="Z252">
        <v>8.2037319999999996E-4</v>
      </c>
      <c r="AA252">
        <v>0.99998549999999997</v>
      </c>
      <c r="AB252">
        <v>10</v>
      </c>
      <c r="AC252">
        <v>23.705200000000001</v>
      </c>
      <c r="AD252">
        <v>-1.154544</v>
      </c>
      <c r="AE252">
        <v>-0.58980000000002497</v>
      </c>
      <c r="AF252">
        <v>0.125782807642351</v>
      </c>
      <c r="AG252">
        <v>-1.154544</v>
      </c>
      <c r="AH252">
        <v>23.656120902809</v>
      </c>
      <c r="AI252">
        <v>92.794081001839899</v>
      </c>
      <c r="AJ252">
        <v>89.695353429794096</v>
      </c>
      <c r="AK252">
        <v>23.6846120789628</v>
      </c>
      <c r="AL252">
        <v>87.898770621385694</v>
      </c>
      <c r="AM252">
        <v>96.683577338297496</v>
      </c>
      <c r="AN252">
        <v>0.99999997293790099</v>
      </c>
    </row>
    <row r="253" spans="1:40" x14ac:dyDescent="0.3">
      <c r="A253" t="str">
        <f>"20200111145920370"</f>
        <v>20200111145920370</v>
      </c>
      <c r="B253" t="str">
        <f>"1578725960366183"</f>
        <v>1578725960366183</v>
      </c>
      <c r="C253" t="s">
        <v>40</v>
      </c>
      <c r="D253">
        <v>4.0703860000000001</v>
      </c>
      <c r="E253">
        <v>0.54665940000000002</v>
      </c>
      <c r="F253" t="s">
        <v>43</v>
      </c>
      <c r="G253">
        <v>-437.98570000000001</v>
      </c>
      <c r="H253">
        <v>-0.05</v>
      </c>
      <c r="I253">
        <v>366.65289999999999</v>
      </c>
      <c r="J253">
        <v>-461.85199999999998</v>
      </c>
      <c r="K253">
        <v>1.1045450000000001</v>
      </c>
      <c r="L253">
        <v>367.25659999999999</v>
      </c>
      <c r="M253">
        <v>0.99976339999999997</v>
      </c>
      <c r="N253">
        <v>0</v>
      </c>
      <c r="O253">
        <v>-1.9447289999999999E-2</v>
      </c>
      <c r="P253">
        <v>0.99493860000000001</v>
      </c>
      <c r="Q253">
        <v>2.729148E-2</v>
      </c>
      <c r="R253">
        <v>9.6707630000000003E-2</v>
      </c>
      <c r="S253">
        <v>3.0267029999999999</v>
      </c>
      <c r="T253">
        <v>-0.14607979999999901</v>
      </c>
      <c r="U253">
        <v>-7.6507569999999997E-2</v>
      </c>
      <c r="V253">
        <v>-0.1160424</v>
      </c>
      <c r="W253">
        <v>3.6961069999999999E-2</v>
      </c>
      <c r="X253">
        <v>0.99255629999999995</v>
      </c>
      <c r="Y253">
        <v>5.8385030000000001E-3</v>
      </c>
      <c r="Z253">
        <v>7.970551E-4</v>
      </c>
      <c r="AA253">
        <v>0.9999827</v>
      </c>
      <c r="AB253">
        <v>10</v>
      </c>
      <c r="AC253">
        <v>23.866299999999899</v>
      </c>
      <c r="AD253">
        <v>-1.1545449999999999</v>
      </c>
      <c r="AE253">
        <v>-0.60370000000000301</v>
      </c>
      <c r="AF253">
        <v>0.13910360555711801</v>
      </c>
      <c r="AG253">
        <v>-1.1545449999999999</v>
      </c>
      <c r="AH253">
        <v>23.817824301109798</v>
      </c>
      <c r="AI253">
        <v>92.7751355628629</v>
      </c>
      <c r="AJ253">
        <v>89.6653783822984</v>
      </c>
      <c r="AK253">
        <v>23.846196309026801</v>
      </c>
      <c r="AL253">
        <v>87.881804176774295</v>
      </c>
      <c r="AM253">
        <v>96.668329925337204</v>
      </c>
      <c r="AN253">
        <v>0.99999998398149703</v>
      </c>
    </row>
    <row r="254" spans="1:40" x14ac:dyDescent="0.3">
      <c r="A254" t="str">
        <f>"20200111145920388"</f>
        <v>20200111145920388</v>
      </c>
      <c r="B254" t="str">
        <f>"1578725960375943"</f>
        <v>1578725960375943</v>
      </c>
      <c r="C254" t="s">
        <v>40</v>
      </c>
      <c r="D254">
        <v>4.060924</v>
      </c>
      <c r="E254">
        <v>0.54692510000000005</v>
      </c>
      <c r="F254" t="s">
        <v>43</v>
      </c>
      <c r="G254">
        <v>-437.80029999999999</v>
      </c>
      <c r="H254">
        <v>-0.05</v>
      </c>
      <c r="I254">
        <v>366.62810000000002</v>
      </c>
      <c r="J254">
        <v>-461.77080000000001</v>
      </c>
      <c r="K254">
        <v>1.1045499999999999</v>
      </c>
      <c r="L254">
        <v>367.2552</v>
      </c>
      <c r="M254">
        <v>0.99976609999999999</v>
      </c>
      <c r="N254">
        <v>0</v>
      </c>
      <c r="O254">
        <v>-1.9287140000000001E-2</v>
      </c>
      <c r="P254">
        <v>0.99498679999999995</v>
      </c>
      <c r="Q254">
        <v>2.7443329999999998E-2</v>
      </c>
      <c r="R254">
        <v>9.6168890000000007E-2</v>
      </c>
      <c r="S254">
        <v>3.0269469999999998</v>
      </c>
      <c r="T254">
        <v>-0.14530179999999901</v>
      </c>
      <c r="U254">
        <v>-7.9101560000000001E-2</v>
      </c>
      <c r="V254">
        <v>-0.1153458</v>
      </c>
      <c r="W254">
        <v>3.7153100000000001E-2</v>
      </c>
      <c r="X254">
        <v>0.99263040000000002</v>
      </c>
      <c r="Y254">
        <v>6.8515030000000001E-3</v>
      </c>
      <c r="Z254">
        <v>7.6076589999999895E-4</v>
      </c>
      <c r="AA254">
        <v>0.99997619999999998</v>
      </c>
      <c r="AB254">
        <v>10</v>
      </c>
      <c r="AC254">
        <v>23.970500000000001</v>
      </c>
      <c r="AD254">
        <v>-1.15455</v>
      </c>
      <c r="AE254">
        <v>-0.627099999999984</v>
      </c>
      <c r="AF254">
        <v>0.16425801101470899</v>
      </c>
      <c r="AG254">
        <v>-1.15455</v>
      </c>
      <c r="AH254">
        <v>23.9226757463599</v>
      </c>
      <c r="AI254">
        <v>92.762985191103894</v>
      </c>
      <c r="AJ254">
        <v>89.606601577993302</v>
      </c>
      <c r="AK254">
        <v>23.951083091629901</v>
      </c>
      <c r="AL254">
        <v>87.870794264964601</v>
      </c>
      <c r="AM254">
        <v>96.628166953612407</v>
      </c>
      <c r="AN254">
        <v>1.0000000587107001</v>
      </c>
    </row>
    <row r="255" spans="1:40" x14ac:dyDescent="0.3">
      <c r="A255" t="str">
        <f>"20200111145920402"</f>
        <v>20200111145920402</v>
      </c>
      <c r="B255" t="str">
        <f>"1578725960396439"</f>
        <v>1578725960396439</v>
      </c>
      <c r="C255" t="s">
        <v>40</v>
      </c>
      <c r="D255">
        <v>3.9858739999999999</v>
      </c>
      <c r="E255">
        <v>0.54735929999999999</v>
      </c>
      <c r="F255" t="s">
        <v>43</v>
      </c>
      <c r="G255">
        <v>-437.83519999999999</v>
      </c>
      <c r="H255">
        <v>-0.05</v>
      </c>
      <c r="I255">
        <v>366.60219999999998</v>
      </c>
      <c r="J255">
        <v>-461.7115</v>
      </c>
      <c r="K255">
        <v>1.1045510000000001</v>
      </c>
      <c r="L255">
        <v>367.25420000000003</v>
      </c>
      <c r="M255">
        <v>0.9997682</v>
      </c>
      <c r="N255">
        <v>0</v>
      </c>
      <c r="O255">
        <v>-1.9169849999999999E-2</v>
      </c>
      <c r="P255">
        <v>0.99501839999999997</v>
      </c>
      <c r="Q255">
        <v>2.7427050000000001E-2</v>
      </c>
      <c r="R255">
        <v>9.5846810000000005E-2</v>
      </c>
      <c r="S255">
        <v>3.027161</v>
      </c>
      <c r="T255">
        <v>-0.1460177</v>
      </c>
      <c r="U255">
        <v>-8.2580570000000006E-2</v>
      </c>
      <c r="V255">
        <v>-0.114908</v>
      </c>
      <c r="W255">
        <v>3.7164540000000003E-2</v>
      </c>
      <c r="X255">
        <v>0.99268069999999997</v>
      </c>
      <c r="Y255">
        <v>8.113917E-3</v>
      </c>
      <c r="Z255">
        <v>7.2836600000000004E-4</v>
      </c>
      <c r="AA255">
        <v>0.99996680000000004</v>
      </c>
      <c r="AB255">
        <v>10</v>
      </c>
      <c r="AC255">
        <v>23.876300000000001</v>
      </c>
      <c r="AD255">
        <v>-1.1545510000000001</v>
      </c>
      <c r="AE255">
        <v>-0.65200000000004299</v>
      </c>
      <c r="AF255">
        <v>0.19370051849772499</v>
      </c>
      <c r="AG255">
        <v>-1.1545510000000001</v>
      </c>
      <c r="AH255">
        <v>23.828735266248898</v>
      </c>
      <c r="AI255">
        <v>92.773836963542095</v>
      </c>
      <c r="AJ255">
        <v>89.534260730410296</v>
      </c>
      <c r="AK255">
        <v>23.857475396433699</v>
      </c>
      <c r="AL255">
        <v>87.870138248385203</v>
      </c>
      <c r="AM255">
        <v>96.602900410522693</v>
      </c>
      <c r="AN255">
        <v>1.0000000118249499</v>
      </c>
    </row>
    <row r="256" spans="1:40" x14ac:dyDescent="0.3">
      <c r="A256" t="str">
        <f>"20200111145920414"</f>
        <v>20200111145920414</v>
      </c>
      <c r="B256" t="str">
        <f>"1578725960406200"</f>
        <v>1578725960406200</v>
      </c>
      <c r="C256" t="s">
        <v>40</v>
      </c>
      <c r="D256">
        <v>4.5043689999999996</v>
      </c>
      <c r="E256">
        <v>0.54744689999999996</v>
      </c>
      <c r="F256" t="s">
        <v>43</v>
      </c>
      <c r="G256">
        <v>-438.18029999999999</v>
      </c>
      <c r="H256">
        <v>-0.05</v>
      </c>
      <c r="I256">
        <v>366.577</v>
      </c>
      <c r="J256">
        <v>-461.65390000000002</v>
      </c>
      <c r="K256">
        <v>1.1045529999999999</v>
      </c>
      <c r="L256">
        <v>367.25319999999999</v>
      </c>
      <c r="M256">
        <v>0.99977000000000005</v>
      </c>
      <c r="N256">
        <v>0</v>
      </c>
      <c r="O256">
        <v>-1.9056E-2</v>
      </c>
      <c r="P256">
        <v>0.99505189999999999</v>
      </c>
      <c r="Q256">
        <v>2.7348899999999999E-2</v>
      </c>
      <c r="R256">
        <v>9.5518640000000002E-2</v>
      </c>
      <c r="S256">
        <v>3.0274350000000001</v>
      </c>
      <c r="T256">
        <v>-0.14854020000000001</v>
      </c>
      <c r="U256">
        <v>-8.7127689999999994E-2</v>
      </c>
      <c r="V256">
        <v>-0.1144675</v>
      </c>
      <c r="W256">
        <v>3.7110690000000002E-2</v>
      </c>
      <c r="X256">
        <v>0.99273359999999999</v>
      </c>
      <c r="Y256">
        <v>9.7244170000000008E-3</v>
      </c>
      <c r="Z256">
        <v>6.9579029999999897E-4</v>
      </c>
      <c r="AA256">
        <v>0.99995250000000002</v>
      </c>
      <c r="AB256">
        <v>10</v>
      </c>
      <c r="AC256">
        <v>23.473600000000001</v>
      </c>
      <c r="AD256">
        <v>-1.1545529999999999</v>
      </c>
      <c r="AE256">
        <v>-0.67619999999999403</v>
      </c>
      <c r="AF256">
        <v>0.22819104792515099</v>
      </c>
      <c r="AG256">
        <v>-1.1545529999999999</v>
      </c>
      <c r="AH256">
        <v>23.425599718176802</v>
      </c>
      <c r="AI256">
        <v>92.821460265133396</v>
      </c>
      <c r="AJ256">
        <v>89.4418938848398</v>
      </c>
      <c r="AK256">
        <v>23.455144125338599</v>
      </c>
      <c r="AL256">
        <v>87.873225744030904</v>
      </c>
      <c r="AM256">
        <v>96.577462986149698</v>
      </c>
      <c r="AN256">
        <v>1.00000000621874</v>
      </c>
    </row>
    <row r="257" spans="1:40" x14ac:dyDescent="0.3">
      <c r="A257" t="str">
        <f>"20200111145920434"</f>
        <v>20200111145920434</v>
      </c>
      <c r="B257" t="str">
        <f>"1578725960425719"</f>
        <v>1578725960425719</v>
      </c>
      <c r="C257" t="s">
        <v>40</v>
      </c>
      <c r="D257">
        <v>3.9403250000000001</v>
      </c>
      <c r="E257">
        <v>0.54757619999999996</v>
      </c>
      <c r="F257" t="s">
        <v>43</v>
      </c>
      <c r="G257">
        <v>-438.17809999999997</v>
      </c>
      <c r="H257">
        <v>-0.05</v>
      </c>
      <c r="I257">
        <v>366.56389999999999</v>
      </c>
      <c r="J257">
        <v>-461.56880000000001</v>
      </c>
      <c r="K257">
        <v>1.104554</v>
      </c>
      <c r="L257">
        <v>367.2518</v>
      </c>
      <c r="M257">
        <v>0.99977300000000002</v>
      </c>
      <c r="N257">
        <v>0</v>
      </c>
      <c r="O257">
        <v>-1.8886759999999999E-2</v>
      </c>
      <c r="P257">
        <v>0.99506559999999999</v>
      </c>
      <c r="Q257">
        <v>2.7135030000000001E-2</v>
      </c>
      <c r="R257">
        <v>9.5439090000000004E-2</v>
      </c>
      <c r="S257">
        <v>3.0275880000000002</v>
      </c>
      <c r="T257">
        <v>-0.14889820000000001</v>
      </c>
      <c r="U257">
        <v>-8.8897710000000005E-2</v>
      </c>
      <c r="V257">
        <v>-0.11422019999999999</v>
      </c>
      <c r="W257">
        <v>3.6929139999999999E-2</v>
      </c>
      <c r="X257">
        <v>0.99276880000000001</v>
      </c>
      <c r="Y257">
        <v>1.047528E-2</v>
      </c>
      <c r="Z257">
        <v>6.7065979999999896E-4</v>
      </c>
      <c r="AA257">
        <v>0.99994490000000003</v>
      </c>
      <c r="AB257">
        <v>10</v>
      </c>
      <c r="AC257">
        <v>23.390699999999999</v>
      </c>
      <c r="AD257">
        <v>-1.1545540000000001</v>
      </c>
      <c r="AE257">
        <v>-0.68790000000001295</v>
      </c>
      <c r="AF257">
        <v>0.24538394149481399</v>
      </c>
      <c r="AG257">
        <v>-1.1545540000000001</v>
      </c>
      <c r="AH257">
        <v>23.3426980618095</v>
      </c>
      <c r="AI257">
        <v>92.831444787028801</v>
      </c>
      <c r="AJ257">
        <v>89.3977154519647</v>
      </c>
      <c r="AK257">
        <v>23.372521494748199</v>
      </c>
      <c r="AL257">
        <v>87.883634814979899</v>
      </c>
      <c r="AM257">
        <v>96.563146218311303</v>
      </c>
      <c r="AN257">
        <v>0.99999995286130805</v>
      </c>
    </row>
    <row r="258" spans="1:40" x14ac:dyDescent="0.3">
      <c r="A258" t="str">
        <f>"20200111145920448"</f>
        <v>20200111145920448</v>
      </c>
      <c r="B258" t="str">
        <f>"1578725960436456"</f>
        <v>1578725960436456</v>
      </c>
      <c r="C258" t="s">
        <v>40</v>
      </c>
      <c r="D258">
        <v>3.9076689999999998</v>
      </c>
      <c r="E258">
        <v>0.54762699999999997</v>
      </c>
      <c r="F258" t="s">
        <v>43</v>
      </c>
      <c r="G258">
        <v>-438.21780000000001</v>
      </c>
      <c r="H258">
        <v>-0.05</v>
      </c>
      <c r="I258">
        <v>366.55489999999998</v>
      </c>
      <c r="J258">
        <v>-461.50799999999998</v>
      </c>
      <c r="K258">
        <v>1.1045510000000001</v>
      </c>
      <c r="L258">
        <v>367.25080000000003</v>
      </c>
      <c r="M258">
        <v>0.99977499999999997</v>
      </c>
      <c r="N258">
        <v>0</v>
      </c>
      <c r="O258">
        <v>-1.876514E-2</v>
      </c>
      <c r="P258">
        <v>0.99507279999999998</v>
      </c>
      <c r="Q258">
        <v>2.6904879999999999E-2</v>
      </c>
      <c r="R258">
        <v>9.5426659999999996E-2</v>
      </c>
      <c r="S258">
        <v>3.0276179999999999</v>
      </c>
      <c r="T258">
        <v>-0.1496961</v>
      </c>
      <c r="U258">
        <v>-9.036255E-2</v>
      </c>
      <c r="V258">
        <v>-0.1140871</v>
      </c>
      <c r="W258">
        <v>3.6719960000000003E-2</v>
      </c>
      <c r="X258">
        <v>0.99279189999999995</v>
      </c>
      <c r="Y258">
        <v>1.1079220000000001E-2</v>
      </c>
      <c r="Z258">
        <v>6.533124E-4</v>
      </c>
      <c r="AA258">
        <v>0.99993840000000001</v>
      </c>
      <c r="AB258">
        <v>10</v>
      </c>
      <c r="AC258">
        <v>23.290199999999999</v>
      </c>
      <c r="AD258">
        <v>-1.1545510000000001</v>
      </c>
      <c r="AE258">
        <v>-0.69590000000005103</v>
      </c>
      <c r="AF258">
        <v>0.25807857030755899</v>
      </c>
      <c r="AG258">
        <v>-1.1545510000000001</v>
      </c>
      <c r="AH258">
        <v>23.242093249379099</v>
      </c>
      <c r="AI258">
        <v>92.843655263640699</v>
      </c>
      <c r="AJ258">
        <v>89.363817835888696</v>
      </c>
      <c r="AK258">
        <v>23.272182776286499</v>
      </c>
      <c r="AL258">
        <v>87.895628157871101</v>
      </c>
      <c r="AM258">
        <v>96.555413635229797</v>
      </c>
      <c r="AN258">
        <v>0.99999998927721001</v>
      </c>
    </row>
    <row r="259" spans="1:40" x14ac:dyDescent="0.3">
      <c r="A259" t="str">
        <f>"20200111145920461"</f>
        <v>20200111145920461</v>
      </c>
      <c r="B259" t="str">
        <f>"1578725960455975"</f>
        <v>1578725960455975</v>
      </c>
      <c r="C259" t="s">
        <v>40</v>
      </c>
      <c r="D259">
        <v>3.9802870000000001</v>
      </c>
      <c r="E259">
        <v>0.54786020000000002</v>
      </c>
      <c r="F259" t="s">
        <v>43</v>
      </c>
      <c r="G259">
        <v>-438.24119999999999</v>
      </c>
      <c r="H259">
        <v>-0.05</v>
      </c>
      <c r="I259">
        <v>366.55430000000001</v>
      </c>
      <c r="J259">
        <v>-461.44779999999997</v>
      </c>
      <c r="K259">
        <v>1.104552</v>
      </c>
      <c r="L259">
        <v>367.24979999999999</v>
      </c>
      <c r="M259">
        <v>0.99977709999999997</v>
      </c>
      <c r="N259">
        <v>0</v>
      </c>
      <c r="O259">
        <v>-1.8644600000000001E-2</v>
      </c>
      <c r="P259">
        <v>0.99504170000000003</v>
      </c>
      <c r="Q259">
        <v>2.6870640000000001E-2</v>
      </c>
      <c r="R259">
        <v>9.5762050000000001E-2</v>
      </c>
      <c r="S259">
        <v>3.0276179999999999</v>
      </c>
      <c r="T259">
        <v>-0.1502368</v>
      </c>
      <c r="U259">
        <v>-9.0637209999999996E-2</v>
      </c>
      <c r="V259">
        <v>-0.1143026</v>
      </c>
      <c r="W259">
        <v>3.6705179999999997E-2</v>
      </c>
      <c r="X259">
        <v>0.99276770000000003</v>
      </c>
      <c r="Y259">
        <v>1.1290069999999999E-2</v>
      </c>
      <c r="Z259">
        <v>6.4446559999999998E-4</v>
      </c>
      <c r="AA259">
        <v>0.99993600000000005</v>
      </c>
      <c r="AB259">
        <v>10</v>
      </c>
      <c r="AC259">
        <v>23.206599999999899</v>
      </c>
      <c r="AD259">
        <v>-1.154552</v>
      </c>
      <c r="AE259">
        <v>-0.69549999999998102</v>
      </c>
      <c r="AF259">
        <v>0.26203209693540602</v>
      </c>
      <c r="AG259">
        <v>-1.154552</v>
      </c>
      <c r="AH259">
        <v>23.158264595345798</v>
      </c>
      <c r="AI259">
        <v>92.853927517699802</v>
      </c>
      <c r="AJ259">
        <v>89.351734991127898</v>
      </c>
      <c r="AK259">
        <v>23.188507287200999</v>
      </c>
      <c r="AL259">
        <v>87.896475647273107</v>
      </c>
      <c r="AM259">
        <v>96.567846821397495</v>
      </c>
      <c r="AN259">
        <v>1.0000000303844401</v>
      </c>
    </row>
    <row r="260" spans="1:40" x14ac:dyDescent="0.3">
      <c r="A260" t="str">
        <f>"20200111145920477"</f>
        <v>20200111145920477</v>
      </c>
      <c r="B260" t="str">
        <f>"1578725960465735"</f>
        <v>1578725960465735</v>
      </c>
      <c r="C260" t="s">
        <v>40</v>
      </c>
      <c r="D260">
        <v>4.1397029999999999</v>
      </c>
      <c r="E260">
        <v>0.54788459999999894</v>
      </c>
      <c r="F260" t="s">
        <v>43</v>
      </c>
      <c r="G260">
        <v>-438.51900000000001</v>
      </c>
      <c r="H260">
        <v>-0.05</v>
      </c>
      <c r="I260">
        <v>366.55829999999997</v>
      </c>
      <c r="J260">
        <v>-461.37259999999998</v>
      </c>
      <c r="K260">
        <v>1.104554</v>
      </c>
      <c r="L260">
        <v>367.24860000000001</v>
      </c>
      <c r="M260">
        <v>0.99977969999999905</v>
      </c>
      <c r="N260">
        <v>0</v>
      </c>
      <c r="O260">
        <v>-1.8493309999999999E-2</v>
      </c>
      <c r="P260">
        <v>0.99501099999999998</v>
      </c>
      <c r="Q260">
        <v>2.6952319999999998E-2</v>
      </c>
      <c r="R260">
        <v>9.6055710000000002E-2</v>
      </c>
      <c r="S260">
        <v>3.027863</v>
      </c>
      <c r="T260">
        <v>-0.15246390000000001</v>
      </c>
      <c r="U260">
        <v>-9.1308589999999995E-2</v>
      </c>
      <c r="V260">
        <v>-0.11444509999999999</v>
      </c>
      <c r="W260">
        <v>3.6808109999999998E-2</v>
      </c>
      <c r="X260">
        <v>0.99274739999999995</v>
      </c>
      <c r="Y260">
        <v>1.16601E-2</v>
      </c>
      <c r="Z260">
        <v>6.3703399999999997E-4</v>
      </c>
      <c r="AA260">
        <v>0.99993180000000004</v>
      </c>
      <c r="AB260">
        <v>10</v>
      </c>
      <c r="AC260">
        <v>22.853599999999901</v>
      </c>
      <c r="AD260">
        <v>-1.1545540000000001</v>
      </c>
      <c r="AE260">
        <v>-0.690300000000036</v>
      </c>
      <c r="AF260">
        <v>0.26684197939486198</v>
      </c>
      <c r="AG260">
        <v>-1.1545540000000001</v>
      </c>
      <c r="AH260">
        <v>22.804309131928601</v>
      </c>
      <c r="AI260">
        <v>92.898141750653295</v>
      </c>
      <c r="AJ260">
        <v>89.329590675750296</v>
      </c>
      <c r="AK260">
        <v>22.8350764081368</v>
      </c>
      <c r="AL260">
        <v>87.890574054381403</v>
      </c>
      <c r="AM260">
        <v>96.576096512529105</v>
      </c>
      <c r="AN260">
        <v>0.99999995904127004</v>
      </c>
    </row>
    <row r="261" spans="1:40" x14ac:dyDescent="0.3">
      <c r="A261" t="str">
        <f>"20200111145920490"</f>
        <v>20200111145920490</v>
      </c>
      <c r="B261" t="str">
        <f>"1578725960486233"</f>
        <v>1578725960486233</v>
      </c>
      <c r="C261" t="s">
        <v>40</v>
      </c>
      <c r="D261">
        <v>4.051647</v>
      </c>
      <c r="E261">
        <v>0.54800150000000003</v>
      </c>
      <c r="F261" t="s">
        <v>43</v>
      </c>
      <c r="G261">
        <v>-438.4255</v>
      </c>
      <c r="H261">
        <v>-0.05</v>
      </c>
      <c r="I261">
        <v>366.56310000000002</v>
      </c>
      <c r="J261">
        <v>-461.31990000000002</v>
      </c>
      <c r="K261">
        <v>1.104554</v>
      </c>
      <c r="L261">
        <v>367.24770000000001</v>
      </c>
      <c r="M261">
        <v>0.99978149999999999</v>
      </c>
      <c r="N261">
        <v>0</v>
      </c>
      <c r="O261">
        <v>-1.8386920000000001E-2</v>
      </c>
      <c r="P261">
        <v>0.99497009999999997</v>
      </c>
      <c r="Q261">
        <v>2.6995160000000001E-2</v>
      </c>
      <c r="R261">
        <v>9.6467869999999997E-2</v>
      </c>
      <c r="S261">
        <v>3.0279240000000001</v>
      </c>
      <c r="T261">
        <v>-0.1523457</v>
      </c>
      <c r="U261">
        <v>-9.0454099999999996E-2</v>
      </c>
      <c r="V261">
        <v>-0.1147507</v>
      </c>
      <c r="W261">
        <v>3.6864809999999998E-2</v>
      </c>
      <c r="X261">
        <v>0.99271010000000004</v>
      </c>
      <c r="Y261">
        <v>1.1484039999999999E-2</v>
      </c>
      <c r="Z261">
        <v>6.3560999999999999E-4</v>
      </c>
      <c r="AA261">
        <v>0.99993379999999998</v>
      </c>
      <c r="AB261">
        <v>10</v>
      </c>
      <c r="AC261">
        <v>22.894400000000001</v>
      </c>
      <c r="AD261">
        <v>-1.1545540000000001</v>
      </c>
      <c r="AE261">
        <v>-0.684599999999989</v>
      </c>
      <c r="AF261">
        <v>0.26283810436134702</v>
      </c>
      <c r="AG261">
        <v>-1.1545540000000001</v>
      </c>
      <c r="AH261">
        <v>22.8450712702879</v>
      </c>
      <c r="AI261">
        <v>92.892986001558299</v>
      </c>
      <c r="AJ261">
        <v>89.340827197663998</v>
      </c>
      <c r="AK261">
        <v>22.875737368499301</v>
      </c>
      <c r="AL261">
        <v>87.887323348329204</v>
      </c>
      <c r="AM261">
        <v>96.593747648619598</v>
      </c>
      <c r="AN261">
        <v>1.00000004000441</v>
      </c>
    </row>
    <row r="262" spans="1:40" x14ac:dyDescent="0.3">
      <c r="A262" t="str">
        <f>"20200111145920502"</f>
        <v>20200111145920502</v>
      </c>
      <c r="B262" t="str">
        <f>"1578725960495992"</f>
        <v>1578725960495992</v>
      </c>
      <c r="C262" t="s">
        <v>40</v>
      </c>
      <c r="D262">
        <v>4.0176319999999999</v>
      </c>
      <c r="E262">
        <v>0.54815159999999996</v>
      </c>
      <c r="F262" t="s">
        <v>43</v>
      </c>
      <c r="G262">
        <v>-438.54149999999998</v>
      </c>
      <c r="H262">
        <v>-0.05</v>
      </c>
      <c r="I262">
        <v>366.56869999999998</v>
      </c>
      <c r="J262">
        <v>-461.26139999999998</v>
      </c>
      <c r="K262">
        <v>1.104555</v>
      </c>
      <c r="L262">
        <v>367.24680000000001</v>
      </c>
      <c r="M262">
        <v>0.99978359999999999</v>
      </c>
      <c r="N262">
        <v>0</v>
      </c>
      <c r="O262">
        <v>-1.8268619999999999E-2</v>
      </c>
      <c r="P262">
        <v>0.99495120000000004</v>
      </c>
      <c r="Q262">
        <v>2.6875940000000001E-2</v>
      </c>
      <c r="R262">
        <v>9.6694989999999995E-2</v>
      </c>
      <c r="S262">
        <v>3.0281069999999999</v>
      </c>
      <c r="T262">
        <v>-0.15348329999999999</v>
      </c>
      <c r="U262">
        <v>-9.0271000000000004E-2</v>
      </c>
      <c r="V262">
        <v>-0.1148595</v>
      </c>
      <c r="W262">
        <v>3.6759989999999999E-2</v>
      </c>
      <c r="X262">
        <v>0.99270139999999996</v>
      </c>
      <c r="Y262">
        <v>1.154005E-2</v>
      </c>
      <c r="Z262">
        <v>6.3290389999999996E-4</v>
      </c>
      <c r="AA262">
        <v>0.99993319999999997</v>
      </c>
      <c r="AB262">
        <v>10</v>
      </c>
      <c r="AC262">
        <v>22.719899999999999</v>
      </c>
      <c r="AD262">
        <v>-1.154555</v>
      </c>
      <c r="AE262">
        <v>-0.67810000000002801</v>
      </c>
      <c r="AF262">
        <v>0.26222849003116</v>
      </c>
      <c r="AG262">
        <v>-1.154555</v>
      </c>
      <c r="AH262">
        <v>22.67000660786</v>
      </c>
      <c r="AI262">
        <v>92.915288565980305</v>
      </c>
      <c r="AJ262">
        <v>89.337277841886205</v>
      </c>
      <c r="AK262">
        <v>22.7009021985785</v>
      </c>
      <c r="AL262">
        <v>87.893333155872895</v>
      </c>
      <c r="AM262">
        <v>96.600001660648701</v>
      </c>
      <c r="AN262">
        <v>1.0000000355834999</v>
      </c>
    </row>
    <row r="263" spans="1:40" x14ac:dyDescent="0.3">
      <c r="A263" t="str">
        <f>"20200111145920514"</f>
        <v>20200111145920514</v>
      </c>
      <c r="B263" t="str">
        <f>"1578725960505752"</f>
        <v>1578725960505752</v>
      </c>
      <c r="C263" t="s">
        <v>40</v>
      </c>
      <c r="D263">
        <v>3.9976889999999998</v>
      </c>
      <c r="E263">
        <v>0.54819269999999998</v>
      </c>
      <c r="F263" t="s">
        <v>43</v>
      </c>
      <c r="G263">
        <v>-438.69170000000003</v>
      </c>
      <c r="H263">
        <v>-0.05</v>
      </c>
      <c r="I263">
        <v>366.57060000000001</v>
      </c>
      <c r="J263">
        <v>-461.20549999999997</v>
      </c>
      <c r="K263">
        <v>1.104552</v>
      </c>
      <c r="L263">
        <v>367.24590000000001</v>
      </c>
      <c r="M263">
        <v>0.99978549999999999</v>
      </c>
      <c r="N263">
        <v>0</v>
      </c>
      <c r="O263">
        <v>-1.8155540000000001E-2</v>
      </c>
      <c r="P263">
        <v>0.9949173</v>
      </c>
      <c r="Q263">
        <v>2.6773419999999999E-2</v>
      </c>
      <c r="R263">
        <v>9.7072190000000003E-2</v>
      </c>
      <c r="S263">
        <v>3.0282290000000001</v>
      </c>
      <c r="T263">
        <v>-0.15490970000000001</v>
      </c>
      <c r="U263">
        <v>-9.0728760000000006E-2</v>
      </c>
      <c r="V263">
        <v>-0.1151245</v>
      </c>
      <c r="W263">
        <v>3.6669439999999998E-2</v>
      </c>
      <c r="X263">
        <v>0.99267399999999995</v>
      </c>
      <c r="Y263">
        <v>1.180262E-2</v>
      </c>
      <c r="Z263">
        <v>6.2626309999999998E-4</v>
      </c>
      <c r="AA263">
        <v>0.99993010000000004</v>
      </c>
      <c r="AB263">
        <v>10</v>
      </c>
      <c r="AC263">
        <v>22.5137999999999</v>
      </c>
      <c r="AD263">
        <v>-1.154552</v>
      </c>
      <c r="AE263">
        <v>-0.67529999999999202</v>
      </c>
      <c r="AF263">
        <v>0.26572001066485901</v>
      </c>
      <c r="AG263">
        <v>-1.154552</v>
      </c>
      <c r="AH263">
        <v>22.463327965311201</v>
      </c>
      <c r="AI263">
        <v>92.942047764358193</v>
      </c>
      <c r="AJ263">
        <v>89.322276507032299</v>
      </c>
      <c r="AK263">
        <v>22.494548244450399</v>
      </c>
      <c r="AL263">
        <v>87.898524680975299</v>
      </c>
      <c r="AM263">
        <v>96.615275131313695</v>
      </c>
      <c r="AN263">
        <v>0.99999998430308101</v>
      </c>
    </row>
    <row r="264" spans="1:40" x14ac:dyDescent="0.3">
      <c r="A264" t="str">
        <f>"20200111145920535"</f>
        <v>20200111145920535</v>
      </c>
      <c r="B264" t="str">
        <f>"1578725960526248"</f>
        <v>1578725960526248</v>
      </c>
      <c r="C264" t="s">
        <v>40</v>
      </c>
      <c r="D264">
        <v>3.9687030000000001</v>
      </c>
      <c r="E264">
        <v>0.54821379999999997</v>
      </c>
      <c r="F264" t="s">
        <v>43</v>
      </c>
      <c r="G264">
        <v>-438.78649999999999</v>
      </c>
      <c r="H264">
        <v>-0.05</v>
      </c>
      <c r="I264">
        <v>366.57940000000002</v>
      </c>
      <c r="J264">
        <v>-461.11919999999998</v>
      </c>
      <c r="K264">
        <v>1.104552</v>
      </c>
      <c r="L264">
        <v>367.24450000000002</v>
      </c>
      <c r="M264">
        <v>0.99978829999999996</v>
      </c>
      <c r="N264">
        <v>0</v>
      </c>
      <c r="O264">
        <v>-1.798075E-2</v>
      </c>
      <c r="P264">
        <v>0.99484939999999999</v>
      </c>
      <c r="Q264">
        <v>2.6754070000000001E-2</v>
      </c>
      <c r="R264">
        <v>9.7769049999999996E-2</v>
      </c>
      <c r="S264">
        <v>3.0282900000000001</v>
      </c>
      <c r="T264">
        <v>-0.15595339999999999</v>
      </c>
      <c r="U264">
        <v>-9.002686E-2</v>
      </c>
      <c r="V264">
        <v>-0.1156461</v>
      </c>
      <c r="W264">
        <v>3.6666110000000002E-2</v>
      </c>
      <c r="X264">
        <v>0.99261350000000004</v>
      </c>
      <c r="Y264">
        <v>1.1745230000000001E-2</v>
      </c>
      <c r="Z264">
        <v>6.2295169999999997E-4</v>
      </c>
      <c r="AA264">
        <v>0.99993080000000001</v>
      </c>
      <c r="AB264">
        <v>10</v>
      </c>
      <c r="AC264">
        <v>22.3326999999999</v>
      </c>
      <c r="AD264">
        <v>-1.154552</v>
      </c>
      <c r="AE264">
        <v>-0.66509999999999503</v>
      </c>
      <c r="AF264">
        <v>0.26271216071151798</v>
      </c>
      <c r="AG264">
        <v>-1.154552</v>
      </c>
      <c r="AH264">
        <v>22.281550429111199</v>
      </c>
      <c r="AI264">
        <v>92.966008265438305</v>
      </c>
      <c r="AJ264">
        <v>89.324481452466998</v>
      </c>
      <c r="AK264">
        <v>22.312989434970699</v>
      </c>
      <c r="AL264">
        <v>87.898715620971601</v>
      </c>
      <c r="AM264">
        <v>96.645381216339601</v>
      </c>
      <c r="AN264">
        <v>0.99999999222499603</v>
      </c>
    </row>
    <row r="265" spans="1:40" x14ac:dyDescent="0.3">
      <c r="A265" t="str">
        <f>"20200111145920547"</f>
        <v>20200111145920547</v>
      </c>
      <c r="B265" t="str">
        <f>"1578725960536007"</f>
        <v>1578725960536007</v>
      </c>
      <c r="C265" t="s">
        <v>40</v>
      </c>
      <c r="D265">
        <v>4.0999359999999996</v>
      </c>
      <c r="E265">
        <v>0.54811290000000001</v>
      </c>
      <c r="F265" t="s">
        <v>43</v>
      </c>
      <c r="G265">
        <v>-438.8664</v>
      </c>
      <c r="H265">
        <v>-0.05</v>
      </c>
      <c r="I265">
        <v>366.59710000000001</v>
      </c>
      <c r="J265">
        <v>-461.06299999999999</v>
      </c>
      <c r="K265">
        <v>1.104555</v>
      </c>
      <c r="L265">
        <v>367.24360000000001</v>
      </c>
      <c r="M265">
        <v>0.99979039999999997</v>
      </c>
      <c r="N265">
        <v>0</v>
      </c>
      <c r="O265">
        <v>-1.7867310000000001E-2</v>
      </c>
      <c r="P265">
        <v>0.99481209999999998</v>
      </c>
      <c r="Q265">
        <v>2.6802380000000001E-2</v>
      </c>
      <c r="R265">
        <v>9.8136870000000001E-2</v>
      </c>
      <c r="S265">
        <v>3.028473</v>
      </c>
      <c r="T265">
        <v>-0.15712789999999999</v>
      </c>
      <c r="U265">
        <v>-8.8104249999999995E-2</v>
      </c>
      <c r="V265">
        <v>-0.115901</v>
      </c>
      <c r="W265">
        <v>3.6723760000000001E-2</v>
      </c>
      <c r="X265">
        <v>0.99258170000000001</v>
      </c>
      <c r="Y265">
        <v>1.122331E-2</v>
      </c>
      <c r="Z265">
        <v>6.3525449999999998E-4</v>
      </c>
      <c r="AA265">
        <v>0.99993679999999996</v>
      </c>
      <c r="AB265">
        <v>10</v>
      </c>
      <c r="AC265">
        <v>22.1966</v>
      </c>
      <c r="AD265">
        <v>-1.154555</v>
      </c>
      <c r="AE265">
        <v>-0.64650000000000296</v>
      </c>
      <c r="AF265">
        <v>0.24911002978540001</v>
      </c>
      <c r="AG265">
        <v>-1.154555</v>
      </c>
      <c r="AH265">
        <v>22.144745087601301</v>
      </c>
      <c r="AI265">
        <v>92.984324905391304</v>
      </c>
      <c r="AJ265">
        <v>89.355497149376802</v>
      </c>
      <c r="AK265">
        <v>22.176221230178299</v>
      </c>
      <c r="AL265">
        <v>87.895410422733605</v>
      </c>
      <c r="AM265">
        <v>96.660108570976206</v>
      </c>
      <c r="AN265">
        <v>1.00000005376221</v>
      </c>
    </row>
    <row r="266" spans="1:40" x14ac:dyDescent="0.3">
      <c r="A266" t="str">
        <f>"20200111145920559"</f>
        <v>20200111145920559</v>
      </c>
      <c r="B266" t="str">
        <f>"1578725960556503"</f>
        <v>1578725960556503</v>
      </c>
      <c r="C266" t="s">
        <v>40</v>
      </c>
      <c r="D266">
        <v>4.0461640000000001</v>
      </c>
      <c r="E266">
        <v>0.51862699999999995</v>
      </c>
      <c r="F266" t="s">
        <v>43</v>
      </c>
      <c r="G266">
        <v>-438.68849999999998</v>
      </c>
      <c r="H266">
        <v>-0.05</v>
      </c>
      <c r="I266">
        <v>366.6071</v>
      </c>
      <c r="J266">
        <v>-461.00650000000002</v>
      </c>
      <c r="K266">
        <v>1.104555</v>
      </c>
      <c r="L266">
        <v>367.24279999999999</v>
      </c>
      <c r="M266">
        <v>0.99979229999999997</v>
      </c>
      <c r="N266">
        <v>0</v>
      </c>
      <c r="O266">
        <v>-1.7752670000000002E-2</v>
      </c>
      <c r="P266">
        <v>0.99479099999999998</v>
      </c>
      <c r="Q266">
        <v>2.70262E-2</v>
      </c>
      <c r="R266">
        <v>9.8287189999999997E-2</v>
      </c>
      <c r="S266">
        <v>3.028381</v>
      </c>
      <c r="T266">
        <v>-0.15626870000000001</v>
      </c>
      <c r="U266">
        <v>-8.6151119999999998E-2</v>
      </c>
      <c r="V266">
        <v>-0.1159369</v>
      </c>
      <c r="W266">
        <v>3.6956780000000002E-2</v>
      </c>
      <c r="X266">
        <v>0.99256880000000003</v>
      </c>
      <c r="Y266">
        <v>1.069492E-2</v>
      </c>
      <c r="Z266">
        <v>6.3952360000000001E-4</v>
      </c>
      <c r="AA266">
        <v>0.99994260000000001</v>
      </c>
      <c r="AB266">
        <v>10</v>
      </c>
      <c r="AC266">
        <v>22.318000000000001</v>
      </c>
      <c r="AD266">
        <v>-1.154555</v>
      </c>
      <c r="AE266">
        <v>-0.63569999999998505</v>
      </c>
      <c r="AF266">
        <v>0.23873747752837299</v>
      </c>
      <c r="AG266">
        <v>-1.154555</v>
      </c>
      <c r="AH266">
        <v>22.2662278763387</v>
      </c>
      <c r="AI266">
        <v>92.968089014036906</v>
      </c>
      <c r="AJ266">
        <v>89.385700810265405</v>
      </c>
      <c r="AK266">
        <v>22.2974190585423</v>
      </c>
      <c r="AL266">
        <v>87.882050168236404</v>
      </c>
      <c r="AM266">
        <v>96.662238785918305</v>
      </c>
      <c r="AN266">
        <v>0.99999999555150898</v>
      </c>
    </row>
    <row r="267" spans="1:40" x14ac:dyDescent="0.3">
      <c r="A267" t="str">
        <f>"20200111145920578"</f>
        <v>20200111145920578</v>
      </c>
      <c r="B267" t="str">
        <f>"1578725960576023"</f>
        <v>1578725960576023</v>
      </c>
      <c r="C267" t="s">
        <v>40</v>
      </c>
      <c r="D267">
        <v>4.0521820000000002</v>
      </c>
      <c r="E267">
        <v>0.51773380000000002</v>
      </c>
      <c r="F267" t="s">
        <v>43</v>
      </c>
      <c r="G267">
        <v>-437.11219999999997</v>
      </c>
      <c r="H267">
        <v>-0.05</v>
      </c>
      <c r="I267">
        <v>368.42090000000002</v>
      </c>
      <c r="J267">
        <v>-460.92090000000002</v>
      </c>
      <c r="K267">
        <v>1.1045590000000001</v>
      </c>
      <c r="L267">
        <v>367.24149999999997</v>
      </c>
      <c r="M267">
        <v>0.99979530000000005</v>
      </c>
      <c r="N267">
        <v>0</v>
      </c>
      <c r="O267">
        <v>-1.7579529999999999E-2</v>
      </c>
      <c r="P267">
        <v>0.99478270000000002</v>
      </c>
      <c r="Q267">
        <v>2.7357329999999999E-2</v>
      </c>
      <c r="R267">
        <v>9.8282549999999996E-2</v>
      </c>
      <c r="S267">
        <v>3.0050050000000001</v>
      </c>
      <c r="T267">
        <v>-0.14519989999999999</v>
      </c>
      <c r="U267">
        <v>0.14816279999999901</v>
      </c>
      <c r="V267">
        <v>-0.1157603</v>
      </c>
      <c r="W267">
        <v>3.7300340000000001E-2</v>
      </c>
      <c r="X267">
        <v>0.99257649999999997</v>
      </c>
      <c r="Y267">
        <v>-6.6698899999999894E-2</v>
      </c>
      <c r="Z267">
        <v>2.4580320000000002E-3</v>
      </c>
      <c r="AA267">
        <v>0.99777009999999999</v>
      </c>
      <c r="AB267">
        <v>10</v>
      </c>
      <c r="AC267">
        <v>23.808700000000002</v>
      </c>
      <c r="AD267">
        <v>-1.1545589999999999</v>
      </c>
      <c r="AE267">
        <v>1.17940000000004</v>
      </c>
      <c r="AF267">
        <v>-1.59404511962585</v>
      </c>
      <c r="AG267">
        <v>-1.1545589999999999</v>
      </c>
      <c r="AH267">
        <v>23.728622779267901</v>
      </c>
      <c r="AI267">
        <v>92.7793780934323</v>
      </c>
      <c r="AJ267">
        <v>93.843250340545595</v>
      </c>
      <c r="AK267">
        <v>23.810113929351001</v>
      </c>
      <c r="AL267">
        <v>87.862351919463094</v>
      </c>
      <c r="AM267">
        <v>96.652130458934707</v>
      </c>
      <c r="AN267">
        <v>0.999999935386225</v>
      </c>
    </row>
    <row r="268" spans="1:40" x14ac:dyDescent="0.3">
      <c r="A268" t="str">
        <f>"20200111145920592"</f>
        <v>20200111145920592</v>
      </c>
      <c r="B268" t="str">
        <f>"1578725960585784"</f>
        <v>1578725960585784</v>
      </c>
      <c r="C268" t="s">
        <v>40</v>
      </c>
      <c r="D268">
        <v>4.0524269999999998</v>
      </c>
      <c r="E268">
        <v>0.5177041</v>
      </c>
      <c r="F268" t="s">
        <v>43</v>
      </c>
      <c r="G268">
        <v>-436.55340000000001</v>
      </c>
      <c r="H268">
        <v>-0.05</v>
      </c>
      <c r="I268">
        <v>368.50060000000002</v>
      </c>
      <c r="J268">
        <v>-460.8587</v>
      </c>
      <c r="K268">
        <v>1.10456</v>
      </c>
      <c r="L268">
        <v>367.2405</v>
      </c>
      <c r="M268">
        <v>0.99979750000000001</v>
      </c>
      <c r="N268">
        <v>0</v>
      </c>
      <c r="O268">
        <v>-1.7453679999999999E-2</v>
      </c>
      <c r="P268">
        <v>0.99477139999999997</v>
      </c>
      <c r="Q268">
        <v>2.7279729999999999E-2</v>
      </c>
      <c r="R268">
        <v>9.8418119999999998E-2</v>
      </c>
      <c r="S268">
        <v>3.0042719999999998</v>
      </c>
      <c r="T268">
        <v>-0.14234559999999999</v>
      </c>
      <c r="U268">
        <v>0.15524289999999999</v>
      </c>
      <c r="V268">
        <v>-0.1157701</v>
      </c>
      <c r="W268">
        <v>3.7230300000000001E-2</v>
      </c>
      <c r="X268">
        <v>0.99257799999999996</v>
      </c>
      <c r="Y268">
        <v>-6.8931950000000006E-2</v>
      </c>
      <c r="Z268">
        <v>2.4570960000000002E-3</v>
      </c>
      <c r="AA268">
        <v>0.99761829999999996</v>
      </c>
      <c r="AB268">
        <v>10</v>
      </c>
      <c r="AC268">
        <v>24.3052999999999</v>
      </c>
      <c r="AD268">
        <v>-1.15456</v>
      </c>
      <c r="AE268">
        <v>1.26010000000002</v>
      </c>
      <c r="AF268">
        <v>-1.6803647027619599</v>
      </c>
      <c r="AG268">
        <v>-1.15456</v>
      </c>
      <c r="AH268">
        <v>24.225085955983499</v>
      </c>
      <c r="AI268">
        <v>92.722103245591896</v>
      </c>
      <c r="AJ268">
        <v>93.967946194754106</v>
      </c>
      <c r="AK268">
        <v>24.310726519433299</v>
      </c>
      <c r="AL268">
        <v>87.866367733852897</v>
      </c>
      <c r="AM268">
        <v>96.652678601696095</v>
      </c>
      <c r="AN268">
        <v>0.99999994868804798</v>
      </c>
    </row>
    <row r="269" spans="1:40" x14ac:dyDescent="0.3">
      <c r="A269" t="str">
        <f>"20200111145920605"</f>
        <v>20200111145920605</v>
      </c>
      <c r="B269" t="str">
        <f>"1578725960596520"</f>
        <v>1578725960596520</v>
      </c>
      <c r="C269" t="s">
        <v>40</v>
      </c>
      <c r="D269">
        <v>4.033893</v>
      </c>
      <c r="E269">
        <v>0.51771659999999997</v>
      </c>
      <c r="F269" t="s">
        <v>43</v>
      </c>
      <c r="G269">
        <v>-437.35719999999998</v>
      </c>
      <c r="H269">
        <v>-0.05</v>
      </c>
      <c r="I269">
        <v>368.46109999999999</v>
      </c>
      <c r="J269">
        <v>-460.80040000000002</v>
      </c>
      <c r="K269">
        <v>1.1045609999999999</v>
      </c>
      <c r="L269">
        <v>367.2396</v>
      </c>
      <c r="M269">
        <v>0.99979929999999995</v>
      </c>
      <c r="N269">
        <v>0</v>
      </c>
      <c r="O269">
        <v>-1.7335699999999999E-2</v>
      </c>
      <c r="P269">
        <v>0.99479600000000001</v>
      </c>
      <c r="Q269">
        <v>2.716097E-2</v>
      </c>
      <c r="R269">
        <v>9.8200540000000003E-2</v>
      </c>
      <c r="S269">
        <v>3.0043329999999999</v>
      </c>
      <c r="T269">
        <v>-0.14759369999999999</v>
      </c>
      <c r="U269">
        <v>0.15603639999999999</v>
      </c>
      <c r="V269">
        <v>-0.11543639999999999</v>
      </c>
      <c r="W269">
        <v>3.7119270000000003E-2</v>
      </c>
      <c r="X269">
        <v>0.99262110000000003</v>
      </c>
      <c r="Y269">
        <v>-6.9068690000000002E-2</v>
      </c>
      <c r="Z269">
        <v>2.5450749999999999E-3</v>
      </c>
      <c r="AA269">
        <v>0.99760870000000001</v>
      </c>
      <c r="AB269">
        <v>10</v>
      </c>
      <c r="AC269">
        <v>23.443200000000001</v>
      </c>
      <c r="AD269">
        <v>-1.1545609999999999</v>
      </c>
      <c r="AE269">
        <v>1.22149999999999</v>
      </c>
      <c r="AF269">
        <v>-1.6238133108324599</v>
      </c>
      <c r="AG269">
        <v>-1.1545609999999999</v>
      </c>
      <c r="AH269">
        <v>23.361989189181902</v>
      </c>
      <c r="AI269">
        <v>92.822485021667305</v>
      </c>
      <c r="AJ269">
        <v>93.976042215604295</v>
      </c>
      <c r="AK269">
        <v>23.446797641610001</v>
      </c>
      <c r="AL269">
        <v>87.872733848141095</v>
      </c>
      <c r="AM269">
        <v>96.633388358144998</v>
      </c>
      <c r="AN269">
        <v>1.0000000254077499</v>
      </c>
    </row>
    <row r="270" spans="1:40" x14ac:dyDescent="0.3">
      <c r="A270" t="str">
        <f>"20200111145920623"</f>
        <v>20200111145920623</v>
      </c>
      <c r="B270" t="str">
        <f>"1578725960616041"</f>
        <v>1578725960616041</v>
      </c>
      <c r="C270" t="s">
        <v>40</v>
      </c>
      <c r="D270">
        <v>4.0621989999999997</v>
      </c>
      <c r="E270">
        <v>0.51752500000000001</v>
      </c>
      <c r="F270" t="s">
        <v>43</v>
      </c>
      <c r="G270">
        <v>-437.2713</v>
      </c>
      <c r="H270">
        <v>-0.05</v>
      </c>
      <c r="I270">
        <v>368.45589999999999</v>
      </c>
      <c r="J270">
        <v>-460.71499999999997</v>
      </c>
      <c r="K270">
        <v>1.104555</v>
      </c>
      <c r="L270">
        <v>367.23840000000001</v>
      </c>
      <c r="M270">
        <v>0.99980219999999997</v>
      </c>
      <c r="N270">
        <v>0</v>
      </c>
      <c r="O270">
        <v>-1.7163129999999999E-2</v>
      </c>
      <c r="P270">
        <v>0.99481929999999996</v>
      </c>
      <c r="Q270">
        <v>2.6867060000000002E-2</v>
      </c>
      <c r="R270">
        <v>9.8045359999999998E-2</v>
      </c>
      <c r="S270">
        <v>3.0043950000000001</v>
      </c>
      <c r="T270">
        <v>-0.147424</v>
      </c>
      <c r="U270">
        <v>0.155304</v>
      </c>
      <c r="V270">
        <v>-0.11511</v>
      </c>
      <c r="W270">
        <v>3.6834310000000002E-2</v>
      </c>
      <c r="X270">
        <v>0.99266960000000004</v>
      </c>
      <c r="Y270">
        <v>-6.8653859999999997E-2</v>
      </c>
      <c r="Z270">
        <v>2.5234929999999999E-3</v>
      </c>
      <c r="AA270">
        <v>0.99763729999999995</v>
      </c>
      <c r="AB270">
        <v>10</v>
      </c>
      <c r="AC270">
        <v>23.4436999999999</v>
      </c>
      <c r="AD270">
        <v>-1.154555</v>
      </c>
      <c r="AE270">
        <v>1.2174999999999701</v>
      </c>
      <c r="AF270">
        <v>-1.6157998747473601</v>
      </c>
      <c r="AG270">
        <v>-1.154555</v>
      </c>
      <c r="AH270">
        <v>23.3628383127826</v>
      </c>
      <c r="AI270">
        <v>92.822435143492299</v>
      </c>
      <c r="AJ270">
        <v>93.956339777637695</v>
      </c>
      <c r="AK270">
        <v>23.447089809024899</v>
      </c>
      <c r="AL270">
        <v>87.889071986729306</v>
      </c>
      <c r="AM270">
        <v>96.614478375729902</v>
      </c>
      <c r="AN270">
        <v>1.0000000066286601</v>
      </c>
    </row>
    <row r="271" spans="1:40" x14ac:dyDescent="0.3">
      <c r="A271" t="str">
        <f>"20200111145920637"</f>
        <v>20200111145920637</v>
      </c>
      <c r="B271" t="str">
        <f>"1578725960625800"</f>
        <v>1578725960625800</v>
      </c>
      <c r="C271" t="s">
        <v>40</v>
      </c>
      <c r="D271">
        <v>4.0862489999999996</v>
      </c>
      <c r="E271">
        <v>0.51761509999999999</v>
      </c>
      <c r="F271" t="s">
        <v>43</v>
      </c>
      <c r="G271">
        <v>-437.98829999999998</v>
      </c>
      <c r="H271">
        <v>-0.05</v>
      </c>
      <c r="I271">
        <v>368.42129999999997</v>
      </c>
      <c r="J271">
        <v>-460.65359999999998</v>
      </c>
      <c r="K271">
        <v>1.104555</v>
      </c>
      <c r="L271">
        <v>367.23739999999998</v>
      </c>
      <c r="M271">
        <v>0.99980429999999998</v>
      </c>
      <c r="N271">
        <v>0</v>
      </c>
      <c r="O271">
        <v>-1.7039060000000002E-2</v>
      </c>
      <c r="P271">
        <v>0.99481929999999996</v>
      </c>
      <c r="Q271">
        <v>2.7035380000000001E-2</v>
      </c>
      <c r="R271">
        <v>9.799882E-2</v>
      </c>
      <c r="S271">
        <v>3.0043329999999999</v>
      </c>
      <c r="T271">
        <v>-0.15262579999999901</v>
      </c>
      <c r="U271">
        <v>0.15637210000000001</v>
      </c>
      <c r="V271">
        <v>-0.1149403</v>
      </c>
      <c r="W271">
        <v>3.7008239999999998E-2</v>
      </c>
      <c r="X271">
        <v>0.99268279999999998</v>
      </c>
      <c r="Y271">
        <v>-6.8877320000000006E-2</v>
      </c>
      <c r="Z271">
        <v>2.611824E-3</v>
      </c>
      <c r="AA271">
        <v>0.99762169999999895</v>
      </c>
      <c r="AB271">
        <v>10</v>
      </c>
      <c r="AC271">
        <v>22.665299999999998</v>
      </c>
      <c r="AD271">
        <v>-1.154555</v>
      </c>
      <c r="AE271">
        <v>1.18389999999999</v>
      </c>
      <c r="AF271">
        <v>-1.5658908862634</v>
      </c>
      <c r="AG271">
        <v>-1.154555</v>
      </c>
      <c r="AH271">
        <v>22.583395390263199</v>
      </c>
      <c r="AI271">
        <v>92.919647313689794</v>
      </c>
      <c r="AJ271">
        <v>93.966434976212796</v>
      </c>
      <c r="AK271">
        <v>22.667041246458901</v>
      </c>
      <c r="AL271">
        <v>87.879099743736006</v>
      </c>
      <c r="AM271">
        <v>96.604726204015407</v>
      </c>
      <c r="AN271">
        <v>1.0000000119039101</v>
      </c>
    </row>
    <row r="272" spans="1:40" x14ac:dyDescent="0.3">
      <c r="A272" t="str">
        <f>"20200111145920657"</f>
        <v>20200111145920657</v>
      </c>
      <c r="B272" t="str">
        <f>"1578725960646295"</f>
        <v>1578725960646295</v>
      </c>
      <c r="C272" t="s">
        <v>40</v>
      </c>
      <c r="D272">
        <v>4.0562950000000004</v>
      </c>
      <c r="E272">
        <v>0.51799899999999999</v>
      </c>
      <c r="F272" t="s">
        <v>43</v>
      </c>
      <c r="G272">
        <v>-438.07380000000001</v>
      </c>
      <c r="H272">
        <v>-0.05</v>
      </c>
      <c r="I272">
        <v>368.4076</v>
      </c>
      <c r="J272">
        <v>-460.56299999999999</v>
      </c>
      <c r="K272">
        <v>1.1045560000000001</v>
      </c>
      <c r="L272">
        <v>367.23610000000002</v>
      </c>
      <c r="M272">
        <v>0.99980720000000001</v>
      </c>
      <c r="N272">
        <v>0</v>
      </c>
      <c r="O272">
        <v>-1.6855990000000001E-2</v>
      </c>
      <c r="P272">
        <v>0.99478929999999999</v>
      </c>
      <c r="Q272">
        <v>2.6873290000000001E-2</v>
      </c>
      <c r="R272">
        <v>9.8346329999999996E-2</v>
      </c>
      <c r="S272">
        <v>3.0043950000000001</v>
      </c>
      <c r="T272">
        <v>-0.15362089999999901</v>
      </c>
      <c r="U272">
        <v>0.1557007</v>
      </c>
      <c r="V272">
        <v>-0.11510570000000001</v>
      </c>
      <c r="W272">
        <v>3.6852889999999999E-2</v>
      </c>
      <c r="X272">
        <v>0.99266940000000004</v>
      </c>
      <c r="Y272">
        <v>-6.8470569999999994E-2</v>
      </c>
      <c r="Z272">
        <v>2.6090570000000001E-3</v>
      </c>
      <c r="AA272">
        <v>0.99764969999999997</v>
      </c>
      <c r="AB272">
        <v>10</v>
      </c>
      <c r="AC272">
        <v>22.4892</v>
      </c>
      <c r="AD272">
        <v>-1.1545559999999999</v>
      </c>
      <c r="AE272">
        <v>1.17149999999998</v>
      </c>
      <c r="AF272">
        <v>-1.54636590779179</v>
      </c>
      <c r="AG272">
        <v>-1.1545559999999999</v>
      </c>
      <c r="AH272">
        <v>22.407359434699</v>
      </c>
      <c r="AI272">
        <v>92.942612994222401</v>
      </c>
      <c r="AJ272">
        <v>93.947809441554298</v>
      </c>
      <c r="AK272">
        <v>22.490309111119601</v>
      </c>
      <c r="AL272">
        <v>87.888006688978294</v>
      </c>
      <c r="AM272">
        <v>96.614234798302306</v>
      </c>
      <c r="AN272">
        <v>0.99999999768510095</v>
      </c>
    </row>
    <row r="273" spans="1:40" x14ac:dyDescent="0.3">
      <c r="A273" t="str">
        <f>"20200111145920670"</f>
        <v>20200111145920670</v>
      </c>
      <c r="B273" t="str">
        <f>"1578725960665815"</f>
        <v>1578725960665815</v>
      </c>
      <c r="C273" t="s">
        <v>40</v>
      </c>
      <c r="D273">
        <v>4.0332949999999999</v>
      </c>
      <c r="E273">
        <v>0.51785429999999999</v>
      </c>
      <c r="F273" t="s">
        <v>43</v>
      </c>
      <c r="G273">
        <v>-438.0231</v>
      </c>
      <c r="H273">
        <v>-0.05</v>
      </c>
      <c r="I273">
        <v>368.38619999999997</v>
      </c>
      <c r="J273">
        <v>-460.50310000000002</v>
      </c>
      <c r="K273">
        <v>1.104554</v>
      </c>
      <c r="L273">
        <v>367.23520000000002</v>
      </c>
      <c r="M273">
        <v>0.99980930000000001</v>
      </c>
      <c r="N273">
        <v>0</v>
      </c>
      <c r="O273">
        <v>-1.6735130000000001E-2</v>
      </c>
      <c r="P273">
        <v>0.9948032</v>
      </c>
      <c r="Q273">
        <v>2.6692190000000001E-2</v>
      </c>
      <c r="R273">
        <v>9.8256819999999995E-2</v>
      </c>
      <c r="S273">
        <v>3.0047299999999999</v>
      </c>
      <c r="T273">
        <v>-0.1539104</v>
      </c>
      <c r="U273">
        <v>0.15332029999999999</v>
      </c>
      <c r="V273">
        <v>-0.11489580000000001</v>
      </c>
      <c r="W273">
        <v>3.667612E-2</v>
      </c>
      <c r="X273">
        <v>0.99270029999999998</v>
      </c>
      <c r="Y273">
        <v>-6.7556870000000005E-2</v>
      </c>
      <c r="Z273">
        <v>2.5841729999999999E-3</v>
      </c>
      <c r="AA273">
        <v>0.99771209999999999</v>
      </c>
      <c r="AB273">
        <v>10</v>
      </c>
      <c r="AC273">
        <v>22.48</v>
      </c>
      <c r="AD273">
        <v>-1.1545540000000001</v>
      </c>
      <c r="AE273">
        <v>1.1509999999999501</v>
      </c>
      <c r="AF273">
        <v>-1.52305661470443</v>
      </c>
      <c r="AG273">
        <v>-1.1545540000000001</v>
      </c>
      <c r="AH273">
        <v>22.398660533225101</v>
      </c>
      <c r="AI273">
        <v>92.943951856116598</v>
      </c>
      <c r="AJ273">
        <v>93.889991232435193</v>
      </c>
      <c r="AK273">
        <v>22.480050935733399</v>
      </c>
      <c r="AL273">
        <v>87.898141792304799</v>
      </c>
      <c r="AM273">
        <v>96.602076353602001</v>
      </c>
      <c r="AN273">
        <v>1.00000003412799</v>
      </c>
    </row>
    <row r="274" spans="1:40" x14ac:dyDescent="0.3">
      <c r="A274" t="str">
        <f>"20200111145920683"</f>
        <v>20200111145920683</v>
      </c>
      <c r="B274" t="str">
        <f>"1578725960676552"</f>
        <v>1578725960676552</v>
      </c>
      <c r="C274" t="s">
        <v>40</v>
      </c>
      <c r="D274">
        <v>4.0794620000000004</v>
      </c>
      <c r="E274">
        <v>0.51775490000000002</v>
      </c>
      <c r="F274" t="s">
        <v>43</v>
      </c>
      <c r="G274">
        <v>-438.1293</v>
      </c>
      <c r="H274">
        <v>-0.05</v>
      </c>
      <c r="I274">
        <v>368.38510000000002</v>
      </c>
      <c r="J274">
        <v>-460.44279999999998</v>
      </c>
      <c r="K274">
        <v>1.1045590000000001</v>
      </c>
      <c r="L274">
        <v>367.23430000000002</v>
      </c>
      <c r="M274">
        <v>0.99981140000000002</v>
      </c>
      <c r="N274">
        <v>0</v>
      </c>
      <c r="O274">
        <v>-1.6613800000000001E-2</v>
      </c>
      <c r="P274">
        <v>0.99480409999999997</v>
      </c>
      <c r="Q274">
        <v>2.6718220000000001E-2</v>
      </c>
      <c r="R274">
        <v>9.8239439999999997E-2</v>
      </c>
      <c r="S274">
        <v>3.004578</v>
      </c>
      <c r="T274">
        <v>-0.15504519999999999</v>
      </c>
      <c r="U274">
        <v>0.1544189</v>
      </c>
      <c r="V274">
        <v>-0.114758399999999</v>
      </c>
      <c r="W274">
        <v>3.6706129999999997E-2</v>
      </c>
      <c r="X274">
        <v>0.99271509999999996</v>
      </c>
      <c r="Y274">
        <v>-6.780042E-2</v>
      </c>
      <c r="Z274">
        <v>2.6033319999999999E-3</v>
      </c>
      <c r="AA274">
        <v>0.99769549999999996</v>
      </c>
      <c r="AB274">
        <v>10</v>
      </c>
      <c r="AC274">
        <v>22.313499999999902</v>
      </c>
      <c r="AD274">
        <v>-1.1545589999999999</v>
      </c>
      <c r="AE274">
        <v>1.1508</v>
      </c>
      <c r="AF274">
        <v>-1.5173203841734</v>
      </c>
      <c r="AG274">
        <v>-1.1545589999999999</v>
      </c>
      <c r="AH274">
        <v>22.231936241587398</v>
      </c>
      <c r="AI274">
        <v>92.965952450544194</v>
      </c>
      <c r="AJ274">
        <v>93.904358413173199</v>
      </c>
      <c r="AK274">
        <v>22.313544242964099</v>
      </c>
      <c r="AL274">
        <v>87.896421220985303</v>
      </c>
      <c r="AM274">
        <v>96.594153285189506</v>
      </c>
      <c r="AN274">
        <v>1.00000005005907</v>
      </c>
    </row>
    <row r="275" spans="1:40" x14ac:dyDescent="0.3">
      <c r="A275" t="str">
        <f>"20200111145920701"</f>
        <v>20200111145920701</v>
      </c>
      <c r="B275" t="str">
        <f>"1578725960696071"</f>
        <v>1578725960696071</v>
      </c>
      <c r="C275" t="s">
        <v>40</v>
      </c>
      <c r="D275">
        <v>4.0942059999999998</v>
      </c>
      <c r="E275">
        <v>0.51763409999999999</v>
      </c>
      <c r="F275" t="s">
        <v>43</v>
      </c>
      <c r="G275">
        <v>-438.0994</v>
      </c>
      <c r="H275">
        <v>-0.05</v>
      </c>
      <c r="I275">
        <v>368.39</v>
      </c>
      <c r="J275">
        <v>-460.35950000000003</v>
      </c>
      <c r="K275">
        <v>1.104563</v>
      </c>
      <c r="L275">
        <v>367.23320000000001</v>
      </c>
      <c r="M275">
        <v>0.99981399999999998</v>
      </c>
      <c r="N275">
        <v>0</v>
      </c>
      <c r="O275">
        <v>-1.6445979999999999E-2</v>
      </c>
      <c r="P275">
        <v>0.99489159999999999</v>
      </c>
      <c r="Q275">
        <v>2.6792949999999999E-2</v>
      </c>
      <c r="R275">
        <v>9.7330849999999997E-2</v>
      </c>
      <c r="S275">
        <v>3.0044559999999998</v>
      </c>
      <c r="T275">
        <v>-0.15525029999999901</v>
      </c>
      <c r="U275">
        <v>0.15539549999999999</v>
      </c>
      <c r="V275">
        <v>-0.1136844</v>
      </c>
      <c r="W275">
        <v>3.6786659999999999E-2</v>
      </c>
      <c r="X275">
        <v>0.99283560000000004</v>
      </c>
      <c r="Y275">
        <v>-6.7958180000000007E-2</v>
      </c>
      <c r="Z275">
        <v>2.6022630000000001E-3</v>
      </c>
      <c r="AA275">
        <v>0.99768480000000004</v>
      </c>
      <c r="AB275">
        <v>10</v>
      </c>
      <c r="AC275">
        <v>22.260100000000001</v>
      </c>
      <c r="AD275">
        <v>-1.154563</v>
      </c>
      <c r="AE275">
        <v>1.1567999999999701</v>
      </c>
      <c r="AF275">
        <v>-1.5186767650288799</v>
      </c>
      <c r="AG275">
        <v>-1.154563</v>
      </c>
      <c r="AH275">
        <v>22.178559885912701</v>
      </c>
      <c r="AI275">
        <v>92.973042475424293</v>
      </c>
      <c r="AJ275">
        <v>93.917213444447</v>
      </c>
      <c r="AK275">
        <v>22.260456272292</v>
      </c>
      <c r="AL275">
        <v>87.8918038941476</v>
      </c>
      <c r="AM275">
        <v>96.532189910721598</v>
      </c>
      <c r="AN275">
        <v>0.999999964892337</v>
      </c>
    </row>
    <row r="276" spans="1:40" x14ac:dyDescent="0.3">
      <c r="A276" t="str">
        <f>"20200111145920713"</f>
        <v>20200111145920713</v>
      </c>
      <c r="B276" t="str">
        <f>"1578725960705831"</f>
        <v>1578725960705831</v>
      </c>
      <c r="C276" t="s">
        <v>40</v>
      </c>
      <c r="D276">
        <v>4.0985740000000002</v>
      </c>
      <c r="E276">
        <v>0.5175651</v>
      </c>
      <c r="F276" t="s">
        <v>43</v>
      </c>
      <c r="G276">
        <v>-437.91030000000001</v>
      </c>
      <c r="H276">
        <v>-0.05</v>
      </c>
      <c r="I276">
        <v>368.38409999999999</v>
      </c>
      <c r="J276">
        <v>-460.2996</v>
      </c>
      <c r="K276">
        <v>1.104562</v>
      </c>
      <c r="L276">
        <v>367.23230000000001</v>
      </c>
      <c r="M276">
        <v>0.99981600000000004</v>
      </c>
      <c r="N276">
        <v>0</v>
      </c>
      <c r="O276">
        <v>-1.632511E-2</v>
      </c>
      <c r="P276">
        <v>0.9949076</v>
      </c>
      <c r="Q276">
        <v>2.671989E-2</v>
      </c>
      <c r="R276">
        <v>9.71862E-2</v>
      </c>
      <c r="S276">
        <v>3.0044249999999999</v>
      </c>
      <c r="T276">
        <v>-0.1545175</v>
      </c>
      <c r="U276">
        <v>0.1540222</v>
      </c>
      <c r="V276">
        <v>-0.1134206</v>
      </c>
      <c r="W276">
        <v>3.6716609999999997E-2</v>
      </c>
      <c r="X276">
        <v>0.99286839999999998</v>
      </c>
      <c r="Y276">
        <v>-6.7385230000000004E-2</v>
      </c>
      <c r="Z276">
        <v>2.5691300000000002E-3</v>
      </c>
      <c r="AA276">
        <v>0.99772369999999999</v>
      </c>
      <c r="AB276">
        <v>10</v>
      </c>
      <c r="AC276">
        <v>22.389299999999899</v>
      </c>
      <c r="AD276">
        <v>-1.1545620000000001</v>
      </c>
      <c r="AE276">
        <v>1.15179999999998</v>
      </c>
      <c r="AF276">
        <v>-1.5131596237731499</v>
      </c>
      <c r="AG276">
        <v>-1.1545620000000001</v>
      </c>
      <c r="AH276">
        <v>22.308345696531902</v>
      </c>
      <c r="AI276">
        <v>92.955903312940194</v>
      </c>
      <c r="AJ276">
        <v>93.880389304567998</v>
      </c>
      <c r="AK276">
        <v>22.389393765236999</v>
      </c>
      <c r="AL276">
        <v>87.895820252589502</v>
      </c>
      <c r="AM276">
        <v>96.516949338147995</v>
      </c>
      <c r="AN276">
        <v>1.0000000008364001</v>
      </c>
    </row>
    <row r="277" spans="1:40" x14ac:dyDescent="0.3">
      <c r="A277" t="str">
        <f>"20200111145920727"</f>
        <v>20200111145920727</v>
      </c>
      <c r="B277" t="str">
        <f>"1578725960715592"</f>
        <v>1578725960715592</v>
      </c>
      <c r="C277" t="s">
        <v>40</v>
      </c>
      <c r="D277">
        <v>4.1041309999999998</v>
      </c>
      <c r="E277">
        <v>0.51747909999999997</v>
      </c>
      <c r="F277" t="s">
        <v>43</v>
      </c>
      <c r="G277">
        <v>-437.84280000000001</v>
      </c>
      <c r="H277">
        <v>-0.05</v>
      </c>
      <c r="I277">
        <v>368.38290000000001</v>
      </c>
      <c r="J277">
        <v>-460.24400000000003</v>
      </c>
      <c r="K277">
        <v>1.1045640000000001</v>
      </c>
      <c r="L277">
        <v>367.23149999999998</v>
      </c>
      <c r="M277">
        <v>0.99981790000000004</v>
      </c>
      <c r="N277">
        <v>0</v>
      </c>
      <c r="O277">
        <v>-1.6213060000000001E-2</v>
      </c>
      <c r="P277">
        <v>0.99493469999999995</v>
      </c>
      <c r="Q277">
        <v>2.679753E-2</v>
      </c>
      <c r="R277">
        <v>9.6886659999999999E-2</v>
      </c>
      <c r="S277">
        <v>3.0044559999999998</v>
      </c>
      <c r="T277">
        <v>-0.15446670000000001</v>
      </c>
      <c r="U277">
        <v>0.1539307</v>
      </c>
      <c r="V277">
        <v>-0.11300979999999999</v>
      </c>
      <c r="W277">
        <v>3.6795250000000002E-2</v>
      </c>
      <c r="X277">
        <v>0.99291240000000003</v>
      </c>
      <c r="Y277">
        <v>-6.7242979999999994E-2</v>
      </c>
      <c r="Z277">
        <v>2.558856E-3</v>
      </c>
      <c r="AA277">
        <v>0.99773339999999999</v>
      </c>
      <c r="AB277">
        <v>10</v>
      </c>
      <c r="AC277">
        <v>22.401199999999999</v>
      </c>
      <c r="AD277">
        <v>-1.1545639999999999</v>
      </c>
      <c r="AE277">
        <v>1.15140000000002</v>
      </c>
      <c r="AF277">
        <v>-1.5104572354460799</v>
      </c>
      <c r="AG277">
        <v>-1.1545639999999999</v>
      </c>
      <c r="AH277">
        <v>22.3204508035091</v>
      </c>
      <c r="AI277">
        <v>92.954339575847598</v>
      </c>
      <c r="AJ277">
        <v>93.871386013993998</v>
      </c>
      <c r="AK277">
        <v>22.401272802277902</v>
      </c>
      <c r="AL277">
        <v>87.891311611049304</v>
      </c>
      <c r="AM277">
        <v>96.493262153808701</v>
      </c>
      <c r="AN277">
        <v>1.0000000696961699</v>
      </c>
    </row>
    <row r="278" spans="1:40" x14ac:dyDescent="0.3">
      <c r="A278" t="str">
        <f>"20200111145920739"</f>
        <v>20200111145920739</v>
      </c>
      <c r="B278" t="str">
        <f>"1578725960736088"</f>
        <v>1578725960736088</v>
      </c>
      <c r="C278" t="s">
        <v>40</v>
      </c>
      <c r="D278">
        <v>4.216323</v>
      </c>
      <c r="E278">
        <v>0.51764009999999905</v>
      </c>
      <c r="F278" t="s">
        <v>43</v>
      </c>
      <c r="G278">
        <v>-437.7004</v>
      </c>
      <c r="H278">
        <v>-0.05</v>
      </c>
      <c r="I278">
        <v>368.38350000000003</v>
      </c>
      <c r="J278">
        <v>-460.18639999999999</v>
      </c>
      <c r="K278">
        <v>1.104563</v>
      </c>
      <c r="L278">
        <v>367.23070000000001</v>
      </c>
      <c r="M278">
        <v>0.99981980000000004</v>
      </c>
      <c r="N278">
        <v>0</v>
      </c>
      <c r="O278">
        <v>-1.609706E-2</v>
      </c>
      <c r="P278">
        <v>0.99492599999999998</v>
      </c>
      <c r="Q278">
        <v>2.6911049999999999E-2</v>
      </c>
      <c r="R278">
        <v>9.6945660000000003E-2</v>
      </c>
      <c r="S278">
        <v>3.0044559999999998</v>
      </c>
      <c r="T278">
        <v>-0.1538727</v>
      </c>
      <c r="U278">
        <v>0.1535339</v>
      </c>
      <c r="V278">
        <v>-0.1129539</v>
      </c>
      <c r="W278">
        <v>3.6906750000000002E-2</v>
      </c>
      <c r="X278">
        <v>0.99291459999999998</v>
      </c>
      <c r="Y278">
        <v>-6.6997130000000002E-2</v>
      </c>
      <c r="Z278">
        <v>2.5368169999999998E-3</v>
      </c>
      <c r="AA278">
        <v>0.99774989999999997</v>
      </c>
      <c r="AB278">
        <v>10</v>
      </c>
      <c r="AC278">
        <v>22.485999999999901</v>
      </c>
      <c r="AD278">
        <v>-1.154563</v>
      </c>
      <c r="AE278">
        <v>1.15280000000001</v>
      </c>
      <c r="AF278">
        <v>-1.5106551914023301</v>
      </c>
      <c r="AG278">
        <v>-1.154563</v>
      </c>
      <c r="AH278">
        <v>22.405613403419501</v>
      </c>
      <c r="AI278">
        <v>92.943176584401897</v>
      </c>
      <c r="AJ278">
        <v>93.857219488490998</v>
      </c>
      <c r="AK278">
        <v>22.486142550730399</v>
      </c>
      <c r="AL278">
        <v>87.884918742511502</v>
      </c>
      <c r="AM278">
        <v>96.490063431684803</v>
      </c>
      <c r="AN278">
        <v>1.0000000473069599</v>
      </c>
    </row>
    <row r="279" spans="1:40" x14ac:dyDescent="0.3">
      <c r="A279" t="str">
        <f>"20200111145920756"</f>
        <v>20200111145920756</v>
      </c>
      <c r="B279" t="str">
        <f>"1578725960745847"</f>
        <v>1578725960745847</v>
      </c>
      <c r="C279" t="s">
        <v>40</v>
      </c>
      <c r="D279">
        <v>4.1398029999999997</v>
      </c>
      <c r="E279">
        <v>0.51756000000000002</v>
      </c>
      <c r="F279" t="s">
        <v>43</v>
      </c>
      <c r="G279">
        <v>-437.9006</v>
      </c>
      <c r="H279">
        <v>-0.05</v>
      </c>
      <c r="I279">
        <v>368.36</v>
      </c>
      <c r="J279">
        <v>-460.10629999999998</v>
      </c>
      <c r="K279">
        <v>1.1045560000000001</v>
      </c>
      <c r="L279">
        <v>367.2296</v>
      </c>
      <c r="M279">
        <v>0.9998224</v>
      </c>
      <c r="N279">
        <v>0</v>
      </c>
      <c r="O279">
        <v>-1.5935479999999998E-2</v>
      </c>
      <c r="P279">
        <v>0.99490500000000004</v>
      </c>
      <c r="Q279">
        <v>2.605354E-2</v>
      </c>
      <c r="R279">
        <v>9.7393250000000001E-2</v>
      </c>
      <c r="S279">
        <v>3.0046390000000001</v>
      </c>
      <c r="T279">
        <v>-0.15566099999999999</v>
      </c>
      <c r="U279">
        <v>0.1522522</v>
      </c>
      <c r="V279">
        <v>-0.1132401</v>
      </c>
      <c r="W279">
        <v>3.6039960000000003E-2</v>
      </c>
      <c r="X279">
        <v>0.99291379999999996</v>
      </c>
      <c r="Y279">
        <v>-6.6406729999999997E-2</v>
      </c>
      <c r="Z279">
        <v>2.5424969999999999E-3</v>
      </c>
      <c r="AA279">
        <v>0.99778940000000005</v>
      </c>
      <c r="AB279">
        <v>10</v>
      </c>
      <c r="AC279">
        <v>22.205699999999901</v>
      </c>
      <c r="AD279">
        <v>-1.1545559999999999</v>
      </c>
      <c r="AE279">
        <v>1.1304000000000001</v>
      </c>
      <c r="AF279">
        <v>-1.4801418615899999</v>
      </c>
      <c r="AG279">
        <v>-1.1545559999999999</v>
      </c>
      <c r="AH279">
        <v>22.1252082858155</v>
      </c>
      <c r="AI279">
        <v>92.980496590916204</v>
      </c>
      <c r="AJ279">
        <v>93.827295357044207</v>
      </c>
      <c r="AK279">
        <v>22.204699078760001</v>
      </c>
      <c r="AL279">
        <v>87.934615133080101</v>
      </c>
      <c r="AM279">
        <v>96.506372172470293</v>
      </c>
      <c r="AN279">
        <v>1.00000000659762</v>
      </c>
    </row>
    <row r="280" spans="1:40" x14ac:dyDescent="0.3">
      <c r="A280" t="str">
        <f>"20200111145920769"</f>
        <v>20200111145920769</v>
      </c>
      <c r="B280" t="str">
        <f>"1578725960766343"</f>
        <v>1578725960766343</v>
      </c>
      <c r="C280" t="s">
        <v>40</v>
      </c>
      <c r="D280">
        <v>4.190156</v>
      </c>
      <c r="E280">
        <v>0.51758999999999999</v>
      </c>
      <c r="F280" t="s">
        <v>43</v>
      </c>
      <c r="G280">
        <v>-438.23070000000001</v>
      </c>
      <c r="H280">
        <v>-0.05</v>
      </c>
      <c r="I280">
        <v>368.35109999999997</v>
      </c>
      <c r="J280">
        <v>-460.04649999999998</v>
      </c>
      <c r="K280">
        <v>1.104552</v>
      </c>
      <c r="L280">
        <v>367.22879999999998</v>
      </c>
      <c r="M280">
        <v>0.9998245</v>
      </c>
      <c r="N280">
        <v>0</v>
      </c>
      <c r="O280">
        <v>-1.5815030000000001E-2</v>
      </c>
      <c r="P280">
        <v>0.99489340000000004</v>
      </c>
      <c r="Q280">
        <v>2.5606029999999998E-2</v>
      </c>
      <c r="R280">
        <v>9.7630540000000002E-2</v>
      </c>
      <c r="S280">
        <v>3.0044249999999999</v>
      </c>
      <c r="T280">
        <v>-0.15856789999999901</v>
      </c>
      <c r="U280">
        <v>0.1540222</v>
      </c>
      <c r="V280">
        <v>-0.1133575</v>
      </c>
      <c r="W280">
        <v>3.5582490000000001E-2</v>
      </c>
      <c r="X280">
        <v>0.99291689999999999</v>
      </c>
      <c r="Y280">
        <v>-6.6871769999999997E-2</v>
      </c>
      <c r="Z280">
        <v>2.5959630000000002E-3</v>
      </c>
      <c r="AA280">
        <v>0.99775820000000004</v>
      </c>
      <c r="AB280">
        <v>10</v>
      </c>
      <c r="AC280">
        <v>21.8157999999999</v>
      </c>
      <c r="AD280">
        <v>-1.154552</v>
      </c>
      <c r="AE280">
        <v>1.1222999999999901</v>
      </c>
      <c r="AF280">
        <v>-1.4631074764195</v>
      </c>
      <c r="AG280">
        <v>-1.154552</v>
      </c>
      <c r="AH280">
        <v>21.734607246526298</v>
      </c>
      <c r="AI280">
        <v>93.033865898289406</v>
      </c>
      <c r="AJ280">
        <v>93.851166876837496</v>
      </c>
      <c r="AK280">
        <v>21.814372004919399</v>
      </c>
      <c r="AL280">
        <v>87.960843050086794</v>
      </c>
      <c r="AM280">
        <v>96.513039468861393</v>
      </c>
      <c r="AN280">
        <v>1.0000000033532299</v>
      </c>
    </row>
    <row r="281" spans="1:40" x14ac:dyDescent="0.3">
      <c r="A281" t="str">
        <f>"20200111145920782"</f>
        <v>20200111145920782</v>
      </c>
      <c r="B281" t="str">
        <f>"1578725960776106"</f>
        <v>1578725960776106</v>
      </c>
      <c r="C281" t="s">
        <v>40</v>
      </c>
      <c r="D281">
        <v>4.2524639999999998</v>
      </c>
      <c r="E281">
        <v>0.51772489999999904</v>
      </c>
      <c r="F281" t="s">
        <v>43</v>
      </c>
      <c r="G281">
        <v>-438.46980000000002</v>
      </c>
      <c r="H281">
        <v>-0.05</v>
      </c>
      <c r="I281">
        <v>368.33920000000001</v>
      </c>
      <c r="J281">
        <v>-459.98660000000001</v>
      </c>
      <c r="K281">
        <v>1.1045510000000001</v>
      </c>
      <c r="L281">
        <v>367.22809999999998</v>
      </c>
      <c r="M281">
        <v>0.9998264</v>
      </c>
      <c r="N281">
        <v>0</v>
      </c>
      <c r="O281">
        <v>-1.5693619999999998E-2</v>
      </c>
      <c r="P281">
        <v>0.99486540000000001</v>
      </c>
      <c r="Q281">
        <v>2.5618490000000001E-2</v>
      </c>
      <c r="R281">
        <v>9.7910940000000002E-2</v>
      </c>
      <c r="S281">
        <v>3.0043639999999998</v>
      </c>
      <c r="T281">
        <v>-0.16076089999999901</v>
      </c>
      <c r="U281">
        <v>0.15460209999999999</v>
      </c>
      <c r="V281">
        <v>-0.1135166</v>
      </c>
      <c r="W281">
        <v>3.5582959999999997E-2</v>
      </c>
      <c r="X281">
        <v>0.99289870000000002</v>
      </c>
      <c r="Y281">
        <v>-6.6940589999999994E-2</v>
      </c>
      <c r="Z281">
        <v>2.6272040000000002E-3</v>
      </c>
      <c r="AA281">
        <v>0.99775349999999996</v>
      </c>
      <c r="AB281">
        <v>10</v>
      </c>
      <c r="AC281">
        <v>21.5167999999999</v>
      </c>
      <c r="AD281">
        <v>-1.1545510000000001</v>
      </c>
      <c r="AE281">
        <v>1.11110000000002</v>
      </c>
      <c r="AF281">
        <v>-1.44450870850929</v>
      </c>
      <c r="AG281">
        <v>-1.1545510000000001</v>
      </c>
      <c r="AH281">
        <v>21.4351599802911</v>
      </c>
      <c r="AI281">
        <v>93.076150260059094</v>
      </c>
      <c r="AJ281">
        <v>93.855315525218899</v>
      </c>
      <c r="AK281">
        <v>21.514778102533</v>
      </c>
      <c r="AL281">
        <v>87.960816091024796</v>
      </c>
      <c r="AM281">
        <v>96.522220491254799</v>
      </c>
      <c r="AN281">
        <v>0.99999999698980502</v>
      </c>
    </row>
    <row r="282" spans="1:40" x14ac:dyDescent="0.3">
      <c r="A282" t="str">
        <f>"20200111145920802"</f>
        <v>20200111145920802</v>
      </c>
      <c r="B282" t="str">
        <f>"1578725960795623"</f>
        <v>1578725960795623</v>
      </c>
      <c r="C282" t="s">
        <v>40</v>
      </c>
      <c r="D282">
        <v>4.1385420000000002</v>
      </c>
      <c r="E282">
        <v>0.51781670000000002</v>
      </c>
      <c r="F282" t="s">
        <v>43</v>
      </c>
      <c r="G282">
        <v>-438.53469999999999</v>
      </c>
      <c r="H282">
        <v>-0.05</v>
      </c>
      <c r="I282">
        <v>368.33080000000001</v>
      </c>
      <c r="J282">
        <v>-459.89229999999998</v>
      </c>
      <c r="K282">
        <v>1.104549</v>
      </c>
      <c r="L282">
        <v>367.22680000000003</v>
      </c>
      <c r="M282">
        <v>0.99982959999999999</v>
      </c>
      <c r="N282">
        <v>0</v>
      </c>
      <c r="O282">
        <v>-1.550314E-2</v>
      </c>
      <c r="P282">
        <v>0.99471209999999999</v>
      </c>
      <c r="Q282">
        <v>2.5261499999999999E-2</v>
      </c>
      <c r="R282">
        <v>9.9548300000000006E-2</v>
      </c>
      <c r="S282">
        <v>3.0044559999999998</v>
      </c>
      <c r="T282">
        <v>-0.16170190000000001</v>
      </c>
      <c r="U282">
        <v>0.15444949999999999</v>
      </c>
      <c r="V282">
        <v>-0.1149625</v>
      </c>
      <c r="W282">
        <v>3.5202209999999998E-2</v>
      </c>
      <c r="X282">
        <v>0.99274589999999996</v>
      </c>
      <c r="Y282">
        <v>-6.6697640000000002E-2</v>
      </c>
      <c r="Z282">
        <v>2.6257160000000002E-3</v>
      </c>
      <c r="AA282">
        <v>0.99776980000000004</v>
      </c>
      <c r="AB282">
        <v>10</v>
      </c>
      <c r="AC282">
        <v>21.357599999999898</v>
      </c>
      <c r="AD282">
        <v>-1.154549</v>
      </c>
      <c r="AE282">
        <v>1.1039999999999801</v>
      </c>
      <c r="AF282">
        <v>-1.4308236907899901</v>
      </c>
      <c r="AG282">
        <v>-1.154549</v>
      </c>
      <c r="AH282">
        <v>21.2759084475903</v>
      </c>
      <c r="AI282">
        <v>93.099154136959299</v>
      </c>
      <c r="AJ282">
        <v>93.847398721118196</v>
      </c>
      <c r="AK282">
        <v>21.355198900918001</v>
      </c>
      <c r="AL282">
        <v>87.982645135452302</v>
      </c>
      <c r="AM282">
        <v>96.605574418509505</v>
      </c>
      <c r="AN282">
        <v>0.99999999698097097</v>
      </c>
    </row>
    <row r="283" spans="1:40" x14ac:dyDescent="0.3">
      <c r="A283" t="str">
        <f>"20200111145920814"</f>
        <v>20200111145920814</v>
      </c>
      <c r="B283" t="str">
        <f>"1578725960806360"</f>
        <v>1578725960806360</v>
      </c>
      <c r="C283" t="s">
        <v>40</v>
      </c>
      <c r="D283">
        <v>4.1877060000000004</v>
      </c>
      <c r="E283">
        <v>0.5178275</v>
      </c>
      <c r="F283" t="s">
        <v>43</v>
      </c>
      <c r="G283">
        <v>-438.87029999999999</v>
      </c>
      <c r="H283">
        <v>-0.05</v>
      </c>
      <c r="I283">
        <v>368.33789999999999</v>
      </c>
      <c r="J283">
        <v>-459.83659999999998</v>
      </c>
      <c r="K283">
        <v>1.1045469999999999</v>
      </c>
      <c r="L283">
        <v>367.22609999999997</v>
      </c>
      <c r="M283">
        <v>0.99983149999999998</v>
      </c>
      <c r="N283">
        <v>0</v>
      </c>
      <c r="O283">
        <v>-1.5390539999999999E-2</v>
      </c>
      <c r="P283">
        <v>0.99461619999999995</v>
      </c>
      <c r="Q283">
        <v>2.5459309999999999E-2</v>
      </c>
      <c r="R283">
        <v>0.10045220000000001</v>
      </c>
      <c r="S283">
        <v>3.0042719999999998</v>
      </c>
      <c r="T283">
        <v>-0.164997799999999</v>
      </c>
      <c r="U283">
        <v>0.15878299999999901</v>
      </c>
      <c r="V283">
        <v>-0.1157528</v>
      </c>
      <c r="W283">
        <v>3.5384249999999999E-2</v>
      </c>
      <c r="X283">
        <v>0.99264759999999996</v>
      </c>
      <c r="Y283">
        <v>-6.8016950000000007E-2</v>
      </c>
      <c r="Z283">
        <v>2.7092190000000001E-3</v>
      </c>
      <c r="AA283">
        <v>0.99768049999999997</v>
      </c>
      <c r="AB283">
        <v>10</v>
      </c>
      <c r="AC283">
        <v>20.966299999999901</v>
      </c>
      <c r="AD283">
        <v>-1.154547</v>
      </c>
      <c r="AE283">
        <v>1.1118000000000099</v>
      </c>
      <c r="AF283">
        <v>-1.4300429002914099</v>
      </c>
      <c r="AG283">
        <v>-1.154547</v>
      </c>
      <c r="AH283">
        <v>20.883555690875198</v>
      </c>
      <c r="AI283">
        <v>93.156996796281504</v>
      </c>
      <c r="AJ283">
        <v>93.917326881898802</v>
      </c>
      <c r="AK283">
        <v>20.964276752747001</v>
      </c>
      <c r="AL283">
        <v>87.972208529646295</v>
      </c>
      <c r="AM283">
        <v>96.651231165772202</v>
      </c>
      <c r="AN283">
        <v>1.0000000068208299</v>
      </c>
    </row>
    <row r="284" spans="1:40" x14ac:dyDescent="0.3">
      <c r="A284" t="str">
        <f>"20200111145920825"</f>
        <v>20200111145920825</v>
      </c>
      <c r="B284" t="str">
        <f>"1578725960816120"</f>
        <v>1578725960816120</v>
      </c>
      <c r="C284" t="s">
        <v>40</v>
      </c>
      <c r="D284">
        <v>4.1273839999999904</v>
      </c>
      <c r="E284">
        <v>0.51776940000000005</v>
      </c>
      <c r="F284" t="s">
        <v>43</v>
      </c>
      <c r="G284">
        <v>-438.78949999999998</v>
      </c>
      <c r="H284">
        <v>-0.05</v>
      </c>
      <c r="I284">
        <v>368.35730000000001</v>
      </c>
      <c r="J284">
        <v>-459.78320000000002</v>
      </c>
      <c r="K284">
        <v>1.1045450000000001</v>
      </c>
      <c r="L284">
        <v>367.2253</v>
      </c>
      <c r="M284">
        <v>0.99983319999999998</v>
      </c>
      <c r="N284">
        <v>0</v>
      </c>
      <c r="O284">
        <v>-1.528258E-2</v>
      </c>
      <c r="P284">
        <v>0.9945098</v>
      </c>
      <c r="Q284">
        <v>2.538135E-2</v>
      </c>
      <c r="R284">
        <v>0.1015195</v>
      </c>
      <c r="S284">
        <v>3.004181</v>
      </c>
      <c r="T284">
        <v>-0.16479540000000001</v>
      </c>
      <c r="U284">
        <v>0.16146849999999999</v>
      </c>
      <c r="V284">
        <v>-0.1167116</v>
      </c>
      <c r="W284">
        <v>3.5290839999999997E-2</v>
      </c>
      <c r="X284">
        <v>0.99253860000000005</v>
      </c>
      <c r="Y284">
        <v>-6.8799440000000003E-2</v>
      </c>
      <c r="Z284">
        <v>2.7214370000000002E-3</v>
      </c>
      <c r="AA284">
        <v>0.99762680000000004</v>
      </c>
      <c r="AB284">
        <v>10</v>
      </c>
      <c r="AC284">
        <v>20.9937</v>
      </c>
      <c r="AD284">
        <v>-1.1545449999999999</v>
      </c>
      <c r="AE284">
        <v>1.1319999999999999</v>
      </c>
      <c r="AF284">
        <v>-1.44835398253668</v>
      </c>
      <c r="AG284">
        <v>-1.1545449999999999</v>
      </c>
      <c r="AH284">
        <v>20.910887049924899</v>
      </c>
      <c r="AI284">
        <v>93.152703801200303</v>
      </c>
      <c r="AJ284">
        <v>93.962158465686002</v>
      </c>
      <c r="AK284">
        <v>20.992758290193201</v>
      </c>
      <c r="AL284">
        <v>87.977563771786706</v>
      </c>
      <c r="AM284">
        <v>96.706554452906801</v>
      </c>
      <c r="AN284">
        <v>0.999999956726211</v>
      </c>
    </row>
    <row r="285" spans="1:40" x14ac:dyDescent="0.3">
      <c r="A285" t="str">
        <f>"20200111145920838"</f>
        <v>20200111145920838</v>
      </c>
      <c r="B285" t="str">
        <f>"1578725960825879"</f>
        <v>1578725960825879</v>
      </c>
      <c r="C285" t="s">
        <v>40</v>
      </c>
      <c r="D285">
        <v>4.1476430000000004</v>
      </c>
      <c r="E285">
        <v>0.51770539999999998</v>
      </c>
      <c r="F285" t="s">
        <v>43</v>
      </c>
      <c r="G285">
        <v>-438.76580000000001</v>
      </c>
      <c r="H285">
        <v>-0.05</v>
      </c>
      <c r="I285">
        <v>368.37849999999997</v>
      </c>
      <c r="J285">
        <v>-459.72289999999998</v>
      </c>
      <c r="K285">
        <v>1.1045430000000001</v>
      </c>
      <c r="L285">
        <v>367.22460000000001</v>
      </c>
      <c r="M285">
        <v>0.99983529999999998</v>
      </c>
      <c r="N285">
        <v>0</v>
      </c>
      <c r="O285">
        <v>-1.5161030000000001E-2</v>
      </c>
      <c r="P285">
        <v>0.99443179999999998</v>
      </c>
      <c r="Q285">
        <v>2.5365160000000001E-2</v>
      </c>
      <c r="R285">
        <v>0.102285</v>
      </c>
      <c r="S285">
        <v>3.0039370000000001</v>
      </c>
      <c r="T285">
        <v>-0.16501469999999999</v>
      </c>
      <c r="U285">
        <v>0.16482539999999901</v>
      </c>
      <c r="V285">
        <v>-0.1173549</v>
      </c>
      <c r="W285">
        <v>3.5257490000000002E-2</v>
      </c>
      <c r="X285">
        <v>0.99246389999999995</v>
      </c>
      <c r="Y285">
        <v>-6.9792380000000001E-2</v>
      </c>
      <c r="Z285">
        <v>2.7457559999999998E-3</v>
      </c>
      <c r="AA285">
        <v>0.99755780000000005</v>
      </c>
      <c r="AB285">
        <v>10</v>
      </c>
      <c r="AC285">
        <v>20.957099999999901</v>
      </c>
      <c r="AD285">
        <v>-1.1545430000000001</v>
      </c>
      <c r="AE285">
        <v>1.15389999999996</v>
      </c>
      <c r="AF285">
        <v>-1.4670752887409999</v>
      </c>
      <c r="AG285">
        <v>-1.1545430000000001</v>
      </c>
      <c r="AH285">
        <v>20.8740347798066</v>
      </c>
      <c r="AI285">
        <v>93.158030023521803</v>
      </c>
      <c r="AJ285">
        <v>94.020268665002604</v>
      </c>
      <c r="AK285">
        <v>20.9573521092303</v>
      </c>
      <c r="AL285">
        <v>87.979475717899902</v>
      </c>
      <c r="AM285">
        <v>96.743683543199396</v>
      </c>
      <c r="AN285">
        <v>0.99999992797915704</v>
      </c>
    </row>
    <row r="286" spans="1:40" x14ac:dyDescent="0.3">
      <c r="A286" t="str">
        <f>"20200111145920859"</f>
        <v>20200111145920859</v>
      </c>
      <c r="B286" t="str">
        <f>"1578725960856135"</f>
        <v>1578725960856135</v>
      </c>
      <c r="C286" t="s">
        <v>40</v>
      </c>
      <c r="D286">
        <v>4.1225829999999997</v>
      </c>
      <c r="E286">
        <v>0.51776049999999996</v>
      </c>
      <c r="F286" t="s">
        <v>43</v>
      </c>
      <c r="G286">
        <v>-438.76650000000001</v>
      </c>
      <c r="H286">
        <v>-0.05</v>
      </c>
      <c r="I286">
        <v>368.39510000000001</v>
      </c>
      <c r="J286">
        <v>-459.6302</v>
      </c>
      <c r="K286">
        <v>1.1045400000000001</v>
      </c>
      <c r="L286">
        <v>367.22340000000003</v>
      </c>
      <c r="M286">
        <v>0.99983840000000002</v>
      </c>
      <c r="N286">
        <v>0</v>
      </c>
      <c r="O286">
        <v>-1.497338E-2</v>
      </c>
      <c r="P286">
        <v>0.99437390000000003</v>
      </c>
      <c r="Q286">
        <v>2.55347E-2</v>
      </c>
      <c r="R286">
        <v>0.10280359999999999</v>
      </c>
      <c r="S286">
        <v>3.003784</v>
      </c>
      <c r="T286">
        <v>-0.16548679999999999</v>
      </c>
      <c r="U286">
        <v>0.16778560000000001</v>
      </c>
      <c r="V286">
        <v>-0.1176865</v>
      </c>
      <c r="W286">
        <v>3.5400929999999997E-2</v>
      </c>
      <c r="X286">
        <v>0.99241959999999996</v>
      </c>
      <c r="Y286">
        <v>-7.0586339999999997E-2</v>
      </c>
      <c r="Z286">
        <v>2.765179E-3</v>
      </c>
      <c r="AA286">
        <v>0.99750190000000005</v>
      </c>
      <c r="AB286">
        <v>10</v>
      </c>
      <c r="AC286">
        <v>20.863699999999898</v>
      </c>
      <c r="AD286">
        <v>-1.1545399999999999</v>
      </c>
      <c r="AE286">
        <v>1.17169999999998</v>
      </c>
      <c r="AF286">
        <v>-1.47946799816839</v>
      </c>
      <c r="AG286">
        <v>-1.1545399999999999</v>
      </c>
      <c r="AH286">
        <v>20.7803817397233</v>
      </c>
      <c r="AI286">
        <v>93.172021947501193</v>
      </c>
      <c r="AJ286">
        <v>94.072325756547997</v>
      </c>
      <c r="AK286">
        <v>20.8649479610621</v>
      </c>
      <c r="AL286">
        <v>87.971252223676302</v>
      </c>
      <c r="AM286">
        <v>96.762861452569993</v>
      </c>
      <c r="AN286">
        <v>1.00000000029563</v>
      </c>
    </row>
    <row r="287" spans="1:40" x14ac:dyDescent="0.3">
      <c r="A287" t="str">
        <f>"20200111145920871"</f>
        <v>20200111145920871</v>
      </c>
      <c r="B287" t="str">
        <f>"1578725960865895"</f>
        <v>1578725960865895</v>
      </c>
      <c r="C287" t="s">
        <v>40</v>
      </c>
      <c r="D287">
        <v>4.1682499999999996</v>
      </c>
      <c r="E287">
        <v>0.51780369999999998</v>
      </c>
      <c r="F287" t="s">
        <v>43</v>
      </c>
      <c r="G287">
        <v>-438.96859999999998</v>
      </c>
      <c r="H287">
        <v>-0.05</v>
      </c>
      <c r="I287">
        <v>368.38760000000002</v>
      </c>
      <c r="J287">
        <v>-459.5686</v>
      </c>
      <c r="K287">
        <v>1.1045370000000001</v>
      </c>
      <c r="L287">
        <v>367.2226</v>
      </c>
      <c r="M287">
        <v>0.99984050000000002</v>
      </c>
      <c r="N287">
        <v>0</v>
      </c>
      <c r="O287">
        <v>-1.4847880000000001E-2</v>
      </c>
      <c r="P287">
        <v>0.9943748</v>
      </c>
      <c r="Q287">
        <v>2.5532510000000001E-2</v>
      </c>
      <c r="R287">
        <v>0.1027971</v>
      </c>
      <c r="S287">
        <v>3.0038149999999999</v>
      </c>
      <c r="T287">
        <v>-0.16784869999999999</v>
      </c>
      <c r="U287">
        <v>0.1692505</v>
      </c>
      <c r="V287">
        <v>-0.11755549999999999</v>
      </c>
      <c r="W287">
        <v>3.5381860000000001E-2</v>
      </c>
      <c r="X287">
        <v>0.99243579999999998</v>
      </c>
      <c r="Y287">
        <v>-7.094143E-2</v>
      </c>
      <c r="Z287">
        <v>2.807421E-3</v>
      </c>
      <c r="AA287">
        <v>0.99747649999999999</v>
      </c>
      <c r="AB287">
        <v>11</v>
      </c>
      <c r="AC287">
        <v>20.6</v>
      </c>
      <c r="AD287">
        <v>-1.1545369999999999</v>
      </c>
      <c r="AE287">
        <v>1.16500000000002</v>
      </c>
      <c r="AF287">
        <v>-1.4661622830824801</v>
      </c>
      <c r="AG287">
        <v>-1.1545369999999999</v>
      </c>
      <c r="AH287">
        <v>20.5161923978423</v>
      </c>
      <c r="AI287">
        <v>93.212714046221507</v>
      </c>
      <c r="AJ287">
        <v>94.087617233189405</v>
      </c>
      <c r="AK287">
        <v>20.600891680458499</v>
      </c>
      <c r="AL287">
        <v>87.972345527080904</v>
      </c>
      <c r="AM287">
        <v>96.755293887572194</v>
      </c>
      <c r="AN287">
        <v>0.99999999435947395</v>
      </c>
    </row>
    <row r="288" spans="1:40" x14ac:dyDescent="0.3">
      <c r="A288" t="str">
        <f>"20200111145920884"</f>
        <v>20200111145920884</v>
      </c>
      <c r="B288" t="str">
        <f>"1578725960876632"</f>
        <v>1578725960876632</v>
      </c>
      <c r="C288" t="s">
        <v>40</v>
      </c>
      <c r="D288">
        <v>4.1235109999999997</v>
      </c>
      <c r="E288">
        <v>0.5177832</v>
      </c>
      <c r="F288" t="s">
        <v>43</v>
      </c>
      <c r="G288">
        <v>-438.96449999999999</v>
      </c>
      <c r="H288">
        <v>-0.05</v>
      </c>
      <c r="I288">
        <v>368.3802</v>
      </c>
      <c r="J288">
        <v>-459.50689999999997</v>
      </c>
      <c r="K288">
        <v>1.104535</v>
      </c>
      <c r="L288">
        <v>367.22179999999997</v>
      </c>
      <c r="M288">
        <v>0.99984260000000003</v>
      </c>
      <c r="N288">
        <v>0</v>
      </c>
      <c r="O288">
        <v>-1.472154E-2</v>
      </c>
      <c r="P288">
        <v>0.99441630000000003</v>
      </c>
      <c r="Q288">
        <v>2.5829230000000002E-2</v>
      </c>
      <c r="R288">
        <v>0.1023197</v>
      </c>
      <c r="S288">
        <v>3.003876</v>
      </c>
      <c r="T288">
        <v>-0.168321</v>
      </c>
      <c r="U288">
        <v>0.1687622</v>
      </c>
      <c r="V288">
        <v>-0.1169533</v>
      </c>
      <c r="W288">
        <v>3.566064E-2</v>
      </c>
      <c r="X288">
        <v>0.99249699999999996</v>
      </c>
      <c r="Y288">
        <v>-7.0652510000000002E-2</v>
      </c>
      <c r="Z288">
        <v>2.8001110000000001E-3</v>
      </c>
      <c r="AA288">
        <v>0.99749710000000003</v>
      </c>
      <c r="AB288">
        <v>11</v>
      </c>
      <c r="AC288">
        <v>20.542399999999901</v>
      </c>
      <c r="AD288">
        <v>-1.1545350000000001</v>
      </c>
      <c r="AE288">
        <v>1.1584000000000201</v>
      </c>
      <c r="AF288">
        <v>-1.4561201412542699</v>
      </c>
      <c r="AG288">
        <v>-1.1545350000000001</v>
      </c>
      <c r="AH288">
        <v>20.458700811800899</v>
      </c>
      <c r="AI288">
        <v>93.221783789077094</v>
      </c>
      <c r="AJ288">
        <v>94.071083985066394</v>
      </c>
      <c r="AK288">
        <v>20.542922767677702</v>
      </c>
      <c r="AL288">
        <v>87.956362586286005</v>
      </c>
      <c r="AM288">
        <v>96.720595368815395</v>
      </c>
      <c r="AN288">
        <v>1.0000000253175401</v>
      </c>
    </row>
    <row r="289" spans="1:40" x14ac:dyDescent="0.3">
      <c r="A289" t="str">
        <f>"20200111145920902"</f>
        <v>20200111145920902</v>
      </c>
      <c r="B289" t="str">
        <f>"1578725960896152"</f>
        <v>1578725960896152</v>
      </c>
      <c r="C289" t="s">
        <v>40</v>
      </c>
      <c r="D289">
        <v>4.1094030000000004</v>
      </c>
      <c r="E289">
        <v>0.51766489999999998</v>
      </c>
      <c r="F289" t="s">
        <v>43</v>
      </c>
      <c r="G289">
        <v>-438.88490000000002</v>
      </c>
      <c r="H289">
        <v>-0.05</v>
      </c>
      <c r="I289">
        <v>368.37299999999999</v>
      </c>
      <c r="J289">
        <v>-459.41820000000001</v>
      </c>
      <c r="K289">
        <v>1.1045389999999999</v>
      </c>
      <c r="L289">
        <v>367.2208</v>
      </c>
      <c r="M289">
        <v>0.9998454</v>
      </c>
      <c r="N289">
        <v>0</v>
      </c>
      <c r="O289">
        <v>-1.453817E-2</v>
      </c>
      <c r="P289">
        <v>0.99447770000000002</v>
      </c>
      <c r="Q289">
        <v>2.5937370000000001E-2</v>
      </c>
      <c r="R289">
        <v>0.10169250000000001</v>
      </c>
      <c r="S289">
        <v>3.0039370000000001</v>
      </c>
      <c r="T289">
        <v>-0.16817760000000001</v>
      </c>
      <c r="U289">
        <v>0.16769410000000001</v>
      </c>
      <c r="V289">
        <v>-0.1161451</v>
      </c>
      <c r="W289">
        <v>3.5742120000000002E-2</v>
      </c>
      <c r="X289">
        <v>0.9925889</v>
      </c>
      <c r="Y289">
        <v>-7.0116199999999906E-2</v>
      </c>
      <c r="Z289">
        <v>2.7724590000000001E-3</v>
      </c>
      <c r="AA289">
        <v>0.99753499999999995</v>
      </c>
      <c r="AB289">
        <v>11</v>
      </c>
      <c r="AC289">
        <v>20.533300000000001</v>
      </c>
      <c r="AD289">
        <v>-1.154539</v>
      </c>
      <c r="AE289">
        <v>1.1522000000000501</v>
      </c>
      <c r="AF289">
        <v>-1.4460520133519601</v>
      </c>
      <c r="AG289">
        <v>-1.154539</v>
      </c>
      <c r="AH289">
        <v>20.4499275528315</v>
      </c>
      <c r="AI289">
        <v>93.223279048114193</v>
      </c>
      <c r="AJ289">
        <v>94.044757498008295</v>
      </c>
      <c r="AK289">
        <v>20.533474222447101</v>
      </c>
      <c r="AL289">
        <v>87.951691001910206</v>
      </c>
      <c r="AM289">
        <v>96.673961095888998</v>
      </c>
      <c r="AN289">
        <v>0.99999995389965601</v>
      </c>
    </row>
    <row r="290" spans="1:40" x14ac:dyDescent="0.3">
      <c r="A290" t="str">
        <f>"20200111145920915"</f>
        <v>20200111145920915</v>
      </c>
      <c r="B290" t="str">
        <f>"1578725960905911"</f>
        <v>1578725960905911</v>
      </c>
      <c r="C290" t="s">
        <v>40</v>
      </c>
      <c r="D290">
        <v>4.2089800000000004</v>
      </c>
      <c r="E290">
        <v>0.51776909999999998</v>
      </c>
      <c r="F290" t="s">
        <v>43</v>
      </c>
      <c r="G290">
        <v>-438.76209999999998</v>
      </c>
      <c r="H290">
        <v>-0.05</v>
      </c>
      <c r="I290">
        <v>368.3646</v>
      </c>
      <c r="J290">
        <v>-459.35550000000001</v>
      </c>
      <c r="K290">
        <v>1.104538</v>
      </c>
      <c r="L290">
        <v>367.22</v>
      </c>
      <c r="M290">
        <v>0.99984770000000001</v>
      </c>
      <c r="N290">
        <v>0</v>
      </c>
      <c r="O290">
        <v>-1.440729E-2</v>
      </c>
      <c r="P290">
        <v>0.99450490000000002</v>
      </c>
      <c r="Q290">
        <v>2.5947700000000001E-2</v>
      </c>
      <c r="R290">
        <v>0.1014259</v>
      </c>
      <c r="S290">
        <v>3.0040279999999999</v>
      </c>
      <c r="T290">
        <v>-0.1679059</v>
      </c>
      <c r="U290">
        <v>0.16635129999999901</v>
      </c>
      <c r="V290">
        <v>-0.1157489</v>
      </c>
      <c r="W290">
        <v>3.5732590000000002E-2</v>
      </c>
      <c r="X290">
        <v>0.9926355</v>
      </c>
      <c r="Y290">
        <v>-6.9540930000000001E-2</v>
      </c>
      <c r="Z290">
        <v>2.744579E-3</v>
      </c>
      <c r="AA290">
        <v>0.99757530000000005</v>
      </c>
      <c r="AB290">
        <v>11</v>
      </c>
      <c r="AC290">
        <v>20.593399999999999</v>
      </c>
      <c r="AD290">
        <v>-1.1545379999999901</v>
      </c>
      <c r="AE290">
        <v>1.1445999999999601</v>
      </c>
      <c r="AF290">
        <v>-1.4366888954266499</v>
      </c>
      <c r="AG290">
        <v>-1.1545379999999901</v>
      </c>
      <c r="AH290">
        <v>20.510502671054301</v>
      </c>
      <c r="AI290">
        <v>93.213926152981401</v>
      </c>
      <c r="AJ290">
        <v>94.006824111503704</v>
      </c>
      <c r="AK290">
        <v>20.593148200190601</v>
      </c>
      <c r="AL290">
        <v>87.952237332510407</v>
      </c>
      <c r="AM290">
        <v>96.651089424898998</v>
      </c>
      <c r="AN290">
        <v>0.999999930849781</v>
      </c>
    </row>
    <row r="291" spans="1:40" x14ac:dyDescent="0.3">
      <c r="A291" t="str">
        <f>"20200111145920930"</f>
        <v>20200111145920930</v>
      </c>
      <c r="B291" t="str">
        <f>"1578725960926408"</f>
        <v>1578725960926408</v>
      </c>
      <c r="C291" t="s">
        <v>40</v>
      </c>
      <c r="D291">
        <v>4.3717079999999999</v>
      </c>
      <c r="E291">
        <v>0.51796379999999997</v>
      </c>
      <c r="F291" t="s">
        <v>43</v>
      </c>
      <c r="G291">
        <v>-438.79399999999998</v>
      </c>
      <c r="H291">
        <v>-0.05</v>
      </c>
      <c r="I291">
        <v>368.346</v>
      </c>
      <c r="J291">
        <v>-459.2971</v>
      </c>
      <c r="K291">
        <v>1.1045400000000001</v>
      </c>
      <c r="L291">
        <v>367.21929999999998</v>
      </c>
      <c r="M291">
        <v>0.9998494</v>
      </c>
      <c r="N291">
        <v>0</v>
      </c>
      <c r="O291">
        <v>-1.428477E-2</v>
      </c>
      <c r="P291">
        <v>0.99450609999999995</v>
      </c>
      <c r="Q291">
        <v>2.6154670000000001E-2</v>
      </c>
      <c r="R291">
        <v>0.1013593</v>
      </c>
      <c r="S291">
        <v>3.0042719999999998</v>
      </c>
      <c r="T291">
        <v>-0.16869120000000001</v>
      </c>
      <c r="U291">
        <v>0.16452030000000001</v>
      </c>
      <c r="V291">
        <v>-0.1155607</v>
      </c>
      <c r="W291">
        <v>3.5922250000000003E-2</v>
      </c>
      <c r="X291">
        <v>0.99265060000000005</v>
      </c>
      <c r="Y291">
        <v>-6.8808149999999998E-2</v>
      </c>
      <c r="Z291">
        <v>2.7298050000000001E-3</v>
      </c>
      <c r="AA291">
        <v>0.99762620000000002</v>
      </c>
      <c r="AB291">
        <v>11</v>
      </c>
      <c r="AC291">
        <v>20.5030999999999</v>
      </c>
      <c r="AD291">
        <v>-1.1545399999999999</v>
      </c>
      <c r="AE291">
        <v>1.12670000000002</v>
      </c>
      <c r="AF291">
        <v>-1.4150080174656301</v>
      </c>
      <c r="AG291">
        <v>-1.1545399999999999</v>
      </c>
      <c r="AH291">
        <v>20.420356958247101</v>
      </c>
      <c r="AI291">
        <v>93.228257749244904</v>
      </c>
      <c r="AJ291">
        <v>93.963916838021703</v>
      </c>
      <c r="AK291">
        <v>20.501858174402699</v>
      </c>
      <c r="AL291">
        <v>87.941363669660305</v>
      </c>
      <c r="AM291">
        <v>96.640271741950301</v>
      </c>
      <c r="AN291">
        <v>0.999999948554955</v>
      </c>
    </row>
    <row r="292" spans="1:40" x14ac:dyDescent="0.3">
      <c r="A292" t="str">
        <f>"20200111145920947"</f>
        <v>20200111145920947</v>
      </c>
      <c r="B292" t="str">
        <f>"1578725960936167"</f>
        <v>1578725960936167</v>
      </c>
      <c r="C292" t="s">
        <v>40</v>
      </c>
      <c r="D292">
        <v>4.136355</v>
      </c>
      <c r="E292">
        <v>0.51815670000000003</v>
      </c>
      <c r="F292" t="s">
        <v>43</v>
      </c>
      <c r="G292">
        <v>-438.81889999999999</v>
      </c>
      <c r="H292">
        <v>-0.05</v>
      </c>
      <c r="I292">
        <v>368.32920000000001</v>
      </c>
      <c r="J292">
        <v>-459.20690000000002</v>
      </c>
      <c r="K292">
        <v>1.1045419999999999</v>
      </c>
      <c r="L292">
        <v>367.2183</v>
      </c>
      <c r="M292">
        <v>0.99985239999999997</v>
      </c>
      <c r="N292">
        <v>0</v>
      </c>
      <c r="O292">
        <v>-1.4095079999999999E-2</v>
      </c>
      <c r="P292">
        <v>0.99453029999999998</v>
      </c>
      <c r="Q292">
        <v>2.6673289999999999E-2</v>
      </c>
      <c r="R292">
        <v>0.1009858</v>
      </c>
      <c r="S292">
        <v>3.0043950000000001</v>
      </c>
      <c r="T292">
        <v>-0.16938449999999999</v>
      </c>
      <c r="U292">
        <v>0.16284179999999901</v>
      </c>
      <c r="V292">
        <v>-0.11499959999999999</v>
      </c>
      <c r="W292">
        <v>3.6414500000000002E-2</v>
      </c>
      <c r="X292">
        <v>0.99269790000000002</v>
      </c>
      <c r="Y292">
        <v>-6.8061399999999994E-2</v>
      </c>
      <c r="Z292">
        <v>2.7092370000000002E-3</v>
      </c>
      <c r="AA292">
        <v>0.99767740000000005</v>
      </c>
      <c r="AB292">
        <v>11</v>
      </c>
      <c r="AC292">
        <v>20.388000000000002</v>
      </c>
      <c r="AD292">
        <v>-1.154542</v>
      </c>
      <c r="AE292">
        <v>1.11090000000001</v>
      </c>
      <c r="AF292">
        <v>-1.3937178630816001</v>
      </c>
      <c r="AG292">
        <v>-1.154542</v>
      </c>
      <c r="AH292">
        <v>20.3053931320933</v>
      </c>
      <c r="AI292">
        <v>93.246647836775594</v>
      </c>
      <c r="AJ292">
        <v>93.926498862821404</v>
      </c>
      <c r="AK292">
        <v>20.3858874459882</v>
      </c>
      <c r="AL292">
        <v>87.913141508718297</v>
      </c>
      <c r="AM292">
        <v>96.608003957749602</v>
      </c>
      <c r="AN292">
        <v>1.0000000222373999</v>
      </c>
    </row>
    <row r="293" spans="1:40" x14ac:dyDescent="0.3">
      <c r="A293" t="str">
        <f>"20200111145920963"</f>
        <v>20200111145920963</v>
      </c>
      <c r="B293" t="str">
        <f>"1578725960955689"</f>
        <v>1578725960955689</v>
      </c>
      <c r="C293" t="s">
        <v>40</v>
      </c>
      <c r="D293">
        <v>4.2472539999999999</v>
      </c>
      <c r="E293">
        <v>0.53331030000000001</v>
      </c>
      <c r="F293" t="s">
        <v>43</v>
      </c>
      <c r="G293">
        <v>-438.57600000000002</v>
      </c>
      <c r="H293">
        <v>-0.05</v>
      </c>
      <c r="I293">
        <v>368.31810000000002</v>
      </c>
      <c r="J293">
        <v>-459.1336</v>
      </c>
      <c r="K293">
        <v>1.1045419999999999</v>
      </c>
      <c r="L293">
        <v>367.2174</v>
      </c>
      <c r="M293">
        <v>0.99985480000000004</v>
      </c>
      <c r="N293">
        <v>0</v>
      </c>
      <c r="O293">
        <v>-1.393989E-2</v>
      </c>
      <c r="P293">
        <v>0.99452770000000001</v>
      </c>
      <c r="Q293">
        <v>2.695005E-2</v>
      </c>
      <c r="R293">
        <v>0.100938</v>
      </c>
      <c r="S293">
        <v>3.0047609999999998</v>
      </c>
      <c r="T293">
        <v>-0.16815189999999999</v>
      </c>
      <c r="U293">
        <v>0.16018679999999999</v>
      </c>
      <c r="V293">
        <v>-0.11479739999999999</v>
      </c>
      <c r="W293">
        <v>3.6671339999999997E-2</v>
      </c>
      <c r="X293">
        <v>0.99271180000000003</v>
      </c>
      <c r="Y293">
        <v>-6.702466E-2</v>
      </c>
      <c r="Z293">
        <v>2.6516489999999998E-3</v>
      </c>
      <c r="AA293">
        <v>0.99774779999999996</v>
      </c>
      <c r="AB293">
        <v>11</v>
      </c>
      <c r="AC293">
        <v>20.557600000000001</v>
      </c>
      <c r="AD293">
        <v>-1.154542</v>
      </c>
      <c r="AE293">
        <v>1.10070000000001</v>
      </c>
      <c r="AF293">
        <v>-1.3828283846376499</v>
      </c>
      <c r="AG293">
        <v>-1.154542</v>
      </c>
      <c r="AH293">
        <v>20.4758597810388</v>
      </c>
      <c r="AI293">
        <v>93.219916020592805</v>
      </c>
      <c r="AJ293">
        <v>93.863579133551795</v>
      </c>
      <c r="AK293">
        <v>20.554951115093601</v>
      </c>
      <c r="AL293">
        <v>87.898415724149501</v>
      </c>
      <c r="AM293">
        <v>96.596396259423599</v>
      </c>
      <c r="AN293">
        <v>0.99999997404169705</v>
      </c>
    </row>
    <row r="294" spans="1:40" x14ac:dyDescent="0.3">
      <c r="A294" t="str">
        <f>"20200111145920976"</f>
        <v>20200111145920976</v>
      </c>
      <c r="B294" t="str">
        <f>"1578725960966425"</f>
        <v>1578725960966425</v>
      </c>
      <c r="C294" t="s">
        <v>40</v>
      </c>
      <c r="D294">
        <v>4.1446730000000001</v>
      </c>
      <c r="E294">
        <v>0.53414849999999903</v>
      </c>
      <c r="F294" t="s">
        <v>43</v>
      </c>
      <c r="G294">
        <v>-422.7251</v>
      </c>
      <c r="H294">
        <v>-0.05</v>
      </c>
      <c r="I294">
        <v>367.6909</v>
      </c>
      <c r="J294">
        <v>-459.06740000000002</v>
      </c>
      <c r="K294">
        <v>1.1045419999999999</v>
      </c>
      <c r="L294">
        <v>367.21660000000003</v>
      </c>
      <c r="M294">
        <v>0.99985690000000005</v>
      </c>
      <c r="N294">
        <v>0</v>
      </c>
      <c r="O294">
        <v>-1.3799260000000001E-2</v>
      </c>
      <c r="P294">
        <v>0.99449799999999999</v>
      </c>
      <c r="Q294">
        <v>2.7093309999999999E-2</v>
      </c>
      <c r="R294">
        <v>0.10119160000000001</v>
      </c>
      <c r="S294">
        <v>3.0151059999999998</v>
      </c>
      <c r="T294">
        <v>-9.5611450000000001E-2</v>
      </c>
      <c r="U294">
        <v>3.9215090000000001E-2</v>
      </c>
      <c r="V294">
        <v>-0.1149114</v>
      </c>
      <c r="W294">
        <v>3.67981E-2</v>
      </c>
      <c r="X294">
        <v>0.99269399999999997</v>
      </c>
      <c r="Y294">
        <v>-2.6782219999999999E-2</v>
      </c>
      <c r="Z294">
        <v>8.6199589999999895E-4</v>
      </c>
      <c r="AA294">
        <v>0.99964090000000005</v>
      </c>
      <c r="AB294">
        <v>11</v>
      </c>
      <c r="AC294">
        <v>36.342300000000002</v>
      </c>
      <c r="AD294">
        <v>-1.154542</v>
      </c>
      <c r="AE294">
        <v>0.47429999999997102</v>
      </c>
      <c r="AF294">
        <v>-0.97479206354442804</v>
      </c>
      <c r="AG294">
        <v>-1.154542</v>
      </c>
      <c r="AH294">
        <v>36.295669238867198</v>
      </c>
      <c r="AI294">
        <v>91.8212714529095</v>
      </c>
      <c r="AJ294">
        <v>91.538421790173302</v>
      </c>
      <c r="AK294">
        <v>36.327108229174598</v>
      </c>
      <c r="AL294">
        <v>87.891148173942199</v>
      </c>
      <c r="AM294">
        <v>96.603006371455095</v>
      </c>
      <c r="AN294">
        <v>1.00000005382478</v>
      </c>
    </row>
    <row r="295" spans="1:40" x14ac:dyDescent="0.3">
      <c r="A295" t="str">
        <f>"20200111145920992"</f>
        <v>20200111145920992</v>
      </c>
      <c r="B295" t="str">
        <f>"1578725960985799"</f>
        <v>1578725960985799</v>
      </c>
      <c r="C295" t="s">
        <v>40</v>
      </c>
      <c r="D295">
        <v>4.1166679999999998</v>
      </c>
      <c r="E295">
        <v>0.53460229999999997</v>
      </c>
      <c r="F295" t="s">
        <v>43</v>
      </c>
      <c r="G295">
        <v>-411.65530000000001</v>
      </c>
      <c r="H295">
        <v>-0.05</v>
      </c>
      <c r="I295">
        <v>367.7373</v>
      </c>
      <c r="J295">
        <v>-458.99009999999998</v>
      </c>
      <c r="K295">
        <v>1.1045370000000001</v>
      </c>
      <c r="L295">
        <v>367.2158</v>
      </c>
      <c r="M295">
        <v>0.99985950000000001</v>
      </c>
      <c r="N295">
        <v>0</v>
      </c>
      <c r="O295">
        <v>-1.3634540000000001E-2</v>
      </c>
      <c r="P295">
        <v>0.99448890000000001</v>
      </c>
      <c r="Q295">
        <v>2.7153650000000001E-2</v>
      </c>
      <c r="R295">
        <v>0.1012652</v>
      </c>
      <c r="S295">
        <v>3.0152589999999999</v>
      </c>
      <c r="T295">
        <v>-7.3425169999999998E-2</v>
      </c>
      <c r="U295">
        <v>3.311157E-2</v>
      </c>
      <c r="V295">
        <v>-0.1148213</v>
      </c>
      <c r="W295">
        <v>3.684051E-2</v>
      </c>
      <c r="X295">
        <v>0.9927028</v>
      </c>
      <c r="Y295">
        <v>-2.460269E-2</v>
      </c>
      <c r="Z295">
        <v>6.3147170000000001E-4</v>
      </c>
      <c r="AA295">
        <v>0.99969710000000001</v>
      </c>
      <c r="AB295">
        <v>11</v>
      </c>
      <c r="AC295">
        <v>47.334799999999902</v>
      </c>
      <c r="AD295">
        <v>-1.1545369999999999</v>
      </c>
      <c r="AE295">
        <v>0.52150000000000296</v>
      </c>
      <c r="AF295">
        <v>-1.1661767359834601</v>
      </c>
      <c r="AG295">
        <v>-1.1545369999999999</v>
      </c>
      <c r="AH295">
        <v>47.295155677427701</v>
      </c>
      <c r="AI295">
        <v>91.397962923134401</v>
      </c>
      <c r="AJ295">
        <v>91.412480153483401</v>
      </c>
      <c r="AK295">
        <v>47.323616455381398</v>
      </c>
      <c r="AL295">
        <v>87.888716501046801</v>
      </c>
      <c r="AM295">
        <v>96.597816764120495</v>
      </c>
      <c r="AN295">
        <v>1.00000000161929</v>
      </c>
    </row>
    <row r="296" spans="1:40" x14ac:dyDescent="0.3">
      <c r="A296" t="str">
        <f>"20200111145921006"</f>
        <v>20200111145921006</v>
      </c>
      <c r="B296" t="str">
        <f>"1578725960996534"</f>
        <v>1578725960996534</v>
      </c>
      <c r="C296" t="s">
        <v>40</v>
      </c>
      <c r="D296">
        <v>4.097003</v>
      </c>
      <c r="E296">
        <v>0.5345607</v>
      </c>
      <c r="F296" t="s">
        <v>43</v>
      </c>
      <c r="G296">
        <v>-411.67770000000002</v>
      </c>
      <c r="H296">
        <v>-0.05</v>
      </c>
      <c r="I296">
        <v>367.685</v>
      </c>
      <c r="J296">
        <v>-458.92509999999999</v>
      </c>
      <c r="K296">
        <v>1.1045339999999999</v>
      </c>
      <c r="L296">
        <v>367.21510000000001</v>
      </c>
      <c r="M296">
        <v>0.99986140000000001</v>
      </c>
      <c r="N296">
        <v>0</v>
      </c>
      <c r="O296">
        <v>-1.349583E-2</v>
      </c>
      <c r="P296">
        <v>0.99447359999999896</v>
      </c>
      <c r="Q296">
        <v>2.7013880000000001E-2</v>
      </c>
      <c r="R296">
        <v>0.1014531</v>
      </c>
      <c r="S296">
        <v>3.015533</v>
      </c>
      <c r="T296">
        <v>-7.3586230000000002E-2</v>
      </c>
      <c r="U296">
        <v>2.990723E-2</v>
      </c>
      <c r="V296">
        <v>-0.11487120000000001</v>
      </c>
      <c r="W296">
        <v>3.6686589999999998E-2</v>
      </c>
      <c r="X296">
        <v>0.99270270000000005</v>
      </c>
      <c r="Y296">
        <v>-2.3401160000000001E-2</v>
      </c>
      <c r="Z296">
        <v>6.1475989999999997E-4</v>
      </c>
      <c r="AA296">
        <v>0.99972589999999995</v>
      </c>
      <c r="AB296">
        <v>11</v>
      </c>
      <c r="AC296">
        <v>47.247399999999899</v>
      </c>
      <c r="AD296">
        <v>-1.1545339999999999</v>
      </c>
      <c r="AE296">
        <v>0.46989999999999499</v>
      </c>
      <c r="AF296">
        <v>-1.1068695206747701</v>
      </c>
      <c r="AG296">
        <v>-1.1545339999999999</v>
      </c>
      <c r="AH296">
        <v>47.2085685098968</v>
      </c>
      <c r="AI296">
        <v>91.400563081536106</v>
      </c>
      <c r="AJ296">
        <v>91.3431319078759</v>
      </c>
      <c r="AK296">
        <v>47.235654432288499</v>
      </c>
      <c r="AL296">
        <v>87.897541376169897</v>
      </c>
      <c r="AM296">
        <v>96.600659460423998</v>
      </c>
      <c r="AN296">
        <v>0.99999997453127798</v>
      </c>
    </row>
    <row r="297" spans="1:40" x14ac:dyDescent="0.3">
      <c r="A297" t="str">
        <f>"20200111145921018"</f>
        <v>20200111145921018</v>
      </c>
      <c r="B297" t="str">
        <f>"1578725961006294"</f>
        <v>1578725961006294</v>
      </c>
      <c r="C297" t="s">
        <v>40</v>
      </c>
      <c r="D297">
        <v>4.0878500000000004</v>
      </c>
      <c r="E297">
        <v>0.53452140000000004</v>
      </c>
      <c r="F297" t="s">
        <v>43</v>
      </c>
      <c r="G297">
        <v>-415.63929999999999</v>
      </c>
      <c r="H297">
        <v>-0.05</v>
      </c>
      <c r="I297">
        <v>367.65960000000001</v>
      </c>
      <c r="J297">
        <v>-458.86559999999997</v>
      </c>
      <c r="K297">
        <v>1.1045309999999999</v>
      </c>
      <c r="L297">
        <v>367.21440000000001</v>
      </c>
      <c r="M297">
        <v>0.99986319999999995</v>
      </c>
      <c r="N297">
        <v>0</v>
      </c>
      <c r="O297">
        <v>-1.3368939999999999E-2</v>
      </c>
      <c r="P297">
        <v>0.99444650000000001</v>
      </c>
      <c r="Q297">
        <v>2.672832E-2</v>
      </c>
      <c r="R297">
        <v>0.1017955</v>
      </c>
      <c r="S297">
        <v>3.0156559999999999</v>
      </c>
      <c r="T297">
        <v>-8.0434560000000002E-2</v>
      </c>
      <c r="U297">
        <v>3.0975340000000001E-2</v>
      </c>
      <c r="V297">
        <v>-0.11508690000000001</v>
      </c>
      <c r="W297">
        <v>3.6388299999999998E-2</v>
      </c>
      <c r="X297">
        <v>0.99268869999999998</v>
      </c>
      <c r="Y297">
        <v>-2.3625759999999999E-2</v>
      </c>
      <c r="Z297">
        <v>6.7153570000000004E-4</v>
      </c>
      <c r="AA297">
        <v>0.99972059999999996</v>
      </c>
      <c r="AB297">
        <v>11</v>
      </c>
      <c r="AC297">
        <v>43.226299999999902</v>
      </c>
      <c r="AD297">
        <v>-1.154531</v>
      </c>
      <c r="AE297">
        <v>0.44519999999999899</v>
      </c>
      <c r="AF297">
        <v>-1.02234819419378</v>
      </c>
      <c r="AG297">
        <v>-1.154531</v>
      </c>
      <c r="AH297">
        <v>43.185680321961499</v>
      </c>
      <c r="AI297">
        <v>91.530958538060105</v>
      </c>
      <c r="AJ297">
        <v>91.356127712156507</v>
      </c>
      <c r="AK297">
        <v>43.213205418376297</v>
      </c>
      <c r="AL297">
        <v>87.914643563488099</v>
      </c>
      <c r="AM297">
        <v>96.613036642113002</v>
      </c>
      <c r="AN297">
        <v>0.99999997901809401</v>
      </c>
    </row>
    <row r="298" spans="1:40" x14ac:dyDescent="0.3">
      <c r="A298" t="str">
        <f>"20200111145921037"</f>
        <v>20200111145921037</v>
      </c>
      <c r="B298" t="str">
        <f>"1578725961025813"</f>
        <v>1578725961025813</v>
      </c>
      <c r="C298" t="s">
        <v>40</v>
      </c>
      <c r="D298">
        <v>4.0995080000000002</v>
      </c>
      <c r="E298">
        <v>0.53512380000000004</v>
      </c>
      <c r="F298" t="s">
        <v>43</v>
      </c>
      <c r="G298">
        <v>-417.48520000000002</v>
      </c>
      <c r="H298">
        <v>-0.05</v>
      </c>
      <c r="I298">
        <v>367.65660000000003</v>
      </c>
      <c r="J298">
        <v>-458.77600000000001</v>
      </c>
      <c r="K298">
        <v>1.104527</v>
      </c>
      <c r="L298">
        <v>367.21339999999998</v>
      </c>
      <c r="M298">
        <v>0.99986589999999997</v>
      </c>
      <c r="N298">
        <v>0</v>
      </c>
      <c r="O298">
        <v>-1.3177650000000001E-2</v>
      </c>
      <c r="P298">
        <v>0.99441349999999995</v>
      </c>
      <c r="Q298">
        <v>2.6235930000000001E-2</v>
      </c>
      <c r="R298">
        <v>0.1022417</v>
      </c>
      <c r="S298">
        <v>3.015717</v>
      </c>
      <c r="T298">
        <v>-8.4139820000000004E-2</v>
      </c>
      <c r="U298">
        <v>3.2226560000000001E-2</v>
      </c>
      <c r="V298">
        <v>-0.11534220000000001</v>
      </c>
      <c r="W298">
        <v>3.5878409999999999E-2</v>
      </c>
      <c r="X298">
        <v>0.99267760000000005</v>
      </c>
      <c r="Y298">
        <v>-2.3847779999999999E-2</v>
      </c>
      <c r="Z298">
        <v>7.0020379999999999E-4</v>
      </c>
      <c r="AA298">
        <v>0.99971529999999997</v>
      </c>
      <c r="AB298">
        <v>11</v>
      </c>
      <c r="AC298">
        <v>41.290799999999898</v>
      </c>
      <c r="AD298">
        <v>-1.1545270000000001</v>
      </c>
      <c r="AE298">
        <v>0.443200000000047</v>
      </c>
      <c r="AF298">
        <v>-0.98653175204545895</v>
      </c>
      <c r="AG298">
        <v>-1.1545270000000001</v>
      </c>
      <c r="AH298">
        <v>41.249128517853599</v>
      </c>
      <c r="AI298">
        <v>91.602782060408401</v>
      </c>
      <c r="AJ298">
        <v>91.370049120996995</v>
      </c>
      <c r="AK298">
        <v>41.277073309210401</v>
      </c>
      <c r="AL298">
        <v>87.943877140952907</v>
      </c>
      <c r="AM298">
        <v>96.627649582166896</v>
      </c>
      <c r="AN298">
        <v>0.99999995047336199</v>
      </c>
    </row>
    <row r="299" spans="1:40" x14ac:dyDescent="0.3">
      <c r="A299" t="str">
        <f>"20200111145921050"</f>
        <v>20200111145921050</v>
      </c>
      <c r="B299" t="str">
        <f>"1578725961046311"</f>
        <v>1578725961046311</v>
      </c>
      <c r="C299" t="s">
        <v>40</v>
      </c>
      <c r="D299">
        <v>4.1524479999999997</v>
      </c>
      <c r="E299">
        <v>0.53551879999999996</v>
      </c>
      <c r="F299" t="s">
        <v>43</v>
      </c>
      <c r="G299">
        <v>-423.02850000000001</v>
      </c>
      <c r="H299">
        <v>-0.05</v>
      </c>
      <c r="I299">
        <v>367.55549999999999</v>
      </c>
      <c r="J299">
        <v>-458.71260000000001</v>
      </c>
      <c r="K299">
        <v>1.104527</v>
      </c>
      <c r="L299">
        <v>367.21269999999998</v>
      </c>
      <c r="M299">
        <v>0.99986770000000003</v>
      </c>
      <c r="N299">
        <v>0</v>
      </c>
      <c r="O299">
        <v>-1.30422E-2</v>
      </c>
      <c r="P299">
        <v>0.99438360000000003</v>
      </c>
      <c r="Q299">
        <v>2.6139409999999998E-2</v>
      </c>
      <c r="R299">
        <v>0.1025571</v>
      </c>
      <c r="S299">
        <v>3.0164490000000002</v>
      </c>
      <c r="T299">
        <v>-9.7421170000000001E-2</v>
      </c>
      <c r="U299">
        <v>2.886963E-2</v>
      </c>
      <c r="V299">
        <v>-0.115523</v>
      </c>
      <c r="W299">
        <v>3.5773579999999999E-2</v>
      </c>
      <c r="X299">
        <v>0.9926604</v>
      </c>
      <c r="Y299">
        <v>-2.259311E-2</v>
      </c>
      <c r="Z299">
        <v>7.8585449999999995E-4</v>
      </c>
      <c r="AA299">
        <v>0.99974439999999998</v>
      </c>
      <c r="AB299">
        <v>11</v>
      </c>
      <c r="AC299">
        <v>35.684100000000001</v>
      </c>
      <c r="AD299">
        <v>-1.1545270000000001</v>
      </c>
      <c r="AE299">
        <v>0.34280000000001098</v>
      </c>
      <c r="AF299">
        <v>-0.80734695485743402</v>
      </c>
      <c r="AG299">
        <v>-1.1545270000000001</v>
      </c>
      <c r="AH299">
        <v>35.639290257106197</v>
      </c>
      <c r="AI299">
        <v>91.854959799281701</v>
      </c>
      <c r="AJ299">
        <v>91.297715597928502</v>
      </c>
      <c r="AK299">
        <v>35.667124242494097</v>
      </c>
      <c r="AL299">
        <v>87.949887399503993</v>
      </c>
      <c r="AM299">
        <v>96.638059836358394</v>
      </c>
      <c r="AN299">
        <v>0.999999991141588</v>
      </c>
    </row>
    <row r="300" spans="1:40" x14ac:dyDescent="0.3">
      <c r="A300" t="str">
        <f>"20200111145921063"</f>
        <v>20200111145921063</v>
      </c>
      <c r="B300" t="str">
        <f>"1578725961056071"</f>
        <v>1578725961056071</v>
      </c>
      <c r="C300" t="s">
        <v>40</v>
      </c>
      <c r="D300">
        <v>4.1107110000000002</v>
      </c>
      <c r="E300">
        <v>0.53549899999999995</v>
      </c>
      <c r="F300" t="s">
        <v>43</v>
      </c>
      <c r="G300">
        <v>-426.95179999999999</v>
      </c>
      <c r="H300">
        <v>-0.05</v>
      </c>
      <c r="I300">
        <v>367.49439999999998</v>
      </c>
      <c r="J300">
        <v>-458.6474</v>
      </c>
      <c r="K300">
        <v>1.104527</v>
      </c>
      <c r="L300">
        <v>367.21199999999999</v>
      </c>
      <c r="M300">
        <v>0.99986960000000003</v>
      </c>
      <c r="N300">
        <v>0</v>
      </c>
      <c r="O300">
        <v>-1.2903059999999999E-2</v>
      </c>
      <c r="P300">
        <v>0.99432229999999999</v>
      </c>
      <c r="Q300">
        <v>2.6206770000000001E-2</v>
      </c>
      <c r="R300">
        <v>0.1031353</v>
      </c>
      <c r="S300">
        <v>3.0170590000000002</v>
      </c>
      <c r="T300">
        <v>-0.10967200000000001</v>
      </c>
      <c r="U300">
        <v>2.676392E-2</v>
      </c>
      <c r="V300">
        <v>-0.115962</v>
      </c>
      <c r="W300">
        <v>3.5834570000000003E-2</v>
      </c>
      <c r="X300">
        <v>0.99260700000000002</v>
      </c>
      <c r="Y300">
        <v>-2.175005E-2</v>
      </c>
      <c r="Z300">
        <v>8.6406440000000003E-4</v>
      </c>
      <c r="AA300">
        <v>0.99976310000000002</v>
      </c>
      <c r="AB300">
        <v>11</v>
      </c>
      <c r="AC300">
        <v>31.695599999999999</v>
      </c>
      <c r="AD300">
        <v>-1.1545270000000001</v>
      </c>
      <c r="AE300">
        <v>0.28239999999999499</v>
      </c>
      <c r="AF300">
        <v>-0.69044997382094497</v>
      </c>
      <c r="AG300">
        <v>-1.1545270000000001</v>
      </c>
      <c r="AH300">
        <v>31.647330355640801</v>
      </c>
      <c r="AI300">
        <v>92.088785540040703</v>
      </c>
      <c r="AJ300">
        <v>91.249824052162296</v>
      </c>
      <c r="AK300">
        <v>31.675908391065001</v>
      </c>
      <c r="AL300">
        <v>87.946390663251805</v>
      </c>
      <c r="AM300">
        <v>96.663414029226402</v>
      </c>
      <c r="AN300">
        <v>0.99999997915004202</v>
      </c>
    </row>
    <row r="301" spans="1:40" x14ac:dyDescent="0.3">
      <c r="A301" t="str">
        <f>"20200111145921080"</f>
        <v>20200111145921080</v>
      </c>
      <c r="B301" t="str">
        <f>"1578725961076566"</f>
        <v>1578725961076566</v>
      </c>
      <c r="C301" t="s">
        <v>40</v>
      </c>
      <c r="D301">
        <v>4.1836449999999896</v>
      </c>
      <c r="E301">
        <v>0.53557129999999997</v>
      </c>
      <c r="F301" t="s">
        <v>43</v>
      </c>
      <c r="G301">
        <v>-427.05610000000001</v>
      </c>
      <c r="H301">
        <v>-0.05</v>
      </c>
      <c r="I301">
        <v>367.51299999999998</v>
      </c>
      <c r="J301">
        <v>-458.56349999999998</v>
      </c>
      <c r="K301">
        <v>1.1045339999999999</v>
      </c>
      <c r="L301">
        <v>367.21120000000002</v>
      </c>
      <c r="M301">
        <v>0.99987190000000004</v>
      </c>
      <c r="N301">
        <v>0</v>
      </c>
      <c r="O301">
        <v>-1.272472E-2</v>
      </c>
      <c r="P301">
        <v>0.99428360000000005</v>
      </c>
      <c r="Q301">
        <v>2.6620270000000001E-2</v>
      </c>
      <c r="R301">
        <v>0.1034012</v>
      </c>
      <c r="S301">
        <v>3.017029</v>
      </c>
      <c r="T301">
        <v>-0.1102596</v>
      </c>
      <c r="U301">
        <v>2.8747559999999998E-2</v>
      </c>
      <c r="V301">
        <v>-0.11605070000000001</v>
      </c>
      <c r="W301">
        <v>3.6247719999999997E-2</v>
      </c>
      <c r="X301">
        <v>0.99258170000000001</v>
      </c>
      <c r="Y301">
        <v>-2.2228640000000001E-2</v>
      </c>
      <c r="Z301">
        <v>8.7092490000000001E-4</v>
      </c>
      <c r="AA301">
        <v>0.99975250000000004</v>
      </c>
      <c r="AB301">
        <v>11</v>
      </c>
      <c r="AC301">
        <v>31.507399999999901</v>
      </c>
      <c r="AD301">
        <v>-1.1545339999999999</v>
      </c>
      <c r="AE301">
        <v>0.301800000000014</v>
      </c>
      <c r="AF301">
        <v>-0.70177509676288996</v>
      </c>
      <c r="AG301">
        <v>-1.1545339999999999</v>
      </c>
      <c r="AH301">
        <v>31.458771614256801</v>
      </c>
      <c r="AI301">
        <v>92.1012841983285</v>
      </c>
      <c r="AJ301">
        <v>91.277929218357897</v>
      </c>
      <c r="AK301">
        <v>31.487771412431901</v>
      </c>
      <c r="AL301">
        <v>87.922703662241304</v>
      </c>
      <c r="AM301">
        <v>96.668633469170899</v>
      </c>
      <c r="AN301">
        <v>1.0000000466752801</v>
      </c>
    </row>
    <row r="302" spans="1:40" x14ac:dyDescent="0.3">
      <c r="A302" t="str">
        <f>"20200111145921092"</f>
        <v>20200111145921092</v>
      </c>
      <c r="B302" t="str">
        <f>"1578725961086326"</f>
        <v>1578725961086326</v>
      </c>
      <c r="C302" t="s">
        <v>40</v>
      </c>
      <c r="D302">
        <v>4.2051780000000001</v>
      </c>
      <c r="E302">
        <v>0.53553839999999997</v>
      </c>
      <c r="F302" t="s">
        <v>43</v>
      </c>
      <c r="G302">
        <v>-426.22710000000001</v>
      </c>
      <c r="H302">
        <v>-0.05</v>
      </c>
      <c r="I302">
        <v>367.5179</v>
      </c>
      <c r="J302">
        <v>-458.505</v>
      </c>
      <c r="K302">
        <v>1.1045370000000001</v>
      </c>
      <c r="L302">
        <v>367.2106</v>
      </c>
      <c r="M302">
        <v>0.99987349999999997</v>
      </c>
      <c r="N302">
        <v>0</v>
      </c>
      <c r="O302">
        <v>-1.260029E-2</v>
      </c>
      <c r="P302">
        <v>0.99424880000000004</v>
      </c>
      <c r="Q302">
        <v>2.6856809999999998E-2</v>
      </c>
      <c r="R302">
        <v>0.1036748</v>
      </c>
      <c r="S302">
        <v>3.0171199999999998</v>
      </c>
      <c r="T302">
        <v>-0.10772279999999999</v>
      </c>
      <c r="U302">
        <v>2.862549E-2</v>
      </c>
      <c r="V302">
        <v>-0.1162002</v>
      </c>
      <c r="W302">
        <v>3.6487890000000002E-2</v>
      </c>
      <c r="X302">
        <v>0.99255539999999998</v>
      </c>
      <c r="Y302">
        <v>-2.2064739999999999E-2</v>
      </c>
      <c r="Z302">
        <v>8.4350789999999896E-4</v>
      </c>
      <c r="AA302">
        <v>0.99975619999999998</v>
      </c>
      <c r="AB302">
        <v>11</v>
      </c>
      <c r="AC302">
        <v>32.277899999999903</v>
      </c>
      <c r="AD302">
        <v>-1.1545369999999999</v>
      </c>
      <c r="AE302">
        <v>0.30729999999999702</v>
      </c>
      <c r="AF302">
        <v>-0.71309341700211903</v>
      </c>
      <c r="AG302">
        <v>-1.1545369999999999</v>
      </c>
      <c r="AH302">
        <v>32.2302335559474</v>
      </c>
      <c r="AI302">
        <v>92.051045045899997</v>
      </c>
      <c r="AJ302">
        <v>91.267461445342803</v>
      </c>
      <c r="AK302">
        <v>32.2587881510862</v>
      </c>
      <c r="AL302">
        <v>87.908933806817203</v>
      </c>
      <c r="AM302">
        <v>96.677322010541104</v>
      </c>
      <c r="AN302">
        <v>1.0000000373329201</v>
      </c>
    </row>
    <row r="303" spans="1:40" x14ac:dyDescent="0.3">
      <c r="A303" t="str">
        <f>"20200111145921104"</f>
        <v>20200111145921104</v>
      </c>
      <c r="B303" t="str">
        <f>"1578725961096086"</f>
        <v>1578725961096086</v>
      </c>
      <c r="C303" t="s">
        <v>40</v>
      </c>
      <c r="D303">
        <v>3.977646</v>
      </c>
      <c r="E303">
        <v>0.53545969999999998</v>
      </c>
      <c r="F303" t="s">
        <v>43</v>
      </c>
      <c r="G303">
        <v>-425.10410000000002</v>
      </c>
      <c r="H303">
        <v>-0.05</v>
      </c>
      <c r="I303">
        <v>367.54399999999998</v>
      </c>
      <c r="J303">
        <v>-458.44529999999997</v>
      </c>
      <c r="K303">
        <v>1.104541</v>
      </c>
      <c r="L303">
        <v>367.21</v>
      </c>
      <c r="M303">
        <v>0.99987510000000002</v>
      </c>
      <c r="N303">
        <v>0</v>
      </c>
      <c r="O303">
        <v>-1.2473E-2</v>
      </c>
      <c r="P303">
        <v>0.99421499999999996</v>
      </c>
      <c r="Q303">
        <v>2.6960430000000001E-2</v>
      </c>
      <c r="R303">
        <v>0.1039708</v>
      </c>
      <c r="S303">
        <v>3.017029</v>
      </c>
      <c r="T303">
        <v>-0.1042868</v>
      </c>
      <c r="U303">
        <v>3.0120850000000001E-2</v>
      </c>
      <c r="V303">
        <v>-0.1163691</v>
      </c>
      <c r="W303">
        <v>3.659606E-2</v>
      </c>
      <c r="X303">
        <v>0.99253159999999896</v>
      </c>
      <c r="Y303">
        <v>-2.243446E-2</v>
      </c>
      <c r="Z303">
        <v>8.1863179999999995E-4</v>
      </c>
      <c r="AA303">
        <v>0.99974799999999997</v>
      </c>
      <c r="AB303">
        <v>11</v>
      </c>
      <c r="AC303">
        <v>33.341199999999901</v>
      </c>
      <c r="AD303">
        <v>-1.154541</v>
      </c>
      <c r="AE303">
        <v>0.33400000000006003</v>
      </c>
      <c r="AF303">
        <v>-0.748960403323088</v>
      </c>
      <c r="AG303">
        <v>-1.154541</v>
      </c>
      <c r="AH303">
        <v>33.294520402952102</v>
      </c>
      <c r="AI303">
        <v>91.985525543792093</v>
      </c>
      <c r="AJ303">
        <v>91.288651513211704</v>
      </c>
      <c r="AK303">
        <v>33.322949981492101</v>
      </c>
      <c r="AL303">
        <v>87.902731918990398</v>
      </c>
      <c r="AM303">
        <v>96.687098734228499</v>
      </c>
      <c r="AN303">
        <v>1.0000000080204401</v>
      </c>
    </row>
    <row r="304" spans="1:40" x14ac:dyDescent="0.3">
      <c r="A304" t="str">
        <f>"20200111145921117"</f>
        <v>20200111145921117</v>
      </c>
      <c r="B304" t="str">
        <f>"1578725961105846"</f>
        <v>1578725961105846</v>
      </c>
      <c r="C304" t="s">
        <v>40</v>
      </c>
      <c r="D304">
        <v>3.9936769999999999</v>
      </c>
      <c r="E304">
        <v>0.53547199999999995</v>
      </c>
      <c r="F304" t="s">
        <v>43</v>
      </c>
      <c r="G304">
        <v>-425.31229999999999</v>
      </c>
      <c r="H304">
        <v>-0.05</v>
      </c>
      <c r="I304">
        <v>367.5582</v>
      </c>
      <c r="J304">
        <v>-458.38159999999999</v>
      </c>
      <c r="K304">
        <v>1.1045430000000001</v>
      </c>
      <c r="L304">
        <v>367.20929999999998</v>
      </c>
      <c r="M304">
        <v>0.9998766</v>
      </c>
      <c r="N304">
        <v>0</v>
      </c>
      <c r="O304">
        <v>-1.2338440000000001E-2</v>
      </c>
      <c r="P304">
        <v>0.9941953</v>
      </c>
      <c r="Q304">
        <v>2.7221249999999999E-2</v>
      </c>
      <c r="R304">
        <v>0.1040903</v>
      </c>
      <c r="S304">
        <v>3.017029</v>
      </c>
      <c r="T304">
        <v>-0.1051303</v>
      </c>
      <c r="U304">
        <v>3.1707760000000001E-2</v>
      </c>
      <c r="V304">
        <v>-0.11635470000000001</v>
      </c>
      <c r="W304">
        <v>3.6861949999999997E-2</v>
      </c>
      <c r="X304">
        <v>0.99252339999999994</v>
      </c>
      <c r="Y304">
        <v>-2.282522E-2</v>
      </c>
      <c r="Z304">
        <v>8.2736569999999996E-4</v>
      </c>
      <c r="AA304">
        <v>0.99973909999999999</v>
      </c>
      <c r="AB304">
        <v>11</v>
      </c>
      <c r="AC304">
        <v>33.069299999999998</v>
      </c>
      <c r="AD304">
        <v>-1.1545430000000001</v>
      </c>
      <c r="AE304">
        <v>0.34890000000001398</v>
      </c>
      <c r="AF304">
        <v>-0.75599491862274104</v>
      </c>
      <c r="AG304">
        <v>-1.1545430000000001</v>
      </c>
      <c r="AH304">
        <v>33.022230877829003</v>
      </c>
      <c r="AI304">
        <v>92.001869596257805</v>
      </c>
      <c r="AJ304">
        <v>91.311472666266198</v>
      </c>
      <c r="AK304">
        <v>33.0510549000251</v>
      </c>
      <c r="AL304">
        <v>87.887487155685506</v>
      </c>
      <c r="AM304">
        <v>96.6863334776492</v>
      </c>
      <c r="AN304">
        <v>0.999999959558725</v>
      </c>
    </row>
    <row r="305" spans="1:40" x14ac:dyDescent="0.3">
      <c r="A305" t="str">
        <f>"20200111145921137"</f>
        <v>20200111145921137</v>
      </c>
      <c r="B305" t="str">
        <f>"1578725961126342"</f>
        <v>1578725961126342</v>
      </c>
      <c r="C305" t="s">
        <v>40</v>
      </c>
      <c r="D305">
        <v>4.212243</v>
      </c>
      <c r="E305">
        <v>0.53600950000000003</v>
      </c>
      <c r="F305" t="s">
        <v>43</v>
      </c>
      <c r="G305">
        <v>-425.60340000000002</v>
      </c>
      <c r="H305">
        <v>-0.05</v>
      </c>
      <c r="I305">
        <v>367.55410000000001</v>
      </c>
      <c r="J305">
        <v>-458.28710000000001</v>
      </c>
      <c r="K305">
        <v>1.1045450000000001</v>
      </c>
      <c r="L305">
        <v>367.20839999999998</v>
      </c>
      <c r="M305">
        <v>0.99987899999999996</v>
      </c>
      <c r="N305">
        <v>0</v>
      </c>
      <c r="O305">
        <v>-1.213797E-2</v>
      </c>
      <c r="P305">
        <v>0.99409650000000005</v>
      </c>
      <c r="Q305">
        <v>2.722919E-2</v>
      </c>
      <c r="R305">
        <v>0.10502880000000001</v>
      </c>
      <c r="S305">
        <v>3.01709</v>
      </c>
      <c r="T305">
        <v>-0.1062705</v>
      </c>
      <c r="U305">
        <v>3.1738280000000001E-2</v>
      </c>
      <c r="V305">
        <v>-0.1170934</v>
      </c>
      <c r="W305">
        <v>3.6877199999999999E-2</v>
      </c>
      <c r="X305">
        <v>0.99243599999999998</v>
      </c>
      <c r="Y305">
        <v>-2.2634459999999999E-2</v>
      </c>
      <c r="Z305">
        <v>8.2589929999999897E-4</v>
      </c>
      <c r="AA305">
        <v>0.99974350000000001</v>
      </c>
      <c r="AB305">
        <v>11</v>
      </c>
      <c r="AC305">
        <v>32.683699999999902</v>
      </c>
      <c r="AD305">
        <v>-1.1545449999999999</v>
      </c>
      <c r="AE305">
        <v>0.34570000000002199</v>
      </c>
      <c r="AF305">
        <v>-0.74148192935568202</v>
      </c>
      <c r="AG305">
        <v>-1.1545449999999999</v>
      </c>
      <c r="AH305">
        <v>32.636375282628997</v>
      </c>
      <c r="AI305">
        <v>92.025529373009704</v>
      </c>
      <c r="AJ305">
        <v>91.301507208980595</v>
      </c>
      <c r="AK305">
        <v>32.665207196605699</v>
      </c>
      <c r="AL305">
        <v>87.886612892692696</v>
      </c>
      <c r="AM305">
        <v>96.728982071724602</v>
      </c>
      <c r="AN305">
        <v>1.0000000031496901</v>
      </c>
    </row>
    <row r="306" spans="1:40" x14ac:dyDescent="0.3">
      <c r="A306" t="str">
        <f>"20200111145921149"</f>
        <v>20200111145921149</v>
      </c>
      <c r="B306" t="str">
        <f>"1578725961145862"</f>
        <v>1578725961145862</v>
      </c>
      <c r="C306" t="s">
        <v>40</v>
      </c>
      <c r="D306">
        <v>4.0411489999999999</v>
      </c>
      <c r="E306">
        <v>0.5365299</v>
      </c>
      <c r="F306" t="s">
        <v>43</v>
      </c>
      <c r="G306">
        <v>-426.1232</v>
      </c>
      <c r="H306">
        <v>-0.05</v>
      </c>
      <c r="I306">
        <v>367.53370000000001</v>
      </c>
      <c r="J306">
        <v>-458.22210000000001</v>
      </c>
      <c r="K306">
        <v>1.10454599999999</v>
      </c>
      <c r="L306">
        <v>367.20769999999999</v>
      </c>
      <c r="M306">
        <v>0.99988060000000001</v>
      </c>
      <c r="N306">
        <v>0</v>
      </c>
      <c r="O306">
        <v>-1.200007E-2</v>
      </c>
      <c r="P306">
        <v>0.99404530000000002</v>
      </c>
      <c r="Q306">
        <v>2.7141910000000002E-2</v>
      </c>
      <c r="R306">
        <v>0.1055338</v>
      </c>
      <c r="S306">
        <v>3.0175480000000001</v>
      </c>
      <c r="T306">
        <v>-0.1083168</v>
      </c>
      <c r="U306">
        <v>3.0517579999999999E-2</v>
      </c>
      <c r="V306">
        <v>-0.117461</v>
      </c>
      <c r="W306">
        <v>3.6793810000000003E-2</v>
      </c>
      <c r="X306">
        <v>0.99239560000000004</v>
      </c>
      <c r="Y306">
        <v>-2.2090189999999999E-2</v>
      </c>
      <c r="Z306">
        <v>8.2695259999999895E-4</v>
      </c>
      <c r="AA306">
        <v>0.99975559999999997</v>
      </c>
      <c r="AB306">
        <v>11</v>
      </c>
      <c r="AC306">
        <v>32.0989</v>
      </c>
      <c r="AD306">
        <v>-1.1545460000000001</v>
      </c>
      <c r="AE306">
        <v>0.326000000000021</v>
      </c>
      <c r="AF306">
        <v>-0.71026503445882305</v>
      </c>
      <c r="AG306">
        <v>-1.1545460000000001</v>
      </c>
      <c r="AH306">
        <v>32.051215139750497</v>
      </c>
      <c r="AI306">
        <v>92.062505510883597</v>
      </c>
      <c r="AJ306">
        <v>91.269484762732205</v>
      </c>
      <c r="AK306">
        <v>32.079866658386599</v>
      </c>
      <c r="AL306">
        <v>87.891393918124805</v>
      </c>
      <c r="AM306">
        <v>96.750184499878898</v>
      </c>
      <c r="AN306">
        <v>0.99999994893733601</v>
      </c>
    </row>
    <row r="307" spans="1:40" x14ac:dyDescent="0.3">
      <c r="A307" t="str">
        <f>"20200111145921162"</f>
        <v>20200111145921162</v>
      </c>
      <c r="B307" t="str">
        <f>"1578725961156600"</f>
        <v>1578725961156600</v>
      </c>
      <c r="C307" t="s">
        <v>40</v>
      </c>
      <c r="D307">
        <v>3.9971380000000001</v>
      </c>
      <c r="E307">
        <v>0.5367499</v>
      </c>
      <c r="F307" t="s">
        <v>43</v>
      </c>
      <c r="G307">
        <v>-426.27850000000001</v>
      </c>
      <c r="H307">
        <v>-0.05</v>
      </c>
      <c r="I307">
        <v>367.50259999999997</v>
      </c>
      <c r="J307">
        <v>-458.1576</v>
      </c>
      <c r="K307">
        <v>1.10454599999999</v>
      </c>
      <c r="L307">
        <v>367.2072</v>
      </c>
      <c r="M307">
        <v>0.9998821</v>
      </c>
      <c r="N307">
        <v>0</v>
      </c>
      <c r="O307">
        <v>-1.186312E-2</v>
      </c>
      <c r="P307">
        <v>0.99397630000000003</v>
      </c>
      <c r="Q307">
        <v>2.7299360000000002E-2</v>
      </c>
      <c r="R307">
        <v>0.10614079999999999</v>
      </c>
      <c r="S307">
        <v>3.018005</v>
      </c>
      <c r="T307">
        <v>-0.1090806</v>
      </c>
      <c r="U307">
        <v>2.786255E-2</v>
      </c>
      <c r="V307">
        <v>-0.1179307</v>
      </c>
      <c r="W307">
        <v>3.6955349999999998E-2</v>
      </c>
      <c r="X307">
        <v>0.99233389999999999</v>
      </c>
      <c r="Y307">
        <v>-2.1072730000000001E-2</v>
      </c>
      <c r="Z307">
        <v>8.0932770000000001E-4</v>
      </c>
      <c r="AA307">
        <v>0.99977760000000004</v>
      </c>
      <c r="AB307">
        <v>11</v>
      </c>
      <c r="AC307">
        <v>31.879099999999902</v>
      </c>
      <c r="AD307">
        <v>-1.1545460000000001</v>
      </c>
      <c r="AE307">
        <v>0.29539999999997202</v>
      </c>
      <c r="AF307">
        <v>-0.67270051828100497</v>
      </c>
      <c r="AG307">
        <v>-1.1545460000000001</v>
      </c>
      <c r="AH307">
        <v>31.8316043351263</v>
      </c>
      <c r="AI307">
        <v>92.076768731566105</v>
      </c>
      <c r="AJ307">
        <v>91.210657303024007</v>
      </c>
      <c r="AK307">
        <v>31.8596380550917</v>
      </c>
      <c r="AL307">
        <v>87.882132078687306</v>
      </c>
      <c r="AM307">
        <v>96.777343854644101</v>
      </c>
      <c r="AN307">
        <v>0.99999995849265999</v>
      </c>
    </row>
    <row r="308" spans="1:40" x14ac:dyDescent="0.3">
      <c r="A308" t="str">
        <f>"20200111145921181"</f>
        <v>20200111145921181</v>
      </c>
      <c r="B308" t="str">
        <f>"1578725961176118"</f>
        <v>1578725961176118</v>
      </c>
      <c r="C308" t="s">
        <v>40</v>
      </c>
      <c r="D308">
        <v>4.0367379999999997</v>
      </c>
      <c r="E308">
        <v>0.53791309999999903</v>
      </c>
      <c r="F308" t="s">
        <v>43</v>
      </c>
      <c r="G308">
        <v>-426.41590000000002</v>
      </c>
      <c r="H308">
        <v>-0.05</v>
      </c>
      <c r="I308">
        <v>367.50209999999998</v>
      </c>
      <c r="J308">
        <v>-458.06259999999997</v>
      </c>
      <c r="K308">
        <v>1.104544</v>
      </c>
      <c r="L308">
        <v>367.2063</v>
      </c>
      <c r="M308">
        <v>0.99988460000000001</v>
      </c>
      <c r="N308">
        <v>0</v>
      </c>
      <c r="O308">
        <v>-1.1659050000000001E-2</v>
      </c>
      <c r="P308">
        <v>0.99396569999999995</v>
      </c>
      <c r="Q308">
        <v>2.6863069999999999E-2</v>
      </c>
      <c r="R308">
        <v>0.1063523</v>
      </c>
      <c r="S308">
        <v>3.0181580000000001</v>
      </c>
      <c r="T308">
        <v>-0.1097798</v>
      </c>
      <c r="U308">
        <v>2.8045649999999998E-2</v>
      </c>
      <c r="V308">
        <v>-0.11794010000000001</v>
      </c>
      <c r="W308">
        <v>3.6525059999999998E-2</v>
      </c>
      <c r="X308">
        <v>0.99234869999999997</v>
      </c>
      <c r="Y308">
        <v>-2.0928820000000001E-2</v>
      </c>
      <c r="Z308">
        <v>8.0443419999999999E-4</v>
      </c>
      <c r="AA308">
        <v>0.99978069999999997</v>
      </c>
      <c r="AB308">
        <v>11</v>
      </c>
      <c r="AC308">
        <v>31.6466999999999</v>
      </c>
      <c r="AD308">
        <v>-1.154544</v>
      </c>
      <c r="AE308">
        <v>0.29579999999998502</v>
      </c>
      <c r="AF308">
        <v>-0.66388432626377802</v>
      </c>
      <c r="AG308">
        <v>-1.154544</v>
      </c>
      <c r="AH308">
        <v>31.599046582586301</v>
      </c>
      <c r="AI308">
        <v>92.092041294639301</v>
      </c>
      <c r="AJ308">
        <v>91.203586148706407</v>
      </c>
      <c r="AK308">
        <v>31.6271000753318</v>
      </c>
      <c r="AL308">
        <v>87.906802508424207</v>
      </c>
      <c r="AM308">
        <v>96.777778890869101</v>
      </c>
      <c r="AN308">
        <v>0.99999994479385002</v>
      </c>
    </row>
    <row r="309" spans="1:40" x14ac:dyDescent="0.3">
      <c r="A309" t="str">
        <f>"20200111145921194"</f>
        <v>20200111145921194</v>
      </c>
      <c r="B309" t="str">
        <f>"1578725961185878"</f>
        <v>1578725961185878</v>
      </c>
      <c r="C309" t="s">
        <v>40</v>
      </c>
      <c r="D309">
        <v>3.9766970000000001</v>
      </c>
      <c r="E309">
        <v>0.53838799999999998</v>
      </c>
      <c r="F309" t="s">
        <v>43</v>
      </c>
      <c r="G309">
        <v>-428.00979999999998</v>
      </c>
      <c r="H309">
        <v>-0.05</v>
      </c>
      <c r="I309">
        <v>367.40190000000001</v>
      </c>
      <c r="J309">
        <v>-457.99990000000003</v>
      </c>
      <c r="K309">
        <v>1.1045430000000001</v>
      </c>
      <c r="L309">
        <v>367.20569999999998</v>
      </c>
      <c r="M309">
        <v>0.99988600000000005</v>
      </c>
      <c r="N309">
        <v>0</v>
      </c>
      <c r="O309">
        <v>-1.152209E-2</v>
      </c>
      <c r="P309">
        <v>0.99401309999999998</v>
      </c>
      <c r="Q309">
        <v>2.6539879999999998E-2</v>
      </c>
      <c r="R309">
        <v>0.10598829999999999</v>
      </c>
      <c r="S309">
        <v>3.0192869999999998</v>
      </c>
      <c r="T309">
        <v>-0.1159925</v>
      </c>
      <c r="U309">
        <v>1.9653319999999998E-2</v>
      </c>
      <c r="V309">
        <v>-0.1174403</v>
      </c>
      <c r="W309">
        <v>3.6206729999999999E-2</v>
      </c>
      <c r="X309">
        <v>0.99241970000000002</v>
      </c>
      <c r="Y309">
        <v>-1.8009299999999999E-2</v>
      </c>
      <c r="Z309">
        <v>7.8829799999999999E-4</v>
      </c>
      <c r="AA309">
        <v>0.99983750000000005</v>
      </c>
      <c r="AB309">
        <v>11</v>
      </c>
      <c r="AC309">
        <v>29.990100000000002</v>
      </c>
      <c r="AD309">
        <v>-1.1545430000000001</v>
      </c>
      <c r="AE309">
        <v>0.19620000000003299</v>
      </c>
      <c r="AF309">
        <v>-0.54095037618785602</v>
      </c>
      <c r="AG309">
        <v>-1.1545430000000001</v>
      </c>
      <c r="AH309">
        <v>29.941475259645401</v>
      </c>
      <c r="AI309">
        <v>92.207870737931302</v>
      </c>
      <c r="AJ309">
        <v>91.035045920912495</v>
      </c>
      <c r="AK309">
        <v>29.968609203169699</v>
      </c>
      <c r="AL309">
        <v>87.925053674672796</v>
      </c>
      <c r="AM309">
        <v>96.748843516033801</v>
      </c>
      <c r="AN309">
        <v>1.0000000061547301</v>
      </c>
    </row>
    <row r="310" spans="1:40" x14ac:dyDescent="0.3">
      <c r="A310" t="str">
        <f>"20200111145921206"</f>
        <v>20200111145921206</v>
      </c>
      <c r="B310" t="str">
        <f>"1578725961195638"</f>
        <v>1578725961195638</v>
      </c>
      <c r="C310" t="s">
        <v>40</v>
      </c>
      <c r="D310">
        <v>3.9650609999999999</v>
      </c>
      <c r="E310">
        <v>0.5388463</v>
      </c>
      <c r="F310" t="s">
        <v>43</v>
      </c>
      <c r="G310">
        <v>-428.81509999999997</v>
      </c>
      <c r="H310">
        <v>-0.05</v>
      </c>
      <c r="I310">
        <v>367.34719999999999</v>
      </c>
      <c r="J310">
        <v>-457.94150000000002</v>
      </c>
      <c r="K310">
        <v>1.104544</v>
      </c>
      <c r="L310">
        <v>367.20510000000002</v>
      </c>
      <c r="M310">
        <v>0.99988750000000004</v>
      </c>
      <c r="N310">
        <v>0</v>
      </c>
      <c r="O310">
        <v>-1.1393220000000001E-2</v>
      </c>
      <c r="P310">
        <v>0.99409119999999995</v>
      </c>
      <c r="Q310">
        <v>2.5887239999999999E-2</v>
      </c>
      <c r="R310">
        <v>0.1054155</v>
      </c>
      <c r="S310">
        <v>3.0196839999999998</v>
      </c>
      <c r="T310">
        <v>-0.1194576</v>
      </c>
      <c r="U310">
        <v>1.464844E-2</v>
      </c>
      <c r="V310">
        <v>-0.11674030000000001</v>
      </c>
      <c r="W310">
        <v>3.5559140000000003E-2</v>
      </c>
      <c r="X310">
        <v>0.99252569999999996</v>
      </c>
      <c r="Y310">
        <v>-1.622264E-2</v>
      </c>
      <c r="Z310">
        <v>7.7130380000000004E-4</v>
      </c>
      <c r="AA310">
        <v>0.99986810000000004</v>
      </c>
      <c r="AB310">
        <v>11</v>
      </c>
      <c r="AC310">
        <v>29.1264</v>
      </c>
      <c r="AD310">
        <v>-1.154544</v>
      </c>
      <c r="AE310">
        <v>0.14209999999997</v>
      </c>
      <c r="AF310">
        <v>-0.47320654140274399</v>
      </c>
      <c r="AG310">
        <v>-1.154544</v>
      </c>
      <c r="AH310">
        <v>29.0772036358814</v>
      </c>
      <c r="AI310">
        <v>92.273500021945395</v>
      </c>
      <c r="AJ310">
        <v>90.932357347635005</v>
      </c>
      <c r="AK310">
        <v>29.103963090295402</v>
      </c>
      <c r="AL310">
        <v>87.962181762422205</v>
      </c>
      <c r="AM310">
        <v>96.708274994947203</v>
      </c>
      <c r="AN310">
        <v>1.00000000762105</v>
      </c>
    </row>
    <row r="311" spans="1:40" x14ac:dyDescent="0.3">
      <c r="A311" t="str">
        <f>"20200111145921219"</f>
        <v>20200111145921219</v>
      </c>
      <c r="B311" t="str">
        <f>"1578725961216134"</f>
        <v>1578725961216134</v>
      </c>
      <c r="C311" t="s">
        <v>40</v>
      </c>
      <c r="D311">
        <v>3.9838710000000002</v>
      </c>
      <c r="E311">
        <v>0.53916960000000003</v>
      </c>
      <c r="F311" t="s">
        <v>43</v>
      </c>
      <c r="G311">
        <v>-429.61970000000002</v>
      </c>
      <c r="H311">
        <v>-0.05</v>
      </c>
      <c r="I311">
        <v>367.2944</v>
      </c>
      <c r="J311">
        <v>-457.87700000000001</v>
      </c>
      <c r="K311">
        <v>1.10454599999999</v>
      </c>
      <c r="L311">
        <v>367.20460000000003</v>
      </c>
      <c r="M311">
        <v>0.99988900000000003</v>
      </c>
      <c r="N311">
        <v>0</v>
      </c>
      <c r="O311">
        <v>-1.1249449999999999E-2</v>
      </c>
      <c r="P311">
        <v>0.99417929999999999</v>
      </c>
      <c r="Q311">
        <v>2.5634179999999999E-2</v>
      </c>
      <c r="R311">
        <v>0.1046435</v>
      </c>
      <c r="S311">
        <v>3.0200200000000001</v>
      </c>
      <c r="T311">
        <v>-0.1231119</v>
      </c>
      <c r="U311">
        <v>9.5214840000000002E-3</v>
      </c>
      <c r="V311">
        <v>-0.1158269</v>
      </c>
      <c r="W311">
        <v>3.5310380000000002E-2</v>
      </c>
      <c r="X311">
        <v>0.99264160000000001</v>
      </c>
      <c r="Y311">
        <v>-1.438122E-2</v>
      </c>
      <c r="Z311">
        <v>7.5141679999999895E-4</v>
      </c>
      <c r="AA311">
        <v>0.99989629999999996</v>
      </c>
      <c r="AB311">
        <v>11</v>
      </c>
      <c r="AC311">
        <v>28.257299999999901</v>
      </c>
      <c r="AD311">
        <v>-1.1545460000000001</v>
      </c>
      <c r="AE311">
        <v>8.9799999999968294E-2</v>
      </c>
      <c r="AF311">
        <v>-0.40700911522399502</v>
      </c>
      <c r="AG311">
        <v>-1.1545460000000001</v>
      </c>
      <c r="AH311">
        <v>28.2074124815876</v>
      </c>
      <c r="AI311">
        <v>92.343597998686107</v>
      </c>
      <c r="AJ311">
        <v>90.826672291823002</v>
      </c>
      <c r="AK311">
        <v>28.233964507174999</v>
      </c>
      <c r="AL311">
        <v>87.976443641831906</v>
      </c>
      <c r="AM311">
        <v>96.655490682314394</v>
      </c>
      <c r="AN311">
        <v>1.0000000198749499</v>
      </c>
    </row>
    <row r="312" spans="1:40" x14ac:dyDescent="0.3">
      <c r="A312" t="str">
        <f>"20200111145921236"</f>
        <v>20200111145921236</v>
      </c>
      <c r="B312" t="str">
        <f>"1578725961225898"</f>
        <v>1578725961225898</v>
      </c>
      <c r="C312" t="s">
        <v>40</v>
      </c>
      <c r="D312">
        <v>3.9834890000000001</v>
      </c>
      <c r="E312">
        <v>0.53931269999999998</v>
      </c>
      <c r="F312" t="s">
        <v>43</v>
      </c>
      <c r="G312">
        <v>-430.15480000000002</v>
      </c>
      <c r="H312">
        <v>-0.05</v>
      </c>
      <c r="I312">
        <v>367.24630000000002</v>
      </c>
      <c r="J312">
        <v>-457.791</v>
      </c>
      <c r="K312">
        <v>1.104549</v>
      </c>
      <c r="L312">
        <v>367.2038</v>
      </c>
      <c r="M312">
        <v>0.99989130000000004</v>
      </c>
      <c r="N312">
        <v>0</v>
      </c>
      <c r="O312">
        <v>-1.104902E-2</v>
      </c>
      <c r="P312">
        <v>0.994398</v>
      </c>
      <c r="Q312">
        <v>2.4766920000000001E-2</v>
      </c>
      <c r="R312">
        <v>0.10275819999999999</v>
      </c>
      <c r="S312">
        <v>3.0203549999999999</v>
      </c>
      <c r="T312">
        <v>-0.1257885</v>
      </c>
      <c r="U312">
        <v>4.5471189999999996E-3</v>
      </c>
      <c r="V312">
        <v>-0.1137455</v>
      </c>
      <c r="W312">
        <v>3.4449260000000002E-2</v>
      </c>
      <c r="X312">
        <v>0.99291249999999998</v>
      </c>
      <c r="Y312">
        <v>-1.2534490000000001E-2</v>
      </c>
      <c r="Z312">
        <v>7.2087170000000001E-4</v>
      </c>
      <c r="AA312">
        <v>0.99992119999999995</v>
      </c>
      <c r="AB312">
        <v>11</v>
      </c>
      <c r="AC312">
        <v>27.636199999999899</v>
      </c>
      <c r="AD312">
        <v>-1.154549</v>
      </c>
      <c r="AE312">
        <v>4.25000000000181E-2</v>
      </c>
      <c r="AF312">
        <v>-0.34725881762277799</v>
      </c>
      <c r="AG312">
        <v>-1.154549</v>
      </c>
      <c r="AH312">
        <v>27.585897925026</v>
      </c>
      <c r="AI312">
        <v>92.396404479901904</v>
      </c>
      <c r="AJ312">
        <v>90.721216827546002</v>
      </c>
      <c r="AK312">
        <v>27.612231644866501</v>
      </c>
      <c r="AL312">
        <v>88.025812207531402</v>
      </c>
      <c r="AM312">
        <v>96.535168486172907</v>
      </c>
      <c r="AN312">
        <v>1.0000000114705201</v>
      </c>
    </row>
    <row r="313" spans="1:40" x14ac:dyDescent="0.3">
      <c r="A313" t="str">
        <f>"20200111145921250"</f>
        <v>20200111145921250</v>
      </c>
      <c r="B313" t="str">
        <f>"1578725961246390"</f>
        <v>1578725961246390</v>
      </c>
      <c r="C313" t="s">
        <v>40</v>
      </c>
      <c r="D313">
        <v>3.953735</v>
      </c>
      <c r="E313">
        <v>0.5392536</v>
      </c>
      <c r="F313" t="s">
        <v>43</v>
      </c>
      <c r="G313">
        <v>-430.83229999999998</v>
      </c>
      <c r="H313">
        <v>-0.05</v>
      </c>
      <c r="I313">
        <v>367.1807</v>
      </c>
      <c r="J313">
        <v>-457.72449999999998</v>
      </c>
      <c r="K313">
        <v>1.104552</v>
      </c>
      <c r="L313">
        <v>367.20330000000001</v>
      </c>
      <c r="M313">
        <v>0.99989309999999998</v>
      </c>
      <c r="N313">
        <v>0</v>
      </c>
      <c r="O313">
        <v>-1.088457E-2</v>
      </c>
      <c r="P313">
        <v>0.99448630000000005</v>
      </c>
      <c r="Q313">
        <v>2.4659279999999999E-2</v>
      </c>
      <c r="R313">
        <v>0.1019274</v>
      </c>
      <c r="S313">
        <v>3.0203859999999998</v>
      </c>
      <c r="T313">
        <v>-0.12935279999999999</v>
      </c>
      <c r="U313">
        <v>-2.5939940000000001E-3</v>
      </c>
      <c r="V313">
        <v>-0.11275300000000001</v>
      </c>
      <c r="W313">
        <v>3.4344420000000001E-2</v>
      </c>
      <c r="X313">
        <v>0.9930293</v>
      </c>
      <c r="Y313">
        <v>-1.0007159999999999E-2</v>
      </c>
      <c r="Z313">
        <v>6.8013809999999998E-4</v>
      </c>
      <c r="AA313">
        <v>0.99994970000000005</v>
      </c>
      <c r="AB313">
        <v>11</v>
      </c>
      <c r="AC313">
        <v>26.892199999999999</v>
      </c>
      <c r="AD313">
        <v>-1.154552</v>
      </c>
      <c r="AE313">
        <v>-2.2600000000011201E-2</v>
      </c>
      <c r="AF313">
        <v>-0.26962834231045801</v>
      </c>
      <c r="AG313">
        <v>-1.154552</v>
      </c>
      <c r="AH313">
        <v>26.841378585538202</v>
      </c>
      <c r="AI313">
        <v>92.462871768613994</v>
      </c>
      <c r="AJ313">
        <v>90.575531037302099</v>
      </c>
      <c r="AK313">
        <v>26.867550951582299</v>
      </c>
      <c r="AL313">
        <v>88.031822600400304</v>
      </c>
      <c r="AM313">
        <v>96.477876467045107</v>
      </c>
      <c r="AN313">
        <v>0.99999998442631299</v>
      </c>
    </row>
    <row r="314" spans="1:40" x14ac:dyDescent="0.3">
      <c r="A314" t="str">
        <f>"20200111145921264"</f>
        <v>20200111145921264</v>
      </c>
      <c r="B314" t="str">
        <f>"1578725961256149"</f>
        <v>1578725961256149</v>
      </c>
      <c r="C314" t="s">
        <v>40</v>
      </c>
      <c r="D314">
        <v>3.9473820000000002</v>
      </c>
      <c r="E314">
        <v>0.53925719999999899</v>
      </c>
      <c r="F314" t="s">
        <v>43</v>
      </c>
      <c r="G314">
        <v>-430.95389999999998</v>
      </c>
      <c r="H314">
        <v>-0.05</v>
      </c>
      <c r="I314">
        <v>367.1619</v>
      </c>
      <c r="J314">
        <v>-457.65249999999997</v>
      </c>
      <c r="K314">
        <v>1.1045590000000001</v>
      </c>
      <c r="L314">
        <v>367.20269999999999</v>
      </c>
      <c r="M314">
        <v>0.99989510000000004</v>
      </c>
      <c r="N314">
        <v>0</v>
      </c>
      <c r="O314">
        <v>-1.06984E-2</v>
      </c>
      <c r="P314">
        <v>0.99455629999999995</v>
      </c>
      <c r="Q314">
        <v>2.4227800000000001E-2</v>
      </c>
      <c r="R314">
        <v>0.10134460000000001</v>
      </c>
      <c r="S314">
        <v>3.0203549999999999</v>
      </c>
      <c r="T314">
        <v>-0.13026099999999999</v>
      </c>
      <c r="U314">
        <v>-4.6691889999999998E-3</v>
      </c>
      <c r="V314">
        <v>-0.11198660000000001</v>
      </c>
      <c r="W314">
        <v>3.3914560000000003E-2</v>
      </c>
      <c r="X314">
        <v>0.99313079999999998</v>
      </c>
      <c r="Y314">
        <v>-9.1346469999999992E-3</v>
      </c>
      <c r="Z314">
        <v>6.5808390000000004E-4</v>
      </c>
      <c r="AA314">
        <v>0.99995800000000001</v>
      </c>
      <c r="AB314">
        <v>11</v>
      </c>
      <c r="AC314">
        <v>26.698599999999999</v>
      </c>
      <c r="AD314">
        <v>-1.1545589999999999</v>
      </c>
      <c r="AE314">
        <v>-4.0799999999990101E-2</v>
      </c>
      <c r="AF314">
        <v>-0.244391228602161</v>
      </c>
      <c r="AG314">
        <v>-1.1545589999999999</v>
      </c>
      <c r="AH314">
        <v>26.6476758149693</v>
      </c>
      <c r="AI314">
        <v>92.480788001133206</v>
      </c>
      <c r="AJ314">
        <v>90.525456459155095</v>
      </c>
      <c r="AK314">
        <v>26.6737953785508</v>
      </c>
      <c r="AL314">
        <v>88.056466134250201</v>
      </c>
      <c r="AM314">
        <v>96.433563733902005</v>
      </c>
      <c r="AN314">
        <v>0.99999999093409597</v>
      </c>
    </row>
    <row r="315" spans="1:40" x14ac:dyDescent="0.3">
      <c r="A315" t="str">
        <f>"20200111145921282"</f>
        <v>20200111145921282</v>
      </c>
      <c r="B315" t="str">
        <f>"1578725961275670"</f>
        <v>1578725961275670</v>
      </c>
      <c r="C315" t="s">
        <v>40</v>
      </c>
      <c r="D315">
        <v>3.99213</v>
      </c>
      <c r="E315">
        <v>0.53971230000000003</v>
      </c>
      <c r="F315" t="s">
        <v>43</v>
      </c>
      <c r="G315">
        <v>-431.34230000000002</v>
      </c>
      <c r="H315">
        <v>-0.05</v>
      </c>
      <c r="I315">
        <v>367.1474</v>
      </c>
      <c r="J315">
        <v>-457.5607</v>
      </c>
      <c r="K315">
        <v>1.104565</v>
      </c>
      <c r="L315">
        <v>367.202</v>
      </c>
      <c r="M315">
        <v>0.9998977</v>
      </c>
      <c r="N315">
        <v>0</v>
      </c>
      <c r="O315">
        <v>-1.044494E-2</v>
      </c>
      <c r="P315">
        <v>0.99460579999999998</v>
      </c>
      <c r="Q315">
        <v>2.4138819999999998E-2</v>
      </c>
      <c r="R315">
        <v>0.10087989999999999</v>
      </c>
      <c r="S315">
        <v>3.0202939999999998</v>
      </c>
      <c r="T315">
        <v>-0.13253860000000001</v>
      </c>
      <c r="U315">
        <v>-6.3476560000000001E-3</v>
      </c>
      <c r="V315">
        <v>-0.1112718</v>
      </c>
      <c r="W315">
        <v>3.3826879999999997E-2</v>
      </c>
      <c r="X315">
        <v>0.99321409999999999</v>
      </c>
      <c r="Y315">
        <v>-8.3258029999999997E-3</v>
      </c>
      <c r="Z315">
        <v>6.4073639999999996E-4</v>
      </c>
      <c r="AA315">
        <v>0.99996510000000005</v>
      </c>
      <c r="AB315">
        <v>11</v>
      </c>
      <c r="AC315">
        <v>26.2183999999999</v>
      </c>
      <c r="AD315">
        <v>-1.1545650000000001</v>
      </c>
      <c r="AE315">
        <v>-5.4599999999993501E-2</v>
      </c>
      <c r="AF315">
        <v>-0.21884129291121099</v>
      </c>
      <c r="AG315">
        <v>-1.1545650000000001</v>
      </c>
      <c r="AH315">
        <v>26.1667973299176</v>
      </c>
      <c r="AI315">
        <v>92.526350954670093</v>
      </c>
      <c r="AJ315">
        <v>90.4791717527104</v>
      </c>
      <c r="AK315">
        <v>26.1931707579608</v>
      </c>
      <c r="AL315">
        <v>88.061492652126404</v>
      </c>
      <c r="AM315">
        <v>96.3923082211479</v>
      </c>
      <c r="AN315">
        <v>0.99999995986229095</v>
      </c>
    </row>
    <row r="316" spans="1:40" x14ac:dyDescent="0.3">
      <c r="A316" t="str">
        <f>"20200111145921294"</f>
        <v>20200111145921294</v>
      </c>
      <c r="B316" t="str">
        <f>"1578725961286406"</f>
        <v>1578725961286406</v>
      </c>
      <c r="C316" t="s">
        <v>40</v>
      </c>
      <c r="D316">
        <v>3.8228049999999998</v>
      </c>
      <c r="E316">
        <v>0.53971230000000003</v>
      </c>
      <c r="F316" t="s">
        <v>43</v>
      </c>
      <c r="G316">
        <v>-432.00189999999998</v>
      </c>
      <c r="H316">
        <v>-0.05</v>
      </c>
      <c r="I316">
        <v>367.10640000000001</v>
      </c>
      <c r="J316">
        <v>-457.49799999999999</v>
      </c>
      <c r="K316">
        <v>1.1045739999999999</v>
      </c>
      <c r="L316">
        <v>367.20159999999998</v>
      </c>
      <c r="M316">
        <v>0.9998996</v>
      </c>
      <c r="N316">
        <v>0</v>
      </c>
      <c r="O316">
        <v>-1.02603E-2</v>
      </c>
      <c r="P316">
        <v>0.99458190000000002</v>
      </c>
      <c r="Q316">
        <v>2.3834919999999999E-2</v>
      </c>
      <c r="R316">
        <v>0.10118729999999999</v>
      </c>
      <c r="S316">
        <v>3.020721</v>
      </c>
      <c r="T316">
        <v>-0.13645499999999999</v>
      </c>
      <c r="U316">
        <v>-1.1291499999999999E-2</v>
      </c>
      <c r="V316">
        <v>-0.1113961</v>
      </c>
      <c r="W316">
        <v>3.3521879999999997E-2</v>
      </c>
      <c r="X316">
        <v>0.99321060000000005</v>
      </c>
      <c r="Y316">
        <v>-6.5058249999999998E-3</v>
      </c>
      <c r="Z316">
        <v>6.1013259999999998E-4</v>
      </c>
      <c r="AA316">
        <v>0.9999787</v>
      </c>
      <c r="AB316">
        <v>11</v>
      </c>
      <c r="AC316">
        <v>25.496099999999998</v>
      </c>
      <c r="AD316">
        <v>-1.154574</v>
      </c>
      <c r="AE316">
        <v>-9.5199999999976997E-2</v>
      </c>
      <c r="AF316">
        <v>-0.16607458114985199</v>
      </c>
      <c r="AG316">
        <v>-1.154574</v>
      </c>
      <c r="AH316">
        <v>25.443558981563701</v>
      </c>
      <c r="AI316">
        <v>92.598121646487598</v>
      </c>
      <c r="AJ316">
        <v>90.3739743116749</v>
      </c>
      <c r="AK316">
        <v>25.470282988932201</v>
      </c>
      <c r="AL316">
        <v>88.078977958784407</v>
      </c>
      <c r="AM316">
        <v>96.399412127865702</v>
      </c>
      <c r="AN316">
        <v>1.00000005174315</v>
      </c>
    </row>
    <row r="317" spans="1:40" x14ac:dyDescent="0.3">
      <c r="A317" t="str">
        <f>"20200111145921307"</f>
        <v>20200111145921307</v>
      </c>
      <c r="B317" t="str">
        <f>"1578725961296168"</f>
        <v>1578725961296168</v>
      </c>
      <c r="C317" t="s">
        <v>40</v>
      </c>
      <c r="D317">
        <v>3.9587720000000002</v>
      </c>
      <c r="E317">
        <v>0.53974730000000004</v>
      </c>
      <c r="F317" t="s">
        <v>43</v>
      </c>
      <c r="G317">
        <v>-432.07459999999998</v>
      </c>
      <c r="H317">
        <v>-0.05</v>
      </c>
      <c r="I317">
        <v>367.11169999999998</v>
      </c>
      <c r="J317">
        <v>-457.43689999999998</v>
      </c>
      <c r="K317">
        <v>1.104582</v>
      </c>
      <c r="L317">
        <v>367.20119999999997</v>
      </c>
      <c r="M317">
        <v>0.9999015</v>
      </c>
      <c r="N317">
        <v>0</v>
      </c>
      <c r="O317">
        <v>-1.00722E-2</v>
      </c>
      <c r="P317">
        <v>0.99455309999999997</v>
      </c>
      <c r="Q317">
        <v>2.3463250000000001E-2</v>
      </c>
      <c r="R317">
        <v>0.10155690000000001</v>
      </c>
      <c r="S317">
        <v>3.020721</v>
      </c>
      <c r="T317">
        <v>-0.13718259999999999</v>
      </c>
      <c r="U317">
        <v>-1.068115E-2</v>
      </c>
      <c r="V317">
        <v>-0.11157930000000001</v>
      </c>
      <c r="W317">
        <v>3.3149669999999999E-2</v>
      </c>
      <c r="X317">
        <v>0.99320240000000004</v>
      </c>
      <c r="Y317">
        <v>-6.5197609999999998E-3</v>
      </c>
      <c r="Z317">
        <v>6.0516149999999996E-4</v>
      </c>
      <c r="AA317">
        <v>0.99997849999999999</v>
      </c>
      <c r="AB317">
        <v>11</v>
      </c>
      <c r="AC317">
        <v>25.362300000000001</v>
      </c>
      <c r="AD317">
        <v>-1.154582</v>
      </c>
      <c r="AE317">
        <v>-8.9499999999986798E-2</v>
      </c>
      <c r="AF317">
        <v>-0.16562766104794199</v>
      </c>
      <c r="AG317">
        <v>-1.154582</v>
      </c>
      <c r="AH317">
        <v>25.309464331698301</v>
      </c>
      <c r="AI317">
        <v>92.6118857912019</v>
      </c>
      <c r="AJ317">
        <v>90.374943948264004</v>
      </c>
      <c r="AK317">
        <v>25.336327217541601</v>
      </c>
      <c r="AL317">
        <v>88.100315636734607</v>
      </c>
      <c r="AM317">
        <v>96.409901443040596</v>
      </c>
      <c r="AN317">
        <v>0.99999992408767602</v>
      </c>
    </row>
    <row r="318" spans="1:40" x14ac:dyDescent="0.3">
      <c r="A318" t="str">
        <f>"20200111145921320"</f>
        <v>20200111145921320</v>
      </c>
      <c r="B318" t="str">
        <f>"1578725961315686"</f>
        <v>1578725961315686</v>
      </c>
      <c r="C318" t="s">
        <v>40</v>
      </c>
      <c r="D318">
        <v>6.6885009999999996</v>
      </c>
      <c r="E318">
        <v>0.53973570000000004</v>
      </c>
      <c r="F318" t="s">
        <v>43</v>
      </c>
      <c r="G318">
        <v>-432.52620000000002</v>
      </c>
      <c r="H318">
        <v>-0.05</v>
      </c>
      <c r="I318">
        <v>367.12040000000002</v>
      </c>
      <c r="J318">
        <v>-457.37</v>
      </c>
      <c r="K318">
        <v>1.104589</v>
      </c>
      <c r="L318">
        <v>367.20069999999998</v>
      </c>
      <c r="M318">
        <v>0.9999036</v>
      </c>
      <c r="N318">
        <v>0</v>
      </c>
      <c r="O318">
        <v>-9.8600219999999995E-3</v>
      </c>
      <c r="P318">
        <v>0.99451940000000005</v>
      </c>
      <c r="Q318">
        <v>2.3224999999999999E-2</v>
      </c>
      <c r="R318">
        <v>0.1019413</v>
      </c>
      <c r="S318">
        <v>3.0206909999999998</v>
      </c>
      <c r="T318">
        <v>-0.1400062</v>
      </c>
      <c r="U318">
        <v>-9.7961430000000002E-3</v>
      </c>
      <c r="V318">
        <v>-0.11175359999999999</v>
      </c>
      <c r="W318">
        <v>3.2910429999999997E-2</v>
      </c>
      <c r="X318">
        <v>0.99319080000000004</v>
      </c>
      <c r="Y318">
        <v>-6.5999319999999898E-3</v>
      </c>
      <c r="Z318">
        <v>6.0963870000000004E-4</v>
      </c>
      <c r="AA318">
        <v>0.99997800000000003</v>
      </c>
      <c r="AB318">
        <v>11</v>
      </c>
      <c r="AC318">
        <v>24.843799999999899</v>
      </c>
      <c r="AD318">
        <v>-1.1545889999999901</v>
      </c>
      <c r="AE318">
        <v>-8.0299999999965593E-2</v>
      </c>
      <c r="AF318">
        <v>-0.164321123429613</v>
      </c>
      <c r="AG318">
        <v>-1.1545889999999901</v>
      </c>
      <c r="AH318">
        <v>24.789842805448099</v>
      </c>
      <c r="AI318">
        <v>92.666570151371801</v>
      </c>
      <c r="AJ318">
        <v>90.3797833267638</v>
      </c>
      <c r="AK318">
        <v>24.817259790503702</v>
      </c>
      <c r="AL318">
        <v>88.114030639505899</v>
      </c>
      <c r="AM318">
        <v>96.419905286539901</v>
      </c>
      <c r="AN318">
        <v>0.99999996436019201</v>
      </c>
    </row>
    <row r="319" spans="1:40" x14ac:dyDescent="0.3">
      <c r="A319" t="str">
        <f>"20200111145921338"</f>
        <v>20200111145921338</v>
      </c>
      <c r="B319" t="str">
        <f>"1578725961326425"</f>
        <v>1578725961326425</v>
      </c>
      <c r="C319" t="s">
        <v>40</v>
      </c>
      <c r="D319">
        <v>4.0023970000000002</v>
      </c>
      <c r="E319">
        <v>0.56307940000000001</v>
      </c>
      <c r="F319" t="s">
        <v>43</v>
      </c>
      <c r="G319">
        <v>-432.7543</v>
      </c>
      <c r="H319">
        <v>-0.05</v>
      </c>
      <c r="I319">
        <v>367.13260000000002</v>
      </c>
      <c r="J319">
        <v>-457.28399999999999</v>
      </c>
      <c r="K319">
        <v>1.1046020000000001</v>
      </c>
      <c r="L319">
        <v>367.2002</v>
      </c>
      <c r="M319">
        <v>0.99990639999999997</v>
      </c>
      <c r="N319">
        <v>0</v>
      </c>
      <c r="O319">
        <v>-9.5678329999999995E-3</v>
      </c>
      <c r="P319">
        <v>0.99454359999999997</v>
      </c>
      <c r="Q319">
        <v>2.2595560000000001E-2</v>
      </c>
      <c r="R319">
        <v>0.1018459</v>
      </c>
      <c r="S319">
        <v>3.0206909999999998</v>
      </c>
      <c r="T319">
        <v>-0.14168439999999999</v>
      </c>
      <c r="U319">
        <v>-8.3618159999999993E-3</v>
      </c>
      <c r="V319">
        <v>-0.11136889999999899</v>
      </c>
      <c r="W319">
        <v>3.2280389999999999E-2</v>
      </c>
      <c r="X319">
        <v>0.99325469999999905</v>
      </c>
      <c r="Y319">
        <v>-6.7822369999999896E-3</v>
      </c>
      <c r="Z319">
        <v>6.0751480000000003E-4</v>
      </c>
      <c r="AA319">
        <v>0.9999768</v>
      </c>
      <c r="AB319">
        <v>11</v>
      </c>
      <c r="AC319">
        <v>24.529699999999899</v>
      </c>
      <c r="AD319">
        <v>-1.1546019999999999</v>
      </c>
      <c r="AE319">
        <v>-6.7599999999970295E-2</v>
      </c>
      <c r="AF319">
        <v>-0.166740973610736</v>
      </c>
      <c r="AG319">
        <v>-1.1546019999999999</v>
      </c>
      <c r="AH319">
        <v>24.474998921961301</v>
      </c>
      <c r="AI319">
        <v>92.700849195128001</v>
      </c>
      <c r="AJ319">
        <v>90.390333265854494</v>
      </c>
      <c r="AK319">
        <v>24.5027851592567</v>
      </c>
      <c r="AL319">
        <v>88.150148490191199</v>
      </c>
      <c r="AM319">
        <v>96.397580811130595</v>
      </c>
      <c r="AN319">
        <v>0.99999997726892498</v>
      </c>
    </row>
    <row r="320" spans="1:40" x14ac:dyDescent="0.3">
      <c r="A320" t="str">
        <f>"20200111145921350"</f>
        <v>20200111145921350</v>
      </c>
      <c r="B320" t="str">
        <f>"1578725961345942"</f>
        <v>1578725961345942</v>
      </c>
      <c r="C320" t="s">
        <v>40</v>
      </c>
      <c r="D320">
        <v>3.9686309999999998</v>
      </c>
      <c r="E320">
        <v>0.54999409999999904</v>
      </c>
      <c r="F320" t="s">
        <v>46</v>
      </c>
      <c r="G320">
        <v>0</v>
      </c>
      <c r="H320">
        <v>0</v>
      </c>
      <c r="I320">
        <v>0</v>
      </c>
      <c r="J320">
        <v>-457.21699999999998</v>
      </c>
      <c r="K320">
        <v>1.104609</v>
      </c>
      <c r="L320">
        <v>367.19979999999998</v>
      </c>
      <c r="M320">
        <v>0.99990849999999998</v>
      </c>
      <c r="N320">
        <v>0</v>
      </c>
      <c r="O320">
        <v>-9.3275370000000003E-3</v>
      </c>
      <c r="P320">
        <v>0.99453170000000002</v>
      </c>
      <c r="Q320">
        <v>2.246598E-2</v>
      </c>
      <c r="R320">
        <v>0.1019911</v>
      </c>
      <c r="S320">
        <v>3.0251769999999998</v>
      </c>
      <c r="T320">
        <v>0.50213269999999999</v>
      </c>
      <c r="U320">
        <v>-0.19726560000000001</v>
      </c>
      <c r="V320">
        <v>-0.1112756</v>
      </c>
      <c r="W320">
        <v>3.2150749999999999E-2</v>
      </c>
      <c r="X320">
        <v>0.99326939999999997</v>
      </c>
      <c r="Y320">
        <v>5.513473E-2</v>
      </c>
      <c r="Z320">
        <v>3.0038920000000002E-3</v>
      </c>
      <c r="AA320">
        <v>0.99847439999999998</v>
      </c>
      <c r="AB320">
        <v>11</v>
      </c>
      <c r="AC320">
        <v>3.0251769999999998</v>
      </c>
      <c r="AD320">
        <v>0.50213269999999999</v>
      </c>
      <c r="AE320">
        <v>-0.19726560000000001</v>
      </c>
      <c r="AF320">
        <v>0.164524607819097</v>
      </c>
      <c r="AG320">
        <v>0.50213269999999999</v>
      </c>
      <c r="AH320">
        <v>2.94606253395049</v>
      </c>
      <c r="AI320">
        <v>80.342109156840294</v>
      </c>
      <c r="AJ320">
        <v>86.803603384543393</v>
      </c>
      <c r="AK320">
        <v>2.99307367916898</v>
      </c>
      <c r="AL320">
        <v>88.157580243012703</v>
      </c>
      <c r="AM320">
        <v>96.392171759181295</v>
      </c>
      <c r="AN320">
        <v>1.0000000154286399</v>
      </c>
    </row>
    <row r="321" spans="1:40" x14ac:dyDescent="0.3">
      <c r="A321" t="str">
        <f>"20200111145921362"</f>
        <v>20200111145921362</v>
      </c>
      <c r="B321" t="str">
        <f>"1578725961355703"</f>
        <v>1578725961355703</v>
      </c>
      <c r="C321" t="s">
        <v>40</v>
      </c>
      <c r="D321">
        <v>4.0386920000000002</v>
      </c>
      <c r="E321">
        <v>0.54692929999999995</v>
      </c>
      <c r="F321" t="s">
        <v>44</v>
      </c>
      <c r="G321">
        <v>-158.19499999999999</v>
      </c>
      <c r="H321">
        <v>53.545020000000001</v>
      </c>
      <c r="I321">
        <v>357.98090000000002</v>
      </c>
      <c r="J321">
        <v>-457.15750000000003</v>
      </c>
      <c r="K321">
        <v>1.104617</v>
      </c>
      <c r="L321">
        <v>367.19959999999998</v>
      </c>
      <c r="M321">
        <v>0.99991070000000004</v>
      </c>
      <c r="N321">
        <v>0</v>
      </c>
      <c r="O321">
        <v>-9.1088349999999992E-3</v>
      </c>
      <c r="P321">
        <v>0.99451659999999997</v>
      </c>
      <c r="Q321">
        <v>2.2698909999999999E-2</v>
      </c>
      <c r="R321">
        <v>0.1020879</v>
      </c>
      <c r="S321">
        <v>3.0140989999999999</v>
      </c>
      <c r="T321">
        <v>0.52859259999999997</v>
      </c>
      <c r="U321">
        <v>-9.2926030000000007E-2</v>
      </c>
      <c r="V321">
        <v>-0.1111559</v>
      </c>
      <c r="W321">
        <v>3.2382849999999998E-2</v>
      </c>
      <c r="X321">
        <v>0.99327520000000002</v>
      </c>
      <c r="Y321">
        <v>2.1520359999999999E-2</v>
      </c>
      <c r="Z321">
        <v>2.8733779999999998E-4</v>
      </c>
      <c r="AA321">
        <v>0.9997684</v>
      </c>
      <c r="AB321">
        <v>11</v>
      </c>
      <c r="AC321">
        <v>298.96249999999998</v>
      </c>
      <c r="AD321">
        <v>52.440403000000003</v>
      </c>
      <c r="AE321">
        <v>-9.2186999999999504</v>
      </c>
      <c r="AF321">
        <v>6.3012934900428101</v>
      </c>
      <c r="AG321">
        <v>52.440403000000003</v>
      </c>
      <c r="AH321">
        <v>290.11626720712098</v>
      </c>
      <c r="AI321">
        <v>79.756412242588894</v>
      </c>
      <c r="AJ321">
        <v>88.755737593053297</v>
      </c>
      <c r="AK321">
        <v>294.88497870295703</v>
      </c>
      <c r="AL321">
        <v>88.144274848710197</v>
      </c>
      <c r="AM321">
        <v>96.3853154975737</v>
      </c>
      <c r="AN321">
        <v>0.99999995300698497</v>
      </c>
    </row>
    <row r="322" spans="1:40" x14ac:dyDescent="0.3">
      <c r="A322" t="str">
        <f>"20200111145921374"</f>
        <v>20200111145921374</v>
      </c>
      <c r="B322" t="str">
        <f>"1578725961366438"</f>
        <v>1578725961366438</v>
      </c>
      <c r="C322" t="s">
        <v>40</v>
      </c>
      <c r="D322">
        <v>4.0210900000000001</v>
      </c>
      <c r="E322">
        <v>0.54548809999999903</v>
      </c>
      <c r="F322" t="s">
        <v>43</v>
      </c>
      <c r="G322">
        <v>-436.35390000000001</v>
      </c>
      <c r="H322">
        <v>-0.05</v>
      </c>
      <c r="I322">
        <v>366.75240000000002</v>
      </c>
      <c r="J322">
        <v>-457.09500000000003</v>
      </c>
      <c r="K322">
        <v>1.1046229999999999</v>
      </c>
      <c r="L322">
        <v>367.19929999999999</v>
      </c>
      <c r="M322">
        <v>0.99991280000000005</v>
      </c>
      <c r="N322">
        <v>0</v>
      </c>
      <c r="O322">
        <v>-8.8667840000000008E-3</v>
      </c>
      <c r="P322">
        <v>0.99448110000000001</v>
      </c>
      <c r="Q322">
        <v>2.2691570000000001E-2</v>
      </c>
      <c r="R322">
        <v>0.1024325</v>
      </c>
      <c r="S322">
        <v>3.027069</v>
      </c>
      <c r="T322">
        <v>-0.16800470000000001</v>
      </c>
      <c r="U322">
        <v>-6.5063480000000007E-2</v>
      </c>
      <c r="V322">
        <v>-0.1112601</v>
      </c>
      <c r="W322">
        <v>3.2374750000000001E-2</v>
      </c>
      <c r="X322">
        <v>0.99326380000000003</v>
      </c>
      <c r="Y322">
        <v>1.2617150000000001E-2</v>
      </c>
      <c r="Z322">
        <v>1.4186409999999999E-4</v>
      </c>
      <c r="AA322">
        <v>0.99992040000000004</v>
      </c>
      <c r="AB322">
        <v>11</v>
      </c>
      <c r="AC322">
        <v>20.741099999999999</v>
      </c>
      <c r="AD322">
        <v>-1.154623</v>
      </c>
      <c r="AE322">
        <v>-0.44689999999997099</v>
      </c>
      <c r="AF322">
        <v>0.26215473781792198</v>
      </c>
      <c r="AG322">
        <v>-1.154623</v>
      </c>
      <c r="AH322">
        <v>20.6801898601157</v>
      </c>
      <c r="AI322">
        <v>93.195382379607494</v>
      </c>
      <c r="AJ322">
        <v>89.2737225498188</v>
      </c>
      <c r="AK322">
        <v>20.7140563876108</v>
      </c>
      <c r="AL322">
        <v>88.144739192343295</v>
      </c>
      <c r="AM322">
        <v>96.391324473463101</v>
      </c>
      <c r="AN322">
        <v>0.99999995534000496</v>
      </c>
    </row>
    <row r="323" spans="1:40" x14ac:dyDescent="0.3">
      <c r="A323" t="str">
        <f>"20200111145921386"</f>
        <v>20200111145921386</v>
      </c>
      <c r="B323" t="str">
        <f>"1578725961376198"</f>
        <v>1578725961376198</v>
      </c>
      <c r="C323" t="s">
        <v>40</v>
      </c>
      <c r="D323">
        <v>3.9452440000000002</v>
      </c>
      <c r="E323">
        <v>0.54424980000000001</v>
      </c>
      <c r="F323" t="s">
        <v>43</v>
      </c>
      <c r="G323">
        <v>-435.93759999999997</v>
      </c>
      <c r="H323">
        <v>-0.05</v>
      </c>
      <c r="I323">
        <v>366.8295</v>
      </c>
      <c r="J323">
        <v>-457.03440000000001</v>
      </c>
      <c r="K323">
        <v>1.1046229999999999</v>
      </c>
      <c r="L323">
        <v>367.19900000000001</v>
      </c>
      <c r="M323">
        <v>0.99991490000000005</v>
      </c>
      <c r="N323">
        <v>0</v>
      </c>
      <c r="O323">
        <v>-8.6277290000000006E-3</v>
      </c>
      <c r="P323">
        <v>0.99447390000000002</v>
      </c>
      <c r="Q323">
        <v>2.248182E-2</v>
      </c>
      <c r="R323">
        <v>0.10254870000000001</v>
      </c>
      <c r="S323">
        <v>3.0258790000000002</v>
      </c>
      <c r="T323">
        <v>-0.16513120000000001</v>
      </c>
      <c r="U323">
        <v>-5.2886959999999997E-2</v>
      </c>
      <c r="V323">
        <v>-0.11113870000000001</v>
      </c>
      <c r="W323">
        <v>3.2165520000000003E-2</v>
      </c>
      <c r="X323">
        <v>0.99328419999999895</v>
      </c>
      <c r="Y323">
        <v>8.8477450000000006E-3</v>
      </c>
      <c r="Z323">
        <v>2.292382E-4</v>
      </c>
      <c r="AA323">
        <v>0.99996079999999998</v>
      </c>
      <c r="AB323">
        <v>11</v>
      </c>
      <c r="AC323">
        <v>21.096800000000002</v>
      </c>
      <c r="AD323">
        <v>-1.154623</v>
      </c>
      <c r="AE323">
        <v>-0.36950000000001598</v>
      </c>
      <c r="AF323">
        <v>0.18690039773178599</v>
      </c>
      <c r="AG323">
        <v>-1.154623</v>
      </c>
      <c r="AH323">
        <v>21.0362113665404</v>
      </c>
      <c r="AI323">
        <v>93.141540411470999</v>
      </c>
      <c r="AJ323">
        <v>89.490957661783895</v>
      </c>
      <c r="AK323">
        <v>21.068703678408099</v>
      </c>
      <c r="AL323">
        <v>88.1567334564877</v>
      </c>
      <c r="AM323">
        <v>96.384278237967195</v>
      </c>
      <c r="AN323">
        <v>0.999999966642099</v>
      </c>
    </row>
    <row r="324" spans="1:40" x14ac:dyDescent="0.3">
      <c r="A324" t="str">
        <f>"20200111145921405"</f>
        <v>20200111145921405</v>
      </c>
      <c r="B324" t="str">
        <f>"1578725961395718"</f>
        <v>1578725961395718</v>
      </c>
      <c r="C324" t="s">
        <v>40</v>
      </c>
      <c r="D324">
        <v>4.031625</v>
      </c>
      <c r="E324">
        <v>0.54354799999999903</v>
      </c>
      <c r="F324" t="s">
        <v>43</v>
      </c>
      <c r="G324">
        <v>-435.78649999999999</v>
      </c>
      <c r="H324">
        <v>-0.05</v>
      </c>
      <c r="I324">
        <v>366.8974</v>
      </c>
      <c r="J324">
        <v>-456.93819999999999</v>
      </c>
      <c r="K324">
        <v>1.104625</v>
      </c>
      <c r="L324">
        <v>367.1986</v>
      </c>
      <c r="M324">
        <v>0.99991810000000003</v>
      </c>
      <c r="N324">
        <v>0</v>
      </c>
      <c r="O324">
        <v>-8.2377660000000005E-3</v>
      </c>
      <c r="P324">
        <v>0.99442180000000002</v>
      </c>
      <c r="Q324">
        <v>2.1771860000000001E-2</v>
      </c>
      <c r="R324">
        <v>0.10320559999999999</v>
      </c>
      <c r="S324">
        <v>3.0247799999999998</v>
      </c>
      <c r="T324">
        <v>-0.16436829999999999</v>
      </c>
      <c r="U324">
        <v>-4.2938230000000001E-2</v>
      </c>
      <c r="V324">
        <v>-0.1114079</v>
      </c>
      <c r="W324">
        <v>3.1455400000000001E-2</v>
      </c>
      <c r="X324">
        <v>0.99327679999999996</v>
      </c>
      <c r="Y324">
        <v>5.9596079999999999E-3</v>
      </c>
      <c r="Z324">
        <v>2.8550679999999999E-4</v>
      </c>
      <c r="AA324">
        <v>0.99998220000000004</v>
      </c>
      <c r="AB324">
        <v>11</v>
      </c>
      <c r="AC324">
        <v>21.151700000000002</v>
      </c>
      <c r="AD324">
        <v>-1.154625</v>
      </c>
      <c r="AE324">
        <v>-0.30119999999999397</v>
      </c>
      <c r="AF324">
        <v>0.12656161002566199</v>
      </c>
      <c r="AG324">
        <v>-1.154625</v>
      </c>
      <c r="AH324">
        <v>21.090629836321899</v>
      </c>
      <c r="AI324">
        <v>93.133523254758103</v>
      </c>
      <c r="AJ324">
        <v>89.656181009332997</v>
      </c>
      <c r="AK324">
        <v>21.122590835986699</v>
      </c>
      <c r="AL324">
        <v>88.197440966428502</v>
      </c>
      <c r="AM324">
        <v>96.3996613679045</v>
      </c>
      <c r="AN324">
        <v>0.99999998189490402</v>
      </c>
    </row>
    <row r="325" spans="1:40" x14ac:dyDescent="0.3">
      <c r="A325" t="str">
        <f>"20200111145921417"</f>
        <v>20200111145921417</v>
      </c>
      <c r="B325" t="str">
        <f>"1578725961406454"</f>
        <v>1578725961406454</v>
      </c>
      <c r="C325" t="s">
        <v>40</v>
      </c>
      <c r="D325">
        <v>4.0428259999999998</v>
      </c>
      <c r="E325">
        <v>0.54324640000000002</v>
      </c>
      <c r="F325" t="s">
        <v>43</v>
      </c>
      <c r="G325">
        <v>-436.53559999999999</v>
      </c>
      <c r="H325">
        <v>-0.05</v>
      </c>
      <c r="I325">
        <v>366.95979999999997</v>
      </c>
      <c r="J325">
        <v>-456.8741</v>
      </c>
      <c r="K325">
        <v>1.104627</v>
      </c>
      <c r="L325">
        <v>367.19839999999999</v>
      </c>
      <c r="M325">
        <v>0.99992029999999998</v>
      </c>
      <c r="N325">
        <v>0</v>
      </c>
      <c r="O325">
        <v>-7.9738380000000005E-3</v>
      </c>
      <c r="P325">
        <v>0.99436239999999998</v>
      </c>
      <c r="Q325">
        <v>2.15465E-2</v>
      </c>
      <c r="R325">
        <v>0.103824</v>
      </c>
      <c r="S325">
        <v>3.024292</v>
      </c>
      <c r="T325">
        <v>-0.171151</v>
      </c>
      <c r="U325">
        <v>-3.5400389999999997E-2</v>
      </c>
      <c r="V325">
        <v>-0.1117639</v>
      </c>
      <c r="W325">
        <v>3.1229969999999999E-2</v>
      </c>
      <c r="X325">
        <v>0.99324389999999996</v>
      </c>
      <c r="Y325">
        <v>3.737279E-3</v>
      </c>
      <c r="Z325">
        <v>3.4523069999999999E-4</v>
      </c>
      <c r="AA325">
        <v>0.99999300000000002</v>
      </c>
      <c r="AB325">
        <v>11</v>
      </c>
      <c r="AC325">
        <v>20.3385</v>
      </c>
      <c r="AD325">
        <v>-1.1546270000000001</v>
      </c>
      <c r="AE325">
        <v>-0.23860000000001899</v>
      </c>
      <c r="AF325">
        <v>7.61633076862957E-2</v>
      </c>
      <c r="AG325">
        <v>-1.1546270000000001</v>
      </c>
      <c r="AH325">
        <v>20.274422737440201</v>
      </c>
      <c r="AI325">
        <v>93.259447043650198</v>
      </c>
      <c r="AJ325">
        <v>89.784762525024803</v>
      </c>
      <c r="AK325">
        <v>20.307416913408801</v>
      </c>
      <c r="AL325">
        <v>88.210363468650698</v>
      </c>
      <c r="AM325">
        <v>96.420151668427494</v>
      </c>
      <c r="AN325">
        <v>0.99999996262830904</v>
      </c>
    </row>
    <row r="326" spans="1:40" x14ac:dyDescent="0.3">
      <c r="A326" t="str">
        <f>"20200111145921429"</f>
        <v>20200111145921429</v>
      </c>
      <c r="B326" t="str">
        <f>"1578725961425973"</f>
        <v>1578725961425973</v>
      </c>
      <c r="C326" t="s">
        <v>40</v>
      </c>
      <c r="D326">
        <v>4.0435239999999997</v>
      </c>
      <c r="E326">
        <v>0.54431980000000002</v>
      </c>
      <c r="F326" t="s">
        <v>43</v>
      </c>
      <c r="G326">
        <v>-437.24380000000002</v>
      </c>
      <c r="H326">
        <v>-0.05</v>
      </c>
      <c r="I326">
        <v>366.99799999999999</v>
      </c>
      <c r="J326">
        <v>-456.81529999999998</v>
      </c>
      <c r="K326">
        <v>1.104622</v>
      </c>
      <c r="L326">
        <v>367.19819999999999</v>
      </c>
      <c r="M326">
        <v>0.99992219999999998</v>
      </c>
      <c r="N326">
        <v>0</v>
      </c>
      <c r="O326">
        <v>-7.7288779999999998E-3</v>
      </c>
      <c r="P326">
        <v>0.99428550000000004</v>
      </c>
      <c r="Q326">
        <v>2.1436839999999999E-2</v>
      </c>
      <c r="R326">
        <v>0.10457859999999999</v>
      </c>
      <c r="S326">
        <v>3.0240779999999998</v>
      </c>
      <c r="T326">
        <v>-0.17787210000000001</v>
      </c>
      <c r="U326">
        <v>-3.0883790000000001E-2</v>
      </c>
      <c r="V326">
        <v>-0.11227380000000001</v>
      </c>
      <c r="W326">
        <v>3.1119399999999998E-2</v>
      </c>
      <c r="X326">
        <v>0.99318989999999996</v>
      </c>
      <c r="Y326">
        <v>2.4919959999999998E-3</v>
      </c>
      <c r="Z326">
        <v>3.8098880000000002E-4</v>
      </c>
      <c r="AA326">
        <v>0.99999680000000002</v>
      </c>
      <c r="AB326">
        <v>11</v>
      </c>
      <c r="AC326">
        <v>19.571499999999901</v>
      </c>
      <c r="AD326">
        <v>-1.154622</v>
      </c>
      <c r="AE326">
        <v>-0.20019999999993801</v>
      </c>
      <c r="AF326">
        <v>4.87513760402788E-2</v>
      </c>
      <c r="AG326">
        <v>-1.154622</v>
      </c>
      <c r="AH326">
        <v>19.504585760483501</v>
      </c>
      <c r="AI326">
        <v>93.387800592244702</v>
      </c>
      <c r="AJ326">
        <v>89.856790484554395</v>
      </c>
      <c r="AK326">
        <v>19.538792039110501</v>
      </c>
      <c r="AL326">
        <v>88.216701811218798</v>
      </c>
      <c r="AM326">
        <v>96.449543768031504</v>
      </c>
      <c r="AN326">
        <v>1.0000000003424001</v>
      </c>
    </row>
    <row r="327" spans="1:40" x14ac:dyDescent="0.3">
      <c r="A327" t="str">
        <f>"20200111145921442"</f>
        <v>20200111145921442</v>
      </c>
      <c r="B327" t="str">
        <f>"1578725961435734"</f>
        <v>1578725961435734</v>
      </c>
      <c r="C327" t="s">
        <v>40</v>
      </c>
      <c r="D327">
        <v>4.0007890000000002</v>
      </c>
      <c r="E327">
        <v>0.54399960000000003</v>
      </c>
      <c r="F327" t="s">
        <v>43</v>
      </c>
      <c r="G327">
        <v>-435.7371</v>
      </c>
      <c r="H327">
        <v>-0.05</v>
      </c>
      <c r="I327">
        <v>366.93860000000001</v>
      </c>
      <c r="J327">
        <v>-456.74740000000003</v>
      </c>
      <c r="K327">
        <v>1.1046180000000001</v>
      </c>
      <c r="L327">
        <v>367.19799999999998</v>
      </c>
      <c r="M327">
        <v>0.99992440000000005</v>
      </c>
      <c r="N327">
        <v>0</v>
      </c>
      <c r="O327">
        <v>-7.4458939999999998E-3</v>
      </c>
      <c r="P327">
        <v>0.99419190000000002</v>
      </c>
      <c r="Q327">
        <v>2.128217E-2</v>
      </c>
      <c r="R327">
        <v>0.1054968</v>
      </c>
      <c r="S327">
        <v>3.0247190000000002</v>
      </c>
      <c r="T327">
        <v>-0.1656879</v>
      </c>
      <c r="U327">
        <v>-3.7261959999999997E-2</v>
      </c>
      <c r="V327">
        <v>-0.11291</v>
      </c>
      <c r="W327">
        <v>3.0961160000000001E-2</v>
      </c>
      <c r="X327">
        <v>0.99312279999999997</v>
      </c>
      <c r="Y327">
        <v>4.8760390000000004E-3</v>
      </c>
      <c r="Z327">
        <v>2.7411729999999999E-4</v>
      </c>
      <c r="AA327">
        <v>0.99998810000000005</v>
      </c>
      <c r="AB327">
        <v>11</v>
      </c>
      <c r="AC327">
        <v>21.010300000000001</v>
      </c>
      <c r="AD327">
        <v>-1.1546179999999999</v>
      </c>
      <c r="AE327">
        <v>-0.259400000000027</v>
      </c>
      <c r="AF327">
        <v>0.10263493742671401</v>
      </c>
      <c r="AG327">
        <v>-1.1546179999999999</v>
      </c>
      <c r="AH327">
        <v>20.948393809690799</v>
      </c>
      <c r="AI327">
        <v>93.154756324302994</v>
      </c>
      <c r="AJ327">
        <v>89.719286273380703</v>
      </c>
      <c r="AK327">
        <v>20.9804404115404</v>
      </c>
      <c r="AL327">
        <v>88.225772805384295</v>
      </c>
      <c r="AM327">
        <v>96.486214077604799</v>
      </c>
      <c r="AN327">
        <v>1.0000000787041801</v>
      </c>
    </row>
    <row r="328" spans="1:40" x14ac:dyDescent="0.3">
      <c r="A328" t="str">
        <f>"20200111145921463"</f>
        <v>20200111145921463</v>
      </c>
      <c r="B328" t="str">
        <f>"1578725961456230"</f>
        <v>1578725961456230</v>
      </c>
      <c r="C328" t="s">
        <v>40</v>
      </c>
      <c r="D328">
        <v>4.3326079999999996</v>
      </c>
      <c r="E328">
        <v>0.54438409999999904</v>
      </c>
      <c r="F328" t="s">
        <v>43</v>
      </c>
      <c r="G328">
        <v>-436.03140000000002</v>
      </c>
      <c r="H328">
        <v>-0.05</v>
      </c>
      <c r="I328">
        <v>366.9794</v>
      </c>
      <c r="J328">
        <v>-456.6447</v>
      </c>
      <c r="K328">
        <v>1.1046020000000001</v>
      </c>
      <c r="L328">
        <v>367.19779999999997</v>
      </c>
      <c r="M328">
        <v>0.99992760000000003</v>
      </c>
      <c r="N328">
        <v>0</v>
      </c>
      <c r="O328">
        <v>-7.0154220000000003E-3</v>
      </c>
      <c r="P328">
        <v>0.99398580000000003</v>
      </c>
      <c r="Q328">
        <v>2.1367810000000001E-2</v>
      </c>
      <c r="R328">
        <v>0.1074055</v>
      </c>
      <c r="S328">
        <v>3.0245359999999999</v>
      </c>
      <c r="T328">
        <v>-0.168574</v>
      </c>
      <c r="U328">
        <v>-3.1921390000000001E-2</v>
      </c>
      <c r="V328">
        <v>-0.114389</v>
      </c>
      <c r="W328">
        <v>3.1027889999999999E-2</v>
      </c>
      <c r="X328">
        <v>0.99295140000000004</v>
      </c>
      <c r="Y328">
        <v>3.5433169999999998E-3</v>
      </c>
      <c r="Z328">
        <v>2.920415E-4</v>
      </c>
      <c r="AA328">
        <v>0.99999369999999999</v>
      </c>
      <c r="AB328">
        <v>12</v>
      </c>
      <c r="AC328">
        <v>20.613299999999899</v>
      </c>
      <c r="AD328">
        <v>-1.1546019999999999</v>
      </c>
      <c r="AE328">
        <v>-0.218399999999974</v>
      </c>
      <c r="AF328">
        <v>7.3545998209171196E-2</v>
      </c>
      <c r="AG328">
        <v>-1.1546019999999999</v>
      </c>
      <c r="AH328">
        <v>20.549859090709202</v>
      </c>
      <c r="AI328">
        <v>93.215784551685701</v>
      </c>
      <c r="AJ328">
        <v>89.794944710434606</v>
      </c>
      <c r="AK328">
        <v>20.5824008181811</v>
      </c>
      <c r="AL328">
        <v>88.221947530376895</v>
      </c>
      <c r="AM328">
        <v>96.571562604184805</v>
      </c>
      <c r="AN328">
        <v>1.0000000280204</v>
      </c>
    </row>
    <row r="329" spans="1:40" x14ac:dyDescent="0.3">
      <c r="A329" t="str">
        <f>"20200111145921474"</f>
        <v>20200111145921474</v>
      </c>
      <c r="B329" t="str">
        <f>"1578725961465989"</f>
        <v>1578725961465989</v>
      </c>
      <c r="C329" t="s">
        <v>40</v>
      </c>
      <c r="D329">
        <v>4.0395849999999998</v>
      </c>
      <c r="E329">
        <v>0.5439638</v>
      </c>
      <c r="F329" t="s">
        <v>43</v>
      </c>
      <c r="G329">
        <v>-436.23849999999999</v>
      </c>
      <c r="H329">
        <v>-0.05</v>
      </c>
      <c r="I329">
        <v>367.00119999999998</v>
      </c>
      <c r="J329">
        <v>-456.57530000000003</v>
      </c>
      <c r="K329">
        <v>1.104589</v>
      </c>
      <c r="L329">
        <v>367.1977</v>
      </c>
      <c r="M329">
        <v>0.99992999999999999</v>
      </c>
      <c r="N329">
        <v>0</v>
      </c>
      <c r="O329">
        <v>-6.7261609999999996E-3</v>
      </c>
      <c r="P329">
        <v>0.99389760000000005</v>
      </c>
      <c r="Q329">
        <v>2.1318380000000001E-2</v>
      </c>
      <c r="R329">
        <v>0.10822710000000001</v>
      </c>
      <c r="S329">
        <v>3.0250240000000002</v>
      </c>
      <c r="T329">
        <v>-0.17115900000000001</v>
      </c>
      <c r="U329">
        <v>-2.914429E-2</v>
      </c>
      <c r="V329">
        <v>-0.11492239999999999</v>
      </c>
      <c r="W329">
        <v>3.0953060000000001E-2</v>
      </c>
      <c r="X329">
        <v>0.99289210000000006</v>
      </c>
      <c r="Y329">
        <v>2.913662E-3</v>
      </c>
      <c r="Z329">
        <v>2.9791179999999999E-4</v>
      </c>
      <c r="AA329">
        <v>0.99999570000000004</v>
      </c>
      <c r="AB329">
        <v>12</v>
      </c>
      <c r="AC329">
        <v>20.3368</v>
      </c>
      <c r="AD329">
        <v>-1.1545889999999901</v>
      </c>
      <c r="AE329">
        <v>-0.196500000000014</v>
      </c>
      <c r="AF329">
        <v>5.9508690926626501E-2</v>
      </c>
      <c r="AG329">
        <v>-1.1545889999999901</v>
      </c>
      <c r="AH329">
        <v>20.272325660812001</v>
      </c>
      <c r="AI329">
        <v>93.259685376373696</v>
      </c>
      <c r="AJ329">
        <v>89.831810760240302</v>
      </c>
      <c r="AK329">
        <v>20.305265443752099</v>
      </c>
      <c r="AL329">
        <v>88.226236959381794</v>
      </c>
      <c r="AM329">
        <v>96.602326956777304</v>
      </c>
      <c r="AN329">
        <v>0.99999998609376595</v>
      </c>
    </row>
    <row r="330" spans="1:40" x14ac:dyDescent="0.3">
      <c r="A330" t="str">
        <f>"20200111145921487"</f>
        <v>20200111145921487</v>
      </c>
      <c r="B330" t="str">
        <f>"1578725961475750"</f>
        <v>1578725961475750</v>
      </c>
      <c r="C330" t="s">
        <v>40</v>
      </c>
      <c r="D330">
        <v>4.0158420000000001</v>
      </c>
      <c r="E330">
        <v>0.54346079999999997</v>
      </c>
      <c r="F330" t="s">
        <v>43</v>
      </c>
      <c r="G330">
        <v>-436.34399999999999</v>
      </c>
      <c r="H330">
        <v>-0.05</v>
      </c>
      <c r="I330">
        <v>367.0421</v>
      </c>
      <c r="J330">
        <v>-456.5147</v>
      </c>
      <c r="K330">
        <v>1.104576</v>
      </c>
      <c r="L330">
        <v>367.19760000000002</v>
      </c>
      <c r="M330">
        <v>0.99993189999999998</v>
      </c>
      <c r="N330">
        <v>0</v>
      </c>
      <c r="O330">
        <v>-6.4741769999999898E-3</v>
      </c>
      <c r="P330">
        <v>0.99384159999999999</v>
      </c>
      <c r="Q330">
        <v>2.109917E-2</v>
      </c>
      <c r="R330">
        <v>0.10878359999999999</v>
      </c>
      <c r="S330">
        <v>3.0246279999999999</v>
      </c>
      <c r="T330">
        <v>-0.17261399999999999</v>
      </c>
      <c r="U330">
        <v>-2.325439E-2</v>
      </c>
      <c r="V330">
        <v>-0.1152281</v>
      </c>
      <c r="W330">
        <v>3.0702839999999999E-2</v>
      </c>
      <c r="X330">
        <v>0.99286439999999998</v>
      </c>
      <c r="Y330">
        <v>1.2222159999999999E-3</v>
      </c>
      <c r="Z330">
        <v>3.343388E-4</v>
      </c>
      <c r="AA330">
        <v>0.99999919999999998</v>
      </c>
      <c r="AB330">
        <v>12</v>
      </c>
      <c r="AC330">
        <v>20.1707</v>
      </c>
      <c r="AD330">
        <v>-1.154576</v>
      </c>
      <c r="AE330">
        <v>-0.15550000000001701</v>
      </c>
      <c r="AF330">
        <v>2.4820583856540498E-2</v>
      </c>
      <c r="AG330">
        <v>-1.154576</v>
      </c>
      <c r="AH330">
        <v>20.105413608756599</v>
      </c>
      <c r="AI330">
        <v>93.2866624058084</v>
      </c>
      <c r="AJ330">
        <v>89.9292671115725</v>
      </c>
      <c r="AK330">
        <v>20.1385530309487</v>
      </c>
      <c r="AL330">
        <v>88.240580260020906</v>
      </c>
      <c r="AM330">
        <v>96.619916890502907</v>
      </c>
      <c r="AN330">
        <v>0.99999994810051596</v>
      </c>
    </row>
    <row r="331" spans="1:40" x14ac:dyDescent="0.3">
      <c r="A331" t="str">
        <f>"20200111145921506"</f>
        <v>20200111145921506</v>
      </c>
      <c r="B331" t="str">
        <f>"1578725961496245"</f>
        <v>1578725961496245</v>
      </c>
      <c r="C331" t="s">
        <v>40</v>
      </c>
      <c r="D331">
        <v>4.0385289999999996</v>
      </c>
      <c r="E331">
        <v>0.54249289999999994</v>
      </c>
      <c r="F331" t="s">
        <v>43</v>
      </c>
      <c r="G331">
        <v>-436.12060000000002</v>
      </c>
      <c r="H331">
        <v>-0.05</v>
      </c>
      <c r="I331">
        <v>367.07839999999999</v>
      </c>
      <c r="J331">
        <v>-456.41739999999999</v>
      </c>
      <c r="K331">
        <v>1.1045499999999999</v>
      </c>
      <c r="L331">
        <v>367.19740000000002</v>
      </c>
      <c r="M331">
        <v>0.99993520000000002</v>
      </c>
      <c r="N331">
        <v>0</v>
      </c>
      <c r="O331">
        <v>-6.0719469999999899E-3</v>
      </c>
      <c r="P331">
        <v>0.9937395</v>
      </c>
      <c r="Q331">
        <v>2.1230720000000002E-2</v>
      </c>
      <c r="R331">
        <v>0.1096881</v>
      </c>
      <c r="S331">
        <v>3.0241389999999999</v>
      </c>
      <c r="T331">
        <v>-0.1712062</v>
      </c>
      <c r="U331">
        <v>-1.766968E-2</v>
      </c>
      <c r="V331">
        <v>-0.1157316</v>
      </c>
      <c r="W331">
        <v>3.0763370000000002E-2</v>
      </c>
      <c r="X331">
        <v>0.99280400000000002</v>
      </c>
      <c r="Y331">
        <v>-2.1938010000000001E-4</v>
      </c>
      <c r="Z331">
        <v>3.4969219999999999E-4</v>
      </c>
      <c r="AA331">
        <v>0.99999990000000005</v>
      </c>
      <c r="AB331">
        <v>12</v>
      </c>
      <c r="AC331">
        <v>20.296799999999902</v>
      </c>
      <c r="AD331">
        <v>-1.15455</v>
      </c>
      <c r="AE331">
        <v>-0.119000000000028</v>
      </c>
      <c r="AF331">
        <v>-4.2352983233836603E-3</v>
      </c>
      <c r="AG331">
        <v>-1.15455</v>
      </c>
      <c r="AH331">
        <v>20.231686665835401</v>
      </c>
      <c r="AI331">
        <v>93.2661227626418</v>
      </c>
      <c r="AJ331">
        <v>90.011994289916203</v>
      </c>
      <c r="AK331">
        <v>20.264603351282101</v>
      </c>
      <c r="AL331">
        <v>88.237110572876304</v>
      </c>
      <c r="AM331">
        <v>96.6489856899085</v>
      </c>
      <c r="AN331">
        <v>0.99999998529415801</v>
      </c>
    </row>
    <row r="332" spans="1:40" x14ac:dyDescent="0.3">
      <c r="A332" t="str">
        <f>"20200111145921518"</f>
        <v>20200111145921518</v>
      </c>
      <c r="B332" t="str">
        <f>"1578725961515766"</f>
        <v>1578725961515766</v>
      </c>
      <c r="C332" t="s">
        <v>40</v>
      </c>
      <c r="D332">
        <v>4.0724600000000004</v>
      </c>
      <c r="E332">
        <v>0.54168850000000002</v>
      </c>
      <c r="F332" t="s">
        <v>43</v>
      </c>
      <c r="G332">
        <v>-435.8802</v>
      </c>
      <c r="H332">
        <v>-0.05</v>
      </c>
      <c r="I332">
        <v>367.14949999999999</v>
      </c>
      <c r="J332">
        <v>-456.34890000000001</v>
      </c>
      <c r="K332">
        <v>1.1045370000000001</v>
      </c>
      <c r="L332">
        <v>367.19729999999998</v>
      </c>
      <c r="M332">
        <v>0.99993750000000003</v>
      </c>
      <c r="N332">
        <v>0</v>
      </c>
      <c r="O332">
        <v>-5.7906969999999896E-3</v>
      </c>
      <c r="P332">
        <v>0.99369779999999996</v>
      </c>
      <c r="Q332">
        <v>2.1348820000000001E-2</v>
      </c>
      <c r="R332">
        <v>0.1100406</v>
      </c>
      <c r="S332">
        <v>3.0233150000000002</v>
      </c>
      <c r="T332">
        <v>-0.1699628</v>
      </c>
      <c r="U332">
        <v>-7.0495610000000002E-3</v>
      </c>
      <c r="V332">
        <v>-0.1158044</v>
      </c>
      <c r="W332">
        <v>3.0812929999999999E-2</v>
      </c>
      <c r="X332">
        <v>0.99279399999999995</v>
      </c>
      <c r="Y332">
        <v>-3.4446780000000001E-3</v>
      </c>
      <c r="Z332">
        <v>4.2204219999999998E-4</v>
      </c>
      <c r="AA332">
        <v>0.99999400000000005</v>
      </c>
      <c r="AB332">
        <v>12</v>
      </c>
      <c r="AC332">
        <v>20.468699999999998</v>
      </c>
      <c r="AD332">
        <v>-1.1545369999999999</v>
      </c>
      <c r="AE332">
        <v>-4.7799999999995103E-2</v>
      </c>
      <c r="AF332">
        <v>-7.0509934257053999E-2</v>
      </c>
      <c r="AG332">
        <v>-1.1545369999999999</v>
      </c>
      <c r="AH332">
        <v>20.403719028091899</v>
      </c>
      <c r="AI332">
        <v>93.238587957542094</v>
      </c>
      <c r="AJ332">
        <v>90.197998490347004</v>
      </c>
      <c r="AK332">
        <v>20.436479087957402</v>
      </c>
      <c r="AL332">
        <v>88.234269692748001</v>
      </c>
      <c r="AM332">
        <v>96.653197108576506</v>
      </c>
      <c r="AN332">
        <v>1.00000001107527</v>
      </c>
    </row>
    <row r="333" spans="1:40" x14ac:dyDescent="0.3">
      <c r="A333" t="str">
        <f>"20200111145921531"</f>
        <v>20200111145921531</v>
      </c>
      <c r="B333" t="str">
        <f>"1578725961526502"</f>
        <v>1578725961526502</v>
      </c>
      <c r="C333" t="s">
        <v>40</v>
      </c>
      <c r="D333">
        <v>4.0775169999999896</v>
      </c>
      <c r="E333">
        <v>0.5414776</v>
      </c>
      <c r="F333" t="s">
        <v>43</v>
      </c>
      <c r="G333">
        <v>-436.40879999999999</v>
      </c>
      <c r="H333">
        <v>-0.05</v>
      </c>
      <c r="I333">
        <v>367.19830000000002</v>
      </c>
      <c r="J333">
        <v>-456.28609999999998</v>
      </c>
      <c r="K333">
        <v>1.104519</v>
      </c>
      <c r="L333">
        <v>367.19729999999998</v>
      </c>
      <c r="M333">
        <v>0.99993980000000005</v>
      </c>
      <c r="N333">
        <v>0</v>
      </c>
      <c r="O333">
        <v>-5.5357039999999998E-3</v>
      </c>
      <c r="P333">
        <v>0.99364669999999999</v>
      </c>
      <c r="Q333">
        <v>2.1387650000000001E-2</v>
      </c>
      <c r="R333">
        <v>0.11049440000000001</v>
      </c>
      <c r="S333">
        <v>3.0227360000000001</v>
      </c>
      <c r="T333">
        <v>-0.1750178</v>
      </c>
      <c r="U333">
        <v>1.5258789999999999E-4</v>
      </c>
      <c r="V333">
        <v>-0.1160043</v>
      </c>
      <c r="W333">
        <v>3.0767180000000002E-2</v>
      </c>
      <c r="X333">
        <v>0.99277199999999999</v>
      </c>
      <c r="Y333">
        <v>-5.5678350000000001E-3</v>
      </c>
      <c r="Z333">
        <v>4.8132010000000001E-4</v>
      </c>
      <c r="AA333">
        <v>0.9999844</v>
      </c>
      <c r="AB333">
        <v>12</v>
      </c>
      <c r="AC333">
        <v>19.877299999999899</v>
      </c>
      <c r="AD333">
        <v>-1.1545190000000001</v>
      </c>
      <c r="AE333">
        <v>1.0000000000331901E-3</v>
      </c>
      <c r="AF333">
        <v>-0.110666433126897</v>
      </c>
      <c r="AG333">
        <v>-1.1545190000000001</v>
      </c>
      <c r="AH333">
        <v>19.810159275695199</v>
      </c>
      <c r="AI333">
        <v>93.335323957248704</v>
      </c>
      <c r="AJ333">
        <v>90.320070803372403</v>
      </c>
      <c r="AK333">
        <v>19.844081528485901</v>
      </c>
      <c r="AL333">
        <v>88.236892075903398</v>
      </c>
      <c r="AM333">
        <v>96.664724903208807</v>
      </c>
      <c r="AN333">
        <v>0.99999993048381797</v>
      </c>
    </row>
    <row r="334" spans="1:40" x14ac:dyDescent="0.3">
      <c r="A334" t="str">
        <f>"20200111145921549"</f>
        <v>20200111145921549</v>
      </c>
      <c r="B334" t="str">
        <f>"1578725961546023"</f>
        <v>1578725961546023</v>
      </c>
      <c r="C334" t="s">
        <v>40</v>
      </c>
      <c r="D334">
        <v>4.1054599999999999</v>
      </c>
      <c r="E334">
        <v>0.54118739999999999</v>
      </c>
      <c r="F334" t="s">
        <v>43</v>
      </c>
      <c r="G334">
        <v>-436.1739</v>
      </c>
      <c r="H334">
        <v>-0.05</v>
      </c>
      <c r="I334">
        <v>367.21879999999999</v>
      </c>
      <c r="J334">
        <v>-456.18779999999998</v>
      </c>
      <c r="K334">
        <v>1.10449</v>
      </c>
      <c r="L334">
        <v>367.19720000000001</v>
      </c>
      <c r="M334">
        <v>0.99994329999999998</v>
      </c>
      <c r="N334">
        <v>0</v>
      </c>
      <c r="O334">
        <v>-5.1386629999999999E-3</v>
      </c>
      <c r="P334">
        <v>0.99357899999999999</v>
      </c>
      <c r="Q334">
        <v>2.2119949999999999E-2</v>
      </c>
      <c r="R334">
        <v>0.110958399999999</v>
      </c>
      <c r="S334">
        <v>3.0225520000000001</v>
      </c>
      <c r="T334">
        <v>-0.17350599999999999</v>
      </c>
      <c r="U334">
        <v>3.2348630000000001E-3</v>
      </c>
      <c r="V334">
        <v>-0.1160737</v>
      </c>
      <c r="W334">
        <v>3.134435E-2</v>
      </c>
      <c r="X334">
        <v>0.99274589999999996</v>
      </c>
      <c r="Y334">
        <v>-6.1904610000000004E-3</v>
      </c>
      <c r="Z334">
        <v>4.7228E-4</v>
      </c>
      <c r="AA334">
        <v>0.99998069999999895</v>
      </c>
      <c r="AB334">
        <v>12</v>
      </c>
      <c r="AC334">
        <v>20.0138999999999</v>
      </c>
      <c r="AD334">
        <v>-1.15449</v>
      </c>
      <c r="AE334">
        <v>2.1599999999978001E-2</v>
      </c>
      <c r="AF334">
        <v>-0.12403614708265399</v>
      </c>
      <c r="AG334">
        <v>-1.15449</v>
      </c>
      <c r="AH334">
        <v>19.947150844021099</v>
      </c>
      <c r="AI334">
        <v>93.312373702839807</v>
      </c>
      <c r="AJ334">
        <v>90.356274246629198</v>
      </c>
      <c r="AK334">
        <v>19.980917369330498</v>
      </c>
      <c r="AL334">
        <v>88.203806829048801</v>
      </c>
      <c r="AM334">
        <v>96.668849943632495</v>
      </c>
      <c r="AN334">
        <v>0.99999999703771103</v>
      </c>
    </row>
    <row r="335" spans="1:40" x14ac:dyDescent="0.3">
      <c r="A335" t="str">
        <f>"20200111145921561"</f>
        <v>20200111145921561</v>
      </c>
      <c r="B335" t="str">
        <f>"1578725961555783"</f>
        <v>1578725961555783</v>
      </c>
      <c r="C335" t="s">
        <v>40</v>
      </c>
      <c r="D335">
        <v>4.0603369999999996</v>
      </c>
      <c r="E335">
        <v>0.54123290000000002</v>
      </c>
      <c r="F335" t="s">
        <v>43</v>
      </c>
      <c r="G335">
        <v>-435.54349999999999</v>
      </c>
      <c r="H335">
        <v>-0.05</v>
      </c>
      <c r="I335">
        <v>367.2457</v>
      </c>
      <c r="J335">
        <v>-456.12400000000002</v>
      </c>
      <c r="K335">
        <v>1.104468</v>
      </c>
      <c r="L335">
        <v>367.19709999999998</v>
      </c>
      <c r="M335">
        <v>0.99994570000000005</v>
      </c>
      <c r="N335">
        <v>0</v>
      </c>
      <c r="O335">
        <v>-4.8821050000000003E-3</v>
      </c>
      <c r="P335">
        <v>0.99356129999999998</v>
      </c>
      <c r="Q335">
        <v>2.2499269999999998E-2</v>
      </c>
      <c r="R335">
        <v>0.1110411</v>
      </c>
      <c r="S335">
        <v>3.0223080000000002</v>
      </c>
      <c r="T335">
        <v>-0.1690159</v>
      </c>
      <c r="U335">
        <v>7.1105959999999899E-3</v>
      </c>
      <c r="V335">
        <v>-0.1159014</v>
      </c>
      <c r="W335">
        <v>3.1610289999999999E-2</v>
      </c>
      <c r="X335">
        <v>0.99275760000000002</v>
      </c>
      <c r="Y335">
        <v>-7.2160640000000003E-3</v>
      </c>
      <c r="Z335">
        <v>4.7443179999999999E-4</v>
      </c>
      <c r="AA335">
        <v>0.99997380000000002</v>
      </c>
      <c r="AB335">
        <v>12</v>
      </c>
      <c r="AC335">
        <v>20.580500000000001</v>
      </c>
      <c r="AD335">
        <v>-1.154468</v>
      </c>
      <c r="AE335">
        <v>4.8600000000021702E-2</v>
      </c>
      <c r="AF335">
        <v>-0.14861220947932399</v>
      </c>
      <c r="AG335">
        <v>-1.154468</v>
      </c>
      <c r="AH335">
        <v>20.515462287704501</v>
      </c>
      <c r="AI335">
        <v>93.220728089622696</v>
      </c>
      <c r="AJ335">
        <v>90.415038342089701</v>
      </c>
      <c r="AK335">
        <v>20.548456750570299</v>
      </c>
      <c r="AL335">
        <v>88.188562037980901</v>
      </c>
      <c r="AM335">
        <v>96.658961884946095</v>
      </c>
      <c r="AN335">
        <v>0.999999998656802</v>
      </c>
    </row>
    <row r="336" spans="1:40" x14ac:dyDescent="0.3">
      <c r="A336" t="str">
        <f>"20200111145921573"</f>
        <v>20200111145921573</v>
      </c>
      <c r="B336" t="str">
        <f>"1578725961566518"</f>
        <v>1578725961566518</v>
      </c>
      <c r="C336" t="s">
        <v>40</v>
      </c>
      <c r="D336">
        <v>4.0833309999999896</v>
      </c>
      <c r="E336">
        <v>0.54121759999999997</v>
      </c>
      <c r="F336" t="s">
        <v>43</v>
      </c>
      <c r="G336">
        <v>-435.3972</v>
      </c>
      <c r="H336">
        <v>-0.05</v>
      </c>
      <c r="I336">
        <v>367.2448</v>
      </c>
      <c r="J336">
        <v>-456.0582</v>
      </c>
      <c r="K336">
        <v>1.1044430000000001</v>
      </c>
      <c r="L336">
        <v>367.19709999999998</v>
      </c>
      <c r="M336">
        <v>0.99994830000000001</v>
      </c>
      <c r="N336">
        <v>0</v>
      </c>
      <c r="O336">
        <v>-4.6193739999999999E-3</v>
      </c>
      <c r="P336">
        <v>0.99357189999999995</v>
      </c>
      <c r="Q336">
        <v>2.28135E-2</v>
      </c>
      <c r="R336">
        <v>0.11088249999999999</v>
      </c>
      <c r="S336">
        <v>3.022491</v>
      </c>
      <c r="T336">
        <v>-0.16835</v>
      </c>
      <c r="U336">
        <v>6.9580079999999999E-3</v>
      </c>
      <c r="V336">
        <v>-0.11548269999999999</v>
      </c>
      <c r="W336">
        <v>3.1789980000000002E-2</v>
      </c>
      <c r="X336">
        <v>0.99280069999999998</v>
      </c>
      <c r="Y336">
        <v>-6.9037359999999997E-3</v>
      </c>
      <c r="Z336">
        <v>4.4922229999999998E-4</v>
      </c>
      <c r="AA336">
        <v>0.99997599999999998</v>
      </c>
      <c r="AB336">
        <v>12</v>
      </c>
      <c r="AC336">
        <v>20.660999999999898</v>
      </c>
      <c r="AD336">
        <v>-1.1544430000000001</v>
      </c>
      <c r="AE336">
        <v>4.7700000000020198E-2</v>
      </c>
      <c r="AF336">
        <v>-0.14269878048607601</v>
      </c>
      <c r="AG336">
        <v>-1.1544430000000001</v>
      </c>
      <c r="AH336">
        <v>20.596256624490501</v>
      </c>
      <c r="AI336">
        <v>93.208058193003893</v>
      </c>
      <c r="AJ336">
        <v>90.396960826081298</v>
      </c>
      <c r="AK336">
        <v>20.629078712440599</v>
      </c>
      <c r="AL336">
        <v>88.178261463965299</v>
      </c>
      <c r="AM336">
        <v>96.634835428351295</v>
      </c>
      <c r="AN336">
        <v>1.0000000433740801</v>
      </c>
    </row>
    <row r="337" spans="1:40" x14ac:dyDescent="0.3">
      <c r="A337" t="str">
        <f>"20200111145921586"</f>
        <v>20200111145921586</v>
      </c>
      <c r="B337" t="str">
        <f>"1578725961576278"</f>
        <v>1578725961576278</v>
      </c>
      <c r="C337" t="s">
        <v>40</v>
      </c>
      <c r="D337">
        <v>4.0578880000000002</v>
      </c>
      <c r="E337">
        <v>0.54123480000000002</v>
      </c>
      <c r="F337" t="s">
        <v>43</v>
      </c>
      <c r="G337">
        <v>-435.31970000000001</v>
      </c>
      <c r="H337">
        <v>-0.05</v>
      </c>
      <c r="I337">
        <v>367.24380000000002</v>
      </c>
      <c r="J337">
        <v>-455.99380000000002</v>
      </c>
      <c r="K337">
        <v>1.10442</v>
      </c>
      <c r="L337">
        <v>367.19709999999998</v>
      </c>
      <c r="M337">
        <v>0.99995049999999996</v>
      </c>
      <c r="N337">
        <v>0</v>
      </c>
      <c r="O337">
        <v>-4.3621090000000003E-3</v>
      </c>
      <c r="P337">
        <v>0.9935851</v>
      </c>
      <c r="Q337">
        <v>2.2928790000000001E-2</v>
      </c>
      <c r="R337">
        <v>0.1107399</v>
      </c>
      <c r="S337">
        <v>3.0225520000000001</v>
      </c>
      <c r="T337">
        <v>-0.1682555</v>
      </c>
      <c r="U337">
        <v>6.8054200000000004E-3</v>
      </c>
      <c r="V337">
        <v>-0.1150846</v>
      </c>
      <c r="W337">
        <v>3.1766139999999998E-2</v>
      </c>
      <c r="X337">
        <v>0.99284760000000005</v>
      </c>
      <c r="Y337">
        <v>-6.5968260000000001E-3</v>
      </c>
      <c r="Z337">
        <v>4.2611500000000002E-4</v>
      </c>
      <c r="AA337">
        <v>0.99997809999999998</v>
      </c>
      <c r="AB337">
        <v>12</v>
      </c>
      <c r="AC337">
        <v>20.674099999999999</v>
      </c>
      <c r="AD337">
        <v>-1.15442</v>
      </c>
      <c r="AE337">
        <v>4.6700000000043901E-2</v>
      </c>
      <c r="AF337">
        <v>-0.13646035987331201</v>
      </c>
      <c r="AG337">
        <v>-1.15442</v>
      </c>
      <c r="AH337">
        <v>20.609439910001299</v>
      </c>
      <c r="AI337">
        <v>93.205953285875793</v>
      </c>
      <c r="AJ337">
        <v>90.379364430582299</v>
      </c>
      <c r="AK337">
        <v>20.642197566397101</v>
      </c>
      <c r="AL337">
        <v>88.179627924240293</v>
      </c>
      <c r="AM337">
        <v>96.611856663060806</v>
      </c>
      <c r="AN337">
        <v>0.999999954816708</v>
      </c>
    </row>
    <row r="338" spans="1:40" x14ac:dyDescent="0.3">
      <c r="A338" t="str">
        <f>"20200111145921598"</f>
        <v>20200111145921598</v>
      </c>
      <c r="B338" t="str">
        <f>"1578725961596306"</f>
        <v>1578725961596306</v>
      </c>
      <c r="C338" t="s">
        <v>40</v>
      </c>
      <c r="D338">
        <v>4.0709730000000004</v>
      </c>
      <c r="E338">
        <v>0.54127530000000001</v>
      </c>
      <c r="F338" t="s">
        <v>43</v>
      </c>
      <c r="G338">
        <v>-435.26799999999997</v>
      </c>
      <c r="H338">
        <v>-0.05</v>
      </c>
      <c r="I338">
        <v>367.2398</v>
      </c>
      <c r="J338">
        <v>-455.92570000000001</v>
      </c>
      <c r="K338">
        <v>1.104393</v>
      </c>
      <c r="L338">
        <v>367.19709999999998</v>
      </c>
      <c r="M338">
        <v>0.99995319999999999</v>
      </c>
      <c r="N338">
        <v>0</v>
      </c>
      <c r="O338">
        <v>-4.0908259999999997E-3</v>
      </c>
      <c r="P338">
        <v>0.99358369999999996</v>
      </c>
      <c r="Q338">
        <v>2.2975679999999998E-2</v>
      </c>
      <c r="R338">
        <v>0.1107413</v>
      </c>
      <c r="S338">
        <v>3.0225520000000001</v>
      </c>
      <c r="T338">
        <v>-0.1683549</v>
      </c>
      <c r="U338">
        <v>6.225586E-3</v>
      </c>
      <c r="V338">
        <v>-0.1148161</v>
      </c>
      <c r="W338">
        <v>3.1655099999999999E-2</v>
      </c>
      <c r="X338">
        <v>0.9928823</v>
      </c>
      <c r="Y338">
        <v>-6.1348150000000001E-3</v>
      </c>
      <c r="Z338">
        <v>3.9840980000000002E-4</v>
      </c>
      <c r="AA338">
        <v>0.99998109999999996</v>
      </c>
      <c r="AB338">
        <v>12</v>
      </c>
      <c r="AC338">
        <v>20.657699999999899</v>
      </c>
      <c r="AD338">
        <v>-1.154393</v>
      </c>
      <c r="AE338">
        <v>4.2700000000024801E-2</v>
      </c>
      <c r="AF338">
        <v>-0.126813934666066</v>
      </c>
      <c r="AG338">
        <v>-1.154393</v>
      </c>
      <c r="AH338">
        <v>20.593044872049902</v>
      </c>
      <c r="AI338">
        <v>93.208434947295402</v>
      </c>
      <c r="AJ338">
        <v>90.3528284156544</v>
      </c>
      <c r="AK338">
        <v>20.625765490636599</v>
      </c>
      <c r="AL338">
        <v>88.185993370818395</v>
      </c>
      <c r="AM338">
        <v>96.5963383659508</v>
      </c>
      <c r="AN338">
        <v>1.00000002191425</v>
      </c>
    </row>
    <row r="339" spans="1:40" x14ac:dyDescent="0.3">
      <c r="A339" t="str">
        <f>"20200111145921617"</f>
        <v>20200111145921617</v>
      </c>
      <c r="B339" t="str">
        <f>"1578725961606069"</f>
        <v>1578725961606069</v>
      </c>
      <c r="C339" t="s">
        <v>40</v>
      </c>
      <c r="D339">
        <v>4.0929349999999998</v>
      </c>
      <c r="E339">
        <v>0.54130999999999996</v>
      </c>
      <c r="F339" t="s">
        <v>43</v>
      </c>
      <c r="G339">
        <v>-435.4126</v>
      </c>
      <c r="H339">
        <v>-0.05</v>
      </c>
      <c r="I339">
        <v>367.23689999999999</v>
      </c>
      <c r="J339">
        <v>-455.827</v>
      </c>
      <c r="K339">
        <v>1.1043480000000001</v>
      </c>
      <c r="L339">
        <v>367.19720000000001</v>
      </c>
      <c r="M339">
        <v>0.99995679999999998</v>
      </c>
      <c r="N339">
        <v>0</v>
      </c>
      <c r="O339">
        <v>-3.6981340000000001E-3</v>
      </c>
      <c r="P339">
        <v>0.99363670000000004</v>
      </c>
      <c r="Q339">
        <v>2.2941219999999998E-2</v>
      </c>
      <c r="R339">
        <v>0.11027000000000001</v>
      </c>
      <c r="S339">
        <v>3.022675</v>
      </c>
      <c r="T339">
        <v>-0.17010349999999999</v>
      </c>
      <c r="U339">
        <v>5.859375E-3</v>
      </c>
      <c r="V339">
        <v>-0.113955</v>
      </c>
      <c r="W339">
        <v>3.1361510000000002E-2</v>
      </c>
      <c r="X339">
        <v>0.99299079999999995</v>
      </c>
      <c r="Y339">
        <v>-5.6219719999999898E-3</v>
      </c>
      <c r="Z339">
        <v>3.6602370000000001E-4</v>
      </c>
      <c r="AA339">
        <v>0.99998410000000004</v>
      </c>
      <c r="AB339">
        <v>12</v>
      </c>
      <c r="AC339">
        <v>20.414400000000001</v>
      </c>
      <c r="AD339">
        <v>-1.1543479999999999</v>
      </c>
      <c r="AE339">
        <v>3.9699999999982E-2</v>
      </c>
      <c r="AF339">
        <v>-0.11483050002320599</v>
      </c>
      <c r="AG339">
        <v>-1.1543479999999999</v>
      </c>
      <c r="AH339">
        <v>20.349049274147699</v>
      </c>
      <c r="AI339">
        <v>93.2467074673159</v>
      </c>
      <c r="AJ339">
        <v>90.323318946576407</v>
      </c>
      <c r="AK339">
        <v>20.382088011549001</v>
      </c>
      <c r="AL339">
        <v>88.2028231688749</v>
      </c>
      <c r="AM339">
        <v>96.546588978422903</v>
      </c>
      <c r="AN339">
        <v>1.0000000076095601</v>
      </c>
    </row>
    <row r="340" spans="1:40" x14ac:dyDescent="0.3">
      <c r="A340" t="str">
        <f>"20200111145921631"</f>
        <v>20200111145921631</v>
      </c>
      <c r="B340" t="str">
        <f>"1578725961626563"</f>
        <v>1578725961626563</v>
      </c>
      <c r="C340" t="s">
        <v>40</v>
      </c>
      <c r="D340">
        <v>4.1541329999999999</v>
      </c>
      <c r="E340">
        <v>0.54113319999999998</v>
      </c>
      <c r="F340" t="s">
        <v>43</v>
      </c>
      <c r="G340">
        <v>-435.39080000000001</v>
      </c>
      <c r="H340">
        <v>-0.05</v>
      </c>
      <c r="I340">
        <v>367.22539999999998</v>
      </c>
      <c r="J340">
        <v>-455.7516</v>
      </c>
      <c r="K340">
        <v>1.1043099999999999</v>
      </c>
      <c r="L340">
        <v>367.19720000000001</v>
      </c>
      <c r="M340">
        <v>0.99995990000000001</v>
      </c>
      <c r="N340">
        <v>0</v>
      </c>
      <c r="O340">
        <v>-3.3987169999999999E-3</v>
      </c>
      <c r="P340">
        <v>0.99364030000000003</v>
      </c>
      <c r="Q340">
        <v>2.3262049999999999E-2</v>
      </c>
      <c r="R340">
        <v>0.11017390000000001</v>
      </c>
      <c r="S340">
        <v>3.0226440000000001</v>
      </c>
      <c r="T340">
        <v>-0.1707361</v>
      </c>
      <c r="U340">
        <v>4.1809079999999997E-3</v>
      </c>
      <c r="V340">
        <v>-0.1135621</v>
      </c>
      <c r="W340">
        <v>3.1458739999999999E-2</v>
      </c>
      <c r="X340">
        <v>0.99303280000000005</v>
      </c>
      <c r="Y340">
        <v>-4.7689969999999996E-3</v>
      </c>
      <c r="Z340">
        <v>3.264149E-4</v>
      </c>
      <c r="AA340">
        <v>0.99998860000000001</v>
      </c>
      <c r="AB340">
        <v>12</v>
      </c>
      <c r="AC340">
        <v>20.360799999999902</v>
      </c>
      <c r="AD340">
        <v>-1.1543099999999999</v>
      </c>
      <c r="AE340">
        <v>2.8199999999969801E-2</v>
      </c>
      <c r="AF340">
        <v>-9.7090753726978798E-2</v>
      </c>
      <c r="AG340">
        <v>-1.1543099999999999</v>
      </c>
      <c r="AH340">
        <v>20.295355991809199</v>
      </c>
      <c r="AI340">
        <v>93.255186109098403</v>
      </c>
      <c r="AJ340">
        <v>90.274094624623601</v>
      </c>
      <c r="AK340">
        <v>20.328387369017399</v>
      </c>
      <c r="AL340">
        <v>88.197249666938404</v>
      </c>
      <c r="AM340">
        <v>96.523938684917994</v>
      </c>
      <c r="AN340">
        <v>1.0000000723773099</v>
      </c>
    </row>
    <row r="341" spans="1:40" x14ac:dyDescent="0.3">
      <c r="A341" t="str">
        <f>"20200111145921645"</f>
        <v>20200111145921645</v>
      </c>
      <c r="B341" t="str">
        <f>"1578725961636323"</f>
        <v>1578725961636323</v>
      </c>
      <c r="C341" t="s">
        <v>40</v>
      </c>
      <c r="D341">
        <v>4.172752</v>
      </c>
      <c r="E341">
        <v>0.54113319999999998</v>
      </c>
      <c r="F341" t="s">
        <v>43</v>
      </c>
      <c r="G341">
        <v>-435.31189999999998</v>
      </c>
      <c r="H341">
        <v>-0.05</v>
      </c>
      <c r="I341">
        <v>367.23169999999999</v>
      </c>
      <c r="J341">
        <v>-455.67329999999998</v>
      </c>
      <c r="K341">
        <v>1.1042689999999999</v>
      </c>
      <c r="L341">
        <v>367.19729999999998</v>
      </c>
      <c r="M341">
        <v>0.99996289999999999</v>
      </c>
      <c r="N341">
        <v>0</v>
      </c>
      <c r="O341">
        <v>-3.0869389999999999E-3</v>
      </c>
      <c r="P341">
        <v>0.99363710000000005</v>
      </c>
      <c r="Q341">
        <v>2.3807310000000002E-2</v>
      </c>
      <c r="R341">
        <v>0.1100849</v>
      </c>
      <c r="S341">
        <v>3.022675</v>
      </c>
      <c r="T341">
        <v>-0.17070189999999999</v>
      </c>
      <c r="U341">
        <v>5.0964360000000002E-3</v>
      </c>
      <c r="V341">
        <v>-0.11316379999999999</v>
      </c>
      <c r="W341">
        <v>3.1751849999999998E-2</v>
      </c>
      <c r="X341">
        <v>0.99306890000000003</v>
      </c>
      <c r="Y341">
        <v>-4.760589E-3</v>
      </c>
      <c r="Z341">
        <v>3.0851499999999998E-4</v>
      </c>
      <c r="AA341">
        <v>0.99998860000000001</v>
      </c>
      <c r="AB341">
        <v>12</v>
      </c>
      <c r="AC341">
        <v>20.3614</v>
      </c>
      <c r="AD341">
        <v>-1.154269</v>
      </c>
      <c r="AE341">
        <v>3.4400000000005003E-2</v>
      </c>
      <c r="AF341">
        <v>-9.6944722644984799E-2</v>
      </c>
      <c r="AG341">
        <v>-1.154269</v>
      </c>
      <c r="AH341">
        <v>20.295972786167901</v>
      </c>
      <c r="AI341">
        <v>93.254972141702893</v>
      </c>
      <c r="AJ341">
        <v>90.273674056906799</v>
      </c>
      <c r="AK341">
        <v>20.329000136270299</v>
      </c>
      <c r="AL341">
        <v>88.180447236276507</v>
      </c>
      <c r="AM341">
        <v>96.501018991415293</v>
      </c>
      <c r="AN341">
        <v>1.0000000328780301</v>
      </c>
    </row>
    <row r="342" spans="1:40" x14ac:dyDescent="0.3">
      <c r="A342" t="str">
        <f>"20200111145921662"</f>
        <v>20200111145921662</v>
      </c>
      <c r="B342" t="str">
        <f>"1578725961655842"</f>
        <v>1578725961655842</v>
      </c>
      <c r="C342" t="s">
        <v>40</v>
      </c>
      <c r="D342">
        <v>4.1666160000000003</v>
      </c>
      <c r="E342">
        <v>0.54049550000000002</v>
      </c>
      <c r="F342" t="s">
        <v>43</v>
      </c>
      <c r="G342">
        <v>-435.0256</v>
      </c>
      <c r="H342">
        <v>-0.05</v>
      </c>
      <c r="I342">
        <v>367.22859999999997</v>
      </c>
      <c r="J342">
        <v>-455.57760000000002</v>
      </c>
      <c r="K342">
        <v>1.104217</v>
      </c>
      <c r="L342">
        <v>367.19740000000002</v>
      </c>
      <c r="M342">
        <v>0.99996669999999999</v>
      </c>
      <c r="N342">
        <v>0</v>
      </c>
      <c r="O342">
        <v>-2.7068109999999999E-3</v>
      </c>
      <c r="P342">
        <v>0.99364450000000004</v>
      </c>
      <c r="Q342">
        <v>2.4588220000000001E-2</v>
      </c>
      <c r="R342">
        <v>0.10984480000000001</v>
      </c>
      <c r="S342">
        <v>3.0227970000000002</v>
      </c>
      <c r="T342">
        <v>-0.16898339999999901</v>
      </c>
      <c r="U342">
        <v>4.5776369999999999E-3</v>
      </c>
      <c r="V342">
        <v>-0.1125456</v>
      </c>
      <c r="W342">
        <v>3.219698E-2</v>
      </c>
      <c r="X342">
        <v>0.99312480000000003</v>
      </c>
      <c r="Y342">
        <v>-4.2104519999999999E-3</v>
      </c>
      <c r="Z342">
        <v>2.6880179999999999E-4</v>
      </c>
      <c r="AA342">
        <v>0.99999110000000002</v>
      </c>
      <c r="AB342">
        <v>12</v>
      </c>
      <c r="AC342">
        <v>20.552</v>
      </c>
      <c r="AD342">
        <v>-1.154217</v>
      </c>
      <c r="AE342">
        <v>3.1199999999955701E-2</v>
      </c>
      <c r="AF342">
        <v>-8.6558904765220199E-2</v>
      </c>
      <c r="AG342">
        <v>-1.154217</v>
      </c>
      <c r="AH342">
        <v>20.487222944581699</v>
      </c>
      <c r="AI342">
        <v>93.224514117473007</v>
      </c>
      <c r="AJ342">
        <v>90.242074312656598</v>
      </c>
      <c r="AK342">
        <v>20.5198931115169</v>
      </c>
      <c r="AL342">
        <v>88.154930082641698</v>
      </c>
      <c r="AM342">
        <v>96.465445425424093</v>
      </c>
      <c r="AN342">
        <v>1.00000001298776</v>
      </c>
    </row>
    <row r="343" spans="1:40" x14ac:dyDescent="0.3">
      <c r="A343" t="str">
        <f>"20200111145921676"</f>
        <v>20200111145921676</v>
      </c>
      <c r="B343" t="str">
        <f>"1578725961666578"</f>
        <v>1578725961666578</v>
      </c>
      <c r="C343" t="s">
        <v>40</v>
      </c>
      <c r="D343">
        <v>4.2036230000000003</v>
      </c>
      <c r="E343">
        <v>0.54026450000000004</v>
      </c>
      <c r="F343" t="s">
        <v>43</v>
      </c>
      <c r="G343">
        <v>-435.37639999999999</v>
      </c>
      <c r="H343">
        <v>-0.05</v>
      </c>
      <c r="I343">
        <v>367.25700000000001</v>
      </c>
      <c r="J343">
        <v>-455.49849999999998</v>
      </c>
      <c r="K343">
        <v>1.1041729999999901</v>
      </c>
      <c r="L343">
        <v>367.19760000000002</v>
      </c>
      <c r="M343">
        <v>0.99996980000000002</v>
      </c>
      <c r="N343">
        <v>0</v>
      </c>
      <c r="O343">
        <v>-2.3929279999999999E-3</v>
      </c>
      <c r="P343">
        <v>0.99362550000000005</v>
      </c>
      <c r="Q343">
        <v>2.4817390000000002E-2</v>
      </c>
      <c r="R343">
        <v>0.10996640000000001</v>
      </c>
      <c r="S343">
        <v>3.0225219999999999</v>
      </c>
      <c r="T343">
        <v>-0.17269509999999999</v>
      </c>
      <c r="U343">
        <v>8.9111329999999999E-3</v>
      </c>
      <c r="V343">
        <v>-0.112356</v>
      </c>
      <c r="W343">
        <v>3.2130260000000001E-2</v>
      </c>
      <c r="X343">
        <v>0.99314840000000004</v>
      </c>
      <c r="Y343">
        <v>-5.3286130000000003E-3</v>
      </c>
      <c r="Z343">
        <v>2.8871840000000001E-4</v>
      </c>
      <c r="AA343">
        <v>0.99998580000000004</v>
      </c>
      <c r="AB343">
        <v>12</v>
      </c>
      <c r="AC343">
        <v>20.1220999999999</v>
      </c>
      <c r="AD343">
        <v>-1.1541729999999999</v>
      </c>
      <c r="AE343">
        <v>5.9399999999925499E-2</v>
      </c>
      <c r="AF343">
        <v>-0.10719920101664999</v>
      </c>
      <c r="AG343">
        <v>-1.1541729999999999</v>
      </c>
      <c r="AH343">
        <v>20.055916954305101</v>
      </c>
      <c r="AI343">
        <v>93.293563892309507</v>
      </c>
      <c r="AJ343">
        <v>90.306243953301404</v>
      </c>
      <c r="AK343">
        <v>20.0893855520922</v>
      </c>
      <c r="AL343">
        <v>88.158754783178097</v>
      </c>
      <c r="AM343">
        <v>96.454493320852706</v>
      </c>
      <c r="AN343">
        <v>0.99999998438311299</v>
      </c>
    </row>
    <row r="344" spans="1:40" x14ac:dyDescent="0.3">
      <c r="A344" t="str">
        <f>"20200111145921690"</f>
        <v>20200111145921690</v>
      </c>
      <c r="B344" t="str">
        <f>"1578725961686098"</f>
        <v>1578725961686098</v>
      </c>
      <c r="C344" t="s">
        <v>40</v>
      </c>
      <c r="D344">
        <v>4.272926</v>
      </c>
      <c r="E344">
        <v>0.5399581</v>
      </c>
      <c r="F344" t="s">
        <v>43</v>
      </c>
      <c r="G344">
        <v>-435.33339999999998</v>
      </c>
      <c r="H344">
        <v>-0.05</v>
      </c>
      <c r="I344">
        <v>367.27330000000001</v>
      </c>
      <c r="J344">
        <v>-455.42250000000001</v>
      </c>
      <c r="K344">
        <v>1.1041270000000001</v>
      </c>
      <c r="L344">
        <v>367.19779999999997</v>
      </c>
      <c r="M344">
        <v>0.99997250000000004</v>
      </c>
      <c r="N344">
        <v>0</v>
      </c>
      <c r="O344">
        <v>-2.0927089999999999E-3</v>
      </c>
      <c r="P344">
        <v>0.99359240000000004</v>
      </c>
      <c r="Q344">
        <v>2.5212080000000001E-2</v>
      </c>
      <c r="R344">
        <v>0.11017490000000001</v>
      </c>
      <c r="S344">
        <v>3.022278</v>
      </c>
      <c r="T344">
        <v>-0.17298379999999999</v>
      </c>
      <c r="U344">
        <v>1.135254E-2</v>
      </c>
      <c r="V344">
        <v>-0.11226659999999999</v>
      </c>
      <c r="W344">
        <v>3.2237490000000001E-2</v>
      </c>
      <c r="X344">
        <v>0.99315509999999996</v>
      </c>
      <c r="Y344">
        <v>-5.8360219999999997E-3</v>
      </c>
      <c r="Z344">
        <v>2.8656230000000002E-4</v>
      </c>
      <c r="AA344">
        <v>0.99998299999999996</v>
      </c>
      <c r="AB344">
        <v>12</v>
      </c>
      <c r="AC344">
        <v>20.089099999999998</v>
      </c>
      <c r="AD344">
        <v>-1.1541269999999999</v>
      </c>
      <c r="AE344">
        <v>7.5500000000033596E-2</v>
      </c>
      <c r="AF344">
        <v>-0.117154869149996</v>
      </c>
      <c r="AG344">
        <v>-1.1541269999999999</v>
      </c>
      <c r="AH344">
        <v>20.022812655332299</v>
      </c>
      <c r="AI344">
        <v>93.298856703216003</v>
      </c>
      <c r="AJ344">
        <v>90.335237764454405</v>
      </c>
      <c r="AK344">
        <v>20.056389531170101</v>
      </c>
      <c r="AL344">
        <v>88.152607891589895</v>
      </c>
      <c r="AM344">
        <v>96.449357722995401</v>
      </c>
      <c r="AN344">
        <v>1.0000000489465299</v>
      </c>
    </row>
    <row r="345" spans="1:40" x14ac:dyDescent="0.3">
      <c r="A345" t="str">
        <f>"20200111145921707"</f>
        <v>20200111145921707</v>
      </c>
      <c r="B345" t="str">
        <f>"1578725961695859"</f>
        <v>1578725961695859</v>
      </c>
      <c r="C345" t="s">
        <v>40</v>
      </c>
      <c r="D345">
        <v>4.1853239999999996</v>
      </c>
      <c r="E345">
        <v>0.5399581</v>
      </c>
      <c r="F345" t="s">
        <v>43</v>
      </c>
      <c r="G345">
        <v>-435.35860000000002</v>
      </c>
      <c r="H345">
        <v>-0.05</v>
      </c>
      <c r="I345">
        <v>367.29250000000002</v>
      </c>
      <c r="J345">
        <v>-455.32240000000002</v>
      </c>
      <c r="K345">
        <v>1.10407099999999</v>
      </c>
      <c r="L345">
        <v>367.19799999999998</v>
      </c>
      <c r="M345">
        <v>0.99997590000000003</v>
      </c>
      <c r="N345">
        <v>0</v>
      </c>
      <c r="O345">
        <v>-1.6987829999999999E-3</v>
      </c>
      <c r="P345">
        <v>0.99349609999999999</v>
      </c>
      <c r="Q345">
        <v>2.5449490000000002E-2</v>
      </c>
      <c r="R345">
        <v>0.11098719999999999</v>
      </c>
      <c r="S345">
        <v>3.0221559999999998</v>
      </c>
      <c r="T345">
        <v>-0.1738421</v>
      </c>
      <c r="U345">
        <v>1.428223E-2</v>
      </c>
      <c r="V345">
        <v>-0.1126876</v>
      </c>
      <c r="W345">
        <v>3.2096420000000001E-2</v>
      </c>
      <c r="X345">
        <v>0.99311199999999999</v>
      </c>
      <c r="Y345">
        <v>-6.411178E-3</v>
      </c>
      <c r="Z345">
        <v>2.8187980000000002E-4</v>
      </c>
      <c r="AA345">
        <v>0.99997939999999996</v>
      </c>
      <c r="AB345">
        <v>13</v>
      </c>
      <c r="AC345">
        <v>19.9637999999999</v>
      </c>
      <c r="AD345">
        <v>-1.1540709999999901</v>
      </c>
      <c r="AE345">
        <v>9.4499999999982195E-2</v>
      </c>
      <c r="AF345">
        <v>-0.12798710018750201</v>
      </c>
      <c r="AG345">
        <v>-1.1540709999999901</v>
      </c>
      <c r="AH345">
        <v>19.897120225660601</v>
      </c>
      <c r="AI345">
        <v>93.319476965928004</v>
      </c>
      <c r="AJ345">
        <v>90.3685467772724</v>
      </c>
      <c r="AK345">
        <v>19.9309722252891</v>
      </c>
      <c r="AL345">
        <v>88.160694811968696</v>
      </c>
      <c r="AM345">
        <v>96.473616472344403</v>
      </c>
      <c r="AN345">
        <v>1.00000005995728</v>
      </c>
    </row>
    <row r="346" spans="1:40" x14ac:dyDescent="0.3">
      <c r="A346" t="str">
        <f>"20200111145921722"</f>
        <v>20200111145921722</v>
      </c>
      <c r="B346" t="str">
        <f>"1578725961716355"</f>
        <v>1578725961716355</v>
      </c>
      <c r="C346" t="s">
        <v>40</v>
      </c>
      <c r="D346">
        <v>4.2479649999999998</v>
      </c>
      <c r="E346">
        <v>0.53982350000000001</v>
      </c>
      <c r="F346" t="s">
        <v>43</v>
      </c>
      <c r="G346">
        <v>-435.19799999999998</v>
      </c>
      <c r="H346">
        <v>-0.05</v>
      </c>
      <c r="I346">
        <v>367.31240000000003</v>
      </c>
      <c r="J346">
        <v>-455.2398</v>
      </c>
      <c r="K346">
        <v>1.10402</v>
      </c>
      <c r="L346">
        <v>367.19819999999999</v>
      </c>
      <c r="M346">
        <v>0.99997849999999999</v>
      </c>
      <c r="N346">
        <v>0</v>
      </c>
      <c r="O346">
        <v>-1.375605E-3</v>
      </c>
      <c r="P346">
        <v>0.99345000000000006</v>
      </c>
      <c r="Q346">
        <v>2.587915E-2</v>
      </c>
      <c r="R346">
        <v>0.1112996</v>
      </c>
      <c r="S346">
        <v>3.022125</v>
      </c>
      <c r="T346">
        <v>-0.17330880000000001</v>
      </c>
      <c r="U346">
        <v>1.7181399999999999E-2</v>
      </c>
      <c r="V346">
        <v>-0.1126786</v>
      </c>
      <c r="W346">
        <v>3.2219860000000003E-2</v>
      </c>
      <c r="X346">
        <v>0.99310900000000002</v>
      </c>
      <c r="Y346">
        <v>-7.0468789999999998E-3</v>
      </c>
      <c r="Z346">
        <v>2.8071269999999999E-4</v>
      </c>
      <c r="AA346">
        <v>0.99997510000000001</v>
      </c>
      <c r="AB346">
        <v>13</v>
      </c>
      <c r="AC346">
        <v>20.041799999999899</v>
      </c>
      <c r="AD346">
        <v>-1.15402</v>
      </c>
      <c r="AE346">
        <v>0.11420000000003901</v>
      </c>
      <c r="AF346">
        <v>-0.14130158419476699</v>
      </c>
      <c r="AG346">
        <v>-1.15402</v>
      </c>
      <c r="AH346">
        <v>19.975397021790702</v>
      </c>
      <c r="AI346">
        <v>93.306337899199207</v>
      </c>
      <c r="AJ346">
        <v>90.405291037342195</v>
      </c>
      <c r="AK346">
        <v>20.009203244413801</v>
      </c>
      <c r="AL346">
        <v>88.153618517376898</v>
      </c>
      <c r="AM346">
        <v>96.473123221732706</v>
      </c>
      <c r="AN346">
        <v>1.00000003607868</v>
      </c>
    </row>
    <row r="347" spans="1:40" x14ac:dyDescent="0.3">
      <c r="A347" t="str">
        <f>"20200111145921734"</f>
        <v>20200111145921734</v>
      </c>
      <c r="B347" t="str">
        <f>"1578725961726114"</f>
        <v>1578725961726114</v>
      </c>
      <c r="C347" t="s">
        <v>40</v>
      </c>
      <c r="D347">
        <v>4.2269199999999998</v>
      </c>
      <c r="E347">
        <v>0.53962769999999904</v>
      </c>
      <c r="F347" t="s">
        <v>43</v>
      </c>
      <c r="G347">
        <v>-435.14909999999998</v>
      </c>
      <c r="H347">
        <v>-0.05</v>
      </c>
      <c r="I347">
        <v>367.32420000000002</v>
      </c>
      <c r="J347">
        <v>-455.1585</v>
      </c>
      <c r="K347">
        <v>1.103985</v>
      </c>
      <c r="L347">
        <v>367.19850000000002</v>
      </c>
      <c r="M347">
        <v>0.9999806</v>
      </c>
      <c r="N347">
        <v>0</v>
      </c>
      <c r="O347">
        <v>-1.0623169999999999E-3</v>
      </c>
      <c r="P347">
        <v>0.99342609999999998</v>
      </c>
      <c r="Q347">
        <v>2.5857379999999999E-2</v>
      </c>
      <c r="R347">
        <v>0.11151759999999999</v>
      </c>
      <c r="S347">
        <v>3.0222169999999999</v>
      </c>
      <c r="T347">
        <v>-0.17359749999999999</v>
      </c>
      <c r="U347">
        <v>1.895142E-2</v>
      </c>
      <c r="V347">
        <v>-0.11258550000000001</v>
      </c>
      <c r="W347">
        <v>3.191484E-2</v>
      </c>
      <c r="X347">
        <v>0.99312940000000005</v>
      </c>
      <c r="Y347">
        <v>-7.3190750000000004E-3</v>
      </c>
      <c r="Z347">
        <v>2.7100060000000002E-4</v>
      </c>
      <c r="AA347">
        <v>0.99997320000000001</v>
      </c>
      <c r="AB347">
        <v>13</v>
      </c>
      <c r="AC347">
        <v>20.009399999999999</v>
      </c>
      <c r="AD347">
        <v>-1.153985</v>
      </c>
      <c r="AE347">
        <v>0.12569999999999401</v>
      </c>
      <c r="AF347">
        <v>-0.14646950572304901</v>
      </c>
      <c r="AG347">
        <v>-1.153985</v>
      </c>
      <c r="AH347">
        <v>19.9429260990097</v>
      </c>
      <c r="AI347">
        <v>93.311602618164997</v>
      </c>
      <c r="AJ347">
        <v>90.4207975086929</v>
      </c>
      <c r="AK347">
        <v>19.9768224722275</v>
      </c>
      <c r="AL347">
        <v>88.171103854121199</v>
      </c>
      <c r="AM347">
        <v>96.467688451881102</v>
      </c>
      <c r="AN347">
        <v>1.0000000284834101</v>
      </c>
    </row>
    <row r="348" spans="1:40" x14ac:dyDescent="0.3">
      <c r="A348" t="str">
        <f>"20200111145921751"</f>
        <v>20200111145921751</v>
      </c>
      <c r="B348" t="str">
        <f>"1578725961746611"</f>
        <v>1578725961746611</v>
      </c>
      <c r="C348" t="s">
        <v>40</v>
      </c>
      <c r="D348">
        <v>4.2517670000000001</v>
      </c>
      <c r="E348">
        <v>0.53911169999999997</v>
      </c>
      <c r="F348" t="s">
        <v>43</v>
      </c>
      <c r="G348">
        <v>-435.2201</v>
      </c>
      <c r="H348">
        <v>-0.05</v>
      </c>
      <c r="I348">
        <v>367.34120000000001</v>
      </c>
      <c r="J348">
        <v>-455.06740000000002</v>
      </c>
      <c r="K348">
        <v>1.1039479999999999</v>
      </c>
      <c r="L348">
        <v>367.19869999999997</v>
      </c>
      <c r="M348">
        <v>0.9999827</v>
      </c>
      <c r="N348">
        <v>0</v>
      </c>
      <c r="O348">
        <v>-7.1578820000000004E-4</v>
      </c>
      <c r="P348">
        <v>0.99341100000000004</v>
      </c>
      <c r="Q348">
        <v>2.5266589999999998E-2</v>
      </c>
      <c r="R348">
        <v>0.1117872</v>
      </c>
      <c r="S348">
        <v>3.0220030000000002</v>
      </c>
      <c r="T348">
        <v>-0.17490600000000001</v>
      </c>
      <c r="U348">
        <v>2.163696E-2</v>
      </c>
      <c r="V348">
        <v>-0.1125105</v>
      </c>
      <c r="W348">
        <v>3.1031220000000002E-2</v>
      </c>
      <c r="X348">
        <v>0.99316590000000005</v>
      </c>
      <c r="Y348">
        <v>-7.8610539999999993E-3</v>
      </c>
      <c r="Z348">
        <v>2.6868950000000002E-4</v>
      </c>
      <c r="AA348">
        <v>0.99996910000000006</v>
      </c>
      <c r="AB348">
        <v>13</v>
      </c>
      <c r="AC348">
        <v>19.847300000000001</v>
      </c>
      <c r="AD348">
        <v>-1.153948</v>
      </c>
      <c r="AE348">
        <v>0.14250000000004001</v>
      </c>
      <c r="AF348">
        <v>-0.15617874750531199</v>
      </c>
      <c r="AG348">
        <v>-1.153948</v>
      </c>
      <c r="AH348">
        <v>19.780330697298702</v>
      </c>
      <c r="AI348">
        <v>93.338642042428006</v>
      </c>
      <c r="AJ348">
        <v>90.452378540779307</v>
      </c>
      <c r="AK348">
        <v>19.814577216846601</v>
      </c>
      <c r="AL348">
        <v>88.221756641834503</v>
      </c>
      <c r="AM348">
        <v>96.463180877424904</v>
      </c>
      <c r="AN348">
        <v>1.00000002707387</v>
      </c>
    </row>
    <row r="349" spans="1:40" x14ac:dyDescent="0.3">
      <c r="A349" t="str">
        <f>"20200111145921773"</f>
        <v>20200111145921773</v>
      </c>
      <c r="B349" t="str">
        <f>"1578725961766132"</f>
        <v>1578725961766132</v>
      </c>
      <c r="C349" t="s">
        <v>40</v>
      </c>
      <c r="D349">
        <v>4.2675000000000001</v>
      </c>
      <c r="E349">
        <v>0.53869279999999997</v>
      </c>
      <c r="F349" t="s">
        <v>43</v>
      </c>
      <c r="G349">
        <v>-435.92020000000002</v>
      </c>
      <c r="H349">
        <v>-0.05</v>
      </c>
      <c r="I349">
        <v>367.36579999999998</v>
      </c>
      <c r="J349">
        <v>-454.93299999999999</v>
      </c>
      <c r="K349">
        <v>1.103912</v>
      </c>
      <c r="L349">
        <v>367.19920000000002</v>
      </c>
      <c r="M349">
        <v>0.99998509999999996</v>
      </c>
      <c r="N349">
        <v>0</v>
      </c>
      <c r="O349">
        <v>-2.1784300000000001E-4</v>
      </c>
      <c r="P349">
        <v>0.99338899999999997</v>
      </c>
      <c r="Q349">
        <v>2.4311019999999999E-2</v>
      </c>
      <c r="R349">
        <v>0.112195</v>
      </c>
      <c r="S349">
        <v>3.021576</v>
      </c>
      <c r="T349">
        <v>-0.1821026</v>
      </c>
      <c r="U349">
        <v>2.6367189999999999E-2</v>
      </c>
      <c r="V349">
        <v>-0.1124227</v>
      </c>
      <c r="W349">
        <v>2.9706219999999998E-2</v>
      </c>
      <c r="X349">
        <v>0.99321630000000005</v>
      </c>
      <c r="Y349">
        <v>-8.927216E-3</v>
      </c>
      <c r="Z349">
        <v>2.8187809999999998E-4</v>
      </c>
      <c r="AA349">
        <v>0.99996010000000002</v>
      </c>
      <c r="AB349">
        <v>13</v>
      </c>
      <c r="AC349">
        <v>19.012799999999999</v>
      </c>
      <c r="AD349">
        <v>-1.153912</v>
      </c>
      <c r="AE349">
        <v>0.166599999999959</v>
      </c>
      <c r="AF349">
        <v>-0.170115302200646</v>
      </c>
      <c r="AG349">
        <v>-1.153912</v>
      </c>
      <c r="AH349">
        <v>18.942993294555698</v>
      </c>
      <c r="AI349">
        <v>93.485723550449293</v>
      </c>
      <c r="AJ349">
        <v>90.514524113897494</v>
      </c>
      <c r="AK349">
        <v>18.978868435113998</v>
      </c>
      <c r="AL349">
        <v>88.297708489122101</v>
      </c>
      <c r="AM349">
        <v>96.457854875692703</v>
      </c>
      <c r="AN349">
        <v>0.99999997078383296</v>
      </c>
    </row>
    <row r="350" spans="1:40" x14ac:dyDescent="0.3">
      <c r="A350" t="str">
        <f>"20200111145921785"</f>
        <v>20200111145921785</v>
      </c>
      <c r="B350" t="str">
        <f>"1578725961775890"</f>
        <v>1578725961775890</v>
      </c>
      <c r="C350" t="s">
        <v>40</v>
      </c>
      <c r="D350">
        <v>4.28573</v>
      </c>
      <c r="E350">
        <v>0.53835999999999995</v>
      </c>
      <c r="F350" t="s">
        <v>43</v>
      </c>
      <c r="G350">
        <v>-436.5915</v>
      </c>
      <c r="H350">
        <v>-0.05</v>
      </c>
      <c r="I350">
        <v>367.38619999999997</v>
      </c>
      <c r="J350">
        <v>-454.86160000000001</v>
      </c>
      <c r="K350">
        <v>1.103904</v>
      </c>
      <c r="L350">
        <v>367.1995</v>
      </c>
      <c r="M350">
        <v>0.99998589999999998</v>
      </c>
      <c r="N350">
        <v>0</v>
      </c>
      <c r="O350" s="1">
        <v>3.824097E-5</v>
      </c>
      <c r="P350">
        <v>0.99336740000000001</v>
      </c>
      <c r="Q350">
        <v>2.4066359999999998E-2</v>
      </c>
      <c r="R350">
        <v>0.1124373</v>
      </c>
      <c r="S350">
        <v>3.0211489999999999</v>
      </c>
      <c r="T350">
        <v>-0.19006780000000001</v>
      </c>
      <c r="U350">
        <v>3.0792239999999999E-2</v>
      </c>
      <c r="V350">
        <v>-0.1124103</v>
      </c>
      <c r="W350">
        <v>2.9304429999999999E-2</v>
      </c>
      <c r="X350">
        <v>0.99322969999999999</v>
      </c>
      <c r="Y350">
        <v>-1.01335E-2</v>
      </c>
      <c r="Z350">
        <v>3.1603510000000003E-4</v>
      </c>
      <c r="AA350">
        <v>0.99994859999999997</v>
      </c>
      <c r="AB350">
        <v>13</v>
      </c>
      <c r="AC350">
        <v>18.270099999999999</v>
      </c>
      <c r="AD350">
        <v>-1.153904</v>
      </c>
      <c r="AE350">
        <v>0.186699999999973</v>
      </c>
      <c r="AF350">
        <v>-0.185262400222024</v>
      </c>
      <c r="AG350">
        <v>-1.153904</v>
      </c>
      <c r="AH350">
        <v>18.1975258660196</v>
      </c>
      <c r="AI350">
        <v>93.628076695140706</v>
      </c>
      <c r="AJ350">
        <v>90.583287366249806</v>
      </c>
      <c r="AK350">
        <v>18.2350147859168</v>
      </c>
      <c r="AL350">
        <v>88.320739489575502</v>
      </c>
      <c r="AM350">
        <v>96.457062223501495</v>
      </c>
      <c r="AN350">
        <v>1.0000000310629</v>
      </c>
    </row>
    <row r="351" spans="1:40" x14ac:dyDescent="0.3">
      <c r="A351" t="str">
        <f>"20200111145921797"</f>
        <v>20200111145921797</v>
      </c>
      <c r="B351" t="str">
        <f>"1578725961786626"</f>
        <v>1578725961786626</v>
      </c>
      <c r="C351" t="s">
        <v>40</v>
      </c>
      <c r="D351">
        <v>4.2776639999999997</v>
      </c>
      <c r="E351">
        <v>0.53815409999999997</v>
      </c>
      <c r="F351" t="s">
        <v>43</v>
      </c>
      <c r="G351">
        <v>-436.97969999999998</v>
      </c>
      <c r="H351">
        <v>-0.05</v>
      </c>
      <c r="I351">
        <v>367.40190000000001</v>
      </c>
      <c r="J351">
        <v>-454.78890000000001</v>
      </c>
      <c r="K351">
        <v>1.1039000000000001</v>
      </c>
      <c r="L351">
        <v>367.19979999999998</v>
      </c>
      <c r="M351">
        <v>0.99998659999999995</v>
      </c>
      <c r="N351">
        <v>0</v>
      </c>
      <c r="O351">
        <v>2.9359250000000003E-4</v>
      </c>
      <c r="P351">
        <v>0.99329160000000005</v>
      </c>
      <c r="Q351">
        <v>2.3852439999999999E-2</v>
      </c>
      <c r="R351">
        <v>0.1131508</v>
      </c>
      <c r="S351">
        <v>3.0208740000000001</v>
      </c>
      <c r="T351">
        <v>-0.19493350000000001</v>
      </c>
      <c r="U351">
        <v>3.4179689999999999E-2</v>
      </c>
      <c r="V351">
        <v>-0.11286980000000001</v>
      </c>
      <c r="W351">
        <v>2.895791E-2</v>
      </c>
      <c r="X351">
        <v>0.99318770000000001</v>
      </c>
      <c r="Y351">
        <v>-1.0997939999999999E-2</v>
      </c>
      <c r="Z351">
        <v>3.3553700000000001E-4</v>
      </c>
      <c r="AA351">
        <v>0.99993940000000003</v>
      </c>
      <c r="AB351">
        <v>13</v>
      </c>
      <c r="AC351">
        <v>17.809200000000001</v>
      </c>
      <c r="AD351">
        <v>-1.1538999999999999</v>
      </c>
      <c r="AE351">
        <v>0.20210000000002901</v>
      </c>
      <c r="AF351">
        <v>-0.19604835921477301</v>
      </c>
      <c r="AG351">
        <v>-1.1538999999999999</v>
      </c>
      <c r="AH351">
        <v>17.734816522440902</v>
      </c>
      <c r="AI351">
        <v>93.722424770980496</v>
      </c>
      <c r="AJ351">
        <v>90.633346617022994</v>
      </c>
      <c r="AK351">
        <v>17.7733968968735</v>
      </c>
      <c r="AL351">
        <v>88.340601967320495</v>
      </c>
      <c r="AM351">
        <v>96.483504337305703</v>
      </c>
      <c r="AN351">
        <v>0.99999997986744804</v>
      </c>
    </row>
    <row r="352" spans="1:40" x14ac:dyDescent="0.3">
      <c r="A352" t="str">
        <f>"20200111145921817"</f>
        <v>20200111145921817</v>
      </c>
      <c r="B352" t="str">
        <f>"1578725961806146"</f>
        <v>1578725961806146</v>
      </c>
      <c r="C352" t="s">
        <v>40</v>
      </c>
      <c r="D352">
        <v>4.3259809999999996</v>
      </c>
      <c r="E352">
        <v>0.53784779999999999</v>
      </c>
      <c r="F352" t="s">
        <v>43</v>
      </c>
      <c r="G352">
        <v>-437.29509999999999</v>
      </c>
      <c r="H352">
        <v>-0.05</v>
      </c>
      <c r="I352">
        <v>367.41969999999998</v>
      </c>
      <c r="J352">
        <v>-454.66930000000002</v>
      </c>
      <c r="K352">
        <v>1.103901</v>
      </c>
      <c r="L352">
        <v>367.20030000000003</v>
      </c>
      <c r="M352">
        <v>0.99998710000000002</v>
      </c>
      <c r="N352">
        <v>0</v>
      </c>
      <c r="O352">
        <v>6.9491690000000005E-4</v>
      </c>
      <c r="P352">
        <v>0.99319199999999996</v>
      </c>
      <c r="Q352">
        <v>2.4659609999999998E-2</v>
      </c>
      <c r="R352">
        <v>0.11384909999999999</v>
      </c>
      <c r="S352">
        <v>3.0206909999999998</v>
      </c>
      <c r="T352">
        <v>-0.1992457</v>
      </c>
      <c r="U352">
        <v>3.7963869999999997E-2</v>
      </c>
      <c r="V352">
        <v>-0.1131689</v>
      </c>
      <c r="W352">
        <v>2.9614709999999999E-2</v>
      </c>
      <c r="X352">
        <v>0.99313430000000003</v>
      </c>
      <c r="Y352">
        <v>-1.184785E-2</v>
      </c>
      <c r="Z352">
        <v>3.4451840000000001E-4</v>
      </c>
      <c r="AA352">
        <v>0.99992970000000003</v>
      </c>
      <c r="AB352">
        <v>13</v>
      </c>
      <c r="AC352">
        <v>17.374199999999998</v>
      </c>
      <c r="AD352">
        <v>-1.1539010000000001</v>
      </c>
      <c r="AE352">
        <v>0.21939999999995</v>
      </c>
      <c r="AF352">
        <v>-0.206415834013253</v>
      </c>
      <c r="AG352">
        <v>-1.1539010000000001</v>
      </c>
      <c r="AH352">
        <v>17.298060377480599</v>
      </c>
      <c r="AI352">
        <v>93.816102297171497</v>
      </c>
      <c r="AJ352">
        <v>90.683671726835897</v>
      </c>
      <c r="AK352">
        <v>17.3377330651183</v>
      </c>
      <c r="AL352">
        <v>88.302953957014694</v>
      </c>
      <c r="AM352">
        <v>96.500885007220504</v>
      </c>
      <c r="AN352">
        <v>0.99999998440604199</v>
      </c>
    </row>
    <row r="353" spans="1:40" x14ac:dyDescent="0.3">
      <c r="A353" t="str">
        <f>"20200111145921830"</f>
        <v>20200111145921830</v>
      </c>
      <c r="B353" t="str">
        <f>"1578725961825666"</f>
        <v>1578725961825666</v>
      </c>
      <c r="C353" t="s">
        <v>40</v>
      </c>
      <c r="D353">
        <v>4.261838</v>
      </c>
      <c r="E353">
        <v>0.53748119999999999</v>
      </c>
      <c r="F353" t="s">
        <v>43</v>
      </c>
      <c r="G353">
        <v>-437.36430000000001</v>
      </c>
      <c r="H353">
        <v>-0.05</v>
      </c>
      <c r="I353">
        <v>367.44240000000002</v>
      </c>
      <c r="J353">
        <v>-454.59550000000002</v>
      </c>
      <c r="K353">
        <v>1.103904</v>
      </c>
      <c r="L353">
        <v>367.20069999999998</v>
      </c>
      <c r="M353">
        <v>0.99998739999999997</v>
      </c>
      <c r="N353">
        <v>0</v>
      </c>
      <c r="O353">
        <v>9.2668830000000005E-4</v>
      </c>
      <c r="P353">
        <v>0.99313929999999995</v>
      </c>
      <c r="Q353">
        <v>2.4838949999999999E-2</v>
      </c>
      <c r="R353">
        <v>0.1142697</v>
      </c>
      <c r="S353">
        <v>3.0206909999999998</v>
      </c>
      <c r="T353">
        <v>-0.20142070000000001</v>
      </c>
      <c r="U353">
        <v>4.2266850000000002E-2</v>
      </c>
      <c r="V353">
        <v>-0.1133583</v>
      </c>
      <c r="W353">
        <v>2.9736729999999999E-2</v>
      </c>
      <c r="X353">
        <v>0.99310900000000002</v>
      </c>
      <c r="Y353">
        <v>-1.303757E-2</v>
      </c>
      <c r="Z353">
        <v>3.7245049999999998E-4</v>
      </c>
      <c r="AA353">
        <v>0.99991490000000005</v>
      </c>
      <c r="AB353">
        <v>13</v>
      </c>
      <c r="AC353">
        <v>17.231200000000001</v>
      </c>
      <c r="AD353">
        <v>-1.153904</v>
      </c>
      <c r="AE353">
        <v>0.241700000000037</v>
      </c>
      <c r="AF353">
        <v>-0.22472418633486799</v>
      </c>
      <c r="AG353">
        <v>-1.153904</v>
      </c>
      <c r="AH353">
        <v>17.154503359787601</v>
      </c>
      <c r="AI353">
        <v>93.847895648243394</v>
      </c>
      <c r="AJ353">
        <v>90.750532422907398</v>
      </c>
      <c r="AK353">
        <v>17.194737012298301</v>
      </c>
      <c r="AL353">
        <v>88.295959555407293</v>
      </c>
      <c r="AM353">
        <v>96.511836015268699</v>
      </c>
      <c r="AN353">
        <v>0.99999993158548905</v>
      </c>
    </row>
    <row r="354" spans="1:40" x14ac:dyDescent="0.3">
      <c r="A354" t="str">
        <f>"20200111145921843"</f>
        <v>20200111145921843</v>
      </c>
      <c r="B354" t="str">
        <f>"1578725961836402"</f>
        <v>1578725961836402</v>
      </c>
      <c r="C354" t="s">
        <v>40</v>
      </c>
      <c r="D354">
        <v>4.3569459999999998</v>
      </c>
      <c r="E354">
        <v>0.53745469999999995</v>
      </c>
      <c r="F354" t="s">
        <v>43</v>
      </c>
      <c r="G354">
        <v>-437.25630000000001</v>
      </c>
      <c r="H354">
        <v>-0.05</v>
      </c>
      <c r="I354">
        <v>367.46800000000002</v>
      </c>
      <c r="J354">
        <v>-454.51519999999999</v>
      </c>
      <c r="K354">
        <v>1.1039049999999999</v>
      </c>
      <c r="L354">
        <v>367.20100000000002</v>
      </c>
      <c r="M354">
        <v>0.99998719999999996</v>
      </c>
      <c r="N354">
        <v>0</v>
      </c>
      <c r="O354">
        <v>1.1712440000000001E-3</v>
      </c>
      <c r="P354">
        <v>0.99310030000000005</v>
      </c>
      <c r="Q354">
        <v>2.498133E-2</v>
      </c>
      <c r="R354">
        <v>0.1145751</v>
      </c>
      <c r="S354">
        <v>3.020416</v>
      </c>
      <c r="T354">
        <v>-0.20100489999999999</v>
      </c>
      <c r="U354">
        <v>4.6569819999999998E-2</v>
      </c>
      <c r="V354">
        <v>-0.11342049999999999</v>
      </c>
      <c r="W354">
        <v>2.9830140000000002E-2</v>
      </c>
      <c r="X354">
        <v>0.99309919999999996</v>
      </c>
      <c r="Y354">
        <v>-1.421654E-2</v>
      </c>
      <c r="Z354">
        <v>3.9464079999999998E-4</v>
      </c>
      <c r="AA354">
        <v>0.99989890000000003</v>
      </c>
      <c r="AB354">
        <v>14</v>
      </c>
      <c r="AC354">
        <v>17.258899999999901</v>
      </c>
      <c r="AD354">
        <v>-1.153905</v>
      </c>
      <c r="AE354">
        <v>0.26700000000005197</v>
      </c>
      <c r="AF354">
        <v>-0.24568721374847599</v>
      </c>
      <c r="AG354">
        <v>-1.153905</v>
      </c>
      <c r="AH354">
        <v>17.1824127550938</v>
      </c>
      <c r="AI354">
        <v>93.841604673648902</v>
      </c>
      <c r="AJ354">
        <v>90.819202831890394</v>
      </c>
      <c r="AK354">
        <v>17.2228675615425</v>
      </c>
      <c r="AL354">
        <v>88.290605356156306</v>
      </c>
      <c r="AM354">
        <v>96.515442104083206</v>
      </c>
      <c r="AN354">
        <v>1.0000000340566499</v>
      </c>
    </row>
    <row r="355" spans="1:40" x14ac:dyDescent="0.3">
      <c r="A355" t="str">
        <f>"20200111145921854"</f>
        <v>20200111145921854</v>
      </c>
      <c r="B355" t="str">
        <f>"1578725961846163"</f>
        <v>1578725961846163</v>
      </c>
      <c r="C355" t="s">
        <v>40</v>
      </c>
      <c r="D355">
        <v>4.3314700000000004</v>
      </c>
      <c r="E355">
        <v>0.53745469999999995</v>
      </c>
      <c r="F355" t="s">
        <v>43</v>
      </c>
      <c r="G355">
        <v>-437.16199999999998</v>
      </c>
      <c r="H355">
        <v>-0.05</v>
      </c>
      <c r="I355">
        <v>367.4742</v>
      </c>
      <c r="J355">
        <v>-454.43790000000001</v>
      </c>
      <c r="K355">
        <v>1.1039030000000001</v>
      </c>
      <c r="L355">
        <v>367.20139999999998</v>
      </c>
      <c r="M355">
        <v>0.99998710000000002</v>
      </c>
      <c r="N355">
        <v>0</v>
      </c>
      <c r="O355">
        <v>1.389281E-3</v>
      </c>
      <c r="P355">
        <v>0.99305120000000002</v>
      </c>
      <c r="Q355">
        <v>2.4925599999999999E-2</v>
      </c>
      <c r="R355">
        <v>0.1150151</v>
      </c>
      <c r="S355">
        <v>3.0203859999999998</v>
      </c>
      <c r="T355">
        <v>-0.20084170000000001</v>
      </c>
      <c r="U355">
        <v>4.7546390000000001E-2</v>
      </c>
      <c r="V355">
        <v>-0.11364340000000001</v>
      </c>
      <c r="W355">
        <v>2.9744360000000001E-2</v>
      </c>
      <c r="X355">
        <v>0.99307630000000002</v>
      </c>
      <c r="Y355">
        <v>-1.432218E-2</v>
      </c>
      <c r="Z355">
        <v>3.833509E-4</v>
      </c>
      <c r="AA355">
        <v>0.99989740000000005</v>
      </c>
      <c r="AB355">
        <v>14</v>
      </c>
      <c r="AC355">
        <v>17.2759</v>
      </c>
      <c r="AD355">
        <v>-1.1539029999999999</v>
      </c>
      <c r="AE355">
        <v>0.27280000000001697</v>
      </c>
      <c r="AF355">
        <v>-0.24769362121279401</v>
      </c>
      <c r="AG355">
        <v>-1.1539029999999999</v>
      </c>
      <c r="AH355">
        <v>17.199549843970001</v>
      </c>
      <c r="AI355">
        <v>93.837776210362406</v>
      </c>
      <c r="AJ355">
        <v>90.825069159495499</v>
      </c>
      <c r="AK355">
        <v>17.239993013299301</v>
      </c>
      <c r="AL355">
        <v>88.295522385872701</v>
      </c>
      <c r="AM355">
        <v>96.528285412402795</v>
      </c>
      <c r="AN355">
        <v>1.0000000434685199</v>
      </c>
    </row>
    <row r="356" spans="1:40" x14ac:dyDescent="0.3">
      <c r="A356" t="str">
        <f>"20200111145921867"</f>
        <v>20200111145921867</v>
      </c>
      <c r="B356" t="str">
        <f>"1578725961855923"</f>
        <v>1578725961855923</v>
      </c>
      <c r="C356" t="s">
        <v>40</v>
      </c>
      <c r="D356">
        <v>4.3499470000000002</v>
      </c>
      <c r="E356">
        <v>0.50781609999999999</v>
      </c>
      <c r="F356" t="s">
        <v>43</v>
      </c>
      <c r="G356">
        <v>-437.10419999999999</v>
      </c>
      <c r="H356">
        <v>-0.05</v>
      </c>
      <c r="I356">
        <v>367.48439999999999</v>
      </c>
      <c r="J356">
        <v>-454.36349999999999</v>
      </c>
      <c r="K356">
        <v>1.1038950000000001</v>
      </c>
      <c r="L356">
        <v>367.20170000000002</v>
      </c>
      <c r="M356">
        <v>0.99998699999999996</v>
      </c>
      <c r="N356">
        <v>0</v>
      </c>
      <c r="O356">
        <v>1.5872169999999999E-3</v>
      </c>
      <c r="P356">
        <v>0.99304009999999998</v>
      </c>
      <c r="Q356">
        <v>2.463564E-2</v>
      </c>
      <c r="R356">
        <v>0.1151726</v>
      </c>
      <c r="S356">
        <v>3.0202939999999998</v>
      </c>
      <c r="T356">
        <v>-0.2010604</v>
      </c>
      <c r="U356">
        <v>4.9316409999999998E-2</v>
      </c>
      <c r="V356">
        <v>-0.1136028</v>
      </c>
      <c r="W356">
        <v>2.943026E-2</v>
      </c>
      <c r="X356">
        <v>0.99309029999999998</v>
      </c>
      <c r="Y356">
        <v>-1.471009E-2</v>
      </c>
      <c r="Z356">
        <v>3.8351230000000002E-4</v>
      </c>
      <c r="AA356">
        <v>0.99989170000000005</v>
      </c>
      <c r="AB356">
        <v>14</v>
      </c>
      <c r="AC356">
        <v>17.2592999999999</v>
      </c>
      <c r="AD356">
        <v>-1.1538949999999999</v>
      </c>
      <c r="AE356">
        <v>0.28269999999997703</v>
      </c>
      <c r="AF356">
        <v>-0.25416929159748802</v>
      </c>
      <c r="AG356">
        <v>-1.1538949999999999</v>
      </c>
      <c r="AH356">
        <v>17.182943579287301</v>
      </c>
      <c r="AI356">
        <v>93.841425691858703</v>
      </c>
      <c r="AJ356">
        <v>90.847454665607501</v>
      </c>
      <c r="AK356">
        <v>17.223519551728799</v>
      </c>
      <c r="AL356">
        <v>88.313526866301601</v>
      </c>
      <c r="AM356">
        <v>96.525882047918898</v>
      </c>
      <c r="AN356">
        <v>1.00000004016279</v>
      </c>
    </row>
    <row r="357" spans="1:40" x14ac:dyDescent="0.3">
      <c r="A357" t="str">
        <f>"20200111145921886"</f>
        <v>20200111145921886</v>
      </c>
      <c r="B357" t="str">
        <f>"1578725961876418"</f>
        <v>1578725961876418</v>
      </c>
      <c r="C357" t="s">
        <v>40</v>
      </c>
      <c r="D357">
        <v>4.3663429999999996</v>
      </c>
      <c r="E357">
        <v>0.50624360000000002</v>
      </c>
      <c r="F357" t="s">
        <v>42</v>
      </c>
      <c r="G357">
        <v>-442.90109999999999</v>
      </c>
      <c r="H357" s="1">
        <v>-3.5712420000000001E-6</v>
      </c>
      <c r="I357">
        <v>368.29109999999997</v>
      </c>
      <c r="J357">
        <v>-454.25060000000002</v>
      </c>
      <c r="K357">
        <v>1.103882</v>
      </c>
      <c r="L357">
        <v>367.2022</v>
      </c>
      <c r="M357">
        <v>0.99998679999999995</v>
      </c>
      <c r="N357">
        <v>0</v>
      </c>
      <c r="O357">
        <v>1.863209E-3</v>
      </c>
      <c r="P357">
        <v>0.99298660000000005</v>
      </c>
      <c r="Q357">
        <v>2.417884E-2</v>
      </c>
      <c r="R357">
        <v>0.1157296</v>
      </c>
      <c r="S357">
        <v>2.9951780000000001</v>
      </c>
      <c r="T357">
        <v>-0.28845520000000002</v>
      </c>
      <c r="U357">
        <v>0.28466799999999998</v>
      </c>
      <c r="V357">
        <v>-0.11388429999999999</v>
      </c>
      <c r="W357">
        <v>2.8941709999999999E-2</v>
      </c>
      <c r="X357">
        <v>0.99307239999999997</v>
      </c>
      <c r="Y357">
        <v>-9.2345800000000006E-2</v>
      </c>
      <c r="Z357">
        <v>4.2479609999999998E-3</v>
      </c>
      <c r="AA357">
        <v>0.99571790000000004</v>
      </c>
      <c r="AB357">
        <v>14</v>
      </c>
      <c r="AC357">
        <v>11.349500000000001</v>
      </c>
      <c r="AD357">
        <v>-1.1038855712419999</v>
      </c>
      <c r="AE357">
        <v>1.08889999999996</v>
      </c>
      <c r="AF357">
        <v>-1.0578354483318599</v>
      </c>
      <c r="AG357">
        <v>-1.1038855712419999</v>
      </c>
      <c r="AH357">
        <v>11.2460906657584</v>
      </c>
      <c r="AI357">
        <v>95.581557799130195</v>
      </c>
      <c r="AJ357">
        <v>95.373573689123006</v>
      </c>
      <c r="AK357">
        <v>11.349543358769999</v>
      </c>
      <c r="AL357">
        <v>88.341530621384706</v>
      </c>
      <c r="AM357">
        <v>96.542029630351095</v>
      </c>
      <c r="AN357">
        <v>1.00000002400298</v>
      </c>
    </row>
    <row r="358" spans="1:40" x14ac:dyDescent="0.3">
      <c r="A358" t="str">
        <f>"20200111145921899"</f>
        <v>20200111145921899</v>
      </c>
      <c r="B358" t="str">
        <f>"1578725961895939"</f>
        <v>1578725961895939</v>
      </c>
      <c r="C358" t="s">
        <v>40</v>
      </c>
      <c r="D358">
        <v>4.3526550000000004</v>
      </c>
      <c r="E358">
        <v>0.50587579999999999</v>
      </c>
      <c r="F358" t="s">
        <v>42</v>
      </c>
      <c r="G358">
        <v>-443.1259</v>
      </c>
      <c r="H358" s="1">
        <v>-3.461117E-6</v>
      </c>
      <c r="I358">
        <v>368.31290000000001</v>
      </c>
      <c r="J358">
        <v>-454.16019999999997</v>
      </c>
      <c r="K358">
        <v>1.1038680000000001</v>
      </c>
      <c r="L358">
        <v>367.20260000000002</v>
      </c>
      <c r="M358">
        <v>0.99998640000000005</v>
      </c>
      <c r="N358">
        <v>0</v>
      </c>
      <c r="O358">
        <v>2.0626049999999999E-3</v>
      </c>
      <c r="P358">
        <v>0.99292329999999995</v>
      </c>
      <c r="Q358">
        <v>2.420601E-2</v>
      </c>
      <c r="R358">
        <v>0.11626450000000001</v>
      </c>
      <c r="S358">
        <v>2.9935610000000001</v>
      </c>
      <c r="T358">
        <v>-0.2970448</v>
      </c>
      <c r="U358">
        <v>0.29888920000000002</v>
      </c>
      <c r="V358">
        <v>-0.11422</v>
      </c>
      <c r="W358">
        <v>2.8945039999999998E-2</v>
      </c>
      <c r="X358">
        <v>0.99303370000000002</v>
      </c>
      <c r="Y358">
        <v>-9.683659E-2</v>
      </c>
      <c r="Z358">
        <v>4.5772180000000001E-3</v>
      </c>
      <c r="AA358">
        <v>0.99528970000000005</v>
      </c>
      <c r="AB358">
        <v>14</v>
      </c>
      <c r="AC358">
        <v>11.034299999999901</v>
      </c>
      <c r="AD358">
        <v>-1.103871461117</v>
      </c>
      <c r="AE358">
        <v>1.1102999999999901</v>
      </c>
      <c r="AF358">
        <v>-1.0768686947994299</v>
      </c>
      <c r="AG358">
        <v>-1.103871461117</v>
      </c>
      <c r="AH358">
        <v>10.9282925428661</v>
      </c>
      <c r="AI358">
        <v>95.740292313511304</v>
      </c>
      <c r="AJ358">
        <v>95.627730346119606</v>
      </c>
      <c r="AK358">
        <v>11.036564514873699</v>
      </c>
      <c r="AL358">
        <v>88.341339667726899</v>
      </c>
      <c r="AM358">
        <v>96.561399324428194</v>
      </c>
      <c r="AN358">
        <v>0.99999997653814499</v>
      </c>
    </row>
    <row r="359" spans="1:40" x14ac:dyDescent="0.3">
      <c r="A359" t="str">
        <f>"20200111145921911"</f>
        <v>20200111145921911</v>
      </c>
      <c r="B359" t="str">
        <f>"1578725961905700"</f>
        <v>1578725961905700</v>
      </c>
      <c r="C359" t="s">
        <v>40</v>
      </c>
      <c r="D359">
        <v>4.2940740000000002</v>
      </c>
      <c r="E359">
        <v>0.50584510000000005</v>
      </c>
      <c r="F359" t="s">
        <v>42</v>
      </c>
      <c r="G359">
        <v>-442.64789999999999</v>
      </c>
      <c r="H359" s="1">
        <v>-3.6770690000000001E-6</v>
      </c>
      <c r="I359">
        <v>368.36930000000001</v>
      </c>
      <c r="J359">
        <v>-454.08620000000002</v>
      </c>
      <c r="K359">
        <v>1.1038520000000001</v>
      </c>
      <c r="L359">
        <v>367.2029</v>
      </c>
      <c r="M359">
        <v>0.99998640000000005</v>
      </c>
      <c r="N359">
        <v>0</v>
      </c>
      <c r="O359">
        <v>2.200493E-3</v>
      </c>
      <c r="P359">
        <v>0.99285939999999995</v>
      </c>
      <c r="Q359">
        <v>2.430187E-2</v>
      </c>
      <c r="R359">
        <v>0.1167897</v>
      </c>
      <c r="S359">
        <v>2.9928590000000002</v>
      </c>
      <c r="T359">
        <v>-0.2869739</v>
      </c>
      <c r="U359">
        <v>0.30331419999999998</v>
      </c>
      <c r="V359">
        <v>-0.114607</v>
      </c>
      <c r="W359">
        <v>2.9022260000000001E-2</v>
      </c>
      <c r="X359">
        <v>0.99298690000000001</v>
      </c>
      <c r="Y359">
        <v>-9.8204120000000006E-2</v>
      </c>
      <c r="Z359">
        <v>4.4755430000000002E-3</v>
      </c>
      <c r="AA359">
        <v>0.99515620000000005</v>
      </c>
      <c r="AB359">
        <v>14</v>
      </c>
      <c r="AC359">
        <v>11.4383</v>
      </c>
      <c r="AD359">
        <v>-1.103855677069</v>
      </c>
      <c r="AE359">
        <v>1.1664000000000001</v>
      </c>
      <c r="AF359">
        <v>-1.1308039119332001</v>
      </c>
      <c r="AG359">
        <v>-1.103855677069</v>
      </c>
      <c r="AH359">
        <v>11.3363472266371</v>
      </c>
      <c r="AI359">
        <v>95.534243379772207</v>
      </c>
      <c r="AJ359">
        <v>95.696427057799596</v>
      </c>
      <c r="AK359">
        <v>11.4459592558214</v>
      </c>
      <c r="AL359">
        <v>88.336913499966798</v>
      </c>
      <c r="AM359">
        <v>96.583743369279006</v>
      </c>
      <c r="AN359">
        <v>1.0000000197980501</v>
      </c>
    </row>
    <row r="360" spans="1:40" x14ac:dyDescent="0.3">
      <c r="A360" t="str">
        <f>"20200111145921930"</f>
        <v>20200111145921930</v>
      </c>
      <c r="B360" t="str">
        <f>"1578725961926195"</f>
        <v>1578725961926195</v>
      </c>
      <c r="C360" t="s">
        <v>40</v>
      </c>
      <c r="D360">
        <v>4.3357359999999998</v>
      </c>
      <c r="E360">
        <v>0.50580539999999996</v>
      </c>
      <c r="F360" t="s">
        <v>42</v>
      </c>
      <c r="G360">
        <v>-442.49430000000001</v>
      </c>
      <c r="H360" s="1">
        <v>-3.7466860000000001E-6</v>
      </c>
      <c r="I360">
        <v>368.3861</v>
      </c>
      <c r="J360">
        <v>-453.97129999999999</v>
      </c>
      <c r="K360">
        <v>1.1038220000000001</v>
      </c>
      <c r="L360">
        <v>367.20339999999999</v>
      </c>
      <c r="M360">
        <v>0.99998609999999999</v>
      </c>
      <c r="N360">
        <v>0</v>
      </c>
      <c r="O360">
        <v>2.3863370000000001E-3</v>
      </c>
      <c r="P360">
        <v>0.99276960000000003</v>
      </c>
      <c r="Q360">
        <v>2.4480789999999999E-2</v>
      </c>
      <c r="R360">
        <v>0.11751300000000001</v>
      </c>
      <c r="S360">
        <v>2.9926149999999998</v>
      </c>
      <c r="T360">
        <v>-0.28497699999999998</v>
      </c>
      <c r="U360">
        <v>0.30545040000000001</v>
      </c>
      <c r="V360">
        <v>-0.11514439999999999</v>
      </c>
      <c r="W360">
        <v>2.9171450000000002E-2</v>
      </c>
      <c r="X360">
        <v>0.99292029999999998</v>
      </c>
      <c r="Y360">
        <v>-9.8734859999999994E-2</v>
      </c>
      <c r="Z360">
        <v>4.4522770000000001E-3</v>
      </c>
      <c r="AA360">
        <v>0.99510379999999998</v>
      </c>
      <c r="AB360">
        <v>14</v>
      </c>
      <c r="AC360">
        <v>11.476999999999901</v>
      </c>
      <c r="AD360">
        <v>-1.10382574668599</v>
      </c>
      <c r="AE360">
        <v>1.1827000000000101</v>
      </c>
      <c r="AF360">
        <v>-1.1448298746739001</v>
      </c>
      <c r="AG360">
        <v>-1.10382574668599</v>
      </c>
      <c r="AH360">
        <v>11.375669782504501</v>
      </c>
      <c r="AI360">
        <v>95.514599670457798</v>
      </c>
      <c r="AJ360">
        <v>95.746809649587206</v>
      </c>
      <c r="AK360">
        <v>11.486293123613899</v>
      </c>
      <c r="AL360">
        <v>88.328361829134096</v>
      </c>
      <c r="AM360">
        <v>96.6147817914444</v>
      </c>
      <c r="AN360">
        <v>0.99999996424927495</v>
      </c>
    </row>
    <row r="361" spans="1:40" x14ac:dyDescent="0.3">
      <c r="A361" t="str">
        <f>"20200111145921944"</f>
        <v>20200111145921944</v>
      </c>
      <c r="B361" t="str">
        <f>"1578725961935955"</f>
        <v>1578725961935955</v>
      </c>
      <c r="C361" t="s">
        <v>40</v>
      </c>
      <c r="D361">
        <v>4.3779490000000001</v>
      </c>
      <c r="E361">
        <v>0.50562269999999998</v>
      </c>
      <c r="F361" t="s">
        <v>42</v>
      </c>
      <c r="G361">
        <v>-442.25700000000001</v>
      </c>
      <c r="H361" s="1">
        <v>-3.8544839999999997E-6</v>
      </c>
      <c r="I361">
        <v>368.41090000000003</v>
      </c>
      <c r="J361">
        <v>-453.87779999999998</v>
      </c>
      <c r="K361">
        <v>1.103793</v>
      </c>
      <c r="L361">
        <v>367.2038</v>
      </c>
      <c r="M361">
        <v>0.99998580000000004</v>
      </c>
      <c r="N361">
        <v>0</v>
      </c>
      <c r="O361">
        <v>2.5065030000000002E-3</v>
      </c>
      <c r="P361">
        <v>0.99270150000000001</v>
      </c>
      <c r="Q361">
        <v>2.5029280000000001E-2</v>
      </c>
      <c r="R361">
        <v>0.1179723</v>
      </c>
      <c r="S361">
        <v>2.9923099999999998</v>
      </c>
      <c r="T361">
        <v>-0.28196100000000002</v>
      </c>
      <c r="U361">
        <v>0.30844120000000003</v>
      </c>
      <c r="V361">
        <v>-0.115483</v>
      </c>
      <c r="W361">
        <v>2.9694789999999999E-2</v>
      </c>
      <c r="X361">
        <v>0.99286549999999996</v>
      </c>
      <c r="Y361">
        <v>-9.9615430000000005E-2</v>
      </c>
      <c r="Z361">
        <v>4.4356059999999999E-3</v>
      </c>
      <c r="AA361">
        <v>0.99501609999999996</v>
      </c>
      <c r="AB361">
        <v>14</v>
      </c>
      <c r="AC361">
        <v>11.620799999999999</v>
      </c>
      <c r="AD361">
        <v>-1.103796854484</v>
      </c>
      <c r="AE361">
        <v>1.20710000000002</v>
      </c>
      <c r="AF361">
        <v>-1.1675470665868699</v>
      </c>
      <c r="AG361">
        <v>-1.103796854484</v>
      </c>
      <c r="AH361">
        <v>11.520955798328</v>
      </c>
      <c r="AI361">
        <v>95.444956101315299</v>
      </c>
      <c r="AJ361">
        <v>95.786665184284402</v>
      </c>
      <c r="AK361">
        <v>11.6324527145264</v>
      </c>
      <c r="AL361">
        <v>88.298363722866199</v>
      </c>
      <c r="AM361">
        <v>96.634423343143396</v>
      </c>
      <c r="AN361">
        <v>1.0000000024661899</v>
      </c>
    </row>
    <row r="362" spans="1:40" x14ac:dyDescent="0.3">
      <c r="A362" t="str">
        <f>"20200111145921958"</f>
        <v>20200111145921958</v>
      </c>
      <c r="B362" t="str">
        <f>"1578725961945715"</f>
        <v>1578725961945715</v>
      </c>
      <c r="C362" t="s">
        <v>40</v>
      </c>
      <c r="D362">
        <v>4.4171839999999998</v>
      </c>
      <c r="E362">
        <v>0.50585409999999997</v>
      </c>
      <c r="F362" t="s">
        <v>42</v>
      </c>
      <c r="G362">
        <v>-441.73039999999997</v>
      </c>
      <c r="H362" s="1">
        <v>-4.0934910000000002E-6</v>
      </c>
      <c r="I362">
        <v>368.4667</v>
      </c>
      <c r="J362">
        <v>-453.78829999999999</v>
      </c>
      <c r="K362">
        <v>1.103764</v>
      </c>
      <c r="L362">
        <v>367.20409999999998</v>
      </c>
      <c r="M362">
        <v>0.99998589999999998</v>
      </c>
      <c r="N362">
        <v>0</v>
      </c>
      <c r="O362">
        <v>2.5924559999999999E-3</v>
      </c>
      <c r="P362">
        <v>0.99266730000000003</v>
      </c>
      <c r="Q362">
        <v>2.474556E-2</v>
      </c>
      <c r="R362">
        <v>0.118318699999999</v>
      </c>
      <c r="S362">
        <v>2.991943</v>
      </c>
      <c r="T362">
        <v>-0.27186880000000002</v>
      </c>
      <c r="U362">
        <v>0.3110657</v>
      </c>
      <c r="V362">
        <v>-0.1157421</v>
      </c>
      <c r="W362">
        <v>2.93864E-2</v>
      </c>
      <c r="X362">
        <v>0.99284450000000002</v>
      </c>
      <c r="Y362">
        <v>-0.1004327</v>
      </c>
      <c r="Z362">
        <v>4.30701E-3</v>
      </c>
      <c r="AA362">
        <v>0.9949346</v>
      </c>
      <c r="AB362">
        <v>14</v>
      </c>
      <c r="AC362">
        <v>12.0579</v>
      </c>
      <c r="AD362">
        <v>-1.1037680934909999</v>
      </c>
      <c r="AE362">
        <v>1.2626000000000199</v>
      </c>
      <c r="AF362">
        <v>-1.2212138044281</v>
      </c>
      <c r="AG362">
        <v>-1.1037680934909999</v>
      </c>
      <c r="AH362">
        <v>11.961985722459699</v>
      </c>
      <c r="AI362">
        <v>95.244815708536706</v>
      </c>
      <c r="AJ362">
        <v>95.829200591741397</v>
      </c>
      <c r="AK362">
        <v>12.074716128533399</v>
      </c>
      <c r="AL362">
        <v>88.316040874948101</v>
      </c>
      <c r="AM362">
        <v>96.649314711444703</v>
      </c>
      <c r="AN362">
        <v>0.99999999769880998</v>
      </c>
    </row>
    <row r="363" spans="1:40" x14ac:dyDescent="0.3">
      <c r="A363" t="str">
        <f>"20200111145921976"</f>
        <v>20200111145921976</v>
      </c>
      <c r="B363" t="str">
        <f>"1578725961966210"</f>
        <v>1578725961966210</v>
      </c>
      <c r="C363" t="s">
        <v>40</v>
      </c>
      <c r="D363">
        <v>4.2736330000000002</v>
      </c>
      <c r="E363">
        <v>0.50646859999999905</v>
      </c>
      <c r="F363" t="s">
        <v>42</v>
      </c>
      <c r="G363">
        <v>-441.29059999999998</v>
      </c>
      <c r="H363" s="1">
        <v>-4.2954509999999999E-6</v>
      </c>
      <c r="I363">
        <v>368.50009999999997</v>
      </c>
      <c r="J363">
        <v>-453.66860000000003</v>
      </c>
      <c r="K363">
        <v>1.103726</v>
      </c>
      <c r="L363">
        <v>367.2045</v>
      </c>
      <c r="M363">
        <v>0.99998580000000004</v>
      </c>
      <c r="N363">
        <v>0</v>
      </c>
      <c r="O363">
        <v>2.6631379999999998E-3</v>
      </c>
      <c r="P363">
        <v>0.99273299999999998</v>
      </c>
      <c r="Q363">
        <v>2.4176039999999999E-2</v>
      </c>
      <c r="R363">
        <v>0.117884199999999</v>
      </c>
      <c r="S363">
        <v>2.9917600000000002</v>
      </c>
      <c r="T363">
        <v>-0.26422580000000001</v>
      </c>
      <c r="U363">
        <v>0.31024170000000001</v>
      </c>
      <c r="V363">
        <v>-0.1152357</v>
      </c>
      <c r="W363">
        <v>2.8783940000000001E-2</v>
      </c>
      <c r="X363">
        <v>0.9929211</v>
      </c>
      <c r="Y363">
        <v>-0.100121</v>
      </c>
      <c r="Z363">
        <v>4.1668E-3</v>
      </c>
      <c r="AA363">
        <v>0.99496660000000003</v>
      </c>
      <c r="AB363">
        <v>14</v>
      </c>
      <c r="AC363">
        <v>12.378</v>
      </c>
      <c r="AD363">
        <v>-1.103730295451</v>
      </c>
      <c r="AE363">
        <v>1.2955999999999701</v>
      </c>
      <c r="AF363">
        <v>-1.2527777686338399</v>
      </c>
      <c r="AG363">
        <v>-1.103730295451</v>
      </c>
      <c r="AH363">
        <v>12.28478795635</v>
      </c>
      <c r="AI363">
        <v>95.107622753478097</v>
      </c>
      <c r="AJ363">
        <v>95.822778427255599</v>
      </c>
      <c r="AK363">
        <v>12.3977291402564</v>
      </c>
      <c r="AL363">
        <v>88.350573980695003</v>
      </c>
      <c r="AM363">
        <v>96.619974944505302</v>
      </c>
      <c r="AN363">
        <v>1.0000000462908101</v>
      </c>
    </row>
    <row r="364" spans="1:40" x14ac:dyDescent="0.3">
      <c r="A364" t="str">
        <f>"20200111145921990"</f>
        <v>20200111145921990</v>
      </c>
      <c r="B364" t="str">
        <f>"1578725961985732"</f>
        <v>1578725961985732</v>
      </c>
      <c r="C364" t="s">
        <v>40</v>
      </c>
      <c r="D364">
        <v>4.2504540000000004</v>
      </c>
      <c r="E364">
        <v>0.50685210000000003</v>
      </c>
      <c r="F364" t="s">
        <v>42</v>
      </c>
      <c r="G364">
        <v>-440.42950000000002</v>
      </c>
      <c r="H364" s="1">
        <v>-4.693514E-6</v>
      </c>
      <c r="I364">
        <v>368.55099999999999</v>
      </c>
      <c r="J364">
        <v>-453.57749999999999</v>
      </c>
      <c r="K364">
        <v>1.1036999999999999</v>
      </c>
      <c r="L364">
        <v>367.20479999999998</v>
      </c>
      <c r="M364">
        <v>0.99998600000000004</v>
      </c>
      <c r="N364">
        <v>0</v>
      </c>
      <c r="O364">
        <v>2.6892090000000001E-3</v>
      </c>
      <c r="P364">
        <v>0.9928517</v>
      </c>
      <c r="Q364">
        <v>2.3795400000000001E-2</v>
      </c>
      <c r="R364">
        <v>0.11695999999999999</v>
      </c>
      <c r="S364">
        <v>2.991943</v>
      </c>
      <c r="T364">
        <v>-0.24943399999999999</v>
      </c>
      <c r="U364">
        <v>0.30429079999999997</v>
      </c>
      <c r="V364">
        <v>-0.11428389999999999</v>
      </c>
      <c r="W364">
        <v>2.8378319999999999E-2</v>
      </c>
      <c r="X364">
        <v>0.99304269999999994</v>
      </c>
      <c r="Y364">
        <v>-9.8177790000000001E-2</v>
      </c>
      <c r="Z364">
        <v>3.8516990000000001E-3</v>
      </c>
      <c r="AA364">
        <v>0.99516139999999997</v>
      </c>
      <c r="AB364">
        <v>14</v>
      </c>
      <c r="AC364">
        <v>13.1479999999999</v>
      </c>
      <c r="AD364">
        <v>-1.10370469351399</v>
      </c>
      <c r="AE364">
        <v>1.3462000000000101</v>
      </c>
      <c r="AF364">
        <v>-1.3017590937260699</v>
      </c>
      <c r="AG364">
        <v>-1.10370469351399</v>
      </c>
      <c r="AH364">
        <v>13.060494005379001</v>
      </c>
      <c r="AI364">
        <v>94.806719669249304</v>
      </c>
      <c r="AJ364">
        <v>95.691957505946803</v>
      </c>
      <c r="AK364">
        <v>13.1715315910157</v>
      </c>
      <c r="AL364">
        <v>88.373823670206093</v>
      </c>
      <c r="AM364">
        <v>96.564979062005804</v>
      </c>
      <c r="AN364">
        <v>0.99999997143426</v>
      </c>
    </row>
    <row r="365" spans="1:40" x14ac:dyDescent="0.3">
      <c r="A365" t="str">
        <f>"20200111145922007"</f>
        <v>20200111145922007</v>
      </c>
      <c r="B365" t="str">
        <f>"1578725961996467"</f>
        <v>1578725961996467</v>
      </c>
      <c r="C365" t="s">
        <v>40</v>
      </c>
      <c r="D365">
        <v>4.2167940000000002</v>
      </c>
      <c r="E365">
        <v>0.50701399999999996</v>
      </c>
      <c r="F365" t="s">
        <v>43</v>
      </c>
      <c r="G365">
        <v>-439.03250000000003</v>
      </c>
      <c r="H365">
        <v>-0.05</v>
      </c>
      <c r="I365">
        <v>368.65769999999998</v>
      </c>
      <c r="J365">
        <v>-453.46679999999998</v>
      </c>
      <c r="K365">
        <v>1.103672</v>
      </c>
      <c r="L365">
        <v>367.20510000000002</v>
      </c>
      <c r="M365">
        <v>0.99998600000000004</v>
      </c>
      <c r="N365">
        <v>0</v>
      </c>
      <c r="O365">
        <v>2.697227E-3</v>
      </c>
      <c r="P365">
        <v>0.99311530000000003</v>
      </c>
      <c r="Q365">
        <v>2.3617579999999999E-2</v>
      </c>
      <c r="R365">
        <v>0.1147359</v>
      </c>
      <c r="S365">
        <v>2.9920650000000002</v>
      </c>
      <c r="T365">
        <v>-0.23732880000000001</v>
      </c>
      <c r="U365">
        <v>0.29888920000000002</v>
      </c>
      <c r="V365">
        <v>-0.1120502</v>
      </c>
      <c r="W365">
        <v>2.8171930000000001E-2</v>
      </c>
      <c r="X365">
        <v>0.99330309999999999</v>
      </c>
      <c r="Y365">
        <v>-9.6423510000000004E-2</v>
      </c>
      <c r="Z365">
        <v>3.595624E-3</v>
      </c>
      <c r="AA365">
        <v>0.99533389999999999</v>
      </c>
      <c r="AB365">
        <v>15</v>
      </c>
      <c r="AC365">
        <v>14.434299999999901</v>
      </c>
      <c r="AD365">
        <v>-1.153672</v>
      </c>
      <c r="AE365">
        <v>1.4525999999999599</v>
      </c>
      <c r="AF365">
        <v>-1.4047778074619199</v>
      </c>
      <c r="AG365">
        <v>-1.153672</v>
      </c>
      <c r="AH365">
        <v>14.3474312823753</v>
      </c>
      <c r="AI365">
        <v>94.575456959763002</v>
      </c>
      <c r="AJ365">
        <v>95.592088530897996</v>
      </c>
      <c r="AK365">
        <v>14.462127926913199</v>
      </c>
      <c r="AL365">
        <v>88.385653684914004</v>
      </c>
      <c r="AM365">
        <v>96.4360796206674</v>
      </c>
      <c r="AN365">
        <v>0.99999997671478702</v>
      </c>
    </row>
    <row r="366" spans="1:40" x14ac:dyDescent="0.3">
      <c r="A366" t="str">
        <f>"20200111145922020"</f>
        <v>20200111145922020</v>
      </c>
      <c r="B366" t="str">
        <f>"1578725962015986"</f>
        <v>1578725962015986</v>
      </c>
      <c r="C366" t="s">
        <v>40</v>
      </c>
      <c r="D366">
        <v>4.3204570000000002</v>
      </c>
      <c r="E366">
        <v>0.50740799999999997</v>
      </c>
      <c r="F366" t="s">
        <v>43</v>
      </c>
      <c r="G366">
        <v>-438.60840000000002</v>
      </c>
      <c r="H366">
        <v>-0.05</v>
      </c>
      <c r="I366">
        <v>368.65069999999997</v>
      </c>
      <c r="J366">
        <v>-453.38040000000001</v>
      </c>
      <c r="K366">
        <v>1.103653</v>
      </c>
      <c r="L366">
        <v>367.20530000000002</v>
      </c>
      <c r="M366">
        <v>0.99998620000000005</v>
      </c>
      <c r="N366">
        <v>0</v>
      </c>
      <c r="O366">
        <v>2.68863E-3</v>
      </c>
      <c r="P366">
        <v>0.99327069999999995</v>
      </c>
      <c r="Q366">
        <v>2.367081E-2</v>
      </c>
      <c r="R366">
        <v>0.1133715</v>
      </c>
      <c r="S366">
        <v>2.9927060000000001</v>
      </c>
      <c r="T366">
        <v>-0.23236689999999999</v>
      </c>
      <c r="U366">
        <v>0.29116819999999999</v>
      </c>
      <c r="V366">
        <v>-0.110693</v>
      </c>
      <c r="W366">
        <v>2.8203860000000001E-2</v>
      </c>
      <c r="X366">
        <v>0.99345439999999996</v>
      </c>
      <c r="Y366">
        <v>-9.3887129999999999E-2</v>
      </c>
      <c r="Z366">
        <v>3.4229450000000002E-3</v>
      </c>
      <c r="AA366">
        <v>0.99557700000000005</v>
      </c>
      <c r="AB366">
        <v>15</v>
      </c>
      <c r="AC366">
        <v>14.771999999999901</v>
      </c>
      <c r="AD366">
        <v>-1.153653</v>
      </c>
      <c r="AE366">
        <v>1.4453999999999401</v>
      </c>
      <c r="AF366">
        <v>-1.3972367402091299</v>
      </c>
      <c r="AG366">
        <v>-1.153653</v>
      </c>
      <c r="AH366">
        <v>14.687102943408499</v>
      </c>
      <c r="AI366">
        <v>94.471182815040194</v>
      </c>
      <c r="AJ366">
        <v>95.434397739517607</v>
      </c>
      <c r="AK366">
        <v>14.7984518995359</v>
      </c>
      <c r="AL366">
        <v>88.3838235756713</v>
      </c>
      <c r="AM366">
        <v>96.357804987201305</v>
      </c>
      <c r="AN366">
        <v>1.00000002142362</v>
      </c>
    </row>
    <row r="367" spans="1:40" x14ac:dyDescent="0.3">
      <c r="A367" t="str">
        <f>"20200111145922032"</f>
        <v>20200111145922032</v>
      </c>
      <c r="B367" t="str">
        <f>"1578725962025747"</f>
        <v>1578725962025747</v>
      </c>
      <c r="C367" t="s">
        <v>40</v>
      </c>
      <c r="D367">
        <v>4.1910610000000004</v>
      </c>
      <c r="E367">
        <v>0.50740799999999997</v>
      </c>
      <c r="F367" t="s">
        <v>43</v>
      </c>
      <c r="G367">
        <v>-438.2885</v>
      </c>
      <c r="H367">
        <v>-0.05</v>
      </c>
      <c r="I367">
        <v>368.63420000000002</v>
      </c>
      <c r="J367">
        <v>-453.29759999999999</v>
      </c>
      <c r="K367">
        <v>1.103639</v>
      </c>
      <c r="L367">
        <v>367.20549999999997</v>
      </c>
      <c r="M367">
        <v>0.99998629999999999</v>
      </c>
      <c r="N367">
        <v>0</v>
      </c>
      <c r="O367">
        <v>2.6603809999999999E-3</v>
      </c>
      <c r="P367">
        <v>0.99341089999999999</v>
      </c>
      <c r="Q367">
        <v>2.345189E-2</v>
      </c>
      <c r="R367">
        <v>0.11218259999999999</v>
      </c>
      <c r="S367">
        <v>2.993439</v>
      </c>
      <c r="T367">
        <v>-0.22882279999999999</v>
      </c>
      <c r="U367">
        <v>0.28341670000000002</v>
      </c>
      <c r="V367">
        <v>-0.10953160000000001</v>
      </c>
      <c r="W367">
        <v>2.7969830000000001E-2</v>
      </c>
      <c r="X367">
        <v>0.99358970000000002</v>
      </c>
      <c r="Y367">
        <v>-9.1352470000000005E-2</v>
      </c>
      <c r="Z367">
        <v>3.276115E-3</v>
      </c>
      <c r="AA367">
        <v>0.99581330000000001</v>
      </c>
      <c r="AB367">
        <v>15</v>
      </c>
      <c r="AC367">
        <v>15.009099999999901</v>
      </c>
      <c r="AD367">
        <v>-1.1536389999999901</v>
      </c>
      <c r="AE367">
        <v>1.42870000000004</v>
      </c>
      <c r="AF367">
        <v>-1.3806809822672801</v>
      </c>
      <c r="AG367">
        <v>-1.1536389999999901</v>
      </c>
      <c r="AH367">
        <v>14.925461992910099</v>
      </c>
      <c r="AI367">
        <v>94.401079183827093</v>
      </c>
      <c r="AJ367">
        <v>95.2851094061906</v>
      </c>
      <c r="AK367">
        <v>15.033515178391299</v>
      </c>
      <c r="AL367">
        <v>88.397237744184494</v>
      </c>
      <c r="AM367">
        <v>96.290786244780904</v>
      </c>
      <c r="AN367">
        <v>0.999999987367439</v>
      </c>
    </row>
    <row r="368" spans="1:40" x14ac:dyDescent="0.3">
      <c r="A368" t="str">
        <f>"20200111145922045"</f>
        <v>20200111145922045</v>
      </c>
      <c r="B368" t="str">
        <f>"1578725962036482"</f>
        <v>1578725962036482</v>
      </c>
      <c r="C368" t="s">
        <v>40</v>
      </c>
      <c r="D368">
        <v>4.3361109999999998</v>
      </c>
      <c r="E368">
        <v>0.50749309999999903</v>
      </c>
      <c r="F368" t="s">
        <v>43</v>
      </c>
      <c r="G368">
        <v>-438.24549999999999</v>
      </c>
      <c r="H368">
        <v>-0.05</v>
      </c>
      <c r="I368">
        <v>368.61349999999999</v>
      </c>
      <c r="J368">
        <v>-453.21300000000002</v>
      </c>
      <c r="K368">
        <v>1.103626</v>
      </c>
      <c r="L368">
        <v>367.2056</v>
      </c>
      <c r="M368">
        <v>0.99998659999999995</v>
      </c>
      <c r="N368">
        <v>0</v>
      </c>
      <c r="O368">
        <v>2.6233110000000001E-3</v>
      </c>
      <c r="P368">
        <v>0.9935619</v>
      </c>
      <c r="Q368">
        <v>2.3173820000000001E-2</v>
      </c>
      <c r="R368">
        <v>0.1108978</v>
      </c>
      <c r="S368">
        <v>2.9936829999999999</v>
      </c>
      <c r="T368">
        <v>-0.2294437</v>
      </c>
      <c r="U368">
        <v>0.28002929999999998</v>
      </c>
      <c r="V368">
        <v>-0.10828260000000001</v>
      </c>
      <c r="W368">
        <v>2.7677650000000002E-2</v>
      </c>
      <c r="X368">
        <v>0.99373480000000003</v>
      </c>
      <c r="Y368">
        <v>-9.0266470000000001E-2</v>
      </c>
      <c r="Z368">
        <v>3.2462509999999999E-3</v>
      </c>
      <c r="AA368">
        <v>0.99591240000000003</v>
      </c>
      <c r="AB368">
        <v>15</v>
      </c>
      <c r="AC368">
        <v>14.967499999999999</v>
      </c>
      <c r="AD368">
        <v>-1.153626</v>
      </c>
      <c r="AE368">
        <v>1.4078999999999799</v>
      </c>
      <c r="AF368">
        <v>-1.36061833530201</v>
      </c>
      <c r="AG368">
        <v>-1.153626</v>
      </c>
      <c r="AH368">
        <v>14.883500176881199</v>
      </c>
      <c r="AI368">
        <v>94.413824714384205</v>
      </c>
      <c r="AJ368">
        <v>95.223341253641294</v>
      </c>
      <c r="AK368">
        <v>14.9900204375264</v>
      </c>
      <c r="AL368">
        <v>88.413984950129205</v>
      </c>
      <c r="AM368">
        <v>96.218716134647593</v>
      </c>
      <c r="AN368">
        <v>1.00000001325166</v>
      </c>
    </row>
    <row r="369" spans="1:40" x14ac:dyDescent="0.3">
      <c r="A369" t="str">
        <f>"20200111145922057"</f>
        <v>20200111145922057</v>
      </c>
      <c r="B369" t="str">
        <f>"1578725962046244"</f>
        <v>1578725962046244</v>
      </c>
      <c r="C369" t="s">
        <v>40</v>
      </c>
      <c r="D369">
        <v>4.27677</v>
      </c>
      <c r="E369">
        <v>0.50755209999999995</v>
      </c>
      <c r="F369" t="s">
        <v>43</v>
      </c>
      <c r="G369">
        <v>-437.88929999999999</v>
      </c>
      <c r="H369">
        <v>-0.05</v>
      </c>
      <c r="I369">
        <v>368.61509999999998</v>
      </c>
      <c r="J369">
        <v>-453.12849999999997</v>
      </c>
      <c r="K369">
        <v>1.1036159999999999</v>
      </c>
      <c r="L369">
        <v>367.20580000000001</v>
      </c>
      <c r="M369">
        <v>0.99998659999999995</v>
      </c>
      <c r="N369">
        <v>0</v>
      </c>
      <c r="O369">
        <v>2.5746800000000002E-3</v>
      </c>
      <c r="P369">
        <v>0.99372479999999996</v>
      </c>
      <c r="Q369">
        <v>2.2604659999999999E-2</v>
      </c>
      <c r="R369">
        <v>0.10954609999999999</v>
      </c>
      <c r="S369">
        <v>2.9939580000000001</v>
      </c>
      <c r="T369">
        <v>-0.2253965</v>
      </c>
      <c r="U369">
        <v>0.27539059999999999</v>
      </c>
      <c r="V369">
        <v>-0.1069792</v>
      </c>
      <c r="W369">
        <v>2.7098029999999999E-2</v>
      </c>
      <c r="X369">
        <v>0.99389190000000005</v>
      </c>
      <c r="Y369">
        <v>-8.8789380000000001E-2</v>
      </c>
      <c r="Z369">
        <v>3.1373310000000001E-3</v>
      </c>
      <c r="AA369">
        <v>0.99604550000000003</v>
      </c>
      <c r="AB369">
        <v>15</v>
      </c>
      <c r="AC369">
        <v>15.239199999999901</v>
      </c>
      <c r="AD369">
        <v>-1.153616</v>
      </c>
      <c r="AE369">
        <v>1.40929999999997</v>
      </c>
      <c r="AF369">
        <v>-1.36231820336314</v>
      </c>
      <c r="AG369">
        <v>-1.153616</v>
      </c>
      <c r="AH369">
        <v>15.156658176916</v>
      </c>
      <c r="AI369">
        <v>94.335142046255996</v>
      </c>
      <c r="AJ369">
        <v>95.1360858572897</v>
      </c>
      <c r="AK369">
        <v>15.261422864679</v>
      </c>
      <c r="AL369">
        <v>88.447207141513701</v>
      </c>
      <c r="AM369">
        <v>96.143473559353595</v>
      </c>
      <c r="AN369">
        <v>0.99999998067406504</v>
      </c>
    </row>
    <row r="370" spans="1:40" x14ac:dyDescent="0.3">
      <c r="A370" t="str">
        <f>"20200111145922076"</f>
        <v>20200111145922076</v>
      </c>
      <c r="B370" t="str">
        <f>"1578725962065762"</f>
        <v>1578725962065762</v>
      </c>
      <c r="C370" t="s">
        <v>40</v>
      </c>
      <c r="D370">
        <v>4.2753889999999997</v>
      </c>
      <c r="E370">
        <v>0.50765400000000005</v>
      </c>
      <c r="F370" t="s">
        <v>43</v>
      </c>
      <c r="G370">
        <v>-437.64909999999998</v>
      </c>
      <c r="H370">
        <v>-0.05</v>
      </c>
      <c r="I370">
        <v>368.6078</v>
      </c>
      <c r="J370">
        <v>-453.00560000000002</v>
      </c>
      <c r="K370">
        <v>1.103604</v>
      </c>
      <c r="L370">
        <v>367.20609999999999</v>
      </c>
      <c r="M370">
        <v>0.99998679999999995</v>
      </c>
      <c r="N370">
        <v>0</v>
      </c>
      <c r="O370">
        <v>2.4842599999999999E-3</v>
      </c>
      <c r="P370">
        <v>0.99392139999999995</v>
      </c>
      <c r="Q370">
        <v>2.189938E-2</v>
      </c>
      <c r="R370">
        <v>0.10789169999999999</v>
      </c>
      <c r="S370">
        <v>2.9941409999999999</v>
      </c>
      <c r="T370">
        <v>-0.2231416</v>
      </c>
      <c r="U370">
        <v>0.27117920000000001</v>
      </c>
      <c r="V370">
        <v>-0.1054133</v>
      </c>
      <c r="W370">
        <v>2.6386840000000002E-2</v>
      </c>
      <c r="X370">
        <v>0.99407829999999997</v>
      </c>
      <c r="Y370">
        <v>-8.7492500000000001E-2</v>
      </c>
      <c r="Z370">
        <v>3.0645939999999999E-3</v>
      </c>
      <c r="AA370">
        <v>0.99616039999999995</v>
      </c>
      <c r="AB370">
        <v>15</v>
      </c>
      <c r="AC370">
        <v>15.3565</v>
      </c>
      <c r="AD370">
        <v>-1.1536040000000001</v>
      </c>
      <c r="AE370">
        <v>1.4016999999999999</v>
      </c>
      <c r="AF370">
        <v>-1.3559569768347299</v>
      </c>
      <c r="AG370">
        <v>-1.1536040000000001</v>
      </c>
      <c r="AH370">
        <v>15.274449575618499</v>
      </c>
      <c r="AI370">
        <v>94.302213740019099</v>
      </c>
      <c r="AJ370">
        <v>95.073013442444505</v>
      </c>
      <c r="AK370">
        <v>15.3778487230807</v>
      </c>
      <c r="AL370">
        <v>88.487969857444398</v>
      </c>
      <c r="AM370">
        <v>96.053094892563905</v>
      </c>
      <c r="AN370">
        <v>0.99999994783648105</v>
      </c>
    </row>
    <row r="371" spans="1:40" x14ac:dyDescent="0.3">
      <c r="A371" t="str">
        <f>"20200111145922090"</f>
        <v>20200111145922090</v>
      </c>
      <c r="B371" t="str">
        <f>"1578725962086258"</f>
        <v>1578725962086258</v>
      </c>
      <c r="C371" t="s">
        <v>40</v>
      </c>
      <c r="D371">
        <v>4.228529</v>
      </c>
      <c r="E371">
        <v>0.50760419999999995</v>
      </c>
      <c r="F371" t="s">
        <v>43</v>
      </c>
      <c r="G371">
        <v>-437.62790000000001</v>
      </c>
      <c r="H371">
        <v>-0.05</v>
      </c>
      <c r="I371">
        <v>368.56900000000002</v>
      </c>
      <c r="J371">
        <v>-452.91239999999999</v>
      </c>
      <c r="K371">
        <v>1.103599</v>
      </c>
      <c r="L371">
        <v>367.20609999999999</v>
      </c>
      <c r="M371">
        <v>0.99998719999999996</v>
      </c>
      <c r="N371">
        <v>0</v>
      </c>
      <c r="O371">
        <v>2.4040770000000001E-3</v>
      </c>
      <c r="P371">
        <v>0.99395710000000004</v>
      </c>
      <c r="Q371">
        <v>2.1854740000000001E-2</v>
      </c>
      <c r="R371">
        <v>0.1075731</v>
      </c>
      <c r="S371">
        <v>2.9944459999999999</v>
      </c>
      <c r="T371">
        <v>-0.22463610000000001</v>
      </c>
      <c r="U371">
        <v>0.26541140000000002</v>
      </c>
      <c r="V371">
        <v>-0.105175</v>
      </c>
      <c r="W371">
        <v>2.6345850000000001E-2</v>
      </c>
      <c r="X371">
        <v>0.99410469999999895</v>
      </c>
      <c r="Y371">
        <v>-8.5661349999999997E-2</v>
      </c>
      <c r="Z371">
        <v>3.0225540000000002E-3</v>
      </c>
      <c r="AA371">
        <v>0.99631970000000003</v>
      </c>
      <c r="AB371">
        <v>15</v>
      </c>
      <c r="AC371">
        <v>15.2844999999999</v>
      </c>
      <c r="AD371">
        <v>-1.153599</v>
      </c>
      <c r="AE371">
        <v>1.36290000000002</v>
      </c>
      <c r="AF371">
        <v>-1.3186978910798299</v>
      </c>
      <c r="AG371">
        <v>-1.153599</v>
      </c>
      <c r="AH371">
        <v>15.2018184931891</v>
      </c>
      <c r="AI371">
        <v>94.323432602699995</v>
      </c>
      <c r="AJ371">
        <v>94.957772556885303</v>
      </c>
      <c r="AK371">
        <v>15.3024521002552</v>
      </c>
      <c r="AL371">
        <v>88.490319336547699</v>
      </c>
      <c r="AM371">
        <v>96.039353158051597</v>
      </c>
      <c r="AN371">
        <v>1.0000000194996499</v>
      </c>
    </row>
    <row r="372" spans="1:40" x14ac:dyDescent="0.3">
      <c r="A372" t="str">
        <f>"20200111145922107"</f>
        <v>20200111145922107</v>
      </c>
      <c r="B372" t="str">
        <f>"1578725962096018"</f>
        <v>1578725962096018</v>
      </c>
      <c r="C372" t="s">
        <v>40</v>
      </c>
      <c r="D372">
        <v>4.2600490000000004</v>
      </c>
      <c r="E372">
        <v>0.50780199999999998</v>
      </c>
      <c r="F372" t="s">
        <v>43</v>
      </c>
      <c r="G372">
        <v>-437.48200000000003</v>
      </c>
      <c r="H372">
        <v>-0.05</v>
      </c>
      <c r="I372">
        <v>368.56990000000002</v>
      </c>
      <c r="J372">
        <v>-452.79</v>
      </c>
      <c r="K372">
        <v>1.1035969999999999</v>
      </c>
      <c r="L372">
        <v>367.2063</v>
      </c>
      <c r="M372">
        <v>0.99998730000000002</v>
      </c>
      <c r="N372">
        <v>0</v>
      </c>
      <c r="O372">
        <v>2.288343E-3</v>
      </c>
      <c r="P372">
        <v>0.99390350000000005</v>
      </c>
      <c r="Q372">
        <v>2.1532200000000001E-2</v>
      </c>
      <c r="R372">
        <v>0.1081309</v>
      </c>
      <c r="S372">
        <v>2.994507</v>
      </c>
      <c r="T372">
        <v>-0.2238733</v>
      </c>
      <c r="U372">
        <v>0.26464840000000001</v>
      </c>
      <c r="V372">
        <v>-0.1058475</v>
      </c>
      <c r="W372">
        <v>2.6038390000000002E-2</v>
      </c>
      <c r="X372">
        <v>0.99404139999999996</v>
      </c>
      <c r="Y372">
        <v>-8.5524649999999994E-2</v>
      </c>
      <c r="Z372">
        <v>3.015822E-3</v>
      </c>
      <c r="AA372">
        <v>0.99633150000000004</v>
      </c>
      <c r="AB372">
        <v>15</v>
      </c>
      <c r="AC372">
        <v>15.308</v>
      </c>
      <c r="AD372">
        <v>-1.153597</v>
      </c>
      <c r="AE372">
        <v>1.3636000000000099</v>
      </c>
      <c r="AF372">
        <v>-1.3211225397655999</v>
      </c>
      <c r="AG372">
        <v>-1.153597</v>
      </c>
      <c r="AH372">
        <v>15.225296660594401</v>
      </c>
      <c r="AI372">
        <v>94.316773981192</v>
      </c>
      <c r="AJ372">
        <v>94.959221806479306</v>
      </c>
      <c r="AK372">
        <v>15.325984771185</v>
      </c>
      <c r="AL372">
        <v>88.507941510192794</v>
      </c>
      <c r="AM372">
        <v>96.078065427486607</v>
      </c>
      <c r="AN372">
        <v>0.99999999796200101</v>
      </c>
    </row>
    <row r="373" spans="1:40" x14ac:dyDescent="0.3">
      <c r="A373" t="str">
        <f>"20200111145922123"</f>
        <v>20200111145922123</v>
      </c>
      <c r="B373" t="str">
        <f>"1578725962116515"</f>
        <v>1578725962116515</v>
      </c>
      <c r="C373" t="s">
        <v>40</v>
      </c>
      <c r="D373">
        <v>4.1438839999999999</v>
      </c>
      <c r="E373">
        <v>0.50828589999999996</v>
      </c>
      <c r="F373" t="s">
        <v>43</v>
      </c>
      <c r="G373">
        <v>-437.42579999999998</v>
      </c>
      <c r="H373">
        <v>-0.05</v>
      </c>
      <c r="I373">
        <v>368.5641</v>
      </c>
      <c r="J373">
        <v>-452.6825</v>
      </c>
      <c r="K373">
        <v>1.1035980000000001</v>
      </c>
      <c r="L373">
        <v>367.20650000000001</v>
      </c>
      <c r="M373">
        <v>0.99998750000000003</v>
      </c>
      <c r="N373">
        <v>0</v>
      </c>
      <c r="O373">
        <v>2.1778349999999999E-3</v>
      </c>
      <c r="P373">
        <v>0.99384019999999995</v>
      </c>
      <c r="Q373">
        <v>2.1410680000000001E-2</v>
      </c>
      <c r="R373">
        <v>0.10873529999999999</v>
      </c>
      <c r="S373">
        <v>2.9944760000000001</v>
      </c>
      <c r="T373">
        <v>-0.22483520000000001</v>
      </c>
      <c r="U373">
        <v>0.26464840000000001</v>
      </c>
      <c r="V373">
        <v>-0.10656210000000001</v>
      </c>
      <c r="W373">
        <v>2.5940669999999999E-2</v>
      </c>
      <c r="X373">
        <v>0.99396759999999995</v>
      </c>
      <c r="Y373">
        <v>-8.5633039999999994E-2</v>
      </c>
      <c r="Z373">
        <v>3.0410989999999998E-3</v>
      </c>
      <c r="AA373">
        <v>0.99632209999999999</v>
      </c>
      <c r="AB373">
        <v>15</v>
      </c>
      <c r="AC373">
        <v>15.2567</v>
      </c>
      <c r="AD373">
        <v>-1.1535979999999999</v>
      </c>
      <c r="AE373">
        <v>1.3575999999999899</v>
      </c>
      <c r="AF373">
        <v>-1.3168999597401101</v>
      </c>
      <c r="AG373">
        <v>-1.1535979999999999</v>
      </c>
      <c r="AH373">
        <v>15.1735508847384</v>
      </c>
      <c r="AI373">
        <v>94.331436568076398</v>
      </c>
      <c r="AJ373">
        <v>94.960224273206194</v>
      </c>
      <c r="AK373">
        <v>15.2742155380011</v>
      </c>
      <c r="AL373">
        <v>88.513542340782905</v>
      </c>
      <c r="AM373">
        <v>96.119240409612601</v>
      </c>
      <c r="AN373">
        <v>0.99999999468310896</v>
      </c>
    </row>
    <row r="374" spans="1:40" x14ac:dyDescent="0.3">
      <c r="A374" t="str">
        <f>"20200111145922137"</f>
        <v>20200111145922137</v>
      </c>
      <c r="B374" t="str">
        <f>"1578725962126275"</f>
        <v>1578725962126275</v>
      </c>
      <c r="C374" t="s">
        <v>40</v>
      </c>
      <c r="D374">
        <v>4.1107659999999999</v>
      </c>
      <c r="E374">
        <v>0.53814010000000001</v>
      </c>
      <c r="F374" t="s">
        <v>43</v>
      </c>
      <c r="G374">
        <v>-437.26100000000002</v>
      </c>
      <c r="H374">
        <v>-0.05</v>
      </c>
      <c r="I374">
        <v>368.5607</v>
      </c>
      <c r="J374">
        <v>-452.5806</v>
      </c>
      <c r="K374">
        <v>1.1035999999999999</v>
      </c>
      <c r="L374">
        <v>367.20659999999998</v>
      </c>
      <c r="M374">
        <v>0.99998750000000003</v>
      </c>
      <c r="N374">
        <v>0</v>
      </c>
      <c r="O374">
        <v>2.0662889999999998E-3</v>
      </c>
      <c r="P374">
        <v>0.99376149999999996</v>
      </c>
      <c r="Q374">
        <v>2.1462209999999999E-2</v>
      </c>
      <c r="R374">
        <v>0.10944280000000001</v>
      </c>
      <c r="S374">
        <v>2.994659</v>
      </c>
      <c r="T374">
        <v>-0.22401309999999999</v>
      </c>
      <c r="U374">
        <v>0.26296999999999998</v>
      </c>
      <c r="V374">
        <v>-0.1073808</v>
      </c>
      <c r="W374">
        <v>2.6026000000000001E-2</v>
      </c>
      <c r="X374">
        <v>0.99387729999999996</v>
      </c>
      <c r="Y374">
        <v>-8.5187349999999995E-2</v>
      </c>
      <c r="Z374">
        <v>3.0216029999999999E-3</v>
      </c>
      <c r="AA374">
        <v>0.99636040000000003</v>
      </c>
      <c r="AB374">
        <v>15</v>
      </c>
      <c r="AC374">
        <v>15.319599999999999</v>
      </c>
      <c r="AD374">
        <v>-1.1536</v>
      </c>
      <c r="AE374">
        <v>1.3541000000000101</v>
      </c>
      <c r="AF374">
        <v>-1.31504301407942</v>
      </c>
      <c r="AG374">
        <v>-1.1536</v>
      </c>
      <c r="AH374">
        <v>15.236636852334399</v>
      </c>
      <c r="AI374">
        <v>94.313755561180798</v>
      </c>
      <c r="AJ374">
        <v>94.932857579874096</v>
      </c>
      <c r="AK374">
        <v>15.3367282579693</v>
      </c>
      <c r="AL374">
        <v>88.508651705541297</v>
      </c>
      <c r="AM374">
        <v>96.166448703874394</v>
      </c>
      <c r="AN374">
        <v>1.0000000381699601</v>
      </c>
    </row>
    <row r="375" spans="1:40" x14ac:dyDescent="0.3">
      <c r="A375" t="str">
        <f>"20200111145922154"</f>
        <v>20200111145922154</v>
      </c>
      <c r="B375" t="str">
        <f>"1578725962145794"</f>
        <v>1578725962145794</v>
      </c>
      <c r="C375" t="s">
        <v>40</v>
      </c>
      <c r="D375">
        <v>4.1847459999999996</v>
      </c>
      <c r="E375">
        <v>0.54163300000000003</v>
      </c>
      <c r="F375" t="s">
        <v>43</v>
      </c>
      <c r="G375">
        <v>-426.58890000000002</v>
      </c>
      <c r="H375">
        <v>-0.05</v>
      </c>
      <c r="I375">
        <v>367.44439999999997</v>
      </c>
      <c r="J375">
        <v>-452.46420000000001</v>
      </c>
      <c r="K375">
        <v>1.1036079999999999</v>
      </c>
      <c r="L375">
        <v>367.20670000000001</v>
      </c>
      <c r="M375">
        <v>0.99998759999999998</v>
      </c>
      <c r="N375">
        <v>0</v>
      </c>
      <c r="O375">
        <v>1.932933E-3</v>
      </c>
      <c r="P375">
        <v>0.99362649999999997</v>
      </c>
      <c r="Q375">
        <v>2.1177100000000001E-2</v>
      </c>
      <c r="R375">
        <v>0.1107158</v>
      </c>
      <c r="S375">
        <v>3.0186769999999998</v>
      </c>
      <c r="T375">
        <v>-0.13397890000000001</v>
      </c>
      <c r="U375">
        <v>2.7618409999999999E-2</v>
      </c>
      <c r="V375">
        <v>-0.10878599999999999</v>
      </c>
      <c r="W375">
        <v>2.5795289999999998E-2</v>
      </c>
      <c r="X375">
        <v>0.99373040000000001</v>
      </c>
      <c r="Y375">
        <v>-7.2107100000000004E-3</v>
      </c>
      <c r="Z375" s="1">
        <v>7.4188899999999997E-5</v>
      </c>
      <c r="AA375">
        <v>0.99997400000000003</v>
      </c>
      <c r="AB375">
        <v>15</v>
      </c>
      <c r="AC375">
        <v>25.8752999999999</v>
      </c>
      <c r="AD375">
        <v>-1.153608</v>
      </c>
      <c r="AE375">
        <v>0.237699999999961</v>
      </c>
      <c r="AF375">
        <v>-0.18731152460276301</v>
      </c>
      <c r="AG375">
        <v>-1.153608</v>
      </c>
      <c r="AH375">
        <v>25.824384928983601</v>
      </c>
      <c r="AI375">
        <v>92.557707426083397</v>
      </c>
      <c r="AJ375">
        <v>90.415575110219606</v>
      </c>
      <c r="AK375">
        <v>25.850817278864199</v>
      </c>
      <c r="AL375">
        <v>88.521874722518007</v>
      </c>
      <c r="AM375">
        <v>96.247425973647907</v>
      </c>
      <c r="AN375">
        <v>0.99999994933317005</v>
      </c>
    </row>
    <row r="376" spans="1:40" x14ac:dyDescent="0.3">
      <c r="A376" t="str">
        <f>"20200111145922168"</f>
        <v>20200111145922168</v>
      </c>
      <c r="B376" t="str">
        <f>"1578725962156530"</f>
        <v>1578725962156530</v>
      </c>
      <c r="C376" t="s">
        <v>40</v>
      </c>
      <c r="D376">
        <v>3.9902160000000002</v>
      </c>
      <c r="E376">
        <v>0.54142330000000005</v>
      </c>
      <c r="F376" t="s">
        <v>43</v>
      </c>
      <c r="G376">
        <v>-427.11520000000002</v>
      </c>
      <c r="H376">
        <v>-0.05</v>
      </c>
      <c r="I376">
        <v>367.23739999999998</v>
      </c>
      <c r="J376">
        <v>-452.37290000000002</v>
      </c>
      <c r="K376">
        <v>1.10362</v>
      </c>
      <c r="L376">
        <v>367.20670000000001</v>
      </c>
      <c r="M376">
        <v>0.99998739999999997</v>
      </c>
      <c r="N376">
        <v>0</v>
      </c>
      <c r="O376">
        <v>1.8242969999999999E-3</v>
      </c>
      <c r="P376">
        <v>0.99354480000000001</v>
      </c>
      <c r="Q376">
        <v>2.1484059999999999E-2</v>
      </c>
      <c r="R376">
        <v>0.11138670000000001</v>
      </c>
      <c r="S376">
        <v>3.0217900000000002</v>
      </c>
      <c r="T376">
        <v>-0.13751849999999999</v>
      </c>
      <c r="U376">
        <v>3.6621090000000002E-3</v>
      </c>
      <c r="V376">
        <v>-0.10956539999999999</v>
      </c>
      <c r="W376">
        <v>2.6163280000000001E-2</v>
      </c>
      <c r="X376">
        <v>0.99363520000000005</v>
      </c>
      <c r="Y376">
        <v>6.0989849999999995E-4</v>
      </c>
      <c r="Z376" s="1">
        <v>-9.6850500000000004E-5</v>
      </c>
      <c r="AA376">
        <v>0.99999979999999999</v>
      </c>
      <c r="AB376">
        <v>16</v>
      </c>
      <c r="AC376">
        <v>25.2577</v>
      </c>
      <c r="AD376">
        <v>-1.1536200000000001</v>
      </c>
      <c r="AE376">
        <v>3.06999999999675E-2</v>
      </c>
      <c r="AF376">
        <v>1.5346087696295699E-2</v>
      </c>
      <c r="AG376">
        <v>-1.1536200000000001</v>
      </c>
      <c r="AH376">
        <v>25.2051332826248</v>
      </c>
      <c r="AI376">
        <v>92.6205554189618</v>
      </c>
      <c r="AJ376">
        <v>89.9651156001228</v>
      </c>
      <c r="AK376">
        <v>25.2315242980223</v>
      </c>
      <c r="AL376">
        <v>88.500783408248594</v>
      </c>
      <c r="AM376">
        <v>96.292426086383301</v>
      </c>
      <c r="AN376">
        <v>1.00000000238827</v>
      </c>
    </row>
    <row r="377" spans="1:40" x14ac:dyDescent="0.3">
      <c r="A377" t="str">
        <f>"20200111145922186"</f>
        <v>20200111145922186</v>
      </c>
      <c r="B377" t="str">
        <f>"1578725962176053"</f>
        <v>1578725962176053</v>
      </c>
      <c r="C377" t="s">
        <v>40</v>
      </c>
      <c r="D377">
        <v>3.9982359999999999</v>
      </c>
      <c r="E377">
        <v>0.54058379999999995</v>
      </c>
      <c r="F377" t="s">
        <v>43</v>
      </c>
      <c r="G377">
        <v>-426.25450000000001</v>
      </c>
      <c r="H377">
        <v>-0.05</v>
      </c>
      <c r="I377">
        <v>367.27050000000003</v>
      </c>
      <c r="J377">
        <v>-452.23970000000003</v>
      </c>
      <c r="K377">
        <v>1.1036490000000001</v>
      </c>
      <c r="L377">
        <v>367.20679999999999</v>
      </c>
      <c r="M377">
        <v>0.99998719999999996</v>
      </c>
      <c r="N377">
        <v>0</v>
      </c>
      <c r="O377">
        <v>1.6598839999999999E-3</v>
      </c>
      <c r="P377">
        <v>0.99340740000000005</v>
      </c>
      <c r="Q377">
        <v>2.1607729999999999E-2</v>
      </c>
      <c r="R377">
        <v>0.11258410000000001</v>
      </c>
      <c r="S377">
        <v>3.021515</v>
      </c>
      <c r="T377">
        <v>-0.1334572</v>
      </c>
      <c r="U377">
        <v>7.385254E-3</v>
      </c>
      <c r="V377">
        <v>-0.11092630000000001</v>
      </c>
      <c r="W377">
        <v>2.6411150000000001E-2</v>
      </c>
      <c r="X377">
        <v>0.99347759999999996</v>
      </c>
      <c r="Y377">
        <v>-7.8516679999999996E-4</v>
      </c>
      <c r="Z377" s="1">
        <v>-5.5948790000000001E-5</v>
      </c>
      <c r="AA377">
        <v>0.99999970000000005</v>
      </c>
      <c r="AB377">
        <v>16</v>
      </c>
      <c r="AC377">
        <v>25.985199999999999</v>
      </c>
      <c r="AD377">
        <v>-1.1536489999999999</v>
      </c>
      <c r="AE377">
        <v>6.3700000000039794E-2</v>
      </c>
      <c r="AF377">
        <v>-2.0526543468696801E-2</v>
      </c>
      <c r="AG377">
        <v>-1.1536489999999999</v>
      </c>
      <c r="AH377">
        <v>25.934153012695599</v>
      </c>
      <c r="AI377">
        <v>92.547052550956806</v>
      </c>
      <c r="AJ377">
        <v>90.045348851862798</v>
      </c>
      <c r="AK377">
        <v>25.959807777410301</v>
      </c>
      <c r="AL377">
        <v>88.486576540817396</v>
      </c>
      <c r="AM377">
        <v>96.370947267863698</v>
      </c>
      <c r="AN377">
        <v>0.99999996728888496</v>
      </c>
    </row>
    <row r="378" spans="1:40" x14ac:dyDescent="0.3">
      <c r="A378" t="str">
        <f>"20200111145922199"</f>
        <v>20200111145922199</v>
      </c>
      <c r="B378" t="str">
        <f>"1578725962196548"</f>
        <v>1578725962196548</v>
      </c>
      <c r="C378" t="s">
        <v>40</v>
      </c>
      <c r="D378">
        <v>4.0263489999999997</v>
      </c>
      <c r="E378">
        <v>0.54123469999999996</v>
      </c>
      <c r="F378" t="s">
        <v>43</v>
      </c>
      <c r="G378">
        <v>-424.0609</v>
      </c>
      <c r="H378">
        <v>-0.05</v>
      </c>
      <c r="I378">
        <v>367.37040000000002</v>
      </c>
      <c r="J378">
        <v>-452.15120000000002</v>
      </c>
      <c r="K378">
        <v>1.1036709999999901</v>
      </c>
      <c r="L378">
        <v>367.20679999999999</v>
      </c>
      <c r="M378">
        <v>0.99998679999999995</v>
      </c>
      <c r="N378">
        <v>0</v>
      </c>
      <c r="O378">
        <v>1.54808299999999E-3</v>
      </c>
      <c r="P378">
        <v>0.99340439999999997</v>
      </c>
      <c r="Q378">
        <v>2.1630050000000001E-2</v>
      </c>
      <c r="R378">
        <v>0.1126048</v>
      </c>
      <c r="S378">
        <v>3.0205989999999998</v>
      </c>
      <c r="T378">
        <v>-0.1236646</v>
      </c>
      <c r="U378">
        <v>1.7547610000000002E-2</v>
      </c>
      <c r="V378">
        <v>-0.11105760000000001</v>
      </c>
      <c r="W378">
        <v>2.6539380000000001E-2</v>
      </c>
      <c r="X378">
        <v>0.99345950000000005</v>
      </c>
      <c r="Y378">
        <v>-4.2588620000000004E-3</v>
      </c>
      <c r="Z378" s="1">
        <v>2.3789779999999999E-5</v>
      </c>
      <c r="AA378">
        <v>0.99999090000000002</v>
      </c>
      <c r="AB378">
        <v>16</v>
      </c>
      <c r="AC378">
        <v>28.090299999999999</v>
      </c>
      <c r="AD378">
        <v>-1.1536709999999999</v>
      </c>
      <c r="AE378">
        <v>0.16360000000003</v>
      </c>
      <c r="AF378">
        <v>-0.11991091305302901</v>
      </c>
      <c r="AG378">
        <v>-1.1536709999999999</v>
      </c>
      <c r="AH378">
        <v>28.0432192608008</v>
      </c>
      <c r="AI378">
        <v>92.3557432288505</v>
      </c>
      <c r="AJ378">
        <v>90.244991393472006</v>
      </c>
      <c r="AK378">
        <v>28.067195832727201</v>
      </c>
      <c r="AL378">
        <v>88.479226905785893</v>
      </c>
      <c r="AM378">
        <v>96.378541496386404</v>
      </c>
      <c r="AN378">
        <v>0.99999995367439598</v>
      </c>
    </row>
    <row r="379" spans="1:40" x14ac:dyDescent="0.3">
      <c r="A379" t="str">
        <f>"20200111145922212"</f>
        <v>20200111145922212</v>
      </c>
      <c r="B379" t="str">
        <f>"1578725962206307"</f>
        <v>1578725962206307</v>
      </c>
      <c r="C379" t="s">
        <v>40</v>
      </c>
      <c r="D379">
        <v>3.9871989999999999</v>
      </c>
      <c r="E379">
        <v>0.54123429999999995</v>
      </c>
      <c r="F379" t="s">
        <v>43</v>
      </c>
      <c r="G379">
        <v>-424.40660000000003</v>
      </c>
      <c r="H379">
        <v>-0.05</v>
      </c>
      <c r="I379">
        <v>367.31720000000001</v>
      </c>
      <c r="J379">
        <v>-452.05939999999998</v>
      </c>
      <c r="K379">
        <v>1.103699</v>
      </c>
      <c r="L379">
        <v>367.20679999999999</v>
      </c>
      <c r="M379">
        <v>0.99998629999999999</v>
      </c>
      <c r="N379">
        <v>0</v>
      </c>
      <c r="O379">
        <v>1.4291569999999999E-3</v>
      </c>
      <c r="P379">
        <v>0.99339999999999995</v>
      </c>
      <c r="Q379">
        <v>2.173228E-2</v>
      </c>
      <c r="R379">
        <v>0.1126241</v>
      </c>
      <c r="S379">
        <v>3.021271</v>
      </c>
      <c r="T379">
        <v>-0.12562970000000001</v>
      </c>
      <c r="U379">
        <v>1.202393E-2</v>
      </c>
      <c r="V379">
        <v>-0.11119569999999999</v>
      </c>
      <c r="W379">
        <v>2.6782469999999999E-2</v>
      </c>
      <c r="X379">
        <v>0.99343760000000003</v>
      </c>
      <c r="Y379">
        <v>-2.5495909999999999E-3</v>
      </c>
      <c r="Z379" s="1">
        <v>-6.4165070000000003E-6</v>
      </c>
      <c r="AA379">
        <v>0.99999669999999896</v>
      </c>
      <c r="AB379">
        <v>16</v>
      </c>
      <c r="AC379">
        <v>27.6527999999999</v>
      </c>
      <c r="AD379">
        <v>-1.153699</v>
      </c>
      <c r="AE379">
        <v>0.11040000000002601</v>
      </c>
      <c r="AF379">
        <v>-7.0756035277523596E-2</v>
      </c>
      <c r="AG379">
        <v>-1.153699</v>
      </c>
      <c r="AH379">
        <v>27.6048803849039</v>
      </c>
      <c r="AI379">
        <v>92.393179022679007</v>
      </c>
      <c r="AJ379">
        <v>90.146858572175901</v>
      </c>
      <c r="AK379">
        <v>27.629068910551101</v>
      </c>
      <c r="AL379">
        <v>88.465294030466495</v>
      </c>
      <c r="AM379">
        <v>96.386547335014896</v>
      </c>
      <c r="AN379">
        <v>1.0000000247457701</v>
      </c>
    </row>
    <row r="380" spans="1:40" x14ac:dyDescent="0.3">
      <c r="A380" t="str">
        <f>"20200111145922224"</f>
        <v>20200111145922224</v>
      </c>
      <c r="B380" t="str">
        <f>"1578725962216066"</f>
        <v>1578725962216066</v>
      </c>
      <c r="C380" t="s">
        <v>40</v>
      </c>
      <c r="D380">
        <v>3.9378440000000001</v>
      </c>
      <c r="E380">
        <v>0.54123310000000002</v>
      </c>
      <c r="F380" t="s">
        <v>43</v>
      </c>
      <c r="G380">
        <v>-424.20740000000001</v>
      </c>
      <c r="H380">
        <v>-0.05</v>
      </c>
      <c r="I380">
        <v>367.31950000000001</v>
      </c>
      <c r="J380">
        <v>-451.96780000000001</v>
      </c>
      <c r="K380">
        <v>1.103731</v>
      </c>
      <c r="L380">
        <v>367.20679999999999</v>
      </c>
      <c r="M380">
        <v>0.99998560000000003</v>
      </c>
      <c r="N380">
        <v>0</v>
      </c>
      <c r="O380">
        <v>1.3097650000000001E-3</v>
      </c>
      <c r="P380">
        <v>0.99341429999999997</v>
      </c>
      <c r="Q380">
        <v>2.201869E-2</v>
      </c>
      <c r="R380">
        <v>0.112442899999999</v>
      </c>
      <c r="S380">
        <v>3.0213009999999998</v>
      </c>
      <c r="T380">
        <v>-0.12514980000000001</v>
      </c>
      <c r="U380">
        <v>1.223755E-2</v>
      </c>
      <c r="V380">
        <v>-0.1111328</v>
      </c>
      <c r="W380">
        <v>2.722339E-2</v>
      </c>
      <c r="X380">
        <v>0.9934326</v>
      </c>
      <c r="Y380">
        <v>-2.7393880000000002E-3</v>
      </c>
      <c r="Z380" s="1">
        <v>2.4806469999999998E-6</v>
      </c>
      <c r="AA380">
        <v>0.9999962</v>
      </c>
      <c r="AB380">
        <v>16</v>
      </c>
      <c r="AC380">
        <v>27.760400000000001</v>
      </c>
      <c r="AD380">
        <v>-1.1537309999999901</v>
      </c>
      <c r="AE380">
        <v>0.11270000000001799</v>
      </c>
      <c r="AF380">
        <v>-7.6208181461796407E-2</v>
      </c>
      <c r="AG380">
        <v>-1.1537309999999901</v>
      </c>
      <c r="AH380">
        <v>27.712657627889499</v>
      </c>
      <c r="AI380">
        <v>92.383947336996698</v>
      </c>
      <c r="AJ380">
        <v>90.157559632651996</v>
      </c>
      <c r="AK380">
        <v>27.736767939107601</v>
      </c>
      <c r="AL380">
        <v>88.440021877306705</v>
      </c>
      <c r="AM380">
        <v>96.382996346547202</v>
      </c>
      <c r="AN380">
        <v>0.99999997147084496</v>
      </c>
    </row>
    <row r="381" spans="1:40" x14ac:dyDescent="0.3">
      <c r="A381" t="str">
        <f>"20200111145922244"</f>
        <v>20200111145922244</v>
      </c>
      <c r="B381" t="str">
        <f>"1578725962236562"</f>
        <v>1578725962236562</v>
      </c>
      <c r="C381" t="s">
        <v>40</v>
      </c>
      <c r="D381">
        <v>3.99613</v>
      </c>
      <c r="E381">
        <v>0.54148809999999903</v>
      </c>
      <c r="F381" t="s">
        <v>43</v>
      </c>
      <c r="G381">
        <v>-424.00319999999999</v>
      </c>
      <c r="H381">
        <v>-0.05</v>
      </c>
      <c r="I381">
        <v>367.31630000000001</v>
      </c>
      <c r="J381">
        <v>-451.82909999999998</v>
      </c>
      <c r="K381">
        <v>1.1037840000000001</v>
      </c>
      <c r="L381">
        <v>367.20670000000001</v>
      </c>
      <c r="M381">
        <v>0.9999844</v>
      </c>
      <c r="N381">
        <v>0</v>
      </c>
      <c r="O381">
        <v>1.127386E-3</v>
      </c>
      <c r="P381">
        <v>0.99348689999999995</v>
      </c>
      <c r="Q381">
        <v>2.251365E-2</v>
      </c>
      <c r="R381">
        <v>0.11170049999999999</v>
      </c>
      <c r="S381">
        <v>3.0213009999999998</v>
      </c>
      <c r="T381">
        <v>-0.1246492</v>
      </c>
      <c r="U381">
        <v>1.184082E-2</v>
      </c>
      <c r="V381">
        <v>-0.1105714</v>
      </c>
      <c r="W381">
        <v>2.7991749999999999E-2</v>
      </c>
      <c r="X381">
        <v>0.99347390000000002</v>
      </c>
      <c r="Y381">
        <v>-2.7902719999999999E-3</v>
      </c>
      <c r="Z381" s="1">
        <v>1.104112E-5</v>
      </c>
      <c r="AA381">
        <v>0.99999610000000005</v>
      </c>
      <c r="AB381">
        <v>16</v>
      </c>
      <c r="AC381">
        <v>27.825899999999901</v>
      </c>
      <c r="AD381">
        <v>-1.1537839999999999</v>
      </c>
      <c r="AE381">
        <v>0.1096</v>
      </c>
      <c r="AF381">
        <v>-7.8094665057658205E-2</v>
      </c>
      <c r="AG381">
        <v>-1.1537839999999999</v>
      </c>
      <c r="AH381">
        <v>27.778247597954799</v>
      </c>
      <c r="AI381">
        <v>92.378433558452201</v>
      </c>
      <c r="AJ381">
        <v>90.161078660781001</v>
      </c>
      <c r="AK381">
        <v>27.802308463662602</v>
      </c>
      <c r="AL381">
        <v>88.395981318969007</v>
      </c>
      <c r="AM381">
        <v>96.350754184392997</v>
      </c>
      <c r="AN381">
        <v>0.999999981273616</v>
      </c>
    </row>
    <row r="382" spans="1:40" x14ac:dyDescent="0.3">
      <c r="A382" t="str">
        <f>"20200111145922256"</f>
        <v>20200111145922256</v>
      </c>
      <c r="B382" t="str">
        <f>"1578725962246322"</f>
        <v>1578725962246322</v>
      </c>
      <c r="C382" t="s">
        <v>40</v>
      </c>
      <c r="D382">
        <v>3.9909699999999999</v>
      </c>
      <c r="E382">
        <v>0.54172310000000001</v>
      </c>
      <c r="F382" t="s">
        <v>43</v>
      </c>
      <c r="G382">
        <v>-423.54849999999999</v>
      </c>
      <c r="H382">
        <v>-0.05</v>
      </c>
      <c r="I382">
        <v>367.27980000000002</v>
      </c>
      <c r="J382">
        <v>-451.74340000000001</v>
      </c>
      <c r="K382">
        <v>1.10382</v>
      </c>
      <c r="L382">
        <v>367.20670000000001</v>
      </c>
      <c r="M382">
        <v>0.99998350000000003</v>
      </c>
      <c r="N382">
        <v>0</v>
      </c>
      <c r="O382">
        <v>1.0141320000000001E-3</v>
      </c>
      <c r="P382">
        <v>0.99350170000000004</v>
      </c>
      <c r="Q382">
        <v>2.2717680000000001E-2</v>
      </c>
      <c r="R382">
        <v>0.1115278</v>
      </c>
      <c r="S382">
        <v>3.0216059999999998</v>
      </c>
      <c r="T382">
        <v>-0.12327440000000001</v>
      </c>
      <c r="U382">
        <v>7.8125E-3</v>
      </c>
      <c r="V382">
        <v>-0.1105115</v>
      </c>
      <c r="W382">
        <v>2.8382129999999998E-2</v>
      </c>
      <c r="X382">
        <v>0.99346950000000001</v>
      </c>
      <c r="Y382">
        <v>-1.570927E-3</v>
      </c>
      <c r="Z382" s="1">
        <v>-9.3258680000000007E-6</v>
      </c>
      <c r="AA382">
        <v>0.99999870000000002</v>
      </c>
      <c r="AB382">
        <v>16</v>
      </c>
      <c r="AC382">
        <v>28.194900000000001</v>
      </c>
      <c r="AD382">
        <v>-1.1538200000000001</v>
      </c>
      <c r="AE382">
        <v>7.3100000000010795E-2</v>
      </c>
      <c r="AF382">
        <v>-4.4431745987848603E-2</v>
      </c>
      <c r="AG382">
        <v>-1.1538200000000001</v>
      </c>
      <c r="AH382">
        <v>28.1478210144742</v>
      </c>
      <c r="AI382">
        <v>92.347320018417406</v>
      </c>
      <c r="AJ382">
        <v>90.090442148462202</v>
      </c>
      <c r="AK382">
        <v>28.171494504823901</v>
      </c>
      <c r="AL382">
        <v>88.373605319069199</v>
      </c>
      <c r="AM382">
        <v>96.347369750930099</v>
      </c>
      <c r="AN382">
        <v>0.99999999218291802</v>
      </c>
    </row>
    <row r="383" spans="1:40" x14ac:dyDescent="0.3">
      <c r="A383" t="str">
        <f>"20200111145922269"</f>
        <v>20200111145922269</v>
      </c>
      <c r="B383" t="str">
        <f>"1578725962265843"</f>
        <v>1578725962265843</v>
      </c>
      <c r="C383" t="s">
        <v>40</v>
      </c>
      <c r="D383">
        <v>4.100835</v>
      </c>
      <c r="E383">
        <v>0.55161669999999996</v>
      </c>
      <c r="F383" t="s">
        <v>43</v>
      </c>
      <c r="G383">
        <v>-423.40780000000001</v>
      </c>
      <c r="H383">
        <v>-0.05</v>
      </c>
      <c r="I383">
        <v>367.25790000000001</v>
      </c>
      <c r="J383">
        <v>-451.65649999999999</v>
      </c>
      <c r="K383">
        <v>1.1038570000000001</v>
      </c>
      <c r="L383">
        <v>367.20659999999998</v>
      </c>
      <c r="M383">
        <v>0.9999825</v>
      </c>
      <c r="N383">
        <v>0</v>
      </c>
      <c r="O383">
        <v>8.9946149999999903E-4</v>
      </c>
      <c r="P383">
        <v>0.99351809999999996</v>
      </c>
      <c r="Q383">
        <v>2.2553340000000002E-2</v>
      </c>
      <c r="R383">
        <v>0.1114169</v>
      </c>
      <c r="S383">
        <v>3.0217900000000002</v>
      </c>
      <c r="T383">
        <v>-0.123046699999999</v>
      </c>
      <c r="U383">
        <v>5.4626459999999998E-3</v>
      </c>
      <c r="V383">
        <v>-0.11051420000000001</v>
      </c>
      <c r="W383">
        <v>2.84155E-2</v>
      </c>
      <c r="X383">
        <v>0.99346829999999997</v>
      </c>
      <c r="Y383">
        <v>-9.0826570000000003E-4</v>
      </c>
      <c r="Z383" s="1">
        <v>-1.812679E-5</v>
      </c>
      <c r="AA383">
        <v>0.99999959999999999</v>
      </c>
      <c r="AB383">
        <v>16</v>
      </c>
      <c r="AC383">
        <v>28.2486999999999</v>
      </c>
      <c r="AD383">
        <v>-1.1538569999999999</v>
      </c>
      <c r="AE383">
        <v>5.1300000000026102E-2</v>
      </c>
      <c r="AF383">
        <v>-2.58478017808688E-2</v>
      </c>
      <c r="AG383">
        <v>-1.1538569999999999</v>
      </c>
      <c r="AH383">
        <v>28.201682440258701</v>
      </c>
      <c r="AI383">
        <v>92.342918930541501</v>
      </c>
      <c r="AJ383">
        <v>90.052513517240797</v>
      </c>
      <c r="AK383">
        <v>28.2252891313181</v>
      </c>
      <c r="AL383">
        <v>88.371692675207996</v>
      </c>
      <c r="AM383">
        <v>96.347531167661899</v>
      </c>
      <c r="AN383">
        <v>1.00000004607338</v>
      </c>
    </row>
    <row r="384" spans="1:40" x14ac:dyDescent="0.3">
      <c r="A384" t="str">
        <f>"20200111145922288"</f>
        <v>20200111145922288</v>
      </c>
      <c r="B384" t="str">
        <f>"1578725962276578"</f>
        <v>1578725962276578</v>
      </c>
      <c r="C384" t="s">
        <v>40</v>
      </c>
      <c r="D384">
        <v>3.957503</v>
      </c>
      <c r="E384">
        <v>0.55161669999999996</v>
      </c>
      <c r="F384" t="s">
        <v>43</v>
      </c>
      <c r="G384">
        <v>-430.68340000000001</v>
      </c>
      <c r="H384">
        <v>-0.05</v>
      </c>
      <c r="I384">
        <v>366.7</v>
      </c>
      <c r="J384">
        <v>-451.52120000000002</v>
      </c>
      <c r="K384">
        <v>1.1039099999999999</v>
      </c>
      <c r="L384">
        <v>367.20650000000001</v>
      </c>
      <c r="M384">
        <v>0.99998069999999895</v>
      </c>
      <c r="N384">
        <v>0</v>
      </c>
      <c r="O384">
        <v>7.2152909999999998E-4</v>
      </c>
      <c r="P384">
        <v>0.99352070000000003</v>
      </c>
      <c r="Q384">
        <v>2.2776149999999998E-2</v>
      </c>
      <c r="R384">
        <v>0.11134670000000001</v>
      </c>
      <c r="S384">
        <v>3.0315859999999999</v>
      </c>
      <c r="T384">
        <v>-0.16678579999999901</v>
      </c>
      <c r="U384">
        <v>-7.3242189999999999E-2</v>
      </c>
      <c r="V384">
        <v>-0.110621</v>
      </c>
      <c r="W384">
        <v>2.8950759999999999E-2</v>
      </c>
      <c r="X384">
        <v>0.99344089999999996</v>
      </c>
      <c r="Y384">
        <v>2.4835349999999999E-2</v>
      </c>
      <c r="Z384">
        <v>-7.2221639999999897E-4</v>
      </c>
      <c r="AA384">
        <v>0.99969129999999995</v>
      </c>
      <c r="AB384">
        <v>16</v>
      </c>
      <c r="AC384">
        <v>20.837800000000001</v>
      </c>
      <c r="AD384">
        <v>-1.15391</v>
      </c>
      <c r="AE384">
        <v>-0.50650000000001605</v>
      </c>
      <c r="AF384">
        <v>0.51994178383621203</v>
      </c>
      <c r="AG384">
        <v>-1.15391</v>
      </c>
      <c r="AH384">
        <v>20.7737643945682</v>
      </c>
      <c r="AI384">
        <v>93.178319820212494</v>
      </c>
      <c r="AJ384">
        <v>88.566256411849807</v>
      </c>
      <c r="AK384">
        <v>20.812283268966599</v>
      </c>
      <c r="AL384">
        <v>88.341011815767303</v>
      </c>
      <c r="AM384">
        <v>96.353789033668093</v>
      </c>
      <c r="AN384">
        <v>0.99999998696919301</v>
      </c>
    </row>
    <row r="385" spans="1:40" x14ac:dyDescent="0.3">
      <c r="A385" t="str">
        <f>"20200111145922301"</f>
        <v>20200111145922301</v>
      </c>
      <c r="B385" t="str">
        <f>"1578725962296099"</f>
        <v>1578725962296099</v>
      </c>
      <c r="C385" t="s">
        <v>40</v>
      </c>
      <c r="D385">
        <v>3.998221</v>
      </c>
      <c r="E385">
        <v>0.54304989999999997</v>
      </c>
      <c r="F385" t="s">
        <v>43</v>
      </c>
      <c r="G385">
        <v>-430.46429999999998</v>
      </c>
      <c r="H385">
        <v>-0.05</v>
      </c>
      <c r="I385">
        <v>366.69650000000001</v>
      </c>
      <c r="J385">
        <v>-451.42110000000002</v>
      </c>
      <c r="K385">
        <v>1.103945</v>
      </c>
      <c r="L385">
        <v>367.20650000000001</v>
      </c>
      <c r="M385">
        <v>0.99997930000000002</v>
      </c>
      <c r="N385">
        <v>0</v>
      </c>
      <c r="O385">
        <v>5.9019239999999896E-4</v>
      </c>
      <c r="P385">
        <v>0.99351970000000001</v>
      </c>
      <c r="Q385">
        <v>2.2509089999999999E-2</v>
      </c>
      <c r="R385">
        <v>0.1114098</v>
      </c>
      <c r="S385">
        <v>3.031647</v>
      </c>
      <c r="T385">
        <v>-0.16613310000000001</v>
      </c>
      <c r="U385">
        <v>-7.3425290000000004E-2</v>
      </c>
      <c r="V385">
        <v>-0.1108148</v>
      </c>
      <c r="W385">
        <v>2.8914539999999999E-2</v>
      </c>
      <c r="X385">
        <v>0.99342039999999998</v>
      </c>
      <c r="Y385">
        <v>2.4764520000000002E-2</v>
      </c>
      <c r="Z385">
        <v>-7.1024939999999996E-4</v>
      </c>
      <c r="AA385">
        <v>0.99969300000000005</v>
      </c>
      <c r="AB385">
        <v>16</v>
      </c>
      <c r="AC385">
        <v>20.956800000000001</v>
      </c>
      <c r="AD385">
        <v>-1.153945</v>
      </c>
      <c r="AE385">
        <v>-0.50999999999999002</v>
      </c>
      <c r="AF385">
        <v>0.52079063891800703</v>
      </c>
      <c r="AG385">
        <v>-1.153945</v>
      </c>
      <c r="AH385">
        <v>20.893185999753001</v>
      </c>
      <c r="AI385">
        <v>93.160293779821401</v>
      </c>
      <c r="AJ385">
        <v>88.572121646660193</v>
      </c>
      <c r="AK385">
        <v>20.931508143774199</v>
      </c>
      <c r="AL385">
        <v>88.343088010762202</v>
      </c>
      <c r="AM385">
        <v>96.364959405963702</v>
      </c>
      <c r="AN385">
        <v>1.0000000308293</v>
      </c>
    </row>
    <row r="386" spans="1:40" x14ac:dyDescent="0.3">
      <c r="A386" t="str">
        <f>"20200111145922313"</f>
        <v>20200111145922313</v>
      </c>
      <c r="B386" t="str">
        <f>"1578725962305858"</f>
        <v>1578725962305858</v>
      </c>
      <c r="C386" t="s">
        <v>40</v>
      </c>
      <c r="D386">
        <v>3.9883690000000001</v>
      </c>
      <c r="E386">
        <v>0.54272019999999999</v>
      </c>
      <c r="F386" t="s">
        <v>43</v>
      </c>
      <c r="G386">
        <v>-426.58620000000002</v>
      </c>
      <c r="H386">
        <v>-0.05</v>
      </c>
      <c r="I386">
        <v>367.16309999999999</v>
      </c>
      <c r="J386">
        <v>-451.33080000000001</v>
      </c>
      <c r="K386">
        <v>1.103972</v>
      </c>
      <c r="L386">
        <v>367.20639999999997</v>
      </c>
      <c r="M386">
        <v>0.99997809999999998</v>
      </c>
      <c r="N386">
        <v>0</v>
      </c>
      <c r="O386">
        <v>4.735316E-4</v>
      </c>
      <c r="P386">
        <v>0.99354339999999997</v>
      </c>
      <c r="Q386">
        <v>2.2415379999999999E-2</v>
      </c>
      <c r="R386">
        <v>0.1112175</v>
      </c>
      <c r="S386">
        <v>3.0233150000000002</v>
      </c>
      <c r="T386">
        <v>-0.14047799999999999</v>
      </c>
      <c r="U386">
        <v>-5.2795409999999996E-3</v>
      </c>
      <c r="V386">
        <v>-0.11073819999999999</v>
      </c>
      <c r="W386">
        <v>2.9022740000000002E-2</v>
      </c>
      <c r="X386">
        <v>0.99342569999999997</v>
      </c>
      <c r="Y386">
        <v>2.2169109999999998E-3</v>
      </c>
      <c r="Z386" s="1">
        <v>-7.3467639999999997E-5</v>
      </c>
      <c r="AA386">
        <v>0.99999760000000004</v>
      </c>
      <c r="AB386">
        <v>16</v>
      </c>
      <c r="AC386">
        <v>24.744599999999899</v>
      </c>
      <c r="AD386">
        <v>-1.153972</v>
      </c>
      <c r="AE386">
        <v>-4.3299999999987897E-2</v>
      </c>
      <c r="AF386">
        <v>5.4898205381512799E-2</v>
      </c>
      <c r="AG386">
        <v>-1.153972</v>
      </c>
      <c r="AH386">
        <v>24.690877885643399</v>
      </c>
      <c r="AI386">
        <v>92.675866148333398</v>
      </c>
      <c r="AJ386">
        <v>89.872607596111806</v>
      </c>
      <c r="AK386">
        <v>24.717890604853199</v>
      </c>
      <c r="AL386">
        <v>88.336885861801704</v>
      </c>
      <c r="AM386">
        <v>96.360562085029798</v>
      </c>
      <c r="AN386">
        <v>0.99999994489841704</v>
      </c>
    </row>
    <row r="387" spans="1:40" x14ac:dyDescent="0.3">
      <c r="A387" t="str">
        <f>"20200111145922333"</f>
        <v>20200111145922333</v>
      </c>
      <c r="B387" t="str">
        <f>"1578725962326356"</f>
        <v>1578725962326356</v>
      </c>
      <c r="C387" t="s">
        <v>40</v>
      </c>
      <c r="D387">
        <v>4.0889179999999996</v>
      </c>
      <c r="E387">
        <v>0.54938100000000001</v>
      </c>
      <c r="F387" t="s">
        <v>43</v>
      </c>
      <c r="G387">
        <v>-425.41019999999997</v>
      </c>
      <c r="H387">
        <v>-0.05</v>
      </c>
      <c r="I387">
        <v>367.17680000000001</v>
      </c>
      <c r="J387">
        <v>-451.20119999999997</v>
      </c>
      <c r="K387">
        <v>1.104009</v>
      </c>
      <c r="L387">
        <v>367.20620000000002</v>
      </c>
      <c r="M387">
        <v>0.99997630000000004</v>
      </c>
      <c r="N387">
        <v>0</v>
      </c>
      <c r="O387">
        <v>3.0657790000000002E-4</v>
      </c>
      <c r="P387">
        <v>0.99356069999999996</v>
      </c>
      <c r="Q387">
        <v>2.2323610000000001E-2</v>
      </c>
      <c r="R387">
        <v>0.1110816</v>
      </c>
      <c r="S387">
        <v>3.0229189999999999</v>
      </c>
      <c r="T387">
        <v>-0.1345787</v>
      </c>
      <c r="U387">
        <v>-3.4484860000000002E-3</v>
      </c>
      <c r="V387">
        <v>-0.1107689</v>
      </c>
      <c r="W387">
        <v>2.9208149999999999E-2</v>
      </c>
      <c r="X387">
        <v>0.99341690000000005</v>
      </c>
      <c r="Y387">
        <v>1.4456289999999999E-3</v>
      </c>
      <c r="Z387" s="1">
        <v>-4.5805630000000003E-5</v>
      </c>
      <c r="AA387">
        <v>0.99999890000000002</v>
      </c>
      <c r="AB387">
        <v>16</v>
      </c>
      <c r="AC387">
        <v>25.791</v>
      </c>
      <c r="AD387">
        <v>-1.1540090000000001</v>
      </c>
      <c r="AE387">
        <v>-2.9400000000009599E-2</v>
      </c>
      <c r="AF387">
        <v>3.72325936273099E-2</v>
      </c>
      <c r="AG387">
        <v>-1.1540090000000001</v>
      </c>
      <c r="AH387">
        <v>25.739457317168402</v>
      </c>
      <c r="AI387">
        <v>92.567090907366904</v>
      </c>
      <c r="AJ387">
        <v>89.917120669601104</v>
      </c>
      <c r="AK387">
        <v>25.765340789914799</v>
      </c>
      <c r="AL387">
        <v>88.326258239453693</v>
      </c>
      <c r="AM387">
        <v>96.362366865955195</v>
      </c>
      <c r="AN387">
        <v>1.00000000121962</v>
      </c>
    </row>
    <row r="388" spans="1:40" x14ac:dyDescent="0.3">
      <c r="A388" t="str">
        <f>"20200111145922355"</f>
        <v>20200111145922355</v>
      </c>
      <c r="B388" t="str">
        <f>"1578725962345874"</f>
        <v>1578725962345874</v>
      </c>
      <c r="C388" t="s">
        <v>40</v>
      </c>
      <c r="D388">
        <v>4.1131419999999999</v>
      </c>
      <c r="E388">
        <v>0.54876919999999996</v>
      </c>
      <c r="F388" t="s">
        <v>43</v>
      </c>
      <c r="G388">
        <v>-431.15249999999997</v>
      </c>
      <c r="H388">
        <v>-0.05</v>
      </c>
      <c r="I388">
        <v>366.83499999999998</v>
      </c>
      <c r="J388">
        <v>-451.03570000000002</v>
      </c>
      <c r="K388">
        <v>1.104044</v>
      </c>
      <c r="L388">
        <v>367.20600000000002</v>
      </c>
      <c r="M388">
        <v>0.99997380000000002</v>
      </c>
      <c r="N388">
        <v>0</v>
      </c>
      <c r="O388" s="1">
        <v>9.6010149999999994E-5</v>
      </c>
      <c r="P388">
        <v>0.99362119999999998</v>
      </c>
      <c r="Q388">
        <v>2.1818460000000001E-2</v>
      </c>
      <c r="R388">
        <v>0.1106385</v>
      </c>
      <c r="S388">
        <v>3.0296020000000001</v>
      </c>
      <c r="T388">
        <v>-0.17438480000000001</v>
      </c>
      <c r="U388">
        <v>-5.6091309999999998E-2</v>
      </c>
      <c r="V388">
        <v>-0.11053499999999999</v>
      </c>
      <c r="W388">
        <v>2.9029889999999999E-2</v>
      </c>
      <c r="X388">
        <v>0.9934482</v>
      </c>
      <c r="Y388">
        <v>1.857634E-2</v>
      </c>
      <c r="Z388">
        <v>-5.3966370000000004E-4</v>
      </c>
      <c r="AA388">
        <v>0.99982729999999997</v>
      </c>
      <c r="AB388">
        <v>16</v>
      </c>
      <c r="AC388">
        <v>19.883199999999999</v>
      </c>
      <c r="AD388">
        <v>-1.1540440000000001</v>
      </c>
      <c r="AE388">
        <v>-0.37099999999998001</v>
      </c>
      <c r="AF388">
        <v>0.37165744228167902</v>
      </c>
      <c r="AG388">
        <v>-1.1540440000000001</v>
      </c>
      <c r="AH388">
        <v>19.816430400490599</v>
      </c>
      <c r="AI388">
        <v>93.332369303294996</v>
      </c>
      <c r="AJ388">
        <v>88.925542784898298</v>
      </c>
      <c r="AK388">
        <v>19.853484848404499</v>
      </c>
      <c r="AL388">
        <v>88.336476154913598</v>
      </c>
      <c r="AM388">
        <v>96.348843491543505</v>
      </c>
      <c r="AN388">
        <v>1.0000000234108199</v>
      </c>
    </row>
    <row r="389" spans="1:40" x14ac:dyDescent="0.3">
      <c r="A389" t="str">
        <f>"20200111145922367"</f>
        <v>20200111145922367</v>
      </c>
      <c r="B389" t="str">
        <f>"1578725962356611"</f>
        <v>1578725962356611</v>
      </c>
      <c r="C389" t="s">
        <v>40</v>
      </c>
      <c r="D389">
        <v>3.9808859999999999</v>
      </c>
      <c r="E389">
        <v>0.54744569999999904</v>
      </c>
      <c r="F389" t="s">
        <v>43</v>
      </c>
      <c r="G389">
        <v>-431.74930000000001</v>
      </c>
      <c r="H389">
        <v>-0.05</v>
      </c>
      <c r="I389">
        <v>366.87099999999998</v>
      </c>
      <c r="J389">
        <v>-450.94799999999998</v>
      </c>
      <c r="K389">
        <v>1.10406</v>
      </c>
      <c r="L389">
        <v>367.20589999999999</v>
      </c>
      <c r="M389">
        <v>0.9999728</v>
      </c>
      <c r="N389">
        <v>0</v>
      </c>
      <c r="O389" s="1">
        <v>-1.479111E-5</v>
      </c>
      <c r="P389">
        <v>0.99366460000000001</v>
      </c>
      <c r="Q389">
        <v>2.1770029999999999E-2</v>
      </c>
      <c r="R389">
        <v>0.1102587</v>
      </c>
      <c r="S389">
        <v>3.0290530000000002</v>
      </c>
      <c r="T389">
        <v>-0.18124979999999999</v>
      </c>
      <c r="U389">
        <v>-5.2612300000000001E-2</v>
      </c>
      <c r="V389">
        <v>-0.11026560000000001</v>
      </c>
      <c r="W389">
        <v>2.914046E-2</v>
      </c>
      <c r="X389">
        <v>0.99347490000000005</v>
      </c>
      <c r="Y389">
        <v>1.7320869999999999E-2</v>
      </c>
      <c r="Z389">
        <v>-5.1682940000000004E-4</v>
      </c>
      <c r="AA389">
        <v>0.99984989999999996</v>
      </c>
      <c r="AB389">
        <v>16</v>
      </c>
      <c r="AC389">
        <v>19.198699999999999</v>
      </c>
      <c r="AD389">
        <v>-1.1540600000000001</v>
      </c>
      <c r="AE389">
        <v>-0.33490000000000397</v>
      </c>
      <c r="AF389">
        <v>0.33341164705508702</v>
      </c>
      <c r="AG389">
        <v>-1.1540600000000001</v>
      </c>
      <c r="AH389">
        <v>19.129603531813501</v>
      </c>
      <c r="AI389">
        <v>93.4518603028461</v>
      </c>
      <c r="AJ389">
        <v>89.001487605205398</v>
      </c>
      <c r="AK389">
        <v>19.167283299788799</v>
      </c>
      <c r="AL389">
        <v>88.330138278611699</v>
      </c>
      <c r="AM389">
        <v>96.333326916870405</v>
      </c>
      <c r="AN389">
        <v>1.0000000229411901</v>
      </c>
    </row>
    <row r="390" spans="1:40" x14ac:dyDescent="0.3">
      <c r="A390" t="str">
        <f>"20200111145922381"</f>
        <v>20200111145922381</v>
      </c>
      <c r="B390" t="str">
        <f>"1578725962376131"</f>
        <v>1578725962376131</v>
      </c>
      <c r="C390" t="s">
        <v>40</v>
      </c>
      <c r="D390">
        <v>3.9791569999999998</v>
      </c>
      <c r="E390">
        <v>0.5466877</v>
      </c>
      <c r="F390" t="s">
        <v>43</v>
      </c>
      <c r="G390">
        <v>-431.25069999999999</v>
      </c>
      <c r="H390">
        <v>-0.05</v>
      </c>
      <c r="I390">
        <v>366.92489999999998</v>
      </c>
      <c r="J390">
        <v>-450.8492</v>
      </c>
      <c r="K390">
        <v>1.104068</v>
      </c>
      <c r="L390">
        <v>367.20569999999998</v>
      </c>
      <c r="M390">
        <v>0.99997139999999995</v>
      </c>
      <c r="N390">
        <v>0</v>
      </c>
      <c r="O390">
        <v>-1.3882409999999999E-4</v>
      </c>
      <c r="P390">
        <v>0.99369719999999995</v>
      </c>
      <c r="Q390">
        <v>2.1797859999999999E-2</v>
      </c>
      <c r="R390">
        <v>0.1099569</v>
      </c>
      <c r="S390">
        <v>3.0278320000000001</v>
      </c>
      <c r="T390">
        <v>-0.17740010000000001</v>
      </c>
      <c r="U390">
        <v>-4.3182369999999998E-2</v>
      </c>
      <c r="V390">
        <v>-0.1100868</v>
      </c>
      <c r="W390">
        <v>2.9338739999999999E-2</v>
      </c>
      <c r="X390">
        <v>0.99348879999999995</v>
      </c>
      <c r="Y390">
        <v>1.409762E-2</v>
      </c>
      <c r="Z390">
        <v>-4.044869E-4</v>
      </c>
      <c r="AA390">
        <v>0.99990049999999997</v>
      </c>
      <c r="AB390">
        <v>16</v>
      </c>
      <c r="AC390">
        <v>19.598500000000001</v>
      </c>
      <c r="AD390">
        <v>-1.1540680000000001</v>
      </c>
      <c r="AE390">
        <v>-0.28079999999999899</v>
      </c>
      <c r="AF390">
        <v>0.277118462862392</v>
      </c>
      <c r="AG390">
        <v>-1.1540680000000001</v>
      </c>
      <c r="AH390">
        <v>19.530829439202702</v>
      </c>
      <c r="AI390">
        <v>93.381310393233505</v>
      </c>
      <c r="AJ390">
        <v>89.187097864016394</v>
      </c>
      <c r="AK390">
        <v>19.566858873470402</v>
      </c>
      <c r="AL390">
        <v>88.318772656653707</v>
      </c>
      <c r="AM390">
        <v>96.323052676371205</v>
      </c>
      <c r="AN390">
        <v>0.99999993046223101</v>
      </c>
    </row>
    <row r="391" spans="1:40" x14ac:dyDescent="0.3">
      <c r="A391" t="str">
        <f>"20200111145922398"</f>
        <v>20200111145922398</v>
      </c>
      <c r="B391" t="str">
        <f>"1578725962396627"</f>
        <v>1578725962396627</v>
      </c>
      <c r="C391" t="s">
        <v>40</v>
      </c>
      <c r="D391">
        <v>4.0745659999999999</v>
      </c>
      <c r="E391">
        <v>0.54614119999999899</v>
      </c>
      <c r="F391" t="s">
        <v>43</v>
      </c>
      <c r="G391">
        <v>-430.93369999999999</v>
      </c>
      <c r="H391">
        <v>-0.05</v>
      </c>
      <c r="I391">
        <v>366.9554</v>
      </c>
      <c r="J391">
        <v>-450.72210000000001</v>
      </c>
      <c r="K391">
        <v>1.104082</v>
      </c>
      <c r="L391">
        <v>367.2056</v>
      </c>
      <c r="M391">
        <v>0.99996980000000002</v>
      </c>
      <c r="N391">
        <v>0</v>
      </c>
      <c r="O391">
        <v>-2.9733910000000001E-4</v>
      </c>
      <c r="P391">
        <v>0.99375849999999999</v>
      </c>
      <c r="Q391">
        <v>2.16971E-2</v>
      </c>
      <c r="R391">
        <v>0.1094244</v>
      </c>
      <c r="S391">
        <v>3.027069</v>
      </c>
      <c r="T391">
        <v>-0.1754134</v>
      </c>
      <c r="U391">
        <v>-3.805542E-2</v>
      </c>
      <c r="V391">
        <v>-0.1097122</v>
      </c>
      <c r="W391">
        <v>2.9441220000000001E-2</v>
      </c>
      <c r="X391">
        <v>0.9935273</v>
      </c>
      <c r="Y391">
        <v>1.225333E-2</v>
      </c>
      <c r="Z391">
        <v>-3.3750259999999998E-4</v>
      </c>
      <c r="AA391">
        <v>0.99992479999999995</v>
      </c>
      <c r="AB391">
        <v>16</v>
      </c>
      <c r="AC391">
        <v>19.788399999999999</v>
      </c>
      <c r="AD391">
        <v>-1.1540820000000001</v>
      </c>
      <c r="AE391">
        <v>-0.25020000000000597</v>
      </c>
      <c r="AF391">
        <v>0.24348789005650501</v>
      </c>
      <c r="AG391">
        <v>-1.1540820000000001</v>
      </c>
      <c r="AH391">
        <v>19.7214047431216</v>
      </c>
      <c r="AI391">
        <v>93.348832436354499</v>
      </c>
      <c r="AJ391">
        <v>89.292640668669506</v>
      </c>
      <c r="AK391">
        <v>19.7566443673349</v>
      </c>
      <c r="AL391">
        <v>88.312898605169707</v>
      </c>
      <c r="AM391">
        <v>96.301467942333105</v>
      </c>
      <c r="AN391">
        <v>1.0000000240546001</v>
      </c>
    </row>
    <row r="392" spans="1:40" x14ac:dyDescent="0.3">
      <c r="A392" t="str">
        <f>"20200111145922411"</f>
        <v>20200111145922411</v>
      </c>
      <c r="B392" t="str">
        <f>"1578725962406386"</f>
        <v>1578725962406386</v>
      </c>
      <c r="C392" t="s">
        <v>40</v>
      </c>
      <c r="D392">
        <v>4.2069549999999998</v>
      </c>
      <c r="E392">
        <v>0.54622230000000005</v>
      </c>
      <c r="F392" t="s">
        <v>43</v>
      </c>
      <c r="G392">
        <v>-428.65370000000001</v>
      </c>
      <c r="H392">
        <v>-0.05</v>
      </c>
      <c r="I392">
        <v>366.94470000000001</v>
      </c>
      <c r="J392">
        <v>-450.63459999999998</v>
      </c>
      <c r="K392">
        <v>1.1040909999999999</v>
      </c>
      <c r="L392">
        <v>367.2054</v>
      </c>
      <c r="M392">
        <v>0.99996879999999999</v>
      </c>
      <c r="N392">
        <v>0</v>
      </c>
      <c r="O392">
        <v>-4.0612519999999998E-4</v>
      </c>
      <c r="P392">
        <v>0.9937743</v>
      </c>
      <c r="Q392">
        <v>2.1493829999999998E-2</v>
      </c>
      <c r="R392">
        <v>0.1093187</v>
      </c>
      <c r="S392">
        <v>3.0262449999999999</v>
      </c>
      <c r="T392">
        <v>-0.15825939999999999</v>
      </c>
      <c r="U392">
        <v>-3.5766600000000003E-2</v>
      </c>
      <c r="V392">
        <v>-0.1097143</v>
      </c>
      <c r="W392">
        <v>2.9372579999999999E-2</v>
      </c>
      <c r="X392">
        <v>0.99352910000000005</v>
      </c>
      <c r="Y392">
        <v>1.139685E-2</v>
      </c>
      <c r="Z392">
        <v>-2.7656499999999999E-4</v>
      </c>
      <c r="AA392">
        <v>0.99993500000000002</v>
      </c>
      <c r="AB392">
        <v>16</v>
      </c>
      <c r="AC392">
        <v>21.980899999999899</v>
      </c>
      <c r="AD392">
        <v>-1.154091</v>
      </c>
      <c r="AE392">
        <v>-0.260699999999985</v>
      </c>
      <c r="AF392">
        <v>0.25108064716455297</v>
      </c>
      <c r="AG392">
        <v>-1.154091</v>
      </c>
      <c r="AH392">
        <v>21.9205841391795</v>
      </c>
      <c r="AI392">
        <v>93.013570377102596</v>
      </c>
      <c r="AJ392">
        <v>89.343756889266203</v>
      </c>
      <c r="AK392">
        <v>21.952379746408099</v>
      </c>
      <c r="AL392">
        <v>88.316833089388993</v>
      </c>
      <c r="AM392">
        <v>96.301576263451906</v>
      </c>
      <c r="AN392">
        <v>1.00000002431357</v>
      </c>
    </row>
    <row r="393" spans="1:40" x14ac:dyDescent="0.3">
      <c r="A393" t="str">
        <f>"20200111145922423"</f>
        <v>20200111145922423</v>
      </c>
      <c r="B393" t="str">
        <f>"1578725962416147"</f>
        <v>1578725962416147</v>
      </c>
      <c r="C393" t="s">
        <v>40</v>
      </c>
      <c r="D393">
        <v>4.1308470000000002</v>
      </c>
      <c r="E393">
        <v>0.54618409999999995</v>
      </c>
      <c r="F393" t="s">
        <v>43</v>
      </c>
      <c r="G393">
        <v>-427.89109999999999</v>
      </c>
      <c r="H393">
        <v>-0.05</v>
      </c>
      <c r="I393">
        <v>366.93079999999998</v>
      </c>
      <c r="J393">
        <v>-450.54270000000002</v>
      </c>
      <c r="K393">
        <v>1.104101</v>
      </c>
      <c r="L393">
        <v>367.20519999999999</v>
      </c>
      <c r="M393">
        <v>0.99996759999999996</v>
      </c>
      <c r="N393">
        <v>0</v>
      </c>
      <c r="O393">
        <v>-5.2018819999999995E-4</v>
      </c>
      <c r="P393">
        <v>0.99377850000000001</v>
      </c>
      <c r="Q393">
        <v>2.119356E-2</v>
      </c>
      <c r="R393">
        <v>0.10934199999999999</v>
      </c>
      <c r="S393">
        <v>3.0261230000000001</v>
      </c>
      <c r="T393">
        <v>-0.1535571</v>
      </c>
      <c r="U393">
        <v>-3.6529539999999999E-2</v>
      </c>
      <c r="V393">
        <v>-0.1098513</v>
      </c>
      <c r="W393">
        <v>2.9212910000000002E-2</v>
      </c>
      <c r="X393">
        <v>0.99351869999999998</v>
      </c>
      <c r="Y393">
        <v>1.153618E-2</v>
      </c>
      <c r="Z393">
        <v>-2.661168E-4</v>
      </c>
      <c r="AA393">
        <v>0.99993339999999997</v>
      </c>
      <c r="AB393">
        <v>16</v>
      </c>
      <c r="AC393">
        <v>22.651599999999998</v>
      </c>
      <c r="AD393">
        <v>-1.154101</v>
      </c>
      <c r="AE393">
        <v>-0.27440000000001402</v>
      </c>
      <c r="AF393">
        <v>0.26193662315084598</v>
      </c>
      <c r="AG393">
        <v>-1.154101</v>
      </c>
      <c r="AH393">
        <v>22.5930986023766</v>
      </c>
      <c r="AI393">
        <v>92.924045985807595</v>
      </c>
      <c r="AJ393">
        <v>89.335762176399598</v>
      </c>
      <c r="AK393">
        <v>22.624072674243699</v>
      </c>
      <c r="AL393">
        <v>88.325985484728506</v>
      </c>
      <c r="AM393">
        <v>96.309447121064196</v>
      </c>
      <c r="AN393">
        <v>1.0000000547360199</v>
      </c>
    </row>
    <row r="394" spans="1:40" x14ac:dyDescent="0.3">
      <c r="A394" t="str">
        <f>"20200111145922435"</f>
        <v>20200111145922435</v>
      </c>
      <c r="B394" t="str">
        <f>"1578725962425907"</f>
        <v>1578725962425907</v>
      </c>
      <c r="C394" t="s">
        <v>40</v>
      </c>
      <c r="D394">
        <v>4.1386710000000004</v>
      </c>
      <c r="E394">
        <v>0.54647290000000004</v>
      </c>
      <c r="F394" t="s">
        <v>43</v>
      </c>
      <c r="G394">
        <v>-427.0915</v>
      </c>
      <c r="H394">
        <v>-0.05</v>
      </c>
      <c r="I394">
        <v>366.92520000000002</v>
      </c>
      <c r="J394">
        <v>-450.45260000000002</v>
      </c>
      <c r="K394">
        <v>1.1041110000000001</v>
      </c>
      <c r="L394">
        <v>367.20499999999998</v>
      </c>
      <c r="M394">
        <v>0.99996649999999998</v>
      </c>
      <c r="N394">
        <v>0</v>
      </c>
      <c r="O394">
        <v>-6.3149970000000001E-4</v>
      </c>
      <c r="P394">
        <v>0.99377850000000001</v>
      </c>
      <c r="Q394">
        <v>2.1044190000000001E-2</v>
      </c>
      <c r="R394">
        <v>0.10936999999999999</v>
      </c>
      <c r="S394">
        <v>3.0259399999999999</v>
      </c>
      <c r="T394">
        <v>-0.14891489999999999</v>
      </c>
      <c r="U394">
        <v>-3.6132810000000001E-2</v>
      </c>
      <c r="V394">
        <v>-0.10999009999999999</v>
      </c>
      <c r="W394">
        <v>2.9198620000000002E-2</v>
      </c>
      <c r="X394">
        <v>0.99350369999999999</v>
      </c>
      <c r="Y394">
        <v>1.129579E-2</v>
      </c>
      <c r="Z394">
        <v>-2.4671170000000001E-4</v>
      </c>
      <c r="AA394">
        <v>0.99993620000000005</v>
      </c>
      <c r="AB394">
        <v>16</v>
      </c>
      <c r="AC394">
        <v>23.3611</v>
      </c>
      <c r="AD394">
        <v>-1.1541110000000001</v>
      </c>
      <c r="AE394">
        <v>-0.27979999999996602</v>
      </c>
      <c r="AF394">
        <v>0.26440170125019502</v>
      </c>
      <c r="AG394">
        <v>-1.1541110000000001</v>
      </c>
      <c r="AH394">
        <v>23.304401907408501</v>
      </c>
      <c r="AI394">
        <v>92.834977913074695</v>
      </c>
      <c r="AJ394">
        <v>89.349974666551603</v>
      </c>
      <c r="AK394">
        <v>23.334460112073899</v>
      </c>
      <c r="AL394">
        <v>88.326804485303199</v>
      </c>
      <c r="AM394">
        <v>96.317449467430706</v>
      </c>
      <c r="AN394">
        <v>0.99999999171080201</v>
      </c>
    </row>
    <row r="395" spans="1:40" x14ac:dyDescent="0.3">
      <c r="A395" t="str">
        <f>"20200111145922448"</f>
        <v>20200111145922448</v>
      </c>
      <c r="B395" t="str">
        <f>"1578725962435666"</f>
        <v>1578725962435666</v>
      </c>
      <c r="C395" t="s">
        <v>40</v>
      </c>
      <c r="D395">
        <v>3.9943529999999998</v>
      </c>
      <c r="E395">
        <v>0.54619499999999999</v>
      </c>
      <c r="F395" t="s">
        <v>43</v>
      </c>
      <c r="G395">
        <v>-427.43970000000002</v>
      </c>
      <c r="H395">
        <v>-0.05</v>
      </c>
      <c r="I395">
        <v>366.91239999999999</v>
      </c>
      <c r="J395">
        <v>-450.36579999999998</v>
      </c>
      <c r="K395">
        <v>1.1041209999999999</v>
      </c>
      <c r="L395">
        <v>367.20490000000001</v>
      </c>
      <c r="M395">
        <v>0.99996529999999995</v>
      </c>
      <c r="N395">
        <v>0</v>
      </c>
      <c r="O395">
        <v>-7.3850320000000001E-4</v>
      </c>
      <c r="P395">
        <v>0.9938015</v>
      </c>
      <c r="Q395">
        <v>2.107301E-2</v>
      </c>
      <c r="R395">
        <v>0.109155</v>
      </c>
      <c r="S395">
        <v>3.0262449999999999</v>
      </c>
      <c r="T395">
        <v>-0.15176789999999901</v>
      </c>
      <c r="U395">
        <v>-3.8482669999999997E-2</v>
      </c>
      <c r="V395">
        <v>-0.1098811</v>
      </c>
      <c r="W395">
        <v>2.9357330000000001E-2</v>
      </c>
      <c r="X395">
        <v>0.99351109999999998</v>
      </c>
      <c r="Y395">
        <v>1.19627E-2</v>
      </c>
      <c r="Z395">
        <v>-2.6275490000000001E-4</v>
      </c>
      <c r="AA395">
        <v>0.99992840000000005</v>
      </c>
      <c r="AB395">
        <v>16</v>
      </c>
      <c r="AC395">
        <v>22.926099999999899</v>
      </c>
      <c r="AD395">
        <v>-1.154121</v>
      </c>
      <c r="AE395">
        <v>-0.29250000000001802</v>
      </c>
      <c r="AF395">
        <v>0.274871869883408</v>
      </c>
      <c r="AG395">
        <v>-1.154121</v>
      </c>
      <c r="AH395">
        <v>22.868365994628402</v>
      </c>
      <c r="AI395">
        <v>92.888944590051096</v>
      </c>
      <c r="AJ395">
        <v>89.311352648489105</v>
      </c>
      <c r="AK395">
        <v>22.899120356288201</v>
      </c>
      <c r="AL395">
        <v>88.317707198497004</v>
      </c>
      <c r="AM395">
        <v>96.311192800577899</v>
      </c>
      <c r="AN395">
        <v>1.0000000073925699</v>
      </c>
    </row>
    <row r="396" spans="1:40" x14ac:dyDescent="0.3">
      <c r="A396" t="str">
        <f>"20200111145922466"</f>
        <v>20200111145922466</v>
      </c>
      <c r="B396" t="str">
        <f>"1578725962456165"</f>
        <v>1578725962456165</v>
      </c>
      <c r="C396" t="s">
        <v>40</v>
      </c>
      <c r="D396">
        <v>3.9990139999999998</v>
      </c>
      <c r="E396">
        <v>0.54580989999999996</v>
      </c>
      <c r="F396" t="s">
        <v>43</v>
      </c>
      <c r="G396">
        <v>-427.53370000000001</v>
      </c>
      <c r="H396">
        <v>-0.05</v>
      </c>
      <c r="I396">
        <v>366.92720000000003</v>
      </c>
      <c r="J396">
        <v>-450.23250000000002</v>
      </c>
      <c r="K396">
        <v>1.104139</v>
      </c>
      <c r="L396">
        <v>367.20460000000003</v>
      </c>
      <c r="M396">
        <v>0.99996339999999995</v>
      </c>
      <c r="N396">
        <v>0</v>
      </c>
      <c r="O396">
        <v>-9.0207150000000001E-4</v>
      </c>
      <c r="P396">
        <v>0.99374399999999996</v>
      </c>
      <c r="Q396">
        <v>2.0980519999999999E-2</v>
      </c>
      <c r="R396">
        <v>0.109694</v>
      </c>
      <c r="S396">
        <v>3.02597</v>
      </c>
      <c r="T396">
        <v>-0.15295719999999999</v>
      </c>
      <c r="U396">
        <v>-3.6804200000000002E-2</v>
      </c>
      <c r="V396">
        <v>-0.1105829</v>
      </c>
      <c r="W396">
        <v>2.946029E-2</v>
      </c>
      <c r="X396">
        <v>0.99343020000000004</v>
      </c>
      <c r="Y396">
        <v>1.1246630000000001E-2</v>
      </c>
      <c r="Z396">
        <v>-2.3848749999999999E-4</v>
      </c>
      <c r="AA396">
        <v>0.99993670000000001</v>
      </c>
      <c r="AB396">
        <v>16</v>
      </c>
      <c r="AC396">
        <v>22.698799999999999</v>
      </c>
      <c r="AD396">
        <v>-1.154139</v>
      </c>
      <c r="AE396">
        <v>-0.27739999999999998</v>
      </c>
      <c r="AF396">
        <v>0.25626079412539399</v>
      </c>
      <c r="AG396">
        <v>-1.154139</v>
      </c>
      <c r="AH396">
        <v>22.6405172875006</v>
      </c>
      <c r="AI396">
        <v>92.918037493986205</v>
      </c>
      <c r="AJ396">
        <v>89.351515037895695</v>
      </c>
      <c r="AK396">
        <v>22.671363643846899</v>
      </c>
      <c r="AL396">
        <v>88.311805501052604</v>
      </c>
      <c r="AM396">
        <v>96.351686407052199</v>
      </c>
      <c r="AN396">
        <v>1.0000000243656599</v>
      </c>
    </row>
    <row r="397" spans="1:40" x14ac:dyDescent="0.3">
      <c r="A397" t="str">
        <f>"20200111145922478"</f>
        <v>20200111145922478</v>
      </c>
      <c r="B397" t="str">
        <f>"1578725962465924"</f>
        <v>1578725962465924</v>
      </c>
      <c r="C397" t="s">
        <v>40</v>
      </c>
      <c r="D397">
        <v>4.0440259999999997</v>
      </c>
      <c r="E397">
        <v>0.54579040000000001</v>
      </c>
      <c r="F397" t="s">
        <v>43</v>
      </c>
      <c r="G397">
        <v>-427.81950000000001</v>
      </c>
      <c r="H397">
        <v>-0.05</v>
      </c>
      <c r="I397">
        <v>366.96539999999999</v>
      </c>
      <c r="J397">
        <v>-450.14150000000001</v>
      </c>
      <c r="K397">
        <v>1.104152</v>
      </c>
      <c r="L397">
        <v>367.20440000000002</v>
      </c>
      <c r="M397">
        <v>0.99996229999999997</v>
      </c>
      <c r="N397">
        <v>0</v>
      </c>
      <c r="O397">
        <v>-1.0132749999999999E-3</v>
      </c>
      <c r="P397">
        <v>0.99376370000000003</v>
      </c>
      <c r="Q397">
        <v>2.0742E-2</v>
      </c>
      <c r="R397">
        <v>0.10956100000000001</v>
      </c>
      <c r="S397">
        <v>3.025757</v>
      </c>
      <c r="T397">
        <v>-0.1558089</v>
      </c>
      <c r="U397">
        <v>-3.22876E-2</v>
      </c>
      <c r="V397">
        <v>-0.11056050000000001</v>
      </c>
      <c r="W397">
        <v>2.9353509999999999E-2</v>
      </c>
      <c r="X397">
        <v>0.99343590000000004</v>
      </c>
      <c r="Y397">
        <v>9.6456130000000008E-3</v>
      </c>
      <c r="Z397">
        <v>-1.9603139999999999E-4</v>
      </c>
      <c r="AA397">
        <v>0.99995339999999999</v>
      </c>
      <c r="AB397">
        <v>16</v>
      </c>
      <c r="AC397">
        <v>22.321999999999999</v>
      </c>
      <c r="AD397">
        <v>-1.1541520000000001</v>
      </c>
      <c r="AE397">
        <v>-0.23900000000003199</v>
      </c>
      <c r="AF397">
        <v>0.21580385321783599</v>
      </c>
      <c r="AG397">
        <v>-1.1541520000000001</v>
      </c>
      <c r="AH397">
        <v>22.262720952068701</v>
      </c>
      <c r="AI397">
        <v>92.967552490575102</v>
      </c>
      <c r="AJ397">
        <v>89.444620324586197</v>
      </c>
      <c r="AK397">
        <v>22.2936623804131</v>
      </c>
      <c r="AL397">
        <v>88.317926268178795</v>
      </c>
      <c r="AM397">
        <v>96.350374163956204</v>
      </c>
      <c r="AN397">
        <v>1.00000007005918</v>
      </c>
    </row>
    <row r="398" spans="1:40" x14ac:dyDescent="0.3">
      <c r="A398" t="str">
        <f>"20200111145922491"</f>
        <v>20200111145922491</v>
      </c>
      <c r="B398" t="str">
        <f>"1578725962486418"</f>
        <v>1578725962486418</v>
      </c>
      <c r="C398" t="s">
        <v>40</v>
      </c>
      <c r="D398">
        <v>4.2963399999999998</v>
      </c>
      <c r="E398">
        <v>0.54570969999999996</v>
      </c>
      <c r="F398" t="s">
        <v>43</v>
      </c>
      <c r="G398">
        <v>-428.0376</v>
      </c>
      <c r="H398">
        <v>-0.05</v>
      </c>
      <c r="I398">
        <v>366.96780000000001</v>
      </c>
      <c r="J398">
        <v>-450.05270000000002</v>
      </c>
      <c r="K398">
        <v>1.104163</v>
      </c>
      <c r="L398">
        <v>367.20420000000001</v>
      </c>
      <c r="M398">
        <v>0.99996099999999999</v>
      </c>
      <c r="N398">
        <v>0</v>
      </c>
      <c r="O398">
        <v>-1.1206390000000001E-3</v>
      </c>
      <c r="P398">
        <v>0.99374220000000002</v>
      </c>
      <c r="Q398">
        <v>2.0748079999999999E-2</v>
      </c>
      <c r="R398">
        <v>0.10975409999999999</v>
      </c>
      <c r="S398">
        <v>3.025665</v>
      </c>
      <c r="T398">
        <v>-0.1579846</v>
      </c>
      <c r="U398">
        <v>-3.2379150000000002E-2</v>
      </c>
      <c r="V398">
        <v>-0.1108599</v>
      </c>
      <c r="W398">
        <v>2.9484590000000001E-2</v>
      </c>
      <c r="X398">
        <v>0.99339860000000002</v>
      </c>
      <c r="Y398">
        <v>9.5687559999999994E-3</v>
      </c>
      <c r="Z398">
        <v>-1.9116369999999999E-4</v>
      </c>
      <c r="AA398">
        <v>0.99995420000000002</v>
      </c>
      <c r="AB398">
        <v>16</v>
      </c>
      <c r="AC398">
        <v>22.0151</v>
      </c>
      <c r="AD398">
        <v>-1.1541629999999901</v>
      </c>
      <c r="AE398">
        <v>-0.236400000000003</v>
      </c>
      <c r="AF398">
        <v>0.211147656465524</v>
      </c>
      <c r="AG398">
        <v>-1.1541629999999901</v>
      </c>
      <c r="AH398">
        <v>21.9550150877158</v>
      </c>
      <c r="AI398">
        <v>93.009098522845903</v>
      </c>
      <c r="AJ398">
        <v>89.448987096762295</v>
      </c>
      <c r="AK398">
        <v>21.986344922820301</v>
      </c>
      <c r="AL398">
        <v>88.310412598613098</v>
      </c>
      <c r="AM398">
        <v>96.367667165439101</v>
      </c>
      <c r="AN398">
        <v>1.0000000184787099</v>
      </c>
    </row>
    <row r="399" spans="1:40" x14ac:dyDescent="0.3">
      <c r="A399" t="str">
        <f>"20200111145922504"</f>
        <v>20200111145922504</v>
      </c>
      <c r="B399" t="str">
        <f>"1578725962496179"</f>
        <v>1578725962496179</v>
      </c>
      <c r="C399" t="s">
        <v>40</v>
      </c>
      <c r="D399">
        <v>4.1930940000000003</v>
      </c>
      <c r="E399">
        <v>0.54559169999999901</v>
      </c>
      <c r="F399" t="s">
        <v>43</v>
      </c>
      <c r="G399">
        <v>-428.10579999999999</v>
      </c>
      <c r="H399">
        <v>-0.05</v>
      </c>
      <c r="I399">
        <v>366.97750000000002</v>
      </c>
      <c r="J399">
        <v>-449.94690000000003</v>
      </c>
      <c r="K399">
        <v>1.104179</v>
      </c>
      <c r="L399">
        <v>367.20389999999998</v>
      </c>
      <c r="M399">
        <v>0.9999595</v>
      </c>
      <c r="N399">
        <v>0</v>
      </c>
      <c r="O399">
        <v>-1.247658E-3</v>
      </c>
      <c r="P399">
        <v>0.99372709999999997</v>
      </c>
      <c r="Q399">
        <v>2.0343239999999999E-2</v>
      </c>
      <c r="R399">
        <v>0.10996640000000001</v>
      </c>
      <c r="S399">
        <v>3.0256349999999999</v>
      </c>
      <c r="T399">
        <v>-0.15911420000000001</v>
      </c>
      <c r="U399">
        <v>-3.125E-2</v>
      </c>
      <c r="V399">
        <v>-0.11119850000000001</v>
      </c>
      <c r="W399">
        <v>2.922626E-2</v>
      </c>
      <c r="X399">
        <v>0.99336840000000004</v>
      </c>
      <c r="Y399">
        <v>9.0694049999999991E-3</v>
      </c>
      <c r="Z399">
        <v>-1.7273500000000001E-4</v>
      </c>
      <c r="AA399">
        <v>0.99995889999999998</v>
      </c>
      <c r="AB399">
        <v>16</v>
      </c>
      <c r="AC399">
        <v>21.841100000000001</v>
      </c>
      <c r="AD399">
        <v>-1.1541790000000001</v>
      </c>
      <c r="AE399">
        <v>-0.226399999999955</v>
      </c>
      <c r="AF399">
        <v>0.19859399871737901</v>
      </c>
      <c r="AG399">
        <v>-1.1541790000000001</v>
      </c>
      <c r="AH399">
        <v>21.780549251238298</v>
      </c>
      <c r="AI399">
        <v>93.0332132049884</v>
      </c>
      <c r="AJ399">
        <v>89.4775943195949</v>
      </c>
      <c r="AK399">
        <v>21.812012617500098</v>
      </c>
      <c r="AL399">
        <v>88.325220216926496</v>
      </c>
      <c r="AM399">
        <v>96.3871480586498</v>
      </c>
      <c r="AN399">
        <v>1.00000002939719</v>
      </c>
    </row>
    <row r="400" spans="1:40" x14ac:dyDescent="0.3">
      <c r="A400" t="str">
        <f>"20200111145922522"</f>
        <v>20200111145922522</v>
      </c>
      <c r="B400" t="str">
        <f>"1578725962515700"</f>
        <v>1578725962515700</v>
      </c>
      <c r="C400" t="s">
        <v>40</v>
      </c>
      <c r="D400">
        <v>4.193206</v>
      </c>
      <c r="E400">
        <v>0.54544820000000005</v>
      </c>
      <c r="F400" t="s">
        <v>43</v>
      </c>
      <c r="G400">
        <v>-427.83909999999997</v>
      </c>
      <c r="H400">
        <v>-0.05</v>
      </c>
      <c r="I400">
        <v>366.98540000000003</v>
      </c>
      <c r="J400">
        <v>-449.82420000000002</v>
      </c>
      <c r="K400">
        <v>1.104196</v>
      </c>
      <c r="L400">
        <v>367.20359999999999</v>
      </c>
      <c r="M400">
        <v>0.99995780000000001</v>
      </c>
      <c r="N400">
        <v>0</v>
      </c>
      <c r="O400">
        <v>-1.3926660000000001E-3</v>
      </c>
      <c r="P400">
        <v>0.99363639999999998</v>
      </c>
      <c r="Q400">
        <v>2.0033849999999999E-2</v>
      </c>
      <c r="R400">
        <v>0.11083949999999999</v>
      </c>
      <c r="S400">
        <v>3.0254819999999998</v>
      </c>
      <c r="T400">
        <v>-0.15795109999999901</v>
      </c>
      <c r="U400">
        <v>-2.990723E-2</v>
      </c>
      <c r="V400">
        <v>-0.1122158</v>
      </c>
      <c r="W400">
        <v>2.9084700000000002E-2</v>
      </c>
      <c r="X400">
        <v>0.99325810000000003</v>
      </c>
      <c r="Y400">
        <v>8.4823109999999993E-3</v>
      </c>
      <c r="Z400">
        <v>-1.4860319999999999E-4</v>
      </c>
      <c r="AA400">
        <v>0.99996399999999996</v>
      </c>
      <c r="AB400">
        <v>16</v>
      </c>
      <c r="AC400">
        <v>21.985099999999999</v>
      </c>
      <c r="AD400">
        <v>-1.154196</v>
      </c>
      <c r="AE400">
        <v>-0.218199999999967</v>
      </c>
      <c r="AF400">
        <v>0.18706509671030599</v>
      </c>
      <c r="AG400">
        <v>-1.154196</v>
      </c>
      <c r="AH400">
        <v>21.924960128190101</v>
      </c>
      <c r="AI400">
        <v>93.013331443319402</v>
      </c>
      <c r="AJ400">
        <v>89.511160777153293</v>
      </c>
      <c r="AK400">
        <v>21.956116195255198</v>
      </c>
      <c r="AL400">
        <v>88.333334373312098</v>
      </c>
      <c r="AM400">
        <v>96.445801130575504</v>
      </c>
      <c r="AN400">
        <v>0.999999979379669</v>
      </c>
    </row>
    <row r="401" spans="1:40" x14ac:dyDescent="0.3">
      <c r="A401" t="str">
        <f>"20200111145922544"</f>
        <v>20200111145922544</v>
      </c>
      <c r="B401" t="str">
        <f>"1578725962536197"</f>
        <v>1578725962536197</v>
      </c>
      <c r="C401" t="s">
        <v>40</v>
      </c>
      <c r="D401">
        <v>4.2065489999999999</v>
      </c>
      <c r="E401">
        <v>0.54553999999999903</v>
      </c>
      <c r="F401" t="s">
        <v>43</v>
      </c>
      <c r="G401">
        <v>-427.31569999999999</v>
      </c>
      <c r="H401">
        <v>-0.05</v>
      </c>
      <c r="I401">
        <v>367.00880000000001</v>
      </c>
      <c r="J401">
        <v>-449.6601</v>
      </c>
      <c r="K401">
        <v>1.1042270000000001</v>
      </c>
      <c r="L401">
        <v>367.20310000000001</v>
      </c>
      <c r="M401">
        <v>0.99995540000000005</v>
      </c>
      <c r="N401">
        <v>0</v>
      </c>
      <c r="O401">
        <v>-1.58507299999999E-3</v>
      </c>
      <c r="P401">
        <v>0.99358760000000002</v>
      </c>
      <c r="Q401">
        <v>2.012945E-2</v>
      </c>
      <c r="R401">
        <v>0.11125889999999999</v>
      </c>
      <c r="S401">
        <v>3.025299</v>
      </c>
      <c r="T401">
        <v>-0.1551322</v>
      </c>
      <c r="U401">
        <v>-2.6184079999999998E-2</v>
      </c>
      <c r="V401">
        <v>-0.1128262</v>
      </c>
      <c r="W401">
        <v>2.9413100000000001E-2</v>
      </c>
      <c r="X401">
        <v>0.99317929999999999</v>
      </c>
      <c r="Y401">
        <v>7.0624249999999998E-3</v>
      </c>
      <c r="Z401" s="1">
        <v>-9.972406E-5</v>
      </c>
      <c r="AA401">
        <v>0.99997510000000001</v>
      </c>
      <c r="AB401">
        <v>16</v>
      </c>
      <c r="AC401">
        <v>22.3444</v>
      </c>
      <c r="AD401">
        <v>-1.1542269999999999</v>
      </c>
      <c r="AE401">
        <v>-0.194299999999998</v>
      </c>
      <c r="AF401">
        <v>0.158457924117379</v>
      </c>
      <c r="AG401">
        <v>-1.1542269999999999</v>
      </c>
      <c r="AH401">
        <v>22.285219341234701</v>
      </c>
      <c r="AI401">
        <v>92.964818425311194</v>
      </c>
      <c r="AJ401">
        <v>89.592608125519803</v>
      </c>
      <c r="AK401">
        <v>22.315652577690599</v>
      </c>
      <c r="AL401">
        <v>88.314510423154701</v>
      </c>
      <c r="AM401">
        <v>96.481075512560295</v>
      </c>
      <c r="AN401">
        <v>1.00000000190326</v>
      </c>
    </row>
    <row r="402" spans="1:40" x14ac:dyDescent="0.3">
      <c r="A402" t="str">
        <f>"20200111145922556"</f>
        <v>20200111145922556</v>
      </c>
      <c r="B402" t="str">
        <f>"1578725962545955"</f>
        <v>1578725962545955</v>
      </c>
      <c r="C402" t="s">
        <v>40</v>
      </c>
      <c r="D402">
        <v>4.1371500000000001</v>
      </c>
      <c r="E402">
        <v>0.54565540000000001</v>
      </c>
      <c r="F402" t="s">
        <v>43</v>
      </c>
      <c r="G402">
        <v>-426.99149999999997</v>
      </c>
      <c r="H402">
        <v>-0.05</v>
      </c>
      <c r="I402">
        <v>367.01220000000001</v>
      </c>
      <c r="J402">
        <v>-449.56900000000002</v>
      </c>
      <c r="K402">
        <v>1.1042449999999999</v>
      </c>
      <c r="L402">
        <v>367.2029</v>
      </c>
      <c r="M402">
        <v>0.99995400000000001</v>
      </c>
      <c r="N402">
        <v>0</v>
      </c>
      <c r="O402">
        <v>-1.6906239999999999E-3</v>
      </c>
      <c r="P402">
        <v>0.9935735</v>
      </c>
      <c r="Q402">
        <v>1.9934400000000001E-2</v>
      </c>
      <c r="R402">
        <v>0.111421699999999</v>
      </c>
      <c r="S402">
        <v>3.025299</v>
      </c>
      <c r="T402">
        <v>-0.15404029999999999</v>
      </c>
      <c r="U402">
        <v>-2.548218E-2</v>
      </c>
      <c r="V402">
        <v>-0.113093899999999</v>
      </c>
      <c r="W402">
        <v>2.9354950000000001E-2</v>
      </c>
      <c r="X402">
        <v>0.99315059999999999</v>
      </c>
      <c r="Y402">
        <v>6.7255559999999997E-3</v>
      </c>
      <c r="Z402" s="1">
        <v>-8.5081379999999993E-5</v>
      </c>
      <c r="AA402">
        <v>0.99997740000000002</v>
      </c>
      <c r="AB402">
        <v>16</v>
      </c>
      <c r="AC402">
        <v>22.577500000000001</v>
      </c>
      <c r="AD402">
        <v>-1.154245</v>
      </c>
      <c r="AE402">
        <v>-0.19069999999999199</v>
      </c>
      <c r="AF402">
        <v>0.15213037840281099</v>
      </c>
      <c r="AG402">
        <v>-1.154245</v>
      </c>
      <c r="AH402">
        <v>22.518938147709399</v>
      </c>
      <c r="AI402">
        <v>92.934154197538206</v>
      </c>
      <c r="AJ402">
        <v>89.612934856801303</v>
      </c>
      <c r="AK402">
        <v>22.549013292656898</v>
      </c>
      <c r="AL402">
        <v>88.317843657257399</v>
      </c>
      <c r="AM402">
        <v>96.496507830752407</v>
      </c>
      <c r="AN402">
        <v>1.00000002879353</v>
      </c>
    </row>
    <row r="403" spans="1:40" x14ac:dyDescent="0.3">
      <c r="A403" t="str">
        <f>"20200111145922570"</f>
        <v>20200111145922570</v>
      </c>
      <c r="B403" t="str">
        <f>"1578725962566450"</f>
        <v>1578725962566450</v>
      </c>
      <c r="C403" t="s">
        <v>40</v>
      </c>
      <c r="D403">
        <v>4.1496370000000002</v>
      </c>
      <c r="E403">
        <v>0.54569239999999997</v>
      </c>
      <c r="F403" t="s">
        <v>43</v>
      </c>
      <c r="G403">
        <v>-427.1712</v>
      </c>
      <c r="H403">
        <v>-0.05</v>
      </c>
      <c r="I403">
        <v>367.0102</v>
      </c>
      <c r="J403">
        <v>-449.47379999999998</v>
      </c>
      <c r="K403">
        <v>1.1042650000000001</v>
      </c>
      <c r="L403">
        <v>367.20260000000002</v>
      </c>
      <c r="M403">
        <v>0.99995219999999996</v>
      </c>
      <c r="N403">
        <v>0</v>
      </c>
      <c r="O403">
        <v>-1.79915E-3</v>
      </c>
      <c r="P403">
        <v>0.99352510000000005</v>
      </c>
      <c r="Q403">
        <v>1.9988300000000001E-2</v>
      </c>
      <c r="R403">
        <v>0.1118412</v>
      </c>
      <c r="S403">
        <v>3.0254819999999998</v>
      </c>
      <c r="T403">
        <v>-0.15591450000000001</v>
      </c>
      <c r="U403">
        <v>-2.6031490000000001E-2</v>
      </c>
      <c r="V403">
        <v>-0.11362170000000001</v>
      </c>
      <c r="W403">
        <v>2.9566100000000001E-2</v>
      </c>
      <c r="X403">
        <v>0.99308410000000003</v>
      </c>
      <c r="Y403">
        <v>6.7979499999999997E-3</v>
      </c>
      <c r="Z403" s="1">
        <v>-8.2384809999999897E-5</v>
      </c>
      <c r="AA403">
        <v>0.99997689999999995</v>
      </c>
      <c r="AB403">
        <v>16</v>
      </c>
      <c r="AC403">
        <v>22.302599999999899</v>
      </c>
      <c r="AD403">
        <v>-1.1542649999999901</v>
      </c>
      <c r="AE403">
        <v>-0.19240000000002</v>
      </c>
      <c r="AF403">
        <v>0.151865363652258</v>
      </c>
      <c r="AG403">
        <v>-1.1542649999999901</v>
      </c>
      <c r="AH403">
        <v>22.243334580905099</v>
      </c>
      <c r="AI403">
        <v>92.970494729649502</v>
      </c>
      <c r="AJ403">
        <v>89.608821727547905</v>
      </c>
      <c r="AK403">
        <v>22.2737810902638</v>
      </c>
      <c r="AL403">
        <v>88.305740414715601</v>
      </c>
      <c r="AM403">
        <v>96.526998782900506</v>
      </c>
      <c r="AN403">
        <v>1.0000000373264499</v>
      </c>
    </row>
    <row r="404" spans="1:40" x14ac:dyDescent="0.3">
      <c r="A404" t="str">
        <f>"20200111145922587"</f>
        <v>20200111145922587</v>
      </c>
      <c r="B404" t="str">
        <f>"1578725962576210"</f>
        <v>1578725962576210</v>
      </c>
      <c r="C404" t="s">
        <v>40</v>
      </c>
      <c r="D404">
        <v>4.0470319999999997</v>
      </c>
      <c r="E404">
        <v>0.5456647</v>
      </c>
      <c r="F404" t="s">
        <v>43</v>
      </c>
      <c r="G404">
        <v>-427.24020000000002</v>
      </c>
      <c r="H404">
        <v>-0.05</v>
      </c>
      <c r="I404">
        <v>367.01729999999998</v>
      </c>
      <c r="J404">
        <v>-449.3449</v>
      </c>
      <c r="K404">
        <v>1.104295</v>
      </c>
      <c r="L404">
        <v>367.2022</v>
      </c>
      <c r="M404">
        <v>0.99994959999999999</v>
      </c>
      <c r="N404">
        <v>0</v>
      </c>
      <c r="O404">
        <v>-1.940776E-3</v>
      </c>
      <c r="P404">
        <v>0.99348539999999996</v>
      </c>
      <c r="Q404">
        <v>1.9216339999999998E-2</v>
      </c>
      <c r="R404">
        <v>0.1123285</v>
      </c>
      <c r="S404">
        <v>3.0255429999999999</v>
      </c>
      <c r="T404">
        <v>-0.1570724</v>
      </c>
      <c r="U404">
        <v>-2.5207520000000001E-2</v>
      </c>
      <c r="V404">
        <v>-0.1142495</v>
      </c>
      <c r="W404">
        <v>2.9033699999999999E-2</v>
      </c>
      <c r="X404">
        <v>0.99302769999999996</v>
      </c>
      <c r="Y404">
        <v>6.384476E-3</v>
      </c>
      <c r="Z404" s="1">
        <v>-6.4920680000000002E-5</v>
      </c>
      <c r="AA404">
        <v>0.99997959999999997</v>
      </c>
      <c r="AB404">
        <v>16</v>
      </c>
      <c r="AC404">
        <v>22.104699999999902</v>
      </c>
      <c r="AD404">
        <v>-1.1542950000000001</v>
      </c>
      <c r="AE404">
        <v>-0.18490000000002699</v>
      </c>
      <c r="AF404">
        <v>0.141611170831907</v>
      </c>
      <c r="AG404">
        <v>-1.1542950000000001</v>
      </c>
      <c r="AH404">
        <v>22.044907848488702</v>
      </c>
      <c r="AI404">
        <v>92.997269447706202</v>
      </c>
      <c r="AJ404">
        <v>89.631950794454497</v>
      </c>
      <c r="AK404">
        <v>22.075561436101399</v>
      </c>
      <c r="AL404">
        <v>88.336257657881106</v>
      </c>
      <c r="AM404">
        <v>96.563118486120104</v>
      </c>
      <c r="AN404">
        <v>0.99999995847661405</v>
      </c>
    </row>
    <row r="405" spans="1:40" x14ac:dyDescent="0.3">
      <c r="A405" t="str">
        <f>"20200111145922600"</f>
        <v>20200111145922600</v>
      </c>
      <c r="B405" t="str">
        <f>"1578725962595731"</f>
        <v>1578725962595731</v>
      </c>
      <c r="C405" t="s">
        <v>40</v>
      </c>
      <c r="D405">
        <v>4.3449849999999897</v>
      </c>
      <c r="E405">
        <v>0.54541269999999997</v>
      </c>
      <c r="F405" t="s">
        <v>43</v>
      </c>
      <c r="G405">
        <v>-427.40879999999999</v>
      </c>
      <c r="H405">
        <v>-0.05</v>
      </c>
      <c r="I405">
        <v>367.03219999999999</v>
      </c>
      <c r="J405">
        <v>-449.255</v>
      </c>
      <c r="K405">
        <v>1.1043229999999999</v>
      </c>
      <c r="L405">
        <v>367.20190000000002</v>
      </c>
      <c r="M405">
        <v>0.99994749999999999</v>
      </c>
      <c r="N405">
        <v>0</v>
      </c>
      <c r="O405">
        <v>-2.0350839999999999E-3</v>
      </c>
      <c r="P405">
        <v>0.99350019999999994</v>
      </c>
      <c r="Q405">
        <v>1.8567630000000002E-2</v>
      </c>
      <c r="R405">
        <v>0.112306</v>
      </c>
      <c r="S405">
        <v>3.0253909999999999</v>
      </c>
      <c r="T405">
        <v>-0.15919810000000001</v>
      </c>
      <c r="U405">
        <v>-2.34375E-2</v>
      </c>
      <c r="V405">
        <v>-0.11432059999999999</v>
      </c>
      <c r="W405">
        <v>2.8571840000000001E-2</v>
      </c>
      <c r="X405">
        <v>0.9930329</v>
      </c>
      <c r="Y405">
        <v>5.7064809999999898E-3</v>
      </c>
      <c r="Z405" s="1">
        <v>-4.301644E-5</v>
      </c>
      <c r="AA405">
        <v>0.99998370000000003</v>
      </c>
      <c r="AB405">
        <v>16</v>
      </c>
      <c r="AC405">
        <v>21.8462</v>
      </c>
      <c r="AD405">
        <v>-1.154323</v>
      </c>
      <c r="AE405">
        <v>-0.16970000000003399</v>
      </c>
      <c r="AF405">
        <v>0.12488989285289399</v>
      </c>
      <c r="AG405">
        <v>-1.154323</v>
      </c>
      <c r="AH405">
        <v>21.785679933738798</v>
      </c>
      <c r="AI405">
        <v>93.032953926889306</v>
      </c>
      <c r="AJ405">
        <v>89.671546382707902</v>
      </c>
      <c r="AK405">
        <v>21.816597105162302</v>
      </c>
      <c r="AL405">
        <v>88.362731249487695</v>
      </c>
      <c r="AM405">
        <v>96.567133104633498</v>
      </c>
      <c r="AN405">
        <v>0.99999994505387602</v>
      </c>
    </row>
    <row r="406" spans="1:40" x14ac:dyDescent="0.3">
      <c r="A406" t="str">
        <f>"20200111145922613"</f>
        <v>20200111145922613</v>
      </c>
      <c r="B406" t="str">
        <f>"1578725962606467"</f>
        <v>1578725962606467</v>
      </c>
      <c r="C406" t="s">
        <v>40</v>
      </c>
      <c r="D406">
        <v>4.1873860000000001</v>
      </c>
      <c r="E406">
        <v>0.54530529999999999</v>
      </c>
      <c r="F406" t="s">
        <v>43</v>
      </c>
      <c r="G406">
        <v>-427.26639999999998</v>
      </c>
      <c r="H406">
        <v>-0.05</v>
      </c>
      <c r="I406">
        <v>367.0437</v>
      </c>
      <c r="J406">
        <v>-449.166</v>
      </c>
      <c r="K406">
        <v>1.104363</v>
      </c>
      <c r="L406">
        <v>367.20159999999998</v>
      </c>
      <c r="M406">
        <v>0.99994519999999998</v>
      </c>
      <c r="N406">
        <v>0</v>
      </c>
      <c r="O406">
        <v>-2.129508E-3</v>
      </c>
      <c r="P406">
        <v>0.99355930000000003</v>
      </c>
      <c r="Q406">
        <v>1.818463E-2</v>
      </c>
      <c r="R406">
        <v>0.1118445</v>
      </c>
      <c r="S406">
        <v>3.025055</v>
      </c>
      <c r="T406">
        <v>-0.15880520000000001</v>
      </c>
      <c r="U406">
        <v>-2.1759029999999999E-2</v>
      </c>
      <c r="V406">
        <v>-0.11395329999999999</v>
      </c>
      <c r="W406">
        <v>2.840167E-2</v>
      </c>
      <c r="X406">
        <v>0.99308010000000002</v>
      </c>
      <c r="Y406">
        <v>5.059137E-3</v>
      </c>
      <c r="Z406" s="1">
        <v>-2.098151E-5</v>
      </c>
      <c r="AA406">
        <v>0.99998719999999996</v>
      </c>
      <c r="AB406">
        <v>16</v>
      </c>
      <c r="AC406">
        <v>21.8996</v>
      </c>
      <c r="AD406">
        <v>-1.154363</v>
      </c>
      <c r="AE406">
        <v>-0.157899999999983</v>
      </c>
      <c r="AF406">
        <v>0.110953548691665</v>
      </c>
      <c r="AG406">
        <v>-1.154363</v>
      </c>
      <c r="AH406">
        <v>21.839209234380601</v>
      </c>
      <c r="AI406">
        <v>93.025649086710004</v>
      </c>
      <c r="AJ406">
        <v>89.708912749577607</v>
      </c>
      <c r="AK406">
        <v>21.869977700235399</v>
      </c>
      <c r="AL406">
        <v>88.372485397627798</v>
      </c>
      <c r="AM406">
        <v>96.545908597087703</v>
      </c>
      <c r="AN406">
        <v>1.0000000472278401</v>
      </c>
    </row>
    <row r="407" spans="1:40" x14ac:dyDescent="0.3">
      <c r="A407" t="str">
        <f>"20200111145922625"</f>
        <v>20200111145922625</v>
      </c>
      <c r="B407" t="str">
        <f>"1578725962616226"</f>
        <v>1578725962616226</v>
      </c>
      <c r="C407" t="s">
        <v>40</v>
      </c>
      <c r="D407">
        <v>4.1173060000000001</v>
      </c>
      <c r="E407">
        <v>0.5451435</v>
      </c>
      <c r="F407" t="s">
        <v>43</v>
      </c>
      <c r="G407">
        <v>-427.21440000000001</v>
      </c>
      <c r="H407">
        <v>-0.05</v>
      </c>
      <c r="I407">
        <v>367.04059999999998</v>
      </c>
      <c r="J407">
        <v>-449.07479999999998</v>
      </c>
      <c r="K407">
        <v>1.104403</v>
      </c>
      <c r="L407">
        <v>367.2013</v>
      </c>
      <c r="M407">
        <v>0.99994269999999996</v>
      </c>
      <c r="N407">
        <v>0</v>
      </c>
      <c r="O407">
        <v>-2.2268520000000001E-3</v>
      </c>
      <c r="P407">
        <v>0.99362890000000004</v>
      </c>
      <c r="Q407">
        <v>1.7685719999999999E-2</v>
      </c>
      <c r="R407">
        <v>0.1113072</v>
      </c>
      <c r="S407">
        <v>3.0248409999999999</v>
      </c>
      <c r="T407">
        <v>-0.1590666</v>
      </c>
      <c r="U407">
        <v>-2.2186279999999999E-2</v>
      </c>
      <c r="V407">
        <v>-0.1135133</v>
      </c>
      <c r="W407">
        <v>2.8123789999999999E-2</v>
      </c>
      <c r="X407">
        <v>0.99313839999999998</v>
      </c>
      <c r="Y407">
        <v>5.1035899999999999E-3</v>
      </c>
      <c r="Z407" s="1">
        <v>-1.7069560000000001E-5</v>
      </c>
      <c r="AA407">
        <v>0.99998699999999996</v>
      </c>
      <c r="AB407">
        <v>16</v>
      </c>
      <c r="AC407">
        <v>21.860399999999899</v>
      </c>
      <c r="AD407">
        <v>-1.1544030000000001</v>
      </c>
      <c r="AE407">
        <v>-0.16070000000001899</v>
      </c>
      <c r="AF407">
        <v>0.111705563013801</v>
      </c>
      <c r="AG407">
        <v>-1.1544030000000001</v>
      </c>
      <c r="AH407">
        <v>21.799913967904601</v>
      </c>
      <c r="AI407">
        <v>93.031196947261193</v>
      </c>
      <c r="AJ407">
        <v>89.706411626091906</v>
      </c>
      <c r="AK407">
        <v>21.8307437671569</v>
      </c>
      <c r="AL407">
        <v>88.388413113968596</v>
      </c>
      <c r="AM407">
        <v>96.520471945343402</v>
      </c>
      <c r="AN407">
        <v>1.0000000491976999</v>
      </c>
    </row>
    <row r="408" spans="1:40" x14ac:dyDescent="0.3">
      <c r="A408" t="str">
        <f>"20200111145922637"</f>
        <v>20200111145922637</v>
      </c>
      <c r="B408" t="str">
        <f>"1578725962625987"</f>
        <v>1578725962625987</v>
      </c>
      <c r="C408" t="s">
        <v>40</v>
      </c>
      <c r="D408">
        <v>4.193988</v>
      </c>
      <c r="E408">
        <v>0.54507519999999998</v>
      </c>
      <c r="F408" t="s">
        <v>43</v>
      </c>
      <c r="G408">
        <v>-427.56939999999997</v>
      </c>
      <c r="H408">
        <v>-0.05</v>
      </c>
      <c r="I408">
        <v>367.0437</v>
      </c>
      <c r="J408">
        <v>-448.98270000000002</v>
      </c>
      <c r="K408">
        <v>1.104441</v>
      </c>
      <c r="L408">
        <v>367.20100000000002</v>
      </c>
      <c r="M408">
        <v>0.9999401</v>
      </c>
      <c r="N408">
        <v>0</v>
      </c>
      <c r="O408">
        <v>-2.3259130000000002E-3</v>
      </c>
      <c r="P408">
        <v>0.99373389999999995</v>
      </c>
      <c r="Q408">
        <v>1.7576580000000001E-2</v>
      </c>
      <c r="R408">
        <v>0.1103826</v>
      </c>
      <c r="S408">
        <v>3.024597</v>
      </c>
      <c r="T408">
        <v>-0.1623597</v>
      </c>
      <c r="U408">
        <v>-2.215576E-2</v>
      </c>
      <c r="V408">
        <v>-0.11268789999999999</v>
      </c>
      <c r="W408">
        <v>2.8242949999999999E-2</v>
      </c>
      <c r="X408">
        <v>0.99322900000000003</v>
      </c>
      <c r="Y408">
        <v>4.9951529999999996E-3</v>
      </c>
      <c r="Z408" s="1">
        <v>-9.2013510000000007E-6</v>
      </c>
      <c r="AA408">
        <v>0.99998750000000003</v>
      </c>
      <c r="AB408">
        <v>16</v>
      </c>
      <c r="AC408">
        <v>21.4133</v>
      </c>
      <c r="AD408">
        <v>-1.1544410000000001</v>
      </c>
      <c r="AE408">
        <v>-0.157299999999963</v>
      </c>
      <c r="AF408">
        <v>0.10717974744167599</v>
      </c>
      <c r="AG408">
        <v>-1.1544410000000001</v>
      </c>
      <c r="AH408">
        <v>21.351552170173299</v>
      </c>
      <c r="AI408">
        <v>93.094829978506297</v>
      </c>
      <c r="AJ408">
        <v>89.7123911390795</v>
      </c>
      <c r="AK408">
        <v>21.383007309459</v>
      </c>
      <c r="AL408">
        <v>88.381583015928101</v>
      </c>
      <c r="AM408">
        <v>96.472877454049097</v>
      </c>
      <c r="AN408">
        <v>1.00000003673605</v>
      </c>
    </row>
    <row r="409" spans="1:40" x14ac:dyDescent="0.3">
      <c r="A409" t="str">
        <f>"20200111145922655"</f>
        <v>20200111145922655</v>
      </c>
      <c r="B409" t="str">
        <f>"1578725962646482"</f>
        <v>1578725962646482</v>
      </c>
      <c r="C409" t="s">
        <v>40</v>
      </c>
      <c r="D409">
        <v>4.3356890000000003</v>
      </c>
      <c r="E409">
        <v>0.54496020000000001</v>
      </c>
      <c r="F409" t="s">
        <v>43</v>
      </c>
      <c r="G409">
        <v>-427.72469999999998</v>
      </c>
      <c r="H409">
        <v>-0.05</v>
      </c>
      <c r="I409">
        <v>367.0283</v>
      </c>
      <c r="J409">
        <v>-448.85570000000001</v>
      </c>
      <c r="K409">
        <v>1.1044909999999999</v>
      </c>
      <c r="L409">
        <v>367.20049999999998</v>
      </c>
      <c r="M409">
        <v>0.9999363</v>
      </c>
      <c r="N409">
        <v>0</v>
      </c>
      <c r="O409">
        <v>-2.4630469999999999E-3</v>
      </c>
      <c r="P409">
        <v>0.99383560000000004</v>
      </c>
      <c r="Q409">
        <v>1.7444129999999999E-2</v>
      </c>
      <c r="R409">
        <v>0.1094841</v>
      </c>
      <c r="S409">
        <v>3.0245669999999998</v>
      </c>
      <c r="T409">
        <v>-0.16425279999999901</v>
      </c>
      <c r="U409">
        <v>-2.4566649999999999E-2</v>
      </c>
      <c r="V409">
        <v>-0.11192580000000001</v>
      </c>
      <c r="W409">
        <v>2.8409299999999998E-2</v>
      </c>
      <c r="X409">
        <v>0.99331040000000004</v>
      </c>
      <c r="Y409">
        <v>5.6542619999999898E-3</v>
      </c>
      <c r="Z409" s="1">
        <v>-1.9749469999999999E-5</v>
      </c>
      <c r="AA409">
        <v>0.99998399999999998</v>
      </c>
      <c r="AB409">
        <v>16</v>
      </c>
      <c r="AC409">
        <v>21.131</v>
      </c>
      <c r="AD409">
        <v>-1.1544909999999999</v>
      </c>
      <c r="AE409">
        <v>-0.17219999999997501</v>
      </c>
      <c r="AF409">
        <v>0.119792120772249</v>
      </c>
      <c r="AG409">
        <v>-1.1544909999999999</v>
      </c>
      <c r="AH409">
        <v>21.068475317690702</v>
      </c>
      <c r="AI409">
        <v>93.136454174465797</v>
      </c>
      <c r="AJ409">
        <v>89.674228491943893</v>
      </c>
      <c r="AK409">
        <v>21.100423024987499</v>
      </c>
      <c r="AL409">
        <v>88.372047996831697</v>
      </c>
      <c r="AM409">
        <v>96.428947183751106</v>
      </c>
      <c r="AN409">
        <v>1.00000001189014</v>
      </c>
    </row>
    <row r="410" spans="1:40" x14ac:dyDescent="0.3">
      <c r="A410" t="str">
        <f>"20200111145922668"</f>
        <v>20200111145922668</v>
      </c>
      <c r="B410" t="str">
        <f>"1578725962666004"</f>
        <v>1578725962666004</v>
      </c>
      <c r="C410" t="s">
        <v>40</v>
      </c>
      <c r="D410">
        <v>4.1557019999999998</v>
      </c>
      <c r="E410">
        <v>0.54481840000000004</v>
      </c>
      <c r="F410" t="s">
        <v>43</v>
      </c>
      <c r="G410">
        <v>-427.351</v>
      </c>
      <c r="H410">
        <v>-0.05</v>
      </c>
      <c r="I410">
        <v>367.01080000000002</v>
      </c>
      <c r="J410">
        <v>-448.76029999999997</v>
      </c>
      <c r="K410">
        <v>1.1045210000000001</v>
      </c>
      <c r="L410">
        <v>367.20010000000002</v>
      </c>
      <c r="M410">
        <v>0.99993370000000004</v>
      </c>
      <c r="N410">
        <v>0</v>
      </c>
      <c r="O410">
        <v>-2.5643290000000002E-3</v>
      </c>
      <c r="P410">
        <v>0.99391910000000006</v>
      </c>
      <c r="Q410">
        <v>1.741388E-2</v>
      </c>
      <c r="R410">
        <v>0.1087275</v>
      </c>
      <c r="S410">
        <v>3.0244140000000002</v>
      </c>
      <c r="T410">
        <v>-0.16236719999999999</v>
      </c>
      <c r="U410">
        <v>-2.6672359999999999E-2</v>
      </c>
      <c r="V410">
        <v>-0.1112706</v>
      </c>
      <c r="W410">
        <v>2.8588519999999999E-2</v>
      </c>
      <c r="X410">
        <v>0.99337889999999995</v>
      </c>
      <c r="Y410">
        <v>6.2489520000000003E-3</v>
      </c>
      <c r="Z410" s="1">
        <v>-3.0041370000000001E-5</v>
      </c>
      <c r="AA410">
        <v>0.99998039999999999</v>
      </c>
      <c r="AB410">
        <v>16</v>
      </c>
      <c r="AC410">
        <v>21.409299999999899</v>
      </c>
      <c r="AD410">
        <v>-1.1545209999999999</v>
      </c>
      <c r="AE410">
        <v>-0.18930000000000199</v>
      </c>
      <c r="AF410">
        <v>0.134005766864249</v>
      </c>
      <c r="AG410">
        <v>-1.1545209999999999</v>
      </c>
      <c r="AH410">
        <v>21.347640352695102</v>
      </c>
      <c r="AI410">
        <v>93.095588124288795</v>
      </c>
      <c r="AJ410">
        <v>89.6403413258722</v>
      </c>
      <c r="AK410">
        <v>21.379256884022201</v>
      </c>
      <c r="AL410">
        <v>88.361775328124693</v>
      </c>
      <c r="AM410">
        <v>96.391188167574796</v>
      </c>
      <c r="AN410">
        <v>1.00000004443267</v>
      </c>
    </row>
    <row r="411" spans="1:40" x14ac:dyDescent="0.3">
      <c r="A411" t="str">
        <f>"20200111145922689"</f>
        <v>20200111145922689</v>
      </c>
      <c r="B411" t="str">
        <f>"1578725962686498"</f>
        <v>1578725962686498</v>
      </c>
      <c r="C411" t="s">
        <v>40</v>
      </c>
      <c r="D411">
        <v>4.2291119999999998</v>
      </c>
      <c r="E411">
        <v>0.54466159999999997</v>
      </c>
      <c r="F411" t="s">
        <v>43</v>
      </c>
      <c r="G411">
        <v>-426.94869999999997</v>
      </c>
      <c r="H411">
        <v>-0.05</v>
      </c>
      <c r="I411">
        <v>367.00029999999998</v>
      </c>
      <c r="J411">
        <v>-448.6139</v>
      </c>
      <c r="K411">
        <v>1.1045499999999999</v>
      </c>
      <c r="L411">
        <v>367.19959999999998</v>
      </c>
      <c r="M411">
        <v>0.99992999999999999</v>
      </c>
      <c r="N411">
        <v>0</v>
      </c>
      <c r="O411">
        <v>-2.7150080000000001E-3</v>
      </c>
      <c r="P411">
        <v>0.99408390000000002</v>
      </c>
      <c r="Q411">
        <v>1.6813700000000001E-2</v>
      </c>
      <c r="R411">
        <v>0.1073083</v>
      </c>
      <c r="S411">
        <v>3.0242</v>
      </c>
      <c r="T411">
        <v>-0.1600752</v>
      </c>
      <c r="U411">
        <v>-2.7709959999999999E-2</v>
      </c>
      <c r="V411">
        <v>-0.1100015</v>
      </c>
      <c r="W411">
        <v>2.8284420000000001E-2</v>
      </c>
      <c r="X411">
        <v>0.99352890000000005</v>
      </c>
      <c r="Y411">
        <v>6.4420299999999996E-3</v>
      </c>
      <c r="Z411" s="1">
        <v>-2.675543E-5</v>
      </c>
      <c r="AA411">
        <v>0.99997930000000002</v>
      </c>
      <c r="AB411">
        <v>16</v>
      </c>
      <c r="AC411">
        <v>21.665199999999999</v>
      </c>
      <c r="AD411">
        <v>-1.15455</v>
      </c>
      <c r="AE411">
        <v>-0.19929999999999301</v>
      </c>
      <c r="AF411">
        <v>0.14007640648498901</v>
      </c>
      <c r="AG411">
        <v>-1.15455</v>
      </c>
      <c r="AH411">
        <v>21.604312798210302</v>
      </c>
      <c r="AI411">
        <v>93.058953574354803</v>
      </c>
      <c r="AJ411">
        <v>89.628515171287702</v>
      </c>
      <c r="AK411">
        <v>21.635594250795702</v>
      </c>
      <c r="AL411">
        <v>88.379205961858602</v>
      </c>
      <c r="AM411">
        <v>96.317939991823295</v>
      </c>
      <c r="AN411">
        <v>1.0000000067760899</v>
      </c>
    </row>
    <row r="412" spans="1:40" x14ac:dyDescent="0.3">
      <c r="A412" t="str">
        <f>"20200111145922702"</f>
        <v>20200111145922702</v>
      </c>
      <c r="B412" t="str">
        <f>"1578725962696258"</f>
        <v>1578725962696258</v>
      </c>
      <c r="C412" t="s">
        <v>40</v>
      </c>
      <c r="D412">
        <v>4.1504969999999997</v>
      </c>
      <c r="E412">
        <v>0.54446519999999898</v>
      </c>
      <c r="F412" t="s">
        <v>43</v>
      </c>
      <c r="G412">
        <v>-426.91910000000001</v>
      </c>
      <c r="H412">
        <v>-0.05</v>
      </c>
      <c r="I412">
        <v>366.97820000000002</v>
      </c>
      <c r="J412">
        <v>-448.51650000000001</v>
      </c>
      <c r="K412">
        <v>1.1045640000000001</v>
      </c>
      <c r="L412">
        <v>367.19920000000002</v>
      </c>
      <c r="M412">
        <v>0.99992760000000003</v>
      </c>
      <c r="N412">
        <v>0</v>
      </c>
      <c r="O412">
        <v>-2.8117889999999999E-3</v>
      </c>
      <c r="P412">
        <v>0.99415310000000001</v>
      </c>
      <c r="Q412">
        <v>1.644079E-2</v>
      </c>
      <c r="R412">
        <v>0.1067208</v>
      </c>
      <c r="S412">
        <v>3.0239259999999999</v>
      </c>
      <c r="T412">
        <v>-0.16092690000000001</v>
      </c>
      <c r="U412">
        <v>-3.0853269999999999E-2</v>
      </c>
      <c r="V412">
        <v>-0.10951039999999999</v>
      </c>
      <c r="W412">
        <v>2.8093759999999999E-2</v>
      </c>
      <c r="X412">
        <v>0.99358860000000004</v>
      </c>
      <c r="Y412">
        <v>7.3841779999999999E-3</v>
      </c>
      <c r="Z412" s="1">
        <v>-4.6803849999999997E-5</v>
      </c>
      <c r="AA412">
        <v>0.9999728</v>
      </c>
      <c r="AB412">
        <v>16</v>
      </c>
      <c r="AC412">
        <v>21.5974</v>
      </c>
      <c r="AD412">
        <v>-1.1545639999999999</v>
      </c>
      <c r="AE412">
        <v>-0.221000000000003</v>
      </c>
      <c r="AF412">
        <v>0.15981097632878899</v>
      </c>
      <c r="AG412">
        <v>-1.1545639999999999</v>
      </c>
      <c r="AH412">
        <v>21.5363956153633</v>
      </c>
      <c r="AI412">
        <v>93.068599076712502</v>
      </c>
      <c r="AJ412">
        <v>89.574844065440999</v>
      </c>
      <c r="AK412">
        <v>21.567913521703801</v>
      </c>
      <c r="AL412">
        <v>88.390134382012207</v>
      </c>
      <c r="AM412">
        <v>96.289585320297604</v>
      </c>
      <c r="AN412">
        <v>1.00000004655452</v>
      </c>
    </row>
    <row r="413" spans="1:40" x14ac:dyDescent="0.3">
      <c r="A413" t="str">
        <f>"20200111145922713"</f>
        <v>20200111145922713</v>
      </c>
      <c r="B413" t="str">
        <f>"1578725962706019"</f>
        <v>1578725962706019</v>
      </c>
      <c r="C413" t="s">
        <v>40</v>
      </c>
      <c r="D413">
        <v>4.22044</v>
      </c>
      <c r="E413">
        <v>0.54435649999999902</v>
      </c>
      <c r="F413" t="s">
        <v>43</v>
      </c>
      <c r="G413">
        <v>-427.16660000000002</v>
      </c>
      <c r="H413">
        <v>-0.05</v>
      </c>
      <c r="I413">
        <v>366.98219999999998</v>
      </c>
      <c r="J413">
        <v>-448.4282</v>
      </c>
      <c r="K413">
        <v>1.104582</v>
      </c>
      <c r="L413">
        <v>367.19889999999998</v>
      </c>
      <c r="M413">
        <v>0.99992559999999997</v>
      </c>
      <c r="N413">
        <v>0</v>
      </c>
      <c r="O413">
        <v>-2.8953030000000001E-3</v>
      </c>
      <c r="P413">
        <v>0.9942164</v>
      </c>
      <c r="Q413">
        <v>1.6015250000000002E-2</v>
      </c>
      <c r="R413">
        <v>0.10619480000000001</v>
      </c>
      <c r="S413">
        <v>3.023682</v>
      </c>
      <c r="T413">
        <v>-0.16351499999999999</v>
      </c>
      <c r="U413">
        <v>-3.07312E-2</v>
      </c>
      <c r="V413">
        <v>-0.1090677</v>
      </c>
      <c r="W413">
        <v>2.7821120000000001E-2</v>
      </c>
      <c r="X413">
        <v>0.99364490000000005</v>
      </c>
      <c r="Y413">
        <v>7.2612040000000003E-3</v>
      </c>
      <c r="Z413" s="1">
        <v>-3.9723279999999998E-5</v>
      </c>
      <c r="AA413">
        <v>0.99997369999999997</v>
      </c>
      <c r="AB413">
        <v>16</v>
      </c>
      <c r="AC413">
        <v>21.261599999999898</v>
      </c>
      <c r="AD413">
        <v>-1.154582</v>
      </c>
      <c r="AE413">
        <v>-0.216700000000003</v>
      </c>
      <c r="AF413">
        <v>0.15467990936980899</v>
      </c>
      <c r="AG413">
        <v>-1.154582</v>
      </c>
      <c r="AH413">
        <v>21.199629574275502</v>
      </c>
      <c r="AI413">
        <v>93.117301167425694</v>
      </c>
      <c r="AJ413">
        <v>89.581957378732199</v>
      </c>
      <c r="AK413">
        <v>21.2316103853566</v>
      </c>
      <c r="AL413">
        <v>88.405761509131295</v>
      </c>
      <c r="AM413">
        <v>96.264009858586604</v>
      </c>
      <c r="AN413">
        <v>0.99999998259867695</v>
      </c>
    </row>
    <row r="414" spans="1:40" x14ac:dyDescent="0.3">
      <c r="A414" t="str">
        <f>"20200111145922726"</f>
        <v>20200111145922726</v>
      </c>
      <c r="B414" t="str">
        <f>"1578725962715779"</f>
        <v>1578725962715779</v>
      </c>
      <c r="C414" t="s">
        <v>40</v>
      </c>
      <c r="D414">
        <v>4.2132849999999999</v>
      </c>
      <c r="E414">
        <v>0.54422899999999996</v>
      </c>
      <c r="F414" t="s">
        <v>43</v>
      </c>
      <c r="G414">
        <v>-427.39769999999999</v>
      </c>
      <c r="H414">
        <v>-0.05</v>
      </c>
      <c r="I414">
        <v>366.97699999999998</v>
      </c>
      <c r="J414">
        <v>-448.34559999999999</v>
      </c>
      <c r="K414">
        <v>1.104592</v>
      </c>
      <c r="L414">
        <v>367.19850000000002</v>
      </c>
      <c r="M414">
        <v>0.99992369999999997</v>
      </c>
      <c r="N414">
        <v>0</v>
      </c>
      <c r="O414">
        <v>-2.9716949999999999E-3</v>
      </c>
      <c r="P414">
        <v>0.99425229999999998</v>
      </c>
      <c r="Q414">
        <v>1.543393E-2</v>
      </c>
      <c r="R414">
        <v>0.105945</v>
      </c>
      <c r="S414">
        <v>3.0235289999999999</v>
      </c>
      <c r="T414">
        <v>-0.165993</v>
      </c>
      <c r="U414">
        <v>-3.1890870000000002E-2</v>
      </c>
      <c r="V414">
        <v>-0.1088942</v>
      </c>
      <c r="W414">
        <v>2.7375920000000002E-2</v>
      </c>
      <c r="X414">
        <v>0.99367629999999996</v>
      </c>
      <c r="Y414">
        <v>7.5682680000000004E-3</v>
      </c>
      <c r="Z414" s="1">
        <v>-4.4557529999999997E-5</v>
      </c>
      <c r="AA414">
        <v>0.99997130000000001</v>
      </c>
      <c r="AB414">
        <v>16</v>
      </c>
      <c r="AC414">
        <v>20.947900000000001</v>
      </c>
      <c r="AD414">
        <v>-1.1545920000000001</v>
      </c>
      <c r="AE414">
        <v>-0.22150000000004799</v>
      </c>
      <c r="AF414">
        <v>0.158761526326055</v>
      </c>
      <c r="AG414">
        <v>-1.1545920000000001</v>
      </c>
      <c r="AH414">
        <v>20.8850258578052</v>
      </c>
      <c r="AI414">
        <v>93.164184408147904</v>
      </c>
      <c r="AJ414">
        <v>89.564463541380505</v>
      </c>
      <c r="AK414">
        <v>20.9175188057737</v>
      </c>
      <c r="AL414">
        <v>88.4312793200925</v>
      </c>
      <c r="AM414">
        <v>96.253928313660893</v>
      </c>
      <c r="AN414">
        <v>0.99999998848558802</v>
      </c>
    </row>
    <row r="415" spans="1:40" x14ac:dyDescent="0.3">
      <c r="A415" t="str">
        <f>"20200111145922738"</f>
        <v>20200111145922738</v>
      </c>
      <c r="B415" t="str">
        <f>"1578725962726515"</f>
        <v>1578725962726515</v>
      </c>
      <c r="C415" t="s">
        <v>40</v>
      </c>
      <c r="D415">
        <v>4.2807899999999997</v>
      </c>
      <c r="E415">
        <v>0.54413659999999997</v>
      </c>
      <c r="F415" t="s">
        <v>43</v>
      </c>
      <c r="G415">
        <v>-427.61750000000001</v>
      </c>
      <c r="H415">
        <v>-0.05</v>
      </c>
      <c r="I415">
        <v>366.98239999999998</v>
      </c>
      <c r="J415">
        <v>-448.25700000000001</v>
      </c>
      <c r="K415">
        <v>1.1046020000000001</v>
      </c>
      <c r="L415">
        <v>367.19819999999999</v>
      </c>
      <c r="M415">
        <v>0.99992179999999997</v>
      </c>
      <c r="N415">
        <v>0</v>
      </c>
      <c r="O415">
        <v>-3.0516889999999998E-3</v>
      </c>
      <c r="P415">
        <v>0.99426210000000004</v>
      </c>
      <c r="Q415">
        <v>1.5343529999999999E-2</v>
      </c>
      <c r="R415">
        <v>0.1058665</v>
      </c>
      <c r="S415">
        <v>3.0233150000000002</v>
      </c>
      <c r="T415">
        <v>-0.16840450000000001</v>
      </c>
      <c r="U415">
        <v>-3.1524660000000003E-2</v>
      </c>
      <c r="V415">
        <v>-0.10889550000000001</v>
      </c>
      <c r="W415">
        <v>2.7424540000000001E-2</v>
      </c>
      <c r="X415">
        <v>0.99367479999999997</v>
      </c>
      <c r="Y415">
        <v>7.3681269999999899E-3</v>
      </c>
      <c r="Z415" s="1">
        <v>-3.5184620000000003E-5</v>
      </c>
      <c r="AA415">
        <v>0.99997290000000005</v>
      </c>
      <c r="AB415">
        <v>16</v>
      </c>
      <c r="AC415">
        <v>20.639499999999899</v>
      </c>
      <c r="AD415">
        <v>-1.1546019999999999</v>
      </c>
      <c r="AE415">
        <v>-0.21580000000000099</v>
      </c>
      <c r="AF415">
        <v>0.15233236490749</v>
      </c>
      <c r="AG415">
        <v>-1.1546019999999999</v>
      </c>
      <c r="AH415">
        <v>20.575679221385101</v>
      </c>
      <c r="AI415">
        <v>93.211690254086406</v>
      </c>
      <c r="AJ415">
        <v>89.575817544721403</v>
      </c>
      <c r="AK415">
        <v>20.608611946202</v>
      </c>
      <c r="AL415">
        <v>88.428492526618896</v>
      </c>
      <c r="AM415">
        <v>96.254011748567606</v>
      </c>
      <c r="AN415">
        <v>0.99999997173474997</v>
      </c>
    </row>
    <row r="416" spans="1:40" x14ac:dyDescent="0.3">
      <c r="A416" t="str">
        <f>"20200111145922756"</f>
        <v>20200111145922756</v>
      </c>
      <c r="B416" t="str">
        <f>"1578725962746034"</f>
        <v>1578725962746034</v>
      </c>
      <c r="C416" t="s">
        <v>40</v>
      </c>
      <c r="D416">
        <v>4.3524909999999997</v>
      </c>
      <c r="E416">
        <v>0.54398639999999998</v>
      </c>
      <c r="F416" t="s">
        <v>43</v>
      </c>
      <c r="G416">
        <v>-427.62939999999998</v>
      </c>
      <c r="H416">
        <v>-0.05</v>
      </c>
      <c r="I416">
        <v>366.98509999999999</v>
      </c>
      <c r="J416">
        <v>-448.13060000000002</v>
      </c>
      <c r="K416">
        <v>1.1046180000000001</v>
      </c>
      <c r="L416">
        <v>367.19760000000002</v>
      </c>
      <c r="M416">
        <v>0.99991920000000001</v>
      </c>
      <c r="N416">
        <v>0</v>
      </c>
      <c r="O416">
        <v>-3.1630450000000002E-3</v>
      </c>
      <c r="P416">
        <v>0.99426440000000005</v>
      </c>
      <c r="Q416">
        <v>1.519203E-2</v>
      </c>
      <c r="R416">
        <v>0.1058668</v>
      </c>
      <c r="S416">
        <v>3.0232540000000001</v>
      </c>
      <c r="T416">
        <v>-0.1692227</v>
      </c>
      <c r="U416">
        <v>-3.1219480000000001E-2</v>
      </c>
      <c r="V416">
        <v>-0.1090063</v>
      </c>
      <c r="W416">
        <v>2.745218E-2</v>
      </c>
      <c r="X416">
        <v>0.99366189999999999</v>
      </c>
      <c r="Y416">
        <v>7.1564819999999996E-3</v>
      </c>
      <c r="Z416" s="1">
        <v>-2.3208760000000001E-5</v>
      </c>
      <c r="AA416">
        <v>0.99997440000000004</v>
      </c>
      <c r="AB416">
        <v>16</v>
      </c>
      <c r="AC416">
        <v>20.501200000000001</v>
      </c>
      <c r="AD416">
        <v>-1.1546179999999999</v>
      </c>
      <c r="AE416">
        <v>-0.212500000000034</v>
      </c>
      <c r="AF416">
        <v>0.14718101134448699</v>
      </c>
      <c r="AG416">
        <v>-1.1546179999999999</v>
      </c>
      <c r="AH416">
        <v>20.4369528292127</v>
      </c>
      <c r="AI416">
        <v>93.233494627678695</v>
      </c>
      <c r="AJ416">
        <v>89.587379534482494</v>
      </c>
      <c r="AK416">
        <v>20.470071956871301</v>
      </c>
      <c r="AL416">
        <v>88.426908293374296</v>
      </c>
      <c r="AM416">
        <v>96.260405266317804</v>
      </c>
      <c r="AN416">
        <v>0.99999998356902597</v>
      </c>
    </row>
    <row r="417" spans="1:40" x14ac:dyDescent="0.3">
      <c r="A417" t="str">
        <f>"20200111145922771"</f>
        <v>20200111145922771</v>
      </c>
      <c r="B417" t="str">
        <f>"1578725962766530"</f>
        <v>1578725962766530</v>
      </c>
      <c r="C417" t="s">
        <v>40</v>
      </c>
      <c r="D417">
        <v>4.2037019999999998</v>
      </c>
      <c r="E417">
        <v>0.54381639999999998</v>
      </c>
      <c r="F417" t="s">
        <v>43</v>
      </c>
      <c r="G417">
        <v>-427.64729999999997</v>
      </c>
      <c r="H417">
        <v>-0.05</v>
      </c>
      <c r="I417">
        <v>366.99329999999998</v>
      </c>
      <c r="J417">
        <v>-448.0265</v>
      </c>
      <c r="K417">
        <v>1.104633</v>
      </c>
      <c r="L417">
        <v>367.19720000000001</v>
      </c>
      <c r="M417">
        <v>0.99991730000000001</v>
      </c>
      <c r="N417">
        <v>0</v>
      </c>
      <c r="O417">
        <v>-3.2525449999999999E-3</v>
      </c>
      <c r="P417">
        <v>0.99427690000000002</v>
      </c>
      <c r="Q417">
        <v>1.486094E-2</v>
      </c>
      <c r="R417">
        <v>0.10579669999999999</v>
      </c>
      <c r="S417">
        <v>3.0231020000000002</v>
      </c>
      <c r="T417">
        <v>-0.1704087</v>
      </c>
      <c r="U417">
        <v>-3.015137E-2</v>
      </c>
      <c r="V417">
        <v>-0.10902539999999999</v>
      </c>
      <c r="W417">
        <v>2.725532E-2</v>
      </c>
      <c r="X417">
        <v>0.99366520000000003</v>
      </c>
      <c r="Y417">
        <v>6.7149729999999999E-3</v>
      </c>
      <c r="Z417" s="1">
        <v>-5.8973960000000004E-6</v>
      </c>
      <c r="AA417">
        <v>0.99997749999999996</v>
      </c>
      <c r="AB417">
        <v>16</v>
      </c>
      <c r="AC417">
        <v>20.379200000000001</v>
      </c>
      <c r="AD417">
        <v>-1.154633</v>
      </c>
      <c r="AE417">
        <v>-0.203900000000032</v>
      </c>
      <c r="AF417">
        <v>0.13716924680290901</v>
      </c>
      <c r="AG417">
        <v>-1.154633</v>
      </c>
      <c r="AH417">
        <v>20.314550954086901</v>
      </c>
      <c r="AI417">
        <v>93.252988132765793</v>
      </c>
      <c r="AJ417">
        <v>89.613129549366207</v>
      </c>
      <c r="AK417">
        <v>20.347800206242201</v>
      </c>
      <c r="AL417">
        <v>88.438191726008895</v>
      </c>
      <c r="AM417">
        <v>96.261472868007303</v>
      </c>
      <c r="AN417">
        <v>0.99999996000225</v>
      </c>
    </row>
    <row r="418" spans="1:40" x14ac:dyDescent="0.3">
      <c r="A418" t="str">
        <f>"20200111145922784"</f>
        <v>20200111145922784</v>
      </c>
      <c r="B418" t="str">
        <f>"1578725962776291"</f>
        <v>1578725962776291</v>
      </c>
      <c r="C418" t="s">
        <v>40</v>
      </c>
      <c r="D418">
        <v>4.0496349999999897</v>
      </c>
      <c r="E418">
        <v>0.54362880000000002</v>
      </c>
      <c r="F418" t="s">
        <v>43</v>
      </c>
      <c r="G418">
        <v>-427.46609999999998</v>
      </c>
      <c r="H418">
        <v>-0.05</v>
      </c>
      <c r="I418">
        <v>367.00139999999999</v>
      </c>
      <c r="J418">
        <v>-447.93049999999999</v>
      </c>
      <c r="K418">
        <v>1.104643</v>
      </c>
      <c r="L418">
        <v>367.1968</v>
      </c>
      <c r="M418">
        <v>0.99991560000000002</v>
      </c>
      <c r="N418">
        <v>0</v>
      </c>
      <c r="O418">
        <v>-3.333585E-3</v>
      </c>
      <c r="P418">
        <v>0.99429049999999997</v>
      </c>
      <c r="Q418">
        <v>1.4937260000000001E-2</v>
      </c>
      <c r="R418">
        <v>0.1056579</v>
      </c>
      <c r="S418">
        <v>3.022888</v>
      </c>
      <c r="T418">
        <v>-0.1697601</v>
      </c>
      <c r="U418">
        <v>-2.8778080000000001E-2</v>
      </c>
      <c r="V418">
        <v>-0.10896790000000001</v>
      </c>
      <c r="W418">
        <v>2.744599E-2</v>
      </c>
      <c r="X418">
        <v>0.9936663</v>
      </c>
      <c r="Y418">
        <v>6.1813930000000003E-3</v>
      </c>
      <c r="Z418" s="1">
        <v>1.3642899999999999E-5</v>
      </c>
      <c r="AA418">
        <v>0.99998089999999995</v>
      </c>
      <c r="AB418">
        <v>16</v>
      </c>
      <c r="AC418">
        <v>20.464400000000001</v>
      </c>
      <c r="AD418">
        <v>-1.1546430000000001</v>
      </c>
      <c r="AE418">
        <v>-0.19540000000000601</v>
      </c>
      <c r="AF418">
        <v>0.126770188942363</v>
      </c>
      <c r="AG418">
        <v>-1.1546430000000001</v>
      </c>
      <c r="AH418">
        <v>20.400001334714201</v>
      </c>
      <c r="AI418">
        <v>93.239430549475401</v>
      </c>
      <c r="AJ418">
        <v>89.643955743845098</v>
      </c>
      <c r="AK418">
        <v>20.433044941823798</v>
      </c>
      <c r="AL418">
        <v>88.427263114853403</v>
      </c>
      <c r="AM418">
        <v>96.258189903355699</v>
      </c>
      <c r="AN418">
        <v>1.0000000006765899</v>
      </c>
    </row>
    <row r="419" spans="1:40" x14ac:dyDescent="0.3">
      <c r="A419" t="str">
        <f>"20200111145922801"</f>
        <v>20200111145922801</v>
      </c>
      <c r="B419" t="str">
        <f>"1578725962795811"</f>
        <v>1578725962795811</v>
      </c>
      <c r="C419" t="s">
        <v>40</v>
      </c>
      <c r="D419">
        <v>4.2197389999999997</v>
      </c>
      <c r="E419">
        <v>0.5180884</v>
      </c>
      <c r="F419" t="s">
        <v>43</v>
      </c>
      <c r="G419">
        <v>-427.39850000000001</v>
      </c>
      <c r="H419">
        <v>-0.05</v>
      </c>
      <c r="I419">
        <v>367.00979999999998</v>
      </c>
      <c r="J419">
        <v>-447.81049999999999</v>
      </c>
      <c r="K419">
        <v>1.1046590000000001</v>
      </c>
      <c r="L419">
        <v>367.19630000000001</v>
      </c>
      <c r="M419">
        <v>0.99991359999999996</v>
      </c>
      <c r="N419">
        <v>0</v>
      </c>
      <c r="O419">
        <v>-3.4329540000000002E-3</v>
      </c>
      <c r="P419">
        <v>0.99427160000000003</v>
      </c>
      <c r="Q419">
        <v>1.519305E-2</v>
      </c>
      <c r="R419">
        <v>0.1057992</v>
      </c>
      <c r="S419">
        <v>3.0226440000000001</v>
      </c>
      <c r="T419">
        <v>-0.16998260000000001</v>
      </c>
      <c r="U419">
        <v>-2.752686E-2</v>
      </c>
      <c r="V419">
        <v>-0.1092075</v>
      </c>
      <c r="W419">
        <v>2.7830649999999998E-2</v>
      </c>
      <c r="X419">
        <v>0.99362930000000005</v>
      </c>
      <c r="Y419">
        <v>5.6698269999999997E-3</v>
      </c>
      <c r="Z419" s="1">
        <v>3.3618870000000002E-5</v>
      </c>
      <c r="AA419">
        <v>0.99998390000000004</v>
      </c>
      <c r="AB419">
        <v>16</v>
      </c>
      <c r="AC419">
        <v>20.4119999999999</v>
      </c>
      <c r="AD419">
        <v>-1.1546590000000001</v>
      </c>
      <c r="AE419">
        <v>-0.18650000000002301</v>
      </c>
      <c r="AF419">
        <v>0.116048489418578</v>
      </c>
      <c r="AG419">
        <v>-1.1546590000000001</v>
      </c>
      <c r="AH419">
        <v>20.347415742937098</v>
      </c>
      <c r="AI419">
        <v>93.247839365955002</v>
      </c>
      <c r="AJ419">
        <v>89.673225501773999</v>
      </c>
      <c r="AK419">
        <v>20.380481644801701</v>
      </c>
      <c r="AL419">
        <v>88.405215303730998</v>
      </c>
      <c r="AM419">
        <v>96.272072633759706</v>
      </c>
      <c r="AN419">
        <v>1.00000000447708</v>
      </c>
    </row>
    <row r="420" spans="1:40" x14ac:dyDescent="0.3">
      <c r="A420" t="str">
        <f>"20200111145922813"</f>
        <v>20200111145922813</v>
      </c>
      <c r="B420" t="str">
        <f>"1578725962806546"</f>
        <v>1578725962806546</v>
      </c>
      <c r="C420" t="s">
        <v>40</v>
      </c>
      <c r="D420">
        <v>4.3600890000000003</v>
      </c>
      <c r="E420">
        <v>0.5180884</v>
      </c>
      <c r="F420" t="s">
        <v>43</v>
      </c>
      <c r="G420">
        <v>-426.58069999999998</v>
      </c>
      <c r="H420">
        <v>-0.05</v>
      </c>
      <c r="I420">
        <v>368.43369999999999</v>
      </c>
      <c r="J420">
        <v>-447.72590000000002</v>
      </c>
      <c r="K420">
        <v>1.1046689999999999</v>
      </c>
      <c r="L420">
        <v>367.19589999999999</v>
      </c>
      <c r="M420">
        <v>0.99991229999999998</v>
      </c>
      <c r="N420">
        <v>0</v>
      </c>
      <c r="O420">
        <v>-3.5009220000000001E-3</v>
      </c>
      <c r="P420">
        <v>0.99423289999999998</v>
      </c>
      <c r="Q420">
        <v>1.515857E-2</v>
      </c>
      <c r="R420">
        <v>0.1061677</v>
      </c>
      <c r="S420">
        <v>3.00116</v>
      </c>
      <c r="T420">
        <v>-0.16322909999999999</v>
      </c>
      <c r="U420">
        <v>0.17492679999999999</v>
      </c>
      <c r="V420">
        <v>-0.1096437</v>
      </c>
      <c r="W420">
        <v>2.787688E-2</v>
      </c>
      <c r="X420">
        <v>0.99358000000000002</v>
      </c>
      <c r="Y420">
        <v>-6.1586670000000003E-2</v>
      </c>
      <c r="Z420">
        <v>1.862285E-3</v>
      </c>
      <c r="AA420">
        <v>0.99809999999999999</v>
      </c>
      <c r="AB420">
        <v>16</v>
      </c>
      <c r="AC420">
        <v>21.145199999999999</v>
      </c>
      <c r="AD420">
        <v>-1.1546689999999999</v>
      </c>
      <c r="AE420">
        <v>1.23779999999999</v>
      </c>
      <c r="AF420">
        <v>-1.3079393376602899</v>
      </c>
      <c r="AG420">
        <v>-1.1546689999999999</v>
      </c>
      <c r="AH420">
        <v>21.078098700319501</v>
      </c>
      <c r="AI420">
        <v>93.129550721743698</v>
      </c>
      <c r="AJ420">
        <v>93.550768165042399</v>
      </c>
      <c r="AK420">
        <v>21.150182283634599</v>
      </c>
      <c r="AL420">
        <v>88.402565546744697</v>
      </c>
      <c r="AM420">
        <v>96.297233830628898</v>
      </c>
      <c r="AN420">
        <v>1.0000000388941099</v>
      </c>
    </row>
    <row r="421" spans="1:40" x14ac:dyDescent="0.3">
      <c r="A421" t="str">
        <f>"20200111145922825"</f>
        <v>20200111145922825</v>
      </c>
      <c r="B421" t="str">
        <f>"1578725962816306"</f>
        <v>1578725962816306</v>
      </c>
      <c r="C421" t="s">
        <v>40</v>
      </c>
      <c r="D421">
        <v>4.2359289999999996</v>
      </c>
      <c r="E421">
        <v>0.5224394</v>
      </c>
      <c r="F421" t="s">
        <v>43</v>
      </c>
      <c r="G421">
        <v>-426.50189999999998</v>
      </c>
      <c r="H421">
        <v>-0.05</v>
      </c>
      <c r="I421">
        <v>368.44380000000001</v>
      </c>
      <c r="J421">
        <v>-447.64229999999998</v>
      </c>
      <c r="K421">
        <v>1.104678</v>
      </c>
      <c r="L421">
        <v>367.19560000000001</v>
      </c>
      <c r="M421">
        <v>0.99991099999999999</v>
      </c>
      <c r="N421">
        <v>0</v>
      </c>
      <c r="O421">
        <v>-3.5670810000000002E-3</v>
      </c>
      <c r="P421">
        <v>0.9941835</v>
      </c>
      <c r="Q421">
        <v>1.5260630000000001E-2</v>
      </c>
      <c r="R421">
        <v>0.1066135</v>
      </c>
      <c r="S421">
        <v>3.0010379999999999</v>
      </c>
      <c r="T421">
        <v>-0.16326869999999999</v>
      </c>
      <c r="U421">
        <v>0.17645259999999999</v>
      </c>
      <c r="V421">
        <v>-0.1101553</v>
      </c>
      <c r="W421">
        <v>2.8055630000000002E-2</v>
      </c>
      <c r="X421">
        <v>0.99351840000000002</v>
      </c>
      <c r="Y421">
        <v>-6.2159819999999998E-2</v>
      </c>
      <c r="Z421">
        <v>1.881944E-3</v>
      </c>
      <c r="AA421">
        <v>0.99806450000000002</v>
      </c>
      <c r="AB421">
        <v>16</v>
      </c>
      <c r="AC421">
        <v>21.1404</v>
      </c>
      <c r="AD421">
        <v>-1.1546780000000001</v>
      </c>
      <c r="AE421">
        <v>1.24819999999999</v>
      </c>
      <c r="AF421">
        <v>-1.31968448536453</v>
      </c>
      <c r="AG421">
        <v>-1.1546780000000001</v>
      </c>
      <c r="AH421">
        <v>21.073163738936</v>
      </c>
      <c r="AI421">
        <v>93.130195559582205</v>
      </c>
      <c r="AJ421">
        <v>93.583407775720204</v>
      </c>
      <c r="AK421">
        <v>21.1459943817406</v>
      </c>
      <c r="AL421">
        <v>88.392319952790899</v>
      </c>
      <c r="AM421">
        <v>96.326768241541799</v>
      </c>
      <c r="AN421">
        <v>1.00000005981567</v>
      </c>
    </row>
    <row r="422" spans="1:40" x14ac:dyDescent="0.3">
      <c r="A422" t="str">
        <f>"20200111145922836"</f>
        <v>20200111145922836</v>
      </c>
      <c r="B422" t="str">
        <f>"1578725962826066"</f>
        <v>1578725962826066</v>
      </c>
      <c r="C422" t="s">
        <v>40</v>
      </c>
      <c r="D422">
        <v>4.3598730000000003</v>
      </c>
      <c r="E422">
        <v>0.52230390000000004</v>
      </c>
      <c r="F422" t="s">
        <v>43</v>
      </c>
      <c r="G422">
        <v>-402.45069999999998</v>
      </c>
      <c r="H422">
        <v>-0.05</v>
      </c>
      <c r="I422">
        <v>369.33670000000001</v>
      </c>
      <c r="J422">
        <v>-447.55700000000002</v>
      </c>
      <c r="K422">
        <v>1.1046860000000001</v>
      </c>
      <c r="L422">
        <v>367.1952</v>
      </c>
      <c r="M422">
        <v>0.99990979999999996</v>
      </c>
      <c r="N422">
        <v>0</v>
      </c>
      <c r="O422">
        <v>-3.6332199999999999E-3</v>
      </c>
      <c r="P422">
        <v>0.99414100000000005</v>
      </c>
      <c r="Q422">
        <v>1.522653E-2</v>
      </c>
      <c r="R422">
        <v>0.1070142</v>
      </c>
      <c r="S422">
        <v>3.0035400000000001</v>
      </c>
      <c r="T422">
        <v>-7.6742649999999996E-2</v>
      </c>
      <c r="U422">
        <v>0.1423035</v>
      </c>
      <c r="V422">
        <v>-0.11062180000000001</v>
      </c>
      <c r="W422">
        <v>2.8094239999999999E-2</v>
      </c>
      <c r="X422">
        <v>0.99346540000000005</v>
      </c>
      <c r="Y422">
        <v>-5.0936870000000002E-2</v>
      </c>
      <c r="Z422">
        <v>7.4304039999999996E-4</v>
      </c>
      <c r="AA422">
        <v>0.99870159999999997</v>
      </c>
      <c r="AB422">
        <v>16</v>
      </c>
      <c r="AC422">
        <v>45.106299999999898</v>
      </c>
      <c r="AD422">
        <v>-1.1546860000000001</v>
      </c>
      <c r="AE422">
        <v>2.1415000000000002</v>
      </c>
      <c r="AF422">
        <v>-2.3038742967978898</v>
      </c>
      <c r="AG422">
        <v>-1.1546860000000001</v>
      </c>
      <c r="AH422">
        <v>45.0687530190039</v>
      </c>
      <c r="AI422">
        <v>91.4657150215819</v>
      </c>
      <c r="AJ422">
        <v>92.926361696241301</v>
      </c>
      <c r="AK422">
        <v>45.1423707310772</v>
      </c>
      <c r="AL422">
        <v>88.390106770019898</v>
      </c>
      <c r="AM422">
        <v>96.353679196412799</v>
      </c>
      <c r="AN422">
        <v>0.99999998497678799</v>
      </c>
    </row>
    <row r="423" spans="1:40" x14ac:dyDescent="0.3">
      <c r="A423" t="str">
        <f>"20200111145922848"</f>
        <v>20200111145922848</v>
      </c>
      <c r="B423" t="str">
        <f>"1578725962846563"</f>
        <v>1578725962846563</v>
      </c>
      <c r="C423" t="s">
        <v>40</v>
      </c>
      <c r="D423">
        <v>4.2230339999999904</v>
      </c>
      <c r="E423">
        <v>0.51837800000000001</v>
      </c>
      <c r="F423" t="s">
        <v>43</v>
      </c>
      <c r="G423">
        <v>-403.86099999999999</v>
      </c>
      <c r="H423">
        <v>-0.05</v>
      </c>
      <c r="I423">
        <v>369.29930000000002</v>
      </c>
      <c r="J423">
        <v>-447.47469999999998</v>
      </c>
      <c r="K423">
        <v>1.1046899999999999</v>
      </c>
      <c r="L423">
        <v>367.19479999999999</v>
      </c>
      <c r="M423">
        <v>0.99990869999999998</v>
      </c>
      <c r="N423">
        <v>0</v>
      </c>
      <c r="O423">
        <v>-3.6957439999999999E-3</v>
      </c>
      <c r="P423">
        <v>0.99409879999999995</v>
      </c>
      <c r="Q423">
        <v>1.5365119999999999E-2</v>
      </c>
      <c r="R423">
        <v>0.10738499999999999</v>
      </c>
      <c r="S423">
        <v>3.0033259999999999</v>
      </c>
      <c r="T423">
        <v>-7.936406E-2</v>
      </c>
      <c r="U423">
        <v>0.1446228</v>
      </c>
      <c r="V423">
        <v>-0.1110546</v>
      </c>
      <c r="W423">
        <v>2.8297289999999999E-2</v>
      </c>
      <c r="X423">
        <v>0.99341140000000006</v>
      </c>
      <c r="Y423">
        <v>-5.1770610000000002E-2</v>
      </c>
      <c r="Z423">
        <v>7.8111209999999996E-4</v>
      </c>
      <c r="AA423">
        <v>0.99865870000000001</v>
      </c>
      <c r="AB423">
        <v>16</v>
      </c>
      <c r="AC423">
        <v>43.613700000000001</v>
      </c>
      <c r="AD423">
        <v>-1.15469</v>
      </c>
      <c r="AE423">
        <v>2.10450000000003</v>
      </c>
      <c r="AF423">
        <v>-2.2641009845498599</v>
      </c>
      <c r="AG423">
        <v>-1.15469</v>
      </c>
      <c r="AH423">
        <v>43.5751508465085</v>
      </c>
      <c r="AI423">
        <v>91.515871368350702</v>
      </c>
      <c r="AJ423">
        <v>92.974330079507595</v>
      </c>
      <c r="AK423">
        <v>43.649206562780797</v>
      </c>
      <c r="AL423">
        <v>88.378468316053201</v>
      </c>
      <c r="AM423">
        <v>96.378676901814202</v>
      </c>
      <c r="AN423">
        <v>1.0000000352262299</v>
      </c>
    </row>
    <row r="424" spans="1:40" x14ac:dyDescent="0.3">
      <c r="A424" t="str">
        <f>"20200111145922861"</f>
        <v>20200111145922861</v>
      </c>
      <c r="B424" t="str">
        <f>"1578725962856322"</f>
        <v>1578725962856322</v>
      </c>
      <c r="C424" t="s">
        <v>40</v>
      </c>
      <c r="D424">
        <v>4.4192179999999999</v>
      </c>
      <c r="E424">
        <v>0.51837800000000001</v>
      </c>
      <c r="F424" t="s">
        <v>43</v>
      </c>
      <c r="G424">
        <v>-424.27980000000002</v>
      </c>
      <c r="H424">
        <v>-0.05</v>
      </c>
      <c r="I424">
        <v>368.565</v>
      </c>
      <c r="J424">
        <v>-447.38889999999998</v>
      </c>
      <c r="K424">
        <v>1.104697</v>
      </c>
      <c r="L424">
        <v>367.19439999999997</v>
      </c>
      <c r="M424">
        <v>0.99990769999999995</v>
      </c>
      <c r="N424">
        <v>0</v>
      </c>
      <c r="O424">
        <v>-3.76042E-3</v>
      </c>
      <c r="P424">
        <v>0.99407080000000003</v>
      </c>
      <c r="Q424">
        <v>1.532961E-2</v>
      </c>
      <c r="R424">
        <v>0.1076506</v>
      </c>
      <c r="S424">
        <v>3.0009769999999998</v>
      </c>
      <c r="T424">
        <v>-0.1493949</v>
      </c>
      <c r="U424">
        <v>0.17727660000000001</v>
      </c>
      <c r="V424">
        <v>-0.1113837</v>
      </c>
      <c r="W424">
        <v>2.8326359999999998E-2</v>
      </c>
      <c r="X424">
        <v>0.99337370000000003</v>
      </c>
      <c r="Y424">
        <v>-6.2641999999999906E-2</v>
      </c>
      <c r="Z424">
        <v>1.743849E-3</v>
      </c>
      <c r="AA424">
        <v>0.99803450000000005</v>
      </c>
      <c r="AB424">
        <v>16</v>
      </c>
      <c r="AC424">
        <v>23.109099999999899</v>
      </c>
      <c r="AD424">
        <v>-1.1546969999999901</v>
      </c>
      <c r="AE424">
        <v>1.37060000000002</v>
      </c>
      <c r="AF424">
        <v>-1.45388042688811</v>
      </c>
      <c r="AG424">
        <v>-1.1546969999999901</v>
      </c>
      <c r="AH424">
        <v>23.046443271261399</v>
      </c>
      <c r="AI424">
        <v>92.862613542894294</v>
      </c>
      <c r="AJ424">
        <v>93.609709754372005</v>
      </c>
      <c r="AK424">
        <v>23.121108124676201</v>
      </c>
      <c r="AL424">
        <v>88.376802018216196</v>
      </c>
      <c r="AM424">
        <v>96.397663810163394</v>
      </c>
      <c r="AN424">
        <v>1.0000000095741099</v>
      </c>
    </row>
    <row r="425" spans="1:40" x14ac:dyDescent="0.3">
      <c r="A425" t="str">
        <f>"20200111145922878"</f>
        <v>20200111145922878</v>
      </c>
      <c r="B425" t="str">
        <f>"1578725962866082"</f>
        <v>1578725962866082</v>
      </c>
      <c r="C425" t="s">
        <v>40</v>
      </c>
      <c r="D425">
        <v>4.1778190000000004</v>
      </c>
      <c r="E425">
        <v>0.52188540000000005</v>
      </c>
      <c r="F425" t="s">
        <v>43</v>
      </c>
      <c r="G425">
        <v>-424.21129999999999</v>
      </c>
      <c r="H425">
        <v>-0.05</v>
      </c>
      <c r="I425">
        <v>368.57040000000001</v>
      </c>
      <c r="J425">
        <v>-447.26139999999998</v>
      </c>
      <c r="K425">
        <v>1.104698</v>
      </c>
      <c r="L425">
        <v>367.19389999999999</v>
      </c>
      <c r="M425">
        <v>0.99990610000000002</v>
      </c>
      <c r="N425">
        <v>0</v>
      </c>
      <c r="O425">
        <v>-3.8543330000000002E-3</v>
      </c>
      <c r="P425">
        <v>0.99398699999999995</v>
      </c>
      <c r="Q425">
        <v>1.543665E-2</v>
      </c>
      <c r="R425">
        <v>0.10840470000000001</v>
      </c>
      <c r="S425">
        <v>3.0009160000000001</v>
      </c>
      <c r="T425">
        <v>-0.149504</v>
      </c>
      <c r="U425">
        <v>0.1781616</v>
      </c>
      <c r="V425">
        <v>-0.112231399999999</v>
      </c>
      <c r="W425">
        <v>2.851797E-2</v>
      </c>
      <c r="X425">
        <v>0.99327279999999996</v>
      </c>
      <c r="Y425">
        <v>-6.302953E-2</v>
      </c>
      <c r="Z425">
        <v>1.75945299999999E-3</v>
      </c>
      <c r="AA425">
        <v>0.99801010000000001</v>
      </c>
      <c r="AB425">
        <v>16</v>
      </c>
      <c r="AC425">
        <v>23.050099999999901</v>
      </c>
      <c r="AD425">
        <v>-1.154698</v>
      </c>
      <c r="AE425">
        <v>1.37650000000002</v>
      </c>
      <c r="AF425">
        <v>-1.4616851199910601</v>
      </c>
      <c r="AG425">
        <v>-1.154698</v>
      </c>
      <c r="AH425">
        <v>22.987141037108501</v>
      </c>
      <c r="AI425">
        <v>92.869897883471197</v>
      </c>
      <c r="AJ425">
        <v>93.638372754349803</v>
      </c>
      <c r="AK425">
        <v>23.062491277421199</v>
      </c>
      <c r="AL425">
        <v>88.365819135229998</v>
      </c>
      <c r="AM425">
        <v>96.446595063856293</v>
      </c>
      <c r="AN425">
        <v>1.0000000084893601</v>
      </c>
    </row>
    <row r="426" spans="1:40" x14ac:dyDescent="0.3">
      <c r="A426" t="str">
        <f>"20200111145922892"</f>
        <v>20200111145922892</v>
      </c>
      <c r="B426" t="str">
        <f>"1578725962886579"</f>
        <v>1578725962886579</v>
      </c>
      <c r="C426" t="s">
        <v>40</v>
      </c>
      <c r="D426">
        <v>4.2022870000000001</v>
      </c>
      <c r="E426">
        <v>0.52177549999999995</v>
      </c>
      <c r="F426" t="s">
        <v>43</v>
      </c>
      <c r="G426">
        <v>-403.61989999999997</v>
      </c>
      <c r="H426">
        <v>-0.05</v>
      </c>
      <c r="I426">
        <v>369.40620000000001</v>
      </c>
      <c r="J426">
        <v>-447.16660000000002</v>
      </c>
      <c r="K426">
        <v>1.104703</v>
      </c>
      <c r="L426">
        <v>367.1934</v>
      </c>
      <c r="M426">
        <v>0.99990520000000005</v>
      </c>
      <c r="N426">
        <v>0</v>
      </c>
      <c r="O426">
        <v>-3.9239840000000002E-3</v>
      </c>
      <c r="P426">
        <v>0.99393140000000002</v>
      </c>
      <c r="Q426">
        <v>1.5569660000000001E-2</v>
      </c>
      <c r="R426">
        <v>0.10889649999999999</v>
      </c>
      <c r="S426">
        <v>3.002777</v>
      </c>
      <c r="T426">
        <v>-7.9449649999999997E-2</v>
      </c>
      <c r="U426">
        <v>0.15222169999999999</v>
      </c>
      <c r="V426">
        <v>-0.112792</v>
      </c>
      <c r="W426">
        <v>2.8707199999999999E-2</v>
      </c>
      <c r="X426">
        <v>0.99320379999999997</v>
      </c>
      <c r="Y426">
        <v>-5.4527119999999998E-2</v>
      </c>
      <c r="Z426">
        <v>8.2452060000000001E-4</v>
      </c>
      <c r="AA426">
        <v>0.99851199999999996</v>
      </c>
      <c r="AB426">
        <v>16</v>
      </c>
      <c r="AC426">
        <v>43.546700000000001</v>
      </c>
      <c r="AD426">
        <v>-1.154703</v>
      </c>
      <c r="AE426">
        <v>2.2128000000000099</v>
      </c>
      <c r="AF426">
        <v>-2.3820038762250202</v>
      </c>
      <c r="AG426">
        <v>-1.154703</v>
      </c>
      <c r="AH426">
        <v>43.507168913399298</v>
      </c>
      <c r="AI426">
        <v>91.518030630282496</v>
      </c>
      <c r="AJ426">
        <v>93.133797273177905</v>
      </c>
      <c r="AK426">
        <v>43.5876247155499</v>
      </c>
      <c r="AL426">
        <v>88.354972540038105</v>
      </c>
      <c r="AM426">
        <v>96.478969203676996</v>
      </c>
      <c r="AN426">
        <v>0.99999996346513897</v>
      </c>
    </row>
    <row r="427" spans="1:40" x14ac:dyDescent="0.3">
      <c r="A427" t="str">
        <f>"20200111145922906"</f>
        <v>20200111145922906</v>
      </c>
      <c r="B427" t="str">
        <f>"1578725962896338"</f>
        <v>1578725962896338</v>
      </c>
      <c r="C427" t="s">
        <v>40</v>
      </c>
      <c r="D427">
        <v>4.1877680000000002</v>
      </c>
      <c r="E427">
        <v>0.51874629999999999</v>
      </c>
      <c r="F427" t="s">
        <v>43</v>
      </c>
      <c r="G427">
        <v>-398.79469999999998</v>
      </c>
      <c r="H427">
        <v>-0.05</v>
      </c>
      <c r="I427">
        <v>369.67970000000003</v>
      </c>
      <c r="J427">
        <v>-447.06900000000002</v>
      </c>
      <c r="K427">
        <v>1.1047070000000001</v>
      </c>
      <c r="L427">
        <v>367.19299999999998</v>
      </c>
      <c r="M427">
        <v>0.99990409999999996</v>
      </c>
      <c r="N427">
        <v>0</v>
      </c>
      <c r="O427">
        <v>-3.9955269999999996E-3</v>
      </c>
      <c r="P427">
        <v>0.99387309999999995</v>
      </c>
      <c r="Q427">
        <v>1.5750819999999999E-2</v>
      </c>
      <c r="R427">
        <v>0.109399499999999</v>
      </c>
      <c r="S427">
        <v>3.0025330000000001</v>
      </c>
      <c r="T427">
        <v>-7.1674699999999994E-2</v>
      </c>
      <c r="U427">
        <v>0.154327399999999</v>
      </c>
      <c r="V427">
        <v>-0.1133657</v>
      </c>
      <c r="W427">
        <v>2.8941709999999999E-2</v>
      </c>
      <c r="X427">
        <v>0.99313169999999995</v>
      </c>
      <c r="Y427">
        <v>-5.5304659999999999E-2</v>
      </c>
      <c r="Z427">
        <v>7.5488399999999896E-4</v>
      </c>
      <c r="AA427">
        <v>0.99846919999999995</v>
      </c>
      <c r="AB427">
        <v>16</v>
      </c>
      <c r="AC427">
        <v>48.274299999999997</v>
      </c>
      <c r="AD427">
        <v>-1.1547069999999999</v>
      </c>
      <c r="AE427">
        <v>2.4866999999999799</v>
      </c>
      <c r="AF427">
        <v>-2.6780501779528101</v>
      </c>
      <c r="AG427">
        <v>-1.1547069999999999</v>
      </c>
      <c r="AH427">
        <v>48.236452491400598</v>
      </c>
      <c r="AI427">
        <v>91.369203771272893</v>
      </c>
      <c r="AJ427">
        <v>93.177754600183206</v>
      </c>
      <c r="AK427">
        <v>48.324534658562698</v>
      </c>
      <c r="AL427">
        <v>88.341530563366106</v>
      </c>
      <c r="AM427">
        <v>96.512109882723806</v>
      </c>
      <c r="AN427">
        <v>0.99999998902955101</v>
      </c>
    </row>
    <row r="428" spans="1:40" x14ac:dyDescent="0.3">
      <c r="A428" t="str">
        <f>"20200111145922925"</f>
        <v>20200111145922925</v>
      </c>
      <c r="B428" t="str">
        <f>"1578725962915858"</f>
        <v>1578725962915858</v>
      </c>
      <c r="C428" t="s">
        <v>40</v>
      </c>
      <c r="D428">
        <v>4.2926789999999997</v>
      </c>
      <c r="E428">
        <v>0.52284160000000002</v>
      </c>
      <c r="F428" t="s">
        <v>43</v>
      </c>
      <c r="G428">
        <v>-423.66300000000001</v>
      </c>
      <c r="H428">
        <v>-0.05</v>
      </c>
      <c r="I428">
        <v>368.59660000000002</v>
      </c>
      <c r="J428">
        <v>-446.93770000000001</v>
      </c>
      <c r="K428">
        <v>1.104714</v>
      </c>
      <c r="L428">
        <v>367.19240000000002</v>
      </c>
      <c r="M428">
        <v>0.99990299999999999</v>
      </c>
      <c r="N428">
        <v>0</v>
      </c>
      <c r="O428">
        <v>-4.0924170000000001E-3</v>
      </c>
      <c r="P428">
        <v>0.99377660000000001</v>
      </c>
      <c r="Q428">
        <v>1.5959250000000001E-2</v>
      </c>
      <c r="R428">
        <v>0.1102457</v>
      </c>
      <c r="S428">
        <v>3.0010379999999999</v>
      </c>
      <c r="T428">
        <v>-0.14805270000000001</v>
      </c>
      <c r="U428">
        <v>0.17996219999999999</v>
      </c>
      <c r="V428">
        <v>-0.1143076</v>
      </c>
      <c r="W428">
        <v>2.9214339999999998E-2</v>
      </c>
      <c r="X428">
        <v>0.9930158</v>
      </c>
      <c r="Y428">
        <v>-6.3861710000000002E-2</v>
      </c>
      <c r="Z428">
        <v>1.774519E-3</v>
      </c>
      <c r="AA428">
        <v>0.99795719999999999</v>
      </c>
      <c r="AB428">
        <v>16</v>
      </c>
      <c r="AC428">
        <v>23.274699999999999</v>
      </c>
      <c r="AD428">
        <v>-1.154714</v>
      </c>
      <c r="AE428">
        <v>1.4041999999999999</v>
      </c>
      <c r="AF428">
        <v>-1.4957781164363699</v>
      </c>
      <c r="AG428">
        <v>-1.154714</v>
      </c>
      <c r="AH428">
        <v>23.211831785098902</v>
      </c>
      <c r="AI428">
        <v>92.842047985547893</v>
      </c>
      <c r="AJ428">
        <v>93.687061042751793</v>
      </c>
      <c r="AK428">
        <v>23.288620642174799</v>
      </c>
      <c r="AL428">
        <v>88.325903495564305</v>
      </c>
      <c r="AM428">
        <v>96.566504930934201</v>
      </c>
      <c r="AN428">
        <v>1.0000000420645101</v>
      </c>
    </row>
    <row r="429" spans="1:40" x14ac:dyDescent="0.3">
      <c r="A429" t="str">
        <f>"20200111145922940"</f>
        <v>20200111145922940</v>
      </c>
      <c r="B429" t="str">
        <f>"1578725962936355"</f>
        <v>1578725962936355</v>
      </c>
      <c r="C429" t="s">
        <v>40</v>
      </c>
      <c r="D429">
        <v>4.1416219999999999</v>
      </c>
      <c r="E429">
        <v>0.5221249</v>
      </c>
      <c r="F429" t="s">
        <v>43</v>
      </c>
      <c r="G429">
        <v>-401.63420000000002</v>
      </c>
      <c r="H429">
        <v>-0.05</v>
      </c>
      <c r="I429">
        <v>369.45310000000001</v>
      </c>
      <c r="J429">
        <v>-446.83150000000001</v>
      </c>
      <c r="K429">
        <v>1.1047180000000001</v>
      </c>
      <c r="L429">
        <v>367.1918</v>
      </c>
      <c r="M429">
        <v>0.99990199999999996</v>
      </c>
      <c r="N429">
        <v>0</v>
      </c>
      <c r="O429">
        <v>-4.1704719999999997E-3</v>
      </c>
      <c r="P429">
        <v>0.99371989999999999</v>
      </c>
      <c r="Q429">
        <v>1.6032480000000002E-2</v>
      </c>
      <c r="R429">
        <v>0.1107423</v>
      </c>
      <c r="S429">
        <v>3.003387</v>
      </c>
      <c r="T429">
        <v>-7.6551439999999998E-2</v>
      </c>
      <c r="U429">
        <v>0.149871799999999</v>
      </c>
      <c r="V429">
        <v>-0.1148816</v>
      </c>
      <c r="W429">
        <v>2.933446E-2</v>
      </c>
      <c r="X429">
        <v>0.992946</v>
      </c>
      <c r="Y429">
        <v>-5.3985310000000002E-2</v>
      </c>
      <c r="Z429">
        <v>7.9368669999999996E-4</v>
      </c>
      <c r="AA429">
        <v>0.99854140000000002</v>
      </c>
      <c r="AB429">
        <v>16</v>
      </c>
      <c r="AC429">
        <v>45.197299999999899</v>
      </c>
      <c r="AD429">
        <v>-1.1547179999999999</v>
      </c>
      <c r="AE429">
        <v>2.2612999999999999</v>
      </c>
      <c r="AF429">
        <v>-2.4481972427308998</v>
      </c>
      <c r="AG429">
        <v>-1.1547179999999999</v>
      </c>
      <c r="AH429">
        <v>45.1580733656996</v>
      </c>
      <c r="AI429">
        <v>91.462620040303904</v>
      </c>
      <c r="AJ429">
        <v>93.103192287556197</v>
      </c>
      <c r="AK429">
        <v>45.2391272407055</v>
      </c>
      <c r="AL429">
        <v>88.319018148404894</v>
      </c>
      <c r="AM429">
        <v>96.599648561199601</v>
      </c>
      <c r="AN429">
        <v>1.00000002573902</v>
      </c>
    </row>
    <row r="430" spans="1:40" x14ac:dyDescent="0.3">
      <c r="A430" t="str">
        <f>"20200111145922958"</f>
        <v>20200111145922958</v>
      </c>
      <c r="B430" t="str">
        <f>"1578725962946116"</f>
        <v>1578725962946116</v>
      </c>
      <c r="C430" t="s">
        <v>40</v>
      </c>
      <c r="D430">
        <v>4.1572480000000001</v>
      </c>
      <c r="E430">
        <v>0.51743349999999999</v>
      </c>
      <c r="F430" t="s">
        <v>43</v>
      </c>
      <c r="G430">
        <v>-404.21710000000002</v>
      </c>
      <c r="H430">
        <v>-0.05</v>
      </c>
      <c r="I430">
        <v>369.41879999999998</v>
      </c>
      <c r="J430">
        <v>-446.70359999999999</v>
      </c>
      <c r="K430">
        <v>1.1047290000000001</v>
      </c>
      <c r="L430">
        <v>367.19119999999998</v>
      </c>
      <c r="M430">
        <v>0.99990080000000003</v>
      </c>
      <c r="N430">
        <v>0</v>
      </c>
      <c r="O430">
        <v>-4.2641490000000001E-3</v>
      </c>
      <c r="P430">
        <v>0.99361379999999999</v>
      </c>
      <c r="Q430">
        <v>1.6257250000000001E-2</v>
      </c>
      <c r="R430">
        <v>0.1116579</v>
      </c>
      <c r="S430">
        <v>3.0028079999999999</v>
      </c>
      <c r="T430">
        <v>-8.136678E-2</v>
      </c>
      <c r="U430">
        <v>0.15692139999999999</v>
      </c>
      <c r="V430">
        <v>-0.11588950000000001</v>
      </c>
      <c r="W430">
        <v>2.9607560000000002E-2</v>
      </c>
      <c r="X430">
        <v>0.9928207</v>
      </c>
      <c r="Y430">
        <v>-5.6423050000000002E-2</v>
      </c>
      <c r="Z430">
        <v>8.7924240000000005E-4</v>
      </c>
      <c r="AA430">
        <v>0.99840660000000003</v>
      </c>
      <c r="AB430">
        <v>16</v>
      </c>
      <c r="AC430">
        <v>42.4864999999999</v>
      </c>
      <c r="AD430">
        <v>-1.1547289999999999</v>
      </c>
      <c r="AE430">
        <v>2.22759999999999</v>
      </c>
      <c r="AF430">
        <v>-2.4069917066447402</v>
      </c>
      <c r="AG430">
        <v>-1.1547289999999999</v>
      </c>
      <c r="AH430">
        <v>42.445346278401999</v>
      </c>
      <c r="AI430">
        <v>91.555853414643295</v>
      </c>
      <c r="AJ430">
        <v>93.245654281373504</v>
      </c>
      <c r="AK430">
        <v>42.529218530708398</v>
      </c>
      <c r="AL430">
        <v>88.303363765377398</v>
      </c>
      <c r="AM430">
        <v>96.657864948598004</v>
      </c>
      <c r="AN430">
        <v>0.99999996308394601</v>
      </c>
    </row>
    <row r="431" spans="1:40" x14ac:dyDescent="0.3">
      <c r="A431" t="str">
        <f>"20200111145922974"</f>
        <v>20200111145922974</v>
      </c>
      <c r="B431" t="str">
        <f>"1578725962966611"</f>
        <v>1578725962966611</v>
      </c>
      <c r="C431" t="s">
        <v>40</v>
      </c>
      <c r="D431">
        <v>4.2392130000000003</v>
      </c>
      <c r="E431">
        <v>0.52373689999999995</v>
      </c>
      <c r="F431" t="s">
        <v>43</v>
      </c>
      <c r="G431">
        <v>-422.98689999999999</v>
      </c>
      <c r="H431">
        <v>-0.05</v>
      </c>
      <c r="I431">
        <v>368.75220000000002</v>
      </c>
      <c r="J431">
        <v>-446.5958</v>
      </c>
      <c r="K431">
        <v>1.1047359999999999</v>
      </c>
      <c r="L431">
        <v>367.19060000000002</v>
      </c>
      <c r="M431">
        <v>0.99990000000000001</v>
      </c>
      <c r="N431">
        <v>0</v>
      </c>
      <c r="O431">
        <v>-4.3411500000000002E-3</v>
      </c>
      <c r="P431">
        <v>0.99356500000000003</v>
      </c>
      <c r="Q431">
        <v>1.6530840000000002E-2</v>
      </c>
      <c r="R431">
        <v>0.1120516</v>
      </c>
      <c r="S431">
        <v>2.9994510000000001</v>
      </c>
      <c r="T431">
        <v>-0.14603869999999999</v>
      </c>
      <c r="U431">
        <v>0.19741819999999999</v>
      </c>
      <c r="V431">
        <v>-0.1163595</v>
      </c>
      <c r="W431">
        <v>2.9917369999999999E-2</v>
      </c>
      <c r="X431">
        <v>0.99275650000000004</v>
      </c>
      <c r="Y431">
        <v>-6.9919969999999998E-2</v>
      </c>
      <c r="Z431">
        <v>1.9103429999999999E-3</v>
      </c>
      <c r="AA431">
        <v>0.99755079999999996</v>
      </c>
      <c r="AB431">
        <v>16</v>
      </c>
      <c r="AC431">
        <v>23.608899999999998</v>
      </c>
      <c r="AD431">
        <v>-1.154736</v>
      </c>
      <c r="AE431">
        <v>1.5615999999999901</v>
      </c>
      <c r="AF431">
        <v>-1.6601301294902699</v>
      </c>
      <c r="AG431">
        <v>-1.154736</v>
      </c>
      <c r="AH431">
        <v>23.5458146845131</v>
      </c>
      <c r="AI431">
        <v>92.800713743350698</v>
      </c>
      <c r="AJ431">
        <v>94.033043816128</v>
      </c>
      <c r="AK431">
        <v>23.632495349284898</v>
      </c>
      <c r="AL431">
        <v>88.285605198762596</v>
      </c>
      <c r="AM431">
        <v>96.685051003663204</v>
      </c>
      <c r="AN431">
        <v>1.0000000252801</v>
      </c>
    </row>
    <row r="432" spans="1:40" x14ac:dyDescent="0.3">
      <c r="A432" t="str">
        <f>"20200111145922992"</f>
        <v>20200111145922992</v>
      </c>
      <c r="B432" t="str">
        <f>"1578725962986130"</f>
        <v>1578725962986130</v>
      </c>
      <c r="C432" t="s">
        <v>40</v>
      </c>
      <c r="D432">
        <v>4.3022489999999998</v>
      </c>
      <c r="E432">
        <v>0.52437460000000002</v>
      </c>
      <c r="F432" t="s">
        <v>42</v>
      </c>
      <c r="G432">
        <v>-397.25889999999998</v>
      </c>
      <c r="H432" s="1">
        <v>-1.161176E-6</v>
      </c>
      <c r="I432">
        <v>369.62709999999998</v>
      </c>
      <c r="J432">
        <v>-446.46870000000001</v>
      </c>
      <c r="K432">
        <v>1.1047450000000001</v>
      </c>
      <c r="L432">
        <v>367.19</v>
      </c>
      <c r="M432">
        <v>0.99989910000000004</v>
      </c>
      <c r="N432">
        <v>0</v>
      </c>
      <c r="O432">
        <v>-4.4274309999999999E-3</v>
      </c>
      <c r="P432">
        <v>0.99350309999999997</v>
      </c>
      <c r="Q432">
        <v>1.6704219999999999E-2</v>
      </c>
      <c r="R432">
        <v>0.11257350000000001</v>
      </c>
      <c r="S432">
        <v>3.0038149999999999</v>
      </c>
      <c r="T432">
        <v>-6.7260269999999997E-2</v>
      </c>
      <c r="U432">
        <v>0.148345899999999</v>
      </c>
      <c r="V432">
        <v>-0.1169675</v>
      </c>
      <c r="W432">
        <v>3.0128519999999999E-2</v>
      </c>
      <c r="X432">
        <v>0.99267859999999997</v>
      </c>
      <c r="Y432">
        <v>-5.3733160000000002E-2</v>
      </c>
      <c r="Z432">
        <v>7.0022059999999998E-4</v>
      </c>
      <c r="AA432">
        <v>0.99855510000000003</v>
      </c>
      <c r="AB432">
        <v>16</v>
      </c>
      <c r="AC432">
        <v>49.209800000000001</v>
      </c>
      <c r="AD432">
        <v>-1.1047461611759899</v>
      </c>
      <c r="AE432">
        <v>2.4370999999999801</v>
      </c>
      <c r="AF432">
        <v>-2.6536348201274298</v>
      </c>
      <c r="AG432">
        <v>-1.1047461611759899</v>
      </c>
      <c r="AH432">
        <v>49.173804063613403</v>
      </c>
      <c r="AI432">
        <v>91.285129937007</v>
      </c>
      <c r="AJ432">
        <v>93.088936186645199</v>
      </c>
      <c r="AK432">
        <v>49.257743025090598</v>
      </c>
      <c r="AL432">
        <v>88.273501632101599</v>
      </c>
      <c r="AM432">
        <v>96.720185528850294</v>
      </c>
      <c r="AN432">
        <v>0.99999996333579899</v>
      </c>
    </row>
    <row r="433" spans="1:40" x14ac:dyDescent="0.3">
      <c r="A433" t="str">
        <f>"20200111145923009"</f>
        <v>20200111145923009</v>
      </c>
      <c r="B433" t="str">
        <f>"1578725963006627"</f>
        <v>1578725963006627</v>
      </c>
      <c r="C433" t="s">
        <v>40</v>
      </c>
      <c r="D433">
        <v>4.1501910000000004</v>
      </c>
      <c r="E433">
        <v>0.51887759999999905</v>
      </c>
      <c r="F433" t="s">
        <v>42</v>
      </c>
      <c r="G433">
        <v>-398.68540000000002</v>
      </c>
      <c r="H433" s="1">
        <v>-5.6858929999999999E-7</v>
      </c>
      <c r="I433">
        <v>369.49059999999997</v>
      </c>
      <c r="J433">
        <v>-446.35640000000001</v>
      </c>
      <c r="K433">
        <v>1.104757</v>
      </c>
      <c r="L433">
        <v>367.18939999999998</v>
      </c>
      <c r="M433">
        <v>0.99989839999999997</v>
      </c>
      <c r="N433">
        <v>0</v>
      </c>
      <c r="O433">
        <v>-4.4986150000000001E-3</v>
      </c>
      <c r="P433">
        <v>0.99352189999999996</v>
      </c>
      <c r="Q433">
        <v>1.6604859999999999E-2</v>
      </c>
      <c r="R433">
        <v>0.11242199999999999</v>
      </c>
      <c r="S433">
        <v>3.0043950000000001</v>
      </c>
      <c r="T433">
        <v>-6.9461229999999999E-2</v>
      </c>
      <c r="U433">
        <v>0.14465329999999901</v>
      </c>
      <c r="V433">
        <v>-0.1168868</v>
      </c>
      <c r="W433">
        <v>3.00594E-2</v>
      </c>
      <c r="X433">
        <v>0.99269030000000003</v>
      </c>
      <c r="Y433">
        <v>-5.2569650000000002E-2</v>
      </c>
      <c r="Z433">
        <v>7.1121460000000004E-4</v>
      </c>
      <c r="AA433">
        <v>0.99861699999999998</v>
      </c>
      <c r="AB433">
        <v>16</v>
      </c>
      <c r="AC433">
        <v>47.6709999999999</v>
      </c>
      <c r="AD433">
        <v>-1.1047575685893001</v>
      </c>
      <c r="AE433">
        <v>2.3011999999999899</v>
      </c>
      <c r="AF433">
        <v>-2.5143026057634099</v>
      </c>
      <c r="AG433">
        <v>-1.1047575685893001</v>
      </c>
      <c r="AH433">
        <v>47.634641037206698</v>
      </c>
      <c r="AI433">
        <v>91.326737322575099</v>
      </c>
      <c r="AJ433">
        <v>93.021443272060296</v>
      </c>
      <c r="AK433">
        <v>47.713742607578403</v>
      </c>
      <c r="AL433">
        <v>88.277463880418907</v>
      </c>
      <c r="AM433">
        <v>96.715512969922599</v>
      </c>
      <c r="AN433">
        <v>1.00000006162834</v>
      </c>
    </row>
    <row r="434" spans="1:40" x14ac:dyDescent="0.3">
      <c r="A434" t="str">
        <f>"20200111145923026"</f>
        <v>20200111145923026</v>
      </c>
      <c r="B434" t="str">
        <f>"1578725963016386"</f>
        <v>1578725963016386</v>
      </c>
      <c r="C434" t="s">
        <v>40</v>
      </c>
      <c r="D434">
        <v>4.1422869999999996</v>
      </c>
      <c r="E434">
        <v>0.51875209999999905</v>
      </c>
      <c r="F434" t="s">
        <v>43</v>
      </c>
      <c r="G434">
        <v>-423.68549999999999</v>
      </c>
      <c r="H434">
        <v>-0.05</v>
      </c>
      <c r="I434">
        <v>368.60980000000001</v>
      </c>
      <c r="J434">
        <v>-446.23579999999998</v>
      </c>
      <c r="K434">
        <v>1.1047709999999999</v>
      </c>
      <c r="L434">
        <v>367.18880000000001</v>
      </c>
      <c r="M434">
        <v>0.9998977</v>
      </c>
      <c r="N434">
        <v>0</v>
      </c>
      <c r="O434">
        <v>-4.5679700000000002E-3</v>
      </c>
      <c r="P434">
        <v>0.99357240000000002</v>
      </c>
      <c r="Q434">
        <v>1.7081579999999999E-2</v>
      </c>
      <c r="R434">
        <v>0.1119023</v>
      </c>
      <c r="S434">
        <v>3.0009160000000001</v>
      </c>
      <c r="T434">
        <v>-0.1528534</v>
      </c>
      <c r="U434">
        <v>0.18801880000000001</v>
      </c>
      <c r="V434">
        <v>-0.1164367</v>
      </c>
      <c r="W434">
        <v>3.056414E-2</v>
      </c>
      <c r="X434">
        <v>0.99272769999999999</v>
      </c>
      <c r="Y434">
        <v>-6.6997589999999996E-2</v>
      </c>
      <c r="Z434">
        <v>1.935832E-3</v>
      </c>
      <c r="AA434">
        <v>0.99775119999999895</v>
      </c>
      <c r="AB434">
        <v>16</v>
      </c>
      <c r="AC434">
        <v>22.5503</v>
      </c>
      <c r="AD434">
        <v>-1.154771</v>
      </c>
      <c r="AE434">
        <v>1.42099999999999</v>
      </c>
      <c r="AF434">
        <v>-1.52003346771029</v>
      </c>
      <c r="AG434">
        <v>-1.154771</v>
      </c>
      <c r="AH434">
        <v>22.484843563002599</v>
      </c>
      <c r="AI434">
        <v>92.933315921766507</v>
      </c>
      <c r="AJ434">
        <v>93.8674581939961</v>
      </c>
      <c r="AK434">
        <v>22.565730386098799</v>
      </c>
      <c r="AL434">
        <v>88.248530970655807</v>
      </c>
      <c r="AM434">
        <v>96.6896384007579</v>
      </c>
      <c r="AN434">
        <v>0.99999997905405902</v>
      </c>
    </row>
    <row r="435" spans="1:40" x14ac:dyDescent="0.3">
      <c r="A435" t="str">
        <f>"20200111145923039"</f>
        <v>20200111145923039</v>
      </c>
      <c r="B435" t="str">
        <f>"1578725963035906"</f>
        <v>1578725963035906</v>
      </c>
      <c r="C435" t="s">
        <v>40</v>
      </c>
      <c r="D435">
        <v>4.1697699999999998</v>
      </c>
      <c r="E435">
        <v>0.51963870000000001</v>
      </c>
      <c r="F435" t="s">
        <v>43</v>
      </c>
      <c r="G435">
        <v>-422.76690000000002</v>
      </c>
      <c r="H435">
        <v>-0.05</v>
      </c>
      <c r="I435">
        <v>368.65620000000001</v>
      </c>
      <c r="J435">
        <v>-446.137</v>
      </c>
      <c r="K435">
        <v>1.1047819999999999</v>
      </c>
      <c r="L435">
        <v>367.18830000000003</v>
      </c>
      <c r="M435">
        <v>0.99989720000000004</v>
      </c>
      <c r="N435">
        <v>0</v>
      </c>
      <c r="O435">
        <v>-4.6193909999999996E-3</v>
      </c>
      <c r="P435">
        <v>0.99359940000000002</v>
      </c>
      <c r="Q435">
        <v>1.7240060000000001E-2</v>
      </c>
      <c r="R435">
        <v>0.11163969999999999</v>
      </c>
      <c r="S435">
        <v>3.0008539999999999</v>
      </c>
      <c r="T435">
        <v>-0.14765519999999999</v>
      </c>
      <c r="U435">
        <v>0.18762210000000001</v>
      </c>
      <c r="V435">
        <v>-0.1162255</v>
      </c>
      <c r="W435">
        <v>3.0742869999999999E-2</v>
      </c>
      <c r="X435">
        <v>0.99274689999999999</v>
      </c>
      <c r="Y435">
        <v>-6.6924949999999997E-2</v>
      </c>
      <c r="Z435">
        <v>1.870867E-3</v>
      </c>
      <c r="AA435">
        <v>0.99775619999999998</v>
      </c>
      <c r="AB435">
        <v>16</v>
      </c>
      <c r="AC435">
        <v>23.370099999999901</v>
      </c>
      <c r="AD435">
        <v>-1.154782</v>
      </c>
      <c r="AE435">
        <v>1.46789999999998</v>
      </c>
      <c r="AF435">
        <v>-1.5720266964544101</v>
      </c>
      <c r="AG435">
        <v>-1.154782</v>
      </c>
      <c r="AH435">
        <v>23.3063873559861</v>
      </c>
      <c r="AI435">
        <v>92.830144304530805</v>
      </c>
      <c r="AJ435">
        <v>93.8587822043676</v>
      </c>
      <c r="AK435">
        <v>23.387870381656398</v>
      </c>
      <c r="AL435">
        <v>88.238285628554294</v>
      </c>
      <c r="AM435">
        <v>96.677486023819199</v>
      </c>
      <c r="AN435">
        <v>0.99999994918284696</v>
      </c>
    </row>
    <row r="436" spans="1:40" x14ac:dyDescent="0.3">
      <c r="A436" t="str">
        <f>"20200111145923058"</f>
        <v>20200111145923058</v>
      </c>
      <c r="B436" t="str">
        <f>"1578725963046642"</f>
        <v>1578725963046642</v>
      </c>
      <c r="C436" t="s">
        <v>40</v>
      </c>
      <c r="D436">
        <v>4.1564990000000002</v>
      </c>
      <c r="E436">
        <v>0.52014229999999995</v>
      </c>
      <c r="F436" t="s">
        <v>43</v>
      </c>
      <c r="G436">
        <v>-418.97980000000001</v>
      </c>
      <c r="H436">
        <v>-0.05</v>
      </c>
      <c r="I436">
        <v>368.81439999999998</v>
      </c>
      <c r="J436">
        <v>-446.01420000000002</v>
      </c>
      <c r="K436">
        <v>1.1047940000000001</v>
      </c>
      <c r="L436">
        <v>367.18770000000001</v>
      </c>
      <c r="M436">
        <v>0.99989649999999997</v>
      </c>
      <c r="N436">
        <v>0</v>
      </c>
      <c r="O436">
        <v>-4.6713830000000003E-3</v>
      </c>
      <c r="P436">
        <v>0.9936159</v>
      </c>
      <c r="Q436">
        <v>1.7468540000000001E-2</v>
      </c>
      <c r="R436">
        <v>0.1114555</v>
      </c>
      <c r="S436">
        <v>3.0013730000000001</v>
      </c>
      <c r="T436">
        <v>-0.12762490000000001</v>
      </c>
      <c r="U436">
        <v>0.17971799999999999</v>
      </c>
      <c r="V436">
        <v>-0.1160934</v>
      </c>
      <c r="W436">
        <v>3.0993090000000001E-2</v>
      </c>
      <c r="X436">
        <v>0.99275460000000004</v>
      </c>
      <c r="Y436">
        <v>-6.4372180000000001E-2</v>
      </c>
      <c r="Z436">
        <v>1.5651770000000001E-3</v>
      </c>
      <c r="AA436">
        <v>0.9979247</v>
      </c>
      <c r="AB436">
        <v>16</v>
      </c>
      <c r="AC436">
        <v>27.034400000000002</v>
      </c>
      <c r="AD436">
        <v>-1.1547940000000001</v>
      </c>
      <c r="AE436">
        <v>1.6266999999999701</v>
      </c>
      <c r="AF436">
        <v>-1.7498007517282701</v>
      </c>
      <c r="AG436">
        <v>-1.1547940000000001</v>
      </c>
      <c r="AH436">
        <v>26.977458942668601</v>
      </c>
      <c r="AI436">
        <v>92.4459667229426</v>
      </c>
      <c r="AJ436">
        <v>93.711096684421904</v>
      </c>
      <c r="AK436">
        <v>27.058799730523099</v>
      </c>
      <c r="AL436">
        <v>88.223942284190798</v>
      </c>
      <c r="AM436">
        <v>96.669913656404006</v>
      </c>
      <c r="AN436">
        <v>0.99999997248623296</v>
      </c>
    </row>
    <row r="437" spans="1:40" x14ac:dyDescent="0.3">
      <c r="A437" t="str">
        <f>"20200111145923071"</f>
        <v>20200111145923071</v>
      </c>
      <c r="B437" t="str">
        <f>"1578725963066162"</f>
        <v>1578725963066162</v>
      </c>
      <c r="C437" t="s">
        <v>40</v>
      </c>
      <c r="D437">
        <v>4.1258480000000004</v>
      </c>
      <c r="E437">
        <v>0.52015199999999995</v>
      </c>
      <c r="F437" t="s">
        <v>43</v>
      </c>
      <c r="G437">
        <v>-419.35480000000001</v>
      </c>
      <c r="H437">
        <v>-0.05</v>
      </c>
      <c r="I437">
        <v>368.74059999999997</v>
      </c>
      <c r="J437">
        <v>-445.92570000000001</v>
      </c>
      <c r="K437">
        <v>1.1048070000000001</v>
      </c>
      <c r="L437">
        <v>367.18720000000002</v>
      </c>
      <c r="M437">
        <v>0.99989609999999995</v>
      </c>
      <c r="N437">
        <v>0</v>
      </c>
      <c r="O437">
        <v>-4.6999770000000001E-3</v>
      </c>
      <c r="P437">
        <v>0.99361460000000001</v>
      </c>
      <c r="Q437">
        <v>1.7584079999999998E-2</v>
      </c>
      <c r="R437">
        <v>0.1114503</v>
      </c>
      <c r="S437">
        <v>3.0019230000000001</v>
      </c>
      <c r="T437">
        <v>-0.13003299999999901</v>
      </c>
      <c r="U437">
        <v>0.17486570000000001</v>
      </c>
      <c r="V437">
        <v>-0.1161176</v>
      </c>
      <c r="W437">
        <v>3.1121300000000001E-2</v>
      </c>
      <c r="X437">
        <v>0.99274779999999996</v>
      </c>
      <c r="Y437">
        <v>-6.2781420000000004E-2</v>
      </c>
      <c r="Z437">
        <v>1.5612950000000001E-3</v>
      </c>
      <c r="AA437">
        <v>0.99802610000000003</v>
      </c>
      <c r="AB437">
        <v>16</v>
      </c>
      <c r="AC437">
        <v>26.570899999999899</v>
      </c>
      <c r="AD437">
        <v>-1.1548069999999999</v>
      </c>
      <c r="AE437">
        <v>1.5533999999999499</v>
      </c>
      <c r="AF437">
        <v>-1.6751237114203901</v>
      </c>
      <c r="AG437">
        <v>-1.1548069999999999</v>
      </c>
      <c r="AH437">
        <v>26.513394593195599</v>
      </c>
      <c r="AI437">
        <v>92.489019601350904</v>
      </c>
      <c r="AJ437">
        <v>93.615158272696604</v>
      </c>
      <c r="AK437">
        <v>26.591346553160999</v>
      </c>
      <c r="AL437">
        <v>88.216592919732705</v>
      </c>
      <c r="AM437">
        <v>96.671336772093895</v>
      </c>
      <c r="AN437">
        <v>1.00000001337414</v>
      </c>
    </row>
    <row r="438" spans="1:40" x14ac:dyDescent="0.3">
      <c r="A438" t="str">
        <f>"20200111145923082"</f>
        <v>20200111145923082</v>
      </c>
      <c r="B438" t="str">
        <f>"1578725963075923"</f>
        <v>1578725963075923</v>
      </c>
      <c r="C438" t="s">
        <v>40</v>
      </c>
      <c r="D438">
        <v>4.1663550000000003</v>
      </c>
      <c r="E438">
        <v>0.52036740000000004</v>
      </c>
      <c r="F438" t="s">
        <v>43</v>
      </c>
      <c r="G438">
        <v>-419.99380000000002</v>
      </c>
      <c r="H438">
        <v>-0.05</v>
      </c>
      <c r="I438">
        <v>368.69740000000002</v>
      </c>
      <c r="J438">
        <v>-445.84190000000001</v>
      </c>
      <c r="K438">
        <v>1.104816</v>
      </c>
      <c r="L438">
        <v>367.18680000000001</v>
      </c>
      <c r="M438">
        <v>0.99989600000000001</v>
      </c>
      <c r="N438">
        <v>0</v>
      </c>
      <c r="O438">
        <v>-4.7227190000000002E-3</v>
      </c>
      <c r="P438">
        <v>0.99361060000000001</v>
      </c>
      <c r="Q438">
        <v>1.782678E-2</v>
      </c>
      <c r="R438">
        <v>0.11144759999999999</v>
      </c>
      <c r="S438">
        <v>3.002075</v>
      </c>
      <c r="T438">
        <v>-0.13368959999999999</v>
      </c>
      <c r="U438">
        <v>0.1748352</v>
      </c>
      <c r="V438">
        <v>-0.1161384</v>
      </c>
      <c r="W438">
        <v>3.137533E-2</v>
      </c>
      <c r="X438">
        <v>0.99273739999999999</v>
      </c>
      <c r="Y438">
        <v>-6.278744E-2</v>
      </c>
      <c r="Z438">
        <v>1.6062229999999999E-3</v>
      </c>
      <c r="AA438">
        <v>0.99802570000000002</v>
      </c>
      <c r="AB438">
        <v>15</v>
      </c>
      <c r="AC438">
        <v>25.848099999999899</v>
      </c>
      <c r="AD438">
        <v>-1.1548160000000001</v>
      </c>
      <c r="AE438">
        <v>1.5106000000000099</v>
      </c>
      <c r="AF438">
        <v>-1.62942647545008</v>
      </c>
      <c r="AG438">
        <v>-1.1548160000000001</v>
      </c>
      <c r="AH438">
        <v>25.789375580761099</v>
      </c>
      <c r="AI438">
        <v>92.558825133138299</v>
      </c>
      <c r="AJ438">
        <v>93.615261144537996</v>
      </c>
      <c r="AK438">
        <v>25.866590874684501</v>
      </c>
      <c r="AL438">
        <v>88.202031013784094</v>
      </c>
      <c r="AM438">
        <v>96.672590297149895</v>
      </c>
      <c r="AN438">
        <v>1.00000004232296</v>
      </c>
    </row>
    <row r="439" spans="1:40" x14ac:dyDescent="0.3">
      <c r="A439" t="str">
        <f>"20200111145923096"</f>
        <v>20200111145923096</v>
      </c>
      <c r="B439" t="str">
        <f>"1578725963086658"</f>
        <v>1578725963086658</v>
      </c>
      <c r="C439" t="s">
        <v>40</v>
      </c>
      <c r="D439">
        <v>4.1402239999999999</v>
      </c>
      <c r="E439">
        <v>0.52018109999999995</v>
      </c>
      <c r="F439" t="s">
        <v>43</v>
      </c>
      <c r="G439">
        <v>-419.91879999999998</v>
      </c>
      <c r="H439">
        <v>-0.05</v>
      </c>
      <c r="I439">
        <v>368.6816</v>
      </c>
      <c r="J439">
        <v>-445.74810000000002</v>
      </c>
      <c r="K439">
        <v>1.104827</v>
      </c>
      <c r="L439">
        <v>367.18630000000002</v>
      </c>
      <c r="M439">
        <v>0.9998956</v>
      </c>
      <c r="N439">
        <v>0</v>
      </c>
      <c r="O439">
        <v>-4.7379270000000003E-3</v>
      </c>
      <c r="P439">
        <v>0.99357839999999997</v>
      </c>
      <c r="Q439">
        <v>1.8132059999999998E-2</v>
      </c>
      <c r="R439">
        <v>0.11168359999999999</v>
      </c>
      <c r="S439">
        <v>3.0023499999999999</v>
      </c>
      <c r="T439">
        <v>-0.133747799999999</v>
      </c>
      <c r="U439">
        <v>0.17312620000000001</v>
      </c>
      <c r="V439">
        <v>-0.1163891</v>
      </c>
      <c r="W439">
        <v>3.1691320000000002E-2</v>
      </c>
      <c r="X439">
        <v>0.99269799999999997</v>
      </c>
      <c r="Y439">
        <v>-6.223161E-2</v>
      </c>
      <c r="Z439">
        <v>1.59511299999999E-3</v>
      </c>
      <c r="AA439">
        <v>0.99806050000000002</v>
      </c>
      <c r="AB439">
        <v>15</v>
      </c>
      <c r="AC439">
        <v>25.8293</v>
      </c>
      <c r="AD439">
        <v>-1.154827</v>
      </c>
      <c r="AE439">
        <v>1.4952999999999801</v>
      </c>
      <c r="AF439">
        <v>-1.6144554696362201</v>
      </c>
      <c r="AG439">
        <v>-1.154827</v>
      </c>
      <c r="AH439">
        <v>25.7705819327977</v>
      </c>
      <c r="AI439">
        <v>92.560798793474106</v>
      </c>
      <c r="AJ439">
        <v>93.584736901773894</v>
      </c>
      <c r="AK439">
        <v>25.8469144196828</v>
      </c>
      <c r="AL439">
        <v>88.183917110285904</v>
      </c>
      <c r="AM439">
        <v>96.687126659324207</v>
      </c>
      <c r="AN439">
        <v>1.00000004078307</v>
      </c>
    </row>
    <row r="440" spans="1:40" x14ac:dyDescent="0.3">
      <c r="A440" t="str">
        <f>"20200111145923114"</f>
        <v>20200111145923114</v>
      </c>
      <c r="B440" t="str">
        <f>"1578725963106181"</f>
        <v>1578725963106181</v>
      </c>
      <c r="C440" t="s">
        <v>40</v>
      </c>
      <c r="D440">
        <v>4.142792</v>
      </c>
      <c r="E440">
        <v>0.52016289999999998</v>
      </c>
      <c r="F440" t="s">
        <v>43</v>
      </c>
      <c r="G440">
        <v>-419.69319999999999</v>
      </c>
      <c r="H440">
        <v>-0.05</v>
      </c>
      <c r="I440">
        <v>368.70850000000002</v>
      </c>
      <c r="J440">
        <v>-445.62279999999998</v>
      </c>
      <c r="K440">
        <v>1.1048420000000001</v>
      </c>
      <c r="L440">
        <v>367.1857</v>
      </c>
      <c r="M440">
        <v>0.99989530000000004</v>
      </c>
      <c r="N440">
        <v>0</v>
      </c>
      <c r="O440">
        <v>-4.7466940000000001E-3</v>
      </c>
      <c r="P440">
        <v>0.99354180000000003</v>
      </c>
      <c r="Q440">
        <v>1.8321759999999999E-2</v>
      </c>
      <c r="R440">
        <v>0.1119773</v>
      </c>
      <c r="S440">
        <v>3.002075</v>
      </c>
      <c r="T440">
        <v>-0.13306029999999999</v>
      </c>
      <c r="U440">
        <v>0.1753845</v>
      </c>
      <c r="V440">
        <v>-0.1166927</v>
      </c>
      <c r="W440">
        <v>3.1893390000000001E-2</v>
      </c>
      <c r="X440">
        <v>0.99265579999999998</v>
      </c>
      <c r="Y440">
        <v>-6.2993779999999999E-2</v>
      </c>
      <c r="Z440">
        <v>1.6042879999999999E-3</v>
      </c>
      <c r="AA440">
        <v>0.99801260000000003</v>
      </c>
      <c r="AB440">
        <v>15</v>
      </c>
      <c r="AC440">
        <v>25.929599999999901</v>
      </c>
      <c r="AD440">
        <v>-1.1548419999999999</v>
      </c>
      <c r="AE440">
        <v>1.5228000000000099</v>
      </c>
      <c r="AF440">
        <v>-1.64262710772849</v>
      </c>
      <c r="AG440">
        <v>-1.1548419999999999</v>
      </c>
      <c r="AH440">
        <v>25.8709377556251</v>
      </c>
      <c r="AI440">
        <v>92.550776073766201</v>
      </c>
      <c r="AJ440">
        <v>93.6330122481355</v>
      </c>
      <c r="AK440">
        <v>25.948743788773999</v>
      </c>
      <c r="AL440">
        <v>88.172333341840996</v>
      </c>
      <c r="AM440">
        <v>96.704693811380807</v>
      </c>
      <c r="AN440">
        <v>0.99999995591630997</v>
      </c>
    </row>
    <row r="441" spans="1:40" x14ac:dyDescent="0.3">
      <c r="A441" t="str">
        <f>"20200111145923128"</f>
        <v>20200111145923128</v>
      </c>
      <c r="B441" t="str">
        <f>"1578725963115938"</f>
        <v>1578725963115938</v>
      </c>
      <c r="C441" t="s">
        <v>40</v>
      </c>
      <c r="D441">
        <v>4.1671610000000001</v>
      </c>
      <c r="E441">
        <v>0.52095219999999998</v>
      </c>
      <c r="F441" t="s">
        <v>43</v>
      </c>
      <c r="G441">
        <v>-419.82229999999998</v>
      </c>
      <c r="H441">
        <v>-0.05</v>
      </c>
      <c r="I441">
        <v>368.70060000000001</v>
      </c>
      <c r="J441">
        <v>-445.5283</v>
      </c>
      <c r="K441">
        <v>1.104851</v>
      </c>
      <c r="L441">
        <v>367.18529999999998</v>
      </c>
      <c r="M441">
        <v>0.99989519999999998</v>
      </c>
      <c r="N441">
        <v>0</v>
      </c>
      <c r="O441">
        <v>-4.7466660000000001E-3</v>
      </c>
      <c r="P441">
        <v>0.99353000000000002</v>
      </c>
      <c r="Q441">
        <v>1.8667920000000001E-2</v>
      </c>
      <c r="R441">
        <v>0.11202520000000001</v>
      </c>
      <c r="S441">
        <v>3.002075</v>
      </c>
      <c r="T441">
        <v>-0.13437399999999999</v>
      </c>
      <c r="U441">
        <v>0.1762695</v>
      </c>
      <c r="V441">
        <v>-0.1167411</v>
      </c>
      <c r="W441">
        <v>3.2247980000000002E-2</v>
      </c>
      <c r="X441">
        <v>0.99263869999999998</v>
      </c>
      <c r="Y441">
        <v>-6.3285359999999999E-2</v>
      </c>
      <c r="Z441">
        <v>1.626614E-3</v>
      </c>
      <c r="AA441">
        <v>0.9979941</v>
      </c>
      <c r="AB441">
        <v>15</v>
      </c>
      <c r="AC441">
        <v>25.706</v>
      </c>
      <c r="AD441">
        <v>-1.1548510000000001</v>
      </c>
      <c r="AE441">
        <v>1.5153000000000201</v>
      </c>
      <c r="AF441">
        <v>-1.6340256236403199</v>
      </c>
      <c r="AG441">
        <v>-1.1548510000000001</v>
      </c>
      <c r="AH441">
        <v>25.6469334316876</v>
      </c>
      <c r="AI441">
        <v>92.573009487648804</v>
      </c>
      <c r="AJ441">
        <v>93.645519649708206</v>
      </c>
      <c r="AK441">
        <v>25.7248695821831</v>
      </c>
      <c r="AL441">
        <v>88.152006460722902</v>
      </c>
      <c r="AM441">
        <v>96.707563843500395</v>
      </c>
      <c r="AN441">
        <v>1.0000000026904901</v>
      </c>
    </row>
    <row r="442" spans="1:40" x14ac:dyDescent="0.3">
      <c r="A442" t="str">
        <f>"20200111145923142"</f>
        <v>20200111145923142</v>
      </c>
      <c r="B442" t="str">
        <f>"1578725963136436"</f>
        <v>1578725963136436</v>
      </c>
      <c r="C442" t="s">
        <v>40</v>
      </c>
      <c r="D442">
        <v>4.2212589999999999</v>
      </c>
      <c r="E442">
        <v>0.52200679999999999</v>
      </c>
      <c r="F442" t="s">
        <v>43</v>
      </c>
      <c r="G442">
        <v>-418.62569999999999</v>
      </c>
      <c r="H442">
        <v>-0.05</v>
      </c>
      <c r="I442">
        <v>368.7115</v>
      </c>
      <c r="J442">
        <v>-445.43220000000002</v>
      </c>
      <c r="K442">
        <v>1.1048610000000001</v>
      </c>
      <c r="L442">
        <v>367.1848</v>
      </c>
      <c r="M442">
        <v>0.99989519999999998</v>
      </c>
      <c r="N442">
        <v>0</v>
      </c>
      <c r="O442">
        <v>-4.7430759999999997E-3</v>
      </c>
      <c r="P442">
        <v>0.99350780000000005</v>
      </c>
      <c r="Q442">
        <v>1.8865090000000001E-2</v>
      </c>
      <c r="R442">
        <v>0.11219</v>
      </c>
      <c r="S442">
        <v>3.0027469999999998</v>
      </c>
      <c r="T442">
        <v>-0.12889929999999999</v>
      </c>
      <c r="U442">
        <v>0.1703491</v>
      </c>
      <c r="V442">
        <v>-0.1169027</v>
      </c>
      <c r="W442">
        <v>3.2453379999999997E-2</v>
      </c>
      <c r="X442">
        <v>0.99261299999999997</v>
      </c>
      <c r="Y442">
        <v>-6.131466E-2</v>
      </c>
      <c r="Z442">
        <v>1.5177459999999999E-3</v>
      </c>
      <c r="AA442">
        <v>0.99811729999999999</v>
      </c>
      <c r="AB442">
        <v>15</v>
      </c>
      <c r="AC442">
        <v>26.8065</v>
      </c>
      <c r="AD442">
        <v>-1.1548609999999999</v>
      </c>
      <c r="AE442">
        <v>1.5266999999999999</v>
      </c>
      <c r="AF442">
        <v>-1.65078602447209</v>
      </c>
      <c r="AG442">
        <v>-1.1548609999999999</v>
      </c>
      <c r="AH442">
        <v>26.7494698385138</v>
      </c>
      <c r="AI442">
        <v>92.4674203839093</v>
      </c>
      <c r="AJ442">
        <v>93.531407307653694</v>
      </c>
      <c r="AK442">
        <v>26.825229450453399</v>
      </c>
      <c r="AL442">
        <v>88.140231768244305</v>
      </c>
      <c r="AM442">
        <v>96.716936393624394</v>
      </c>
      <c r="AN442">
        <v>1.0000000154548501</v>
      </c>
    </row>
    <row r="443" spans="1:40" x14ac:dyDescent="0.3">
      <c r="A443" t="str">
        <f>"20200111145923157"</f>
        <v>20200111145923157</v>
      </c>
      <c r="B443" t="str">
        <f>"1578725963146194"</f>
        <v>1578725963146194</v>
      </c>
      <c r="C443" t="s">
        <v>40</v>
      </c>
      <c r="D443">
        <v>4.0529080000000004</v>
      </c>
      <c r="E443">
        <v>0.55373019999999995</v>
      </c>
      <c r="F443" t="s">
        <v>43</v>
      </c>
      <c r="G443">
        <v>-417.52940000000001</v>
      </c>
      <c r="H443">
        <v>-0.05</v>
      </c>
      <c r="I443">
        <v>368.69380000000001</v>
      </c>
      <c r="J443">
        <v>-445.32470000000001</v>
      </c>
      <c r="K443">
        <v>1.10487</v>
      </c>
      <c r="L443">
        <v>367.18430000000001</v>
      </c>
      <c r="M443">
        <v>0.99989499999999998</v>
      </c>
      <c r="N443">
        <v>0</v>
      </c>
      <c r="O443">
        <v>-4.7330840000000002E-3</v>
      </c>
      <c r="P443">
        <v>0.99346659999999998</v>
      </c>
      <c r="Q443">
        <v>1.9488100000000001E-2</v>
      </c>
      <c r="R443">
        <v>0.112447699999999</v>
      </c>
      <c r="S443">
        <v>3.0036619999999998</v>
      </c>
      <c r="T443">
        <v>-0.1243181</v>
      </c>
      <c r="U443">
        <v>0.16244510000000001</v>
      </c>
      <c r="V443">
        <v>-0.1171502</v>
      </c>
      <c r="W443">
        <v>3.3084379999999997E-2</v>
      </c>
      <c r="X443">
        <v>0.99256290000000003</v>
      </c>
      <c r="Y443">
        <v>-5.86753E-2</v>
      </c>
      <c r="Z443">
        <v>1.4085409999999999E-3</v>
      </c>
      <c r="AA443">
        <v>0.9982761</v>
      </c>
      <c r="AB443">
        <v>15</v>
      </c>
      <c r="AC443">
        <v>27.795300000000001</v>
      </c>
      <c r="AD443">
        <v>-1.1548700000000001</v>
      </c>
      <c r="AE443">
        <v>1.5095000000000001</v>
      </c>
      <c r="AF443">
        <v>-1.6382331073077201</v>
      </c>
      <c r="AG443">
        <v>-1.1548700000000001</v>
      </c>
      <c r="AH443">
        <v>27.740095646010001</v>
      </c>
      <c r="AI443">
        <v>92.379807940491702</v>
      </c>
      <c r="AJ443">
        <v>93.379762990847098</v>
      </c>
      <c r="AK443">
        <v>27.812415193229199</v>
      </c>
      <c r="AL443">
        <v>88.104058538949104</v>
      </c>
      <c r="AM443">
        <v>96.7313634116841</v>
      </c>
      <c r="AN443">
        <v>0.99999992800821402</v>
      </c>
    </row>
    <row r="444" spans="1:40" x14ac:dyDescent="0.3">
      <c r="A444" t="str">
        <f>"20200111145923169"</f>
        <v>20200111145923169</v>
      </c>
      <c r="B444" t="str">
        <f>"1578725963166690"</f>
        <v>1578725963166690</v>
      </c>
      <c r="C444" t="s">
        <v>40</v>
      </c>
      <c r="D444">
        <v>4.0489430000000004</v>
      </c>
      <c r="E444">
        <v>0.55215040000000004</v>
      </c>
      <c r="F444" t="s">
        <v>43</v>
      </c>
      <c r="G444">
        <v>-415.12360000000001</v>
      </c>
      <c r="H444">
        <v>-0.05</v>
      </c>
      <c r="I444">
        <v>366.30430000000001</v>
      </c>
      <c r="J444">
        <v>-445.24990000000003</v>
      </c>
      <c r="K444">
        <v>1.104873</v>
      </c>
      <c r="L444">
        <v>367.18400000000003</v>
      </c>
      <c r="M444">
        <v>0.99989510000000004</v>
      </c>
      <c r="N444">
        <v>0</v>
      </c>
      <c r="O444">
        <v>-4.7234590000000002E-3</v>
      </c>
      <c r="P444">
        <v>0.99345490000000003</v>
      </c>
      <c r="Q444">
        <v>1.9658539999999999E-2</v>
      </c>
      <c r="R444">
        <v>0.1125211</v>
      </c>
      <c r="S444">
        <v>3.0320130000000001</v>
      </c>
      <c r="T444">
        <v>-0.1159424</v>
      </c>
      <c r="U444">
        <v>-8.8348389999999999E-2</v>
      </c>
      <c r="V444">
        <v>-0.11721380000000001</v>
      </c>
      <c r="W444">
        <v>3.3259759999999999E-2</v>
      </c>
      <c r="X444">
        <v>0.99254960000000003</v>
      </c>
      <c r="Y444">
        <v>2.4389589999999999E-2</v>
      </c>
      <c r="Z444">
        <v>-2.8552109999999999E-4</v>
      </c>
      <c r="AA444">
        <v>0.99970250000000005</v>
      </c>
      <c r="AB444">
        <v>15</v>
      </c>
      <c r="AC444">
        <v>30.126300000000001</v>
      </c>
      <c r="AD444">
        <v>-1.154873</v>
      </c>
      <c r="AE444">
        <v>-0.87970000000001303</v>
      </c>
      <c r="AF444">
        <v>0.73629541831202105</v>
      </c>
      <c r="AG444">
        <v>-1.154873</v>
      </c>
      <c r="AH444">
        <v>30.085945105809401</v>
      </c>
      <c r="AI444">
        <v>92.197607564811804</v>
      </c>
      <c r="AJ444">
        <v>88.598076260262701</v>
      </c>
      <c r="AK444">
        <v>30.117104035729099</v>
      </c>
      <c r="AL444">
        <v>88.094004603705102</v>
      </c>
      <c r="AM444">
        <v>96.735073677835899</v>
      </c>
      <c r="AN444">
        <v>0.99999999750292801</v>
      </c>
    </row>
    <row r="445" spans="1:40" x14ac:dyDescent="0.3">
      <c r="A445" t="str">
        <f>"20200111145923181"</f>
        <v>20200111145923181</v>
      </c>
      <c r="B445" t="str">
        <f>"1578725963176450"</f>
        <v>1578725963176450</v>
      </c>
      <c r="C445" t="s">
        <v>40</v>
      </c>
      <c r="D445">
        <v>4.1276919999999997</v>
      </c>
      <c r="E445">
        <v>0.55249380000000003</v>
      </c>
      <c r="F445" t="s">
        <v>43</v>
      </c>
      <c r="G445">
        <v>-413.73809999999997</v>
      </c>
      <c r="H445">
        <v>-0.05</v>
      </c>
      <c r="I445">
        <v>366.39980000000003</v>
      </c>
      <c r="J445">
        <v>-445.1687</v>
      </c>
      <c r="K445">
        <v>1.1048819999999999</v>
      </c>
      <c r="L445">
        <v>367.18369999999999</v>
      </c>
      <c r="M445">
        <v>0.99989490000000003</v>
      </c>
      <c r="N445">
        <v>0</v>
      </c>
      <c r="O445">
        <v>-4.7119350000000004E-3</v>
      </c>
      <c r="P445">
        <v>0.99344460000000001</v>
      </c>
      <c r="Q445">
        <v>2.0047559999999999E-2</v>
      </c>
      <c r="R445">
        <v>0.1125423</v>
      </c>
      <c r="S445">
        <v>3.0304869999999999</v>
      </c>
      <c r="T445">
        <v>-0.111064</v>
      </c>
      <c r="U445">
        <v>-7.5408939999999994E-2</v>
      </c>
      <c r="V445">
        <v>-0.1172237</v>
      </c>
      <c r="W445">
        <v>3.3654829999999997E-2</v>
      </c>
      <c r="X445">
        <v>0.9925351</v>
      </c>
      <c r="Y445">
        <v>2.0154180000000001E-2</v>
      </c>
      <c r="Z445">
        <v>-1.965174E-4</v>
      </c>
      <c r="AA445">
        <v>0.99979689999999999</v>
      </c>
      <c r="AB445">
        <v>15</v>
      </c>
      <c r="AC445">
        <v>31.430599999999998</v>
      </c>
      <c r="AD445">
        <v>-1.154882</v>
      </c>
      <c r="AE445">
        <v>-0.78389999999995996</v>
      </c>
      <c r="AF445">
        <v>0.63492174687963499</v>
      </c>
      <c r="AG445">
        <v>-1.154882</v>
      </c>
      <c r="AH445">
        <v>31.391589226567699</v>
      </c>
      <c r="AI445">
        <v>92.106504486986296</v>
      </c>
      <c r="AJ445">
        <v>88.841301829014895</v>
      </c>
      <c r="AK445">
        <v>31.419241751324101</v>
      </c>
      <c r="AL445">
        <v>88.071356054165193</v>
      </c>
      <c r="AM445">
        <v>96.735734799980605</v>
      </c>
      <c r="AN445">
        <v>0.99999998407801405</v>
      </c>
    </row>
    <row r="446" spans="1:40" x14ac:dyDescent="0.3">
      <c r="A446" t="str">
        <f>"20200111145923193"</f>
        <v>20200111145923193</v>
      </c>
      <c r="B446" t="str">
        <f>"1578725963186210"</f>
        <v>1578725963186210</v>
      </c>
      <c r="C446" t="s">
        <v>40</v>
      </c>
      <c r="D446">
        <v>4.1080860000000001</v>
      </c>
      <c r="E446">
        <v>0.55273919999999999</v>
      </c>
      <c r="F446" t="s">
        <v>43</v>
      </c>
      <c r="G446">
        <v>-413.55549999999999</v>
      </c>
      <c r="H446">
        <v>-0.05</v>
      </c>
      <c r="I446">
        <v>366.36869999999999</v>
      </c>
      <c r="J446">
        <v>-445.08199999999999</v>
      </c>
      <c r="K446">
        <v>1.1048819999999999</v>
      </c>
      <c r="L446">
        <v>367.1832</v>
      </c>
      <c r="M446">
        <v>0.99989499999999998</v>
      </c>
      <c r="N446">
        <v>0</v>
      </c>
      <c r="O446">
        <v>-4.694574E-3</v>
      </c>
      <c r="P446">
        <v>0.99339160000000004</v>
      </c>
      <c r="Q446">
        <v>2.047264E-2</v>
      </c>
      <c r="R446">
        <v>0.11293449999999999</v>
      </c>
      <c r="S446">
        <v>3.0308839999999999</v>
      </c>
      <c r="T446">
        <v>-0.1107234</v>
      </c>
      <c r="U446">
        <v>-7.8125E-2</v>
      </c>
      <c r="V446">
        <v>-0.1175982</v>
      </c>
      <c r="W446">
        <v>3.4084700000000002E-2</v>
      </c>
      <c r="X446">
        <v>0.99247620000000003</v>
      </c>
      <c r="Y446">
        <v>2.1063100000000001E-2</v>
      </c>
      <c r="Z446">
        <v>-2.1311529999999999E-4</v>
      </c>
      <c r="AA446">
        <v>0.99977819999999995</v>
      </c>
      <c r="AB446">
        <v>15</v>
      </c>
      <c r="AC446">
        <v>31.526499999999999</v>
      </c>
      <c r="AD446">
        <v>-1.154882</v>
      </c>
      <c r="AE446">
        <v>-0.81450000000000899</v>
      </c>
      <c r="AF446">
        <v>0.66558107027934499</v>
      </c>
      <c r="AG446">
        <v>-1.154882</v>
      </c>
      <c r="AH446">
        <v>31.4877510413599</v>
      </c>
      <c r="AI446">
        <v>92.100037555095597</v>
      </c>
      <c r="AJ446">
        <v>88.789074898341795</v>
      </c>
      <c r="AK446">
        <v>31.515951774263499</v>
      </c>
      <c r="AL446">
        <v>88.046712317085607</v>
      </c>
      <c r="AM446">
        <v>96.757452404622498</v>
      </c>
      <c r="AN446">
        <v>1.00000005549188</v>
      </c>
    </row>
    <row r="447" spans="1:40" x14ac:dyDescent="0.3">
      <c r="A447" t="str">
        <f>"20200111145923205"</f>
        <v>20200111145923205</v>
      </c>
      <c r="B447" t="str">
        <f>"1578725963195970"</f>
        <v>1578725963195970</v>
      </c>
      <c r="C447" t="s">
        <v>40</v>
      </c>
      <c r="D447">
        <v>4.0938970000000001</v>
      </c>
      <c r="E447">
        <v>0.55293319999999901</v>
      </c>
      <c r="F447" t="s">
        <v>43</v>
      </c>
      <c r="G447">
        <v>-413.88260000000002</v>
      </c>
      <c r="H447">
        <v>-0.05</v>
      </c>
      <c r="I447">
        <v>366.36689999999999</v>
      </c>
      <c r="J447">
        <v>-445.0027</v>
      </c>
      <c r="K447">
        <v>1.1048830000000001</v>
      </c>
      <c r="L447">
        <v>367.18290000000002</v>
      </c>
      <c r="M447">
        <v>0.99989499999999998</v>
      </c>
      <c r="N447">
        <v>0</v>
      </c>
      <c r="O447">
        <v>-4.6772020000000001E-3</v>
      </c>
      <c r="P447">
        <v>0.99332469999999995</v>
      </c>
      <c r="Q447">
        <v>2.062158E-2</v>
      </c>
      <c r="R447">
        <v>0.1134941</v>
      </c>
      <c r="S447">
        <v>3.03125</v>
      </c>
      <c r="T447">
        <v>-0.11220529999999999</v>
      </c>
      <c r="U447">
        <v>-7.9315189999999994E-2</v>
      </c>
      <c r="V447">
        <v>-0.11814040000000001</v>
      </c>
      <c r="W447">
        <v>3.4237190000000001E-2</v>
      </c>
      <c r="X447">
        <v>0.99240649999999997</v>
      </c>
      <c r="Y447">
        <v>2.1469060000000002E-2</v>
      </c>
      <c r="Z447">
        <v>-2.2409090000000001E-4</v>
      </c>
      <c r="AA447">
        <v>0.99976949999999998</v>
      </c>
      <c r="AB447">
        <v>15</v>
      </c>
      <c r="AC447">
        <v>31.120099999999901</v>
      </c>
      <c r="AD447">
        <v>-1.1548829999999899</v>
      </c>
      <c r="AE447">
        <v>-0.81600000000003003</v>
      </c>
      <c r="AF447">
        <v>0.66950098962115601</v>
      </c>
      <c r="AG447">
        <v>-1.1548829999999899</v>
      </c>
      <c r="AH447">
        <v>31.080801720305899</v>
      </c>
      <c r="AI447">
        <v>92.127492383925798</v>
      </c>
      <c r="AJ447">
        <v>88.766001915511694</v>
      </c>
      <c r="AK447">
        <v>31.109455506256602</v>
      </c>
      <c r="AL447">
        <v>88.037970073354302</v>
      </c>
      <c r="AM447">
        <v>96.788790644682294</v>
      </c>
      <c r="AN447">
        <v>1.00000000026675</v>
      </c>
    </row>
    <row r="448" spans="1:40" x14ac:dyDescent="0.3">
      <c r="A448" t="str">
        <f>"20200111145923217"</f>
        <v>20200111145923217</v>
      </c>
      <c r="B448" t="str">
        <f>"1578725963205730"</f>
        <v>1578725963205730</v>
      </c>
      <c r="C448" t="s">
        <v>40</v>
      </c>
      <c r="D448">
        <v>4.1025869999999998</v>
      </c>
      <c r="E448">
        <v>0.55260589999999998</v>
      </c>
      <c r="F448" t="s">
        <v>43</v>
      </c>
      <c r="G448">
        <v>-413.7817</v>
      </c>
      <c r="H448">
        <v>-0.05</v>
      </c>
      <c r="I448">
        <v>366.36599999999999</v>
      </c>
      <c r="J448">
        <v>-444.91489999999999</v>
      </c>
      <c r="K448">
        <v>1.104889</v>
      </c>
      <c r="L448">
        <v>367.1825</v>
      </c>
      <c r="M448">
        <v>0.99989490000000003</v>
      </c>
      <c r="N448">
        <v>0</v>
      </c>
      <c r="O448">
        <v>-4.6555299999999997E-3</v>
      </c>
      <c r="P448">
        <v>0.99325839999999999</v>
      </c>
      <c r="Q448">
        <v>2.036642E-2</v>
      </c>
      <c r="R448">
        <v>0.114119</v>
      </c>
      <c r="S448">
        <v>3.0314939999999999</v>
      </c>
      <c r="T448">
        <v>-0.11213670000000001</v>
      </c>
      <c r="U448">
        <v>-7.9315189999999994E-2</v>
      </c>
      <c r="V448">
        <v>-0.1187433</v>
      </c>
      <c r="W448">
        <v>3.398557E-2</v>
      </c>
      <c r="X448">
        <v>0.99234319999999998</v>
      </c>
      <c r="Y448">
        <v>2.1488609999999998E-2</v>
      </c>
      <c r="Z448">
        <v>-2.2509879999999999E-4</v>
      </c>
      <c r="AA448">
        <v>0.99976909999999997</v>
      </c>
      <c r="AB448">
        <v>15</v>
      </c>
      <c r="AC448">
        <v>31.133199999999899</v>
      </c>
      <c r="AD448">
        <v>-1.1548889999999901</v>
      </c>
      <c r="AE448">
        <v>-0.81650000000001899</v>
      </c>
      <c r="AF448">
        <v>0.67061377836310598</v>
      </c>
      <c r="AG448">
        <v>-1.1548889999999901</v>
      </c>
      <c r="AH448">
        <v>31.093906904270401</v>
      </c>
      <c r="AI448">
        <v>92.126606346425007</v>
      </c>
      <c r="AJ448">
        <v>88.764472299767505</v>
      </c>
      <c r="AK448">
        <v>31.122572805176102</v>
      </c>
      <c r="AL448">
        <v>88.052395248225295</v>
      </c>
      <c r="AM448">
        <v>96.823540874699106</v>
      </c>
      <c r="AN448">
        <v>1.0000000084246701</v>
      </c>
    </row>
    <row r="449" spans="1:40" x14ac:dyDescent="0.3">
      <c r="A449" t="str">
        <f>"20200111145923237"</f>
        <v>20200111145923237</v>
      </c>
      <c r="B449" t="str">
        <f>"1578725963226226"</f>
        <v>1578725963226226</v>
      </c>
      <c r="C449" t="s">
        <v>40</v>
      </c>
      <c r="D449">
        <v>4.2002129999999998</v>
      </c>
      <c r="E449">
        <v>0.55286080000000004</v>
      </c>
      <c r="F449" t="s">
        <v>43</v>
      </c>
      <c r="G449">
        <v>-413.51900000000001</v>
      </c>
      <c r="H449">
        <v>-0.05</v>
      </c>
      <c r="I449">
        <v>366.40710000000001</v>
      </c>
      <c r="J449">
        <v>-444.78620000000001</v>
      </c>
      <c r="K449">
        <v>1.1048960000000001</v>
      </c>
      <c r="L449">
        <v>367.18189999999998</v>
      </c>
      <c r="M449">
        <v>0.99989519999999998</v>
      </c>
      <c r="N449">
        <v>0</v>
      </c>
      <c r="O449">
        <v>-4.6200099999999999E-3</v>
      </c>
      <c r="P449">
        <v>0.99319990000000002</v>
      </c>
      <c r="Q449">
        <v>2.017379E-2</v>
      </c>
      <c r="R449">
        <v>0.1146612</v>
      </c>
      <c r="S449">
        <v>3.03125</v>
      </c>
      <c r="T449">
        <v>-0.1115037</v>
      </c>
      <c r="U449">
        <v>-7.4859620000000002E-2</v>
      </c>
      <c r="V449">
        <v>-0.1192503</v>
      </c>
      <c r="W449">
        <v>3.379733E-2</v>
      </c>
      <c r="X449">
        <v>0.99228879999999997</v>
      </c>
      <c r="Y449">
        <v>2.0058699999999999E-2</v>
      </c>
      <c r="Z449">
        <v>-1.988704E-4</v>
      </c>
      <c r="AA449">
        <v>0.99979879999999999</v>
      </c>
      <c r="AB449">
        <v>15</v>
      </c>
      <c r="AC449">
        <v>31.267199999999999</v>
      </c>
      <c r="AD449">
        <v>-1.1548959999999999</v>
      </c>
      <c r="AE449">
        <v>-0.77479999999996996</v>
      </c>
      <c r="AF449">
        <v>0.62946510646819598</v>
      </c>
      <c r="AG449">
        <v>-1.1548959999999999</v>
      </c>
      <c r="AH449">
        <v>31.227868335639599</v>
      </c>
      <c r="AI449">
        <v>92.117566981886299</v>
      </c>
      <c r="AJ449">
        <v>88.845236244620594</v>
      </c>
      <c r="AK449">
        <v>31.2555558561853</v>
      </c>
      <c r="AL449">
        <v>88.063186746437694</v>
      </c>
      <c r="AM449">
        <v>96.852771099330695</v>
      </c>
      <c r="AN449">
        <v>0.99999997808532903</v>
      </c>
    </row>
    <row r="450" spans="1:40" x14ac:dyDescent="0.3">
      <c r="A450" t="str">
        <f>"20200111145923250"</f>
        <v>20200111145923250</v>
      </c>
      <c r="B450" t="str">
        <f>"1578725963245746"</f>
        <v>1578725963245746</v>
      </c>
      <c r="C450" t="s">
        <v>40</v>
      </c>
      <c r="D450">
        <v>4.1580969999999997</v>
      </c>
      <c r="E450">
        <v>0.55308749999999995</v>
      </c>
      <c r="F450" t="s">
        <v>43</v>
      </c>
      <c r="G450">
        <v>-413.60210000000001</v>
      </c>
      <c r="H450">
        <v>-0.05</v>
      </c>
      <c r="I450">
        <v>366.41180000000003</v>
      </c>
      <c r="J450">
        <v>-444.69779999999997</v>
      </c>
      <c r="K450">
        <v>1.1049</v>
      </c>
      <c r="L450">
        <v>367.1816</v>
      </c>
      <c r="M450">
        <v>0.99989510000000004</v>
      </c>
      <c r="N450">
        <v>0</v>
      </c>
      <c r="O450">
        <v>-4.593293E-3</v>
      </c>
      <c r="P450">
        <v>0.99319159999999995</v>
      </c>
      <c r="Q450">
        <v>2.0057200000000001E-2</v>
      </c>
      <c r="R450">
        <v>0.1147531</v>
      </c>
      <c r="S450">
        <v>3.0314640000000002</v>
      </c>
      <c r="T450">
        <v>-0.1122698</v>
      </c>
      <c r="U450">
        <v>-7.4859620000000002E-2</v>
      </c>
      <c r="V450">
        <v>-0.11931609999999999</v>
      </c>
      <c r="W450">
        <v>3.3682469999999999E-2</v>
      </c>
      <c r="X450">
        <v>0.99228479999999997</v>
      </c>
      <c r="Y450">
        <v>2.0083489999999999E-2</v>
      </c>
      <c r="Z450">
        <v>-2.016694E-4</v>
      </c>
      <c r="AA450">
        <v>0.99979830000000003</v>
      </c>
      <c r="AB450">
        <v>15</v>
      </c>
      <c r="AC450">
        <v>31.095699999999901</v>
      </c>
      <c r="AD450">
        <v>-1.1549</v>
      </c>
      <c r="AE450">
        <v>-0.76979999999997495</v>
      </c>
      <c r="AF450">
        <v>0.62608365252382003</v>
      </c>
      <c r="AG450">
        <v>-1.1549</v>
      </c>
      <c r="AH450">
        <v>31.056095822675999</v>
      </c>
      <c r="AI450">
        <v>92.129275834934703</v>
      </c>
      <c r="AJ450">
        <v>88.8450868823344</v>
      </c>
      <c r="AK450">
        <v>31.0838682035745</v>
      </c>
      <c r="AL450">
        <v>88.069771497206702</v>
      </c>
      <c r="AM450">
        <v>96.856543714911396</v>
      </c>
      <c r="AN450">
        <v>0.99999998240777499</v>
      </c>
    </row>
    <row r="451" spans="1:40" x14ac:dyDescent="0.3">
      <c r="A451" t="str">
        <f>"20200111145923262"</f>
        <v>20200111145923262</v>
      </c>
      <c r="B451" t="str">
        <f>"1578725963256483"</f>
        <v>1578725963256483</v>
      </c>
      <c r="C451" t="s">
        <v>40</v>
      </c>
      <c r="D451">
        <v>4.1563089999999896</v>
      </c>
      <c r="E451">
        <v>0.55311949999999999</v>
      </c>
      <c r="F451" t="s">
        <v>43</v>
      </c>
      <c r="G451">
        <v>-413.67570000000001</v>
      </c>
      <c r="H451">
        <v>-0.05</v>
      </c>
      <c r="I451">
        <v>366.40089999999998</v>
      </c>
      <c r="J451">
        <v>-444.61500000000001</v>
      </c>
      <c r="K451">
        <v>1.1049009999999999</v>
      </c>
      <c r="L451">
        <v>367.18119999999999</v>
      </c>
      <c r="M451">
        <v>0.99989530000000004</v>
      </c>
      <c r="N451">
        <v>0</v>
      </c>
      <c r="O451">
        <v>-4.5676450000000004E-3</v>
      </c>
      <c r="P451">
        <v>0.99320779999999997</v>
      </c>
      <c r="Q451">
        <v>2.0285750000000002E-2</v>
      </c>
      <c r="R451">
        <v>0.1145721</v>
      </c>
      <c r="S451">
        <v>3.0316160000000001</v>
      </c>
      <c r="T451">
        <v>-0.112862</v>
      </c>
      <c r="U451">
        <v>-7.6293949999999999E-2</v>
      </c>
      <c r="V451">
        <v>-0.1191093</v>
      </c>
      <c r="W451">
        <v>3.3913619999999998E-2</v>
      </c>
      <c r="X451">
        <v>0.99230180000000001</v>
      </c>
      <c r="Y451">
        <v>2.0580149999999998E-2</v>
      </c>
      <c r="Z451">
        <v>-2.1291600000000001E-4</v>
      </c>
      <c r="AA451">
        <v>0.99978820000000002</v>
      </c>
      <c r="AB451">
        <v>15</v>
      </c>
      <c r="AC451">
        <v>30.939299999999999</v>
      </c>
      <c r="AD451">
        <v>-1.154901</v>
      </c>
      <c r="AE451">
        <v>-0.78030000000001098</v>
      </c>
      <c r="AF451">
        <v>0.63807028941162502</v>
      </c>
      <c r="AG451">
        <v>-1.154901</v>
      </c>
      <c r="AH451">
        <v>30.899514362156999</v>
      </c>
      <c r="AI451">
        <v>92.140036286473602</v>
      </c>
      <c r="AJ451">
        <v>88.817018963343301</v>
      </c>
      <c r="AK451">
        <v>30.927672363616001</v>
      </c>
      <c r="AL451">
        <v>88.056520061567795</v>
      </c>
      <c r="AM451">
        <v>96.844656566954995</v>
      </c>
      <c r="AN451">
        <v>1.0000000106256099</v>
      </c>
    </row>
    <row r="452" spans="1:40" x14ac:dyDescent="0.3">
      <c r="A452" t="str">
        <f>"20200111145923274"</f>
        <v>20200111145923274</v>
      </c>
      <c r="B452" t="str">
        <f>"1578725963266242"</f>
        <v>1578725963266242</v>
      </c>
      <c r="C452" t="s">
        <v>40</v>
      </c>
      <c r="D452">
        <v>4.1879470000000003</v>
      </c>
      <c r="E452">
        <v>0.55319659999999904</v>
      </c>
      <c r="F452" t="s">
        <v>43</v>
      </c>
      <c r="G452">
        <v>-413.93520000000001</v>
      </c>
      <c r="H452">
        <v>-0.05</v>
      </c>
      <c r="I452">
        <v>366.39929999999998</v>
      </c>
      <c r="J452">
        <v>-444.53039999999999</v>
      </c>
      <c r="K452">
        <v>1.104905</v>
      </c>
      <c r="L452">
        <v>367.18090000000001</v>
      </c>
      <c r="M452">
        <v>0.99989530000000004</v>
      </c>
      <c r="N452">
        <v>0</v>
      </c>
      <c r="O452">
        <v>-4.53937E-3</v>
      </c>
      <c r="P452">
        <v>0.99319489999999999</v>
      </c>
      <c r="Q452">
        <v>2.017532E-2</v>
      </c>
      <c r="R452">
        <v>0.1147036</v>
      </c>
      <c r="S452">
        <v>3.0317690000000002</v>
      </c>
      <c r="T452">
        <v>-0.1141273</v>
      </c>
      <c r="U452">
        <v>-7.7270510000000001E-2</v>
      </c>
      <c r="V452">
        <v>-0.1192129</v>
      </c>
      <c r="W452">
        <v>3.3804479999999998E-2</v>
      </c>
      <c r="X452">
        <v>0.99229310000000004</v>
      </c>
      <c r="Y452">
        <v>2.0928479999999999E-2</v>
      </c>
      <c r="Z452">
        <v>-2.229062E-4</v>
      </c>
      <c r="AA452">
        <v>0.99978100000000003</v>
      </c>
      <c r="AB452">
        <v>15</v>
      </c>
      <c r="AC452">
        <v>30.595199999999899</v>
      </c>
      <c r="AD452">
        <v>-1.1549049999999901</v>
      </c>
      <c r="AE452">
        <v>-0.78160000000002505</v>
      </c>
      <c r="AF452">
        <v>0.64178201937118495</v>
      </c>
      <c r="AG452">
        <v>-1.1549049999999901</v>
      </c>
      <c r="AH452">
        <v>30.5549235548513</v>
      </c>
      <c r="AI452">
        <v>92.164139799561994</v>
      </c>
      <c r="AJ452">
        <v>88.796724368201097</v>
      </c>
      <c r="AK452">
        <v>30.5834766362855</v>
      </c>
      <c r="AL452">
        <v>88.062776942858306</v>
      </c>
      <c r="AM452">
        <v>96.850612915582005</v>
      </c>
      <c r="AN452">
        <v>1.0000000273510401</v>
      </c>
    </row>
    <row r="453" spans="1:40" x14ac:dyDescent="0.3">
      <c r="A453" t="str">
        <f>"20200111145923292"</f>
        <v>20200111145923292</v>
      </c>
      <c r="B453" t="str">
        <f>"1578725963285763"</f>
        <v>1578725963285763</v>
      </c>
      <c r="C453" t="s">
        <v>40</v>
      </c>
      <c r="D453">
        <v>4.0990739999999999</v>
      </c>
      <c r="E453">
        <v>0.55319370000000001</v>
      </c>
      <c r="F453" t="s">
        <v>43</v>
      </c>
      <c r="G453">
        <v>-414.23020000000002</v>
      </c>
      <c r="H453">
        <v>-0.05</v>
      </c>
      <c r="I453">
        <v>366.40710000000001</v>
      </c>
      <c r="J453">
        <v>-444.4126</v>
      </c>
      <c r="K453">
        <v>1.1049100000000001</v>
      </c>
      <c r="L453">
        <v>367.18040000000002</v>
      </c>
      <c r="M453">
        <v>0.9998956</v>
      </c>
      <c r="N453">
        <v>0</v>
      </c>
      <c r="O453">
        <v>-4.4976269999999997E-3</v>
      </c>
      <c r="P453">
        <v>0.99318119999999999</v>
      </c>
      <c r="Q453">
        <v>1.9738619999999998E-2</v>
      </c>
      <c r="R453">
        <v>0.1148989</v>
      </c>
      <c r="S453">
        <v>3.0318299999999998</v>
      </c>
      <c r="T453">
        <v>-0.1155596</v>
      </c>
      <c r="U453">
        <v>-7.7423099999999995E-2</v>
      </c>
      <c r="V453">
        <v>-0.119367</v>
      </c>
      <c r="W453">
        <v>3.3369839999999998E-2</v>
      </c>
      <c r="X453">
        <v>0.99228919999999998</v>
      </c>
      <c r="Y453">
        <v>2.1019599999999999E-2</v>
      </c>
      <c r="Z453">
        <v>-2.2902299999999999E-4</v>
      </c>
      <c r="AA453">
        <v>0.99977899999999997</v>
      </c>
      <c r="AB453">
        <v>15</v>
      </c>
      <c r="AC453">
        <v>30.182399999999902</v>
      </c>
      <c r="AD453">
        <v>-1.1549100000000001</v>
      </c>
      <c r="AE453">
        <v>-0.77330000000000598</v>
      </c>
      <c r="AF453">
        <v>0.63659872825267705</v>
      </c>
      <c r="AG453">
        <v>-1.1549100000000001</v>
      </c>
      <c r="AH453">
        <v>30.141470004226001</v>
      </c>
      <c r="AI453">
        <v>92.193800840886198</v>
      </c>
      <c r="AJ453">
        <v>88.790072334198896</v>
      </c>
      <c r="AK453">
        <v>30.1703047559113</v>
      </c>
      <c r="AL453">
        <v>88.087693874498797</v>
      </c>
      <c r="AM453">
        <v>96.859410712869305</v>
      </c>
      <c r="AN453">
        <v>0.99999994167363104</v>
      </c>
    </row>
    <row r="454" spans="1:40" x14ac:dyDescent="0.3">
      <c r="A454" t="str">
        <f>"20200111145923305"</f>
        <v>20200111145923305</v>
      </c>
      <c r="B454" t="str">
        <f>"1578725963296499"</f>
        <v>1578725963296499</v>
      </c>
      <c r="C454" t="s">
        <v>40</v>
      </c>
      <c r="D454">
        <v>4.1927680000000001</v>
      </c>
      <c r="E454">
        <v>0.55326960000000003</v>
      </c>
      <c r="F454" t="s">
        <v>43</v>
      </c>
      <c r="G454">
        <v>-414.40609999999998</v>
      </c>
      <c r="H454">
        <v>-0.05</v>
      </c>
      <c r="I454">
        <v>366.41739999999999</v>
      </c>
      <c r="J454">
        <v>-444.32729999999998</v>
      </c>
      <c r="K454">
        <v>1.1049119999999999</v>
      </c>
      <c r="L454">
        <v>367.18009999999998</v>
      </c>
      <c r="M454">
        <v>0.99989570000000005</v>
      </c>
      <c r="N454">
        <v>0</v>
      </c>
      <c r="O454">
        <v>-4.4656749999999997E-3</v>
      </c>
      <c r="P454">
        <v>0.99317440000000001</v>
      </c>
      <c r="Q454">
        <v>1.9579510000000001E-2</v>
      </c>
      <c r="R454">
        <v>0.114985199999999</v>
      </c>
      <c r="S454">
        <v>3.0317989999999999</v>
      </c>
      <c r="T454">
        <v>-0.11669</v>
      </c>
      <c r="U454">
        <v>-7.7087399999999903E-2</v>
      </c>
      <c r="V454">
        <v>-0.1194216</v>
      </c>
      <c r="W454">
        <v>3.3211619999999997E-2</v>
      </c>
      <c r="X454">
        <v>0.99228799999999995</v>
      </c>
      <c r="Y454">
        <v>2.0940980000000001E-2</v>
      </c>
      <c r="Z454">
        <v>-2.309813E-4</v>
      </c>
      <c r="AA454">
        <v>0.99978069999999997</v>
      </c>
      <c r="AB454">
        <v>15</v>
      </c>
      <c r="AC454">
        <v>29.921199999999999</v>
      </c>
      <c r="AD454">
        <v>-1.1549119999999999</v>
      </c>
      <c r="AE454">
        <v>-0.76269999999999505</v>
      </c>
      <c r="AF454">
        <v>0.62812623336778595</v>
      </c>
      <c r="AG454">
        <v>-1.1549119999999999</v>
      </c>
      <c r="AH454">
        <v>29.879820624935199</v>
      </c>
      <c r="AI454">
        <v>92.2130007548474</v>
      </c>
      <c r="AJ454">
        <v>88.795719603417893</v>
      </c>
      <c r="AK454">
        <v>29.908728573295999</v>
      </c>
      <c r="AL454">
        <v>88.096764356879106</v>
      </c>
      <c r="AM454">
        <v>96.862526600871703</v>
      </c>
      <c r="AN454">
        <v>1.0000000025967899</v>
      </c>
    </row>
    <row r="455" spans="1:40" x14ac:dyDescent="0.3">
      <c r="A455" t="str">
        <f>"20200111145923317"</f>
        <v>20200111145923317</v>
      </c>
      <c r="B455" t="str">
        <f>"1578725963306258"</f>
        <v>1578725963306258</v>
      </c>
      <c r="C455" t="s">
        <v>40</v>
      </c>
      <c r="D455">
        <v>4.1906910000000002</v>
      </c>
      <c r="E455">
        <v>0.55343999999999904</v>
      </c>
      <c r="F455" t="s">
        <v>43</v>
      </c>
      <c r="G455">
        <v>-414.41680000000002</v>
      </c>
      <c r="H455">
        <v>-0.05</v>
      </c>
      <c r="I455">
        <v>366.41500000000002</v>
      </c>
      <c r="J455">
        <v>-444.23759999999999</v>
      </c>
      <c r="K455">
        <v>1.1049119999999999</v>
      </c>
      <c r="L455">
        <v>367.17970000000003</v>
      </c>
      <c r="M455">
        <v>0.99989589999999995</v>
      </c>
      <c r="N455">
        <v>0</v>
      </c>
      <c r="O455">
        <v>-4.4306320000000003E-3</v>
      </c>
      <c r="P455">
        <v>0.99319539999999995</v>
      </c>
      <c r="Q455">
        <v>1.9528569999999999E-2</v>
      </c>
      <c r="R455">
        <v>0.1148116</v>
      </c>
      <c r="S455">
        <v>3.0318909999999999</v>
      </c>
      <c r="T455">
        <v>-0.1170683</v>
      </c>
      <c r="U455">
        <v>-7.7545169999999997E-2</v>
      </c>
      <c r="V455">
        <v>-0.1192136</v>
      </c>
      <c r="W455">
        <v>3.3162539999999997E-2</v>
      </c>
      <c r="X455">
        <v>0.99231460000000005</v>
      </c>
      <c r="Y455">
        <v>2.112586E-2</v>
      </c>
      <c r="Z455">
        <v>-2.3664199999999999E-4</v>
      </c>
      <c r="AA455">
        <v>0.99977680000000002</v>
      </c>
      <c r="AB455">
        <v>15</v>
      </c>
      <c r="AC455">
        <v>29.820799999999899</v>
      </c>
      <c r="AD455">
        <v>-1.1549119999999999</v>
      </c>
      <c r="AE455">
        <v>-0.76470000000000404</v>
      </c>
      <c r="AF455">
        <v>0.63160832363177499</v>
      </c>
      <c r="AG455">
        <v>-1.1549119999999999</v>
      </c>
      <c r="AH455">
        <v>29.779259427433999</v>
      </c>
      <c r="AI455">
        <v>92.220457542737094</v>
      </c>
      <c r="AJ455">
        <v>88.784957485752699</v>
      </c>
      <c r="AK455">
        <v>29.808338478496999</v>
      </c>
      <c r="AL455">
        <v>88.099577885369499</v>
      </c>
      <c r="AM455">
        <v>96.850505739838894</v>
      </c>
      <c r="AN455">
        <v>0.99999995092868399</v>
      </c>
    </row>
    <row r="456" spans="1:40" x14ac:dyDescent="0.3">
      <c r="A456" t="str">
        <f>"20200111145923330"</f>
        <v>20200111145923330</v>
      </c>
      <c r="B456" t="str">
        <f>"1578725963325778"</f>
        <v>1578725963325778</v>
      </c>
      <c r="C456" t="s">
        <v>40</v>
      </c>
      <c r="D456">
        <v>4.2110659999999998</v>
      </c>
      <c r="E456">
        <v>0.55362939999999905</v>
      </c>
      <c r="F456" t="s">
        <v>43</v>
      </c>
      <c r="G456">
        <v>-414.39139999999998</v>
      </c>
      <c r="H456">
        <v>-0.05</v>
      </c>
      <c r="I456">
        <v>366.4008</v>
      </c>
      <c r="J456">
        <v>-444.15710000000001</v>
      </c>
      <c r="K456">
        <v>1.10491299999999</v>
      </c>
      <c r="L456">
        <v>367.17939999999999</v>
      </c>
      <c r="M456">
        <v>0.99989600000000001</v>
      </c>
      <c r="N456">
        <v>0</v>
      </c>
      <c r="O456">
        <v>-4.3971499999999998E-3</v>
      </c>
      <c r="P456">
        <v>0.99319369999999996</v>
      </c>
      <c r="Q456">
        <v>1.9520079999999999E-2</v>
      </c>
      <c r="R456">
        <v>0.1148279</v>
      </c>
      <c r="S456">
        <v>3.0320130000000001</v>
      </c>
      <c r="T456">
        <v>-0.117325</v>
      </c>
      <c r="U456">
        <v>-7.9132079999999994E-2</v>
      </c>
      <c r="V456">
        <v>-0.1191966</v>
      </c>
      <c r="W456">
        <v>3.3154919999999997E-2</v>
      </c>
      <c r="X456">
        <v>0.992317</v>
      </c>
      <c r="Y456">
        <v>2.168074E-2</v>
      </c>
      <c r="Z456">
        <v>-2.4917420000000002E-4</v>
      </c>
      <c r="AA456">
        <v>0.99976489999999996</v>
      </c>
      <c r="AB456">
        <v>15</v>
      </c>
      <c r="AC456">
        <v>29.765699999999999</v>
      </c>
      <c r="AD456">
        <v>-1.1549130000000001</v>
      </c>
      <c r="AE456">
        <v>-0.77859999999998297</v>
      </c>
      <c r="AF456">
        <v>0.64672293268093695</v>
      </c>
      <c r="AG456">
        <v>-1.1549130000000001</v>
      </c>
      <c r="AH456">
        <v>29.724118551571699</v>
      </c>
      <c r="AI456">
        <v>92.224548334189294</v>
      </c>
      <c r="AJ456">
        <v>88.753582916706904</v>
      </c>
      <c r="AK456">
        <v>29.753576226348201</v>
      </c>
      <c r="AL456">
        <v>88.100014914079793</v>
      </c>
      <c r="AM456">
        <v>96.849521722412803</v>
      </c>
      <c r="AN456">
        <v>1.0000000533303799</v>
      </c>
    </row>
    <row r="457" spans="1:40" x14ac:dyDescent="0.3">
      <c r="A457" t="str">
        <f>"20200111145923348"</f>
        <v>20200111145923348</v>
      </c>
      <c r="B457" t="str">
        <f>"1578725963346275"</f>
        <v>1578725963346275</v>
      </c>
      <c r="C457" t="s">
        <v>40</v>
      </c>
      <c r="D457">
        <v>4.2086480000000002</v>
      </c>
      <c r="E457">
        <v>0.55376639999999999</v>
      </c>
      <c r="F457" t="s">
        <v>43</v>
      </c>
      <c r="G457">
        <v>-414.68400000000003</v>
      </c>
      <c r="H457">
        <v>-0.05</v>
      </c>
      <c r="I457">
        <v>366.39359999999999</v>
      </c>
      <c r="J457">
        <v>-444.03609999999998</v>
      </c>
      <c r="K457">
        <v>1.1049150000000001</v>
      </c>
      <c r="L457">
        <v>367.1789</v>
      </c>
      <c r="M457">
        <v>0.99989620000000001</v>
      </c>
      <c r="N457">
        <v>0</v>
      </c>
      <c r="O457">
        <v>-4.345687E-3</v>
      </c>
      <c r="P457">
        <v>0.99311629999999995</v>
      </c>
      <c r="Q457">
        <v>1.9802159999999999E-2</v>
      </c>
      <c r="R457">
        <v>0.1154478</v>
      </c>
      <c r="S457">
        <v>3.0322269999999998</v>
      </c>
      <c r="T457">
        <v>-0.1188188</v>
      </c>
      <c r="U457">
        <v>-8.0841060000000006E-2</v>
      </c>
      <c r="V457">
        <v>-0.1197647</v>
      </c>
      <c r="W457">
        <v>3.3437050000000003E-2</v>
      </c>
      <c r="X457">
        <v>0.99223910000000004</v>
      </c>
      <c r="Y457">
        <v>2.2292590000000001E-2</v>
      </c>
      <c r="Z457">
        <v>-2.663214E-4</v>
      </c>
      <c r="AA457">
        <v>0.99975139999999996</v>
      </c>
      <c r="AB457">
        <v>15</v>
      </c>
      <c r="AC457">
        <v>29.352099999999901</v>
      </c>
      <c r="AD457">
        <v>-1.1549149999999999</v>
      </c>
      <c r="AE457">
        <v>-0.78530000000000599</v>
      </c>
      <c r="AF457">
        <v>0.65670952931874205</v>
      </c>
      <c r="AG457">
        <v>-1.1549149999999999</v>
      </c>
      <c r="AH457">
        <v>29.309891225100401</v>
      </c>
      <c r="AI457">
        <v>92.255926568838902</v>
      </c>
      <c r="AJ457">
        <v>88.716460951898497</v>
      </c>
      <c r="AK457">
        <v>29.339986702286399</v>
      </c>
      <c r="AL457">
        <v>88.0838410356845</v>
      </c>
      <c r="AM457">
        <v>96.882389828446094</v>
      </c>
      <c r="AN457">
        <v>1.0000000256238</v>
      </c>
    </row>
    <row r="458" spans="1:40" x14ac:dyDescent="0.3">
      <c r="A458" t="str">
        <f>"20200111145923360"</f>
        <v>20200111145923360</v>
      </c>
      <c r="B458" t="str">
        <f>"1578725963356037"</f>
        <v>1578725963356037</v>
      </c>
      <c r="C458" t="s">
        <v>40</v>
      </c>
      <c r="D458">
        <v>4.2190399999999997</v>
      </c>
      <c r="E458">
        <v>0.55389489999999997</v>
      </c>
      <c r="F458" t="s">
        <v>43</v>
      </c>
      <c r="G458">
        <v>-414.47930000000002</v>
      </c>
      <c r="H458">
        <v>-0.05</v>
      </c>
      <c r="I458">
        <v>366.4008</v>
      </c>
      <c r="J458">
        <v>-443.95420000000001</v>
      </c>
      <c r="K458">
        <v>1.10491299999999</v>
      </c>
      <c r="L458">
        <v>367.17860000000002</v>
      </c>
      <c r="M458">
        <v>0.99989629999999996</v>
      </c>
      <c r="N458">
        <v>0</v>
      </c>
      <c r="O458">
        <v>-4.3100710000000004E-3</v>
      </c>
      <c r="P458">
        <v>0.99307909999999999</v>
      </c>
      <c r="Q458">
        <v>2.0075519999999999E-2</v>
      </c>
      <c r="R458">
        <v>0.115719</v>
      </c>
      <c r="S458">
        <v>3.0324399999999998</v>
      </c>
      <c r="T458">
        <v>-0.118490899999999</v>
      </c>
      <c r="U458">
        <v>-7.9833979999999999E-2</v>
      </c>
      <c r="V458">
        <v>-0.1200001</v>
      </c>
      <c r="W458">
        <v>3.371155E-2</v>
      </c>
      <c r="X458">
        <v>0.99220129999999995</v>
      </c>
      <c r="Y458">
        <v>2.1994820000000002E-2</v>
      </c>
      <c r="Z458">
        <v>-2.6114619999999998E-4</v>
      </c>
      <c r="AA458">
        <v>0.99975809999999998</v>
      </c>
      <c r="AB458">
        <v>15</v>
      </c>
      <c r="AC458">
        <v>29.474899999999899</v>
      </c>
      <c r="AD458">
        <v>-1.1549130000000001</v>
      </c>
      <c r="AE458">
        <v>-0.77780000000001304</v>
      </c>
      <c r="AF458">
        <v>0.649745006694458</v>
      </c>
      <c r="AG458">
        <v>-1.1549130000000001</v>
      </c>
      <c r="AH458">
        <v>29.432822033577601</v>
      </c>
      <c r="AI458">
        <v>92.246526597910403</v>
      </c>
      <c r="AJ458">
        <v>88.735370974617197</v>
      </c>
      <c r="AK458">
        <v>29.462637449344999</v>
      </c>
      <c r="AL458">
        <v>88.068104338426906</v>
      </c>
      <c r="AM458">
        <v>96.896047360287696</v>
      </c>
      <c r="AN458">
        <v>0.99999995616255</v>
      </c>
    </row>
    <row r="459" spans="1:40" x14ac:dyDescent="0.3">
      <c r="A459" t="str">
        <f>"20200111145923372"</f>
        <v>20200111145923372</v>
      </c>
      <c r="B459" t="str">
        <f>"1578725963365794"</f>
        <v>1578725963365794</v>
      </c>
      <c r="C459" t="s">
        <v>40</v>
      </c>
      <c r="D459">
        <v>4.2883889999999996</v>
      </c>
      <c r="E459">
        <v>0.55403409999999997</v>
      </c>
      <c r="F459" t="s">
        <v>43</v>
      </c>
      <c r="G459">
        <v>-414.24970000000002</v>
      </c>
      <c r="H459">
        <v>-0.05</v>
      </c>
      <c r="I459">
        <v>366.39100000000002</v>
      </c>
      <c r="J459">
        <v>-443.8689</v>
      </c>
      <c r="K459">
        <v>1.10491299999999</v>
      </c>
      <c r="L459">
        <v>367.17829999999998</v>
      </c>
      <c r="M459">
        <v>0.99989629999999996</v>
      </c>
      <c r="N459">
        <v>0</v>
      </c>
      <c r="O459">
        <v>-4.2729100000000004E-3</v>
      </c>
      <c r="P459">
        <v>0.99303149999999996</v>
      </c>
      <c r="Q459">
        <v>1.991834E-2</v>
      </c>
      <c r="R459">
        <v>0.1161534</v>
      </c>
      <c r="S459">
        <v>3.0326230000000001</v>
      </c>
      <c r="T459">
        <v>-0.1179086</v>
      </c>
      <c r="U459">
        <v>-8.0413819999999997E-2</v>
      </c>
      <c r="V459">
        <v>-0.1203973</v>
      </c>
      <c r="W459">
        <v>3.3553810000000003E-2</v>
      </c>
      <c r="X459">
        <v>0.9921586</v>
      </c>
      <c r="Y459">
        <v>2.2221330000000001E-2</v>
      </c>
      <c r="Z459">
        <v>-2.656925E-4</v>
      </c>
      <c r="AA459">
        <v>0.99975309999999995</v>
      </c>
      <c r="AB459">
        <v>15</v>
      </c>
      <c r="AC459">
        <v>29.6191999999999</v>
      </c>
      <c r="AD459">
        <v>-1.1549130000000001</v>
      </c>
      <c r="AE459">
        <v>-0.78730000000001599</v>
      </c>
      <c r="AF459">
        <v>0.65971835178868499</v>
      </c>
      <c r="AG459">
        <v>-1.1549130000000001</v>
      </c>
      <c r="AH459">
        <v>29.577356892026899</v>
      </c>
      <c r="AI459">
        <v>92.235548365077307</v>
      </c>
      <c r="AJ459">
        <v>88.722238406579805</v>
      </c>
      <c r="AK459">
        <v>29.607247306353699</v>
      </c>
      <c r="AL459">
        <v>88.0771474288089</v>
      </c>
      <c r="AM459">
        <v>96.918947250316293</v>
      </c>
      <c r="AN459">
        <v>1.00000002778338</v>
      </c>
    </row>
    <row r="460" spans="1:40" x14ac:dyDescent="0.3">
      <c r="A460" t="str">
        <f>"20200111145923393"</f>
        <v>20200111145923393</v>
      </c>
      <c r="B460" t="str">
        <f>"1578725963386290"</f>
        <v>1578725963386290</v>
      </c>
      <c r="C460" t="s">
        <v>40</v>
      </c>
      <c r="D460">
        <v>4.2339070000000003</v>
      </c>
      <c r="E460">
        <v>0.55407229999999996</v>
      </c>
      <c r="F460" t="s">
        <v>43</v>
      </c>
      <c r="G460">
        <v>-414.40460000000002</v>
      </c>
      <c r="H460">
        <v>-0.05</v>
      </c>
      <c r="I460">
        <v>366.40210000000002</v>
      </c>
      <c r="J460">
        <v>-443.73590000000002</v>
      </c>
      <c r="K460">
        <v>1.1049089999999999</v>
      </c>
      <c r="L460">
        <v>367.17779999999999</v>
      </c>
      <c r="M460">
        <v>0.99989660000000002</v>
      </c>
      <c r="N460">
        <v>0</v>
      </c>
      <c r="O460">
        <v>-4.2158550000000001E-3</v>
      </c>
      <c r="P460">
        <v>0.99299340000000003</v>
      </c>
      <c r="Q460">
        <v>2.0044240000000001E-2</v>
      </c>
      <c r="R460">
        <v>0.11645809999999999</v>
      </c>
      <c r="S460">
        <v>3.0328059999999999</v>
      </c>
      <c r="T460">
        <v>-0.11887689999999999</v>
      </c>
      <c r="U460">
        <v>-7.9895019999999997E-2</v>
      </c>
      <c r="V460">
        <v>-0.12064510000000001</v>
      </c>
      <c r="W460">
        <v>3.368057E-2</v>
      </c>
      <c r="X460">
        <v>0.99212420000000001</v>
      </c>
      <c r="Y460">
        <v>2.2105710000000001E-2</v>
      </c>
      <c r="Z460">
        <v>-2.6782770000000002E-4</v>
      </c>
      <c r="AA460">
        <v>0.99975559999999997</v>
      </c>
      <c r="AB460">
        <v>15</v>
      </c>
      <c r="AC460">
        <v>29.331299999999999</v>
      </c>
      <c r="AD460">
        <v>-1.154909</v>
      </c>
      <c r="AE460">
        <v>-0.77569999999997197</v>
      </c>
      <c r="AF460">
        <v>0.65101630425976198</v>
      </c>
      <c r="AG460">
        <v>-1.154909</v>
      </c>
      <c r="AH460">
        <v>29.288933147561298</v>
      </c>
      <c r="AI460">
        <v>92.257536412156298</v>
      </c>
      <c r="AJ460">
        <v>88.726674494721195</v>
      </c>
      <c r="AK460">
        <v>29.3189229329627</v>
      </c>
      <c r="AL460">
        <v>88.069880502434103</v>
      </c>
      <c r="AM460">
        <v>96.933287318547599</v>
      </c>
      <c r="AN460">
        <v>1.00000002458758</v>
      </c>
    </row>
    <row r="461" spans="1:40" x14ac:dyDescent="0.3">
      <c r="A461" t="str">
        <f>"20200111145923405"</f>
        <v>20200111145923405</v>
      </c>
      <c r="B461" t="str">
        <f>"1578725963396051"</f>
        <v>1578725963396051</v>
      </c>
      <c r="C461" t="s">
        <v>40</v>
      </c>
      <c r="D461">
        <v>4.1671379999999996</v>
      </c>
      <c r="E461">
        <v>0.55405009999999999</v>
      </c>
      <c r="F461" t="s">
        <v>43</v>
      </c>
      <c r="G461">
        <v>-414.46969999999999</v>
      </c>
      <c r="H461">
        <v>-0.05</v>
      </c>
      <c r="I461">
        <v>366.41219999999998</v>
      </c>
      <c r="J461">
        <v>-443.6515</v>
      </c>
      <c r="K461">
        <v>1.1049089999999999</v>
      </c>
      <c r="L461">
        <v>367.17750000000001</v>
      </c>
      <c r="M461">
        <v>0.99989680000000003</v>
      </c>
      <c r="N461">
        <v>0</v>
      </c>
      <c r="O461">
        <v>-4.1799990000000002E-3</v>
      </c>
      <c r="P461">
        <v>0.99299479999999996</v>
      </c>
      <c r="Q461">
        <v>1.9846289999999999E-2</v>
      </c>
      <c r="R461">
        <v>0.11647979999999999</v>
      </c>
      <c r="S461">
        <v>3.0328979999999999</v>
      </c>
      <c r="T461">
        <v>-0.11968520000000001</v>
      </c>
      <c r="U461">
        <v>-7.9345700000000005E-2</v>
      </c>
      <c r="V461">
        <v>-0.1206313</v>
      </c>
      <c r="W461">
        <v>3.3482320000000003E-2</v>
      </c>
      <c r="X461">
        <v>0.99213249999999997</v>
      </c>
      <c r="Y461">
        <v>2.195971E-2</v>
      </c>
      <c r="Z461">
        <v>-2.6817509999999998E-4</v>
      </c>
      <c r="AA461">
        <v>0.99975879999999995</v>
      </c>
      <c r="AB461">
        <v>15</v>
      </c>
      <c r="AC461">
        <v>29.181799999999999</v>
      </c>
      <c r="AD461">
        <v>-1.154909</v>
      </c>
      <c r="AE461">
        <v>-0.76530000000002396</v>
      </c>
      <c r="AF461">
        <v>0.64229656499909105</v>
      </c>
      <c r="AG461">
        <v>-1.154909</v>
      </c>
      <c r="AH461">
        <v>29.139135383777099</v>
      </c>
      <c r="AI461">
        <v>92.269139077153795</v>
      </c>
      <c r="AJ461">
        <v>88.737267818535102</v>
      </c>
      <c r="AK461">
        <v>29.169085871685802</v>
      </c>
      <c r="AL461">
        <v>88.081245632401902</v>
      </c>
      <c r="AM461">
        <v>96.932444540211506</v>
      </c>
      <c r="AN461">
        <v>0.99999993692425904</v>
      </c>
    </row>
    <row r="462" spans="1:40" x14ac:dyDescent="0.3">
      <c r="A462" t="str">
        <f>"20200111145923418"</f>
        <v>20200111145923418</v>
      </c>
      <c r="B462" t="str">
        <f>"1578725963405810"</f>
        <v>1578725963405810</v>
      </c>
      <c r="C462" t="s">
        <v>40</v>
      </c>
      <c r="D462">
        <v>4.2501910000000001</v>
      </c>
      <c r="E462">
        <v>0.55403440000000004</v>
      </c>
      <c r="F462" t="s">
        <v>43</v>
      </c>
      <c r="G462">
        <v>-414.56869999999998</v>
      </c>
      <c r="H462">
        <v>-0.05</v>
      </c>
      <c r="I462">
        <v>366.42099999999999</v>
      </c>
      <c r="J462">
        <v>-443.56810000000002</v>
      </c>
      <c r="K462">
        <v>1.1049059999999999</v>
      </c>
      <c r="L462">
        <v>367.17720000000003</v>
      </c>
      <c r="M462">
        <v>0.99989689999999998</v>
      </c>
      <c r="N462">
        <v>0</v>
      </c>
      <c r="O462">
        <v>-4.1455700000000003E-3</v>
      </c>
      <c r="P462">
        <v>0.99301859999999997</v>
      </c>
      <c r="Q462">
        <v>1.9803459999999998E-2</v>
      </c>
      <c r="R462">
        <v>0.1162836</v>
      </c>
      <c r="S462">
        <v>3.0327760000000001</v>
      </c>
      <c r="T462">
        <v>-0.120435</v>
      </c>
      <c r="U462">
        <v>-7.8887940000000004E-2</v>
      </c>
      <c r="V462">
        <v>-0.12040099999999999</v>
      </c>
      <c r="W462">
        <v>3.344039E-2</v>
      </c>
      <c r="X462">
        <v>0.99216190000000004</v>
      </c>
      <c r="Y462">
        <v>2.1844280000000001E-2</v>
      </c>
      <c r="Z462">
        <v>-2.6894089999999999E-4</v>
      </c>
      <c r="AA462">
        <v>0.99976129999999996</v>
      </c>
      <c r="AB462">
        <v>15</v>
      </c>
      <c r="AC462">
        <v>28.999400000000001</v>
      </c>
      <c r="AD462">
        <v>-1.154906</v>
      </c>
      <c r="AE462">
        <v>-0.75620000000003496</v>
      </c>
      <c r="AF462">
        <v>0.63495671062062697</v>
      </c>
      <c r="AG462">
        <v>-1.154906</v>
      </c>
      <c r="AH462">
        <v>28.956391035199999</v>
      </c>
      <c r="AI462">
        <v>92.283444354215007</v>
      </c>
      <c r="AJ462">
        <v>88.743817546010106</v>
      </c>
      <c r="AK462">
        <v>28.986368514814099</v>
      </c>
      <c r="AL462">
        <v>88.083649412181003</v>
      </c>
      <c r="AM462">
        <v>96.919135028822197</v>
      </c>
      <c r="AN462">
        <v>0.99999994814797899</v>
      </c>
    </row>
    <row r="463" spans="1:40" x14ac:dyDescent="0.3">
      <c r="A463" t="str">
        <f>"20200111145923430"</f>
        <v>20200111145923430</v>
      </c>
      <c r="B463" t="str">
        <f>"1578725963426307"</f>
        <v>1578725963426307</v>
      </c>
      <c r="C463" t="s">
        <v>40</v>
      </c>
      <c r="D463">
        <v>4.2066699999999999</v>
      </c>
      <c r="E463">
        <v>0.55410579999999998</v>
      </c>
      <c r="F463" t="s">
        <v>43</v>
      </c>
      <c r="G463">
        <v>-414.59309999999999</v>
      </c>
      <c r="H463">
        <v>-0.05</v>
      </c>
      <c r="I463">
        <v>366.41879999999998</v>
      </c>
      <c r="J463">
        <v>-443.49340000000001</v>
      </c>
      <c r="K463">
        <v>1.104908</v>
      </c>
      <c r="L463">
        <v>367.17689999999999</v>
      </c>
      <c r="M463">
        <v>0.99989709999999998</v>
      </c>
      <c r="N463">
        <v>0</v>
      </c>
      <c r="O463">
        <v>-4.1154249999999998E-3</v>
      </c>
      <c r="P463">
        <v>0.99300540000000004</v>
      </c>
      <c r="Q463">
        <v>1.9741129999999999E-2</v>
      </c>
      <c r="R463">
        <v>0.11640730000000001</v>
      </c>
      <c r="S463">
        <v>3.0328059999999999</v>
      </c>
      <c r="T463">
        <v>-0.12088409999999999</v>
      </c>
      <c r="U463">
        <v>-7.9376219999999997E-2</v>
      </c>
      <c r="V463">
        <v>-0.120495</v>
      </c>
      <c r="W463">
        <v>3.3377480000000001E-2</v>
      </c>
      <c r="X463">
        <v>0.9921527</v>
      </c>
      <c r="Y463">
        <v>2.2034729999999999E-2</v>
      </c>
      <c r="Z463">
        <v>-2.7493409999999999E-4</v>
      </c>
      <c r="AA463">
        <v>0.99975720000000001</v>
      </c>
      <c r="AB463">
        <v>15</v>
      </c>
      <c r="AC463">
        <v>28.900300000000001</v>
      </c>
      <c r="AD463">
        <v>-1.154908</v>
      </c>
      <c r="AE463">
        <v>-0.75810000000001299</v>
      </c>
      <c r="AF463">
        <v>0.63812697615082903</v>
      </c>
      <c r="AG463">
        <v>-1.154908</v>
      </c>
      <c r="AH463">
        <v>28.857123848511598</v>
      </c>
      <c r="AI463">
        <v>92.291285569869103</v>
      </c>
      <c r="AJ463">
        <v>88.733206231026799</v>
      </c>
      <c r="AK463">
        <v>28.8872742801132</v>
      </c>
      <c r="AL463">
        <v>88.0872560801361</v>
      </c>
      <c r="AM463">
        <v>96.924548125487306</v>
      </c>
      <c r="AN463">
        <v>1.00000004065671</v>
      </c>
    </row>
    <row r="464" spans="1:40" x14ac:dyDescent="0.3">
      <c r="A464" t="str">
        <f>"20200111145923448"</f>
        <v>20200111145923448</v>
      </c>
      <c r="B464" t="str">
        <f>"1578725963445826"</f>
        <v>1578725963445826</v>
      </c>
      <c r="C464" t="s">
        <v>40</v>
      </c>
      <c r="D464">
        <v>4.1571720000000001</v>
      </c>
      <c r="E464">
        <v>0.55403419999999903</v>
      </c>
      <c r="F464" t="s">
        <v>43</v>
      </c>
      <c r="G464">
        <v>-414.80610000000001</v>
      </c>
      <c r="H464">
        <v>-0.05</v>
      </c>
      <c r="I464">
        <v>366.42349999999999</v>
      </c>
      <c r="J464">
        <v>-443.37119999999999</v>
      </c>
      <c r="K464">
        <v>1.1049040000000001</v>
      </c>
      <c r="L464">
        <v>367.1764</v>
      </c>
      <c r="M464">
        <v>0.99989729999999999</v>
      </c>
      <c r="N464">
        <v>0</v>
      </c>
      <c r="O464">
        <v>-4.0668079999999999E-3</v>
      </c>
      <c r="P464">
        <v>0.99302389999999996</v>
      </c>
      <c r="Q464">
        <v>1.9290640000000001E-2</v>
      </c>
      <c r="R464">
        <v>0.1163256</v>
      </c>
      <c r="S464">
        <v>3.032867</v>
      </c>
      <c r="T464">
        <v>-0.1220987</v>
      </c>
      <c r="U464">
        <v>-7.9650879999999993E-2</v>
      </c>
      <c r="V464">
        <v>-0.12036429999999999</v>
      </c>
      <c r="W464">
        <v>3.2927110000000002E-2</v>
      </c>
      <c r="X464">
        <v>0.99218360000000005</v>
      </c>
      <c r="Y464">
        <v>2.2172850000000001E-2</v>
      </c>
      <c r="Z464">
        <v>-2.8242330000000001E-4</v>
      </c>
      <c r="AA464">
        <v>0.99975409999999998</v>
      </c>
      <c r="AB464">
        <v>15</v>
      </c>
      <c r="AC464">
        <v>28.565099999999902</v>
      </c>
      <c r="AD464">
        <v>-1.1549039999999999</v>
      </c>
      <c r="AE464">
        <v>-0.752900000000011</v>
      </c>
      <c r="AF464">
        <v>0.63567564964457801</v>
      </c>
      <c r="AG464">
        <v>-1.1549039999999999</v>
      </c>
      <c r="AH464">
        <v>28.521336372595702</v>
      </c>
      <c r="AI464">
        <v>92.318215097451699</v>
      </c>
      <c r="AJ464">
        <v>88.723218909658598</v>
      </c>
      <c r="AK464">
        <v>28.551786551098999</v>
      </c>
      <c r="AL464">
        <v>88.1130745471891</v>
      </c>
      <c r="AM464">
        <v>96.916896593457594</v>
      </c>
      <c r="AN464">
        <v>1.0000000276982</v>
      </c>
    </row>
    <row r="465" spans="1:40" x14ac:dyDescent="0.3">
      <c r="A465" t="str">
        <f>"20200111145923459"</f>
        <v>20200111145923459</v>
      </c>
      <c r="B465" t="str">
        <f>"1578725963456562"</f>
        <v>1578725963456562</v>
      </c>
      <c r="C465" t="s">
        <v>40</v>
      </c>
      <c r="D465">
        <v>4.292262</v>
      </c>
      <c r="E465">
        <v>0.55416909999999997</v>
      </c>
      <c r="F465" t="s">
        <v>43</v>
      </c>
      <c r="G465">
        <v>-415.10270000000003</v>
      </c>
      <c r="H465">
        <v>-0.05</v>
      </c>
      <c r="I465">
        <v>366.43819999999999</v>
      </c>
      <c r="J465">
        <v>-443.29610000000002</v>
      </c>
      <c r="K465">
        <v>1.1049040000000001</v>
      </c>
      <c r="L465">
        <v>367.17619999999999</v>
      </c>
      <c r="M465">
        <v>0.99989740000000005</v>
      </c>
      <c r="N465">
        <v>0</v>
      </c>
      <c r="O465">
        <v>-4.0373730000000004E-3</v>
      </c>
      <c r="P465">
        <v>0.9930464</v>
      </c>
      <c r="Q465">
        <v>1.9493739999999999E-2</v>
      </c>
      <c r="R465">
        <v>0.11609899999999999</v>
      </c>
      <c r="S465">
        <v>3.0327760000000001</v>
      </c>
      <c r="T465">
        <v>-0.12390329999999999</v>
      </c>
      <c r="U465">
        <v>-7.9193120000000006E-2</v>
      </c>
      <c r="V465">
        <v>-0.1201089</v>
      </c>
      <c r="W465">
        <v>3.3130130000000001E-2</v>
      </c>
      <c r="X465">
        <v>0.99220779999999997</v>
      </c>
      <c r="Y465">
        <v>2.2051919999999999E-2</v>
      </c>
      <c r="Z465">
        <v>-2.8533619999999998E-4</v>
      </c>
      <c r="AA465">
        <v>0.9997568</v>
      </c>
      <c r="AB465">
        <v>15</v>
      </c>
      <c r="AC465">
        <v>28.1934</v>
      </c>
      <c r="AD465">
        <v>-1.1549039999999999</v>
      </c>
      <c r="AE465">
        <v>-0.73799999999999899</v>
      </c>
      <c r="AF465">
        <v>0.62311108390592296</v>
      </c>
      <c r="AG465">
        <v>-1.1549039999999999</v>
      </c>
      <c r="AH465">
        <v>28.148947911278501</v>
      </c>
      <c r="AI465">
        <v>92.348857028241</v>
      </c>
      <c r="AJ465">
        <v>88.731895568764301</v>
      </c>
      <c r="AK465">
        <v>28.1795198536805</v>
      </c>
      <c r="AL465">
        <v>88.101436023954903</v>
      </c>
      <c r="AM465">
        <v>96.902194701837303</v>
      </c>
      <c r="AN465">
        <v>1.0000000358769301</v>
      </c>
    </row>
    <row r="466" spans="1:40" x14ac:dyDescent="0.3">
      <c r="A466" t="str">
        <f>"20200111145923472"</f>
        <v>20200111145923472</v>
      </c>
      <c r="B466" t="str">
        <f>"1578725963466322"</f>
        <v>1578725963466322</v>
      </c>
      <c r="C466" t="s">
        <v>40</v>
      </c>
      <c r="D466">
        <v>4.2062670000000004</v>
      </c>
      <c r="E466">
        <v>0.55413210000000002</v>
      </c>
      <c r="F466" t="s">
        <v>43</v>
      </c>
      <c r="G466">
        <v>-414.9538</v>
      </c>
      <c r="H466">
        <v>-0.05</v>
      </c>
      <c r="I466">
        <v>366.41609999999997</v>
      </c>
      <c r="J466">
        <v>-443.2133</v>
      </c>
      <c r="K466">
        <v>1.1049040000000001</v>
      </c>
      <c r="L466">
        <v>367.17579999999998</v>
      </c>
      <c r="M466">
        <v>0.99989760000000005</v>
      </c>
      <c r="N466">
        <v>0</v>
      </c>
      <c r="O466">
        <v>-4.0049580000000003E-3</v>
      </c>
      <c r="P466">
        <v>0.99305310000000002</v>
      </c>
      <c r="Q466">
        <v>1.9683249999999999E-2</v>
      </c>
      <c r="R466">
        <v>0.1160089</v>
      </c>
      <c r="S466">
        <v>3.0329280000000001</v>
      </c>
      <c r="T466">
        <v>-0.12358669999999999</v>
      </c>
      <c r="U466">
        <v>-8.1329349999999995E-2</v>
      </c>
      <c r="V466">
        <v>-0.1199866</v>
      </c>
      <c r="W466">
        <v>3.3318859999999999E-2</v>
      </c>
      <c r="X466">
        <v>0.99221619999999999</v>
      </c>
      <c r="Y466">
        <v>2.2786130000000002E-2</v>
      </c>
      <c r="Z466">
        <v>-3.0086110000000001E-4</v>
      </c>
      <c r="AA466">
        <v>0.99974030000000003</v>
      </c>
      <c r="AB466">
        <v>15</v>
      </c>
      <c r="AC466">
        <v>28.259499999999999</v>
      </c>
      <c r="AD466">
        <v>-1.1549039999999999</v>
      </c>
      <c r="AE466">
        <v>-0.75970000000000903</v>
      </c>
      <c r="AF466">
        <v>0.64542791168981295</v>
      </c>
      <c r="AG466">
        <v>-1.1549039999999999</v>
      </c>
      <c r="AH466">
        <v>28.2152257489366</v>
      </c>
      <c r="AI466">
        <v>92.343306790643894</v>
      </c>
      <c r="AJ466">
        <v>88.689578194116905</v>
      </c>
      <c r="AK466">
        <v>28.2462270843711</v>
      </c>
      <c r="AL466">
        <v>88.090616471922999</v>
      </c>
      <c r="AM466">
        <v>96.895176476220698</v>
      </c>
      <c r="AN466">
        <v>0.99999995907684802</v>
      </c>
    </row>
    <row r="467" spans="1:40" x14ac:dyDescent="0.3">
      <c r="A467" t="str">
        <f>"20200111145923483"</f>
        <v>20200111145923483</v>
      </c>
      <c r="B467" t="str">
        <f>"1578725963476082"</f>
        <v>1578725963476082</v>
      </c>
      <c r="C467" t="s">
        <v>40</v>
      </c>
      <c r="D467">
        <v>4.3050819999999996</v>
      </c>
      <c r="E467">
        <v>0.55422590000000005</v>
      </c>
      <c r="F467" t="s">
        <v>43</v>
      </c>
      <c r="G467">
        <v>-414.96010000000001</v>
      </c>
      <c r="H467">
        <v>-0.05</v>
      </c>
      <c r="I467">
        <v>366.4228</v>
      </c>
      <c r="J467">
        <v>-443.1318</v>
      </c>
      <c r="K467">
        <v>1.1049009999999999</v>
      </c>
      <c r="L467">
        <v>367.17559999999997</v>
      </c>
      <c r="M467">
        <v>0.9998977</v>
      </c>
      <c r="N467">
        <v>0</v>
      </c>
      <c r="O467">
        <v>-3.9734949999999996E-3</v>
      </c>
      <c r="P467">
        <v>0.99308439999999998</v>
      </c>
      <c r="Q467">
        <v>1.9822280000000001E-2</v>
      </c>
      <c r="R467">
        <v>0.1157186</v>
      </c>
      <c r="S467">
        <v>3.0329280000000001</v>
      </c>
      <c r="T467">
        <v>-0.1239772</v>
      </c>
      <c r="U467">
        <v>-8.0841060000000006E-2</v>
      </c>
      <c r="V467">
        <v>-0.1196653</v>
      </c>
      <c r="W467">
        <v>3.3458010000000003E-2</v>
      </c>
      <c r="X467">
        <v>0.99225039999999998</v>
      </c>
      <c r="Y467">
        <v>2.2656740000000002E-2</v>
      </c>
      <c r="Z467">
        <v>-3.0045400000000002E-4</v>
      </c>
      <c r="AA467">
        <v>0.9997433</v>
      </c>
      <c r="AB467">
        <v>15</v>
      </c>
      <c r="AC467">
        <v>28.171699999999898</v>
      </c>
      <c r="AD467">
        <v>-1.154901</v>
      </c>
      <c r="AE467">
        <v>-0.75279999999997904</v>
      </c>
      <c r="AF467">
        <v>0.63976895208222695</v>
      </c>
      <c r="AG467">
        <v>-1.154901</v>
      </c>
      <c r="AH467">
        <v>28.1272322968995</v>
      </c>
      <c r="AI467">
        <v>92.350630239376798</v>
      </c>
      <c r="AJ467">
        <v>88.6970015058602</v>
      </c>
      <c r="AK467">
        <v>28.1582012443195</v>
      </c>
      <c r="AL467">
        <v>88.082639470238803</v>
      </c>
      <c r="AM467">
        <v>96.876654871562593</v>
      </c>
      <c r="AN467">
        <v>1.0000000393787001</v>
      </c>
    </row>
    <row r="468" spans="1:40" x14ac:dyDescent="0.3">
      <c r="A468" t="str">
        <f>"20200111145923495"</f>
        <v>20200111145923495</v>
      </c>
      <c r="B468" t="str">
        <f>"1578725963485842"</f>
        <v>1578725963485842</v>
      </c>
      <c r="C468" t="s">
        <v>40</v>
      </c>
      <c r="D468">
        <v>4.3775180000000002</v>
      </c>
      <c r="E468">
        <v>0.55442089999999999</v>
      </c>
      <c r="F468" t="s">
        <v>43</v>
      </c>
      <c r="G468">
        <v>-414.92880000000002</v>
      </c>
      <c r="H468">
        <v>-0.05</v>
      </c>
      <c r="I468">
        <v>366.40570000000002</v>
      </c>
      <c r="J468">
        <v>-443.05329999999998</v>
      </c>
      <c r="K468">
        <v>1.104903</v>
      </c>
      <c r="L468">
        <v>367.17529999999999</v>
      </c>
      <c r="M468">
        <v>0.99989779999999995</v>
      </c>
      <c r="N468">
        <v>0</v>
      </c>
      <c r="O468">
        <v>-3.9433380000000002E-3</v>
      </c>
      <c r="P468">
        <v>0.99312730000000005</v>
      </c>
      <c r="Q468">
        <v>1.9979589999999998E-2</v>
      </c>
      <c r="R468">
        <v>0.1153212</v>
      </c>
      <c r="S468">
        <v>3.0330509999999999</v>
      </c>
      <c r="T468">
        <v>-0.1242021</v>
      </c>
      <c r="U468">
        <v>-8.2794190000000004E-2</v>
      </c>
      <c r="V468">
        <v>-0.11923739999999999</v>
      </c>
      <c r="W468">
        <v>3.3615289999999999E-2</v>
      </c>
      <c r="X468">
        <v>0.99229659999999997</v>
      </c>
      <c r="Y468">
        <v>2.3328479999999999E-2</v>
      </c>
      <c r="Z468">
        <v>-3.159638E-4</v>
      </c>
      <c r="AA468">
        <v>0.99972780000000006</v>
      </c>
      <c r="AB468">
        <v>15</v>
      </c>
      <c r="AC468">
        <v>28.124499999999902</v>
      </c>
      <c r="AD468">
        <v>-1.154903</v>
      </c>
      <c r="AE468">
        <v>-0.76959999999996798</v>
      </c>
      <c r="AF468">
        <v>0.65757113437480397</v>
      </c>
      <c r="AG468">
        <v>-1.154903</v>
      </c>
      <c r="AH468">
        <v>28.080001957386301</v>
      </c>
      <c r="AI468">
        <v>92.354547133699498</v>
      </c>
      <c r="AJ468">
        <v>88.658505581002402</v>
      </c>
      <c r="AK468">
        <v>28.111433806602399</v>
      </c>
      <c r="AL468">
        <v>88.073622927037903</v>
      </c>
      <c r="AM468">
        <v>96.851983494640393</v>
      </c>
      <c r="AN468">
        <v>1.0000000438260499</v>
      </c>
    </row>
    <row r="469" spans="1:40" x14ac:dyDescent="0.3">
      <c r="A469" t="str">
        <f>"20200111145923509"</f>
        <v>20200111145923509</v>
      </c>
      <c r="B469" t="str">
        <f>"1578725963506338"</f>
        <v>1578725963506338</v>
      </c>
      <c r="C469" t="s">
        <v>40</v>
      </c>
      <c r="D469">
        <v>4.2002670000000002</v>
      </c>
      <c r="E469">
        <v>0.55441370000000001</v>
      </c>
      <c r="F469" t="s">
        <v>43</v>
      </c>
      <c r="G469">
        <v>-415.06939999999997</v>
      </c>
      <c r="H469">
        <v>-0.05</v>
      </c>
      <c r="I469">
        <v>366.38810000000001</v>
      </c>
      <c r="J469">
        <v>-442.971</v>
      </c>
      <c r="K469">
        <v>1.104903</v>
      </c>
      <c r="L469">
        <v>367.17500000000001</v>
      </c>
      <c r="M469">
        <v>0.99989799999999995</v>
      </c>
      <c r="N469">
        <v>0</v>
      </c>
      <c r="O469">
        <v>-3.9118679999999998E-3</v>
      </c>
      <c r="P469">
        <v>0.99315070000000005</v>
      </c>
      <c r="Q469">
        <v>2.0204779999999999E-2</v>
      </c>
      <c r="R469">
        <v>0.1150793</v>
      </c>
      <c r="S469">
        <v>3.0332029999999999</v>
      </c>
      <c r="T469">
        <v>-0.12518080000000001</v>
      </c>
      <c r="U469">
        <v>-8.5327150000000004E-2</v>
      </c>
      <c r="V469">
        <v>-0.1189644</v>
      </c>
      <c r="W469">
        <v>3.383974E-2</v>
      </c>
      <c r="X469">
        <v>0.99232169999999997</v>
      </c>
      <c r="Y469">
        <v>2.419176E-2</v>
      </c>
      <c r="Z469">
        <v>-3.3753269999999903E-4</v>
      </c>
      <c r="AA469">
        <v>0.99970729999999997</v>
      </c>
      <c r="AB469">
        <v>15</v>
      </c>
      <c r="AC469">
        <v>27.901599999999998</v>
      </c>
      <c r="AD469">
        <v>-1.154903</v>
      </c>
      <c r="AE469">
        <v>-0.78690000000000204</v>
      </c>
      <c r="AF469">
        <v>0.67657804474314598</v>
      </c>
      <c r="AG469">
        <v>-1.154903</v>
      </c>
      <c r="AH469">
        <v>27.856775997648398</v>
      </c>
      <c r="AI469">
        <v>92.373344276344497</v>
      </c>
      <c r="AJ469">
        <v>88.608688717380701</v>
      </c>
      <c r="AK469">
        <v>27.888914065864999</v>
      </c>
      <c r="AL469">
        <v>88.060755496536501</v>
      </c>
      <c r="AM469">
        <v>96.836272892171195</v>
      </c>
      <c r="AN469">
        <v>1.0000000063807499</v>
      </c>
    </row>
    <row r="470" spans="1:40" x14ac:dyDescent="0.3">
      <c r="A470" t="str">
        <f>"20200111145923526"</f>
        <v>20200111145923526</v>
      </c>
      <c r="B470" t="str">
        <f>"1578725963516098"</f>
        <v>1578725963516098</v>
      </c>
      <c r="C470" t="s">
        <v>40</v>
      </c>
      <c r="D470">
        <v>4.2789539999999997</v>
      </c>
      <c r="E470">
        <v>0.55442910000000001</v>
      </c>
      <c r="F470" t="s">
        <v>43</v>
      </c>
      <c r="G470">
        <v>-415.10210000000001</v>
      </c>
      <c r="H470">
        <v>-0.05</v>
      </c>
      <c r="I470">
        <v>366.38679999999999</v>
      </c>
      <c r="J470">
        <v>-442.85329999999999</v>
      </c>
      <c r="K470">
        <v>1.1049070000000001</v>
      </c>
      <c r="L470">
        <v>367.1746</v>
      </c>
      <c r="M470">
        <v>0.99989819999999996</v>
      </c>
      <c r="N470">
        <v>0</v>
      </c>
      <c r="O470">
        <v>-3.8672810000000002E-3</v>
      </c>
      <c r="P470">
        <v>0.99319950000000001</v>
      </c>
      <c r="Q470">
        <v>2.0371839999999999E-2</v>
      </c>
      <c r="R470">
        <v>0.1146306</v>
      </c>
      <c r="S470">
        <v>3.0331419999999998</v>
      </c>
      <c r="T470">
        <v>-0.12569530000000001</v>
      </c>
      <c r="U470">
        <v>-8.5784910000000006E-2</v>
      </c>
      <c r="V470">
        <v>-0.1184716</v>
      </c>
      <c r="W470">
        <v>3.4005590000000002E-2</v>
      </c>
      <c r="X470">
        <v>0.99237500000000001</v>
      </c>
      <c r="Y470">
        <v>2.4387309999999999E-2</v>
      </c>
      <c r="Z470">
        <v>-3.4482080000000002E-4</v>
      </c>
      <c r="AA470">
        <v>0.99970250000000005</v>
      </c>
      <c r="AB470">
        <v>15</v>
      </c>
      <c r="AC470">
        <v>27.751199999999901</v>
      </c>
      <c r="AD470">
        <v>-1.1549069999999999</v>
      </c>
      <c r="AE470">
        <v>-0.78780000000000405</v>
      </c>
      <c r="AF470">
        <v>0.67928676536284605</v>
      </c>
      <c r="AG470">
        <v>-1.1549069999999999</v>
      </c>
      <c r="AH470">
        <v>27.706092977710998</v>
      </c>
      <c r="AI470">
        <v>92.386232016672906</v>
      </c>
      <c r="AJ470">
        <v>88.595526655752096</v>
      </c>
      <c r="AK470">
        <v>27.738471997891601</v>
      </c>
      <c r="AL470">
        <v>88.051247546654096</v>
      </c>
      <c r="AM470">
        <v>96.807858331795501</v>
      </c>
      <c r="AN470">
        <v>1.0000000203913999</v>
      </c>
    </row>
    <row r="471" spans="1:40" x14ac:dyDescent="0.3">
      <c r="A471" t="str">
        <f>"20200111145923538"</f>
        <v>20200111145923538</v>
      </c>
      <c r="B471" t="str">
        <f>"1578725963536594"</f>
        <v>1578725963536594</v>
      </c>
      <c r="C471" t="s">
        <v>40</v>
      </c>
      <c r="D471">
        <v>4.257244</v>
      </c>
      <c r="E471">
        <v>0.5545388</v>
      </c>
      <c r="F471" t="s">
        <v>43</v>
      </c>
      <c r="G471">
        <v>-414.94330000000002</v>
      </c>
      <c r="H471">
        <v>-0.05</v>
      </c>
      <c r="I471">
        <v>366.3698</v>
      </c>
      <c r="J471">
        <v>-442.77260000000001</v>
      </c>
      <c r="K471">
        <v>1.1049070000000001</v>
      </c>
      <c r="L471">
        <v>367.17430000000002</v>
      </c>
      <c r="M471">
        <v>0.99989839999999997</v>
      </c>
      <c r="N471">
        <v>0</v>
      </c>
      <c r="O471">
        <v>-3.8369960000000001E-3</v>
      </c>
      <c r="P471">
        <v>0.99320169999999997</v>
      </c>
      <c r="Q471">
        <v>2.0528950000000001E-2</v>
      </c>
      <c r="R471">
        <v>0.1145835</v>
      </c>
      <c r="S471">
        <v>3.0331730000000001</v>
      </c>
      <c r="T471">
        <v>-0.1255117</v>
      </c>
      <c r="U471">
        <v>-8.7463379999999993E-2</v>
      </c>
      <c r="V471">
        <v>-0.11839479999999999</v>
      </c>
      <c r="W471">
        <v>3.4161900000000002E-2</v>
      </c>
      <c r="X471">
        <v>0.99237880000000001</v>
      </c>
      <c r="Y471">
        <v>2.496959E-2</v>
      </c>
      <c r="Z471">
        <v>-3.5760330000000001E-4</v>
      </c>
      <c r="AA471">
        <v>0.99968809999999997</v>
      </c>
      <c r="AB471">
        <v>15</v>
      </c>
      <c r="AC471">
        <v>27.8292999999999</v>
      </c>
      <c r="AD471">
        <v>-1.1549069999999999</v>
      </c>
      <c r="AE471">
        <v>-0.80450000000001798</v>
      </c>
      <c r="AF471">
        <v>0.69650456538188699</v>
      </c>
      <c r="AG471">
        <v>-1.1549069999999999</v>
      </c>
      <c r="AH471">
        <v>27.7843713193495</v>
      </c>
      <c r="AI471">
        <v>92.379484474351401</v>
      </c>
      <c r="AJ471">
        <v>88.563997890859795</v>
      </c>
      <c r="AK471">
        <v>27.8170850090325</v>
      </c>
      <c r="AL471">
        <v>88.042286442812397</v>
      </c>
      <c r="AM471">
        <v>96.803460665616299</v>
      </c>
      <c r="AN471">
        <v>1.00000002338404</v>
      </c>
    </row>
    <row r="472" spans="1:40" x14ac:dyDescent="0.3">
      <c r="A472" t="str">
        <f>"20200111145923550"</f>
        <v>20200111145923550</v>
      </c>
      <c r="B472" t="str">
        <f>"1578725963546354"</f>
        <v>1578725963546354</v>
      </c>
      <c r="C472" t="s">
        <v>40</v>
      </c>
      <c r="D472">
        <v>4.2901889999999998</v>
      </c>
      <c r="E472">
        <v>0.554558199999999</v>
      </c>
      <c r="F472" t="s">
        <v>43</v>
      </c>
      <c r="G472">
        <v>-414.92930000000001</v>
      </c>
      <c r="H472">
        <v>-0.05</v>
      </c>
      <c r="I472">
        <v>366.36189999999999</v>
      </c>
      <c r="J472">
        <v>-442.70159999999998</v>
      </c>
      <c r="K472">
        <v>1.10491299999999</v>
      </c>
      <c r="L472">
        <v>367.17410000000001</v>
      </c>
      <c r="M472">
        <v>0.99989859999999997</v>
      </c>
      <c r="N472">
        <v>0</v>
      </c>
      <c r="O472">
        <v>-3.810169E-3</v>
      </c>
      <c r="P472">
        <v>0.99322679999999997</v>
      </c>
      <c r="Q472">
        <v>2.0772519999999999E-2</v>
      </c>
      <c r="R472">
        <v>0.114320699999999</v>
      </c>
      <c r="S472">
        <v>3.033325</v>
      </c>
      <c r="T472">
        <v>-0.1258186</v>
      </c>
      <c r="U472">
        <v>-8.8500980000000007E-2</v>
      </c>
      <c r="V472">
        <v>-0.1181051</v>
      </c>
      <c r="W472">
        <v>3.4404459999999998E-2</v>
      </c>
      <c r="X472">
        <v>0.99240490000000003</v>
      </c>
      <c r="Y472">
        <v>2.5336210000000001E-2</v>
      </c>
      <c r="Z472">
        <v>-3.6716780000000001E-4</v>
      </c>
      <c r="AA472">
        <v>0.99967890000000004</v>
      </c>
      <c r="AB472">
        <v>15</v>
      </c>
      <c r="AC472">
        <v>27.772299999999898</v>
      </c>
      <c r="AD472">
        <v>-1.1549130000000001</v>
      </c>
      <c r="AE472">
        <v>-0.81220000000001802</v>
      </c>
      <c r="AF472">
        <v>0.70514860013905101</v>
      </c>
      <c r="AG472">
        <v>-1.1549130000000001</v>
      </c>
      <c r="AH472">
        <v>27.727284964759399</v>
      </c>
      <c r="AI472">
        <v>92.384368366295902</v>
      </c>
      <c r="AJ472">
        <v>88.543191951996306</v>
      </c>
      <c r="AK472">
        <v>27.760284402412399</v>
      </c>
      <c r="AL472">
        <v>88.028380525792898</v>
      </c>
      <c r="AM472">
        <v>96.786791937783093</v>
      </c>
      <c r="AN472">
        <v>0.99999998352895503</v>
      </c>
    </row>
    <row r="473" spans="1:40" x14ac:dyDescent="0.3">
      <c r="A473" t="str">
        <f>"20200111145923562"</f>
        <v>20200111145923562</v>
      </c>
      <c r="B473" t="str">
        <f>"1578725963556115"</f>
        <v>1578725963556115</v>
      </c>
      <c r="C473" t="s">
        <v>40</v>
      </c>
      <c r="D473">
        <v>4.2558429999999996</v>
      </c>
      <c r="E473">
        <v>0.55458929999999995</v>
      </c>
      <c r="F473" t="s">
        <v>43</v>
      </c>
      <c r="G473">
        <v>-414.80669999999998</v>
      </c>
      <c r="H473">
        <v>-0.05</v>
      </c>
      <c r="I473">
        <v>366.35210000000001</v>
      </c>
      <c r="J473">
        <v>-442.61869999999999</v>
      </c>
      <c r="K473">
        <v>1.1049119999999999</v>
      </c>
      <c r="L473">
        <v>367.17380000000003</v>
      </c>
      <c r="M473">
        <v>0.99989859999999997</v>
      </c>
      <c r="N473">
        <v>0</v>
      </c>
      <c r="O473">
        <v>-3.7784530000000002E-3</v>
      </c>
      <c r="P473">
        <v>0.99324679999999999</v>
      </c>
      <c r="Q473">
        <v>2.0828960000000001E-2</v>
      </c>
      <c r="R473">
        <v>0.1141368</v>
      </c>
      <c r="S473">
        <v>3.0333860000000001</v>
      </c>
      <c r="T473">
        <v>-0.12558920000000001</v>
      </c>
      <c r="U473">
        <v>-8.9385989999999999E-2</v>
      </c>
      <c r="V473">
        <v>-0.1178901</v>
      </c>
      <c r="W473">
        <v>3.4459740000000003E-2</v>
      </c>
      <c r="X473">
        <v>0.99242850000000005</v>
      </c>
      <c r="Y473">
        <v>2.5658500000000001E-2</v>
      </c>
      <c r="Z473">
        <v>-3.7447009999999999E-4</v>
      </c>
      <c r="AA473">
        <v>0.99967070000000002</v>
      </c>
      <c r="AB473">
        <v>15</v>
      </c>
      <c r="AC473">
        <v>27.812000000000001</v>
      </c>
      <c r="AD473">
        <v>-1.1549119999999999</v>
      </c>
      <c r="AE473">
        <v>-0.82170000000002097</v>
      </c>
      <c r="AF473">
        <v>0.71536540496706902</v>
      </c>
      <c r="AG473">
        <v>-1.1549119999999999</v>
      </c>
      <c r="AH473">
        <v>27.7670672200681</v>
      </c>
      <c r="AI473">
        <v>92.380933956561606</v>
      </c>
      <c r="AJ473">
        <v>88.524210226659207</v>
      </c>
      <c r="AK473">
        <v>27.8002804193438</v>
      </c>
      <c r="AL473">
        <v>88.025211246857694</v>
      </c>
      <c r="AM473">
        <v>96.774392505267201</v>
      </c>
      <c r="AN473">
        <v>0.99999993848556101</v>
      </c>
    </row>
    <row r="474" spans="1:40" x14ac:dyDescent="0.3">
      <c r="A474" t="str">
        <f>"20200111145923574"</f>
        <v>20200111145923574</v>
      </c>
      <c r="B474" t="str">
        <f>"1578725963565875"</f>
        <v>1578725963565875</v>
      </c>
      <c r="C474" t="s">
        <v>40</v>
      </c>
      <c r="D474">
        <v>4.2768959999999998</v>
      </c>
      <c r="E474">
        <v>0.55460949999999998</v>
      </c>
      <c r="F474" t="s">
        <v>43</v>
      </c>
      <c r="G474">
        <v>-414.77780000000001</v>
      </c>
      <c r="H474">
        <v>-0.05</v>
      </c>
      <c r="I474">
        <v>366.3458</v>
      </c>
      <c r="J474">
        <v>-442.53579999999999</v>
      </c>
      <c r="K474">
        <v>1.104914</v>
      </c>
      <c r="L474">
        <v>367.17349999999999</v>
      </c>
      <c r="M474">
        <v>0.99989870000000003</v>
      </c>
      <c r="N474">
        <v>0</v>
      </c>
      <c r="O474">
        <v>-3.746975E-3</v>
      </c>
      <c r="P474">
        <v>0.99324319999999999</v>
      </c>
      <c r="Q474">
        <v>2.0772260000000001E-2</v>
      </c>
      <c r="R474">
        <v>0.11417769999999999</v>
      </c>
      <c r="S474">
        <v>3.0334469999999998</v>
      </c>
      <c r="T474">
        <v>-0.12583530000000001</v>
      </c>
      <c r="U474">
        <v>-9.0209960000000006E-2</v>
      </c>
      <c r="V474">
        <v>-0.1178998</v>
      </c>
      <c r="W474">
        <v>3.4401609999999999E-2</v>
      </c>
      <c r="X474">
        <v>0.99242940000000002</v>
      </c>
      <c r="Y474">
        <v>2.5960319999999999E-2</v>
      </c>
      <c r="Z474">
        <v>-3.8275530000000002E-4</v>
      </c>
      <c r="AA474">
        <v>0.99966290000000002</v>
      </c>
      <c r="AB474">
        <v>15</v>
      </c>
      <c r="AC474">
        <v>27.7579999999999</v>
      </c>
      <c r="AD474">
        <v>-1.154914</v>
      </c>
      <c r="AE474">
        <v>-0.827699999999992</v>
      </c>
      <c r="AF474">
        <v>0.72242636606632005</v>
      </c>
      <c r="AG474">
        <v>-1.154914</v>
      </c>
      <c r="AH474">
        <v>27.712975365966798</v>
      </c>
      <c r="AI474">
        <v>92.385561143051802</v>
      </c>
      <c r="AJ474">
        <v>88.506742451964001</v>
      </c>
      <c r="AK474">
        <v>27.746436344807702</v>
      </c>
      <c r="AL474">
        <v>88.028543896294593</v>
      </c>
      <c r="AM474">
        <v>96.774938634647498</v>
      </c>
      <c r="AN474">
        <v>0.99999997379749495</v>
      </c>
    </row>
    <row r="475" spans="1:40" x14ac:dyDescent="0.3">
      <c r="A475" t="str">
        <f>"20200111145923586"</f>
        <v>20200111145923586</v>
      </c>
      <c r="B475" t="str">
        <f>"1578725963576611"</f>
        <v>1578725963576611</v>
      </c>
      <c r="C475" t="s">
        <v>40</v>
      </c>
      <c r="D475">
        <v>4.2770199999999896</v>
      </c>
      <c r="E475">
        <v>0.55459609999999904</v>
      </c>
      <c r="F475" t="s">
        <v>43</v>
      </c>
      <c r="G475">
        <v>-414.81330000000003</v>
      </c>
      <c r="H475">
        <v>-0.05</v>
      </c>
      <c r="I475">
        <v>366.34820000000002</v>
      </c>
      <c r="J475">
        <v>-442.46039999999999</v>
      </c>
      <c r="K475">
        <v>1.1049150000000001</v>
      </c>
      <c r="L475">
        <v>367.17320000000001</v>
      </c>
      <c r="M475">
        <v>0.99989890000000003</v>
      </c>
      <c r="N475">
        <v>0</v>
      </c>
      <c r="O475">
        <v>-3.7181219999999999E-3</v>
      </c>
      <c r="P475">
        <v>0.99325370000000002</v>
      </c>
      <c r="Q475">
        <v>2.081715E-2</v>
      </c>
      <c r="R475">
        <v>0.1140789</v>
      </c>
      <c r="S475">
        <v>3.0334469999999998</v>
      </c>
      <c r="T475">
        <v>-0.12637269999999901</v>
      </c>
      <c r="U475">
        <v>-9.0301510000000001E-2</v>
      </c>
      <c r="V475">
        <v>-0.1177723</v>
      </c>
      <c r="W475">
        <v>3.4445450000000002E-2</v>
      </c>
      <c r="X475">
        <v>0.99244299999999996</v>
      </c>
      <c r="Y475">
        <v>2.6019069999999998E-2</v>
      </c>
      <c r="Z475">
        <v>-3.868125E-4</v>
      </c>
      <c r="AA475">
        <v>0.99966140000000003</v>
      </c>
      <c r="AB475">
        <v>15</v>
      </c>
      <c r="AC475">
        <v>27.647099999999899</v>
      </c>
      <c r="AD475">
        <v>-1.1549149999999999</v>
      </c>
      <c r="AE475">
        <v>-0.82499999999998797</v>
      </c>
      <c r="AF475">
        <v>0.72093239909226403</v>
      </c>
      <c r="AG475">
        <v>-1.1549149999999999</v>
      </c>
      <c r="AH475">
        <v>27.601853612709998</v>
      </c>
      <c r="AI475">
        <v>92.3951528647912</v>
      </c>
      <c r="AJ475">
        <v>88.5038325645084</v>
      </c>
      <c r="AK475">
        <v>27.635410165922199</v>
      </c>
      <c r="AL475">
        <v>88.026030524464502</v>
      </c>
      <c r="AM475">
        <v>96.767588146690898</v>
      </c>
      <c r="AN475">
        <v>0.999999955960995</v>
      </c>
    </row>
    <row r="476" spans="1:40" x14ac:dyDescent="0.3">
      <c r="A476" t="str">
        <f>"20200111145923600"</f>
        <v>20200111145923600</v>
      </c>
      <c r="B476" t="str">
        <f>"1578725963596130"</f>
        <v>1578725963596130</v>
      </c>
      <c r="C476" t="s">
        <v>40</v>
      </c>
      <c r="D476">
        <v>4.3059390000000004</v>
      </c>
      <c r="E476">
        <v>0.55462469999999997</v>
      </c>
      <c r="F476" t="s">
        <v>43</v>
      </c>
      <c r="G476">
        <v>-414.78089999999997</v>
      </c>
      <c r="H476">
        <v>-0.05</v>
      </c>
      <c r="I476">
        <v>366.34640000000002</v>
      </c>
      <c r="J476">
        <v>-442.37110000000001</v>
      </c>
      <c r="K476">
        <v>1.104916</v>
      </c>
      <c r="L476">
        <v>367.17290000000003</v>
      </c>
      <c r="M476">
        <v>0.99989910000000004</v>
      </c>
      <c r="N476">
        <v>0</v>
      </c>
      <c r="O476">
        <v>-3.6837850000000002E-3</v>
      </c>
      <c r="P476">
        <v>0.99323620000000001</v>
      </c>
      <c r="Q476">
        <v>2.1075719999999999E-2</v>
      </c>
      <c r="R476">
        <v>0.1141843</v>
      </c>
      <c r="S476">
        <v>3.033417</v>
      </c>
      <c r="T476">
        <v>-0.1265676</v>
      </c>
      <c r="U476">
        <v>-9.0606690000000004E-2</v>
      </c>
      <c r="V476">
        <v>-0.1178437</v>
      </c>
      <c r="W476">
        <v>3.4702789999999997E-2</v>
      </c>
      <c r="X476">
        <v>0.99242560000000002</v>
      </c>
      <c r="Y476">
        <v>2.615398E-2</v>
      </c>
      <c r="Z476">
        <v>-3.9165640000000002E-4</v>
      </c>
      <c r="AA476">
        <v>0.99965789999999999</v>
      </c>
      <c r="AB476">
        <v>15</v>
      </c>
      <c r="AC476">
        <v>27.590199999999999</v>
      </c>
      <c r="AD476">
        <v>-1.1549160000000001</v>
      </c>
      <c r="AE476">
        <v>-0.82650000000001</v>
      </c>
      <c r="AF476">
        <v>0.72358171497741997</v>
      </c>
      <c r="AG476">
        <v>-1.1549160000000001</v>
      </c>
      <c r="AH476">
        <v>27.544836082121499</v>
      </c>
      <c r="AI476">
        <v>92.4000976622916</v>
      </c>
      <c r="AJ476">
        <v>88.495229892103794</v>
      </c>
      <c r="AK476">
        <v>27.5785314376282</v>
      </c>
      <c r="AL476">
        <v>88.011277287855407</v>
      </c>
      <c r="AM476">
        <v>96.771770562771707</v>
      </c>
      <c r="AN476">
        <v>0.99999999639941695</v>
      </c>
    </row>
    <row r="477" spans="1:40" x14ac:dyDescent="0.3">
      <c r="A477" t="str">
        <f>"20200111145923616"</f>
        <v>20200111145923616</v>
      </c>
      <c r="B477" t="str">
        <f>"1578725963605893"</f>
        <v>1578725963605893</v>
      </c>
      <c r="C477" t="s">
        <v>40</v>
      </c>
      <c r="D477">
        <v>4.2717960000000001</v>
      </c>
      <c r="E477">
        <v>0.55464060000000004</v>
      </c>
      <c r="F477" t="s">
        <v>43</v>
      </c>
      <c r="G477">
        <v>-414.7029</v>
      </c>
      <c r="H477">
        <v>-0.05</v>
      </c>
      <c r="I477">
        <v>366.34879999999998</v>
      </c>
      <c r="J477">
        <v>-442.26569999999998</v>
      </c>
      <c r="K477">
        <v>1.1049209999999901</v>
      </c>
      <c r="L477">
        <v>367.17259999999999</v>
      </c>
      <c r="M477">
        <v>0.99989910000000004</v>
      </c>
      <c r="N477">
        <v>0</v>
      </c>
      <c r="O477">
        <v>-3.6434779999999999E-3</v>
      </c>
      <c r="P477">
        <v>0.99320909999999996</v>
      </c>
      <c r="Q477">
        <v>2.1516380000000002E-2</v>
      </c>
      <c r="R477">
        <v>0.1143361</v>
      </c>
      <c r="S477">
        <v>3.0335390000000002</v>
      </c>
      <c r="T477">
        <v>-0.1266245</v>
      </c>
      <c r="U477">
        <v>-9.036255E-2</v>
      </c>
      <c r="V477">
        <v>-0.1179554</v>
      </c>
      <c r="W477">
        <v>3.5140730000000002E-2</v>
      </c>
      <c r="X477">
        <v>0.99239699999999997</v>
      </c>
      <c r="Y477">
        <v>2.6112679999999999E-2</v>
      </c>
      <c r="Z477">
        <v>-3.9263699999999999E-4</v>
      </c>
      <c r="AA477">
        <v>0.99965890000000002</v>
      </c>
      <c r="AB477">
        <v>15</v>
      </c>
      <c r="AC477">
        <v>27.5627999999999</v>
      </c>
      <c r="AD477">
        <v>-1.1549210000000001</v>
      </c>
      <c r="AE477">
        <v>-0.82380000000000497</v>
      </c>
      <c r="AF477">
        <v>0.722093937560225</v>
      </c>
      <c r="AG477">
        <v>-1.1549210000000001</v>
      </c>
      <c r="AH477">
        <v>27.5173488647713</v>
      </c>
      <c r="AI477">
        <v>92.402504464963698</v>
      </c>
      <c r="AJ477">
        <v>88.496823130233196</v>
      </c>
      <c r="AK477">
        <v>27.5510390133736</v>
      </c>
      <c r="AL477">
        <v>87.9861700208683</v>
      </c>
      <c r="AM477">
        <v>96.778323122213095</v>
      </c>
      <c r="AN477">
        <v>1.00000007645154</v>
      </c>
    </row>
    <row r="478" spans="1:40" x14ac:dyDescent="0.3">
      <c r="A478" t="str">
        <f>"20200111145923629"</f>
        <v>20200111145923629</v>
      </c>
      <c r="B478" t="str">
        <f>"1578725963626387"</f>
        <v>1578725963626387</v>
      </c>
      <c r="C478" t="s">
        <v>40</v>
      </c>
      <c r="D478">
        <v>4.3199889999999996</v>
      </c>
      <c r="E478">
        <v>0.5546392</v>
      </c>
      <c r="F478" t="s">
        <v>43</v>
      </c>
      <c r="G478">
        <v>-414.4194</v>
      </c>
      <c r="H478">
        <v>-0.05</v>
      </c>
      <c r="I478">
        <v>366.34699999999998</v>
      </c>
      <c r="J478">
        <v>-442.1823</v>
      </c>
      <c r="K478">
        <v>1.1049230000000001</v>
      </c>
      <c r="L478">
        <v>367.17239999999998</v>
      </c>
      <c r="M478">
        <v>0.99989930000000005</v>
      </c>
      <c r="N478">
        <v>0</v>
      </c>
      <c r="O478">
        <v>-3.6111630000000001E-3</v>
      </c>
      <c r="P478">
        <v>0.99321539999999997</v>
      </c>
      <c r="Q478">
        <v>2.1519070000000001E-2</v>
      </c>
      <c r="R478">
        <v>0.1142813</v>
      </c>
      <c r="S478">
        <v>3.0335999999999999</v>
      </c>
      <c r="T478">
        <v>-0.12581789999999901</v>
      </c>
      <c r="U478">
        <v>-8.9935299999999996E-2</v>
      </c>
      <c r="V478">
        <v>-0.1178683</v>
      </c>
      <c r="W478">
        <v>3.5141690000000003E-2</v>
      </c>
      <c r="X478">
        <v>0.99240729999999999</v>
      </c>
      <c r="Y478">
        <v>2.6004039999999999E-2</v>
      </c>
      <c r="Z478">
        <v>-3.8921920000000002E-4</v>
      </c>
      <c r="AA478">
        <v>0.99966169999999999</v>
      </c>
      <c r="AB478">
        <v>15</v>
      </c>
      <c r="AC478">
        <v>27.762899999999998</v>
      </c>
      <c r="AD478">
        <v>-1.1549229999999999</v>
      </c>
      <c r="AE478">
        <v>-0.82540000000000102</v>
      </c>
      <c r="AF478">
        <v>0.72387723981032004</v>
      </c>
      <c r="AG478">
        <v>-1.1549229999999999</v>
      </c>
      <c r="AH478">
        <v>27.717776096815101</v>
      </c>
      <c r="AI478">
        <v>92.385164034381603</v>
      </c>
      <c r="AJ478">
        <v>88.504003887600902</v>
      </c>
      <c r="AK478">
        <v>27.7512694691147</v>
      </c>
      <c r="AL478">
        <v>87.986114953425997</v>
      </c>
      <c r="AM478">
        <v>96.773294782501907</v>
      </c>
      <c r="AN478">
        <v>1.0000000618071101</v>
      </c>
    </row>
    <row r="479" spans="1:40" x14ac:dyDescent="0.3">
      <c r="A479" t="str">
        <f>"20200111145923642"</f>
        <v>20200111145923642</v>
      </c>
      <c r="B479" t="str">
        <f>"1578725963636146"</f>
        <v>1578725963636146</v>
      </c>
      <c r="C479" t="s">
        <v>40</v>
      </c>
      <c r="D479">
        <v>4.3278679999999996</v>
      </c>
      <c r="E479">
        <v>0.55462299999999998</v>
      </c>
      <c r="F479" t="s">
        <v>43</v>
      </c>
      <c r="G479">
        <v>-414.5154</v>
      </c>
      <c r="H479">
        <v>-0.05</v>
      </c>
      <c r="I479">
        <v>366.34989999999999</v>
      </c>
      <c r="J479">
        <v>-442.10160000000002</v>
      </c>
      <c r="K479">
        <v>1.1049230000000001</v>
      </c>
      <c r="L479">
        <v>367.1721</v>
      </c>
      <c r="M479">
        <v>0.99989939999999999</v>
      </c>
      <c r="N479">
        <v>0</v>
      </c>
      <c r="O479">
        <v>-3.579802E-3</v>
      </c>
      <c r="P479">
        <v>0.99322120000000003</v>
      </c>
      <c r="Q479">
        <v>2.1605289999999999E-2</v>
      </c>
      <c r="R479">
        <v>0.11421480000000001</v>
      </c>
      <c r="S479">
        <v>3.0335999999999999</v>
      </c>
      <c r="T479">
        <v>-0.126634199999999</v>
      </c>
      <c r="U479">
        <v>-9.017944E-2</v>
      </c>
      <c r="V479">
        <v>-0.1177705</v>
      </c>
      <c r="W479">
        <v>3.522699E-2</v>
      </c>
      <c r="X479">
        <v>0.99241579999999996</v>
      </c>
      <c r="Y479">
        <v>2.6115389999999999E-2</v>
      </c>
      <c r="Z479">
        <v>-3.9537289999999999E-4</v>
      </c>
      <c r="AA479">
        <v>0.99965890000000002</v>
      </c>
      <c r="AB479">
        <v>15</v>
      </c>
      <c r="AC479">
        <v>27.586200000000002</v>
      </c>
      <c r="AD479">
        <v>-1.1549229999999999</v>
      </c>
      <c r="AE479">
        <v>-0.82220000000000903</v>
      </c>
      <c r="AF479">
        <v>0.72216763153951002</v>
      </c>
      <c r="AG479">
        <v>-1.1549229999999999</v>
      </c>
      <c r="AH479">
        <v>27.540737355924499</v>
      </c>
      <c r="AI479">
        <v>92.400471952150198</v>
      </c>
      <c r="AJ479">
        <v>88.497945884352802</v>
      </c>
      <c r="AK479">
        <v>27.574400942395599</v>
      </c>
      <c r="AL479">
        <v>87.981224422101207</v>
      </c>
      <c r="AM479">
        <v>96.767669434000496</v>
      </c>
      <c r="AN479">
        <v>0.99999997579217403</v>
      </c>
    </row>
    <row r="480" spans="1:40" x14ac:dyDescent="0.3">
      <c r="A480" t="str">
        <f>"20200111145923653"</f>
        <v>20200111145923653</v>
      </c>
      <c r="B480" t="str">
        <f>"1578725963645906"</f>
        <v>1578725963645906</v>
      </c>
      <c r="C480" t="s">
        <v>40</v>
      </c>
      <c r="D480">
        <v>4.1888170000000002</v>
      </c>
      <c r="E480">
        <v>0.55452000000000001</v>
      </c>
      <c r="F480" t="s">
        <v>43</v>
      </c>
      <c r="G480">
        <v>-414.47739999999999</v>
      </c>
      <c r="H480">
        <v>-0.05</v>
      </c>
      <c r="I480">
        <v>366.35250000000002</v>
      </c>
      <c r="J480">
        <v>-442.02330000000001</v>
      </c>
      <c r="K480">
        <v>1.1049209999999901</v>
      </c>
      <c r="L480">
        <v>367.17180000000002</v>
      </c>
      <c r="M480">
        <v>0.99989969999999995</v>
      </c>
      <c r="N480">
        <v>0</v>
      </c>
      <c r="O480">
        <v>-3.5495129999999998E-3</v>
      </c>
      <c r="P480">
        <v>0.99324780000000001</v>
      </c>
      <c r="Q480">
        <v>2.1566040000000002E-2</v>
      </c>
      <c r="R480">
        <v>0.1139916</v>
      </c>
      <c r="S480">
        <v>3.0335999999999999</v>
      </c>
      <c r="T480">
        <v>-0.12682969999999999</v>
      </c>
      <c r="U480">
        <v>-8.9996339999999994E-2</v>
      </c>
      <c r="V480">
        <v>-0.1175175</v>
      </c>
      <c r="W480">
        <v>3.5186479999999999E-2</v>
      </c>
      <c r="X480">
        <v>0.99244730000000003</v>
      </c>
      <c r="Y480">
        <v>2.608533E-2</v>
      </c>
      <c r="Z480">
        <v>-3.9662049999999999E-4</v>
      </c>
      <c r="AA480">
        <v>0.99965970000000004</v>
      </c>
      <c r="AB480">
        <v>15</v>
      </c>
      <c r="AC480">
        <v>27.5459</v>
      </c>
      <c r="AD480">
        <v>-1.1549210000000001</v>
      </c>
      <c r="AE480">
        <v>-0.81929999999999803</v>
      </c>
      <c r="AF480">
        <v>0.72024612475343697</v>
      </c>
      <c r="AG480">
        <v>-1.1549210000000001</v>
      </c>
      <c r="AH480">
        <v>27.500335113883299</v>
      </c>
      <c r="AI480">
        <v>92.403992294991497</v>
      </c>
      <c r="AJ480">
        <v>88.499740774124902</v>
      </c>
      <c r="AK480">
        <v>27.5339976823626</v>
      </c>
      <c r="AL480">
        <v>87.983547058121601</v>
      </c>
      <c r="AM480">
        <v>96.753052869600594</v>
      </c>
      <c r="AN480">
        <v>1.0000000472291599</v>
      </c>
    </row>
    <row r="481" spans="1:40" x14ac:dyDescent="0.3">
      <c r="A481" t="str">
        <f>"20200111145923672"</f>
        <v>20200111145923672</v>
      </c>
      <c r="B481" t="str">
        <f>"1578725963666402"</f>
        <v>1578725963666402</v>
      </c>
      <c r="C481" t="s">
        <v>40</v>
      </c>
      <c r="D481">
        <v>4.3411960000000001</v>
      </c>
      <c r="E481">
        <v>0.55456130000000003</v>
      </c>
      <c r="F481" t="s">
        <v>43</v>
      </c>
      <c r="G481">
        <v>-414.50069999999999</v>
      </c>
      <c r="H481">
        <v>-0.05</v>
      </c>
      <c r="I481">
        <v>366.35610000000003</v>
      </c>
      <c r="J481">
        <v>-441.90249999999997</v>
      </c>
      <c r="K481">
        <v>1.104922</v>
      </c>
      <c r="L481">
        <v>367.17140000000001</v>
      </c>
      <c r="M481">
        <v>0.99989969999999995</v>
      </c>
      <c r="N481">
        <v>0</v>
      </c>
      <c r="O481">
        <v>-3.5024100000000001E-3</v>
      </c>
      <c r="P481">
        <v>0.9933149</v>
      </c>
      <c r="Q481">
        <v>2.1208629999999999E-2</v>
      </c>
      <c r="R481">
        <v>0.1134722</v>
      </c>
      <c r="S481">
        <v>3.0334469999999998</v>
      </c>
      <c r="T481">
        <v>-0.12729190000000001</v>
      </c>
      <c r="U481">
        <v>-8.9904789999999998E-2</v>
      </c>
      <c r="V481">
        <v>-0.116952</v>
      </c>
      <c r="W481">
        <v>3.4827169999999998E-2</v>
      </c>
      <c r="X481">
        <v>0.99252669999999998</v>
      </c>
      <c r="Y481">
        <v>2.6103560000000001E-2</v>
      </c>
      <c r="Z481">
        <v>-4.0044259999999997E-4</v>
      </c>
      <c r="AA481">
        <v>0.99965919999999997</v>
      </c>
      <c r="AB481">
        <v>15</v>
      </c>
      <c r="AC481">
        <v>27.401799999999898</v>
      </c>
      <c r="AD481">
        <v>-1.154922</v>
      </c>
      <c r="AE481">
        <v>-0.81529999999997904</v>
      </c>
      <c r="AF481">
        <v>0.71803920661281095</v>
      </c>
      <c r="AG481">
        <v>-1.154922</v>
      </c>
      <c r="AH481">
        <v>27.355934872498601</v>
      </c>
      <c r="AI481">
        <v>92.416665381938699</v>
      </c>
      <c r="AJ481">
        <v>88.4964442963729</v>
      </c>
      <c r="AK481">
        <v>27.389717009795898</v>
      </c>
      <c r="AL481">
        <v>88.004146487890694</v>
      </c>
      <c r="AM481">
        <v>96.720322086023103</v>
      </c>
      <c r="AN481">
        <v>0.99999997614354896</v>
      </c>
    </row>
    <row r="482" spans="1:40" x14ac:dyDescent="0.3">
      <c r="A482" t="str">
        <f>"20200111145923684"</f>
        <v>20200111145923684</v>
      </c>
      <c r="B482" t="str">
        <f>"1578725963676162"</f>
        <v>1578725963676162</v>
      </c>
      <c r="C482" t="s">
        <v>40</v>
      </c>
      <c r="D482">
        <v>4.3893890000000004</v>
      </c>
      <c r="E482">
        <v>0.55463490000000004</v>
      </c>
      <c r="F482" t="s">
        <v>43</v>
      </c>
      <c r="G482">
        <v>-414.88690000000003</v>
      </c>
      <c r="H482">
        <v>-0.05</v>
      </c>
      <c r="I482">
        <v>366.35390000000001</v>
      </c>
      <c r="J482">
        <v>-441.82150000000001</v>
      </c>
      <c r="K482">
        <v>1.1049230000000001</v>
      </c>
      <c r="L482">
        <v>367.1712</v>
      </c>
      <c r="M482">
        <v>0.99990000000000001</v>
      </c>
      <c r="N482">
        <v>0</v>
      </c>
      <c r="O482">
        <v>-3.470927E-3</v>
      </c>
      <c r="P482">
        <v>0.99333800000000005</v>
      </c>
      <c r="Q482">
        <v>2.1352980000000001E-2</v>
      </c>
      <c r="R482">
        <v>0.11324289999999899</v>
      </c>
      <c r="S482">
        <v>3.0334780000000001</v>
      </c>
      <c r="T482">
        <v>-0.12968209999999999</v>
      </c>
      <c r="U482">
        <v>-9.1796879999999997E-2</v>
      </c>
      <c r="V482">
        <v>-0.11669110000000001</v>
      </c>
      <c r="W482">
        <v>3.4970130000000002E-2</v>
      </c>
      <c r="X482">
        <v>0.9925524</v>
      </c>
      <c r="Y482">
        <v>2.675632E-2</v>
      </c>
      <c r="Z482">
        <v>-4.2323520000000001E-4</v>
      </c>
      <c r="AA482">
        <v>0.99964189999999997</v>
      </c>
      <c r="AB482">
        <v>15</v>
      </c>
      <c r="AC482">
        <v>26.9345999999999</v>
      </c>
      <c r="AD482">
        <v>-1.1549229999999999</v>
      </c>
      <c r="AE482">
        <v>-0.81729999999998804</v>
      </c>
      <c r="AF482">
        <v>0.722471152481721</v>
      </c>
      <c r="AG482">
        <v>-1.1549229999999999</v>
      </c>
      <c r="AH482">
        <v>26.887884447804101</v>
      </c>
      <c r="AI482">
        <v>92.458643867423703</v>
      </c>
      <c r="AJ482">
        <v>88.460846178527703</v>
      </c>
      <c r="AK482">
        <v>26.9223725139625</v>
      </c>
      <c r="AL482">
        <v>87.995950527871798</v>
      </c>
      <c r="AM482">
        <v>96.705294816907099</v>
      </c>
      <c r="AN482">
        <v>0.99999999477859303</v>
      </c>
    </row>
    <row r="483" spans="1:40" x14ac:dyDescent="0.3">
      <c r="A483" t="str">
        <f>"20200111145923696"</f>
        <v>20200111145923696</v>
      </c>
      <c r="B483" t="str">
        <f>"1578725963685922"</f>
        <v>1578725963685922</v>
      </c>
      <c r="C483" t="s">
        <v>40</v>
      </c>
      <c r="D483">
        <v>4.281244</v>
      </c>
      <c r="E483">
        <v>0.5546141</v>
      </c>
      <c r="F483" t="s">
        <v>43</v>
      </c>
      <c r="G483">
        <v>-414.94060000000002</v>
      </c>
      <c r="H483">
        <v>-0.05</v>
      </c>
      <c r="I483">
        <v>366.34530000000001</v>
      </c>
      <c r="J483">
        <v>-441.74200000000002</v>
      </c>
      <c r="K483">
        <v>1.1049230000000001</v>
      </c>
      <c r="L483">
        <v>367.17099999999999</v>
      </c>
      <c r="M483">
        <v>0.99990020000000002</v>
      </c>
      <c r="N483">
        <v>0</v>
      </c>
      <c r="O483">
        <v>-3.440397E-3</v>
      </c>
      <c r="P483">
        <v>0.99338159999999998</v>
      </c>
      <c r="Q483">
        <v>2.127768E-2</v>
      </c>
      <c r="R483">
        <v>0.1128736</v>
      </c>
      <c r="S483">
        <v>3.033569</v>
      </c>
      <c r="T483">
        <v>-0.1303358</v>
      </c>
      <c r="U483">
        <v>-9.3200679999999994E-2</v>
      </c>
      <c r="V483">
        <v>-0.11629150000000001</v>
      </c>
      <c r="W483">
        <v>3.4894370000000001E-2</v>
      </c>
      <c r="X483">
        <v>0.99260199999999998</v>
      </c>
      <c r="Y483">
        <v>2.7247400000000001E-2</v>
      </c>
      <c r="Z483">
        <v>-4.3720420000000002E-4</v>
      </c>
      <c r="AA483">
        <v>0.99962859999999998</v>
      </c>
      <c r="AB483">
        <v>14</v>
      </c>
      <c r="AC483">
        <v>26.801399999999902</v>
      </c>
      <c r="AD483">
        <v>-1.1549229999999999</v>
      </c>
      <c r="AE483">
        <v>-0.825699999999983</v>
      </c>
      <c r="AF483">
        <v>0.73212080482244102</v>
      </c>
      <c r="AG483">
        <v>-1.1549229999999999</v>
      </c>
      <c r="AH483">
        <v>26.754448834654401</v>
      </c>
      <c r="AI483">
        <v>92.470857911360497</v>
      </c>
      <c r="AJ483">
        <v>88.432523618501506</v>
      </c>
      <c r="AK483">
        <v>26.789370661792699</v>
      </c>
      <c r="AL483">
        <v>88.000293977885903</v>
      </c>
      <c r="AM483">
        <v>96.682210148707</v>
      </c>
      <c r="AN483">
        <v>1.00000003021697</v>
      </c>
    </row>
    <row r="484" spans="1:40" x14ac:dyDescent="0.3">
      <c r="A484" t="str">
        <f>"20200111145923710"</f>
        <v>20200111145923710</v>
      </c>
      <c r="B484" t="str">
        <f>"1578725963706418"</f>
        <v>1578725963706418</v>
      </c>
      <c r="C484" t="s">
        <v>40</v>
      </c>
      <c r="D484">
        <v>4.2433259999999997</v>
      </c>
      <c r="E484">
        <v>0.55463309999999999</v>
      </c>
      <c r="F484" t="s">
        <v>43</v>
      </c>
      <c r="G484">
        <v>-415.1139</v>
      </c>
      <c r="H484">
        <v>-0.05</v>
      </c>
      <c r="I484">
        <v>366.34530000000001</v>
      </c>
      <c r="J484">
        <v>-441.66520000000003</v>
      </c>
      <c r="K484">
        <v>1.104924</v>
      </c>
      <c r="L484">
        <v>367.17070000000001</v>
      </c>
      <c r="M484">
        <v>0.99990020000000002</v>
      </c>
      <c r="N484">
        <v>0</v>
      </c>
      <c r="O484">
        <v>-3.4101090000000001E-3</v>
      </c>
      <c r="P484">
        <v>0.9933805</v>
      </c>
      <c r="Q484">
        <v>2.1296220000000001E-2</v>
      </c>
      <c r="R484">
        <v>0.1128796</v>
      </c>
      <c r="S484">
        <v>3.0335079999999999</v>
      </c>
      <c r="T484">
        <v>-0.13157049999999901</v>
      </c>
      <c r="U484">
        <v>-9.4055180000000002E-2</v>
      </c>
      <c r="V484">
        <v>-0.1162673</v>
      </c>
      <c r="W484">
        <v>3.4910570000000002E-2</v>
      </c>
      <c r="X484">
        <v>0.99260429999999999</v>
      </c>
      <c r="Y484">
        <v>2.7558869999999999E-2</v>
      </c>
      <c r="Z484">
        <v>-4.4941160000000003E-4</v>
      </c>
      <c r="AA484">
        <v>0.99962010000000001</v>
      </c>
      <c r="AB484">
        <v>14</v>
      </c>
      <c r="AC484">
        <v>26.551300000000001</v>
      </c>
      <c r="AD484">
        <v>-1.1549240000000001</v>
      </c>
      <c r="AE484">
        <v>-0.82540000000000102</v>
      </c>
      <c r="AF484">
        <v>0.73345745556073705</v>
      </c>
      <c r="AG484">
        <v>-1.1549240000000001</v>
      </c>
      <c r="AH484">
        <v>26.5038620387013</v>
      </c>
      <c r="AI484">
        <v>92.494170815582095</v>
      </c>
      <c r="AJ484">
        <v>88.414823704133298</v>
      </c>
      <c r="AK484">
        <v>26.5391505563273</v>
      </c>
      <c r="AL484">
        <v>87.999365289356902</v>
      </c>
      <c r="AM484">
        <v>96.680816826481305</v>
      </c>
      <c r="AN484">
        <v>1.00000006466275</v>
      </c>
    </row>
    <row r="485" spans="1:40" x14ac:dyDescent="0.3">
      <c r="A485" t="str">
        <f>"20200111145923723"</f>
        <v>20200111145923723</v>
      </c>
      <c r="B485" t="str">
        <f>"1578725963716179"</f>
        <v>1578725963716179</v>
      </c>
      <c r="C485" t="s">
        <v>40</v>
      </c>
      <c r="D485">
        <v>4.3241440000000004</v>
      </c>
      <c r="E485">
        <v>0.55467979999999995</v>
      </c>
      <c r="F485" t="s">
        <v>43</v>
      </c>
      <c r="G485">
        <v>-415.22410000000002</v>
      </c>
      <c r="H485">
        <v>-0.05</v>
      </c>
      <c r="I485">
        <v>366.34960000000001</v>
      </c>
      <c r="J485">
        <v>-441.57279999999997</v>
      </c>
      <c r="K485">
        <v>1.104924</v>
      </c>
      <c r="L485">
        <v>367.17039999999997</v>
      </c>
      <c r="M485">
        <v>0.99990029999999996</v>
      </c>
      <c r="N485">
        <v>0</v>
      </c>
      <c r="O485">
        <v>-3.3738610000000001E-3</v>
      </c>
      <c r="P485">
        <v>0.99340569999999895</v>
      </c>
      <c r="Q485">
        <v>2.1272869999999999E-2</v>
      </c>
      <c r="R485">
        <v>0.11266130000000001</v>
      </c>
      <c r="S485">
        <v>3.0335390000000002</v>
      </c>
      <c r="T485">
        <v>-0.13250229999999999</v>
      </c>
      <c r="U485">
        <v>-9.4207760000000001E-2</v>
      </c>
      <c r="V485">
        <v>-0.1160132</v>
      </c>
      <c r="W485">
        <v>3.4886260000000002E-2</v>
      </c>
      <c r="X485">
        <v>0.99263480000000004</v>
      </c>
      <c r="Y485">
        <v>2.764459E-2</v>
      </c>
      <c r="Z485">
        <v>-4.5603940000000002E-4</v>
      </c>
      <c r="AA485">
        <v>0.99961770000000005</v>
      </c>
      <c r="AB485">
        <v>14</v>
      </c>
      <c r="AC485">
        <v>26.348699999999901</v>
      </c>
      <c r="AD485">
        <v>-1.1549240000000001</v>
      </c>
      <c r="AE485">
        <v>-0.820799999999962</v>
      </c>
      <c r="AF485">
        <v>0.73048801424940202</v>
      </c>
      <c r="AG485">
        <v>-1.1549240000000001</v>
      </c>
      <c r="AH485">
        <v>26.300837509329199</v>
      </c>
      <c r="AI485">
        <v>92.513392513714606</v>
      </c>
      <c r="AJ485">
        <v>88.409057393932599</v>
      </c>
      <c r="AK485">
        <v>26.336315533439301</v>
      </c>
      <c r="AL485">
        <v>88.000758829176206</v>
      </c>
      <c r="AM485">
        <v>96.666144593458398</v>
      </c>
      <c r="AN485">
        <v>0.99999997994103296</v>
      </c>
    </row>
    <row r="486" spans="1:40" x14ac:dyDescent="0.3">
      <c r="A486" t="str">
        <f>"20200111145923738"</f>
        <v>20200111145923738</v>
      </c>
      <c r="B486" t="str">
        <f>"1578725963725938"</f>
        <v>1578725963725938</v>
      </c>
      <c r="C486" t="s">
        <v>40</v>
      </c>
      <c r="D486">
        <v>4.2762969999999996</v>
      </c>
      <c r="E486">
        <v>0.55478959999999999</v>
      </c>
      <c r="F486" t="s">
        <v>43</v>
      </c>
      <c r="G486">
        <v>-415.2294</v>
      </c>
      <c r="H486">
        <v>-0.05</v>
      </c>
      <c r="I486">
        <v>366.34390000000002</v>
      </c>
      <c r="J486">
        <v>-441.47669999999999</v>
      </c>
      <c r="K486">
        <v>1.1049199999999999</v>
      </c>
      <c r="L486">
        <v>367.17009999999999</v>
      </c>
      <c r="M486">
        <v>0.99990060000000003</v>
      </c>
      <c r="N486">
        <v>0</v>
      </c>
      <c r="O486">
        <v>-3.3365370000000001E-3</v>
      </c>
      <c r="P486">
        <v>0.99341080000000004</v>
      </c>
      <c r="Q486">
        <v>2.1303530000000001E-2</v>
      </c>
      <c r="R486">
        <v>0.112611</v>
      </c>
      <c r="S486">
        <v>3.033569</v>
      </c>
      <c r="T486">
        <v>-0.132995</v>
      </c>
      <c r="U486">
        <v>-9.5184329999999998E-2</v>
      </c>
      <c r="V486">
        <v>-0.115926</v>
      </c>
      <c r="W486">
        <v>3.4914849999999997E-2</v>
      </c>
      <c r="X486">
        <v>0.99264399999999997</v>
      </c>
      <c r="Y486">
        <v>2.8002519999999999E-2</v>
      </c>
      <c r="Z486">
        <v>-4.6720220000000002E-4</v>
      </c>
      <c r="AA486">
        <v>0.99960769999999999</v>
      </c>
      <c r="AB486">
        <v>14</v>
      </c>
      <c r="AC486">
        <v>26.247299999999999</v>
      </c>
      <c r="AD486">
        <v>-1.1549199999999999</v>
      </c>
      <c r="AE486">
        <v>-0.82619999999997096</v>
      </c>
      <c r="AF486">
        <v>0.73718621886089597</v>
      </c>
      <c r="AG486">
        <v>-1.1549199999999999</v>
      </c>
      <c r="AH486">
        <v>26.199235860595699</v>
      </c>
      <c r="AI486">
        <v>92.523092669667705</v>
      </c>
      <c r="AJ486">
        <v>88.388253854784793</v>
      </c>
      <c r="AK486">
        <v>26.2350384677972</v>
      </c>
      <c r="AL486">
        <v>87.999119779370403</v>
      </c>
      <c r="AM486">
        <v>96.661117923574196</v>
      </c>
      <c r="AN486">
        <v>0.999999997481261</v>
      </c>
    </row>
    <row r="487" spans="1:40" x14ac:dyDescent="0.3">
      <c r="A487" t="str">
        <f>"20200111145923751"</f>
        <v>20200111145923751</v>
      </c>
      <c r="B487" t="str">
        <f>"1578725963746434"</f>
        <v>1578725963746434</v>
      </c>
      <c r="C487" t="s">
        <v>40</v>
      </c>
      <c r="D487">
        <v>4.2162670000000002</v>
      </c>
      <c r="E487">
        <v>0.55520639999999999</v>
      </c>
      <c r="F487" t="s">
        <v>43</v>
      </c>
      <c r="G487">
        <v>-415.26209999999998</v>
      </c>
      <c r="H487">
        <v>-0.05</v>
      </c>
      <c r="I487">
        <v>366.33710000000002</v>
      </c>
      <c r="J487">
        <v>-441.39920000000001</v>
      </c>
      <c r="K487">
        <v>1.1049150000000001</v>
      </c>
      <c r="L487">
        <v>367.16989999999998</v>
      </c>
      <c r="M487">
        <v>0.99990060000000003</v>
      </c>
      <c r="N487">
        <v>0</v>
      </c>
      <c r="O487">
        <v>-3.30613E-3</v>
      </c>
      <c r="P487">
        <v>0.99339770000000005</v>
      </c>
      <c r="Q487">
        <v>2.1193409999999999E-2</v>
      </c>
      <c r="R487">
        <v>0.1127478</v>
      </c>
      <c r="S487">
        <v>3.0336609999999999</v>
      </c>
      <c r="T487">
        <v>-0.13365199999999999</v>
      </c>
      <c r="U487">
        <v>-9.6405030000000003E-2</v>
      </c>
      <c r="V487">
        <v>-0.1160325</v>
      </c>
      <c r="W487">
        <v>3.4802859999999998E-2</v>
      </c>
      <c r="X487">
        <v>0.9926355</v>
      </c>
      <c r="Y487">
        <v>2.8433119999999999E-2</v>
      </c>
      <c r="Z487">
        <v>-4.8030799999999998E-4</v>
      </c>
      <c r="AA487">
        <v>0.99959560000000003</v>
      </c>
      <c r="AB487">
        <v>14</v>
      </c>
      <c r="AC487">
        <v>26.1371</v>
      </c>
      <c r="AD487">
        <v>-1.1549149999999999</v>
      </c>
      <c r="AE487">
        <v>-0.83279999999996301</v>
      </c>
      <c r="AF487">
        <v>0.74492171425317899</v>
      </c>
      <c r="AG487">
        <v>-1.1549149999999999</v>
      </c>
      <c r="AH487">
        <v>26.088824641980899</v>
      </c>
      <c r="AI487">
        <v>92.533716091679395</v>
      </c>
      <c r="AJ487">
        <v>88.364461509797295</v>
      </c>
      <c r="AK487">
        <v>26.124997764930399</v>
      </c>
      <c r="AL487">
        <v>88.005540256767702</v>
      </c>
      <c r="AM487">
        <v>96.667238933255703</v>
      </c>
      <c r="AN487">
        <v>1.00000000799033</v>
      </c>
    </row>
    <row r="488" spans="1:40" x14ac:dyDescent="0.3">
      <c r="A488" t="str">
        <f>"20200111145923764"</f>
        <v>20200111145923764</v>
      </c>
      <c r="B488" t="str">
        <f>"1578725963756194"</f>
        <v>1578725963756194</v>
      </c>
      <c r="C488" t="s">
        <v>40</v>
      </c>
      <c r="D488">
        <v>4.2343950000000001</v>
      </c>
      <c r="E488">
        <v>0.55548489999999995</v>
      </c>
      <c r="F488" t="s">
        <v>43</v>
      </c>
      <c r="G488">
        <v>-415.52960000000002</v>
      </c>
      <c r="H488">
        <v>-0.05</v>
      </c>
      <c r="I488">
        <v>366.3245</v>
      </c>
      <c r="J488">
        <v>-441.31349999999998</v>
      </c>
      <c r="K488">
        <v>1.104895</v>
      </c>
      <c r="L488">
        <v>367.16969999999998</v>
      </c>
      <c r="M488">
        <v>0.9999017</v>
      </c>
      <c r="N488">
        <v>0</v>
      </c>
      <c r="O488">
        <v>-3.2724849999999999E-3</v>
      </c>
      <c r="P488">
        <v>0.99336329999999995</v>
      </c>
      <c r="Q488">
        <v>2.136176E-2</v>
      </c>
      <c r="R488">
        <v>0.1130187</v>
      </c>
      <c r="S488">
        <v>3.034119</v>
      </c>
      <c r="T488">
        <v>-0.13545450000000001</v>
      </c>
      <c r="U488">
        <v>-9.9151610000000001E-2</v>
      </c>
      <c r="V488">
        <v>-0.1162702</v>
      </c>
      <c r="W488">
        <v>3.4896740000000002E-2</v>
      </c>
      <c r="X488">
        <v>0.99260440000000005</v>
      </c>
      <c r="Y488">
        <v>2.9364270000000001E-2</v>
      </c>
      <c r="Z488">
        <v>-5.0896950000000002E-4</v>
      </c>
      <c r="AA488">
        <v>0.99956860000000003</v>
      </c>
      <c r="AB488">
        <v>14</v>
      </c>
      <c r="AC488">
        <v>25.7838999999999</v>
      </c>
      <c r="AD488">
        <v>-1.154895</v>
      </c>
      <c r="AE488">
        <v>-0.84519999999997697</v>
      </c>
      <c r="AF488">
        <v>0.75928850723972496</v>
      </c>
      <c r="AG488">
        <v>-1.154895</v>
      </c>
      <c r="AH488">
        <v>25.734952419868002</v>
      </c>
      <c r="AI488">
        <v>92.568394820040496</v>
      </c>
      <c r="AJ488">
        <v>88.310025625353006</v>
      </c>
      <c r="AK488">
        <v>25.772040616744299</v>
      </c>
      <c r="AL488">
        <v>88.000158080469006</v>
      </c>
      <c r="AM488">
        <v>96.680981289572401</v>
      </c>
      <c r="AN488">
        <v>1.00000001838501</v>
      </c>
    </row>
    <row r="489" spans="1:40" x14ac:dyDescent="0.3">
      <c r="A489" t="str">
        <f>"20200111145923775"</f>
        <v>20200111145923775</v>
      </c>
      <c r="B489" t="str">
        <f>"1578725963765954"</f>
        <v>1578725963765954</v>
      </c>
      <c r="C489" t="s">
        <v>40</v>
      </c>
      <c r="D489">
        <v>4.1841369999999998</v>
      </c>
      <c r="E489">
        <v>0.55575140000000001</v>
      </c>
      <c r="F489" t="s">
        <v>43</v>
      </c>
      <c r="G489">
        <v>-415.55110000000002</v>
      </c>
      <c r="H489">
        <v>-0.05</v>
      </c>
      <c r="I489">
        <v>366.3159</v>
      </c>
      <c r="J489">
        <v>-441.23570000000001</v>
      </c>
      <c r="K489">
        <v>1.1048249999999999</v>
      </c>
      <c r="L489">
        <v>367.16950000000003</v>
      </c>
      <c r="M489">
        <v>0.99990540000000006</v>
      </c>
      <c r="N489">
        <v>0</v>
      </c>
      <c r="O489">
        <v>-3.241481E-3</v>
      </c>
      <c r="P489">
        <v>0.99333099999999996</v>
      </c>
      <c r="Q489">
        <v>2.1533429999999999E-2</v>
      </c>
      <c r="R489">
        <v>0.11327</v>
      </c>
      <c r="S489">
        <v>3.034424</v>
      </c>
      <c r="T489">
        <v>-0.13602919999999999</v>
      </c>
      <c r="U489">
        <v>-0.1005554</v>
      </c>
      <c r="V489">
        <v>-0.1164902</v>
      </c>
      <c r="W489">
        <v>3.4803340000000002E-2</v>
      </c>
      <c r="X489">
        <v>0.99258179999999996</v>
      </c>
      <c r="Y489">
        <v>2.9853190000000002E-2</v>
      </c>
      <c r="Z489">
        <v>-5.2341110000000003E-4</v>
      </c>
      <c r="AA489">
        <v>0.99955419999999995</v>
      </c>
      <c r="AB489">
        <v>14</v>
      </c>
      <c r="AC489">
        <v>25.6845999999999</v>
      </c>
      <c r="AD489">
        <v>-1.154825</v>
      </c>
      <c r="AE489">
        <v>-0.853600000000028</v>
      </c>
      <c r="AF489">
        <v>0.768779512909745</v>
      </c>
      <c r="AG489">
        <v>-1.154825</v>
      </c>
      <c r="AH489">
        <v>25.6354657454009</v>
      </c>
      <c r="AI489">
        <v>92.578155718842595</v>
      </c>
      <c r="AJ489">
        <v>88.282277199449496</v>
      </c>
      <c r="AK489">
        <v>25.6729769739256</v>
      </c>
      <c r="AL489">
        <v>88.005512591350595</v>
      </c>
      <c r="AM489">
        <v>96.693659093734894</v>
      </c>
      <c r="AN489">
        <v>0.99999993443121504</v>
      </c>
    </row>
    <row r="490" spans="1:40" x14ac:dyDescent="0.3">
      <c r="A490" t="str">
        <f>"20200111145923787"</f>
        <v>20200111145923787</v>
      </c>
      <c r="B490" t="str">
        <f>"1578725963776690"</f>
        <v>1578725963776690</v>
      </c>
      <c r="C490" t="s">
        <v>40</v>
      </c>
      <c r="D490">
        <v>6.9005289999999997</v>
      </c>
      <c r="E490">
        <v>0.55575140000000001</v>
      </c>
      <c r="F490" t="s">
        <v>43</v>
      </c>
      <c r="G490">
        <v>-415.46179999999998</v>
      </c>
      <c r="H490">
        <v>-0.05</v>
      </c>
      <c r="I490">
        <v>366.3048</v>
      </c>
      <c r="J490">
        <v>-441.16090000000003</v>
      </c>
      <c r="K490">
        <v>1.1047260000000001</v>
      </c>
      <c r="L490">
        <v>367.16930000000002</v>
      </c>
      <c r="M490">
        <v>0.99990880000000004</v>
      </c>
      <c r="N490">
        <v>0</v>
      </c>
      <c r="O490">
        <v>-3.211293E-3</v>
      </c>
      <c r="P490">
        <v>0.99330359999999995</v>
      </c>
      <c r="Q490">
        <v>2.1921759999999998E-2</v>
      </c>
      <c r="R490">
        <v>0.113433199999999</v>
      </c>
      <c r="S490">
        <v>3.0346980000000001</v>
      </c>
      <c r="T490">
        <v>-0.1359726</v>
      </c>
      <c r="U490">
        <v>-0.1018066</v>
      </c>
      <c r="V490">
        <v>-0.11662309999999999</v>
      </c>
      <c r="W490">
        <v>3.4935819999999999E-2</v>
      </c>
      <c r="X490">
        <v>0.99256160000000004</v>
      </c>
      <c r="Y490">
        <v>3.029159E-2</v>
      </c>
      <c r="Z490">
        <v>-5.3430860000000004E-4</v>
      </c>
      <c r="AA490">
        <v>0.99954100000000001</v>
      </c>
      <c r="AB490">
        <v>14</v>
      </c>
      <c r="AC490">
        <v>25.699100000000001</v>
      </c>
      <c r="AD490">
        <v>-1.1547259999999999</v>
      </c>
      <c r="AE490">
        <v>-0.86450000000002003</v>
      </c>
      <c r="AF490">
        <v>0.78038733079953204</v>
      </c>
      <c r="AG490">
        <v>-1.1547259999999999</v>
      </c>
      <c r="AH490">
        <v>25.650016719872301</v>
      </c>
      <c r="AI490">
        <v>92.576440716202995</v>
      </c>
      <c r="AJ490">
        <v>88.257345697905393</v>
      </c>
      <c r="AK490">
        <v>25.687852270107701</v>
      </c>
      <c r="AL490">
        <v>87.997917547217895</v>
      </c>
      <c r="AM490">
        <v>96.7013614047044</v>
      </c>
      <c r="AN490">
        <v>0.99999999438362097</v>
      </c>
    </row>
    <row r="491" spans="1:40" x14ac:dyDescent="0.3">
      <c r="A491" t="str">
        <f>"20200111145923805"</f>
        <v>20200111145923805</v>
      </c>
      <c r="B491" t="str">
        <f>"1578725963796210"</f>
        <v>1578725963796210</v>
      </c>
      <c r="C491" t="s">
        <v>40</v>
      </c>
      <c r="D491">
        <v>4.2581429999999996</v>
      </c>
      <c r="E491">
        <v>0.5652549</v>
      </c>
      <c r="F491" t="s">
        <v>43</v>
      </c>
      <c r="G491">
        <v>-415.17380000000003</v>
      </c>
      <c r="H491">
        <v>-0.05</v>
      </c>
      <c r="I491">
        <v>366.30110000000002</v>
      </c>
      <c r="J491">
        <v>-441.03890000000001</v>
      </c>
      <c r="K491">
        <v>1.1045039999999999</v>
      </c>
      <c r="L491">
        <v>367.16890000000001</v>
      </c>
      <c r="M491">
        <v>0.99991319999999995</v>
      </c>
      <c r="N491">
        <v>0</v>
      </c>
      <c r="O491">
        <v>-3.1620720000000001E-3</v>
      </c>
      <c r="P491">
        <v>0.99326150000000002</v>
      </c>
      <c r="Q491">
        <v>2.2317900000000002E-2</v>
      </c>
      <c r="R491">
        <v>0.1137261</v>
      </c>
      <c r="S491">
        <v>3.0347599999999999</v>
      </c>
      <c r="T491">
        <v>-0.134848</v>
      </c>
      <c r="U491">
        <v>-0.10137939999999999</v>
      </c>
      <c r="V491">
        <v>-0.1168675</v>
      </c>
      <c r="W491">
        <v>3.50216E-2</v>
      </c>
      <c r="X491">
        <v>0.99252989999999996</v>
      </c>
      <c r="Y491">
        <v>3.0200069999999999E-2</v>
      </c>
      <c r="Z491">
        <v>-5.3003860000000002E-4</v>
      </c>
      <c r="AA491">
        <v>0.99954370000000003</v>
      </c>
      <c r="AB491">
        <v>15</v>
      </c>
      <c r="AC491">
        <v>25.865099999999899</v>
      </c>
      <c r="AD491">
        <v>-1.154504</v>
      </c>
      <c r="AE491">
        <v>-0.86779999999998803</v>
      </c>
      <c r="AF491">
        <v>0.78444054981719802</v>
      </c>
      <c r="AG491">
        <v>-1.154504</v>
      </c>
      <c r="AH491">
        <v>25.816337957038499</v>
      </c>
      <c r="AI491">
        <v>92.559375740580293</v>
      </c>
      <c r="AJ491">
        <v>88.259578555040605</v>
      </c>
      <c r="AK491">
        <v>25.854042855504101</v>
      </c>
      <c r="AL491">
        <v>87.992999844978698</v>
      </c>
      <c r="AM491">
        <v>96.715489437545898</v>
      </c>
      <c r="AN491">
        <v>1.0000000637084001</v>
      </c>
    </row>
    <row r="492" spans="1:40" x14ac:dyDescent="0.3">
      <c r="A492" t="str">
        <f>"20200111145923818"</f>
        <v>20200111145923818</v>
      </c>
      <c r="B492" t="str">
        <f>"1578725963815730"</f>
        <v>1578725963815730</v>
      </c>
      <c r="C492" t="s">
        <v>40</v>
      </c>
      <c r="D492">
        <v>4.2774989999999997</v>
      </c>
      <c r="E492">
        <v>0.56069840000000004</v>
      </c>
      <c r="F492" t="s">
        <v>46</v>
      </c>
      <c r="G492">
        <v>0</v>
      </c>
      <c r="H492">
        <v>0</v>
      </c>
      <c r="I492">
        <v>0</v>
      </c>
      <c r="J492">
        <v>-440.9554</v>
      </c>
      <c r="K492">
        <v>1.1043190000000001</v>
      </c>
      <c r="L492">
        <v>367.1687</v>
      </c>
      <c r="M492">
        <v>0.99991359999999996</v>
      </c>
      <c r="N492">
        <v>0</v>
      </c>
      <c r="O492">
        <v>-3.1284770000000002E-3</v>
      </c>
      <c r="P492">
        <v>0.99323410000000001</v>
      </c>
      <c r="Q492">
        <v>2.2473670000000001E-2</v>
      </c>
      <c r="R492">
        <v>0.1139337</v>
      </c>
      <c r="S492">
        <v>3.0367130000000002</v>
      </c>
      <c r="T492">
        <v>0.16931559999999901</v>
      </c>
      <c r="U492">
        <v>-0.17596439999999999</v>
      </c>
      <c r="V492">
        <v>-0.1170416</v>
      </c>
      <c r="W492">
        <v>3.5143109999999998E-2</v>
      </c>
      <c r="X492">
        <v>0.99250499999999997</v>
      </c>
      <c r="Y492">
        <v>5.4645119999999998E-2</v>
      </c>
      <c r="Z492">
        <v>1.346786E-3</v>
      </c>
      <c r="AA492">
        <v>0.99850490000000003</v>
      </c>
      <c r="AB492">
        <v>15</v>
      </c>
      <c r="AC492">
        <v>3.0367130000000002</v>
      </c>
      <c r="AD492">
        <v>0.16931559999999901</v>
      </c>
      <c r="AE492">
        <v>-0.17596439999999999</v>
      </c>
      <c r="AF492">
        <v>0.165948311403356</v>
      </c>
      <c r="AG492">
        <v>0.16931559999999901</v>
      </c>
      <c r="AH492">
        <v>3.0278672856475199</v>
      </c>
      <c r="AI492">
        <v>86.804191316224006</v>
      </c>
      <c r="AJ492">
        <v>86.862928958637397</v>
      </c>
      <c r="AK492">
        <v>3.03713465522282</v>
      </c>
      <c r="AL492">
        <v>87.986033367570698</v>
      </c>
      <c r="AM492">
        <v>96.725569253468606</v>
      </c>
      <c r="AN492">
        <v>0.99999997466801505</v>
      </c>
    </row>
    <row r="493" spans="1:40" x14ac:dyDescent="0.3">
      <c r="A493" t="str">
        <f>"20200111145923831"</f>
        <v>20200111145923831</v>
      </c>
      <c r="B493" t="str">
        <f>"1578725963826466"</f>
        <v>1578725963826466</v>
      </c>
      <c r="C493" t="s">
        <v>40</v>
      </c>
      <c r="D493">
        <v>4.2080250000000001</v>
      </c>
      <c r="E493">
        <v>0.55971939999999998</v>
      </c>
      <c r="F493" t="s">
        <v>44</v>
      </c>
      <c r="G493">
        <v>-169.2955</v>
      </c>
      <c r="H493">
        <v>3.3207260000000001</v>
      </c>
      <c r="I493">
        <v>354.75420000000003</v>
      </c>
      <c r="J493">
        <v>-440.87369999999999</v>
      </c>
      <c r="K493">
        <v>1.104079</v>
      </c>
      <c r="L493">
        <v>367.16849999999999</v>
      </c>
      <c r="M493">
        <v>0.99991090000000005</v>
      </c>
      <c r="N493">
        <v>0</v>
      </c>
      <c r="O493">
        <v>-3.0963100000000001E-3</v>
      </c>
      <c r="P493">
        <v>0.99320889999999995</v>
      </c>
      <c r="Q493">
        <v>2.2368229999999999E-2</v>
      </c>
      <c r="R493">
        <v>0.11417579999999999</v>
      </c>
      <c r="S493">
        <v>3.0357970000000001</v>
      </c>
      <c r="T493">
        <v>2.4769309999999999E-2</v>
      </c>
      <c r="U493">
        <v>-0.13873289999999999</v>
      </c>
      <c r="V493">
        <v>-0.1172517</v>
      </c>
      <c r="W493">
        <v>3.5262250000000002E-2</v>
      </c>
      <c r="X493">
        <v>0.99247600000000002</v>
      </c>
      <c r="Y493">
        <v>4.2556490000000002E-2</v>
      </c>
      <c r="Z493">
        <v>1.482663E-4</v>
      </c>
      <c r="AA493">
        <v>0.99909409999999998</v>
      </c>
      <c r="AB493">
        <v>15</v>
      </c>
      <c r="AC493">
        <v>271.57819999999998</v>
      </c>
      <c r="AD493">
        <v>2.216647</v>
      </c>
      <c r="AE493">
        <v>-12.4142999999999</v>
      </c>
      <c r="AF493">
        <v>11.5725099359168</v>
      </c>
      <c r="AG493">
        <v>2.216647</v>
      </c>
      <c r="AH493">
        <v>271.59728368587702</v>
      </c>
      <c r="AI493">
        <v>89.532813546044594</v>
      </c>
      <c r="AJ493">
        <v>87.560155468207199</v>
      </c>
      <c r="AK493">
        <v>271.85275613038499</v>
      </c>
      <c r="AL493">
        <v>87.979202963858199</v>
      </c>
      <c r="AM493">
        <v>96.737726412765397</v>
      </c>
      <c r="AN493">
        <v>0.999999999001976</v>
      </c>
    </row>
    <row r="494" spans="1:40" x14ac:dyDescent="0.3">
      <c r="A494" t="str">
        <f>"20200111145923844"</f>
        <v>20200111145923844</v>
      </c>
      <c r="B494" t="str">
        <f>"1578725963836226"</f>
        <v>1578725963836226</v>
      </c>
      <c r="C494" t="s">
        <v>40</v>
      </c>
      <c r="D494">
        <v>4.2283679999999997</v>
      </c>
      <c r="E494">
        <v>0.55850940000000004</v>
      </c>
      <c r="F494" t="s">
        <v>44</v>
      </c>
      <c r="G494">
        <v>-169.2955</v>
      </c>
      <c r="H494">
        <v>0.21870039999999999</v>
      </c>
      <c r="I494">
        <v>355.50259999999997</v>
      </c>
      <c r="J494">
        <v>-440.7937</v>
      </c>
      <c r="K494">
        <v>1.103807</v>
      </c>
      <c r="L494">
        <v>367.16829999999999</v>
      </c>
      <c r="M494">
        <v>0.99990679999999998</v>
      </c>
      <c r="N494">
        <v>0</v>
      </c>
      <c r="O494">
        <v>-3.0647750000000001E-3</v>
      </c>
      <c r="P494">
        <v>0.9931951</v>
      </c>
      <c r="Q494">
        <v>2.198551E-2</v>
      </c>
      <c r="R494">
        <v>0.1143681</v>
      </c>
      <c r="S494">
        <v>3.0357059999999998</v>
      </c>
      <c r="T494">
        <v>-9.8958020000000004E-3</v>
      </c>
      <c r="U494">
        <v>-0.13040160000000001</v>
      </c>
      <c r="V494">
        <v>-0.1174124</v>
      </c>
      <c r="W494">
        <v>3.5194589999999998E-2</v>
      </c>
      <c r="X494">
        <v>0.99245939999999999</v>
      </c>
      <c r="Y494">
        <v>3.985375E-2</v>
      </c>
      <c r="Z494" s="1">
        <v>-5.4940930000000003E-5</v>
      </c>
      <c r="AA494">
        <v>0.99920549999999997</v>
      </c>
      <c r="AB494">
        <v>15</v>
      </c>
      <c r="AC494">
        <v>271.4982</v>
      </c>
      <c r="AD494">
        <v>-0.88510659999999897</v>
      </c>
      <c r="AE494">
        <v>-11.665699999999999</v>
      </c>
      <c r="AF494">
        <v>10.833375732460199</v>
      </c>
      <c r="AG494">
        <v>-0.88510659999999897</v>
      </c>
      <c r="AH494">
        <v>271.529800072689</v>
      </c>
      <c r="AI494">
        <v>90.186618112493207</v>
      </c>
      <c r="AJ494">
        <v>87.715250144596993</v>
      </c>
      <c r="AK494">
        <v>271.74726819412302</v>
      </c>
      <c r="AL494">
        <v>87.983081997502595</v>
      </c>
      <c r="AM494">
        <v>96.746987580667806</v>
      </c>
      <c r="AN494">
        <v>0.99999999574369303</v>
      </c>
    </row>
    <row r="495" spans="1:40" x14ac:dyDescent="0.3">
      <c r="A495" t="str">
        <f>"20200111145923862"</f>
        <v>20200111145923862</v>
      </c>
      <c r="B495" t="str">
        <f>"1578725963855746"</f>
        <v>1578725963855746</v>
      </c>
      <c r="C495" t="s">
        <v>40</v>
      </c>
      <c r="D495">
        <v>4.2717049999999999</v>
      </c>
      <c r="E495">
        <v>0.55678359999999905</v>
      </c>
      <c r="F495" t="s">
        <v>42</v>
      </c>
      <c r="G495">
        <v>-350.17720000000003</v>
      </c>
      <c r="H495" s="1">
        <v>-5.2683879999999999E-6</v>
      </c>
      <c r="I495">
        <v>363.57209999999998</v>
      </c>
      <c r="J495">
        <v>-440.6705</v>
      </c>
      <c r="K495">
        <v>1.103234</v>
      </c>
      <c r="L495">
        <v>367.16800000000001</v>
      </c>
      <c r="M495">
        <v>0.99989649999999997</v>
      </c>
      <c r="N495">
        <v>0</v>
      </c>
      <c r="O495">
        <v>-3.0170840000000002E-3</v>
      </c>
      <c r="P495">
        <v>0.9931548</v>
      </c>
      <c r="Q495">
        <v>2.0919699999999999E-2</v>
      </c>
      <c r="R495">
        <v>0.11491949999999999</v>
      </c>
      <c r="S495">
        <v>3.0352169999999998</v>
      </c>
      <c r="T495">
        <v>-3.6972400000000002E-2</v>
      </c>
      <c r="U495">
        <v>-0.1204529</v>
      </c>
      <c r="V495">
        <v>-0.1179167</v>
      </c>
      <c r="W495">
        <v>3.4890079999999997E-2</v>
      </c>
      <c r="X495">
        <v>0.99241040000000003</v>
      </c>
      <c r="Y495">
        <v>3.6636210000000002E-2</v>
      </c>
      <c r="Z495">
        <v>-1.8630059999999999E-4</v>
      </c>
      <c r="AA495">
        <v>0.99932869999999996</v>
      </c>
      <c r="AB495">
        <v>15</v>
      </c>
      <c r="AC495">
        <v>90.493299999999905</v>
      </c>
      <c r="AD495">
        <v>-1.1032392683879999</v>
      </c>
      <c r="AE495">
        <v>-3.5959000000000199</v>
      </c>
      <c r="AF495">
        <v>3.32233770405744</v>
      </c>
      <c r="AG495">
        <v>-1.1032392683879999</v>
      </c>
      <c r="AH495">
        <v>90.490309878240893</v>
      </c>
      <c r="AI495">
        <v>90.698033503756207</v>
      </c>
      <c r="AJ495">
        <v>87.897338776479799</v>
      </c>
      <c r="AK495">
        <v>90.557999351593296</v>
      </c>
      <c r="AL495">
        <v>88.000539933951998</v>
      </c>
      <c r="AM495">
        <v>96.776029259949397</v>
      </c>
      <c r="AN495">
        <v>1.0000000339247199</v>
      </c>
    </row>
    <row r="496" spans="1:40" x14ac:dyDescent="0.3">
      <c r="A496" t="str">
        <f>"20200111145923874"</f>
        <v>20200111145923874</v>
      </c>
      <c r="B496" t="str">
        <f>"1578725963866481"</f>
        <v>1578725963866481</v>
      </c>
      <c r="C496" t="s">
        <v>40</v>
      </c>
      <c r="D496">
        <v>4.1590759999999998</v>
      </c>
      <c r="E496">
        <v>0.55571749999999998</v>
      </c>
      <c r="F496" t="s">
        <v>42</v>
      </c>
      <c r="G496">
        <v>-394.01530000000002</v>
      </c>
      <c r="H496" s="1">
        <v>-3.271203E-6</v>
      </c>
      <c r="I496">
        <v>365.54910000000001</v>
      </c>
      <c r="J496">
        <v>-440.59109999999998</v>
      </c>
      <c r="K496">
        <v>1.102746</v>
      </c>
      <c r="L496">
        <v>367.1678</v>
      </c>
      <c r="M496">
        <v>0.99988719999999998</v>
      </c>
      <c r="N496">
        <v>0</v>
      </c>
      <c r="O496">
        <v>-2.9869240000000002E-3</v>
      </c>
      <c r="P496">
        <v>0.99319009999999996</v>
      </c>
      <c r="Q496">
        <v>2.031051E-2</v>
      </c>
      <c r="R496">
        <v>0.11472160000000001</v>
      </c>
      <c r="S496">
        <v>3.0343629999999999</v>
      </c>
      <c r="T496">
        <v>-7.1752189999999993E-2</v>
      </c>
      <c r="U496">
        <v>-0.10528559999999999</v>
      </c>
      <c r="V496">
        <v>-0.1176889</v>
      </c>
      <c r="W496">
        <v>3.4924379999999998E-2</v>
      </c>
      <c r="X496">
        <v>0.99243619999999999</v>
      </c>
      <c r="Y496">
        <v>3.1683299999999998E-2</v>
      </c>
      <c r="Z496">
        <v>-3.0382919999999999E-4</v>
      </c>
      <c r="AA496">
        <v>0.99949790000000005</v>
      </c>
      <c r="AB496">
        <v>14</v>
      </c>
      <c r="AC496">
        <v>46.575799999999902</v>
      </c>
      <c r="AD496">
        <v>-1.102749271203</v>
      </c>
      <c r="AE496">
        <v>-1.61869999999998</v>
      </c>
      <c r="AF496">
        <v>1.4787313909856501</v>
      </c>
      <c r="AG496">
        <v>-1.102749271203</v>
      </c>
      <c r="AH496">
        <v>46.554361965018401</v>
      </c>
      <c r="AI496">
        <v>91.356247448039198</v>
      </c>
      <c r="AJ496">
        <v>88.1806948324204</v>
      </c>
      <c r="AK496">
        <v>46.590893106397701</v>
      </c>
      <c r="AL496">
        <v>87.998573422993104</v>
      </c>
      <c r="AM496">
        <v>96.762886017634997</v>
      </c>
      <c r="AN496">
        <v>1.0000000002860101</v>
      </c>
    </row>
    <row r="497" spans="1:40" x14ac:dyDescent="0.3">
      <c r="A497" t="str">
        <f>"20200111145923886"</f>
        <v>20200111145923886</v>
      </c>
      <c r="B497" t="str">
        <f>"1578725963876244"</f>
        <v>1578725963876244</v>
      </c>
      <c r="C497" t="s">
        <v>40</v>
      </c>
      <c r="D497">
        <v>4.414428</v>
      </c>
      <c r="E497">
        <v>0.55488909999999902</v>
      </c>
      <c r="F497" t="s">
        <v>42</v>
      </c>
      <c r="G497">
        <v>-399.86579999999998</v>
      </c>
      <c r="H497" s="1">
        <v>-1.029973E-6</v>
      </c>
      <c r="I497">
        <v>365.86439999999999</v>
      </c>
      <c r="J497">
        <v>-440.51580000000001</v>
      </c>
      <c r="K497">
        <v>1.1022259999999999</v>
      </c>
      <c r="L497">
        <v>367.16759999999999</v>
      </c>
      <c r="M497">
        <v>0.99987669999999995</v>
      </c>
      <c r="N497">
        <v>0</v>
      </c>
      <c r="O497">
        <v>-2.9587609999999999E-3</v>
      </c>
      <c r="P497">
        <v>0.99323790000000001</v>
      </c>
      <c r="Q497">
        <v>1.9622589999999999E-2</v>
      </c>
      <c r="R497">
        <v>0.1144279</v>
      </c>
      <c r="S497">
        <v>3.0334780000000001</v>
      </c>
      <c r="T497">
        <v>-8.2139610000000002E-2</v>
      </c>
      <c r="U497">
        <v>-9.7076419999999997E-2</v>
      </c>
      <c r="V497">
        <v>-0.1173675</v>
      </c>
      <c r="W497">
        <v>3.4942500000000001E-2</v>
      </c>
      <c r="X497">
        <v>0.99247359999999896</v>
      </c>
      <c r="Y497">
        <v>2.9018039999999998E-2</v>
      </c>
      <c r="Z497">
        <v>-3.1260860000000001E-4</v>
      </c>
      <c r="AA497">
        <v>0.99957879999999999</v>
      </c>
      <c r="AB497">
        <v>14</v>
      </c>
      <c r="AC497">
        <v>40.65</v>
      </c>
      <c r="AD497">
        <v>-1.1022270299729999</v>
      </c>
      <c r="AE497">
        <v>-1.3031999999999999</v>
      </c>
      <c r="AF497">
        <v>1.18203818155118</v>
      </c>
      <c r="AG497">
        <v>-1.1022270299729999</v>
      </c>
      <c r="AH497">
        <v>40.623841293563899</v>
      </c>
      <c r="AI497">
        <v>91.553540165066195</v>
      </c>
      <c r="AJ497">
        <v>88.333326112179904</v>
      </c>
      <c r="AK497">
        <v>40.655978651766802</v>
      </c>
      <c r="AL497">
        <v>87.997534543820095</v>
      </c>
      <c r="AM497">
        <v>96.744335610717201</v>
      </c>
      <c r="AN497">
        <v>0.99999997752972902</v>
      </c>
    </row>
    <row r="498" spans="1:40" x14ac:dyDescent="0.3">
      <c r="A498" t="str">
        <f>"20200111145923898"</f>
        <v>20200111145923898</v>
      </c>
      <c r="B498" t="str">
        <f>"1578725963895763"</f>
        <v>1578725963895763</v>
      </c>
      <c r="C498" t="s">
        <v>40</v>
      </c>
      <c r="D498">
        <v>4.3489490000000002</v>
      </c>
      <c r="E498">
        <v>0.55376700000000001</v>
      </c>
      <c r="F498" t="s">
        <v>43</v>
      </c>
      <c r="G498">
        <v>-399.0788</v>
      </c>
      <c r="H498">
        <v>-0.05</v>
      </c>
      <c r="I498">
        <v>365.91739999999999</v>
      </c>
      <c r="J498">
        <v>-440.43700000000001</v>
      </c>
      <c r="K498">
        <v>1.1016250000000001</v>
      </c>
      <c r="L498">
        <v>367.16739999999999</v>
      </c>
      <c r="M498">
        <v>0.99986330000000001</v>
      </c>
      <c r="N498">
        <v>0</v>
      </c>
      <c r="O498">
        <v>-2.9292620000000002E-3</v>
      </c>
      <c r="P498">
        <v>0.99329540000000005</v>
      </c>
      <c r="Q498">
        <v>1.8798519999999999E-2</v>
      </c>
      <c r="R498">
        <v>0.1140661</v>
      </c>
      <c r="S498">
        <v>3.0326230000000001</v>
      </c>
      <c r="T498">
        <v>-8.4327100000000002E-2</v>
      </c>
      <c r="U498">
        <v>-9.1491699999999995E-2</v>
      </c>
      <c r="V498">
        <v>-0.1169766</v>
      </c>
      <c r="W498">
        <v>3.4951549999999998E-2</v>
      </c>
      <c r="X498">
        <v>0.99251940000000005</v>
      </c>
      <c r="Y498">
        <v>2.7217620000000001E-2</v>
      </c>
      <c r="Z498">
        <v>-2.9682770000000002E-4</v>
      </c>
      <c r="AA498">
        <v>0.99962949999999995</v>
      </c>
      <c r="AB498">
        <v>14</v>
      </c>
      <c r="AC498">
        <v>41.358199999999897</v>
      </c>
      <c r="AD498">
        <v>-1.1516249999999999</v>
      </c>
      <c r="AE498">
        <v>-1.25</v>
      </c>
      <c r="AF498">
        <v>1.1279558240613801</v>
      </c>
      <c r="AG498">
        <v>-1.1516249999999999</v>
      </c>
      <c r="AH498">
        <v>41.3296687808024</v>
      </c>
      <c r="AI498">
        <v>91.595503773502202</v>
      </c>
      <c r="AJ498">
        <v>88.436690354685297</v>
      </c>
      <c r="AK498">
        <v>41.361093385118501</v>
      </c>
      <c r="AL498">
        <v>87.997015640074494</v>
      </c>
      <c r="AM498">
        <v>96.721771709705706</v>
      </c>
      <c r="AN498">
        <v>0.99999994758566002</v>
      </c>
    </row>
    <row r="499" spans="1:40" x14ac:dyDescent="0.3">
      <c r="A499" t="str">
        <f>"20200111145923910"</f>
        <v>20200111145923910</v>
      </c>
      <c r="B499" t="str">
        <f>"1578725963906498"</f>
        <v>1578725963906498</v>
      </c>
      <c r="C499" t="s">
        <v>40</v>
      </c>
      <c r="D499">
        <v>4.3712080000000002</v>
      </c>
      <c r="E499">
        <v>0.55329729999999999</v>
      </c>
      <c r="F499" t="s">
        <v>43</v>
      </c>
      <c r="G499">
        <v>-401.00020000000001</v>
      </c>
      <c r="H499">
        <v>-0.05</v>
      </c>
      <c r="I499">
        <v>366.08199999999999</v>
      </c>
      <c r="J499">
        <v>-440.36500000000001</v>
      </c>
      <c r="K499">
        <v>1.1010009999999999</v>
      </c>
      <c r="L499">
        <v>367.16719999999998</v>
      </c>
      <c r="M499">
        <v>0.99984850000000003</v>
      </c>
      <c r="N499">
        <v>0</v>
      </c>
      <c r="O499">
        <v>-2.902824E-3</v>
      </c>
      <c r="P499">
        <v>0.99334529999999999</v>
      </c>
      <c r="Q499">
        <v>1.8146140000000002E-2</v>
      </c>
      <c r="R499">
        <v>0.1137359</v>
      </c>
      <c r="S499">
        <v>3.0315249999999998</v>
      </c>
      <c r="T499">
        <v>-8.8526010000000002E-2</v>
      </c>
      <c r="U499">
        <v>-8.3435060000000005E-2</v>
      </c>
      <c r="V499">
        <v>-0.11662069999999999</v>
      </c>
      <c r="W499">
        <v>3.5184100000000003E-2</v>
      </c>
      <c r="X499">
        <v>0.99255309999999997</v>
      </c>
      <c r="Y499">
        <v>2.4600540000000001E-2</v>
      </c>
      <c r="Z499">
        <v>-2.7430059999999999E-4</v>
      </c>
      <c r="AA499">
        <v>0.99969730000000001</v>
      </c>
      <c r="AB499">
        <v>14</v>
      </c>
      <c r="AC499">
        <v>39.364800000000002</v>
      </c>
      <c r="AD499">
        <v>-1.1510009999999999</v>
      </c>
      <c r="AE499">
        <v>-1.08519999999998</v>
      </c>
      <c r="AF499">
        <v>0.97008077715194996</v>
      </c>
      <c r="AG499">
        <v>-1.1510009999999999</v>
      </c>
      <c r="AH499">
        <v>39.3341819057867</v>
      </c>
      <c r="AI499">
        <v>91.675607660381601</v>
      </c>
      <c r="AJ499">
        <v>88.5872270185844</v>
      </c>
      <c r="AK499">
        <v>39.362974051940299</v>
      </c>
      <c r="AL499">
        <v>87.983683375870001</v>
      </c>
      <c r="AM499">
        <v>96.7012816167056</v>
      </c>
      <c r="AN499">
        <v>0.99999998244045396</v>
      </c>
    </row>
    <row r="500" spans="1:40" x14ac:dyDescent="0.3">
      <c r="A500" t="str">
        <f>"20200111145923923"</f>
        <v>20200111145923923</v>
      </c>
      <c r="B500" t="str">
        <f>"1578725963916259"</f>
        <v>1578725963916259</v>
      </c>
      <c r="C500" t="s">
        <v>40</v>
      </c>
      <c r="D500">
        <v>4.1825299999999999</v>
      </c>
      <c r="E500">
        <v>0.55284820000000001</v>
      </c>
      <c r="F500" t="s">
        <v>43</v>
      </c>
      <c r="G500">
        <v>-402.1377</v>
      </c>
      <c r="H500">
        <v>-0.05</v>
      </c>
      <c r="I500">
        <v>366.14729999999997</v>
      </c>
      <c r="J500">
        <v>-440.28230000000002</v>
      </c>
      <c r="K500">
        <v>1.100255</v>
      </c>
      <c r="L500">
        <v>367.16699999999997</v>
      </c>
      <c r="M500">
        <v>0.99982990000000005</v>
      </c>
      <c r="N500">
        <v>0</v>
      </c>
      <c r="O500">
        <v>-2.8722299999999999E-3</v>
      </c>
      <c r="P500">
        <v>0.99339469999999996</v>
      </c>
      <c r="Q500">
        <v>1.72525E-2</v>
      </c>
      <c r="R500">
        <v>0.1134428</v>
      </c>
      <c r="S500">
        <v>3.0310670000000002</v>
      </c>
      <c r="T500">
        <v>-9.1263769999999994E-2</v>
      </c>
      <c r="U500">
        <v>-8.0871579999999998E-2</v>
      </c>
      <c r="V500">
        <v>-0.11629680000000001</v>
      </c>
      <c r="W500">
        <v>3.5344210000000001E-2</v>
      </c>
      <c r="X500">
        <v>0.99258539999999995</v>
      </c>
      <c r="Y500">
        <v>2.379013E-2</v>
      </c>
      <c r="Z500">
        <v>-2.7154940000000003E-4</v>
      </c>
      <c r="AA500">
        <v>0.99971690000000002</v>
      </c>
      <c r="AB500">
        <v>14</v>
      </c>
      <c r="AC500">
        <v>38.144599999999997</v>
      </c>
      <c r="AD500">
        <v>-1.150255</v>
      </c>
      <c r="AE500">
        <v>-1.0197000000000001</v>
      </c>
      <c r="AF500">
        <v>0.90929128429319594</v>
      </c>
      <c r="AG500">
        <v>-1.150255</v>
      </c>
      <c r="AH500">
        <v>38.112739548736101</v>
      </c>
      <c r="AI500">
        <v>91.728189242522205</v>
      </c>
      <c r="AJ500">
        <v>88.6333002539766</v>
      </c>
      <c r="AK500">
        <v>38.140933563751503</v>
      </c>
      <c r="AL500">
        <v>87.974504009026305</v>
      </c>
      <c r="AM500">
        <v>96.682622684635902</v>
      </c>
      <c r="AN500">
        <v>0.99999996758196097</v>
      </c>
    </row>
    <row r="501" spans="1:40" x14ac:dyDescent="0.3">
      <c r="A501" t="str">
        <f>"20200111145923941"</f>
        <v>20200111145923941</v>
      </c>
      <c r="B501" t="str">
        <f>"1578725963936755"</f>
        <v>1578725963936755</v>
      </c>
      <c r="C501" t="s">
        <v>40</v>
      </c>
      <c r="D501">
        <v>4.1670629999999997</v>
      </c>
      <c r="E501">
        <v>0.55296000000000001</v>
      </c>
      <c r="F501" t="s">
        <v>43</v>
      </c>
      <c r="G501">
        <v>-405.4067</v>
      </c>
      <c r="H501">
        <v>-0.05</v>
      </c>
      <c r="I501">
        <v>366.26620000000003</v>
      </c>
      <c r="J501">
        <v>-440.1696</v>
      </c>
      <c r="K501">
        <v>1.0991310000000001</v>
      </c>
      <c r="L501">
        <v>367.16669999999999</v>
      </c>
      <c r="M501">
        <v>0.99980119999999895</v>
      </c>
      <c r="N501">
        <v>0</v>
      </c>
      <c r="O501">
        <v>-2.8304469999999998E-3</v>
      </c>
      <c r="P501">
        <v>0.99347819999999998</v>
      </c>
      <c r="Q501">
        <v>1.532885E-2</v>
      </c>
      <c r="R501">
        <v>0.1129875</v>
      </c>
      <c r="S501">
        <v>3.0306090000000001</v>
      </c>
      <c r="T501">
        <v>-9.9954249999999994E-2</v>
      </c>
      <c r="U501">
        <v>-7.8277589999999994E-2</v>
      </c>
      <c r="V501">
        <v>-0.1158005</v>
      </c>
      <c r="W501">
        <v>3.4930580000000003E-2</v>
      </c>
      <c r="X501">
        <v>0.99265809999999999</v>
      </c>
      <c r="Y501">
        <v>2.2979280000000001E-2</v>
      </c>
      <c r="Z501">
        <v>-2.8545129999999998E-4</v>
      </c>
      <c r="AA501">
        <v>0.99973590000000001</v>
      </c>
      <c r="AB501">
        <v>14</v>
      </c>
      <c r="AC501">
        <v>34.762900000000002</v>
      </c>
      <c r="AD501">
        <v>-1.1491309999999999</v>
      </c>
      <c r="AE501">
        <v>-0.900499999999965</v>
      </c>
      <c r="AF501">
        <v>0.80120777004297605</v>
      </c>
      <c r="AG501">
        <v>-1.1491309999999999</v>
      </c>
      <c r="AH501">
        <v>34.727388301818799</v>
      </c>
      <c r="AI501">
        <v>91.894724823599702</v>
      </c>
      <c r="AJ501">
        <v>88.678343418461907</v>
      </c>
      <c r="AK501">
        <v>34.755631690579897</v>
      </c>
      <c r="AL501">
        <v>87.998217976430098</v>
      </c>
      <c r="AM501">
        <v>96.653877714102293</v>
      </c>
      <c r="AN501">
        <v>1.00000000235749</v>
      </c>
    </row>
    <row r="502" spans="1:40" x14ac:dyDescent="0.3">
      <c r="A502" t="str">
        <f>"20200111145923962"</f>
        <v>20200111145923962</v>
      </c>
      <c r="B502" t="str">
        <f>"1578725963956275"</f>
        <v>1578725963956275</v>
      </c>
      <c r="C502" t="s">
        <v>40</v>
      </c>
      <c r="D502">
        <v>4.1808860000000001</v>
      </c>
      <c r="E502">
        <v>0.55322839999999995</v>
      </c>
      <c r="F502" t="s">
        <v>43</v>
      </c>
      <c r="G502">
        <v>-409.9708</v>
      </c>
      <c r="H502">
        <v>-0.05</v>
      </c>
      <c r="I502">
        <v>366.3612</v>
      </c>
      <c r="J502">
        <v>-440.03910000000002</v>
      </c>
      <c r="K502">
        <v>1.0977159999999999</v>
      </c>
      <c r="L502">
        <v>367.16640000000001</v>
      </c>
      <c r="M502">
        <v>0.99976690000000001</v>
      </c>
      <c r="N502">
        <v>0</v>
      </c>
      <c r="O502">
        <v>-2.7815320000000002E-3</v>
      </c>
      <c r="P502">
        <v>0.99355190000000004</v>
      </c>
      <c r="Q502">
        <v>1.3191039999999999E-2</v>
      </c>
      <c r="R502">
        <v>0.11260829999999999</v>
      </c>
      <c r="S502">
        <v>3.0306700000000002</v>
      </c>
      <c r="T502">
        <v>-0.115324</v>
      </c>
      <c r="U502">
        <v>-8.0841060000000006E-2</v>
      </c>
      <c r="V502">
        <v>-0.11537310000000001</v>
      </c>
      <c r="W502">
        <v>3.4454020000000002E-2</v>
      </c>
      <c r="X502">
        <v>0.99272450000000001</v>
      </c>
      <c r="Y502">
        <v>2.3868299999999999E-2</v>
      </c>
      <c r="Z502">
        <v>-3.4806730000000002E-4</v>
      </c>
      <c r="AA502">
        <v>0.99971500000000002</v>
      </c>
      <c r="AB502">
        <v>14</v>
      </c>
      <c r="AC502">
        <v>30.068300000000001</v>
      </c>
      <c r="AD502">
        <v>-1.147716</v>
      </c>
      <c r="AE502">
        <v>-0.80520000000001302</v>
      </c>
      <c r="AF502">
        <v>0.72049278336321199</v>
      </c>
      <c r="AG502">
        <v>-1.147716</v>
      </c>
      <c r="AH502">
        <v>30.0267071182998</v>
      </c>
      <c r="AI502">
        <v>92.188331558920396</v>
      </c>
      <c r="AJ502">
        <v>88.625447822188093</v>
      </c>
      <c r="AK502">
        <v>30.057270372335701</v>
      </c>
      <c r="AL502">
        <v>88.025539260006497</v>
      </c>
      <c r="AM502">
        <v>96.629098906709999</v>
      </c>
      <c r="AN502">
        <v>0.99999998229900999</v>
      </c>
    </row>
    <row r="503" spans="1:40" x14ac:dyDescent="0.3">
      <c r="A503" t="str">
        <f>"20200111145923975"</f>
        <v>20200111145923975</v>
      </c>
      <c r="B503" t="str">
        <f>"1578725963966035"</f>
        <v>1578725963966035</v>
      </c>
      <c r="C503" t="s">
        <v>40</v>
      </c>
      <c r="D503">
        <v>4.4012449999999896</v>
      </c>
      <c r="E503">
        <v>0.55305990000000005</v>
      </c>
      <c r="F503" t="s">
        <v>43</v>
      </c>
      <c r="G503">
        <v>-412.53969999999998</v>
      </c>
      <c r="H503">
        <v>-0.05</v>
      </c>
      <c r="I503">
        <v>366.40629999999999</v>
      </c>
      <c r="J503">
        <v>-439.94720000000001</v>
      </c>
      <c r="K503">
        <v>1.096668</v>
      </c>
      <c r="L503">
        <v>367.1662</v>
      </c>
      <c r="M503">
        <v>0.99974379999999996</v>
      </c>
      <c r="N503">
        <v>0</v>
      </c>
      <c r="O503">
        <v>-2.7466750000000001E-3</v>
      </c>
      <c r="P503">
        <v>0.99362399999999995</v>
      </c>
      <c r="Q503">
        <v>1.147077E-2</v>
      </c>
      <c r="R503">
        <v>0.1121591</v>
      </c>
      <c r="S503">
        <v>3.03064</v>
      </c>
      <c r="T503">
        <v>-0.12648679999999901</v>
      </c>
      <c r="U503">
        <v>-8.3770750000000005E-2</v>
      </c>
      <c r="V503">
        <v>-0.11488909999999999</v>
      </c>
      <c r="W503">
        <v>3.3783510000000003E-2</v>
      </c>
      <c r="X503">
        <v>0.99280369999999996</v>
      </c>
      <c r="Y503">
        <v>2.4865060000000001E-2</v>
      </c>
      <c r="Z503">
        <v>-4.0396859999999998E-4</v>
      </c>
      <c r="AA503">
        <v>0.99969070000000004</v>
      </c>
      <c r="AB503">
        <v>14</v>
      </c>
      <c r="AC503">
        <v>27.407499999999999</v>
      </c>
      <c r="AD503">
        <v>-1.146668</v>
      </c>
      <c r="AE503">
        <v>-0.75990000000001501</v>
      </c>
      <c r="AF503">
        <v>0.68340332148859295</v>
      </c>
      <c r="AG503">
        <v>-1.146668</v>
      </c>
      <c r="AH503">
        <v>27.361627369599301</v>
      </c>
      <c r="AI503">
        <v>92.398993572995394</v>
      </c>
      <c r="AJ503">
        <v>88.569237632965297</v>
      </c>
      <c r="AK503">
        <v>27.394169816127899</v>
      </c>
      <c r="AL503">
        <v>88.063979086034806</v>
      </c>
      <c r="AM503">
        <v>96.601013265682795</v>
      </c>
      <c r="AN503">
        <v>1.0000000087902099</v>
      </c>
    </row>
    <row r="504" spans="1:40" x14ac:dyDescent="0.3">
      <c r="A504" t="str">
        <f>"20200111145923990"</f>
        <v>20200111145923990</v>
      </c>
      <c r="B504" t="str">
        <f>"1578725963986532"</f>
        <v>1578725963986532</v>
      </c>
      <c r="C504" t="s">
        <v>40</v>
      </c>
      <c r="D504">
        <v>4.28911</v>
      </c>
      <c r="E504">
        <v>0.5524135</v>
      </c>
      <c r="F504" t="s">
        <v>43</v>
      </c>
      <c r="G504">
        <v>-414.5258</v>
      </c>
      <c r="H504">
        <v>-0.05</v>
      </c>
      <c r="I504">
        <v>366.46210000000002</v>
      </c>
      <c r="J504">
        <v>-439.85899999999998</v>
      </c>
      <c r="K504">
        <v>1.095666</v>
      </c>
      <c r="L504">
        <v>367.166</v>
      </c>
      <c r="M504">
        <v>0.99972249999999996</v>
      </c>
      <c r="N504">
        <v>0</v>
      </c>
      <c r="O504">
        <v>-2.7127330000000002E-3</v>
      </c>
      <c r="P504">
        <v>0.9935986</v>
      </c>
      <c r="Q504">
        <v>1.029045E-2</v>
      </c>
      <c r="R504">
        <v>0.11249869999999999</v>
      </c>
      <c r="S504">
        <v>3.0302730000000002</v>
      </c>
      <c r="T504">
        <v>-0.1366851</v>
      </c>
      <c r="U504">
        <v>-8.3923339999999999E-2</v>
      </c>
      <c r="V504">
        <v>-0.1151954</v>
      </c>
      <c r="W504">
        <v>3.352807E-2</v>
      </c>
      <c r="X504">
        <v>0.99277689999999996</v>
      </c>
      <c r="Y504">
        <v>2.4949229999999999E-2</v>
      </c>
      <c r="Z504">
        <v>-4.3998449999999999E-4</v>
      </c>
      <c r="AA504">
        <v>0.99968860000000004</v>
      </c>
      <c r="AB504">
        <v>14</v>
      </c>
      <c r="AC504">
        <v>25.333200000000001</v>
      </c>
      <c r="AD504">
        <v>-1.1456660000000001</v>
      </c>
      <c r="AE504">
        <v>-0.70389999999997599</v>
      </c>
      <c r="AF504">
        <v>0.63386100540564205</v>
      </c>
      <c r="AG504">
        <v>-1.1456660000000001</v>
      </c>
      <c r="AH504">
        <v>25.2833471224309</v>
      </c>
      <c r="AI504">
        <v>92.593658899595098</v>
      </c>
      <c r="AJ504">
        <v>88.563878653732303</v>
      </c>
      <c r="AK504">
        <v>25.3172267847619</v>
      </c>
      <c r="AL504">
        <v>88.078623080526498</v>
      </c>
      <c r="AM504">
        <v>96.618633043163896</v>
      </c>
      <c r="AN504">
        <v>1.00000004241634</v>
      </c>
    </row>
    <row r="505" spans="1:40" x14ac:dyDescent="0.3">
      <c r="A505" t="str">
        <f>"20200111145924007"</f>
        <v>20200111145924007</v>
      </c>
      <c r="B505" t="str">
        <f>"1578725963996290"</f>
        <v>1578725963996290</v>
      </c>
      <c r="C505" t="s">
        <v>40</v>
      </c>
      <c r="D505">
        <v>4.1386379999999896</v>
      </c>
      <c r="E505">
        <v>0.55208559999999995</v>
      </c>
      <c r="F505" t="s">
        <v>43</v>
      </c>
      <c r="G505">
        <v>-414.77019999999999</v>
      </c>
      <c r="H505">
        <v>-0.05</v>
      </c>
      <c r="I505">
        <v>366.5197</v>
      </c>
      <c r="J505">
        <v>-439.75479999999999</v>
      </c>
      <c r="K505">
        <v>1.094489</v>
      </c>
      <c r="L505">
        <v>367.16579999999999</v>
      </c>
      <c r="M505">
        <v>0.99969830000000004</v>
      </c>
      <c r="N505">
        <v>0</v>
      </c>
      <c r="O505">
        <v>-2.6725299999999998E-3</v>
      </c>
      <c r="P505">
        <v>0.99350810000000001</v>
      </c>
      <c r="Q505">
        <v>9.3598659999999997E-3</v>
      </c>
      <c r="R505">
        <v>0.1133762</v>
      </c>
      <c r="S505">
        <v>3.029633</v>
      </c>
      <c r="T505">
        <v>-0.13834659999999999</v>
      </c>
      <c r="U505">
        <v>-7.8033450000000004E-2</v>
      </c>
      <c r="V505">
        <v>-0.1160325</v>
      </c>
      <c r="W505">
        <v>3.3607659999999998E-2</v>
      </c>
      <c r="X505">
        <v>0.99267669999999997</v>
      </c>
      <c r="Y505">
        <v>2.3054439999999999E-2</v>
      </c>
      <c r="Z505">
        <v>-4.040321E-4</v>
      </c>
      <c r="AA505">
        <v>0.99973409999999996</v>
      </c>
      <c r="AB505">
        <v>14</v>
      </c>
      <c r="AC505">
        <v>24.9846</v>
      </c>
      <c r="AD505">
        <v>-1.1444889999999901</v>
      </c>
      <c r="AE505">
        <v>-0.64609999999998902</v>
      </c>
      <c r="AF505">
        <v>0.57809345250508903</v>
      </c>
      <c r="AG505">
        <v>-1.1444889999999901</v>
      </c>
      <c r="AH505">
        <v>24.933952701324198</v>
      </c>
      <c r="AI505">
        <v>92.627373818776704</v>
      </c>
      <c r="AJ505">
        <v>88.671835853516598</v>
      </c>
      <c r="AK505">
        <v>24.966898974899198</v>
      </c>
      <c r="AL505">
        <v>88.074060301409702</v>
      </c>
      <c r="AM505">
        <v>96.666964707613701</v>
      </c>
      <c r="AN505">
        <v>1.0000000232949</v>
      </c>
    </row>
    <row r="506" spans="1:40" x14ac:dyDescent="0.3">
      <c r="A506" t="str">
        <f>"20200111145924019"</f>
        <v>20200111145924019</v>
      </c>
      <c r="B506" t="str">
        <f>"1578725964015810"</f>
        <v>1578725964015810</v>
      </c>
      <c r="C506" t="s">
        <v>40</v>
      </c>
      <c r="D506">
        <v>4.1444010000000002</v>
      </c>
      <c r="E506">
        <v>0.55185280000000003</v>
      </c>
      <c r="F506" t="s">
        <v>43</v>
      </c>
      <c r="G506">
        <v>-415.64490000000001</v>
      </c>
      <c r="H506">
        <v>-0.05</v>
      </c>
      <c r="I506">
        <v>366.5874</v>
      </c>
      <c r="J506">
        <v>-439.67259999999999</v>
      </c>
      <c r="K506">
        <v>1.0935760000000001</v>
      </c>
      <c r="L506">
        <v>367.16559999999998</v>
      </c>
      <c r="M506">
        <v>0.9996796</v>
      </c>
      <c r="N506">
        <v>0</v>
      </c>
      <c r="O506">
        <v>-2.640589E-3</v>
      </c>
      <c r="P506">
        <v>0.9934693</v>
      </c>
      <c r="Q506">
        <v>8.4816909999999995E-3</v>
      </c>
      <c r="R506">
        <v>0.1137836</v>
      </c>
      <c r="S506">
        <v>3.0292050000000001</v>
      </c>
      <c r="T506">
        <v>-0.14379529999999999</v>
      </c>
      <c r="U506">
        <v>-7.2662350000000001E-2</v>
      </c>
      <c r="V506">
        <v>-0.116408399999999</v>
      </c>
      <c r="W506">
        <v>3.3476119999999998E-2</v>
      </c>
      <c r="X506">
        <v>0.99263710000000005</v>
      </c>
      <c r="Y506">
        <v>2.13186E-2</v>
      </c>
      <c r="Z506">
        <v>-3.8033780000000002E-4</v>
      </c>
      <c r="AA506">
        <v>0.99977269999999896</v>
      </c>
      <c r="AB506">
        <v>14</v>
      </c>
      <c r="AC506">
        <v>24.0276999999999</v>
      </c>
      <c r="AD506">
        <v>-1.1435759999999999</v>
      </c>
      <c r="AE506">
        <v>-0.57819999999998095</v>
      </c>
      <c r="AF506">
        <v>0.513567930549367</v>
      </c>
      <c r="AG506">
        <v>-1.1435759999999999</v>
      </c>
      <c r="AH506">
        <v>23.974867122350101</v>
      </c>
      <c r="AI506">
        <v>92.730253329732804</v>
      </c>
      <c r="AJ506">
        <v>88.772849281059806</v>
      </c>
      <c r="AK506">
        <v>24.007619032744699</v>
      </c>
      <c r="AL506">
        <v>88.081601165924795</v>
      </c>
      <c r="AM506">
        <v>96.688632110743697</v>
      </c>
      <c r="AN506">
        <v>0.999999989248612</v>
      </c>
    </row>
    <row r="507" spans="1:40" x14ac:dyDescent="0.3">
      <c r="A507" t="str">
        <f>"20200111145924041"</f>
        <v>20200111145924041</v>
      </c>
      <c r="B507" t="str">
        <f>"1578725964036307"</f>
        <v>1578725964036307</v>
      </c>
      <c r="C507" t="s">
        <v>40</v>
      </c>
      <c r="D507">
        <v>4.2935400000000001</v>
      </c>
      <c r="E507">
        <v>0.55133619999999905</v>
      </c>
      <c r="F507" t="s">
        <v>43</v>
      </c>
      <c r="G507">
        <v>-416.86750000000001</v>
      </c>
      <c r="H507">
        <v>-0.05</v>
      </c>
      <c r="I507">
        <v>366.64260000000002</v>
      </c>
      <c r="J507">
        <v>-439.54250000000002</v>
      </c>
      <c r="K507">
        <v>1.092203</v>
      </c>
      <c r="L507">
        <v>367.1653</v>
      </c>
      <c r="M507">
        <v>0.99965159999999997</v>
      </c>
      <c r="N507">
        <v>0</v>
      </c>
      <c r="O507">
        <v>-2.5893880000000002E-3</v>
      </c>
      <c r="P507">
        <v>0.99342050000000004</v>
      </c>
      <c r="Q507">
        <v>7.1867850000000002E-3</v>
      </c>
      <c r="R507">
        <v>0.1142991</v>
      </c>
      <c r="S507">
        <v>3.028931</v>
      </c>
      <c r="T507">
        <v>-0.1518872</v>
      </c>
      <c r="U507">
        <v>-6.9458010000000001E-2</v>
      </c>
      <c r="V507">
        <v>-0.116873</v>
      </c>
      <c r="W507">
        <v>3.3273110000000002E-2</v>
      </c>
      <c r="X507">
        <v>0.99258939999999996</v>
      </c>
      <c r="Y507">
        <v>2.031357E-2</v>
      </c>
      <c r="Z507">
        <v>-3.791391E-4</v>
      </c>
      <c r="AA507">
        <v>0.99979359999999995</v>
      </c>
      <c r="AB507">
        <v>14</v>
      </c>
      <c r="AC507">
        <v>22.675000000000001</v>
      </c>
      <c r="AD507">
        <v>-1.1422030000000001</v>
      </c>
      <c r="AE507">
        <v>-0.52269999999998595</v>
      </c>
      <c r="AF507">
        <v>0.46278993956772602</v>
      </c>
      <c r="AG507">
        <v>-1.1422030000000001</v>
      </c>
      <c r="AH507">
        <v>22.618914713142299</v>
      </c>
      <c r="AI507">
        <v>92.8902452124034</v>
      </c>
      <c r="AJ507">
        <v>88.827874301807299</v>
      </c>
      <c r="AK507">
        <v>22.6524635530394</v>
      </c>
      <c r="AL507">
        <v>88.093239395869404</v>
      </c>
      <c r="AM507">
        <v>96.715403697409201</v>
      </c>
      <c r="AN507">
        <v>1.0000000574852099</v>
      </c>
    </row>
    <row r="508" spans="1:40" x14ac:dyDescent="0.3">
      <c r="A508" t="str">
        <f>"20200111145924053"</f>
        <v>20200111145924053</v>
      </c>
      <c r="B508" t="str">
        <f>"1578725964046067"</f>
        <v>1578725964046067</v>
      </c>
      <c r="C508" t="s">
        <v>40</v>
      </c>
      <c r="D508">
        <v>4.231128</v>
      </c>
      <c r="E508">
        <v>0.55117669999999996</v>
      </c>
      <c r="F508" t="s">
        <v>43</v>
      </c>
      <c r="G508">
        <v>-417.48050000000001</v>
      </c>
      <c r="H508">
        <v>-0.05</v>
      </c>
      <c r="I508">
        <v>366.69970000000001</v>
      </c>
      <c r="J508">
        <v>-439.45859999999999</v>
      </c>
      <c r="K508">
        <v>1.091375</v>
      </c>
      <c r="L508">
        <v>367.1651</v>
      </c>
      <c r="M508">
        <v>0.99963440000000003</v>
      </c>
      <c r="N508">
        <v>0</v>
      </c>
      <c r="O508">
        <v>-2.5572429999999998E-3</v>
      </c>
      <c r="P508">
        <v>0.99341670000000004</v>
      </c>
      <c r="Q508">
        <v>6.2347649999999998E-3</v>
      </c>
      <c r="R508">
        <v>0.11438619999999999</v>
      </c>
      <c r="S508">
        <v>3.0283199999999999</v>
      </c>
      <c r="T508">
        <v>-0.15678320000000001</v>
      </c>
      <c r="U508">
        <v>-6.3903810000000005E-2</v>
      </c>
      <c r="V508">
        <v>-0.1169282</v>
      </c>
      <c r="W508">
        <v>3.2958090000000002E-2</v>
      </c>
      <c r="X508">
        <v>0.99259330000000001</v>
      </c>
      <c r="Y508">
        <v>1.851833E-2</v>
      </c>
      <c r="Z508">
        <v>-3.4665649999999999E-4</v>
      </c>
      <c r="AA508">
        <v>0.99982850000000001</v>
      </c>
      <c r="AB508">
        <v>14</v>
      </c>
      <c r="AC508">
        <v>21.978099999999898</v>
      </c>
      <c r="AD508">
        <v>-1.141375</v>
      </c>
      <c r="AE508">
        <v>-0.46539999999998799</v>
      </c>
      <c r="AF508">
        <v>0.40807469059756701</v>
      </c>
      <c r="AG508">
        <v>-1.141375</v>
      </c>
      <c r="AH508">
        <v>21.920127187228498</v>
      </c>
      <c r="AI508">
        <v>92.980168197523994</v>
      </c>
      <c r="AJ508">
        <v>88.933479865364106</v>
      </c>
      <c r="AK508">
        <v>21.953615596252099</v>
      </c>
      <c r="AL508">
        <v>88.111298412181398</v>
      </c>
      <c r="AM508">
        <v>96.718520288893501</v>
      </c>
      <c r="AN508">
        <v>0.99999994942828696</v>
      </c>
    </row>
    <row r="509" spans="1:40" x14ac:dyDescent="0.3">
      <c r="A509" t="str">
        <f>"20200111145924066"</f>
        <v>20200111145924066</v>
      </c>
      <c r="B509" t="str">
        <f>"1578725964055829"</f>
        <v>1578725964055829</v>
      </c>
      <c r="C509" t="s">
        <v>40</v>
      </c>
      <c r="D509">
        <v>4.226216</v>
      </c>
      <c r="E509">
        <v>0.55101809999999996</v>
      </c>
      <c r="F509" t="s">
        <v>43</v>
      </c>
      <c r="G509">
        <v>-417.61540000000002</v>
      </c>
      <c r="H509">
        <v>-0.05</v>
      </c>
      <c r="I509">
        <v>366.71359999999999</v>
      </c>
      <c r="J509">
        <v>-439.3777</v>
      </c>
      <c r="K509">
        <v>1.090611</v>
      </c>
      <c r="L509">
        <v>367.16489999999999</v>
      </c>
      <c r="M509">
        <v>0.99961900000000004</v>
      </c>
      <c r="N509">
        <v>0</v>
      </c>
      <c r="O509">
        <v>-2.5262969999999998E-3</v>
      </c>
      <c r="P509">
        <v>0.99340399999999995</v>
      </c>
      <c r="Q509">
        <v>5.2443849999999998E-3</v>
      </c>
      <c r="R509">
        <v>0.1145477</v>
      </c>
      <c r="S509">
        <v>3.028076</v>
      </c>
      <c r="T509">
        <v>-0.15822610000000001</v>
      </c>
      <c r="U509">
        <v>-6.2591549999999996E-2</v>
      </c>
      <c r="V509">
        <v>-0.1170585</v>
      </c>
      <c r="W509">
        <v>3.2537740000000002E-2</v>
      </c>
      <c r="X509">
        <v>0.99259189999999997</v>
      </c>
      <c r="Y509">
        <v>1.8117950000000001E-2</v>
      </c>
      <c r="Z509">
        <v>-3.4103429999999998E-4</v>
      </c>
      <c r="AA509">
        <v>0.99983580000000005</v>
      </c>
      <c r="AB509">
        <v>14</v>
      </c>
      <c r="AC509">
        <v>21.7622999999999</v>
      </c>
      <c r="AD509">
        <v>-1.140611</v>
      </c>
      <c r="AE509">
        <v>-0.45130000000000298</v>
      </c>
      <c r="AF509">
        <v>0.395214541777479</v>
      </c>
      <c r="AG509">
        <v>-1.140611</v>
      </c>
      <c r="AH509">
        <v>21.703775466137099</v>
      </c>
      <c r="AI509">
        <v>93.007832837452597</v>
      </c>
      <c r="AJ509">
        <v>88.956788741222496</v>
      </c>
      <c r="AK509">
        <v>21.7373194638127</v>
      </c>
      <c r="AL509">
        <v>88.135395785239794</v>
      </c>
      <c r="AM509">
        <v>96.725947978583804</v>
      </c>
      <c r="AN509">
        <v>1.0000000384460801</v>
      </c>
    </row>
    <row r="510" spans="1:40" x14ac:dyDescent="0.3">
      <c r="A510" t="str">
        <f>"20200111145924081"</f>
        <v>20200111145924081</v>
      </c>
      <c r="B510" t="str">
        <f>"1578725964076322"</f>
        <v>1578725964076322</v>
      </c>
      <c r="C510" t="s">
        <v>40</v>
      </c>
      <c r="D510">
        <v>4.2274799999999999</v>
      </c>
      <c r="E510">
        <v>0.55097369999999901</v>
      </c>
      <c r="F510" t="s">
        <v>43</v>
      </c>
      <c r="G510">
        <v>-417.8066</v>
      </c>
      <c r="H510">
        <v>-0.05</v>
      </c>
      <c r="I510">
        <v>366.73270000000002</v>
      </c>
      <c r="J510">
        <v>-439.29230000000001</v>
      </c>
      <c r="K510">
        <v>1.0898300000000001</v>
      </c>
      <c r="L510">
        <v>367.16480000000001</v>
      </c>
      <c r="M510">
        <v>0.99960360000000004</v>
      </c>
      <c r="N510">
        <v>0</v>
      </c>
      <c r="O510">
        <v>-2.4926919999999999E-3</v>
      </c>
      <c r="P510">
        <v>0.9934096</v>
      </c>
      <c r="Q510">
        <v>4.8103879999999996E-3</v>
      </c>
      <c r="R510">
        <v>0.1145169</v>
      </c>
      <c r="S510">
        <v>3.0278019999999999</v>
      </c>
      <c r="T510">
        <v>-0.16010070000000001</v>
      </c>
      <c r="U510">
        <v>-6.0668949999999999E-2</v>
      </c>
      <c r="V510">
        <v>-0.11699420000000001</v>
      </c>
      <c r="W510">
        <v>3.2658319999999998E-2</v>
      </c>
      <c r="X510">
        <v>0.99259549999999996</v>
      </c>
      <c r="Y510">
        <v>1.7519050000000001E-2</v>
      </c>
      <c r="Z510">
        <v>-3.3105530000000002E-4</v>
      </c>
      <c r="AA510">
        <v>0.99984649999999997</v>
      </c>
      <c r="AB510">
        <v>14</v>
      </c>
      <c r="AC510">
        <v>21.485700000000001</v>
      </c>
      <c r="AD510">
        <v>-1.1398299999999999</v>
      </c>
      <c r="AE510">
        <v>-0.43209999999999099</v>
      </c>
      <c r="AF510">
        <v>0.377458473864759</v>
      </c>
      <c r="AG510">
        <v>-1.1398299999999999</v>
      </c>
      <c r="AH510">
        <v>21.4264331869574</v>
      </c>
      <c r="AI510">
        <v>93.044643199260705</v>
      </c>
      <c r="AJ510">
        <v>88.990754060681695</v>
      </c>
      <c r="AK510">
        <v>21.4600495442937</v>
      </c>
      <c r="AL510">
        <v>88.128483347848999</v>
      </c>
      <c r="AM510">
        <v>96.722263091745106</v>
      </c>
      <c r="AN510">
        <v>1.00000001765955</v>
      </c>
    </row>
    <row r="511" spans="1:40" x14ac:dyDescent="0.3">
      <c r="A511" t="str">
        <f>"20200111145924096"</f>
        <v>20200111145924096</v>
      </c>
      <c r="B511" t="str">
        <f>"1578725964086082"</f>
        <v>1578725964086082</v>
      </c>
      <c r="C511" t="s">
        <v>40</v>
      </c>
      <c r="D511">
        <v>4.3485680000000002</v>
      </c>
      <c r="E511">
        <v>0.55113809999999996</v>
      </c>
      <c r="F511" t="s">
        <v>43</v>
      </c>
      <c r="G511">
        <v>-418.0455</v>
      </c>
      <c r="H511">
        <v>-0.05</v>
      </c>
      <c r="I511">
        <v>366.7414</v>
      </c>
      <c r="J511">
        <v>-439.19130000000001</v>
      </c>
      <c r="K511">
        <v>1.088978</v>
      </c>
      <c r="L511">
        <v>367.16460000000001</v>
      </c>
      <c r="M511">
        <v>0.9995887</v>
      </c>
      <c r="N511">
        <v>0</v>
      </c>
      <c r="O511">
        <v>-2.4515349999999999E-3</v>
      </c>
      <c r="P511">
        <v>0.99336270000000004</v>
      </c>
      <c r="Q511">
        <v>4.4258420000000001E-3</v>
      </c>
      <c r="R511">
        <v>0.11494</v>
      </c>
      <c r="S511">
        <v>3.0276489999999998</v>
      </c>
      <c r="T511">
        <v>-0.1624245</v>
      </c>
      <c r="U511">
        <v>-6.0333249999999998E-2</v>
      </c>
      <c r="V511">
        <v>-0.1173766</v>
      </c>
      <c r="W511">
        <v>3.2797010000000001E-2</v>
      </c>
      <c r="X511">
        <v>0.99254580000000003</v>
      </c>
      <c r="Y511">
        <v>1.7449799999999901E-2</v>
      </c>
      <c r="Z511">
        <v>-3.362199E-4</v>
      </c>
      <c r="AA511">
        <v>0.99984770000000001</v>
      </c>
      <c r="AB511">
        <v>14</v>
      </c>
      <c r="AC511">
        <v>21.145800000000001</v>
      </c>
      <c r="AD511">
        <v>-1.138978</v>
      </c>
      <c r="AE511">
        <v>-0.42320000000000801</v>
      </c>
      <c r="AF511">
        <v>0.37026409210827699</v>
      </c>
      <c r="AG511">
        <v>-1.138978</v>
      </c>
      <c r="AH511">
        <v>21.085624526166299</v>
      </c>
      <c r="AI511">
        <v>93.091454203118701</v>
      </c>
      <c r="AJ511">
        <v>88.993988078265403</v>
      </c>
      <c r="AK511">
        <v>21.119610035245799</v>
      </c>
      <c r="AL511">
        <v>88.120532774713496</v>
      </c>
      <c r="AM511">
        <v>96.744367594210303</v>
      </c>
      <c r="AN511">
        <v>1.00000003759506</v>
      </c>
    </row>
    <row r="512" spans="1:40" x14ac:dyDescent="0.3">
      <c r="A512" t="str">
        <f>"20200111145924109"</f>
        <v>20200111145924109</v>
      </c>
      <c r="B512" t="str">
        <f>"1578725964106578"</f>
        <v>1578725964106578</v>
      </c>
      <c r="C512" t="s">
        <v>40</v>
      </c>
      <c r="D512">
        <v>4.2276499999999997</v>
      </c>
      <c r="E512">
        <v>0.5511315</v>
      </c>
      <c r="F512" t="s">
        <v>43</v>
      </c>
      <c r="G512">
        <v>-418.44490000000002</v>
      </c>
      <c r="H512">
        <v>-0.05</v>
      </c>
      <c r="I512">
        <v>366.7482</v>
      </c>
      <c r="J512">
        <v>-439.11380000000003</v>
      </c>
      <c r="K512">
        <v>1.0883590000000001</v>
      </c>
      <c r="L512">
        <v>367.1644</v>
      </c>
      <c r="M512">
        <v>0.99957929999999995</v>
      </c>
      <c r="N512">
        <v>0</v>
      </c>
      <c r="O512">
        <v>-2.4203250000000001E-3</v>
      </c>
      <c r="P512">
        <v>0.99332549999999997</v>
      </c>
      <c r="Q512">
        <v>4.2515699999999997E-3</v>
      </c>
      <c r="R512">
        <v>0.1152667</v>
      </c>
      <c r="S512">
        <v>3.0278019999999999</v>
      </c>
      <c r="T512">
        <v>-0.16622609999999999</v>
      </c>
      <c r="U512">
        <v>-6.0760500000000002E-2</v>
      </c>
      <c r="V512">
        <v>-0.1176722</v>
      </c>
      <c r="W512">
        <v>3.2951889999999998E-2</v>
      </c>
      <c r="X512">
        <v>0.99250559999999999</v>
      </c>
      <c r="Y512">
        <v>1.761971E-2</v>
      </c>
      <c r="Z512">
        <v>-3.5043109999999999E-4</v>
      </c>
      <c r="AA512">
        <v>0.99984470000000003</v>
      </c>
      <c r="AB512">
        <v>14</v>
      </c>
      <c r="AC512">
        <v>20.668900000000001</v>
      </c>
      <c r="AD512">
        <v>-1.1383589999999999</v>
      </c>
      <c r="AE512">
        <v>-0.41620000000000301</v>
      </c>
      <c r="AF512">
        <v>0.36504555141318501</v>
      </c>
      <c r="AG512">
        <v>-1.1383589999999999</v>
      </c>
      <c r="AH512">
        <v>20.6073629838904</v>
      </c>
      <c r="AI512">
        <v>93.161333390961403</v>
      </c>
      <c r="AJ512">
        <v>88.985150011476904</v>
      </c>
      <c r="AK512">
        <v>20.642008831925899</v>
      </c>
      <c r="AL512">
        <v>88.111653877701102</v>
      </c>
      <c r="AM512">
        <v>96.7614668098322</v>
      </c>
      <c r="AN512">
        <v>0.999999969869385</v>
      </c>
    </row>
    <row r="513" spans="1:40" x14ac:dyDescent="0.3">
      <c r="A513" t="str">
        <f>"20200111145924124"</f>
        <v>20200111145924124</v>
      </c>
      <c r="B513" t="str">
        <f>"1578725964116339"</f>
        <v>1578725964116339</v>
      </c>
      <c r="C513" t="s">
        <v>40</v>
      </c>
      <c r="D513">
        <v>4.2598789999999997</v>
      </c>
      <c r="E513">
        <v>0.55102629999999997</v>
      </c>
      <c r="F513" t="s">
        <v>43</v>
      </c>
      <c r="G513">
        <v>-418.87209999999999</v>
      </c>
      <c r="H513">
        <v>-0.05</v>
      </c>
      <c r="I513">
        <v>366.76679999999999</v>
      </c>
      <c r="J513">
        <v>-439.02460000000002</v>
      </c>
      <c r="K513">
        <v>1.0876809999999999</v>
      </c>
      <c r="L513">
        <v>367.16419999999999</v>
      </c>
      <c r="M513">
        <v>0.99957010000000002</v>
      </c>
      <c r="N513">
        <v>0</v>
      </c>
      <c r="O513">
        <v>-2.3848329999999998E-3</v>
      </c>
      <c r="P513">
        <v>0.9932877</v>
      </c>
      <c r="Q513">
        <v>4.2852940000000003E-3</v>
      </c>
      <c r="R513">
        <v>0.1155914</v>
      </c>
      <c r="S513">
        <v>3.027771</v>
      </c>
      <c r="T513">
        <v>-0.1702767</v>
      </c>
      <c r="U513">
        <v>-5.9478759999999999E-2</v>
      </c>
      <c r="V513">
        <v>-0.11796189999999999</v>
      </c>
      <c r="W513">
        <v>3.3303609999999997E-2</v>
      </c>
      <c r="X513">
        <v>0.99245950000000005</v>
      </c>
      <c r="Y513">
        <v>1.7231719999999999E-2</v>
      </c>
      <c r="Z513">
        <v>-3.500558E-4</v>
      </c>
      <c r="AA513">
        <v>0.9998515</v>
      </c>
      <c r="AB513">
        <v>14</v>
      </c>
      <c r="AC513">
        <v>20.1525</v>
      </c>
      <c r="AD513">
        <v>-1.1376809999999999</v>
      </c>
      <c r="AE513">
        <v>-0.39740000000000397</v>
      </c>
      <c r="AF513">
        <v>0.34820867626700902</v>
      </c>
      <c r="AG513">
        <v>-1.1376809999999999</v>
      </c>
      <c r="AH513">
        <v>20.089390619715601</v>
      </c>
      <c r="AI513">
        <v>93.240765890857702</v>
      </c>
      <c r="AJ513">
        <v>89.006993775051001</v>
      </c>
      <c r="AK513">
        <v>20.124591494276501</v>
      </c>
      <c r="AL513">
        <v>88.091490795367307</v>
      </c>
      <c r="AM513">
        <v>96.778270254632304</v>
      </c>
      <c r="AN513">
        <v>0.99999999971544595</v>
      </c>
    </row>
    <row r="514" spans="1:40" x14ac:dyDescent="0.3">
      <c r="A514" t="str">
        <f>"20200111145924142"</f>
        <v>20200111145924142</v>
      </c>
      <c r="B514" t="str">
        <f>"1578725964135858"</f>
        <v>1578725964135858</v>
      </c>
      <c r="C514" t="s">
        <v>40</v>
      </c>
      <c r="D514">
        <v>4.2948269999999997</v>
      </c>
      <c r="E514">
        <v>0.55094449999999995</v>
      </c>
      <c r="F514" t="s">
        <v>43</v>
      </c>
      <c r="G514">
        <v>-418.96899999999999</v>
      </c>
      <c r="H514">
        <v>-0.05</v>
      </c>
      <c r="I514">
        <v>366.78089999999997</v>
      </c>
      <c r="J514">
        <v>-438.91079999999999</v>
      </c>
      <c r="K514">
        <v>1.0868819999999999</v>
      </c>
      <c r="L514">
        <v>367.16399999999999</v>
      </c>
      <c r="M514">
        <v>0.99956199999999995</v>
      </c>
      <c r="N514">
        <v>0</v>
      </c>
      <c r="O514">
        <v>-2.3396160000000001E-3</v>
      </c>
      <c r="P514">
        <v>0.9932974</v>
      </c>
      <c r="Q514">
        <v>5.0092540000000003E-3</v>
      </c>
      <c r="R514">
        <v>0.115478399999999</v>
      </c>
      <c r="S514">
        <v>3.0277099999999999</v>
      </c>
      <c r="T514">
        <v>-0.1717515</v>
      </c>
      <c r="U514">
        <v>-5.7861330000000002E-2</v>
      </c>
      <c r="V514">
        <v>-0.11780409999999999</v>
      </c>
      <c r="W514">
        <v>3.4298679999999998E-2</v>
      </c>
      <c r="X514">
        <v>0.99244429999999995</v>
      </c>
      <c r="Y514">
        <v>1.67437E-2</v>
      </c>
      <c r="Z514">
        <v>-3.4182480000000001E-4</v>
      </c>
      <c r="AA514">
        <v>0.99985979999999997</v>
      </c>
      <c r="AB514">
        <v>14</v>
      </c>
      <c r="AC514">
        <v>19.941800000000001</v>
      </c>
      <c r="AD514">
        <v>-1.1368819999999999</v>
      </c>
      <c r="AE514">
        <v>-0.38310000000001299</v>
      </c>
      <c r="AF514">
        <v>0.33533300261693599</v>
      </c>
      <c r="AG514">
        <v>-1.1368819999999999</v>
      </c>
      <c r="AH514">
        <v>19.8780594296041</v>
      </c>
      <c r="AI514">
        <v>93.272875816950801</v>
      </c>
      <c r="AJ514">
        <v>89.033540291062494</v>
      </c>
      <c r="AK514">
        <v>19.913367258990601</v>
      </c>
      <c r="AL514">
        <v>88.034444780754299</v>
      </c>
      <c r="AM514">
        <v>96.769389740026398</v>
      </c>
      <c r="AN514">
        <v>0.999999947014519</v>
      </c>
    </row>
    <row r="515" spans="1:40" x14ac:dyDescent="0.3">
      <c r="A515" t="str">
        <f>"20200111145924155"</f>
        <v>20200111145924155</v>
      </c>
      <c r="B515" t="str">
        <f>"1578725964146594"</f>
        <v>1578725964146594</v>
      </c>
      <c r="C515" t="s">
        <v>40</v>
      </c>
      <c r="D515">
        <v>4.2604889999999997</v>
      </c>
      <c r="E515">
        <v>0.55089149999999998</v>
      </c>
      <c r="F515" t="s">
        <v>43</v>
      </c>
      <c r="G515">
        <v>-419.03480000000002</v>
      </c>
      <c r="H515">
        <v>-0.05</v>
      </c>
      <c r="I515">
        <v>366.78980000000001</v>
      </c>
      <c r="J515">
        <v>-438.82119999999998</v>
      </c>
      <c r="K515">
        <v>1.0863080000000001</v>
      </c>
      <c r="L515">
        <v>367.16379999999998</v>
      </c>
      <c r="M515">
        <v>0.99955899999999998</v>
      </c>
      <c r="N515">
        <v>0</v>
      </c>
      <c r="O515">
        <v>-2.304356E-3</v>
      </c>
      <c r="P515">
        <v>0.99332310000000001</v>
      </c>
      <c r="Q515">
        <v>5.1399200000000001E-3</v>
      </c>
      <c r="R515">
        <v>0.1152504</v>
      </c>
      <c r="S515">
        <v>3.0277400000000001</v>
      </c>
      <c r="T515">
        <v>-0.17318320000000001</v>
      </c>
      <c r="U515">
        <v>-5.7006840000000003E-2</v>
      </c>
      <c r="V515">
        <v>-0.11754100000000001</v>
      </c>
      <c r="W515">
        <v>3.453552E-2</v>
      </c>
      <c r="X515">
        <v>0.99246730000000005</v>
      </c>
      <c r="Y515">
        <v>1.6496650000000002E-2</v>
      </c>
      <c r="Z515">
        <v>-3.3962340000000003E-4</v>
      </c>
      <c r="AA515">
        <v>0.99986390000000003</v>
      </c>
      <c r="AB515">
        <v>14</v>
      </c>
      <c r="AC515">
        <v>19.786399999999901</v>
      </c>
      <c r="AD515">
        <v>-1.1363080000000001</v>
      </c>
      <c r="AE515">
        <v>-0.37399999999996603</v>
      </c>
      <c r="AF515">
        <v>0.327305015516897</v>
      </c>
      <c r="AG515">
        <v>-1.1363080000000001</v>
      </c>
      <c r="AH515">
        <v>19.722187898382199</v>
      </c>
      <c r="AI515">
        <v>93.297038897499803</v>
      </c>
      <c r="AJ515">
        <v>89.049219350480996</v>
      </c>
      <c r="AK515">
        <v>19.7576066349935</v>
      </c>
      <c r="AL515">
        <v>88.020866839390905</v>
      </c>
      <c r="AM515">
        <v>96.754255948146096</v>
      </c>
      <c r="AN515">
        <v>0.999999965195979</v>
      </c>
    </row>
    <row r="516" spans="1:40" x14ac:dyDescent="0.3">
      <c r="A516" t="str">
        <f>"20200111145924170"</f>
        <v>20200111145924170</v>
      </c>
      <c r="B516" t="str">
        <f>"1578725964166114"</f>
        <v>1578725964166114</v>
      </c>
      <c r="C516" t="s">
        <v>40</v>
      </c>
      <c r="D516">
        <v>4.2725400000000002</v>
      </c>
      <c r="E516">
        <v>0.55077119999999902</v>
      </c>
      <c r="F516" t="s">
        <v>43</v>
      </c>
      <c r="G516">
        <v>-419.07279999999997</v>
      </c>
      <c r="H516">
        <v>-0.05</v>
      </c>
      <c r="I516">
        <v>366.79</v>
      </c>
      <c r="J516">
        <v>-438.74059999999997</v>
      </c>
      <c r="K516">
        <v>1.0858289999999999</v>
      </c>
      <c r="L516">
        <v>367.16370000000001</v>
      </c>
      <c r="M516">
        <v>0.99955799999999995</v>
      </c>
      <c r="N516">
        <v>0</v>
      </c>
      <c r="O516">
        <v>-2.272741E-3</v>
      </c>
      <c r="P516">
        <v>0.99332370000000003</v>
      </c>
      <c r="Q516">
        <v>5.3615879999999996E-3</v>
      </c>
      <c r="R516">
        <v>0.1152364</v>
      </c>
      <c r="S516">
        <v>3.0277400000000001</v>
      </c>
      <c r="T516">
        <v>-0.17421420000000001</v>
      </c>
      <c r="U516">
        <v>-5.7312009999999997E-2</v>
      </c>
      <c r="V516">
        <v>-0.1174954</v>
      </c>
      <c r="W516">
        <v>3.4794770000000003E-2</v>
      </c>
      <c r="X516">
        <v>0.9924636</v>
      </c>
      <c r="Y516">
        <v>1.6628469999999999E-2</v>
      </c>
      <c r="Z516">
        <v>-3.4724860000000002E-4</v>
      </c>
      <c r="AA516">
        <v>0.99986169999999996</v>
      </c>
      <c r="AB516">
        <v>14</v>
      </c>
      <c r="AC516">
        <v>19.6678</v>
      </c>
      <c r="AD516">
        <v>-1.135829</v>
      </c>
      <c r="AE516">
        <v>-0.37369999999998499</v>
      </c>
      <c r="AF516">
        <v>0.32788641498238502</v>
      </c>
      <c r="AG516">
        <v>-1.135829</v>
      </c>
      <c r="AH516">
        <v>19.603242851393102</v>
      </c>
      <c r="AI516">
        <v>93.315597232191195</v>
      </c>
      <c r="AJ516">
        <v>89.041752619789193</v>
      </c>
      <c r="AK516">
        <v>19.638858095853301</v>
      </c>
      <c r="AL516">
        <v>88.006003887364699</v>
      </c>
      <c r="AM516">
        <v>96.751684769172897</v>
      </c>
      <c r="AN516">
        <v>0.99999992118273295</v>
      </c>
    </row>
    <row r="517" spans="1:40" x14ac:dyDescent="0.3">
      <c r="A517" t="str">
        <f>"20200111145924187"</f>
        <v>20200111145924187</v>
      </c>
      <c r="B517" t="str">
        <f>"1578725964175874"</f>
        <v>1578725964175874</v>
      </c>
      <c r="C517" t="s">
        <v>40</v>
      </c>
      <c r="D517">
        <v>4.3514179999999998</v>
      </c>
      <c r="E517">
        <v>0.55073939999999999</v>
      </c>
      <c r="F517" t="s">
        <v>43</v>
      </c>
      <c r="G517">
        <v>-419.23809999999997</v>
      </c>
      <c r="H517">
        <v>-0.05</v>
      </c>
      <c r="I517">
        <v>366.80070000000001</v>
      </c>
      <c r="J517">
        <v>-438.62689999999998</v>
      </c>
      <c r="K517">
        <v>1.085189</v>
      </c>
      <c r="L517">
        <v>367.1635</v>
      </c>
      <c r="M517">
        <v>0.99956109999999998</v>
      </c>
      <c r="N517">
        <v>0</v>
      </c>
      <c r="O517">
        <v>-2.2279359999999998E-3</v>
      </c>
      <c r="P517">
        <v>0.99331820000000004</v>
      </c>
      <c r="Q517">
        <v>5.3066659999999998E-3</v>
      </c>
      <c r="R517">
        <v>0.1152861</v>
      </c>
      <c r="S517">
        <v>3.0276489999999998</v>
      </c>
      <c r="T517">
        <v>-0.1763313</v>
      </c>
      <c r="U517">
        <v>-5.6365970000000001E-2</v>
      </c>
      <c r="V517">
        <v>-0.1175003</v>
      </c>
      <c r="W517">
        <v>3.4644179999999997E-2</v>
      </c>
      <c r="X517">
        <v>0.99246840000000003</v>
      </c>
      <c r="Y517">
        <v>1.636135E-2</v>
      </c>
      <c r="Z517">
        <v>-3.4631009999999999E-4</v>
      </c>
      <c r="AA517">
        <v>0.99986609999999998</v>
      </c>
      <c r="AB517">
        <v>14</v>
      </c>
      <c r="AC517">
        <v>19.3888</v>
      </c>
      <c r="AD517">
        <v>-1.135189</v>
      </c>
      <c r="AE517">
        <v>-0.36279999999999202</v>
      </c>
      <c r="AF517">
        <v>0.31849184114461399</v>
      </c>
      <c r="AG517">
        <v>-1.135189</v>
      </c>
      <c r="AH517">
        <v>19.323344211396499</v>
      </c>
      <c r="AI517">
        <v>93.361636882488895</v>
      </c>
      <c r="AJ517">
        <v>89.055723175364193</v>
      </c>
      <c r="AK517">
        <v>19.359280013231601</v>
      </c>
      <c r="AL517">
        <v>88.014637485379495</v>
      </c>
      <c r="AM517">
        <v>96.751931386394403</v>
      </c>
      <c r="AN517">
        <v>1.0000000323532601</v>
      </c>
    </row>
    <row r="518" spans="1:40" x14ac:dyDescent="0.3">
      <c r="A518" t="str">
        <f>"20200111145924200"</f>
        <v>20200111145924200</v>
      </c>
      <c r="B518" t="str">
        <f>"1578725964196371"</f>
        <v>1578725964196371</v>
      </c>
      <c r="C518" t="s">
        <v>40</v>
      </c>
      <c r="D518">
        <v>4.2772430000000004</v>
      </c>
      <c r="E518">
        <v>0.55055089999999995</v>
      </c>
      <c r="F518" t="s">
        <v>43</v>
      </c>
      <c r="G518">
        <v>-419.29750000000001</v>
      </c>
      <c r="H518">
        <v>-0.05</v>
      </c>
      <c r="I518">
        <v>366.80399999999997</v>
      </c>
      <c r="J518">
        <v>-438.54259999999999</v>
      </c>
      <c r="K518">
        <v>1.084719</v>
      </c>
      <c r="L518">
        <v>367.16340000000002</v>
      </c>
      <c r="M518">
        <v>0.99956739999999999</v>
      </c>
      <c r="N518">
        <v>0</v>
      </c>
      <c r="O518">
        <v>-2.194278E-3</v>
      </c>
      <c r="P518">
        <v>0.99333780000000005</v>
      </c>
      <c r="Q518">
        <v>5.4158560000000001E-3</v>
      </c>
      <c r="R518">
        <v>0.1151127</v>
      </c>
      <c r="S518">
        <v>3.027679</v>
      </c>
      <c r="T518">
        <v>-0.17781179999999999</v>
      </c>
      <c r="U518">
        <v>-5.6304930000000003E-2</v>
      </c>
      <c r="V518">
        <v>-0.11729349999999999</v>
      </c>
      <c r="W518">
        <v>3.4540759999999997E-2</v>
      </c>
      <c r="X518">
        <v>0.99249639999999995</v>
      </c>
      <c r="Y518">
        <v>1.6374199999999998E-2</v>
      </c>
      <c r="Z518">
        <v>-3.5156299999999999E-4</v>
      </c>
      <c r="AA518">
        <v>0.99986589999999997</v>
      </c>
      <c r="AB518">
        <v>14</v>
      </c>
      <c r="AC518">
        <v>19.245099999999901</v>
      </c>
      <c r="AD518">
        <v>-1.134719</v>
      </c>
      <c r="AE518">
        <v>-0.359399999999993</v>
      </c>
      <c r="AF518">
        <v>0.31605349812400502</v>
      </c>
      <c r="AG518">
        <v>-1.134719</v>
      </c>
      <c r="AH518">
        <v>19.179190291333001</v>
      </c>
      <c r="AI518">
        <v>93.385446090071596</v>
      </c>
      <c r="AJ518">
        <v>89.0559094325709</v>
      </c>
      <c r="AK518">
        <v>19.2153276644922</v>
      </c>
      <c r="AL518">
        <v>88.020566433102204</v>
      </c>
      <c r="AM518">
        <v>96.739969041030506</v>
      </c>
      <c r="AN518">
        <v>0.99999996662829305</v>
      </c>
    </row>
    <row r="519" spans="1:40" x14ac:dyDescent="0.3">
      <c r="A519" t="str">
        <f>"20200111145924213"</f>
        <v>20200111145924213</v>
      </c>
      <c r="B519" t="str">
        <f>"1578725964206131"</f>
        <v>1578725964206131</v>
      </c>
      <c r="C519" t="s">
        <v>40</v>
      </c>
      <c r="D519">
        <v>4.4137279999999999</v>
      </c>
      <c r="E519">
        <v>0.55048079999999999</v>
      </c>
      <c r="F519" t="s">
        <v>43</v>
      </c>
      <c r="G519">
        <v>-419.49149999999997</v>
      </c>
      <c r="H519">
        <v>-0.05</v>
      </c>
      <c r="I519">
        <v>366.815</v>
      </c>
      <c r="J519">
        <v>-438.4563</v>
      </c>
      <c r="K519">
        <v>1.0842160000000001</v>
      </c>
      <c r="L519">
        <v>367.16320000000002</v>
      </c>
      <c r="M519">
        <v>0.99957790000000002</v>
      </c>
      <c r="N519">
        <v>0</v>
      </c>
      <c r="O519">
        <v>-2.1598289999999998E-3</v>
      </c>
      <c r="P519">
        <v>0.99333360000000004</v>
      </c>
      <c r="Q519">
        <v>5.2875919999999998E-3</v>
      </c>
      <c r="R519">
        <v>0.1151542</v>
      </c>
      <c r="S519">
        <v>3.0275270000000001</v>
      </c>
      <c r="T519">
        <v>-0.18032529999999999</v>
      </c>
      <c r="U519">
        <v>-5.5358890000000001E-2</v>
      </c>
      <c r="V519">
        <v>-0.1173006</v>
      </c>
      <c r="W519">
        <v>3.40542E-2</v>
      </c>
      <c r="X519">
        <v>0.99251239999999996</v>
      </c>
      <c r="Y519">
        <v>1.609702E-2</v>
      </c>
      <c r="Z519">
        <v>-3.5034820000000001E-4</v>
      </c>
      <c r="AA519">
        <v>0.99987040000000005</v>
      </c>
      <c r="AB519">
        <v>14</v>
      </c>
      <c r="AC519">
        <v>18.9648</v>
      </c>
      <c r="AD519">
        <v>-1.1342159999999999</v>
      </c>
      <c r="AE519">
        <v>-0.34820000000001899</v>
      </c>
      <c r="AF519">
        <v>0.30612667519882197</v>
      </c>
      <c r="AG519">
        <v>-1.1342159999999999</v>
      </c>
      <c r="AH519">
        <v>18.897936681357201</v>
      </c>
      <c r="AI519">
        <v>93.434207417038394</v>
      </c>
      <c r="AJ519">
        <v>89.071949872456003</v>
      </c>
      <c r="AK519">
        <v>18.934417611548302</v>
      </c>
      <c r="AL519">
        <v>88.048460728855403</v>
      </c>
      <c r="AM519">
        <v>96.740265610730006</v>
      </c>
      <c r="AN519">
        <v>0.99999999172587895</v>
      </c>
    </row>
    <row r="520" spans="1:40" x14ac:dyDescent="0.3">
      <c r="A520" t="str">
        <f>"20200111145924231"</f>
        <v>20200111145924231</v>
      </c>
      <c r="B520" t="str">
        <f>"1578725964226626"</f>
        <v>1578725964226626</v>
      </c>
      <c r="C520" t="s">
        <v>40</v>
      </c>
      <c r="D520">
        <v>4.3402129999999897</v>
      </c>
      <c r="E520">
        <v>0.55026560000000002</v>
      </c>
      <c r="F520" t="s">
        <v>43</v>
      </c>
      <c r="G520">
        <v>-419.62049999999999</v>
      </c>
      <c r="H520">
        <v>-0.05</v>
      </c>
      <c r="I520">
        <v>366.82470000000001</v>
      </c>
      <c r="J520">
        <v>-438.34350000000001</v>
      </c>
      <c r="K520">
        <v>1.083523</v>
      </c>
      <c r="L520">
        <v>367.16300000000001</v>
      </c>
      <c r="M520">
        <v>0.99959180000000003</v>
      </c>
      <c r="N520">
        <v>0</v>
      </c>
      <c r="O520">
        <v>-2.1156669999999999E-3</v>
      </c>
      <c r="P520">
        <v>0.99339460000000002</v>
      </c>
      <c r="Q520">
        <v>4.403868E-3</v>
      </c>
      <c r="R520">
        <v>0.11466460000000001</v>
      </c>
      <c r="S520">
        <v>3.0274350000000001</v>
      </c>
      <c r="T520">
        <v>-0.18229970000000001</v>
      </c>
      <c r="U520">
        <v>-5.4412839999999997E-2</v>
      </c>
      <c r="V520">
        <v>-0.1167678</v>
      </c>
      <c r="W520">
        <v>3.2698829999999998E-2</v>
      </c>
      <c r="X520">
        <v>0.99262079999999997</v>
      </c>
      <c r="Y520">
        <v>1.5829289999999999E-2</v>
      </c>
      <c r="Z520">
        <v>-3.4879570000000002E-4</v>
      </c>
      <c r="AA520">
        <v>0.99987470000000001</v>
      </c>
      <c r="AB520">
        <v>14</v>
      </c>
      <c r="AC520">
        <v>18.722999999999999</v>
      </c>
      <c r="AD520">
        <v>-1.1335230000000001</v>
      </c>
      <c r="AE520">
        <v>-0.33830000000000299</v>
      </c>
      <c r="AF520">
        <v>0.29758115280654701</v>
      </c>
      <c r="AG520">
        <v>-1.1335230000000001</v>
      </c>
      <c r="AH520">
        <v>18.655319016997701</v>
      </c>
      <c r="AI520">
        <v>93.476654767269196</v>
      </c>
      <c r="AJ520">
        <v>89.086121326727707</v>
      </c>
      <c r="AK520">
        <v>18.692093423690899</v>
      </c>
      <c r="AL520">
        <v>88.126161008574101</v>
      </c>
      <c r="AM520">
        <v>96.709203838042896</v>
      </c>
      <c r="AN520">
        <v>0.99999999259642403</v>
      </c>
    </row>
    <row r="521" spans="1:40" x14ac:dyDescent="0.3">
      <c r="A521" t="str">
        <f>"20200111145924245"</f>
        <v>20200111145924245</v>
      </c>
      <c r="B521" t="str">
        <f>"1578725964236386"</f>
        <v>1578725964236386</v>
      </c>
      <c r="C521" t="s">
        <v>40</v>
      </c>
      <c r="D521">
        <v>4.3502199999999904</v>
      </c>
      <c r="E521">
        <v>0.55009790000000003</v>
      </c>
      <c r="F521" t="s">
        <v>43</v>
      </c>
      <c r="G521">
        <v>-420.07600000000002</v>
      </c>
      <c r="H521">
        <v>-0.05</v>
      </c>
      <c r="I521">
        <v>366.83609999999999</v>
      </c>
      <c r="J521">
        <v>-438.25529999999998</v>
      </c>
      <c r="K521">
        <v>1.0829470000000001</v>
      </c>
      <c r="L521">
        <v>367.16289999999998</v>
      </c>
      <c r="M521">
        <v>0.99960230000000005</v>
      </c>
      <c r="N521">
        <v>0</v>
      </c>
      <c r="O521">
        <v>-2.081131E-3</v>
      </c>
      <c r="P521">
        <v>0.99338910000000002</v>
      </c>
      <c r="Q521">
        <v>4.362922E-3</v>
      </c>
      <c r="R521">
        <v>0.1147132</v>
      </c>
      <c r="S521">
        <v>3.0270389999999998</v>
      </c>
      <c r="T521">
        <v>-0.18783140000000001</v>
      </c>
      <c r="U521">
        <v>-5.41687E-2</v>
      </c>
      <c r="V521">
        <v>-0.1167821</v>
      </c>
      <c r="W521">
        <v>3.2291830000000001E-2</v>
      </c>
      <c r="X521">
        <v>0.99263239999999997</v>
      </c>
      <c r="Y521">
        <v>1.5784079999999999E-2</v>
      </c>
      <c r="Z521">
        <v>-3.6014849999999998E-4</v>
      </c>
      <c r="AA521">
        <v>0.99987539999999997</v>
      </c>
      <c r="AB521">
        <v>14</v>
      </c>
      <c r="AC521">
        <v>18.179300000000001</v>
      </c>
      <c r="AD521">
        <v>-1.1329469999999999</v>
      </c>
      <c r="AE521">
        <v>-0.32679999999999099</v>
      </c>
      <c r="AF521">
        <v>0.287833270253396</v>
      </c>
      <c r="AG521">
        <v>-1.1329469999999999</v>
      </c>
      <c r="AH521">
        <v>18.109628232640802</v>
      </c>
      <c r="AI521">
        <v>93.579335120669896</v>
      </c>
      <c r="AJ521">
        <v>89.089421224022104</v>
      </c>
      <c r="AK521">
        <v>18.1473152730847</v>
      </c>
      <c r="AL521">
        <v>88.1494926365814</v>
      </c>
      <c r="AM521">
        <v>96.7099402919157</v>
      </c>
      <c r="AN521">
        <v>0.999999951347458</v>
      </c>
    </row>
    <row r="522" spans="1:40" x14ac:dyDescent="0.3">
      <c r="A522" t="str">
        <f>"20200111145924258"</f>
        <v>20200111145924258</v>
      </c>
      <c r="B522" t="str">
        <f>"1578725964246146"</f>
        <v>1578725964246146</v>
      </c>
      <c r="C522" t="s">
        <v>40</v>
      </c>
      <c r="D522">
        <v>4.4820169999999999</v>
      </c>
      <c r="E522">
        <v>0.55009790000000003</v>
      </c>
      <c r="F522" t="s">
        <v>43</v>
      </c>
      <c r="G522">
        <v>-420.14620000000002</v>
      </c>
      <c r="H522">
        <v>-0.05</v>
      </c>
      <c r="I522">
        <v>366.84660000000002</v>
      </c>
      <c r="J522">
        <v>-438.16840000000002</v>
      </c>
      <c r="K522">
        <v>1.082338</v>
      </c>
      <c r="L522">
        <v>367.16269999999997</v>
      </c>
      <c r="M522">
        <v>0.99961219999999995</v>
      </c>
      <c r="N522">
        <v>0</v>
      </c>
      <c r="O522">
        <v>-2.047147E-3</v>
      </c>
      <c r="P522">
        <v>0.99342470000000005</v>
      </c>
      <c r="Q522">
        <v>4.3977209999999899E-3</v>
      </c>
      <c r="R522">
        <v>0.1144028</v>
      </c>
      <c r="S522">
        <v>3.0268549999999999</v>
      </c>
      <c r="T522">
        <v>-0.18936649999999999</v>
      </c>
      <c r="U522">
        <v>-5.2856449999999999E-2</v>
      </c>
      <c r="V522">
        <v>-0.11643779999999999</v>
      </c>
      <c r="W522">
        <v>3.1979180000000003E-2</v>
      </c>
      <c r="X522">
        <v>0.99268299999999998</v>
      </c>
      <c r="Y522">
        <v>1.53861E-2</v>
      </c>
      <c r="Z522">
        <v>-3.5279920000000001E-4</v>
      </c>
      <c r="AA522">
        <v>0.99988160000000004</v>
      </c>
      <c r="AB522">
        <v>14</v>
      </c>
      <c r="AC522">
        <v>18.022200000000002</v>
      </c>
      <c r="AD522">
        <v>-1.1323379999999901</v>
      </c>
      <c r="AE522">
        <v>-0.31609999999994898</v>
      </c>
      <c r="AF522">
        <v>0.27809353573322299</v>
      </c>
      <c r="AG522">
        <v>-1.1323379999999901</v>
      </c>
      <c r="AH522">
        <v>17.951963625747599</v>
      </c>
      <c r="AI522">
        <v>93.608775134971197</v>
      </c>
      <c r="AJ522">
        <v>89.112503128193495</v>
      </c>
      <c r="AK522">
        <v>17.9897894201413</v>
      </c>
      <c r="AL522">
        <v>88.167415479322202</v>
      </c>
      <c r="AM522">
        <v>96.689999529642094</v>
      </c>
      <c r="AN522">
        <v>0.99999998385565603</v>
      </c>
    </row>
    <row r="523" spans="1:40" x14ac:dyDescent="0.3">
      <c r="A523" t="str">
        <f>"20200111145924276"</f>
        <v>20200111145924276</v>
      </c>
      <c r="B523" t="str">
        <f>"1578725964266642"</f>
        <v>1578725964266642</v>
      </c>
      <c r="C523" t="s">
        <v>40</v>
      </c>
      <c r="D523">
        <v>4.4207320000000001</v>
      </c>
      <c r="E523">
        <v>0.50803169999999997</v>
      </c>
      <c r="F523" t="s">
        <v>43</v>
      </c>
      <c r="G523">
        <v>-420.05779999999999</v>
      </c>
      <c r="H523">
        <v>-0.05</v>
      </c>
      <c r="I523">
        <v>366.84089999999998</v>
      </c>
      <c r="J523">
        <v>-438.05369999999999</v>
      </c>
      <c r="K523">
        <v>1.081399</v>
      </c>
      <c r="L523">
        <v>367.16250000000002</v>
      </c>
      <c r="M523">
        <v>0.99962700000000004</v>
      </c>
      <c r="N523">
        <v>0</v>
      </c>
      <c r="O523">
        <v>-2.0030529999999999E-3</v>
      </c>
      <c r="P523">
        <v>0.99342770000000002</v>
      </c>
      <c r="Q523">
        <v>5.3201289999999998E-3</v>
      </c>
      <c r="R523">
        <v>0.1143381</v>
      </c>
      <c r="S523">
        <v>3.0268549999999999</v>
      </c>
      <c r="T523">
        <v>-0.1892499</v>
      </c>
      <c r="U523">
        <v>-5.3771970000000002E-2</v>
      </c>
      <c r="V523">
        <v>-0.1163293</v>
      </c>
      <c r="W523">
        <v>3.236903E-2</v>
      </c>
      <c r="X523">
        <v>0.99268310000000004</v>
      </c>
      <c r="Y523">
        <v>1.5731849999999999E-2</v>
      </c>
      <c r="Z523">
        <v>-3.6613560000000001E-4</v>
      </c>
      <c r="AA523">
        <v>0.99987619999999999</v>
      </c>
      <c r="AB523">
        <v>14</v>
      </c>
      <c r="AC523">
        <v>17.995899999999999</v>
      </c>
      <c r="AD523">
        <v>-1.131399</v>
      </c>
      <c r="AE523">
        <v>-0.32160000000004602</v>
      </c>
      <c r="AF523">
        <v>0.28441540930704901</v>
      </c>
      <c r="AG523">
        <v>-1.131399</v>
      </c>
      <c r="AH523">
        <v>17.925677623127999</v>
      </c>
      <c r="AI523">
        <v>93.611042745498906</v>
      </c>
      <c r="AJ523">
        <v>89.091000313250703</v>
      </c>
      <c r="AK523">
        <v>17.963598583540101</v>
      </c>
      <c r="AL523">
        <v>88.145067176315493</v>
      </c>
      <c r="AM523">
        <v>96.683821361400902</v>
      </c>
      <c r="AN523">
        <v>0.99999999858361999</v>
      </c>
    </row>
    <row r="524" spans="1:40" x14ac:dyDescent="0.3">
      <c r="A524" t="str">
        <f>"20200111145924290"</f>
        <v>20200111145924290</v>
      </c>
      <c r="B524" t="str">
        <f>"1578725964286162"</f>
        <v>1578725964286162</v>
      </c>
      <c r="C524" t="s">
        <v>40</v>
      </c>
      <c r="D524">
        <v>4.4636659999999999</v>
      </c>
      <c r="E524">
        <v>0.50707069999999999</v>
      </c>
      <c r="F524" t="s">
        <v>43</v>
      </c>
      <c r="G524">
        <v>-427.02519999999998</v>
      </c>
      <c r="H524">
        <v>-0.05</v>
      </c>
      <c r="I524">
        <v>368.19319999999999</v>
      </c>
      <c r="J524">
        <v>-437.96820000000002</v>
      </c>
      <c r="K524">
        <v>1.080595</v>
      </c>
      <c r="L524">
        <v>367.16239999999999</v>
      </c>
      <c r="M524">
        <v>0.99964050000000004</v>
      </c>
      <c r="N524">
        <v>0</v>
      </c>
      <c r="O524">
        <v>-1.969644E-3</v>
      </c>
      <c r="P524">
        <v>0.99343959999999998</v>
      </c>
      <c r="Q524">
        <v>5.9796739999999999E-3</v>
      </c>
      <c r="R524">
        <v>0.1142027</v>
      </c>
      <c r="S524">
        <v>2.9893800000000001</v>
      </c>
      <c r="T524">
        <v>-0.30667729999999999</v>
      </c>
      <c r="U524">
        <v>0.27938839999999998</v>
      </c>
      <c r="V524">
        <v>-0.11616070000000001</v>
      </c>
      <c r="W524">
        <v>3.2534889999999997E-2</v>
      </c>
      <c r="X524">
        <v>0.99269739999999995</v>
      </c>
      <c r="Y524">
        <v>-9.4514379999999995E-2</v>
      </c>
      <c r="Z524">
        <v>5.0261209999999997E-3</v>
      </c>
      <c r="AA524">
        <v>0.99551080000000003</v>
      </c>
      <c r="AB524">
        <v>14</v>
      </c>
      <c r="AC524">
        <v>10.943</v>
      </c>
      <c r="AD524">
        <v>-1.130595</v>
      </c>
      <c r="AE524">
        <v>1.0307999999999899</v>
      </c>
      <c r="AF524">
        <v>-1.0413416435865801</v>
      </c>
      <c r="AG524">
        <v>-1.130595</v>
      </c>
      <c r="AH524">
        <v>10.8263993780212</v>
      </c>
      <c r="AI524">
        <v>95.934565568963805</v>
      </c>
      <c r="AJ524">
        <v>95.494116357919793</v>
      </c>
      <c r="AK524">
        <v>10.934969637137099</v>
      </c>
      <c r="AL524">
        <v>88.135559051276303</v>
      </c>
      <c r="AM524">
        <v>96.674126452345007</v>
      </c>
      <c r="AN524">
        <v>0.99999997762927995</v>
      </c>
    </row>
    <row r="525" spans="1:40" x14ac:dyDescent="0.3">
      <c r="A525" t="str">
        <f>"20200111145924303"</f>
        <v>20200111145924303</v>
      </c>
      <c r="B525" t="str">
        <f>"1578725964295924"</f>
        <v>1578725964295924</v>
      </c>
      <c r="C525" t="s">
        <v>40</v>
      </c>
      <c r="D525">
        <v>4.4768840000000001</v>
      </c>
      <c r="E525">
        <v>0.50657249999999998</v>
      </c>
      <c r="F525" t="s">
        <v>43</v>
      </c>
      <c r="G525">
        <v>-426.822</v>
      </c>
      <c r="H525">
        <v>-0.05</v>
      </c>
      <c r="I525">
        <v>368.2303</v>
      </c>
      <c r="J525">
        <v>-437.87779999999998</v>
      </c>
      <c r="K525">
        <v>1.079669</v>
      </c>
      <c r="L525">
        <v>367.16230000000002</v>
      </c>
      <c r="M525">
        <v>0.9996564</v>
      </c>
      <c r="N525">
        <v>0</v>
      </c>
      <c r="O525">
        <v>-1.934404E-3</v>
      </c>
      <c r="P525">
        <v>0.99343369999999998</v>
      </c>
      <c r="Q525">
        <v>6.638611E-3</v>
      </c>
      <c r="R525">
        <v>0.1142166</v>
      </c>
      <c r="S525">
        <v>2.9887389999999998</v>
      </c>
      <c r="T525">
        <v>-0.30315629999999999</v>
      </c>
      <c r="U525">
        <v>0.2863464</v>
      </c>
      <c r="V525">
        <v>-0.1161396</v>
      </c>
      <c r="W525">
        <v>3.2596840000000002E-2</v>
      </c>
      <c r="X525">
        <v>0.99269779999999996</v>
      </c>
      <c r="Y525">
        <v>-9.6795759999999995E-2</v>
      </c>
      <c r="Z525">
        <v>5.0808099999999998E-3</v>
      </c>
      <c r="AA525">
        <v>0.99529129999999999</v>
      </c>
      <c r="AB525">
        <v>14</v>
      </c>
      <c r="AC525">
        <v>11.0558</v>
      </c>
      <c r="AD525">
        <v>-1.129669</v>
      </c>
      <c r="AE525">
        <v>1.0679999999999801</v>
      </c>
      <c r="AF525">
        <v>-1.07823840627401</v>
      </c>
      <c r="AG525">
        <v>-1.129669</v>
      </c>
      <c r="AH525">
        <v>10.9405437611331</v>
      </c>
      <c r="AI525">
        <v>95.866976296210296</v>
      </c>
      <c r="AJ525">
        <v>95.628573084007598</v>
      </c>
      <c r="AK525">
        <v>11.051436463175</v>
      </c>
      <c r="AL525">
        <v>88.132007626277101</v>
      </c>
      <c r="AM525">
        <v>96.672922400563806</v>
      </c>
      <c r="AN525">
        <v>0.99999994139549098</v>
      </c>
    </row>
    <row r="526" spans="1:40" x14ac:dyDescent="0.3">
      <c r="A526" t="str">
        <f>"20200111145924319"</f>
        <v>20200111145924319</v>
      </c>
      <c r="B526" t="str">
        <f>"1578725964316418"</f>
        <v>1578725964316418</v>
      </c>
      <c r="C526" t="s">
        <v>40</v>
      </c>
      <c r="D526">
        <v>4.4733049999999999</v>
      </c>
      <c r="E526">
        <v>0.5063609</v>
      </c>
      <c r="F526" t="s">
        <v>43</v>
      </c>
      <c r="G526">
        <v>-426.6968</v>
      </c>
      <c r="H526">
        <v>-0.05</v>
      </c>
      <c r="I526">
        <v>368.24869999999999</v>
      </c>
      <c r="J526">
        <v>-437.77</v>
      </c>
      <c r="K526">
        <v>1.078425</v>
      </c>
      <c r="L526">
        <v>367.16210000000001</v>
      </c>
      <c r="M526">
        <v>0.99967839999999997</v>
      </c>
      <c r="N526">
        <v>0</v>
      </c>
      <c r="O526">
        <v>-1.8926069999999999E-3</v>
      </c>
      <c r="P526">
        <v>0.99340019999999996</v>
      </c>
      <c r="Q526">
        <v>7.5035179999999998E-3</v>
      </c>
      <c r="R526">
        <v>0.114454</v>
      </c>
      <c r="S526">
        <v>2.9884949999999999</v>
      </c>
      <c r="T526">
        <v>-0.30194349999999998</v>
      </c>
      <c r="U526">
        <v>0.29040529999999998</v>
      </c>
      <c r="V526">
        <v>-0.11633499999999999</v>
      </c>
      <c r="W526">
        <v>3.2615900000000003E-2</v>
      </c>
      <c r="X526">
        <v>0.99267439999999996</v>
      </c>
      <c r="Y526">
        <v>-9.8098679999999994E-2</v>
      </c>
      <c r="Z526">
        <v>5.1219600000000001E-3</v>
      </c>
      <c r="AA526">
        <v>0.99516349999999998</v>
      </c>
      <c r="AB526">
        <v>15</v>
      </c>
      <c r="AC526">
        <v>11.0731999999999</v>
      </c>
      <c r="AD526">
        <v>-1.128425</v>
      </c>
      <c r="AE526">
        <v>1.08659999999997</v>
      </c>
      <c r="AF526">
        <v>-1.09628581950812</v>
      </c>
      <c r="AG526">
        <v>-1.128425</v>
      </c>
      <c r="AH526">
        <v>10.9584072379369</v>
      </c>
      <c r="AI526">
        <v>95.8502243915257</v>
      </c>
      <c r="AJ526">
        <v>95.712897259596602</v>
      </c>
      <c r="AK526">
        <v>11.070766674948301</v>
      </c>
      <c r="AL526">
        <v>88.130915184722596</v>
      </c>
      <c r="AM526">
        <v>96.684203948704393</v>
      </c>
      <c r="AN526">
        <v>1.0000000467865799</v>
      </c>
    </row>
    <row r="527" spans="1:40" x14ac:dyDescent="0.3">
      <c r="A527" t="str">
        <f>"20200111145924333"</f>
        <v>20200111145924333</v>
      </c>
      <c r="B527" t="str">
        <f>"1578725964326178"</f>
        <v>1578725964326178</v>
      </c>
      <c r="C527" t="s">
        <v>40</v>
      </c>
      <c r="D527">
        <v>4.5056690000000001</v>
      </c>
      <c r="E527">
        <v>0.50609559999999998</v>
      </c>
      <c r="F527" t="s">
        <v>43</v>
      </c>
      <c r="G527">
        <v>-426.60860000000002</v>
      </c>
      <c r="H527">
        <v>-0.05</v>
      </c>
      <c r="I527">
        <v>368.2552</v>
      </c>
      <c r="J527">
        <v>-437.6891</v>
      </c>
      <c r="K527">
        <v>1.077399</v>
      </c>
      <c r="L527">
        <v>367.16199999999998</v>
      </c>
      <c r="M527">
        <v>0.99969540000000001</v>
      </c>
      <c r="N527">
        <v>0</v>
      </c>
      <c r="O527">
        <v>-1.861197E-3</v>
      </c>
      <c r="P527">
        <v>0.99338000000000004</v>
      </c>
      <c r="Q527">
        <v>8.1838540000000008E-3</v>
      </c>
      <c r="R527">
        <v>0.114584199999999</v>
      </c>
      <c r="S527">
        <v>2.9885250000000001</v>
      </c>
      <c r="T527">
        <v>-0.30214350000000001</v>
      </c>
      <c r="U527">
        <v>0.29269410000000001</v>
      </c>
      <c r="V527">
        <v>-0.11643439999999999</v>
      </c>
      <c r="W527">
        <v>3.2625429999999997E-2</v>
      </c>
      <c r="X527">
        <v>0.99266239999999994</v>
      </c>
      <c r="Y527">
        <v>-9.8817269999999999E-2</v>
      </c>
      <c r="Z527">
        <v>5.1580769999999996E-3</v>
      </c>
      <c r="AA527">
        <v>0.99509219999999998</v>
      </c>
      <c r="AB527">
        <v>15</v>
      </c>
      <c r="AC527">
        <v>11.080499999999899</v>
      </c>
      <c r="AD527">
        <v>-1.127399</v>
      </c>
      <c r="AE527">
        <v>1.0932000000000199</v>
      </c>
      <c r="AF527">
        <v>-1.1025237242697199</v>
      </c>
      <c r="AG527">
        <v>-1.127399</v>
      </c>
      <c r="AH527">
        <v>10.966016456513101</v>
      </c>
      <c r="AI527">
        <v>95.840626690948696</v>
      </c>
      <c r="AJ527">
        <v>95.741227106725802</v>
      </c>
      <c r="AK527">
        <v>11.0788132935029</v>
      </c>
      <c r="AL527">
        <v>88.130368804423497</v>
      </c>
      <c r="AM527">
        <v>96.689943521664901</v>
      </c>
      <c r="AN527">
        <v>1.0000000142798999</v>
      </c>
    </row>
    <row r="528" spans="1:40" x14ac:dyDescent="0.3">
      <c r="A528" t="str">
        <f>"20200111145924347"</f>
        <v>20200111145924347</v>
      </c>
      <c r="B528" t="str">
        <f>"1578725964335938"</f>
        <v>1578725964335938</v>
      </c>
      <c r="C528" t="s">
        <v>40</v>
      </c>
      <c r="D528">
        <v>4.4902009999999999</v>
      </c>
      <c r="E528">
        <v>0.50597829999999999</v>
      </c>
      <c r="F528" t="s">
        <v>43</v>
      </c>
      <c r="G528">
        <v>-426.43819999999999</v>
      </c>
      <c r="H528">
        <v>-0.05</v>
      </c>
      <c r="I528">
        <v>368.27330000000001</v>
      </c>
      <c r="J528">
        <v>-437.59390000000002</v>
      </c>
      <c r="K528">
        <v>1.0761590000000001</v>
      </c>
      <c r="L528">
        <v>367.16180000000003</v>
      </c>
      <c r="M528">
        <v>0.99971449999999995</v>
      </c>
      <c r="N528">
        <v>0</v>
      </c>
      <c r="O528">
        <v>-1.8239770000000001E-3</v>
      </c>
      <c r="P528">
        <v>0.99332419999999999</v>
      </c>
      <c r="Q528">
        <v>8.7790950000000006E-3</v>
      </c>
      <c r="R528">
        <v>0.11502229999999999</v>
      </c>
      <c r="S528">
        <v>2.9883730000000002</v>
      </c>
      <c r="T528">
        <v>-0.29944999999999999</v>
      </c>
      <c r="U528">
        <v>0.29519649999999997</v>
      </c>
      <c r="V528">
        <v>-0.11683549999999999</v>
      </c>
      <c r="W528">
        <v>3.2433370000000003E-2</v>
      </c>
      <c r="X528">
        <v>0.99262150000000005</v>
      </c>
      <c r="Y528">
        <v>-9.9615599999999999E-2</v>
      </c>
      <c r="Z528">
        <v>5.1484620000000004E-3</v>
      </c>
      <c r="AA528">
        <v>0.99501269999999997</v>
      </c>
      <c r="AB528">
        <v>15</v>
      </c>
      <c r="AC528">
        <v>11.1557</v>
      </c>
      <c r="AD528">
        <v>-1.1261589999999999</v>
      </c>
      <c r="AE528">
        <v>1.11149999999997</v>
      </c>
      <c r="AF528">
        <v>-1.1205447318211701</v>
      </c>
      <c r="AG528">
        <v>-1.1261589999999999</v>
      </c>
      <c r="AH528">
        <v>11.042231096397</v>
      </c>
      <c r="AI528">
        <v>95.793713646717407</v>
      </c>
      <c r="AJ528">
        <v>95.794431711699602</v>
      </c>
      <c r="AK528">
        <v>11.1559276698771</v>
      </c>
      <c r="AL528">
        <v>88.1413787387593</v>
      </c>
      <c r="AM528">
        <v>96.713053538842203</v>
      </c>
      <c r="AN528">
        <v>0.99999994990602703</v>
      </c>
    </row>
    <row r="529" spans="1:40" x14ac:dyDescent="0.3">
      <c r="A529" t="str">
        <f>"20200111145924366"</f>
        <v>20200111145924366</v>
      </c>
      <c r="B529" t="str">
        <f>"1578725964356438"</f>
        <v>1578725964356438</v>
      </c>
      <c r="C529" t="s">
        <v>40</v>
      </c>
      <c r="D529">
        <v>4.4731639999999997</v>
      </c>
      <c r="E529">
        <v>0.50932060000000001</v>
      </c>
      <c r="F529" t="s">
        <v>43</v>
      </c>
      <c r="G529">
        <v>-426.32159999999999</v>
      </c>
      <c r="H529">
        <v>-0.05</v>
      </c>
      <c r="I529">
        <v>368.2842</v>
      </c>
      <c r="J529">
        <v>-437.47179999999997</v>
      </c>
      <c r="K529">
        <v>1.074508</v>
      </c>
      <c r="L529">
        <v>367.1617</v>
      </c>
      <c r="M529">
        <v>0.99973809999999996</v>
      </c>
      <c r="N529">
        <v>0</v>
      </c>
      <c r="O529">
        <v>-1.776162E-3</v>
      </c>
      <c r="P529">
        <v>0.99326210000000004</v>
      </c>
      <c r="Q529">
        <v>9.7119990000000007E-3</v>
      </c>
      <c r="R529">
        <v>0.1154823</v>
      </c>
      <c r="S529">
        <v>2.9883419999999998</v>
      </c>
      <c r="T529">
        <v>-0.29855039999999999</v>
      </c>
      <c r="U529">
        <v>0.29754639999999999</v>
      </c>
      <c r="V529">
        <v>-0.117248</v>
      </c>
      <c r="W529">
        <v>3.2365699999999997E-2</v>
      </c>
      <c r="X529">
        <v>0.99257510000000004</v>
      </c>
      <c r="Y529">
        <v>-0.1003434</v>
      </c>
      <c r="Z529">
        <v>5.1643430000000001E-3</v>
      </c>
      <c r="AA529">
        <v>0.99493940000000003</v>
      </c>
      <c r="AB529">
        <v>15</v>
      </c>
      <c r="AC529">
        <v>11.1501999999999</v>
      </c>
      <c r="AD529">
        <v>-1.1245080000000001</v>
      </c>
      <c r="AE529">
        <v>1.1225000000000001</v>
      </c>
      <c r="AF529">
        <v>-1.13092085718286</v>
      </c>
      <c r="AG529">
        <v>-1.1245080000000001</v>
      </c>
      <c r="AH529">
        <v>11.037057496964501</v>
      </c>
      <c r="AI529">
        <v>95.787397889408595</v>
      </c>
      <c r="AJ529">
        <v>95.850439485741106</v>
      </c>
      <c r="AK529">
        <v>11.1516876937338</v>
      </c>
      <c r="AL529">
        <v>88.145258037898202</v>
      </c>
      <c r="AM529">
        <v>96.736849252102402</v>
      </c>
      <c r="AN529">
        <v>0.99999998059024897</v>
      </c>
    </row>
    <row r="530" spans="1:40" x14ac:dyDescent="0.3">
      <c r="A530" t="str">
        <f>"20200111145924377"</f>
        <v>20200111145924377</v>
      </c>
      <c r="B530" t="str">
        <f>"1578725964366194"</f>
        <v>1578725964366194</v>
      </c>
      <c r="C530" t="s">
        <v>40</v>
      </c>
      <c r="D530">
        <v>4.6085900000000004</v>
      </c>
      <c r="E530">
        <v>0.50884510000000005</v>
      </c>
      <c r="F530" t="s">
        <v>43</v>
      </c>
      <c r="G530">
        <v>-422.04860000000002</v>
      </c>
      <c r="H530">
        <v>-0.05</v>
      </c>
      <c r="I530">
        <v>368.56599999999997</v>
      </c>
      <c r="J530">
        <v>-437.39210000000003</v>
      </c>
      <c r="K530">
        <v>1.073412</v>
      </c>
      <c r="L530">
        <v>367.16160000000002</v>
      </c>
      <c r="M530">
        <v>0.999753</v>
      </c>
      <c r="N530">
        <v>0</v>
      </c>
      <c r="O530">
        <v>-1.7442460000000001E-3</v>
      </c>
      <c r="P530">
        <v>0.99323209999999995</v>
      </c>
      <c r="Q530">
        <v>1.0460809999999999E-2</v>
      </c>
      <c r="R530">
        <v>0.11567570000000001</v>
      </c>
      <c r="S530">
        <v>2.9908139999999999</v>
      </c>
      <c r="T530">
        <v>-0.21806049999999999</v>
      </c>
      <c r="U530">
        <v>0.27233889999999999</v>
      </c>
      <c r="V530">
        <v>-0.1174095</v>
      </c>
      <c r="W530">
        <v>3.2461480000000001E-2</v>
      </c>
      <c r="X530">
        <v>0.99255289999999996</v>
      </c>
      <c r="Y530">
        <v>-9.2173350000000001E-2</v>
      </c>
      <c r="Z530">
        <v>3.4756069999999999E-3</v>
      </c>
      <c r="AA530">
        <v>0.99573690000000004</v>
      </c>
      <c r="AB530">
        <v>15</v>
      </c>
      <c r="AC530">
        <v>15.343500000000001</v>
      </c>
      <c r="AD530">
        <v>-1.1234120000000001</v>
      </c>
      <c r="AE530">
        <v>1.4043999999999499</v>
      </c>
      <c r="AF530">
        <v>-1.42359905438544</v>
      </c>
      <c r="AG530">
        <v>-1.1234120000000001</v>
      </c>
      <c r="AH530">
        <v>15.259900877223799</v>
      </c>
      <c r="AI530">
        <v>94.192299513984693</v>
      </c>
      <c r="AJ530">
        <v>95.329708296340499</v>
      </c>
      <c r="AK530">
        <v>15.3672789905073</v>
      </c>
      <c r="AL530">
        <v>88.139767396859696</v>
      </c>
      <c r="AM530">
        <v>96.746192768341302</v>
      </c>
      <c r="AN530">
        <v>0.99999999883622503</v>
      </c>
    </row>
    <row r="531" spans="1:40" x14ac:dyDescent="0.3">
      <c r="A531" t="str">
        <f>"20200111145924390"</f>
        <v>20200111145924390</v>
      </c>
      <c r="B531" t="str">
        <f>"1578725964386691"</f>
        <v>1578725964386691</v>
      </c>
      <c r="C531" t="s">
        <v>40</v>
      </c>
      <c r="D531">
        <v>4.3844960000000004</v>
      </c>
      <c r="E531">
        <v>0.50931559999999998</v>
      </c>
      <c r="F531" t="s">
        <v>43</v>
      </c>
      <c r="G531">
        <v>-422.25150000000002</v>
      </c>
      <c r="H531">
        <v>-0.05</v>
      </c>
      <c r="I531">
        <v>368.56319999999999</v>
      </c>
      <c r="J531">
        <v>-437.31</v>
      </c>
      <c r="K531">
        <v>1.072282</v>
      </c>
      <c r="L531">
        <v>367.16149999999999</v>
      </c>
      <c r="M531">
        <v>0.9997682</v>
      </c>
      <c r="N531">
        <v>0</v>
      </c>
      <c r="O531">
        <v>-1.711062E-3</v>
      </c>
      <c r="P531">
        <v>0.99322069999999996</v>
      </c>
      <c r="Q531">
        <v>1.11555E-2</v>
      </c>
      <c r="R531">
        <v>0.11570859999999999</v>
      </c>
      <c r="S531">
        <v>2.99057</v>
      </c>
      <c r="T531">
        <v>-0.22189690000000001</v>
      </c>
      <c r="U531">
        <v>0.27685549999999998</v>
      </c>
      <c r="V531">
        <v>-0.1174095</v>
      </c>
      <c r="W531">
        <v>3.246578E-2</v>
      </c>
      <c r="X531">
        <v>0.99255280000000001</v>
      </c>
      <c r="Y531">
        <v>-9.362616E-2</v>
      </c>
      <c r="Z531">
        <v>3.587888E-3</v>
      </c>
      <c r="AA531">
        <v>0.99560090000000001</v>
      </c>
      <c r="AB531">
        <v>15</v>
      </c>
      <c r="AC531">
        <v>15.058499999999899</v>
      </c>
      <c r="AD531">
        <v>-1.122282</v>
      </c>
      <c r="AE531">
        <v>1.4016999999999999</v>
      </c>
      <c r="AF531">
        <v>-1.41965226836186</v>
      </c>
      <c r="AG531">
        <v>-1.122282</v>
      </c>
      <c r="AH531">
        <v>14.97362329335</v>
      </c>
      <c r="AI531">
        <v>94.267273411356697</v>
      </c>
      <c r="AJ531">
        <v>95.416035020405403</v>
      </c>
      <c r="AK531">
        <v>15.0825834651012</v>
      </c>
      <c r="AL531">
        <v>88.1395209701558</v>
      </c>
      <c r="AM531">
        <v>96.746193441757796</v>
      </c>
      <c r="AN531">
        <v>1.0000000391745401</v>
      </c>
    </row>
    <row r="532" spans="1:40" x14ac:dyDescent="0.3">
      <c r="A532" t="str">
        <f>"20200111145924403"</f>
        <v>20200111145924403</v>
      </c>
      <c r="B532" t="str">
        <f>"1578725964396450"</f>
        <v>1578725964396450</v>
      </c>
      <c r="C532" t="s">
        <v>40</v>
      </c>
      <c r="D532">
        <v>4.437659</v>
      </c>
      <c r="E532">
        <v>0.50927630000000002</v>
      </c>
      <c r="F532" t="s">
        <v>43</v>
      </c>
      <c r="G532">
        <v>-422.10169999999999</v>
      </c>
      <c r="H532">
        <v>-0.05</v>
      </c>
      <c r="I532">
        <v>368.5505</v>
      </c>
      <c r="J532">
        <v>-437.2285</v>
      </c>
      <c r="K532">
        <v>1.071167</v>
      </c>
      <c r="L532">
        <v>367.16140000000001</v>
      </c>
      <c r="M532">
        <v>0.99978299999999998</v>
      </c>
      <c r="N532">
        <v>0</v>
      </c>
      <c r="O532">
        <v>-1.6782120000000001E-3</v>
      </c>
      <c r="P532">
        <v>0.99319650000000004</v>
      </c>
      <c r="Q532">
        <v>1.189688E-2</v>
      </c>
      <c r="R532">
        <v>0.1158426</v>
      </c>
      <c r="S532">
        <v>2.9910890000000001</v>
      </c>
      <c r="T532">
        <v>-0.22072510000000001</v>
      </c>
      <c r="U532">
        <v>0.27319339999999998</v>
      </c>
      <c r="V532">
        <v>-0.11751060000000001</v>
      </c>
      <c r="W532">
        <v>3.2513439999999998E-2</v>
      </c>
      <c r="X532">
        <v>0.99253919999999995</v>
      </c>
      <c r="Y532">
        <v>-9.2375029999999997E-2</v>
      </c>
      <c r="Z532">
        <v>3.5201519999999999E-3</v>
      </c>
      <c r="AA532">
        <v>0.99571810000000005</v>
      </c>
      <c r="AB532">
        <v>15</v>
      </c>
      <c r="AC532">
        <v>15.126799999999999</v>
      </c>
      <c r="AD532">
        <v>-1.121167</v>
      </c>
      <c r="AE532">
        <v>1.38909999999998</v>
      </c>
      <c r="AF532">
        <v>-1.4068257710091701</v>
      </c>
      <c r="AG532">
        <v>-1.121167</v>
      </c>
      <c r="AH532">
        <v>15.0425025211043</v>
      </c>
      <c r="AI532">
        <v>94.244108411683996</v>
      </c>
      <c r="AJ532">
        <v>95.342953874385699</v>
      </c>
      <c r="AK532">
        <v>15.149688323173301</v>
      </c>
      <c r="AL532">
        <v>88.136788671316097</v>
      </c>
      <c r="AM532">
        <v>96.752040566598296</v>
      </c>
      <c r="AN532">
        <v>0.99999996421481596</v>
      </c>
    </row>
    <row r="533" spans="1:40" x14ac:dyDescent="0.3">
      <c r="A533" t="str">
        <f>"20200111145924419"</f>
        <v>20200111145924419</v>
      </c>
      <c r="B533" t="str">
        <f>"1578725964415970"</f>
        <v>1578725964415970</v>
      </c>
      <c r="C533" t="s">
        <v>40</v>
      </c>
      <c r="D533">
        <v>4.481662</v>
      </c>
      <c r="E533">
        <v>0.50908900000000001</v>
      </c>
      <c r="F533" t="s">
        <v>43</v>
      </c>
      <c r="G533">
        <v>-421.9708</v>
      </c>
      <c r="H533">
        <v>-0.05</v>
      </c>
      <c r="I533">
        <v>368.55889999999999</v>
      </c>
      <c r="J533">
        <v>-437.11709999999999</v>
      </c>
      <c r="K533">
        <v>1.069674</v>
      </c>
      <c r="L533">
        <v>367.16129999999998</v>
      </c>
      <c r="M533">
        <v>0.99980259999999999</v>
      </c>
      <c r="N533">
        <v>0</v>
      </c>
      <c r="O533">
        <v>-1.633284E-3</v>
      </c>
      <c r="P533">
        <v>0.99318130000000004</v>
      </c>
      <c r="Q533">
        <v>1.3089389999999999E-2</v>
      </c>
      <c r="R533">
        <v>0.1158433</v>
      </c>
      <c r="S533">
        <v>2.9911799999999999</v>
      </c>
      <c r="T533">
        <v>-0.21979940000000001</v>
      </c>
      <c r="U533">
        <v>0.27398679999999997</v>
      </c>
      <c r="V533">
        <v>-0.11746669999999999</v>
      </c>
      <c r="W533">
        <v>3.2747440000000003E-2</v>
      </c>
      <c r="X533">
        <v>0.99253670000000005</v>
      </c>
      <c r="Y533">
        <v>-9.2591080000000006E-2</v>
      </c>
      <c r="Z533">
        <v>3.5098970000000001E-3</v>
      </c>
      <c r="AA533">
        <v>0.99569799999999997</v>
      </c>
      <c r="AB533">
        <v>15</v>
      </c>
      <c r="AC533">
        <v>15.146299999999901</v>
      </c>
      <c r="AD533">
        <v>-1.1196740000000001</v>
      </c>
      <c r="AE533">
        <v>1.3976000000000099</v>
      </c>
      <c r="AF533">
        <v>-1.41467561878251</v>
      </c>
      <c r="AG533">
        <v>-1.1196740000000001</v>
      </c>
      <c r="AH533">
        <v>15.0623794870761</v>
      </c>
      <c r="AI533">
        <v>94.232748583209798</v>
      </c>
      <c r="AJ533">
        <v>95.365544175295796</v>
      </c>
      <c r="AK533">
        <v>15.1700445874541</v>
      </c>
      <c r="AL533">
        <v>88.123374308349696</v>
      </c>
      <c r="AM533">
        <v>96.749558236796304</v>
      </c>
      <c r="AN533">
        <v>0.99999996064116603</v>
      </c>
    </row>
    <row r="534" spans="1:40" x14ac:dyDescent="0.3">
      <c r="A534" t="str">
        <f>"20200111145924431"</f>
        <v>20200111145924431</v>
      </c>
      <c r="B534" t="str">
        <f>"1578725964425730"</f>
        <v>1578725964425730</v>
      </c>
      <c r="C534" t="s">
        <v>40</v>
      </c>
      <c r="D534">
        <v>4.4074090000000004</v>
      </c>
      <c r="E534">
        <v>0.50900820000000002</v>
      </c>
      <c r="F534" t="s">
        <v>43</v>
      </c>
      <c r="G534">
        <v>-421.45479999999998</v>
      </c>
      <c r="H534">
        <v>-0.05</v>
      </c>
      <c r="I534">
        <v>368.60390000000001</v>
      </c>
      <c r="J534">
        <v>-437.04239999999999</v>
      </c>
      <c r="K534">
        <v>1.0687260000000001</v>
      </c>
      <c r="L534">
        <v>367.16109999999998</v>
      </c>
      <c r="M534">
        <v>0.9998148</v>
      </c>
      <c r="N534">
        <v>0</v>
      </c>
      <c r="O534">
        <v>-1.6033779999999999E-3</v>
      </c>
      <c r="P534">
        <v>0.99316459999999995</v>
      </c>
      <c r="Q534">
        <v>1.3806519999999999E-2</v>
      </c>
      <c r="R534">
        <v>0.1159028</v>
      </c>
      <c r="S534">
        <v>2.9912719999999999</v>
      </c>
      <c r="T534">
        <v>-0.213841</v>
      </c>
      <c r="U534">
        <v>0.2755127</v>
      </c>
      <c r="V534">
        <v>-0.11749610000000001</v>
      </c>
      <c r="W534">
        <v>3.2844190000000002E-2</v>
      </c>
      <c r="X534">
        <v>0.99253000000000002</v>
      </c>
      <c r="Y534">
        <v>-9.3074509999999999E-2</v>
      </c>
      <c r="Z534">
        <v>3.4298990000000001E-3</v>
      </c>
      <c r="AA534">
        <v>0.99565320000000002</v>
      </c>
      <c r="AB534">
        <v>15</v>
      </c>
      <c r="AC534">
        <v>15.5876</v>
      </c>
      <c r="AD534">
        <v>-1.1187260000000001</v>
      </c>
      <c r="AE534">
        <v>1.4428000000000301</v>
      </c>
      <c r="AF534">
        <v>-1.46033730301082</v>
      </c>
      <c r="AG534">
        <v>-1.1187260000000001</v>
      </c>
      <c r="AH534">
        <v>15.5060733536783</v>
      </c>
      <c r="AI534">
        <v>94.108485574160497</v>
      </c>
      <c r="AJ534">
        <v>95.380156187372094</v>
      </c>
      <c r="AK534">
        <v>15.614814880468201</v>
      </c>
      <c r="AL534">
        <v>88.117827914574306</v>
      </c>
      <c r="AM534">
        <v>96.751277103067196</v>
      </c>
      <c r="AN534">
        <v>0.99999993761598105</v>
      </c>
    </row>
    <row r="535" spans="1:40" x14ac:dyDescent="0.3">
      <c r="A535" t="str">
        <f>"20200111145924444"</f>
        <v>20200111145924444</v>
      </c>
      <c r="B535" t="str">
        <f>"1578725964436467"</f>
        <v>1578725964436467</v>
      </c>
      <c r="C535" t="s">
        <v>40</v>
      </c>
      <c r="D535">
        <v>4.4209050000000003</v>
      </c>
      <c r="E535">
        <v>0.50898809999999906</v>
      </c>
      <c r="F535" t="s">
        <v>43</v>
      </c>
      <c r="G535">
        <v>-421.15809999999999</v>
      </c>
      <c r="H535">
        <v>-0.05</v>
      </c>
      <c r="I535">
        <v>368.62799999999999</v>
      </c>
      <c r="J535">
        <v>-436.96469999999999</v>
      </c>
      <c r="K535">
        <v>1.0677570000000001</v>
      </c>
      <c r="L535">
        <v>367.161</v>
      </c>
      <c r="M535">
        <v>0.99982700000000002</v>
      </c>
      <c r="N535">
        <v>0</v>
      </c>
      <c r="O535">
        <v>-1.57236299999999E-3</v>
      </c>
      <c r="P535">
        <v>0.99316040000000005</v>
      </c>
      <c r="Q535">
        <v>1.454925E-2</v>
      </c>
      <c r="R535">
        <v>0.11584940000000001</v>
      </c>
      <c r="S535">
        <v>2.9913020000000001</v>
      </c>
      <c r="T535">
        <v>-0.21067610000000001</v>
      </c>
      <c r="U535">
        <v>0.27624510000000002</v>
      </c>
      <c r="V535">
        <v>-0.1174124</v>
      </c>
      <c r="W535">
        <v>3.2954749999999998E-2</v>
      </c>
      <c r="X535">
        <v>0.99253630000000004</v>
      </c>
      <c r="Y535">
        <v>-9.3290999999999999E-2</v>
      </c>
      <c r="Z535">
        <v>3.3846089999999998E-3</v>
      </c>
      <c r="AA535">
        <v>0.99563310000000005</v>
      </c>
      <c r="AB535">
        <v>15</v>
      </c>
      <c r="AC535">
        <v>15.8066</v>
      </c>
      <c r="AD535">
        <v>-1.1177569999999999</v>
      </c>
      <c r="AE535">
        <v>1.46700000000004</v>
      </c>
      <c r="AF535">
        <v>-1.48449626424904</v>
      </c>
      <c r="AG535">
        <v>-1.1177569999999999</v>
      </c>
      <c r="AH535">
        <v>15.7263047982846</v>
      </c>
      <c r="AI535">
        <v>94.047563964844699</v>
      </c>
      <c r="AJ535">
        <v>95.392498975741404</v>
      </c>
      <c r="AK535">
        <v>15.835711934680001</v>
      </c>
      <c r="AL535">
        <v>88.111489974013296</v>
      </c>
      <c r="AM535">
        <v>96.746469654287196</v>
      </c>
      <c r="AN535">
        <v>0.99999999701950604</v>
      </c>
    </row>
    <row r="536" spans="1:40" x14ac:dyDescent="0.3">
      <c r="A536" t="str">
        <f>"20200111145924455"</f>
        <v>20200111145924455</v>
      </c>
      <c r="B536" t="str">
        <f>"1578725964446226"</f>
        <v>1578725964446226</v>
      </c>
      <c r="C536" t="s">
        <v>40</v>
      </c>
      <c r="D536">
        <v>4.3751429999999996</v>
      </c>
      <c r="E536">
        <v>0.50901479999999999</v>
      </c>
      <c r="F536" t="s">
        <v>43</v>
      </c>
      <c r="G536">
        <v>-420.78680000000003</v>
      </c>
      <c r="H536">
        <v>-0.05</v>
      </c>
      <c r="I536">
        <v>368.65519999999998</v>
      </c>
      <c r="J536">
        <v>-436.88099999999997</v>
      </c>
      <c r="K536">
        <v>1.0667740000000001</v>
      </c>
      <c r="L536">
        <v>367.16090000000003</v>
      </c>
      <c r="M536">
        <v>0.99983860000000002</v>
      </c>
      <c r="N536">
        <v>0</v>
      </c>
      <c r="O536">
        <v>-1.539615E-3</v>
      </c>
      <c r="P536">
        <v>0.99316110000000002</v>
      </c>
      <c r="Q536">
        <v>1.5199219999999999E-2</v>
      </c>
      <c r="R536">
        <v>0.115759</v>
      </c>
      <c r="S536">
        <v>2.9914550000000002</v>
      </c>
      <c r="T536">
        <v>-0.20668439999999999</v>
      </c>
      <c r="U536">
        <v>0.27627560000000001</v>
      </c>
      <c r="V536">
        <v>-0.1172893</v>
      </c>
      <c r="W536">
        <v>3.2970480000000003E-2</v>
      </c>
      <c r="X536">
        <v>0.9925503</v>
      </c>
      <c r="Y536">
        <v>-9.3272659999999993E-2</v>
      </c>
      <c r="Z536">
        <v>3.3175739999999998E-3</v>
      </c>
      <c r="AA536">
        <v>0.9956351</v>
      </c>
      <c r="AB536">
        <v>15</v>
      </c>
      <c r="AC536">
        <v>16.094199999999901</v>
      </c>
      <c r="AD536">
        <v>-1.1167739999999999</v>
      </c>
      <c r="AE536">
        <v>1.49429999999995</v>
      </c>
      <c r="AF536">
        <v>-1.5118637396692101</v>
      </c>
      <c r="AG536">
        <v>-1.1167739999999999</v>
      </c>
      <c r="AH536">
        <v>16.0154255087777</v>
      </c>
      <c r="AI536">
        <v>93.971244997779607</v>
      </c>
      <c r="AJ536">
        <v>95.392767440344301</v>
      </c>
      <c r="AK536">
        <v>16.1253455889048</v>
      </c>
      <c r="AL536">
        <v>88.110588161303198</v>
      </c>
      <c r="AM536">
        <v>96.739367287590497</v>
      </c>
      <c r="AN536">
        <v>0.99999996523800405</v>
      </c>
    </row>
    <row r="537" spans="1:40" x14ac:dyDescent="0.3">
      <c r="A537" t="str">
        <f>"20200111145924467"</f>
        <v>20200111145924467</v>
      </c>
      <c r="B537" t="str">
        <f>"1578725964455987"</f>
        <v>1578725964455987</v>
      </c>
      <c r="C537" t="s">
        <v>40</v>
      </c>
      <c r="D537">
        <v>4.3123490000000002</v>
      </c>
      <c r="E537">
        <v>0.50916850000000002</v>
      </c>
      <c r="F537" t="s">
        <v>43</v>
      </c>
      <c r="G537">
        <v>-420.55630000000002</v>
      </c>
      <c r="H537">
        <v>-0.05</v>
      </c>
      <c r="I537">
        <v>368.66469999999998</v>
      </c>
      <c r="J537">
        <v>-436.80470000000003</v>
      </c>
      <c r="K537">
        <v>1.065923</v>
      </c>
      <c r="L537">
        <v>367.16090000000003</v>
      </c>
      <c r="M537">
        <v>0.99984830000000002</v>
      </c>
      <c r="N537">
        <v>0</v>
      </c>
      <c r="O537">
        <v>-1.509678E-3</v>
      </c>
      <c r="P537">
        <v>0.99317820000000001</v>
      </c>
      <c r="Q537">
        <v>1.5640970000000001E-2</v>
      </c>
      <c r="R537">
        <v>0.1155523</v>
      </c>
      <c r="S537">
        <v>2.9916689999999999</v>
      </c>
      <c r="T537">
        <v>-0.2046605</v>
      </c>
      <c r="U537">
        <v>0.27557369999999998</v>
      </c>
      <c r="V537">
        <v>-0.1170525</v>
      </c>
      <c r="W537">
        <v>3.2871829999999998E-2</v>
      </c>
      <c r="X537">
        <v>0.99258150000000001</v>
      </c>
      <c r="Y537">
        <v>-9.3009759999999997E-2</v>
      </c>
      <c r="Z537">
        <v>3.2739599999999998E-3</v>
      </c>
      <c r="AA537">
        <v>0.99565979999999998</v>
      </c>
      <c r="AB537">
        <v>15</v>
      </c>
      <c r="AC537">
        <v>16.2484</v>
      </c>
      <c r="AD537">
        <v>-1.115923</v>
      </c>
      <c r="AE537">
        <v>1.5037999999999501</v>
      </c>
      <c r="AF537">
        <v>-1.5212174950802599</v>
      </c>
      <c r="AG537">
        <v>-1.115923</v>
      </c>
      <c r="AH537">
        <v>16.170485748436899</v>
      </c>
      <c r="AI537">
        <v>93.930416235433995</v>
      </c>
      <c r="AJ537">
        <v>95.374209791187198</v>
      </c>
      <c r="AK537">
        <v>16.280171871011301</v>
      </c>
      <c r="AL537">
        <v>88.116243407191106</v>
      </c>
      <c r="AM537">
        <v>96.725676212291503</v>
      </c>
      <c r="AN537">
        <v>0.99999993955302202</v>
      </c>
    </row>
    <row r="538" spans="1:40" x14ac:dyDescent="0.3">
      <c r="A538" t="str">
        <f>"20200111145924480"</f>
        <v>20200111145924480</v>
      </c>
      <c r="B538" t="str">
        <f>"1578725964476482"</f>
        <v>1578725964476482</v>
      </c>
      <c r="C538" t="s">
        <v>40</v>
      </c>
      <c r="D538">
        <v>4.3236429999999997</v>
      </c>
      <c r="E538">
        <v>0.50901929999999995</v>
      </c>
      <c r="F538" t="s">
        <v>43</v>
      </c>
      <c r="G538">
        <v>-420.27199999999999</v>
      </c>
      <c r="H538">
        <v>-0.05</v>
      </c>
      <c r="I538">
        <v>368.67489999999998</v>
      </c>
      <c r="J538">
        <v>-436.72230000000002</v>
      </c>
      <c r="K538">
        <v>1.0650389999999901</v>
      </c>
      <c r="L538">
        <v>367.16079999999999</v>
      </c>
      <c r="M538">
        <v>0.99985800000000002</v>
      </c>
      <c r="N538">
        <v>0</v>
      </c>
      <c r="O538">
        <v>-1.4774829999999999E-3</v>
      </c>
      <c r="P538">
        <v>0.99316610000000005</v>
      </c>
      <c r="Q538">
        <v>1.6035549999999999E-2</v>
      </c>
      <c r="R538">
        <v>0.11560429999999999</v>
      </c>
      <c r="S538">
        <v>2.9919129999999998</v>
      </c>
      <c r="T538">
        <v>-0.20194880000000001</v>
      </c>
      <c r="U538">
        <v>0.27398679999999997</v>
      </c>
      <c r="V538">
        <v>-0.1170726</v>
      </c>
      <c r="W538">
        <v>3.2708830000000001E-2</v>
      </c>
      <c r="X538">
        <v>0.99258460000000004</v>
      </c>
      <c r="Y538">
        <v>-9.24537E-2</v>
      </c>
      <c r="Z538">
        <v>3.2096210000000002E-3</v>
      </c>
      <c r="AA538">
        <v>0.99571180000000004</v>
      </c>
      <c r="AB538">
        <v>15</v>
      </c>
      <c r="AC538">
        <v>16.450299999999999</v>
      </c>
      <c r="AD538">
        <v>-1.1150389999999999</v>
      </c>
      <c r="AE538">
        <v>1.51409999999998</v>
      </c>
      <c r="AF538">
        <v>-1.53142985548213</v>
      </c>
      <c r="AG538">
        <v>-1.1150389999999999</v>
      </c>
      <c r="AH538">
        <v>16.373449786824601</v>
      </c>
      <c r="AI538">
        <v>93.878974331316797</v>
      </c>
      <c r="AJ538">
        <v>95.343402722071005</v>
      </c>
      <c r="AK538">
        <v>16.4826711213762</v>
      </c>
      <c r="AL538">
        <v>88.125587804313398</v>
      </c>
      <c r="AM538">
        <v>96.726799731537994</v>
      </c>
      <c r="AN538">
        <v>1.00000002469394</v>
      </c>
    </row>
    <row r="539" spans="1:40" x14ac:dyDescent="0.3">
      <c r="A539" t="str">
        <f>"20200111145924498"</f>
        <v>20200111145924498</v>
      </c>
      <c r="B539" t="str">
        <f>"1578725964496002"</f>
        <v>1578725964496002</v>
      </c>
      <c r="C539" t="s">
        <v>40</v>
      </c>
      <c r="D539">
        <v>4.2600470000000001</v>
      </c>
      <c r="E539">
        <v>0.52631090000000003</v>
      </c>
      <c r="F539" t="s">
        <v>43</v>
      </c>
      <c r="G539">
        <v>-420.74709999999999</v>
      </c>
      <c r="H539">
        <v>-0.05</v>
      </c>
      <c r="I539">
        <v>368.63130000000001</v>
      </c>
      <c r="J539">
        <v>-436.60059999999999</v>
      </c>
      <c r="K539">
        <v>1.063855</v>
      </c>
      <c r="L539">
        <v>367.16070000000002</v>
      </c>
      <c r="M539">
        <v>0.99987009999999998</v>
      </c>
      <c r="N539">
        <v>0</v>
      </c>
      <c r="O539">
        <v>-1.4296619999999999E-3</v>
      </c>
      <c r="P539">
        <v>0.99316130000000002</v>
      </c>
      <c r="Q539">
        <v>1.683894E-2</v>
      </c>
      <c r="R539">
        <v>0.11553049999999999</v>
      </c>
      <c r="S539">
        <v>2.991943</v>
      </c>
      <c r="T539">
        <v>-0.20883260000000001</v>
      </c>
      <c r="U539">
        <v>0.27542109999999997</v>
      </c>
      <c r="V539">
        <v>-0.1169516</v>
      </c>
      <c r="W539">
        <v>3.2772219999999998E-2</v>
      </c>
      <c r="X539">
        <v>0.9925967</v>
      </c>
      <c r="Y539">
        <v>-9.2862929999999996E-2</v>
      </c>
      <c r="Z539">
        <v>3.3295690000000001E-3</v>
      </c>
      <c r="AA539">
        <v>0.99567340000000004</v>
      </c>
      <c r="AB539">
        <v>15</v>
      </c>
      <c r="AC539">
        <v>15.853499999999899</v>
      </c>
      <c r="AD539">
        <v>-1.11385499999999</v>
      </c>
      <c r="AE539">
        <v>1.4705999999999899</v>
      </c>
      <c r="AF539">
        <v>-1.48599374244038</v>
      </c>
      <c r="AG539">
        <v>-1.11385499999999</v>
      </c>
      <c r="AH539">
        <v>15.774178318313</v>
      </c>
      <c r="AI539">
        <v>94.021351613818695</v>
      </c>
      <c r="AJ539">
        <v>95.381620579638806</v>
      </c>
      <c r="AK539">
        <v>15.8831216069617</v>
      </c>
      <c r="AL539">
        <v>88.121953740163093</v>
      </c>
      <c r="AM539">
        <v>96.719829716016903</v>
      </c>
      <c r="AN539">
        <v>0.99999995199858804</v>
      </c>
    </row>
    <row r="540" spans="1:40" x14ac:dyDescent="0.3">
      <c r="A540" t="str">
        <f>"20200111145924510"</f>
        <v>20200111145924510</v>
      </c>
      <c r="B540" t="str">
        <f>"1578725964505763"</f>
        <v>1578725964505763</v>
      </c>
      <c r="C540" t="s">
        <v>40</v>
      </c>
      <c r="D540">
        <v>4.2442529999999996</v>
      </c>
      <c r="E540">
        <v>0.52936249999999996</v>
      </c>
      <c r="F540" t="s">
        <v>43</v>
      </c>
      <c r="G540">
        <v>-418.7364</v>
      </c>
      <c r="H540">
        <v>-0.05</v>
      </c>
      <c r="I540">
        <v>367.98099999999999</v>
      </c>
      <c r="J540">
        <v>-436.52569999999997</v>
      </c>
      <c r="K540">
        <v>1.063183</v>
      </c>
      <c r="L540">
        <v>367.16059999999999</v>
      </c>
      <c r="M540">
        <v>0.99987700000000002</v>
      </c>
      <c r="N540">
        <v>0</v>
      </c>
      <c r="O540">
        <v>-1.399984E-3</v>
      </c>
      <c r="P540">
        <v>0.99314239999999998</v>
      </c>
      <c r="Q540">
        <v>1.7341180000000001E-2</v>
      </c>
      <c r="R540">
        <v>0.1156175</v>
      </c>
      <c r="S540">
        <v>3.0077820000000002</v>
      </c>
      <c r="T540">
        <v>-0.1875395</v>
      </c>
      <c r="U540">
        <v>0.13812260000000001</v>
      </c>
      <c r="V540">
        <v>-0.1170086</v>
      </c>
      <c r="W540">
        <v>3.2854660000000001E-2</v>
      </c>
      <c r="X540">
        <v>0.99258729999999995</v>
      </c>
      <c r="Y540">
        <v>-4.7177879999999998E-2</v>
      </c>
      <c r="Z540">
        <v>1.5557769999999999E-3</v>
      </c>
      <c r="AA540">
        <v>0.99888529999999998</v>
      </c>
      <c r="AB540">
        <v>15</v>
      </c>
      <c r="AC540">
        <v>17.789299999999901</v>
      </c>
      <c r="AD540">
        <v>-1.113183</v>
      </c>
      <c r="AE540">
        <v>0.82040000000000601</v>
      </c>
      <c r="AF540">
        <v>-0.84201683712174802</v>
      </c>
      <c r="AG540">
        <v>-1.113183</v>
      </c>
      <c r="AH540">
        <v>17.718898279437798</v>
      </c>
      <c r="AI540">
        <v>93.590819278907404</v>
      </c>
      <c r="AJ540">
        <v>92.720696516123397</v>
      </c>
      <c r="AK540">
        <v>17.773787581226198</v>
      </c>
      <c r="AL540">
        <v>88.117227811199697</v>
      </c>
      <c r="AM540">
        <v>96.723137947371995</v>
      </c>
      <c r="AN540">
        <v>0.99999999463948197</v>
      </c>
    </row>
    <row r="541" spans="1:40" x14ac:dyDescent="0.3">
      <c r="A541" t="str">
        <f>"20200111145924522"</f>
        <v>20200111145924522</v>
      </c>
      <c r="B541" t="str">
        <f>"1578725964516499"</f>
        <v>1578725964516499</v>
      </c>
      <c r="C541" t="s">
        <v>40</v>
      </c>
      <c r="D541">
        <v>4.3478690000000002</v>
      </c>
      <c r="E541">
        <v>0.53340269999999901</v>
      </c>
      <c r="F541" t="s">
        <v>43</v>
      </c>
      <c r="G541">
        <v>-415.8931</v>
      </c>
      <c r="H541">
        <v>-0.05</v>
      </c>
      <c r="I541">
        <v>367.94310000000002</v>
      </c>
      <c r="J541">
        <v>-436.44220000000001</v>
      </c>
      <c r="K541">
        <v>1.062465</v>
      </c>
      <c r="L541">
        <v>367.16050000000001</v>
      </c>
      <c r="M541">
        <v>0.999884</v>
      </c>
      <c r="N541">
        <v>0</v>
      </c>
      <c r="O541">
        <v>-1.366803E-3</v>
      </c>
      <c r="P541">
        <v>0.99315160000000002</v>
      </c>
      <c r="Q541">
        <v>1.7583680000000001E-2</v>
      </c>
      <c r="R541">
        <v>0.1155037</v>
      </c>
      <c r="S541">
        <v>3.0102229999999999</v>
      </c>
      <c r="T541">
        <v>-0.16240940000000001</v>
      </c>
      <c r="U541">
        <v>0.1141663</v>
      </c>
      <c r="V541">
        <v>-0.1168622</v>
      </c>
      <c r="W541">
        <v>3.26445E-2</v>
      </c>
      <c r="X541">
        <v>0.99261149999999998</v>
      </c>
      <c r="Y541">
        <v>-3.9205950000000003E-2</v>
      </c>
      <c r="Z541">
        <v>1.130156E-3</v>
      </c>
      <c r="AA541">
        <v>0.99923050000000002</v>
      </c>
      <c r="AB541">
        <v>15</v>
      </c>
      <c r="AC541">
        <v>20.549099999999999</v>
      </c>
      <c r="AD541">
        <v>-1.112465</v>
      </c>
      <c r="AE541">
        <v>0.78260000000000196</v>
      </c>
      <c r="AF541">
        <v>-0.80832346423670098</v>
      </c>
      <c r="AG541">
        <v>-1.112465</v>
      </c>
      <c r="AH541">
        <v>20.4880514763733</v>
      </c>
      <c r="AI541">
        <v>93.105596193200896</v>
      </c>
      <c r="AJ541">
        <v>92.259342004823495</v>
      </c>
      <c r="AK541">
        <v>20.534147620429302</v>
      </c>
      <c r="AL541">
        <v>88.129275590245896</v>
      </c>
      <c r="AM541">
        <v>96.714640670859396</v>
      </c>
      <c r="AN541">
        <v>1.0000000135506699</v>
      </c>
    </row>
    <row r="542" spans="1:40" x14ac:dyDescent="0.3">
      <c r="A542" t="str">
        <f>"20200111145924535"</f>
        <v>20200111145924535</v>
      </c>
      <c r="B542" t="str">
        <f>"1578725964526259"</f>
        <v>1578725964526259</v>
      </c>
      <c r="C542" t="s">
        <v>40</v>
      </c>
      <c r="D542">
        <v>4.2410449999999997</v>
      </c>
      <c r="E542">
        <v>0.53516619999999904</v>
      </c>
      <c r="F542" t="s">
        <v>43</v>
      </c>
      <c r="G542">
        <v>-415.13959999999997</v>
      </c>
      <c r="H542">
        <v>-0.05</v>
      </c>
      <c r="I542">
        <v>367.73719999999997</v>
      </c>
      <c r="J542">
        <v>-436.35500000000002</v>
      </c>
      <c r="K542">
        <v>1.061785</v>
      </c>
      <c r="L542">
        <v>367.16039999999998</v>
      </c>
      <c r="M542">
        <v>0.99989070000000002</v>
      </c>
      <c r="N542">
        <v>0</v>
      </c>
      <c r="O542">
        <v>-1.3324260000000001E-3</v>
      </c>
      <c r="P542">
        <v>0.99319259999999998</v>
      </c>
      <c r="Q542">
        <v>1.8105980000000001E-2</v>
      </c>
      <c r="R542">
        <v>0.115069699999999</v>
      </c>
      <c r="S542">
        <v>3.0139770000000001</v>
      </c>
      <c r="T542">
        <v>-0.157395799999999</v>
      </c>
      <c r="U542">
        <v>8.1603999999999996E-2</v>
      </c>
      <c r="V542">
        <v>-0.1163937</v>
      </c>
      <c r="W542">
        <v>3.2732669999999998E-2</v>
      </c>
      <c r="X542">
        <v>0.99266359999999998</v>
      </c>
      <c r="Y542">
        <v>-2.8356909999999999E-2</v>
      </c>
      <c r="Z542">
        <v>8.0931709999999997E-4</v>
      </c>
      <c r="AA542">
        <v>0.99959750000000003</v>
      </c>
      <c r="AB542">
        <v>15</v>
      </c>
      <c r="AC542">
        <v>21.215399999999999</v>
      </c>
      <c r="AD542">
        <v>-1.111785</v>
      </c>
      <c r="AE542">
        <v>0.57679999999999099</v>
      </c>
      <c r="AF542">
        <v>-0.60341460343391995</v>
      </c>
      <c r="AG542">
        <v>-1.111785</v>
      </c>
      <c r="AH542">
        <v>21.156554384686</v>
      </c>
      <c r="AI542">
        <v>93.006927524459897</v>
      </c>
      <c r="AJ542">
        <v>91.633713093537395</v>
      </c>
      <c r="AK542">
        <v>21.194338123707499</v>
      </c>
      <c r="AL542">
        <v>88.124221042142096</v>
      </c>
      <c r="AM542">
        <v>96.687618205537305</v>
      </c>
      <c r="AN542">
        <v>0.99999997192498802</v>
      </c>
    </row>
    <row r="543" spans="1:40" x14ac:dyDescent="0.3">
      <c r="A543" t="str">
        <f>"20200111145924548"</f>
        <v>20200111145924548</v>
      </c>
      <c r="B543" t="str">
        <f>"1578725964536018"</f>
        <v>1578725964536018</v>
      </c>
      <c r="C543" t="s">
        <v>40</v>
      </c>
      <c r="D543">
        <v>4.1348000000000003</v>
      </c>
      <c r="E543">
        <v>0.53591999999999995</v>
      </c>
      <c r="F543" t="s">
        <v>43</v>
      </c>
      <c r="G543">
        <v>-414.15809999999999</v>
      </c>
      <c r="H543">
        <v>-0.05</v>
      </c>
      <c r="I543">
        <v>367.64940000000001</v>
      </c>
      <c r="J543">
        <v>-436.27229999999997</v>
      </c>
      <c r="K543">
        <v>1.061183</v>
      </c>
      <c r="L543">
        <v>367.16030000000001</v>
      </c>
      <c r="M543">
        <v>0.99989640000000002</v>
      </c>
      <c r="N543">
        <v>0</v>
      </c>
      <c r="O543">
        <v>-1.2997919999999999E-3</v>
      </c>
      <c r="P543">
        <v>0.99324029999999996</v>
      </c>
      <c r="Q543">
        <v>1.8610290000000002E-2</v>
      </c>
      <c r="R543">
        <v>0.1145767</v>
      </c>
      <c r="S543">
        <v>3.0156559999999999</v>
      </c>
      <c r="T543">
        <v>-0.15104579999999901</v>
      </c>
      <c r="U543">
        <v>6.6436770000000006E-2</v>
      </c>
      <c r="V543">
        <v>-0.11586879999999999</v>
      </c>
      <c r="W543">
        <v>3.2849429999999999E-2</v>
      </c>
      <c r="X543">
        <v>0.99272119999999997</v>
      </c>
      <c r="Y543">
        <v>-2.3294059999999998E-2</v>
      </c>
      <c r="Z543">
        <v>6.479926E-4</v>
      </c>
      <c r="AA543">
        <v>0.99972839999999996</v>
      </c>
      <c r="AB543">
        <v>15</v>
      </c>
      <c r="AC543">
        <v>22.114199999999901</v>
      </c>
      <c r="AD543">
        <v>-1.111183</v>
      </c>
      <c r="AE543">
        <v>0.48910000000000697</v>
      </c>
      <c r="AF543">
        <v>-0.51654286590690102</v>
      </c>
      <c r="AG543">
        <v>-1.111183</v>
      </c>
      <c r="AH543">
        <v>22.0578807919151</v>
      </c>
      <c r="AI543">
        <v>92.883092788545497</v>
      </c>
      <c r="AJ543">
        <v>91.341485080402194</v>
      </c>
      <c r="AK543">
        <v>22.091891028658999</v>
      </c>
      <c r="AL543">
        <v>88.117527682234396</v>
      </c>
      <c r="AM543">
        <v>96.657347612823699</v>
      </c>
      <c r="AN543">
        <v>1.0000000223971</v>
      </c>
    </row>
    <row r="544" spans="1:40" x14ac:dyDescent="0.3">
      <c r="A544" t="str">
        <f>"20200111145924566"</f>
        <v>20200111145924566</v>
      </c>
      <c r="B544" t="str">
        <f>"1578725964556514"</f>
        <v>1578725964556514</v>
      </c>
      <c r="C544" t="s">
        <v>40</v>
      </c>
      <c r="D544">
        <v>4.2771059999999999</v>
      </c>
      <c r="E544">
        <v>0.53769309999999904</v>
      </c>
      <c r="F544" t="s">
        <v>43</v>
      </c>
      <c r="G544">
        <v>-414.23680000000002</v>
      </c>
      <c r="H544">
        <v>-0.05</v>
      </c>
      <c r="I544">
        <v>367.59620000000001</v>
      </c>
      <c r="J544">
        <v>-436.1472</v>
      </c>
      <c r="K544">
        <v>1.060351</v>
      </c>
      <c r="L544">
        <v>367.16030000000001</v>
      </c>
      <c r="M544">
        <v>0.99990409999999996</v>
      </c>
      <c r="N544">
        <v>0</v>
      </c>
      <c r="O544">
        <v>-1.2500759999999999E-3</v>
      </c>
      <c r="P544">
        <v>0.99331809999999998</v>
      </c>
      <c r="Q544">
        <v>1.9543250000000002E-2</v>
      </c>
      <c r="R544">
        <v>0.11374280000000001</v>
      </c>
      <c r="S544">
        <v>3.0164179999999998</v>
      </c>
      <c r="T544">
        <v>-0.152108299999999</v>
      </c>
      <c r="U544">
        <v>5.9661869999999999E-2</v>
      </c>
      <c r="V544">
        <v>-0.1149854</v>
      </c>
      <c r="W544">
        <v>3.3242599999999997E-2</v>
      </c>
      <c r="X544">
        <v>0.99281079999999999</v>
      </c>
      <c r="Y544">
        <v>-2.0996859999999999E-2</v>
      </c>
      <c r="Z544">
        <v>5.9201139999999995E-4</v>
      </c>
      <c r="AA544">
        <v>0.99977930000000004</v>
      </c>
      <c r="AB544">
        <v>15</v>
      </c>
      <c r="AC544">
        <v>21.9103999999999</v>
      </c>
      <c r="AD544">
        <v>-1.1103510000000001</v>
      </c>
      <c r="AE544">
        <v>0.43590000000000301</v>
      </c>
      <c r="AF544">
        <v>-0.46210564412508698</v>
      </c>
      <c r="AG544">
        <v>-1.1103510000000001</v>
      </c>
      <c r="AH544">
        <v>21.8537365032088</v>
      </c>
      <c r="AI544">
        <v>92.907950593430698</v>
      </c>
      <c r="AJ544">
        <v>91.211360720860498</v>
      </c>
      <c r="AK544">
        <v>21.886804703318699</v>
      </c>
      <c r="AL544">
        <v>88.094988345418002</v>
      </c>
      <c r="AM544">
        <v>96.606450513247694</v>
      </c>
      <c r="AN544">
        <v>0.99999999863227995</v>
      </c>
    </row>
    <row r="545" spans="1:40" x14ac:dyDescent="0.3">
      <c r="A545" t="str">
        <f>"20200111145924578"</f>
        <v>20200111145924578</v>
      </c>
      <c r="B545" t="str">
        <f>"1578725964576035"</f>
        <v>1578725964576035</v>
      </c>
      <c r="C545" t="s">
        <v>40</v>
      </c>
      <c r="D545">
        <v>4.1703739999999998</v>
      </c>
      <c r="E545">
        <v>0.53976369999999996</v>
      </c>
      <c r="F545" t="s">
        <v>43</v>
      </c>
      <c r="G545">
        <v>-413.82029999999997</v>
      </c>
      <c r="H545">
        <v>-0.05</v>
      </c>
      <c r="I545">
        <v>367.47989999999999</v>
      </c>
      <c r="J545">
        <v>-436.06040000000002</v>
      </c>
      <c r="K545">
        <v>1.059822</v>
      </c>
      <c r="L545">
        <v>367.16019999999997</v>
      </c>
      <c r="M545">
        <v>0.99990889999999999</v>
      </c>
      <c r="N545">
        <v>0</v>
      </c>
      <c r="O545">
        <v>-1.2151659999999999E-3</v>
      </c>
      <c r="P545">
        <v>0.99327480000000001</v>
      </c>
      <c r="Q545">
        <v>2.026942E-2</v>
      </c>
      <c r="R545">
        <v>0.1139946</v>
      </c>
      <c r="S545">
        <v>3.0181580000000001</v>
      </c>
      <c r="T545">
        <v>-0.15009749999999999</v>
      </c>
      <c r="U545">
        <v>4.3212889999999997E-2</v>
      </c>
      <c r="V545">
        <v>-0.1152026</v>
      </c>
      <c r="W545">
        <v>3.3622909999999999E-2</v>
      </c>
      <c r="X545">
        <v>0.99277280000000001</v>
      </c>
      <c r="Y545">
        <v>-1.5510639999999999E-2</v>
      </c>
      <c r="Z545">
        <v>4.4582299999999998E-4</v>
      </c>
      <c r="AA545">
        <v>0.99987959999999998</v>
      </c>
      <c r="AB545">
        <v>15</v>
      </c>
      <c r="AC545">
        <v>22.240100000000002</v>
      </c>
      <c r="AD545">
        <v>-1.1098219999999901</v>
      </c>
      <c r="AE545">
        <v>0.31970000000001098</v>
      </c>
      <c r="AF545">
        <v>-0.34586652274103902</v>
      </c>
      <c r="AG545">
        <v>-1.1098219999999901</v>
      </c>
      <c r="AH545">
        <v>22.1844628493069</v>
      </c>
      <c r="AI545">
        <v>92.863600617980595</v>
      </c>
      <c r="AJ545">
        <v>90.893196595611897</v>
      </c>
      <c r="AK545">
        <v>22.214898614117399</v>
      </c>
      <c r="AL545">
        <v>88.073185974377097</v>
      </c>
      <c r="AM545">
        <v>96.619070146637</v>
      </c>
      <c r="AN545">
        <v>0.99999998577173399</v>
      </c>
    </row>
    <row r="546" spans="1:40" x14ac:dyDescent="0.3">
      <c r="A546" t="str">
        <f>"20200111145924591"</f>
        <v>20200111145924591</v>
      </c>
      <c r="B546" t="str">
        <f>"1578725964585794"</f>
        <v>1578725964585794</v>
      </c>
      <c r="C546" t="s">
        <v>40</v>
      </c>
      <c r="D546">
        <v>4.0576699999999999</v>
      </c>
      <c r="E546">
        <v>0.53992010000000001</v>
      </c>
      <c r="F546" t="s">
        <v>43</v>
      </c>
      <c r="G546">
        <v>-414.53890000000001</v>
      </c>
      <c r="H546">
        <v>-0.05</v>
      </c>
      <c r="I546">
        <v>367.35500000000002</v>
      </c>
      <c r="J546">
        <v>-435.97590000000002</v>
      </c>
      <c r="K546">
        <v>1.0593629999999901</v>
      </c>
      <c r="L546">
        <v>367.1601</v>
      </c>
      <c r="M546">
        <v>0.99991300000000005</v>
      </c>
      <c r="N546">
        <v>0</v>
      </c>
      <c r="O546">
        <v>-1.180366E-3</v>
      </c>
      <c r="P546">
        <v>0.99322160000000004</v>
      </c>
      <c r="Q546">
        <v>2.077913E-2</v>
      </c>
      <c r="R546">
        <v>0.1143644</v>
      </c>
      <c r="S546">
        <v>3.0203549999999999</v>
      </c>
      <c r="T546">
        <v>-0.155754</v>
      </c>
      <c r="U546">
        <v>2.734375E-2</v>
      </c>
      <c r="V546">
        <v>-0.1155379</v>
      </c>
      <c r="W546">
        <v>3.3831170000000001E-2</v>
      </c>
      <c r="X546">
        <v>0.99272669999999996</v>
      </c>
      <c r="Y546">
        <v>-1.0218049999999999E-2</v>
      </c>
      <c r="Z546">
        <v>3.2411549999999999E-4</v>
      </c>
      <c r="AA546">
        <v>0.99994769999999999</v>
      </c>
      <c r="AB546">
        <v>15</v>
      </c>
      <c r="AC546">
        <v>21.437000000000001</v>
      </c>
      <c r="AD546">
        <v>-1.1093630000000001</v>
      </c>
      <c r="AE546">
        <v>0.194900000000018</v>
      </c>
      <c r="AF546">
        <v>-0.219617455306168</v>
      </c>
      <c r="AG546">
        <v>-1.1093630000000001</v>
      </c>
      <c r="AH546">
        <v>21.379504254902301</v>
      </c>
      <c r="AI546">
        <v>92.970205414251794</v>
      </c>
      <c r="AJ546">
        <v>90.588540808957205</v>
      </c>
      <c r="AK546">
        <v>21.409393272062399</v>
      </c>
      <c r="AL546">
        <v>88.061246649972603</v>
      </c>
      <c r="AM546">
        <v>96.638468935130803</v>
      </c>
      <c r="AN546">
        <v>0.99999992764643097</v>
      </c>
    </row>
    <row r="547" spans="1:40" x14ac:dyDescent="0.3">
      <c r="A547" t="str">
        <f>"20200111145924605"</f>
        <v>20200111145924605</v>
      </c>
      <c r="B547" t="str">
        <f>"1578725964596530"</f>
        <v>1578725964596530</v>
      </c>
      <c r="C547" t="s">
        <v>40</v>
      </c>
      <c r="D547">
        <v>4.2333509999999999</v>
      </c>
      <c r="E547">
        <v>0.54083539999999997</v>
      </c>
      <c r="F547" t="s">
        <v>43</v>
      </c>
      <c r="G547">
        <v>-414.01799999999997</v>
      </c>
      <c r="H547">
        <v>-0.05</v>
      </c>
      <c r="I547">
        <v>367.35599999999999</v>
      </c>
      <c r="J547">
        <v>-435.88749999999999</v>
      </c>
      <c r="K547">
        <v>1.0589090000000001</v>
      </c>
      <c r="L547">
        <v>367.16</v>
      </c>
      <c r="M547">
        <v>0.9999169</v>
      </c>
      <c r="N547">
        <v>0</v>
      </c>
      <c r="O547">
        <v>-1.1425160000000001E-3</v>
      </c>
      <c r="P547">
        <v>0.99318209999999996</v>
      </c>
      <c r="Q547">
        <v>2.105537E-2</v>
      </c>
      <c r="R547">
        <v>0.114657</v>
      </c>
      <c r="S547">
        <v>3.0205690000000001</v>
      </c>
      <c r="T547">
        <v>-0.15260580000000001</v>
      </c>
      <c r="U547">
        <v>2.6947019999999999E-2</v>
      </c>
      <c r="V547">
        <v>-0.115792699999999</v>
      </c>
      <c r="W547">
        <v>3.3808289999999998E-2</v>
      </c>
      <c r="X547">
        <v>0.99269790000000002</v>
      </c>
      <c r="Y547">
        <v>-1.004911E-2</v>
      </c>
      <c r="Z547">
        <v>3.11374E-4</v>
      </c>
      <c r="AA547">
        <v>0.99994950000000005</v>
      </c>
      <c r="AB547">
        <v>15</v>
      </c>
      <c r="AC547">
        <v>21.869499999999899</v>
      </c>
      <c r="AD547">
        <v>-1.1089089999999999</v>
      </c>
      <c r="AE547">
        <v>0.195999999999969</v>
      </c>
      <c r="AF547">
        <v>-0.22042151204390401</v>
      </c>
      <c r="AG547">
        <v>-1.1089089999999999</v>
      </c>
      <c r="AH547">
        <v>21.813183029478999</v>
      </c>
      <c r="AI547">
        <v>92.910071480475693</v>
      </c>
      <c r="AJ547">
        <v>90.578952301691402</v>
      </c>
      <c r="AK547">
        <v>21.842463658909999</v>
      </c>
      <c r="AL547">
        <v>88.062558536414301</v>
      </c>
      <c r="AM547">
        <v>96.653169182793306</v>
      </c>
      <c r="AN547">
        <v>1.0000000352552101</v>
      </c>
    </row>
    <row r="548" spans="1:40" x14ac:dyDescent="0.3">
      <c r="A548" t="str">
        <f>"20200111145924622"</f>
        <v>20200111145924622</v>
      </c>
      <c r="B548" t="str">
        <f>"1578725964616051"</f>
        <v>1578725964616051</v>
      </c>
      <c r="C548" t="s">
        <v>40</v>
      </c>
      <c r="D548">
        <v>4.0392479999999997</v>
      </c>
      <c r="E548">
        <v>0.54109810000000003</v>
      </c>
      <c r="F548" t="s">
        <v>43</v>
      </c>
      <c r="G548">
        <v>-414.20659999999998</v>
      </c>
      <c r="H548">
        <v>-0.05</v>
      </c>
      <c r="I548">
        <v>367.31169999999997</v>
      </c>
      <c r="J548">
        <v>-435.7679</v>
      </c>
      <c r="K548">
        <v>1.058357</v>
      </c>
      <c r="L548">
        <v>367.16</v>
      </c>
      <c r="M548">
        <v>0.99992159999999997</v>
      </c>
      <c r="N548">
        <v>0</v>
      </c>
      <c r="O548">
        <v>-1.0866039999999999E-3</v>
      </c>
      <c r="P548">
        <v>0.99313910000000005</v>
      </c>
      <c r="Q548">
        <v>2.11059E-2</v>
      </c>
      <c r="R548">
        <v>0.1150188</v>
      </c>
      <c r="S548">
        <v>3.021423</v>
      </c>
      <c r="T548">
        <v>-0.15453610000000001</v>
      </c>
      <c r="U548">
        <v>2.114868E-2</v>
      </c>
      <c r="V548">
        <v>-0.1160997</v>
      </c>
      <c r="W548">
        <v>3.348947E-2</v>
      </c>
      <c r="X548">
        <v>0.99267280000000002</v>
      </c>
      <c r="Y548">
        <v>-8.0740869999999902E-3</v>
      </c>
      <c r="Z548">
        <v>2.6188809999999998E-4</v>
      </c>
      <c r="AA548">
        <v>0.99996739999999995</v>
      </c>
      <c r="AB548">
        <v>15</v>
      </c>
      <c r="AC548">
        <v>21.561299999999999</v>
      </c>
      <c r="AD548">
        <v>-1.108357</v>
      </c>
      <c r="AE548">
        <v>0.15169999999994799</v>
      </c>
      <c r="AF548">
        <v>-0.17466879481404399</v>
      </c>
      <c r="AG548">
        <v>-1.108357</v>
      </c>
      <c r="AH548">
        <v>21.504300841709401</v>
      </c>
      <c r="AI548">
        <v>92.950384028951504</v>
      </c>
      <c r="AJ548">
        <v>90.465375031240896</v>
      </c>
      <c r="AK548">
        <v>21.533553332371199</v>
      </c>
      <c r="AL548">
        <v>88.080835832667901</v>
      </c>
      <c r="AM548">
        <v>96.670817050956302</v>
      </c>
      <c r="AN548">
        <v>0.99999998640040499</v>
      </c>
    </row>
    <row r="549" spans="1:40" x14ac:dyDescent="0.3">
      <c r="A549" t="str">
        <f>"20200111145924634"</f>
        <v>20200111145924634</v>
      </c>
      <c r="B549" t="str">
        <f>"1578725964625810"</f>
        <v>1578725964625810</v>
      </c>
      <c r="C549" t="s">
        <v>40</v>
      </c>
      <c r="D549">
        <v>4.0235300000000001</v>
      </c>
      <c r="E549">
        <v>0.54104140000000001</v>
      </c>
      <c r="F549" t="s">
        <v>43</v>
      </c>
      <c r="G549">
        <v>-414.00130000000001</v>
      </c>
      <c r="H549">
        <v>-0.05</v>
      </c>
      <c r="I549">
        <v>367.30810000000002</v>
      </c>
      <c r="J549">
        <v>-435.68299999999999</v>
      </c>
      <c r="K549">
        <v>1.0580099999999999</v>
      </c>
      <c r="L549">
        <v>367.15989999999999</v>
      </c>
      <c r="M549">
        <v>0.9999247</v>
      </c>
      <c r="N549">
        <v>0</v>
      </c>
      <c r="O549">
        <v>-1.041941E-3</v>
      </c>
      <c r="P549">
        <v>0.99310920000000003</v>
      </c>
      <c r="Q549">
        <v>2.1421889999999999E-2</v>
      </c>
      <c r="R549">
        <v>0.11521919999999999</v>
      </c>
      <c r="S549">
        <v>3.0216059999999998</v>
      </c>
      <c r="T549">
        <v>-0.15386059999999999</v>
      </c>
      <c r="U549">
        <v>2.056885E-2</v>
      </c>
      <c r="V549">
        <v>-0.1162556</v>
      </c>
      <c r="W549">
        <v>3.3570009999999997E-2</v>
      </c>
      <c r="X549">
        <v>0.99265179999999997</v>
      </c>
      <c r="Y549">
        <v>-7.8375830000000004E-3</v>
      </c>
      <c r="Z549">
        <v>2.5243869999999998E-4</v>
      </c>
      <c r="AA549">
        <v>0.9999692</v>
      </c>
      <c r="AB549">
        <v>15</v>
      </c>
      <c r="AC549">
        <v>21.681699999999999</v>
      </c>
      <c r="AD549">
        <v>-1.1080099999999999</v>
      </c>
      <c r="AE549">
        <v>0.148200000000031</v>
      </c>
      <c r="AF549">
        <v>-0.17034780724802401</v>
      </c>
      <c r="AG549">
        <v>-1.1080099999999999</v>
      </c>
      <c r="AH549">
        <v>21.625061205647501</v>
      </c>
      <c r="AI549">
        <v>92.933025930657195</v>
      </c>
      <c r="AJ549">
        <v>90.451328596849294</v>
      </c>
      <c r="AK549">
        <v>21.654098380757802</v>
      </c>
      <c r="AL549">
        <v>88.076218570225706</v>
      </c>
      <c r="AM549">
        <v>96.679833843559706</v>
      </c>
      <c r="AN549">
        <v>0.99999995307299805</v>
      </c>
    </row>
    <row r="550" spans="1:40" x14ac:dyDescent="0.3">
      <c r="A550" t="str">
        <f>"20200111145924646"</f>
        <v>20200111145924646</v>
      </c>
      <c r="B550" t="str">
        <f>"1578725964636546"</f>
        <v>1578725964636546</v>
      </c>
      <c r="C550" t="s">
        <v>40</v>
      </c>
      <c r="D550">
        <v>4.1462789999999998</v>
      </c>
      <c r="E550">
        <v>0.54129519999999998</v>
      </c>
      <c r="F550" t="s">
        <v>43</v>
      </c>
      <c r="G550">
        <v>-413.37849999999997</v>
      </c>
      <c r="H550">
        <v>-0.05</v>
      </c>
      <c r="I550">
        <v>367.31760000000003</v>
      </c>
      <c r="J550">
        <v>-435.60950000000003</v>
      </c>
      <c r="K550">
        <v>1.0577299999999901</v>
      </c>
      <c r="L550">
        <v>367.15989999999999</v>
      </c>
      <c r="M550">
        <v>0.99992700000000001</v>
      </c>
      <c r="N550">
        <v>0</v>
      </c>
      <c r="O550">
        <v>-9.9995050000000005E-4</v>
      </c>
      <c r="P550">
        <v>0.99309709999999995</v>
      </c>
      <c r="Q550">
        <v>2.1457609999999998E-2</v>
      </c>
      <c r="R550">
        <v>0.115316</v>
      </c>
      <c r="S550">
        <v>3.021576</v>
      </c>
      <c r="T550">
        <v>-0.15010109999999999</v>
      </c>
      <c r="U550">
        <v>2.1362300000000001E-2</v>
      </c>
      <c r="V550">
        <v>-0.1163106</v>
      </c>
      <c r="W550">
        <v>3.3412740000000003E-2</v>
      </c>
      <c r="X550">
        <v>0.9926507</v>
      </c>
      <c r="Y550">
        <v>-8.0585699999999993E-3</v>
      </c>
      <c r="Z550">
        <v>2.4968100000000002E-4</v>
      </c>
      <c r="AA550">
        <v>0.99996750000000001</v>
      </c>
      <c r="AB550">
        <v>15</v>
      </c>
      <c r="AC550">
        <v>22.231000000000002</v>
      </c>
      <c r="AD550">
        <v>-1.1077300000000001</v>
      </c>
      <c r="AE550">
        <v>0.15770000000003301</v>
      </c>
      <c r="AF550">
        <v>-0.179485819215665</v>
      </c>
      <c r="AG550">
        <v>-1.1077300000000001</v>
      </c>
      <c r="AH550">
        <v>22.175774909833201</v>
      </c>
      <c r="AI550">
        <v>92.859583042011394</v>
      </c>
      <c r="AJ550">
        <v>90.463729245684405</v>
      </c>
      <c r="AK550">
        <v>22.204149922115601</v>
      </c>
      <c r="AL550">
        <v>88.085234605649106</v>
      </c>
      <c r="AM550">
        <v>96.682972803422302</v>
      </c>
      <c r="AN550">
        <v>0.99999998953857805</v>
      </c>
    </row>
    <row r="551" spans="1:40" x14ac:dyDescent="0.3">
      <c r="A551" t="str">
        <f>"20200111145924657"</f>
        <v>20200111145924657</v>
      </c>
      <c r="B551" t="str">
        <f>"1578725964646306"</f>
        <v>1578725964646306</v>
      </c>
      <c r="C551" t="s">
        <v>40</v>
      </c>
      <c r="D551">
        <v>4.0748329999999999</v>
      </c>
      <c r="E551">
        <v>0.54159880000000005</v>
      </c>
      <c r="F551" t="s">
        <v>43</v>
      </c>
      <c r="G551">
        <v>-413.01280000000003</v>
      </c>
      <c r="H551">
        <v>-0.05</v>
      </c>
      <c r="I551">
        <v>367.30590000000001</v>
      </c>
      <c r="J551">
        <v>-435.53050000000002</v>
      </c>
      <c r="K551">
        <v>1.0574520000000001</v>
      </c>
      <c r="L551">
        <v>367.15989999999999</v>
      </c>
      <c r="M551">
        <v>0.99992939999999997</v>
      </c>
      <c r="N551">
        <v>0</v>
      </c>
      <c r="O551">
        <v>-9.5151570000000002E-4</v>
      </c>
      <c r="P551">
        <v>0.99309080000000005</v>
      </c>
      <c r="Q551">
        <v>2.1866199999999999E-2</v>
      </c>
      <c r="R551">
        <v>0.1152933</v>
      </c>
      <c r="S551">
        <v>3.0217900000000002</v>
      </c>
      <c r="T551">
        <v>-0.1481335</v>
      </c>
      <c r="U551">
        <v>1.953125E-2</v>
      </c>
      <c r="V551">
        <v>-0.1162407</v>
      </c>
      <c r="W551">
        <v>3.3626240000000002E-2</v>
      </c>
      <c r="X551">
        <v>0.99265170000000003</v>
      </c>
      <c r="Y551">
        <v>-7.4048619999999999E-3</v>
      </c>
      <c r="Z551">
        <v>2.280088E-4</v>
      </c>
      <c r="AA551">
        <v>0.99997259999999999</v>
      </c>
      <c r="AB551">
        <v>15</v>
      </c>
      <c r="AC551">
        <v>22.517699999999898</v>
      </c>
      <c r="AD551">
        <v>-1.1074520000000001</v>
      </c>
      <c r="AE551">
        <v>0.14600000000001501</v>
      </c>
      <c r="AF551">
        <v>-0.16702340115324699</v>
      </c>
      <c r="AG551">
        <v>-1.1074520000000001</v>
      </c>
      <c r="AH551">
        <v>22.463218898232</v>
      </c>
      <c r="AI551">
        <v>92.822357868785701</v>
      </c>
      <c r="AJ551">
        <v>90.426010166199205</v>
      </c>
      <c r="AK551">
        <v>22.4911215820538</v>
      </c>
      <c r="AL551">
        <v>88.072995119983602</v>
      </c>
      <c r="AM551">
        <v>96.678986118779406</v>
      </c>
      <c r="AN551">
        <v>1.0000000109329501</v>
      </c>
    </row>
    <row r="552" spans="1:40" x14ac:dyDescent="0.3">
      <c r="A552" t="str">
        <f>"20200111145924670"</f>
        <v>20200111145924670</v>
      </c>
      <c r="B552" t="str">
        <f>"1578725964665826"</f>
        <v>1578725964665826</v>
      </c>
      <c r="C552" t="s">
        <v>40</v>
      </c>
      <c r="D552">
        <v>4.0937999999999999</v>
      </c>
      <c r="E552">
        <v>0.54180909999999904</v>
      </c>
      <c r="F552" t="s">
        <v>43</v>
      </c>
      <c r="G552">
        <v>-412.74239999999998</v>
      </c>
      <c r="H552">
        <v>-0.05</v>
      </c>
      <c r="I552">
        <v>367.28870000000001</v>
      </c>
      <c r="J552">
        <v>-435.44290000000001</v>
      </c>
      <c r="K552">
        <v>1.0571820000000001</v>
      </c>
      <c r="L552">
        <v>367.15989999999999</v>
      </c>
      <c r="M552">
        <v>0.99993160000000003</v>
      </c>
      <c r="N552">
        <v>0</v>
      </c>
      <c r="O552">
        <v>-8.8852099999999997E-4</v>
      </c>
      <c r="P552">
        <v>0.99310670000000001</v>
      </c>
      <c r="Q552">
        <v>2.182547E-2</v>
      </c>
      <c r="R552">
        <v>0.1151645</v>
      </c>
      <c r="S552">
        <v>3.0220639999999999</v>
      </c>
      <c r="T552">
        <v>-0.1468662</v>
      </c>
      <c r="U552">
        <v>1.7089839999999999E-2</v>
      </c>
      <c r="V552">
        <v>-0.116050399999999</v>
      </c>
      <c r="W552">
        <v>3.3390339999999998E-2</v>
      </c>
      <c r="X552">
        <v>0.99268190000000001</v>
      </c>
      <c r="Y552">
        <v>-6.534738E-3</v>
      </c>
      <c r="Z552">
        <v>2.0185010000000001E-4</v>
      </c>
      <c r="AA552">
        <v>0.99997860000000005</v>
      </c>
      <c r="AB552">
        <v>15</v>
      </c>
      <c r="AC552">
        <v>22.700500000000002</v>
      </c>
      <c r="AD552">
        <v>-1.1071819999999899</v>
      </c>
      <c r="AE552">
        <v>0.12880000000001199</v>
      </c>
      <c r="AF552">
        <v>-0.14861766400797799</v>
      </c>
      <c r="AG552">
        <v>-1.1071819999999899</v>
      </c>
      <c r="AH552">
        <v>22.646505667069999</v>
      </c>
      <c r="AI552">
        <v>92.798887560356505</v>
      </c>
      <c r="AJ552">
        <v>90.375998081026395</v>
      </c>
      <c r="AK552">
        <v>22.6740415038831</v>
      </c>
      <c r="AL552">
        <v>88.086518733929694</v>
      </c>
      <c r="AM552">
        <v>96.667949325761796</v>
      </c>
      <c r="AN552">
        <v>0.99999998236654197</v>
      </c>
    </row>
    <row r="553" spans="1:40" x14ac:dyDescent="0.3">
      <c r="A553" t="str">
        <f>"20200111145924688"</f>
        <v>20200111145924688</v>
      </c>
      <c r="B553" t="str">
        <f>"1578725964676562"</f>
        <v>1578725964676562</v>
      </c>
      <c r="C553" t="s">
        <v>40</v>
      </c>
      <c r="D553">
        <v>3.9612229999999999</v>
      </c>
      <c r="E553">
        <v>0.54193499999999994</v>
      </c>
      <c r="F553" t="s">
        <v>43</v>
      </c>
      <c r="G553">
        <v>-411.87700000000001</v>
      </c>
      <c r="H553">
        <v>-0.05</v>
      </c>
      <c r="I553">
        <v>367.27620000000002</v>
      </c>
      <c r="J553">
        <v>-435.32409999999999</v>
      </c>
      <c r="K553">
        <v>1.0568470000000001</v>
      </c>
      <c r="L553">
        <v>367.15980000000002</v>
      </c>
      <c r="M553">
        <v>0.99993469999999995</v>
      </c>
      <c r="N553">
        <v>0</v>
      </c>
      <c r="O553">
        <v>-7.8956380000000002E-4</v>
      </c>
      <c r="P553">
        <v>0.99318640000000002</v>
      </c>
      <c r="Q553">
        <v>2.1685570000000001E-2</v>
      </c>
      <c r="R553">
        <v>0.1145028</v>
      </c>
      <c r="S553">
        <v>3.0222169999999999</v>
      </c>
      <c r="T553">
        <v>-0.1419907</v>
      </c>
      <c r="U553">
        <v>1.49231E-2</v>
      </c>
      <c r="V553">
        <v>-0.1152912</v>
      </c>
      <c r="W553">
        <v>3.3007649999999999E-2</v>
      </c>
      <c r="X553">
        <v>0.99278319999999998</v>
      </c>
      <c r="Y553">
        <v>-5.7201619999999896E-3</v>
      </c>
      <c r="Z553">
        <v>1.7137550000000001E-4</v>
      </c>
      <c r="AA553">
        <v>0.99998359999999997</v>
      </c>
      <c r="AB553">
        <v>15</v>
      </c>
      <c r="AC553">
        <v>23.447099999999999</v>
      </c>
      <c r="AD553">
        <v>-1.1068469999999999</v>
      </c>
      <c r="AE553">
        <v>0.11639999999999801</v>
      </c>
      <c r="AF553">
        <v>-0.13461417884973101</v>
      </c>
      <c r="AG553">
        <v>-1.1068469999999999</v>
      </c>
      <c r="AH553">
        <v>23.394868487348901</v>
      </c>
      <c r="AI553">
        <v>92.708686311279394</v>
      </c>
      <c r="AJ553">
        <v>90.329676535535199</v>
      </c>
      <c r="AK553">
        <v>23.421424013046401</v>
      </c>
      <c r="AL553">
        <v>88.108457428464703</v>
      </c>
      <c r="AM553">
        <v>96.624046742015395</v>
      </c>
      <c r="AN553">
        <v>1.0000000239791</v>
      </c>
    </row>
    <row r="554" spans="1:40" x14ac:dyDescent="0.3">
      <c r="A554" t="str">
        <f>"20200111145924699"</f>
        <v>20200111145924699</v>
      </c>
      <c r="B554" t="str">
        <f>"1578725964696083"</f>
        <v>1578725964696083</v>
      </c>
      <c r="C554" t="s">
        <v>40</v>
      </c>
      <c r="D554">
        <v>4.0593640000000004</v>
      </c>
      <c r="E554">
        <v>0.54227760000000003</v>
      </c>
      <c r="F554" t="s">
        <v>43</v>
      </c>
      <c r="G554">
        <v>-411.05689999999998</v>
      </c>
      <c r="H554">
        <v>-0.05</v>
      </c>
      <c r="I554">
        <v>367.25459999999998</v>
      </c>
      <c r="J554">
        <v>-435.24239999999998</v>
      </c>
      <c r="K554">
        <v>1.05664</v>
      </c>
      <c r="L554">
        <v>367.15980000000002</v>
      </c>
      <c r="M554">
        <v>0.99993650000000001</v>
      </c>
      <c r="N554">
        <v>0</v>
      </c>
      <c r="O554">
        <v>-7.1226809999999998E-4</v>
      </c>
      <c r="P554">
        <v>0.99323850000000002</v>
      </c>
      <c r="Q554">
        <v>2.1487530000000001E-2</v>
      </c>
      <c r="R554">
        <v>0.1140863</v>
      </c>
      <c r="S554">
        <v>3.0222169999999999</v>
      </c>
      <c r="T554">
        <v>-0.13784549999999901</v>
      </c>
      <c r="U554">
        <v>1.1810299999999999E-2</v>
      </c>
      <c r="V554">
        <v>-0.1147987</v>
      </c>
      <c r="W554">
        <v>3.265593E-2</v>
      </c>
      <c r="X554">
        <v>0.99285190000000001</v>
      </c>
      <c r="Y554">
        <v>-4.6145680000000003E-3</v>
      </c>
      <c r="Z554">
        <v>1.3765399999999999E-4</v>
      </c>
      <c r="AA554">
        <v>0.99998929999999997</v>
      </c>
      <c r="AB554">
        <v>15</v>
      </c>
      <c r="AC554">
        <v>24.185499999999902</v>
      </c>
      <c r="AD554">
        <v>-1.1066400000000001</v>
      </c>
      <c r="AE554">
        <v>9.4799999999963802E-2</v>
      </c>
      <c r="AF554">
        <v>-0.11179357345381601</v>
      </c>
      <c r="AG554">
        <v>-1.1066400000000001</v>
      </c>
      <c r="AH554">
        <v>24.134897259488799</v>
      </c>
      <c r="AI554">
        <v>92.625275032695001</v>
      </c>
      <c r="AJ554">
        <v>90.265393884102295</v>
      </c>
      <c r="AK554">
        <v>24.160513562810401</v>
      </c>
      <c r="AL554">
        <v>88.128620368416193</v>
      </c>
      <c r="AM554">
        <v>96.595547683373098</v>
      </c>
      <c r="AN554">
        <v>1.0000000233097299</v>
      </c>
    </row>
    <row r="555" spans="1:40" x14ac:dyDescent="0.3">
      <c r="A555" t="str">
        <f>"20200111145924712"</f>
        <v>20200111145924712</v>
      </c>
      <c r="B555" t="str">
        <f>"1578725964705842"</f>
        <v>1578725964705842</v>
      </c>
      <c r="C555" t="s">
        <v>40</v>
      </c>
      <c r="D555">
        <v>3.9746549999999998</v>
      </c>
      <c r="E555">
        <v>0.54242489999999999</v>
      </c>
      <c r="F555" t="s">
        <v>43</v>
      </c>
      <c r="G555">
        <v>-410.05759999999998</v>
      </c>
      <c r="H555">
        <v>-0.05</v>
      </c>
      <c r="I555">
        <v>367.22309999999999</v>
      </c>
      <c r="J555">
        <v>-435.15839999999997</v>
      </c>
      <c r="K555">
        <v>1.0564629999999999</v>
      </c>
      <c r="L555">
        <v>367.15989999999999</v>
      </c>
      <c r="M555">
        <v>0.99993799999999999</v>
      </c>
      <c r="N555">
        <v>0</v>
      </c>
      <c r="O555">
        <v>-6.1501280000000001E-4</v>
      </c>
      <c r="P555">
        <v>0.99330039999999997</v>
      </c>
      <c r="Q555">
        <v>2.1256150000000001E-2</v>
      </c>
      <c r="R555">
        <v>0.11359030000000001</v>
      </c>
      <c r="S555">
        <v>3.0224299999999999</v>
      </c>
      <c r="T555">
        <v>-0.13280749999999999</v>
      </c>
      <c r="U555">
        <v>7.59887699999999E-3</v>
      </c>
      <c r="V555">
        <v>-0.1142069</v>
      </c>
      <c r="W555">
        <v>3.2285149999999999E-2</v>
      </c>
      <c r="X555">
        <v>0.99293229999999999</v>
      </c>
      <c r="Y555">
        <v>-3.125592E-3</v>
      </c>
      <c r="Z555" s="1">
        <v>9.5649639999999996E-5</v>
      </c>
      <c r="AA555">
        <v>0.99999510000000003</v>
      </c>
      <c r="AB555">
        <v>15</v>
      </c>
      <c r="AC555">
        <v>25.1007999999999</v>
      </c>
      <c r="AD555">
        <v>-1.106463</v>
      </c>
      <c r="AE555">
        <v>6.3199999999994802E-2</v>
      </c>
      <c r="AF555">
        <v>-7.8485749662064799E-2</v>
      </c>
      <c r="AG555">
        <v>-1.106463</v>
      </c>
      <c r="AH555">
        <v>25.0520776039655</v>
      </c>
      <c r="AI555">
        <v>92.528899087140701</v>
      </c>
      <c r="AJ555">
        <v>90.179501579319506</v>
      </c>
      <c r="AK555">
        <v>25.076622831999899</v>
      </c>
      <c r="AL555">
        <v>88.149875754009699</v>
      </c>
      <c r="AM555">
        <v>96.561317495969206</v>
      </c>
      <c r="AN555">
        <v>1.00000004965071</v>
      </c>
    </row>
    <row r="556" spans="1:40" x14ac:dyDescent="0.3">
      <c r="A556" t="str">
        <f>"20200111145924723"</f>
        <v>20200111145924723</v>
      </c>
      <c r="B556" t="str">
        <f>"1578725964716578"</f>
        <v>1578725964716578</v>
      </c>
      <c r="C556" t="s">
        <v>40</v>
      </c>
      <c r="D556">
        <v>3.9689830000000001</v>
      </c>
      <c r="E556">
        <v>0.54246799999999995</v>
      </c>
      <c r="F556" t="s">
        <v>43</v>
      </c>
      <c r="G556">
        <v>-409.70280000000002</v>
      </c>
      <c r="H556">
        <v>-0.05</v>
      </c>
      <c r="I556">
        <v>367.2038</v>
      </c>
      <c r="J556">
        <v>-435.07839999999999</v>
      </c>
      <c r="K556">
        <v>1.0563</v>
      </c>
      <c r="L556">
        <v>367.15989999999999</v>
      </c>
      <c r="M556">
        <v>0.99993929999999998</v>
      </c>
      <c r="N556">
        <v>0</v>
      </c>
      <c r="O556">
        <v>-5.1533289999999995E-4</v>
      </c>
      <c r="P556">
        <v>0.99338309999999996</v>
      </c>
      <c r="Q556">
        <v>2.121079E-2</v>
      </c>
      <c r="R556">
        <v>0.11287270000000001</v>
      </c>
      <c r="S556">
        <v>3.0224609999999998</v>
      </c>
      <c r="T556">
        <v>-0.13137509999999999</v>
      </c>
      <c r="U556">
        <v>5.2185060000000004E-3</v>
      </c>
      <c r="V556">
        <v>-0.1133917</v>
      </c>
      <c r="W556">
        <v>3.2112620000000001E-2</v>
      </c>
      <c r="X556">
        <v>0.99303129999999995</v>
      </c>
      <c r="Y556">
        <v>-2.2393339999999999E-3</v>
      </c>
      <c r="Z556" s="1">
        <v>7.1035099999999993E-5</v>
      </c>
      <c r="AA556">
        <v>0.99999749999999998</v>
      </c>
      <c r="AB556">
        <v>15</v>
      </c>
      <c r="AC556">
        <v>25.375599999999899</v>
      </c>
      <c r="AD556">
        <v>-1.1063000000000001</v>
      </c>
      <c r="AE556">
        <v>4.3900000000007801E-2</v>
      </c>
      <c r="AF556">
        <v>-5.6869576202490502E-2</v>
      </c>
      <c r="AG556">
        <v>-1.1063000000000001</v>
      </c>
      <c r="AH556">
        <v>25.327434338450001</v>
      </c>
      <c r="AI556">
        <v>92.501078250490394</v>
      </c>
      <c r="AJ556">
        <v>90.128650268307098</v>
      </c>
      <c r="AK556">
        <v>25.3516481516921</v>
      </c>
      <c r="AL556">
        <v>88.1597660872456</v>
      </c>
      <c r="AM556">
        <v>96.514243470756597</v>
      </c>
      <c r="AN556">
        <v>1.00000003038592</v>
      </c>
    </row>
    <row r="557" spans="1:40" x14ac:dyDescent="0.3">
      <c r="A557" t="str">
        <f>"20200111145924736"</f>
        <v>20200111145924736</v>
      </c>
      <c r="B557" t="str">
        <f>"1578725964726338"</f>
        <v>1578725964726338</v>
      </c>
      <c r="C557" t="s">
        <v>40</v>
      </c>
      <c r="D557">
        <v>4.0136640000000003</v>
      </c>
      <c r="E557">
        <v>0.54248929999999995</v>
      </c>
      <c r="F557" t="s">
        <v>43</v>
      </c>
      <c r="G557">
        <v>-409.26010000000002</v>
      </c>
      <c r="H557">
        <v>-0.05</v>
      </c>
      <c r="I557">
        <v>367.18079999999998</v>
      </c>
      <c r="J557">
        <v>-434.99310000000003</v>
      </c>
      <c r="K557">
        <v>1.05614599999999</v>
      </c>
      <c r="L557">
        <v>367.16</v>
      </c>
      <c r="M557">
        <v>0.99994090000000002</v>
      </c>
      <c r="N557">
        <v>0</v>
      </c>
      <c r="O557">
        <v>-3.9324640000000001E-4</v>
      </c>
      <c r="P557">
        <v>0.99346250000000003</v>
      </c>
      <c r="Q557">
        <v>2.1188120000000001E-2</v>
      </c>
      <c r="R557">
        <v>0.11217770000000001</v>
      </c>
      <c r="S557">
        <v>3.022491</v>
      </c>
      <c r="T557">
        <v>-0.1295123</v>
      </c>
      <c r="U557">
        <v>2.4414060000000001E-3</v>
      </c>
      <c r="V557">
        <v>-0.1125768</v>
      </c>
      <c r="W557">
        <v>3.1966790000000002E-2</v>
      </c>
      <c r="X557">
        <v>0.99312869999999998</v>
      </c>
      <c r="Y557">
        <v>-1.199554E-3</v>
      </c>
      <c r="Z557" s="1">
        <v>4.253202E-5</v>
      </c>
      <c r="AA557">
        <v>0.99999930000000004</v>
      </c>
      <c r="AB557">
        <v>15</v>
      </c>
      <c r="AC557">
        <v>25.733000000000001</v>
      </c>
      <c r="AD557">
        <v>-1.1061460000000001</v>
      </c>
      <c r="AE557">
        <v>2.07999999999515E-2</v>
      </c>
      <c r="AF557">
        <v>-3.08629781695656E-2</v>
      </c>
      <c r="AG557">
        <v>-1.1061460000000001</v>
      </c>
      <c r="AH557">
        <v>25.685529330749901</v>
      </c>
      <c r="AI557">
        <v>92.4659143531578</v>
      </c>
      <c r="AJ557">
        <v>90.068844893890798</v>
      </c>
      <c r="AK557">
        <v>25.7093548829517</v>
      </c>
      <c r="AL557">
        <v>88.168125790877596</v>
      </c>
      <c r="AM557">
        <v>96.467197417941193</v>
      </c>
      <c r="AN557">
        <v>1.0000000131624101</v>
      </c>
    </row>
    <row r="558" spans="1:40" x14ac:dyDescent="0.3">
      <c r="A558" t="str">
        <f>"20200111145924748"</f>
        <v>20200111145924748</v>
      </c>
      <c r="B558" t="str">
        <f>"1578725964736099"</f>
        <v>1578725964736099</v>
      </c>
      <c r="C558" t="s">
        <v>40</v>
      </c>
      <c r="D558">
        <v>3.9742709999999999</v>
      </c>
      <c r="E558">
        <v>0.54251700000000003</v>
      </c>
      <c r="F558" t="s">
        <v>43</v>
      </c>
      <c r="G558">
        <v>-408.83199999999999</v>
      </c>
      <c r="H558">
        <v>-0.05</v>
      </c>
      <c r="I558">
        <v>367.16140000000001</v>
      </c>
      <c r="J558">
        <v>-434.90769999999998</v>
      </c>
      <c r="K558">
        <v>1.056009</v>
      </c>
      <c r="L558">
        <v>367.1601</v>
      </c>
      <c r="M558">
        <v>0.999942</v>
      </c>
      <c r="N558">
        <v>0</v>
      </c>
      <c r="O558">
        <v>-2.5631690000000001E-4</v>
      </c>
      <c r="P558">
        <v>0.99350430000000001</v>
      </c>
      <c r="Q558">
        <v>2.126714E-2</v>
      </c>
      <c r="R558">
        <v>0.111789899999999</v>
      </c>
      <c r="S558">
        <v>3.0224609999999998</v>
      </c>
      <c r="T558">
        <v>-0.12779589999999999</v>
      </c>
      <c r="U558">
        <v>1.5258789999999999E-4</v>
      </c>
      <c r="V558">
        <v>-0.1120536</v>
      </c>
      <c r="W558">
        <v>3.1930569999999998E-2</v>
      </c>
      <c r="X558">
        <v>0.99318899999999999</v>
      </c>
      <c r="Y558">
        <v>-3.0631369999999997E-4</v>
      </c>
      <c r="Z558" s="1">
        <v>1.730629E-5</v>
      </c>
      <c r="AA558">
        <v>0.99999990000000005</v>
      </c>
      <c r="AB558">
        <v>15</v>
      </c>
      <c r="AC558">
        <v>26.075699999999902</v>
      </c>
      <c r="AD558">
        <v>-1.106009</v>
      </c>
      <c r="AE558">
        <v>1.3000000000147299E-3</v>
      </c>
      <c r="AF558">
        <v>-7.9696920558030102E-3</v>
      </c>
      <c r="AG558">
        <v>-1.106009</v>
      </c>
      <c r="AH558">
        <v>26.0288713388546</v>
      </c>
      <c r="AI558">
        <v>92.433126911531602</v>
      </c>
      <c r="AJ558">
        <v>90.017543200340896</v>
      </c>
      <c r="AK558">
        <v>26.052360019750999</v>
      </c>
      <c r="AL558">
        <v>88.170202043488402</v>
      </c>
      <c r="AM558">
        <v>96.437006484478701</v>
      </c>
      <c r="AN558">
        <v>0.99999998014724201</v>
      </c>
    </row>
    <row r="559" spans="1:40" x14ac:dyDescent="0.3">
      <c r="A559" t="str">
        <f>"20200111145924761"</f>
        <v>20200111145924761</v>
      </c>
      <c r="B559" t="str">
        <f>"1578725964756594"</f>
        <v>1578725964756594</v>
      </c>
      <c r="C559" t="s">
        <v>40</v>
      </c>
      <c r="D559">
        <v>3.9633509999999998</v>
      </c>
      <c r="E559">
        <v>0.54256470000000001</v>
      </c>
      <c r="F559" t="s">
        <v>43</v>
      </c>
      <c r="G559">
        <v>-408.34609999999998</v>
      </c>
      <c r="H559">
        <v>-0.05</v>
      </c>
      <c r="I559">
        <v>367.1472</v>
      </c>
      <c r="J559">
        <v>-434.8218</v>
      </c>
      <c r="K559">
        <v>1.0558809999999901</v>
      </c>
      <c r="L559">
        <v>367.16030000000001</v>
      </c>
      <c r="M559">
        <v>0.99994320000000003</v>
      </c>
      <c r="N559">
        <v>0</v>
      </c>
      <c r="O559">
        <v>-1.102425E-4</v>
      </c>
      <c r="P559">
        <v>0.99353130000000001</v>
      </c>
      <c r="Q559">
        <v>2.1432199999999998E-2</v>
      </c>
      <c r="R559">
        <v>0.1115172</v>
      </c>
      <c r="S559">
        <v>3.0224609999999998</v>
      </c>
      <c r="T559">
        <v>-0.1258533</v>
      </c>
      <c r="U559">
        <v>-1.4648440000000001E-3</v>
      </c>
      <c r="V559">
        <v>-0.1116371</v>
      </c>
      <c r="W559">
        <v>3.1985380000000001E-2</v>
      </c>
      <c r="X559">
        <v>0.99323419999999896</v>
      </c>
      <c r="Y559">
        <v>3.7417519999999999E-4</v>
      </c>
      <c r="Z559" s="1">
        <v>-3.1981330000000002E-6</v>
      </c>
      <c r="AA559">
        <v>0.99999990000000005</v>
      </c>
      <c r="AB559">
        <v>15</v>
      </c>
      <c r="AC559">
        <v>26.4757</v>
      </c>
      <c r="AD559">
        <v>-1.1058809999999999</v>
      </c>
      <c r="AE559">
        <v>-1.3100000000008501E-2</v>
      </c>
      <c r="AF559">
        <v>1.0163354739835401E-2</v>
      </c>
      <c r="AG559">
        <v>-1.1058809999999999</v>
      </c>
      <c r="AH559">
        <v>26.429589469992901</v>
      </c>
      <c r="AI559">
        <v>92.396002780828894</v>
      </c>
      <c r="AJ559">
        <v>89.977967221010204</v>
      </c>
      <c r="AK559">
        <v>26.452717736223299</v>
      </c>
      <c r="AL559">
        <v>88.167060169066801</v>
      </c>
      <c r="AM559">
        <v>96.412990607040598</v>
      </c>
      <c r="AN559">
        <v>1.00000004133989</v>
      </c>
    </row>
    <row r="560" spans="1:40" x14ac:dyDescent="0.3">
      <c r="A560" t="str">
        <f>"20200111145924777"</f>
        <v>20200111145924777</v>
      </c>
      <c r="B560" t="str">
        <f>"1578725964766354"</f>
        <v>1578725964766354</v>
      </c>
      <c r="C560" t="s">
        <v>40</v>
      </c>
      <c r="D560">
        <v>4.0653550000000003</v>
      </c>
      <c r="E560">
        <v>0.54260589999999997</v>
      </c>
      <c r="F560" t="s">
        <v>43</v>
      </c>
      <c r="G560">
        <v>-407.36169999999998</v>
      </c>
      <c r="H560">
        <v>-0.05</v>
      </c>
      <c r="I560">
        <v>367.1361</v>
      </c>
      <c r="J560">
        <v>-434.70920000000001</v>
      </c>
      <c r="K560">
        <v>1.055736</v>
      </c>
      <c r="L560">
        <v>367.16050000000001</v>
      </c>
      <c r="M560">
        <v>0.99994459999999996</v>
      </c>
      <c r="N560">
        <v>0</v>
      </c>
      <c r="O560">
        <v>1.0980419999999999E-4</v>
      </c>
      <c r="P560">
        <v>0.99353970000000003</v>
      </c>
      <c r="Q560">
        <v>2.2044680000000001E-2</v>
      </c>
      <c r="R560">
        <v>0.1113253</v>
      </c>
      <c r="S560">
        <v>3.0224609999999998</v>
      </c>
      <c r="T560">
        <v>-0.1217215</v>
      </c>
      <c r="U560">
        <v>-2.6550290000000002E-3</v>
      </c>
      <c r="V560">
        <v>-0.11122849999999999</v>
      </c>
      <c r="W560">
        <v>3.2469119999999997E-2</v>
      </c>
      <c r="X560">
        <v>0.99326429999999999</v>
      </c>
      <c r="Y560">
        <v>9.8735350000000001E-4</v>
      </c>
      <c r="Z560" s="1">
        <v>-2.4293969999999999E-5</v>
      </c>
      <c r="AA560">
        <v>0.99999950000000004</v>
      </c>
      <c r="AB560">
        <v>15</v>
      </c>
      <c r="AC560">
        <v>27.3475</v>
      </c>
      <c r="AD560">
        <v>-1.1057360000000001</v>
      </c>
      <c r="AE560">
        <v>-2.4400000000014101E-2</v>
      </c>
      <c r="AF560">
        <v>2.7358310921697201E-2</v>
      </c>
      <c r="AG560">
        <v>-1.1057360000000001</v>
      </c>
      <c r="AH560">
        <v>27.3028621630984</v>
      </c>
      <c r="AI560">
        <v>92.319147752403396</v>
      </c>
      <c r="AJ560">
        <v>89.942587879013303</v>
      </c>
      <c r="AK560">
        <v>27.3252572334832</v>
      </c>
      <c r="AL560">
        <v>88.1393294215315</v>
      </c>
      <c r="AM560">
        <v>96.389521039839295</v>
      </c>
      <c r="AN560">
        <v>0.99999999631015701</v>
      </c>
    </row>
    <row r="561" spans="1:40" x14ac:dyDescent="0.3">
      <c r="A561" t="str">
        <f>"20200111145924788"</f>
        <v>20200111145924788</v>
      </c>
      <c r="B561" t="str">
        <f>"1578725964785875"</f>
        <v>1578725964785875</v>
      </c>
      <c r="C561" t="s">
        <v>40</v>
      </c>
      <c r="D561">
        <v>3.9174030000000002</v>
      </c>
      <c r="E561">
        <v>0.54278300000000002</v>
      </c>
      <c r="F561" t="s">
        <v>43</v>
      </c>
      <c r="G561">
        <v>-406.24889999999999</v>
      </c>
      <c r="H561">
        <v>-0.05</v>
      </c>
      <c r="I561">
        <v>367.12490000000003</v>
      </c>
      <c r="J561">
        <v>-434.62920000000003</v>
      </c>
      <c r="K561">
        <v>1.0556449999999999</v>
      </c>
      <c r="L561">
        <v>367.16070000000002</v>
      </c>
      <c r="M561">
        <v>0.99994539999999998</v>
      </c>
      <c r="N561">
        <v>0</v>
      </c>
      <c r="O561">
        <v>2.7891960000000002E-4</v>
      </c>
      <c r="P561">
        <v>0.99348930000000002</v>
      </c>
      <c r="Q561">
        <v>2.2262250000000001E-2</v>
      </c>
      <c r="R561">
        <v>0.1117305</v>
      </c>
      <c r="S561">
        <v>3.022491</v>
      </c>
      <c r="T561">
        <v>-0.11742950000000001</v>
      </c>
      <c r="U561">
        <v>-3.7841799999999998E-3</v>
      </c>
      <c r="V561">
        <v>-0.1114668</v>
      </c>
      <c r="W561">
        <v>3.2602560000000003E-2</v>
      </c>
      <c r="X561">
        <v>0.99323320000000004</v>
      </c>
      <c r="Y561">
        <v>1.5295759999999999E-3</v>
      </c>
      <c r="Z561" s="1">
        <v>-4.0535299999999998E-5</v>
      </c>
      <c r="AA561">
        <v>0.99999879999999997</v>
      </c>
      <c r="AB561">
        <v>15</v>
      </c>
      <c r="AC561">
        <v>28.380299999999998</v>
      </c>
      <c r="AD561">
        <v>-1.105645</v>
      </c>
      <c r="AE561">
        <v>-3.5799999999994697E-2</v>
      </c>
      <c r="AF561">
        <v>4.3650003189807003E-2</v>
      </c>
      <c r="AG561">
        <v>-1.105645</v>
      </c>
      <c r="AH561">
        <v>28.337280347846601</v>
      </c>
      <c r="AI561">
        <v>92.234392265800693</v>
      </c>
      <c r="AJ561">
        <v>89.9117431542562</v>
      </c>
      <c r="AK561">
        <v>28.3588753955664</v>
      </c>
      <c r="AL561">
        <v>88.131679796005102</v>
      </c>
      <c r="AM561">
        <v>96.403295437380805</v>
      </c>
      <c r="AN561">
        <v>0.99999998200151596</v>
      </c>
    </row>
    <row r="562" spans="1:40" x14ac:dyDescent="0.3">
      <c r="A562" t="str">
        <f>"20200111145924800"</f>
        <v>20200111145924800</v>
      </c>
      <c r="B562" t="str">
        <f>"1578725964796611"</f>
        <v>1578725964796611</v>
      </c>
      <c r="C562" t="s">
        <v>40</v>
      </c>
      <c r="D562">
        <v>3.9642520000000001</v>
      </c>
      <c r="E562">
        <v>0.5427767</v>
      </c>
      <c r="F562" t="s">
        <v>43</v>
      </c>
      <c r="G562">
        <v>-406.43189999999998</v>
      </c>
      <c r="H562">
        <v>-0.05</v>
      </c>
      <c r="I562">
        <v>367.12369999999999</v>
      </c>
      <c r="J562">
        <v>-434.54790000000003</v>
      </c>
      <c r="K562">
        <v>1.0555559999999999</v>
      </c>
      <c r="L562">
        <v>367.161</v>
      </c>
      <c r="M562">
        <v>0.99994609999999995</v>
      </c>
      <c r="N562">
        <v>0</v>
      </c>
      <c r="O562">
        <v>4.5623899999999999E-4</v>
      </c>
      <c r="P562">
        <v>0.9934537</v>
      </c>
      <c r="Q562">
        <v>2.2586829999999999E-2</v>
      </c>
      <c r="R562">
        <v>0.1119805</v>
      </c>
      <c r="S562">
        <v>3.0227360000000001</v>
      </c>
      <c r="T562">
        <v>-0.1185249</v>
      </c>
      <c r="U562">
        <v>-3.9672850000000001E-3</v>
      </c>
      <c r="V562">
        <v>-0.1115416</v>
      </c>
      <c r="W562">
        <v>3.2844659999999998E-2</v>
      </c>
      <c r="X562">
        <v>0.99321680000000001</v>
      </c>
      <c r="Y562">
        <v>1.7670349999999999E-3</v>
      </c>
      <c r="Z562" s="1">
        <v>-5.2514150000000003E-5</v>
      </c>
      <c r="AA562">
        <v>0.99999850000000001</v>
      </c>
      <c r="AB562">
        <v>15</v>
      </c>
      <c r="AC562">
        <v>28.116</v>
      </c>
      <c r="AD562">
        <v>-1.105556</v>
      </c>
      <c r="AE562">
        <v>-3.7300000000016098E-2</v>
      </c>
      <c r="AF562">
        <v>5.0050915366887598E-2</v>
      </c>
      <c r="AG562">
        <v>-1.105556</v>
      </c>
      <c r="AH562">
        <v>28.0725754390897</v>
      </c>
      <c r="AI562">
        <v>92.255257103139797</v>
      </c>
      <c r="AJ562">
        <v>89.897846808572197</v>
      </c>
      <c r="AK562">
        <v>28.094381127667599</v>
      </c>
      <c r="AL562">
        <v>88.117801005656304</v>
      </c>
      <c r="AM562">
        <v>96.407661576667394</v>
      </c>
      <c r="AN562">
        <v>0.99999995601165603</v>
      </c>
    </row>
    <row r="563" spans="1:40" x14ac:dyDescent="0.3">
      <c r="A563" t="str">
        <f>"20200111145924813"</f>
        <v>20200111145924813</v>
      </c>
      <c r="B563" t="str">
        <f>"1578725964806371"</f>
        <v>1578725964806371</v>
      </c>
      <c r="C563" t="s">
        <v>40</v>
      </c>
      <c r="D563">
        <v>4.0499919999999996</v>
      </c>
      <c r="E563">
        <v>0.54292059999999998</v>
      </c>
      <c r="F563" t="s">
        <v>43</v>
      </c>
      <c r="G563">
        <v>-406.32119999999998</v>
      </c>
      <c r="H563">
        <v>-0.05</v>
      </c>
      <c r="I563">
        <v>367.13560000000001</v>
      </c>
      <c r="J563">
        <v>-434.46100000000001</v>
      </c>
      <c r="K563">
        <v>1.0554730000000001</v>
      </c>
      <c r="L563">
        <v>367.16120000000001</v>
      </c>
      <c r="M563">
        <v>0.99994680000000002</v>
      </c>
      <c r="N563">
        <v>0</v>
      </c>
      <c r="O563">
        <v>6.6233470000000001E-4</v>
      </c>
      <c r="P563">
        <v>0.99338729999999997</v>
      </c>
      <c r="Q563">
        <v>2.2715329999999999E-2</v>
      </c>
      <c r="R563">
        <v>0.11254309999999999</v>
      </c>
      <c r="S563">
        <v>3.0227970000000002</v>
      </c>
      <c r="T563">
        <v>-0.11839379999999999</v>
      </c>
      <c r="U563">
        <v>-2.7160639999999998E-3</v>
      </c>
      <c r="V563">
        <v>-0.1119</v>
      </c>
      <c r="W563">
        <v>3.289661E-2</v>
      </c>
      <c r="X563">
        <v>0.99317480000000002</v>
      </c>
      <c r="Y563">
        <v>1.559193E-3</v>
      </c>
      <c r="Z563" s="1">
        <v>-5.6455790000000002E-5</v>
      </c>
      <c r="AA563">
        <v>0.99999879999999997</v>
      </c>
      <c r="AB563">
        <v>16</v>
      </c>
      <c r="AC563">
        <v>28.139800000000001</v>
      </c>
      <c r="AD563">
        <v>-1.1054729999999999</v>
      </c>
      <c r="AE563">
        <v>-2.5599999999997101E-2</v>
      </c>
      <c r="AF563">
        <v>4.4170778559062401E-2</v>
      </c>
      <c r="AG563">
        <v>-1.1054729999999999</v>
      </c>
      <c r="AH563">
        <v>28.096415318062</v>
      </c>
      <c r="AI563">
        <v>92.253177284841001</v>
      </c>
      <c r="AJ563">
        <v>89.909924555299995</v>
      </c>
      <c r="AK563">
        <v>28.118189403594901</v>
      </c>
      <c r="AL563">
        <v>88.114822944828404</v>
      </c>
      <c r="AM563">
        <v>96.428347861247403</v>
      </c>
      <c r="AN563">
        <v>0.99999999015226604</v>
      </c>
    </row>
    <row r="564" spans="1:40" x14ac:dyDescent="0.3">
      <c r="A564" t="str">
        <f>"20200111145924824"</f>
        <v>20200111145924824</v>
      </c>
      <c r="B564" t="str">
        <f>"1578725964816131"</f>
        <v>1578725964816131</v>
      </c>
      <c r="C564" t="s">
        <v>40</v>
      </c>
      <c r="D564">
        <v>4.0178260000000003</v>
      </c>
      <c r="E564">
        <v>0.5430585</v>
      </c>
      <c r="F564" t="s">
        <v>43</v>
      </c>
      <c r="G564">
        <v>-406.4271</v>
      </c>
      <c r="H564">
        <v>-0.05</v>
      </c>
      <c r="I564">
        <v>367.14170000000001</v>
      </c>
      <c r="J564">
        <v>-434.3768</v>
      </c>
      <c r="K564">
        <v>1.055396</v>
      </c>
      <c r="L564">
        <v>367.16149999999999</v>
      </c>
      <c r="M564">
        <v>0.99994729999999998</v>
      </c>
      <c r="N564">
        <v>0</v>
      </c>
      <c r="O564">
        <v>8.6629049999999998E-4</v>
      </c>
      <c r="P564">
        <v>0.99331179999999997</v>
      </c>
      <c r="Q564">
        <v>2.2844130000000001E-2</v>
      </c>
      <c r="R564">
        <v>0.11317960000000001</v>
      </c>
      <c r="S564">
        <v>3.0228579999999998</v>
      </c>
      <c r="T564">
        <v>-0.1192016</v>
      </c>
      <c r="U564">
        <v>-2.1057129999999999E-3</v>
      </c>
      <c r="V564">
        <v>-0.1123345</v>
      </c>
      <c r="W564">
        <v>3.2954280000000002E-2</v>
      </c>
      <c r="X564">
        <v>0.9931238</v>
      </c>
      <c r="Y564">
        <v>1.5610450000000001E-3</v>
      </c>
      <c r="Z564" s="1">
        <v>-6.4916020000000001E-5</v>
      </c>
      <c r="AA564">
        <v>0.99999879999999997</v>
      </c>
      <c r="AB564">
        <v>16</v>
      </c>
      <c r="AC564">
        <v>27.9497</v>
      </c>
      <c r="AD564">
        <v>-1.1053959999999901</v>
      </c>
      <c r="AE564">
        <v>-1.9799999999975101E-2</v>
      </c>
      <c r="AF564">
        <v>4.39450819874442E-2</v>
      </c>
      <c r="AG564">
        <v>-1.1053959999999901</v>
      </c>
      <c r="AH564">
        <v>27.9060228648829</v>
      </c>
      <c r="AI564">
        <v>92.268376016594601</v>
      </c>
      <c r="AJ564">
        <v>89.909773396978693</v>
      </c>
      <c r="AK564">
        <v>27.927941986877801</v>
      </c>
      <c r="AL564">
        <v>88.111516835058396</v>
      </c>
      <c r="AM564">
        <v>96.453427135567907</v>
      </c>
      <c r="AN564">
        <v>0.999999953293503</v>
      </c>
    </row>
    <row r="565" spans="1:40" x14ac:dyDescent="0.3">
      <c r="A565" t="str">
        <f>"20200111145924837"</f>
        <v>20200111145924837</v>
      </c>
      <c r="B565" t="str">
        <f>"1578725964825890"</f>
        <v>1578725964825890</v>
      </c>
      <c r="C565" t="s">
        <v>40</v>
      </c>
      <c r="D565">
        <v>3.9263439999999998</v>
      </c>
      <c r="E565">
        <v>0.54303959999999996</v>
      </c>
      <c r="F565" t="s">
        <v>43</v>
      </c>
      <c r="G565">
        <v>-406.4744</v>
      </c>
      <c r="H565">
        <v>-0.05</v>
      </c>
      <c r="I565">
        <v>367.14830000000001</v>
      </c>
      <c r="J565">
        <v>-434.2903</v>
      </c>
      <c r="K565">
        <v>1.05532</v>
      </c>
      <c r="L565">
        <v>367.16180000000003</v>
      </c>
      <c r="M565">
        <v>0.99994769999999999</v>
      </c>
      <c r="N565">
        <v>0</v>
      </c>
      <c r="O565">
        <v>1.0823569999999999E-3</v>
      </c>
      <c r="P565">
        <v>0.99318949999999995</v>
      </c>
      <c r="Q565">
        <v>2.298921E-2</v>
      </c>
      <c r="R565">
        <v>0.1142199</v>
      </c>
      <c r="S565">
        <v>3.0231020000000002</v>
      </c>
      <c r="T565">
        <v>-0.1197646</v>
      </c>
      <c r="U565">
        <v>-1.4343260000000001E-3</v>
      </c>
      <c r="V565">
        <v>-0.1131605</v>
      </c>
      <c r="W565">
        <v>3.3031959999999999E-2</v>
      </c>
      <c r="X565">
        <v>0.99302749999999995</v>
      </c>
      <c r="Y565">
        <v>1.5547989999999999E-3</v>
      </c>
      <c r="Z565" s="1">
        <v>-7.3650269999999898E-5</v>
      </c>
      <c r="AA565">
        <v>0.99999879999999997</v>
      </c>
      <c r="AB565">
        <v>16</v>
      </c>
      <c r="AC565">
        <v>27.815899999999999</v>
      </c>
      <c r="AD565">
        <v>-1.1053200000000001</v>
      </c>
      <c r="AE565">
        <v>-1.35000000000218E-2</v>
      </c>
      <c r="AF565">
        <v>4.3539533070232402E-2</v>
      </c>
      <c r="AG565">
        <v>-1.1053200000000001</v>
      </c>
      <c r="AH565">
        <v>27.772016312299399</v>
      </c>
      <c r="AI565">
        <v>92.279153430686193</v>
      </c>
      <c r="AJ565">
        <v>89.910174709137095</v>
      </c>
      <c r="AK565">
        <v>27.7940374548925</v>
      </c>
      <c r="AL565">
        <v>88.107063786319799</v>
      </c>
      <c r="AM565">
        <v>96.501099740258894</v>
      </c>
      <c r="AN565">
        <v>1.0000000124489701</v>
      </c>
    </row>
    <row r="566" spans="1:40" x14ac:dyDescent="0.3">
      <c r="A566" t="str">
        <f>"20200111145924856"</f>
        <v>20200111145924856</v>
      </c>
      <c r="B566" t="str">
        <f>"1578725964846385"</f>
        <v>1578725964846385</v>
      </c>
      <c r="C566" t="s">
        <v>40</v>
      </c>
      <c r="D566">
        <v>3.910892</v>
      </c>
      <c r="E566">
        <v>0.54307629999999996</v>
      </c>
      <c r="F566" t="s">
        <v>43</v>
      </c>
      <c r="G566">
        <v>-406.33460000000002</v>
      </c>
      <c r="H566">
        <v>-0.05</v>
      </c>
      <c r="I566">
        <v>367.1782</v>
      </c>
      <c r="J566">
        <v>-434.16309999999999</v>
      </c>
      <c r="K566">
        <v>1.0552159999999999</v>
      </c>
      <c r="L566">
        <v>367.16230000000002</v>
      </c>
      <c r="M566">
        <v>0.99994830000000001</v>
      </c>
      <c r="N566">
        <v>0</v>
      </c>
      <c r="O566">
        <v>1.408447E-3</v>
      </c>
      <c r="P566">
        <v>0.99298220000000004</v>
      </c>
      <c r="Q566">
        <v>2.3100760000000001E-2</v>
      </c>
      <c r="R566">
        <v>0.1159866</v>
      </c>
      <c r="S566">
        <v>3.0231629999999998</v>
      </c>
      <c r="T566">
        <v>-0.1195306</v>
      </c>
      <c r="U566">
        <v>1.77002E-3</v>
      </c>
      <c r="V566">
        <v>-0.1146036</v>
      </c>
      <c r="W566">
        <v>3.305578E-2</v>
      </c>
      <c r="X566">
        <v>0.9928612</v>
      </c>
      <c r="Y566">
        <v>8.212909E-4</v>
      </c>
      <c r="Z566" s="1">
        <v>-7.1898439999999999E-5</v>
      </c>
      <c r="AA566">
        <v>0.99999959999999999</v>
      </c>
      <c r="AB566">
        <v>16</v>
      </c>
      <c r="AC566">
        <v>27.828499999999899</v>
      </c>
      <c r="AD566">
        <v>-1.105216</v>
      </c>
      <c r="AE566">
        <v>1.5899999999987799E-2</v>
      </c>
      <c r="AF566">
        <v>2.32602822469756E-2</v>
      </c>
      <c r="AG566">
        <v>-1.105216</v>
      </c>
      <c r="AH566">
        <v>27.784670001731602</v>
      </c>
      <c r="AI566">
        <v>92.2779044288324</v>
      </c>
      <c r="AJ566">
        <v>89.952034136392101</v>
      </c>
      <c r="AK566">
        <v>27.8066526312052</v>
      </c>
      <c r="AL566">
        <v>88.105698262064294</v>
      </c>
      <c r="AM566">
        <v>96.584375950540803</v>
      </c>
      <c r="AN566">
        <v>1.0000000160949001</v>
      </c>
    </row>
    <row r="567" spans="1:40" x14ac:dyDescent="0.3">
      <c r="A567" t="str">
        <f>"20200111145924868"</f>
        <v>20200111145924868</v>
      </c>
      <c r="B567" t="str">
        <f>"1578725964865906"</f>
        <v>1578725964865906</v>
      </c>
      <c r="C567" t="s">
        <v>40</v>
      </c>
      <c r="D567">
        <v>4.1027469999999999</v>
      </c>
      <c r="E567">
        <v>0.54298959999999996</v>
      </c>
      <c r="F567" t="s">
        <v>43</v>
      </c>
      <c r="G567">
        <v>-406.25009999999997</v>
      </c>
      <c r="H567">
        <v>-0.05</v>
      </c>
      <c r="I567">
        <v>367.2251</v>
      </c>
      <c r="J567">
        <v>-434.07350000000002</v>
      </c>
      <c r="K567">
        <v>1.05515</v>
      </c>
      <c r="L567">
        <v>367.16269999999997</v>
      </c>
      <c r="M567">
        <v>0.99994850000000002</v>
      </c>
      <c r="N567">
        <v>0</v>
      </c>
      <c r="O567">
        <v>1.6404779999999999E-3</v>
      </c>
      <c r="P567">
        <v>0.99290460000000003</v>
      </c>
      <c r="Q567">
        <v>2.2847059999999999E-2</v>
      </c>
      <c r="R567">
        <v>0.1166985</v>
      </c>
      <c r="S567">
        <v>3.023193</v>
      </c>
      <c r="T567">
        <v>-0.1197032</v>
      </c>
      <c r="U567">
        <v>6.8054200000000004E-3</v>
      </c>
      <c r="V567">
        <v>-0.1150853</v>
      </c>
      <c r="W567">
        <v>3.2746959999999999E-2</v>
      </c>
      <c r="X567">
        <v>0.99281569999999997</v>
      </c>
      <c r="Y567">
        <v>-6.1131140000000004E-4</v>
      </c>
      <c r="Z567" s="1">
        <v>-5.2834699999999997E-5</v>
      </c>
      <c r="AA567">
        <v>0.99999979999999999</v>
      </c>
      <c r="AB567">
        <v>16</v>
      </c>
      <c r="AC567">
        <v>27.823399999999999</v>
      </c>
      <c r="AD567">
        <v>-1.1051500000000001</v>
      </c>
      <c r="AE567">
        <v>6.2400000000025102E-2</v>
      </c>
      <c r="AF567">
        <v>-1.6727560303073898E-2</v>
      </c>
      <c r="AG567">
        <v>-1.1051500000000001</v>
      </c>
      <c r="AH567">
        <v>27.7796374538866</v>
      </c>
      <c r="AI567">
        <v>92.278181132650204</v>
      </c>
      <c r="AJ567">
        <v>90.0345007559105</v>
      </c>
      <c r="AK567">
        <v>27.801616740814801</v>
      </c>
      <c r="AL567">
        <v>88.123401902566897</v>
      </c>
      <c r="AM567">
        <v>96.612107088073003</v>
      </c>
      <c r="AN567">
        <v>1.0000000019159101</v>
      </c>
    </row>
    <row r="568" spans="1:40" x14ac:dyDescent="0.3">
      <c r="A568" t="str">
        <f>"20200111145924881"</f>
        <v>20200111145924881</v>
      </c>
      <c r="B568" t="str">
        <f>"1578725964876642"</f>
        <v>1578725964876642</v>
      </c>
      <c r="C568" t="s">
        <v>40</v>
      </c>
      <c r="D568">
        <v>3.9231129999999999</v>
      </c>
      <c r="E568">
        <v>0.5429427</v>
      </c>
      <c r="F568" t="s">
        <v>43</v>
      </c>
      <c r="G568">
        <v>-405.8775</v>
      </c>
      <c r="H568">
        <v>-0.05</v>
      </c>
      <c r="I568">
        <v>367.25409999999999</v>
      </c>
      <c r="J568">
        <v>-433.98660000000001</v>
      </c>
      <c r="K568">
        <v>1.0550900000000001</v>
      </c>
      <c r="L568">
        <v>367.16309999999999</v>
      </c>
      <c r="M568">
        <v>0.99994870000000002</v>
      </c>
      <c r="N568">
        <v>0</v>
      </c>
      <c r="O568">
        <v>1.8663359999999999E-3</v>
      </c>
      <c r="P568">
        <v>0.99284090000000003</v>
      </c>
      <c r="Q568">
        <v>2.290383E-2</v>
      </c>
      <c r="R568">
        <v>0.11722929999999999</v>
      </c>
      <c r="S568">
        <v>3.0230100000000002</v>
      </c>
      <c r="T568">
        <v>-0.1184877</v>
      </c>
      <c r="U568">
        <v>9.7961430000000002E-3</v>
      </c>
      <c r="V568">
        <v>-0.11539099999999999</v>
      </c>
      <c r="W568">
        <v>3.2753640000000001E-2</v>
      </c>
      <c r="X568">
        <v>0.99278</v>
      </c>
      <c r="Y568">
        <v>-1.3744619999999999E-3</v>
      </c>
      <c r="Z568" s="1">
        <v>-4.6201010000000001E-5</v>
      </c>
      <c r="AA568">
        <v>0.99999899999999997</v>
      </c>
      <c r="AB568">
        <v>16</v>
      </c>
      <c r="AC568">
        <v>28.109100000000002</v>
      </c>
      <c r="AD568">
        <v>-1.1050899999999999</v>
      </c>
      <c r="AE568">
        <v>9.1000000000008199E-2</v>
      </c>
      <c r="AF568">
        <v>-3.8476746605888103E-2</v>
      </c>
      <c r="AG568">
        <v>-1.1050899999999999</v>
      </c>
      <c r="AH568">
        <v>28.065842343580101</v>
      </c>
      <c r="AI568">
        <v>92.254849198158198</v>
      </c>
      <c r="AJ568">
        <v>90.078549354827004</v>
      </c>
      <c r="AK568">
        <v>28.0876166810718</v>
      </c>
      <c r="AL568">
        <v>88.123018969207095</v>
      </c>
      <c r="AM568">
        <v>96.629750899433006</v>
      </c>
      <c r="AN568">
        <v>1.0000000061071199</v>
      </c>
    </row>
    <row r="569" spans="1:40" x14ac:dyDescent="0.3">
      <c r="A569" t="str">
        <f>"20200111145924893"</f>
        <v>20200111145924893</v>
      </c>
      <c r="B569" t="str">
        <f>"1578725964886402"</f>
        <v>1578725964886402</v>
      </c>
      <c r="C569" t="s">
        <v>40</v>
      </c>
      <c r="D569">
        <v>3.9820929999999999</v>
      </c>
      <c r="E569">
        <v>0.54294379999999998</v>
      </c>
      <c r="F569" t="s">
        <v>43</v>
      </c>
      <c r="G569">
        <v>-405.71940000000001</v>
      </c>
      <c r="H569">
        <v>-0.05</v>
      </c>
      <c r="I569">
        <v>367.27409999999998</v>
      </c>
      <c r="J569">
        <v>-433.90120000000002</v>
      </c>
      <c r="K569">
        <v>1.055037</v>
      </c>
      <c r="L569">
        <v>367.1635</v>
      </c>
      <c r="M569">
        <v>0.99994859999999997</v>
      </c>
      <c r="N569">
        <v>0</v>
      </c>
      <c r="O569">
        <v>2.0874370000000001E-3</v>
      </c>
      <c r="P569">
        <v>0.99277979999999999</v>
      </c>
      <c r="Q569">
        <v>2.292011E-2</v>
      </c>
      <c r="R569">
        <v>0.117741</v>
      </c>
      <c r="S569">
        <v>3.0229490000000001</v>
      </c>
      <c r="T569">
        <v>-0.11818049999999999</v>
      </c>
      <c r="U569">
        <v>1.1871339999999999E-2</v>
      </c>
      <c r="V569">
        <v>-0.1156832</v>
      </c>
      <c r="W569">
        <v>3.2726949999999998E-2</v>
      </c>
      <c r="X569">
        <v>0.99274689999999999</v>
      </c>
      <c r="Y569">
        <v>-1.839699E-3</v>
      </c>
      <c r="Z569" s="1">
        <v>-4.5632459999999998E-5</v>
      </c>
      <c r="AA569">
        <v>0.99999830000000001</v>
      </c>
      <c r="AB569">
        <v>16</v>
      </c>
      <c r="AC569">
        <v>28.181799999999999</v>
      </c>
      <c r="AD569">
        <v>-1.105037</v>
      </c>
      <c r="AE569">
        <v>0.110599999999976</v>
      </c>
      <c r="AF569">
        <v>-5.1689659430828101E-2</v>
      </c>
      <c r="AG569">
        <v>-1.105037</v>
      </c>
      <c r="AH569">
        <v>28.138706775444501</v>
      </c>
      <c r="AI569">
        <v>92.248906898650404</v>
      </c>
      <c r="AJ569">
        <v>90.105249897312902</v>
      </c>
      <c r="AK569">
        <v>28.160443845697898</v>
      </c>
      <c r="AL569">
        <v>88.124549061909505</v>
      </c>
      <c r="AM569">
        <v>96.646608758130299</v>
      </c>
      <c r="AN569">
        <v>1.00000003173907</v>
      </c>
    </row>
    <row r="570" spans="1:40" x14ac:dyDescent="0.3">
      <c r="A570" t="str">
        <f>"20200111145924904"</f>
        <v>20200111145924904</v>
      </c>
      <c r="B570" t="str">
        <f>"1578725964896162"</f>
        <v>1578725964896162</v>
      </c>
      <c r="C570" t="s">
        <v>40</v>
      </c>
      <c r="D570">
        <v>4.081969</v>
      </c>
      <c r="E570">
        <v>0.54302609999999996</v>
      </c>
      <c r="F570" t="s">
        <v>43</v>
      </c>
      <c r="G570">
        <v>-405.63979999999998</v>
      </c>
      <c r="H570">
        <v>-0.05</v>
      </c>
      <c r="I570">
        <v>367.28730000000002</v>
      </c>
      <c r="J570">
        <v>-433.82350000000002</v>
      </c>
      <c r="K570">
        <v>1.0549919999999999</v>
      </c>
      <c r="L570">
        <v>367.16390000000001</v>
      </c>
      <c r="M570">
        <v>0.99994850000000002</v>
      </c>
      <c r="N570">
        <v>0</v>
      </c>
      <c r="O570">
        <v>2.2874739999999998E-3</v>
      </c>
      <c r="P570">
        <v>0.99277309999999996</v>
      </c>
      <c r="Q570">
        <v>2.3010840000000001E-2</v>
      </c>
      <c r="R570">
        <v>0.1177807</v>
      </c>
      <c r="S570">
        <v>3.02298</v>
      </c>
      <c r="T570">
        <v>-0.11820020000000001</v>
      </c>
      <c r="U570">
        <v>1.324463E-2</v>
      </c>
      <c r="V570">
        <v>-0.115524</v>
      </c>
      <c r="W570">
        <v>3.2780799999999999E-2</v>
      </c>
      <c r="X570">
        <v>0.99276359999999997</v>
      </c>
      <c r="Y570">
        <v>-2.0938459999999999E-3</v>
      </c>
      <c r="Z570" s="1">
        <v>-4.849167E-5</v>
      </c>
      <c r="AA570">
        <v>0.99999780000000005</v>
      </c>
      <c r="AB570">
        <v>16</v>
      </c>
      <c r="AC570">
        <v>28.183700000000002</v>
      </c>
      <c r="AD570">
        <v>-1.104992</v>
      </c>
      <c r="AE570">
        <v>0.12340000000000299</v>
      </c>
      <c r="AF570">
        <v>-5.8836604289571597E-2</v>
      </c>
      <c r="AG570">
        <v>-1.104992</v>
      </c>
      <c r="AH570">
        <v>28.1406523721482</v>
      </c>
      <c r="AI570">
        <v>92.248658971798903</v>
      </c>
      <c r="AJ570">
        <v>90.119794102493003</v>
      </c>
      <c r="AK570">
        <v>28.162400199488701</v>
      </c>
      <c r="AL570">
        <v>88.121461912759699</v>
      </c>
      <c r="AM570">
        <v>96.637432894798096</v>
      </c>
      <c r="AN570">
        <v>0.99999997045479905</v>
      </c>
    </row>
    <row r="571" spans="1:40" x14ac:dyDescent="0.3">
      <c r="A571" t="str">
        <f>"20200111145924916"</f>
        <v>20200111145924916</v>
      </c>
      <c r="B571" t="str">
        <f>"1578725964906680"</f>
        <v>1578725964906680</v>
      </c>
      <c r="C571" t="s">
        <v>40</v>
      </c>
      <c r="D571">
        <v>3.9711759999999998</v>
      </c>
      <c r="E571">
        <v>0.54295680000000002</v>
      </c>
      <c r="F571" t="s">
        <v>43</v>
      </c>
      <c r="G571">
        <v>-405.58159999999998</v>
      </c>
      <c r="H571">
        <v>-0.05</v>
      </c>
      <c r="I571">
        <v>367.28359999999998</v>
      </c>
      <c r="J571">
        <v>-433.73770000000002</v>
      </c>
      <c r="K571">
        <v>1.054942</v>
      </c>
      <c r="L571">
        <v>367.16430000000003</v>
      </c>
      <c r="M571">
        <v>0.99994850000000002</v>
      </c>
      <c r="N571">
        <v>0</v>
      </c>
      <c r="O571">
        <v>2.5059819999999999E-3</v>
      </c>
      <c r="P571">
        <v>0.9927667</v>
      </c>
      <c r="Q571">
        <v>2.313314E-2</v>
      </c>
      <c r="R571">
        <v>0.1178095</v>
      </c>
      <c r="S571">
        <v>3.0231020000000002</v>
      </c>
      <c r="T571">
        <v>-0.118282</v>
      </c>
      <c r="U571">
        <v>1.281738E-2</v>
      </c>
      <c r="V571">
        <v>-0.115335199999999</v>
      </c>
      <c r="W571">
        <v>3.2866109999999997E-2</v>
      </c>
      <c r="X571">
        <v>0.99278279999999997</v>
      </c>
      <c r="Y571">
        <v>-1.7342709999999999E-3</v>
      </c>
      <c r="Z571" s="1">
        <v>-6.4101299999999996E-5</v>
      </c>
      <c r="AA571">
        <v>0.99999850000000001</v>
      </c>
      <c r="AB571">
        <v>16</v>
      </c>
      <c r="AC571">
        <v>28.156099999999999</v>
      </c>
      <c r="AD571">
        <v>-1.1049420000000001</v>
      </c>
      <c r="AE571">
        <v>0.119299999999952</v>
      </c>
      <c r="AF571">
        <v>-4.8662591868940799E-2</v>
      </c>
      <c r="AG571">
        <v>-1.1049420000000001</v>
      </c>
      <c r="AH571">
        <v>28.113015972313502</v>
      </c>
      <c r="AI571">
        <v>92.250767036290995</v>
      </c>
      <c r="AJ571">
        <v>90.099176778199407</v>
      </c>
      <c r="AK571">
        <v>28.134763761772899</v>
      </c>
      <c r="AL571">
        <v>88.116571503166995</v>
      </c>
      <c r="AM571">
        <v>96.626554925766797</v>
      </c>
      <c r="AN571">
        <v>1.0000000387607</v>
      </c>
    </row>
    <row r="572" spans="1:40" x14ac:dyDescent="0.3">
      <c r="A572" t="str">
        <f>"20200111145924935"</f>
        <v>20200111145924935</v>
      </c>
      <c r="B572" t="str">
        <f>"1578725964926203"</f>
        <v>1578725964926203</v>
      </c>
      <c r="C572" t="s">
        <v>40</v>
      </c>
      <c r="D572">
        <v>3.9638110000000002</v>
      </c>
      <c r="E572">
        <v>0.54301569999999899</v>
      </c>
      <c r="F572" t="s">
        <v>43</v>
      </c>
      <c r="G572">
        <v>-405.32600000000002</v>
      </c>
      <c r="H572">
        <v>-0.05</v>
      </c>
      <c r="I572">
        <v>367.29509999999999</v>
      </c>
      <c r="J572">
        <v>-433.60149999999999</v>
      </c>
      <c r="K572">
        <v>1.054872</v>
      </c>
      <c r="L572">
        <v>367.16500000000002</v>
      </c>
      <c r="M572">
        <v>0.9999479</v>
      </c>
      <c r="N572">
        <v>0</v>
      </c>
      <c r="O572">
        <v>2.846548E-3</v>
      </c>
      <c r="P572">
        <v>0.99280360000000001</v>
      </c>
      <c r="Q572">
        <v>2.3384660000000002E-2</v>
      </c>
      <c r="R572">
        <v>0.11744830000000001</v>
      </c>
      <c r="S572">
        <v>3.0229189999999999</v>
      </c>
      <c r="T572">
        <v>-0.1175625</v>
      </c>
      <c r="U572">
        <v>1.3916019999999999E-2</v>
      </c>
      <c r="V572">
        <v>-0.1146348</v>
      </c>
      <c r="W572">
        <v>3.3065789999999998E-2</v>
      </c>
      <c r="X572">
        <v>0.99285730000000005</v>
      </c>
      <c r="Y572">
        <v>-1.7576040000000001E-3</v>
      </c>
      <c r="Z572" s="1">
        <v>-7.6502130000000003E-5</v>
      </c>
      <c r="AA572">
        <v>0.99999850000000001</v>
      </c>
      <c r="AB572">
        <v>16</v>
      </c>
      <c r="AC572">
        <v>28.275500000000001</v>
      </c>
      <c r="AD572">
        <v>-1.1048719999999901</v>
      </c>
      <c r="AE572">
        <v>0.13009999999996999</v>
      </c>
      <c r="AF572">
        <v>-4.95324092291494E-2</v>
      </c>
      <c r="AG572">
        <v>-1.1048719999999901</v>
      </c>
      <c r="AH572">
        <v>28.2326489867276</v>
      </c>
      <c r="AI572">
        <v>92.241097450539598</v>
      </c>
      <c r="AJ572">
        <v>90.100521743016401</v>
      </c>
      <c r="AK572">
        <v>28.2543034669715</v>
      </c>
      <c r="AL572">
        <v>88.105124483791897</v>
      </c>
      <c r="AM572">
        <v>96.586178395900802</v>
      </c>
      <c r="AN572">
        <v>1.0000000510013201</v>
      </c>
    </row>
    <row r="573" spans="1:40" x14ac:dyDescent="0.3">
      <c r="A573" t="str">
        <f>"20200111145924950"</f>
        <v>20200111145924950</v>
      </c>
      <c r="B573" t="str">
        <f>"1578725964946696"</f>
        <v>1578725964946696</v>
      </c>
      <c r="C573" t="s">
        <v>40</v>
      </c>
      <c r="D573">
        <v>4.1132799999999996</v>
      </c>
      <c r="E573">
        <v>0.54327840000000005</v>
      </c>
      <c r="F573" t="s">
        <v>43</v>
      </c>
      <c r="G573">
        <v>-405.42509999999999</v>
      </c>
      <c r="H573">
        <v>-0.05</v>
      </c>
      <c r="I573">
        <v>367.28019999999998</v>
      </c>
      <c r="J573">
        <v>-433.49950000000001</v>
      </c>
      <c r="K573">
        <v>1.054832</v>
      </c>
      <c r="L573">
        <v>367.16559999999998</v>
      </c>
      <c r="M573">
        <v>0.99994749999999999</v>
      </c>
      <c r="N573">
        <v>0</v>
      </c>
      <c r="O573">
        <v>3.0951490000000002E-3</v>
      </c>
      <c r="P573">
        <v>0.99283489999999996</v>
      </c>
      <c r="Q573">
        <v>2.3384760000000001E-2</v>
      </c>
      <c r="R573">
        <v>0.11718389999999999</v>
      </c>
      <c r="S573">
        <v>3.0230709999999998</v>
      </c>
      <c r="T573">
        <v>-0.118543</v>
      </c>
      <c r="U573">
        <v>1.235962E-2</v>
      </c>
      <c r="V573">
        <v>-0.11412310000000001</v>
      </c>
      <c r="W573">
        <v>3.3030520000000001E-2</v>
      </c>
      <c r="X573">
        <v>0.99291739999999995</v>
      </c>
      <c r="Y573">
        <v>-9.9472069999999996E-4</v>
      </c>
      <c r="Z573">
        <v>-1.018324E-4</v>
      </c>
      <c r="AA573">
        <v>0.99999950000000004</v>
      </c>
      <c r="AB573">
        <v>16</v>
      </c>
      <c r="AC573">
        <v>28.074400000000001</v>
      </c>
      <c r="AD573">
        <v>-1.104832</v>
      </c>
      <c r="AE573">
        <v>0.114599999999995</v>
      </c>
      <c r="AF573">
        <v>-2.76580203372527E-2</v>
      </c>
      <c r="AG573">
        <v>-1.104832</v>
      </c>
      <c r="AH573">
        <v>28.031208600584399</v>
      </c>
      <c r="AI573">
        <v>92.257106766745295</v>
      </c>
      <c r="AJ573">
        <v>90.056532964501599</v>
      </c>
      <c r="AK573">
        <v>28.052986905564801</v>
      </c>
      <c r="AL573">
        <v>88.107146370926401</v>
      </c>
      <c r="AM573">
        <v>96.556642557382901</v>
      </c>
      <c r="AN573">
        <v>1.00000003021391</v>
      </c>
    </row>
    <row r="574" spans="1:40" x14ac:dyDescent="0.3">
      <c r="A574" t="str">
        <f>"20200111145924969"</f>
        <v>20200111145924969</v>
      </c>
      <c r="B574" t="str">
        <f>"1578725964966215"</f>
        <v>1578725964966215</v>
      </c>
      <c r="C574" t="s">
        <v>40</v>
      </c>
      <c r="D574">
        <v>4.0632020000000004</v>
      </c>
      <c r="E574">
        <v>0.54329700000000003</v>
      </c>
      <c r="F574" t="s">
        <v>43</v>
      </c>
      <c r="G574">
        <v>-405.80130000000003</v>
      </c>
      <c r="H574">
        <v>-0.05</v>
      </c>
      <c r="I574">
        <v>367.25229999999999</v>
      </c>
      <c r="J574">
        <v>-433.3689</v>
      </c>
      <c r="K574">
        <v>1.054778</v>
      </c>
      <c r="L574">
        <v>367.16640000000001</v>
      </c>
      <c r="M574">
        <v>0.99994709999999998</v>
      </c>
      <c r="N574">
        <v>0</v>
      </c>
      <c r="O574">
        <v>3.4064719999999998E-3</v>
      </c>
      <c r="P574">
        <v>0.99297840000000004</v>
      </c>
      <c r="Q574">
        <v>2.3121679999999999E-2</v>
      </c>
      <c r="R574">
        <v>0.1160143</v>
      </c>
      <c r="S574">
        <v>3.0233759999999998</v>
      </c>
      <c r="T574">
        <v>-0.12059690000000001</v>
      </c>
      <c r="U574">
        <v>9.4604489999999992E-3</v>
      </c>
      <c r="V574">
        <v>-0.1126431</v>
      </c>
      <c r="W574">
        <v>3.2728849999999997E-2</v>
      </c>
      <c r="X574">
        <v>0.99309639999999999</v>
      </c>
      <c r="Y574">
        <v>2.7462150000000002E-4</v>
      </c>
      <c r="Z574">
        <v>-1.413044E-4</v>
      </c>
      <c r="AA574">
        <v>0.99999990000000005</v>
      </c>
      <c r="AB574">
        <v>16</v>
      </c>
      <c r="AC574">
        <v>27.567599999999899</v>
      </c>
      <c r="AD574">
        <v>-1.104778</v>
      </c>
      <c r="AE574">
        <v>8.5899999999980894E-2</v>
      </c>
      <c r="AF574">
        <v>8.0003304189265809E-3</v>
      </c>
      <c r="AG574">
        <v>-1.104778</v>
      </c>
      <c r="AH574">
        <v>27.523529637491698</v>
      </c>
      <c r="AI574">
        <v>92.298584245659796</v>
      </c>
      <c r="AJ574">
        <v>89.983345698722403</v>
      </c>
      <c r="AK574">
        <v>27.545694439248599</v>
      </c>
      <c r="AL574">
        <v>88.124440180810197</v>
      </c>
      <c r="AM574">
        <v>96.471182536990099</v>
      </c>
      <c r="AN574">
        <v>1.0000000526464401</v>
      </c>
    </row>
    <row r="575" spans="1:40" x14ac:dyDescent="0.3">
      <c r="A575" t="str">
        <f>"20200111145924983"</f>
        <v>20200111145924983</v>
      </c>
      <c r="B575" t="str">
        <f>"1578725964975976"</f>
        <v>1578725964975976</v>
      </c>
      <c r="C575" t="s">
        <v>40</v>
      </c>
      <c r="D575">
        <v>4.0956429999999999</v>
      </c>
      <c r="E575">
        <v>0.56165069999999995</v>
      </c>
      <c r="F575" t="s">
        <v>43</v>
      </c>
      <c r="G575">
        <v>-405.73880000000003</v>
      </c>
      <c r="H575">
        <v>-0.05</v>
      </c>
      <c r="I575">
        <v>367.2208</v>
      </c>
      <c r="J575">
        <v>-433.26639999999998</v>
      </c>
      <c r="K575">
        <v>1.0547390000000001</v>
      </c>
      <c r="L575">
        <v>367.16699999999997</v>
      </c>
      <c r="M575">
        <v>0.99994640000000001</v>
      </c>
      <c r="N575">
        <v>0</v>
      </c>
      <c r="O575">
        <v>3.6450390000000001E-3</v>
      </c>
      <c r="P575">
        <v>0.99304769999999998</v>
      </c>
      <c r="Q575">
        <v>2.2721470000000001E-2</v>
      </c>
      <c r="R575">
        <v>0.115498</v>
      </c>
      <c r="S575">
        <v>3.0233460000000001</v>
      </c>
      <c r="T575">
        <v>-0.12088749999999999</v>
      </c>
      <c r="U575">
        <v>5.9509280000000003E-3</v>
      </c>
      <c r="V575">
        <v>-0.1118889</v>
      </c>
      <c r="W575">
        <v>3.23004E-2</v>
      </c>
      <c r="X575">
        <v>0.99319570000000001</v>
      </c>
      <c r="Y575">
        <v>1.6726460000000001E-3</v>
      </c>
      <c r="Z575">
        <v>-1.7912049999999999E-4</v>
      </c>
      <c r="AA575">
        <v>0.99999859999999896</v>
      </c>
      <c r="AB575">
        <v>16</v>
      </c>
      <c r="AC575">
        <v>27.5275999999999</v>
      </c>
      <c r="AD575">
        <v>-1.1047389999999999</v>
      </c>
      <c r="AE575">
        <v>5.3800000000023801E-2</v>
      </c>
      <c r="AF575">
        <v>4.64694023434499E-2</v>
      </c>
      <c r="AG575">
        <v>-1.1047389999999999</v>
      </c>
      <c r="AH575">
        <v>27.483349222973199</v>
      </c>
      <c r="AI575">
        <v>92.301856779572702</v>
      </c>
      <c r="AJ575">
        <v>89.903123230290106</v>
      </c>
      <c r="AK575">
        <v>27.505582927387199</v>
      </c>
      <c r="AL575">
        <v>88.149001575410495</v>
      </c>
      <c r="AM575">
        <v>96.427581406089303</v>
      </c>
      <c r="AN575">
        <v>1.00000007014092</v>
      </c>
    </row>
    <row r="576" spans="1:40" x14ac:dyDescent="0.3">
      <c r="A576" t="str">
        <f>"20200111145925001"</f>
        <v>20200111145925001</v>
      </c>
      <c r="B576" t="str">
        <f>"1578725964996472"</f>
        <v>1578725964996472</v>
      </c>
      <c r="C576" t="s">
        <v>40</v>
      </c>
      <c r="D576">
        <v>4.0302089999999904</v>
      </c>
      <c r="E576">
        <v>0.56746779999999997</v>
      </c>
      <c r="F576" t="s">
        <v>42</v>
      </c>
      <c r="G576">
        <v>-396.88409999999999</v>
      </c>
      <c r="H576" s="1">
        <v>-2.1478220000000002E-6</v>
      </c>
      <c r="I576">
        <v>365.47669999999999</v>
      </c>
      <c r="J576">
        <v>-433.13729999999998</v>
      </c>
      <c r="K576">
        <v>1.054694</v>
      </c>
      <c r="L576">
        <v>367.1678</v>
      </c>
      <c r="M576">
        <v>0.99994570000000005</v>
      </c>
      <c r="N576">
        <v>0</v>
      </c>
      <c r="O576">
        <v>3.9375549999999997E-3</v>
      </c>
      <c r="P576">
        <v>0.99314239999999998</v>
      </c>
      <c r="Q576">
        <v>2.1809450000000001E-2</v>
      </c>
      <c r="R576">
        <v>0.1148603</v>
      </c>
      <c r="S576">
        <v>3.0394899999999998</v>
      </c>
      <c r="T576">
        <v>-8.8116169999999994E-2</v>
      </c>
      <c r="U576">
        <v>-0.14120479999999899</v>
      </c>
      <c r="V576">
        <v>-0.11096010000000001</v>
      </c>
      <c r="W576">
        <v>3.1356740000000001E-2</v>
      </c>
      <c r="X576">
        <v>0.99333009999999999</v>
      </c>
      <c r="Y576">
        <v>5.0317090000000002E-2</v>
      </c>
      <c r="Z576">
        <v>-8.4288519999999999E-4</v>
      </c>
      <c r="AA576">
        <v>0.99873290000000003</v>
      </c>
      <c r="AB576">
        <v>16</v>
      </c>
      <c r="AC576">
        <v>36.2531999999999</v>
      </c>
      <c r="AD576">
        <v>-1.0546961478219901</v>
      </c>
      <c r="AE576">
        <v>-1.6911</v>
      </c>
      <c r="AF576">
        <v>1.8322950641203299</v>
      </c>
      <c r="AG576">
        <v>-1.0546961478219901</v>
      </c>
      <c r="AH576">
        <v>36.2156743895993</v>
      </c>
      <c r="AI576">
        <v>91.666003317895701</v>
      </c>
      <c r="AJ576">
        <v>87.1036481713071</v>
      </c>
      <c r="AK576">
        <v>36.277331222951197</v>
      </c>
      <c r="AL576">
        <v>88.203096659298893</v>
      </c>
      <c r="AM576">
        <v>96.373811093015306</v>
      </c>
      <c r="AN576">
        <v>1.0000000382507199</v>
      </c>
    </row>
    <row r="577" spans="1:40" x14ac:dyDescent="0.3">
      <c r="A577" t="str">
        <f>"20200111145925015"</f>
        <v>20200111145925015</v>
      </c>
      <c r="B577" t="str">
        <f>"1578725965006232"</f>
        <v>1578725965006232</v>
      </c>
      <c r="C577" t="s">
        <v>40</v>
      </c>
      <c r="D577">
        <v>4.1545209999999999</v>
      </c>
      <c r="E577">
        <v>0.56979990000000003</v>
      </c>
      <c r="F577" t="s">
        <v>43</v>
      </c>
      <c r="G577">
        <v>-405.45780000000002</v>
      </c>
      <c r="H577">
        <v>-0.05</v>
      </c>
      <c r="I577">
        <v>365.4461</v>
      </c>
      <c r="J577">
        <v>-433.03960000000001</v>
      </c>
      <c r="K577">
        <v>1.0546709999999999</v>
      </c>
      <c r="L577">
        <v>367.16849999999999</v>
      </c>
      <c r="M577">
        <v>0.99994519999999998</v>
      </c>
      <c r="N577">
        <v>0</v>
      </c>
      <c r="O577">
        <v>4.1516490000000003E-3</v>
      </c>
      <c r="P577">
        <v>0.99315319999999996</v>
      </c>
      <c r="Q577">
        <v>2.1577099999999998E-2</v>
      </c>
      <c r="R577">
        <v>0.11480849999999999</v>
      </c>
      <c r="S577">
        <v>3.0453190000000001</v>
      </c>
      <c r="T577">
        <v>-0.1215392</v>
      </c>
      <c r="U577">
        <v>-0.1894226</v>
      </c>
      <c r="V577">
        <v>-0.1106948</v>
      </c>
      <c r="W577">
        <v>3.1103189999999999E-2</v>
      </c>
      <c r="X577">
        <v>0.99336760000000002</v>
      </c>
      <c r="Y577">
        <v>6.61688E-2</v>
      </c>
      <c r="Z577">
        <v>-1.484087E-3</v>
      </c>
      <c r="AA577">
        <v>0.99780729999999995</v>
      </c>
      <c r="AB577">
        <v>16</v>
      </c>
      <c r="AC577">
        <v>27.581799999999902</v>
      </c>
      <c r="AD577">
        <v>-1.104671</v>
      </c>
      <c r="AE577">
        <v>-1.7223999999999899</v>
      </c>
      <c r="AF577">
        <v>1.8339700244311801</v>
      </c>
      <c r="AG577">
        <v>-1.104671</v>
      </c>
      <c r="AH577">
        <v>27.530422226329399</v>
      </c>
      <c r="AI577">
        <v>92.292711032871395</v>
      </c>
      <c r="AJ577">
        <v>86.188808235708606</v>
      </c>
      <c r="AK577">
        <v>27.613545444740101</v>
      </c>
      <c r="AL577">
        <v>88.217630967863101</v>
      </c>
      <c r="AM577">
        <v>96.358458527183501</v>
      </c>
      <c r="AN577">
        <v>0.99999996795248702</v>
      </c>
    </row>
    <row r="578" spans="1:40" x14ac:dyDescent="0.3">
      <c r="A578" t="str">
        <f>"20200111145925027"</f>
        <v>20200111145925027</v>
      </c>
      <c r="B578" t="str">
        <f>"1578725965015992"</f>
        <v>1578725965015992</v>
      </c>
      <c r="C578" t="s">
        <v>40</v>
      </c>
      <c r="D578">
        <v>3.996343</v>
      </c>
      <c r="E578">
        <v>0.57026160000000004</v>
      </c>
      <c r="F578" t="s">
        <v>43</v>
      </c>
      <c r="G578">
        <v>-407.59559999999999</v>
      </c>
      <c r="H578">
        <v>-0.05</v>
      </c>
      <c r="I578">
        <v>365.43279999999999</v>
      </c>
      <c r="J578">
        <v>-432.9511</v>
      </c>
      <c r="K578">
        <v>1.054648</v>
      </c>
      <c r="L578">
        <v>367.16910000000001</v>
      </c>
      <c r="M578">
        <v>0.99994439999999996</v>
      </c>
      <c r="N578">
        <v>0</v>
      </c>
      <c r="O578">
        <v>4.3421199999999997E-3</v>
      </c>
      <c r="P578">
        <v>0.99311760000000004</v>
      </c>
      <c r="Q578">
        <v>2.1228839999999999E-2</v>
      </c>
      <c r="R578">
        <v>0.11518249999999999</v>
      </c>
      <c r="S578">
        <v>3.0475460000000001</v>
      </c>
      <c r="T578">
        <v>-0.13231180000000001</v>
      </c>
      <c r="U578">
        <v>-0.20788570000000001</v>
      </c>
      <c r="V578">
        <v>-0.1108794</v>
      </c>
      <c r="W578">
        <v>3.0736679999999999E-2</v>
      </c>
      <c r="X578">
        <v>0.99335839999999997</v>
      </c>
      <c r="Y578">
        <v>7.231572E-2</v>
      </c>
      <c r="Z578">
        <v>-1.7554910000000001E-3</v>
      </c>
      <c r="AA578">
        <v>0.9973803</v>
      </c>
      <c r="AB578">
        <v>16</v>
      </c>
      <c r="AC578">
        <v>25.355499999999999</v>
      </c>
      <c r="AD578">
        <v>-1.1046479999999901</v>
      </c>
      <c r="AE578">
        <v>-1.7363000000000199</v>
      </c>
      <c r="AF578">
        <v>1.8429037738341401</v>
      </c>
      <c r="AG578">
        <v>-1.1046479999999901</v>
      </c>
      <c r="AH578">
        <v>25.2999254466732</v>
      </c>
      <c r="AI578">
        <v>92.493468410882599</v>
      </c>
      <c r="AJ578">
        <v>85.833804079569703</v>
      </c>
      <c r="AK578">
        <v>25.390997797068501</v>
      </c>
      <c r="AL578">
        <v>88.2386404547768</v>
      </c>
      <c r="AM578">
        <v>96.369033639641899</v>
      </c>
      <c r="AN578">
        <v>0.99999994784616897</v>
      </c>
    </row>
    <row r="579" spans="1:40" x14ac:dyDescent="0.3">
      <c r="A579" t="str">
        <f>"20200111145925039"</f>
        <v>20200111145925039</v>
      </c>
      <c r="B579" t="str">
        <f>"1578725965036488"</f>
        <v>1578725965036488</v>
      </c>
      <c r="C579" t="s">
        <v>40</v>
      </c>
      <c r="D579">
        <v>3.9698009999999999</v>
      </c>
      <c r="E579">
        <v>0.57019580000000003</v>
      </c>
      <c r="F579" t="s">
        <v>43</v>
      </c>
      <c r="G579">
        <v>-407.86919999999998</v>
      </c>
      <c r="H579">
        <v>-0.05</v>
      </c>
      <c r="I579">
        <v>365.43729999999999</v>
      </c>
      <c r="J579">
        <v>-432.86309999999997</v>
      </c>
      <c r="K579">
        <v>1.054627</v>
      </c>
      <c r="L579">
        <v>367.16969999999998</v>
      </c>
      <c r="M579">
        <v>0.9999439</v>
      </c>
      <c r="N579">
        <v>0</v>
      </c>
      <c r="O579">
        <v>4.5288239999999999E-3</v>
      </c>
      <c r="P579">
        <v>0.99306499999999998</v>
      </c>
      <c r="Q579">
        <v>2.1019909999999999E-2</v>
      </c>
      <c r="R579">
        <v>0.115672</v>
      </c>
      <c r="S579">
        <v>3.0480960000000001</v>
      </c>
      <c r="T579">
        <v>-0.1342431</v>
      </c>
      <c r="U579">
        <v>-0.2104492</v>
      </c>
      <c r="V579">
        <v>-0.1111833</v>
      </c>
      <c r="W579">
        <v>3.0510760000000001E-2</v>
      </c>
      <c r="X579">
        <v>0.99333139999999998</v>
      </c>
      <c r="Y579">
        <v>7.3321339999999999E-2</v>
      </c>
      <c r="Z579">
        <v>-1.8110369999999999E-3</v>
      </c>
      <c r="AA579">
        <v>0.99730669999999999</v>
      </c>
      <c r="AB579">
        <v>16</v>
      </c>
      <c r="AC579">
        <v>24.9939</v>
      </c>
      <c r="AD579">
        <v>-1.104627</v>
      </c>
      <c r="AE579">
        <v>-1.73239999999998</v>
      </c>
      <c r="AF579">
        <v>1.8419996680406601</v>
      </c>
      <c r="AG579">
        <v>-1.104627</v>
      </c>
      <c r="AH579">
        <v>24.937321029918099</v>
      </c>
      <c r="AI579">
        <v>92.529441685797806</v>
      </c>
      <c r="AJ579">
        <v>85.775508907090398</v>
      </c>
      <c r="AK579">
        <v>25.029645297834101</v>
      </c>
      <c r="AL579">
        <v>88.2515907982079</v>
      </c>
      <c r="AM579">
        <v>96.386518110542795</v>
      </c>
      <c r="AN579">
        <v>0.99999995145031195</v>
      </c>
    </row>
    <row r="580" spans="1:40" x14ac:dyDescent="0.3">
      <c r="A580" t="str">
        <f>"20200111145925056"</f>
        <v>20200111145925056</v>
      </c>
      <c r="B580" t="str">
        <f>"1578725965046248"</f>
        <v>1578725965046248</v>
      </c>
      <c r="C580" t="s">
        <v>40</v>
      </c>
      <c r="D580">
        <v>3.9990770000000002</v>
      </c>
      <c r="E580">
        <v>0.57060440000000001</v>
      </c>
      <c r="F580" t="s">
        <v>43</v>
      </c>
      <c r="G580">
        <v>-407.39159999999998</v>
      </c>
      <c r="H580">
        <v>-0.05</v>
      </c>
      <c r="I580">
        <v>365.42500000000001</v>
      </c>
      <c r="J580">
        <v>-432.74130000000002</v>
      </c>
      <c r="K580">
        <v>1.054592</v>
      </c>
      <c r="L580">
        <v>367.1705</v>
      </c>
      <c r="M580">
        <v>0.99994289999999997</v>
      </c>
      <c r="N580">
        <v>0</v>
      </c>
      <c r="O580">
        <v>4.7726950000000004E-3</v>
      </c>
      <c r="P580">
        <v>0.9928806</v>
      </c>
      <c r="Q580">
        <v>2.0916000000000001E-2</v>
      </c>
      <c r="R580">
        <v>0.1172642</v>
      </c>
      <c r="S580">
        <v>3.0480649999999998</v>
      </c>
      <c r="T580">
        <v>-0.1321861</v>
      </c>
      <c r="U580">
        <v>-0.20877080000000001</v>
      </c>
      <c r="V580">
        <v>-0.1125331</v>
      </c>
      <c r="W580">
        <v>3.0388749999999999E-2</v>
      </c>
      <c r="X580">
        <v>0.99318320000000004</v>
      </c>
      <c r="Y580">
        <v>7.3020989999999994E-2</v>
      </c>
      <c r="Z580">
        <v>-1.78742299999999E-3</v>
      </c>
      <c r="AA580">
        <v>0.99732880000000002</v>
      </c>
      <c r="AB580">
        <v>16</v>
      </c>
      <c r="AC580">
        <v>25.349699999999999</v>
      </c>
      <c r="AD580">
        <v>-1.104592</v>
      </c>
      <c r="AE580">
        <v>-1.7454999999999901</v>
      </c>
      <c r="AF580">
        <v>1.86295152605532</v>
      </c>
      <c r="AG580">
        <v>-1.104592</v>
      </c>
      <c r="AH580">
        <v>25.293282206321201</v>
      </c>
      <c r="AI580">
        <v>92.493848902090306</v>
      </c>
      <c r="AJ580">
        <v>85.787542802773999</v>
      </c>
      <c r="AK580">
        <v>25.385839293659402</v>
      </c>
      <c r="AL580">
        <v>88.258584822136598</v>
      </c>
      <c r="AM580">
        <v>96.464356499149105</v>
      </c>
      <c r="AN580">
        <v>1.0000000217422</v>
      </c>
    </row>
    <row r="581" spans="1:40" x14ac:dyDescent="0.3">
      <c r="A581" t="str">
        <f>"20200111145925070"</f>
        <v>20200111145925070</v>
      </c>
      <c r="B581" t="str">
        <f>"1578725965066744"</f>
        <v>1578725965066744</v>
      </c>
      <c r="C581" t="s">
        <v>40</v>
      </c>
      <c r="D581">
        <v>4.1294199999999996</v>
      </c>
      <c r="E581">
        <v>0.57149439999999996</v>
      </c>
      <c r="F581" t="s">
        <v>43</v>
      </c>
      <c r="G581">
        <v>-408.01420000000002</v>
      </c>
      <c r="H581">
        <v>-0.05</v>
      </c>
      <c r="I581">
        <v>365.4907</v>
      </c>
      <c r="J581">
        <v>-432.64780000000002</v>
      </c>
      <c r="K581">
        <v>1.0545679999999999</v>
      </c>
      <c r="L581">
        <v>367.1712</v>
      </c>
      <c r="M581">
        <v>0.9999422</v>
      </c>
      <c r="N581">
        <v>0</v>
      </c>
      <c r="O581">
        <v>4.9470240000000004E-3</v>
      </c>
      <c r="P581">
        <v>0.99277919999999997</v>
      </c>
      <c r="Q581">
        <v>2.0733209999999998E-2</v>
      </c>
      <c r="R581">
        <v>0.1181518</v>
      </c>
      <c r="S581">
        <v>3.0488590000000002</v>
      </c>
      <c r="T581">
        <v>-0.1361967</v>
      </c>
      <c r="U581">
        <v>-0.2071228</v>
      </c>
      <c r="V581">
        <v>-0.1132469</v>
      </c>
      <c r="W581">
        <v>3.0197149999999999E-2</v>
      </c>
      <c r="X581">
        <v>0.99310790000000004</v>
      </c>
      <c r="Y581">
        <v>7.2636339999999994E-2</v>
      </c>
      <c r="Z581">
        <v>-1.8403549999999999E-3</v>
      </c>
      <c r="AA581">
        <v>0.99735680000000004</v>
      </c>
      <c r="AB581">
        <v>16</v>
      </c>
      <c r="AC581">
        <v>24.633600000000001</v>
      </c>
      <c r="AD581">
        <v>-1.104568</v>
      </c>
      <c r="AE581">
        <v>-1.6804999999999899</v>
      </c>
      <c r="AF581">
        <v>1.79874815914488</v>
      </c>
      <c r="AG581">
        <v>-1.104568</v>
      </c>
      <c r="AH581">
        <v>24.575801086184299</v>
      </c>
      <c r="AI581">
        <v>92.566590707446494</v>
      </c>
      <c r="AJ581">
        <v>85.813880766422301</v>
      </c>
      <c r="AK581">
        <v>24.666283960790501</v>
      </c>
      <c r="AL581">
        <v>88.269567721428501</v>
      </c>
      <c r="AM581">
        <v>96.505498701698798</v>
      </c>
      <c r="AN581">
        <v>1.00000001463507</v>
      </c>
    </row>
    <row r="582" spans="1:40" x14ac:dyDescent="0.3">
      <c r="A582" t="str">
        <f>"20200111145925082"</f>
        <v>20200111145925082</v>
      </c>
      <c r="B582" t="str">
        <f>"1578725965076504"</f>
        <v>1578725965076504</v>
      </c>
      <c r="C582" t="s">
        <v>40</v>
      </c>
      <c r="D582">
        <v>3.9836740000000002</v>
      </c>
      <c r="E582">
        <v>0.57145440000000003</v>
      </c>
      <c r="F582" t="s">
        <v>43</v>
      </c>
      <c r="G582">
        <v>-408.52229999999997</v>
      </c>
      <c r="H582">
        <v>-0.05</v>
      </c>
      <c r="I582">
        <v>365.49919999999997</v>
      </c>
      <c r="J582">
        <v>-432.55669999999998</v>
      </c>
      <c r="K582">
        <v>1.054546</v>
      </c>
      <c r="L582">
        <v>367.17180000000002</v>
      </c>
      <c r="M582">
        <v>0.99994139999999998</v>
      </c>
      <c r="N582">
        <v>0</v>
      </c>
      <c r="O582">
        <v>5.1090490000000001E-3</v>
      </c>
      <c r="P582">
        <v>0.99268149999999999</v>
      </c>
      <c r="Q582">
        <v>2.0608600000000001E-2</v>
      </c>
      <c r="R582">
        <v>0.1189915</v>
      </c>
      <c r="S582">
        <v>3.0499269999999998</v>
      </c>
      <c r="T582">
        <v>-0.13963909999999999</v>
      </c>
      <c r="U582">
        <v>-0.21136469999999999</v>
      </c>
      <c r="V582">
        <v>-0.1139254</v>
      </c>
      <c r="W582">
        <v>3.0067030000000002E-2</v>
      </c>
      <c r="X582">
        <v>0.99303419999999998</v>
      </c>
      <c r="Y582">
        <v>7.4149290000000007E-2</v>
      </c>
      <c r="Z582">
        <v>-1.9280569999999999E-3</v>
      </c>
      <c r="AA582">
        <v>0.9972453</v>
      </c>
      <c r="AB582">
        <v>16</v>
      </c>
      <c r="AC582">
        <v>24.034400000000002</v>
      </c>
      <c r="AD582">
        <v>-1.10454599999999</v>
      </c>
      <c r="AE582">
        <v>-1.6726000000000401</v>
      </c>
      <c r="AF582">
        <v>1.79161098190182</v>
      </c>
      <c r="AG582">
        <v>-1.10454599999999</v>
      </c>
      <c r="AH582">
        <v>23.9751482144097</v>
      </c>
      <c r="AI582">
        <v>92.630453516911203</v>
      </c>
      <c r="AJ582">
        <v>85.726353518890804</v>
      </c>
      <c r="AK582">
        <v>24.0673559760831</v>
      </c>
      <c r="AL582">
        <v>88.277026362715702</v>
      </c>
      <c r="AM582">
        <v>96.544619687308796</v>
      </c>
      <c r="AN582">
        <v>0.99999997271390995</v>
      </c>
    </row>
    <row r="583" spans="1:40" x14ac:dyDescent="0.3">
      <c r="A583" t="str">
        <f>"20200111145925095"</f>
        <v>20200111145925095</v>
      </c>
      <c r="B583" t="str">
        <f>"1578725965086265"</f>
        <v>1578725965086265</v>
      </c>
      <c r="C583" t="s">
        <v>40</v>
      </c>
      <c r="D583">
        <v>4.2610140000000003</v>
      </c>
      <c r="E583">
        <v>0.57154740000000004</v>
      </c>
      <c r="F583" t="s">
        <v>43</v>
      </c>
      <c r="G583">
        <v>-408.57619999999997</v>
      </c>
      <c r="H583">
        <v>-0.05</v>
      </c>
      <c r="I583">
        <v>365.5335</v>
      </c>
      <c r="J583">
        <v>-432.46420000000001</v>
      </c>
      <c r="K583">
        <v>1.0545230000000001</v>
      </c>
      <c r="L583">
        <v>367.17250000000001</v>
      </c>
      <c r="M583">
        <v>0.99994059999999996</v>
      </c>
      <c r="N583">
        <v>0</v>
      </c>
      <c r="O583">
        <v>5.2561830000000002E-3</v>
      </c>
      <c r="P583">
        <v>0.99257620000000002</v>
      </c>
      <c r="Q583">
        <v>2.001758E-2</v>
      </c>
      <c r="R583">
        <v>0.11996569999999999</v>
      </c>
      <c r="S583">
        <v>3.050049</v>
      </c>
      <c r="T583">
        <v>-0.1404861</v>
      </c>
      <c r="U583">
        <v>-0.208374</v>
      </c>
      <c r="V583">
        <v>-0.1147533</v>
      </c>
      <c r="W583">
        <v>2.9473630000000001E-2</v>
      </c>
      <c r="X583">
        <v>0.99295670000000003</v>
      </c>
      <c r="Y583">
        <v>7.3319720000000005E-2</v>
      </c>
      <c r="Z583">
        <v>-1.92742E-3</v>
      </c>
      <c r="AA583">
        <v>0.99730660000000004</v>
      </c>
      <c r="AB583">
        <v>16</v>
      </c>
      <c r="AC583">
        <v>23.888000000000002</v>
      </c>
      <c r="AD583">
        <v>-1.1045229999999999</v>
      </c>
      <c r="AE583">
        <v>-1.63900000000001</v>
      </c>
      <c r="AF583">
        <v>1.7607959909497799</v>
      </c>
      <c r="AG583">
        <v>-1.1045229999999999</v>
      </c>
      <c r="AH583">
        <v>23.828350472456499</v>
      </c>
      <c r="AI583">
        <v>92.646743442137904</v>
      </c>
      <c r="AJ583">
        <v>85.773809455591305</v>
      </c>
      <c r="AK583">
        <v>23.918834834027599</v>
      </c>
      <c r="AL583">
        <v>88.311040821419795</v>
      </c>
      <c r="AM583">
        <v>96.592272560057395</v>
      </c>
      <c r="AN583">
        <v>1.00000001140057</v>
      </c>
    </row>
    <row r="584" spans="1:40" x14ac:dyDescent="0.3">
      <c r="A584" t="str">
        <f>"20200111145925107"</f>
        <v>20200111145925107</v>
      </c>
      <c r="B584" t="str">
        <f>"1578725965096025"</f>
        <v>1578725965096025</v>
      </c>
      <c r="C584" t="s">
        <v>40</v>
      </c>
      <c r="D584">
        <v>3.985449</v>
      </c>
      <c r="E584">
        <v>0.57153430000000005</v>
      </c>
      <c r="F584" t="s">
        <v>43</v>
      </c>
      <c r="G584">
        <v>-408.05189999999999</v>
      </c>
      <c r="H584">
        <v>-0.05</v>
      </c>
      <c r="I584">
        <v>365.52210000000002</v>
      </c>
      <c r="J584">
        <v>-432.3734</v>
      </c>
      <c r="K584">
        <v>1.0544979999999999</v>
      </c>
      <c r="L584">
        <v>367.17320000000001</v>
      </c>
      <c r="M584">
        <v>0.9999401</v>
      </c>
      <c r="N584">
        <v>0</v>
      </c>
      <c r="O584">
        <v>5.3883389999999998E-3</v>
      </c>
      <c r="P584">
        <v>0.99250510000000003</v>
      </c>
      <c r="Q584">
        <v>1.965886E-2</v>
      </c>
      <c r="R584">
        <v>0.12061180000000001</v>
      </c>
      <c r="S584">
        <v>3.0501399999999999</v>
      </c>
      <c r="T584">
        <v>-0.13800229999999999</v>
      </c>
      <c r="U584">
        <v>-0.20620730000000001</v>
      </c>
      <c r="V584">
        <v>-0.1152668</v>
      </c>
      <c r="W584">
        <v>2.9115680000000001E-2</v>
      </c>
      <c r="X584">
        <v>0.99290780000000001</v>
      </c>
      <c r="Y584">
        <v>7.2747629999999994E-2</v>
      </c>
      <c r="Z584">
        <v>-1.8864159999999999E-3</v>
      </c>
      <c r="AA584">
        <v>0.99734860000000003</v>
      </c>
      <c r="AB584">
        <v>16</v>
      </c>
      <c r="AC584">
        <v>24.3215</v>
      </c>
      <c r="AD584">
        <v>-1.104498</v>
      </c>
      <c r="AE584">
        <v>-1.65109999999998</v>
      </c>
      <c r="AF584">
        <v>1.77848354474843</v>
      </c>
      <c r="AG584">
        <v>-1.104498</v>
      </c>
      <c r="AH584">
        <v>24.262443207424699</v>
      </c>
      <c r="AI584">
        <v>92.5995085869625</v>
      </c>
      <c r="AJ584">
        <v>85.807607736242602</v>
      </c>
      <c r="AK584">
        <v>24.352598833480901</v>
      </c>
      <c r="AL584">
        <v>88.331558680216901</v>
      </c>
      <c r="AM584">
        <v>96.621833600507401</v>
      </c>
      <c r="AN584">
        <v>1.00000002865247</v>
      </c>
    </row>
    <row r="585" spans="1:40" x14ac:dyDescent="0.3">
      <c r="A585" t="str">
        <f>"20200111145925125"</f>
        <v>20200111145925125</v>
      </c>
      <c r="B585" t="str">
        <f>"1578725965116519"</f>
        <v>1578725965116519</v>
      </c>
      <c r="C585" t="s">
        <v>40</v>
      </c>
      <c r="D585">
        <v>4.0184550000000003</v>
      </c>
      <c r="E585">
        <v>0.57159859999999996</v>
      </c>
      <c r="F585" t="s">
        <v>43</v>
      </c>
      <c r="G585">
        <v>-408.39830000000001</v>
      </c>
      <c r="H585">
        <v>-0.05</v>
      </c>
      <c r="I585">
        <v>365.56869999999998</v>
      </c>
      <c r="J585">
        <v>-432.2491</v>
      </c>
      <c r="K585">
        <v>1.0544770000000001</v>
      </c>
      <c r="L585">
        <v>367.17399999999998</v>
      </c>
      <c r="M585">
        <v>0.99993929999999998</v>
      </c>
      <c r="N585">
        <v>0</v>
      </c>
      <c r="O585">
        <v>5.5483019999999997E-3</v>
      </c>
      <c r="P585">
        <v>0.99238320000000002</v>
      </c>
      <c r="Q585">
        <v>2.0192660000000001E-2</v>
      </c>
      <c r="R585">
        <v>0.12152350000000001</v>
      </c>
      <c r="S585">
        <v>3.050262</v>
      </c>
      <c r="T585">
        <v>-0.14052110000000001</v>
      </c>
      <c r="U585">
        <v>-0.20413210000000001</v>
      </c>
      <c r="V585">
        <v>-0.1160186</v>
      </c>
      <c r="W585">
        <v>2.965046E-2</v>
      </c>
      <c r="X585">
        <v>0.99280429999999997</v>
      </c>
      <c r="Y585">
        <v>7.2226449999999998E-2</v>
      </c>
      <c r="Z585">
        <v>-1.9161510000000001E-3</v>
      </c>
      <c r="AA585">
        <v>0.99738640000000001</v>
      </c>
      <c r="AB585">
        <v>16</v>
      </c>
      <c r="AC585">
        <v>23.8507999999999</v>
      </c>
      <c r="AD585">
        <v>-1.1044769999999999</v>
      </c>
      <c r="AE585">
        <v>-1.6053000000000499</v>
      </c>
      <c r="AF585">
        <v>1.73391128063873</v>
      </c>
      <c r="AG585">
        <v>-1.1044769999999999</v>
      </c>
      <c r="AH585">
        <v>23.790738778782501</v>
      </c>
      <c r="AI585">
        <v>92.651007354395603</v>
      </c>
      <c r="AJ585">
        <v>85.831552028840505</v>
      </c>
      <c r="AK585">
        <v>23.8793963368616</v>
      </c>
      <c r="AL585">
        <v>88.300904626410201</v>
      </c>
      <c r="AM585">
        <v>96.665324174110694</v>
      </c>
      <c r="AN585">
        <v>0.99999992171132701</v>
      </c>
    </row>
    <row r="586" spans="1:40" x14ac:dyDescent="0.3">
      <c r="A586" t="str">
        <f>"20200111145925137"</f>
        <v>20200111145925137</v>
      </c>
      <c r="B586" t="str">
        <f>"1578725965126280"</f>
        <v>1578725965126280</v>
      </c>
      <c r="C586" t="s">
        <v>40</v>
      </c>
      <c r="D586">
        <v>4.2004999999999999</v>
      </c>
      <c r="E586">
        <v>0.57198729999999998</v>
      </c>
      <c r="F586" t="s">
        <v>43</v>
      </c>
      <c r="G586">
        <v>-408.18729999999999</v>
      </c>
      <c r="H586">
        <v>-0.05</v>
      </c>
      <c r="I586">
        <v>365.58069999999998</v>
      </c>
      <c r="J586">
        <v>-432.15019999999998</v>
      </c>
      <c r="K586">
        <v>1.0544560000000001</v>
      </c>
      <c r="L586">
        <v>367.17469999999997</v>
      </c>
      <c r="M586">
        <v>0.99993869999999896</v>
      </c>
      <c r="N586">
        <v>0</v>
      </c>
      <c r="O586">
        <v>5.6551930000000002E-3</v>
      </c>
      <c r="P586">
        <v>0.99232819999999999</v>
      </c>
      <c r="Q586">
        <v>2.106531E-2</v>
      </c>
      <c r="R586">
        <v>0.12182419999999999</v>
      </c>
      <c r="S586">
        <v>3.0505979999999999</v>
      </c>
      <c r="T586">
        <v>-0.14002729999999999</v>
      </c>
      <c r="U586">
        <v>-0.2019958</v>
      </c>
      <c r="V586">
        <v>-0.116212</v>
      </c>
      <c r="W586">
        <v>3.0526009999999999E-2</v>
      </c>
      <c r="X586">
        <v>0.99275519999999995</v>
      </c>
      <c r="Y586">
        <v>7.1631479999999997E-2</v>
      </c>
      <c r="Z586">
        <v>-1.900526E-3</v>
      </c>
      <c r="AA586">
        <v>0.99742940000000002</v>
      </c>
      <c r="AB586">
        <v>16</v>
      </c>
      <c r="AC586">
        <v>23.962899999999902</v>
      </c>
      <c r="AD586">
        <v>-1.1044559999999899</v>
      </c>
      <c r="AE586">
        <v>-1.5939999999999901</v>
      </c>
      <c r="AF586">
        <v>1.72584539184067</v>
      </c>
      <c r="AG586">
        <v>-1.1044559999999899</v>
      </c>
      <c r="AH586">
        <v>23.902948391732401</v>
      </c>
      <c r="AI586">
        <v>92.638659253302905</v>
      </c>
      <c r="AJ586">
        <v>85.870285167864097</v>
      </c>
      <c r="AK586">
        <v>23.9906087290485</v>
      </c>
      <c r="AL586">
        <v>88.250716674490803</v>
      </c>
      <c r="AM586">
        <v>96.676662096102504</v>
      </c>
      <c r="AN586">
        <v>0.99999997667877905</v>
      </c>
    </row>
    <row r="587" spans="1:40" x14ac:dyDescent="0.3">
      <c r="A587" t="str">
        <f>"20200111145925157"</f>
        <v>20200111145925157</v>
      </c>
      <c r="B587" t="str">
        <f>"1578725965146775"</f>
        <v>1578725965146775</v>
      </c>
      <c r="C587" t="s">
        <v>40</v>
      </c>
      <c r="D587">
        <v>4.1374399999999998</v>
      </c>
      <c r="E587">
        <v>0.57249439999999996</v>
      </c>
      <c r="F587" t="s">
        <v>43</v>
      </c>
      <c r="G587">
        <v>-407.97070000000002</v>
      </c>
      <c r="H587">
        <v>-0.05</v>
      </c>
      <c r="I587">
        <v>365.5582</v>
      </c>
      <c r="J587">
        <v>-432.01420000000002</v>
      </c>
      <c r="K587">
        <v>1.054424</v>
      </c>
      <c r="L587">
        <v>367.17559999999997</v>
      </c>
      <c r="M587">
        <v>0.99993799999999999</v>
      </c>
      <c r="N587">
        <v>0</v>
      </c>
      <c r="O587">
        <v>5.7661630000000004E-3</v>
      </c>
      <c r="P587">
        <v>0.99224069999999998</v>
      </c>
      <c r="Q587">
        <v>2.310889E-2</v>
      </c>
      <c r="R587">
        <v>0.1221656</v>
      </c>
      <c r="S587">
        <v>3.0511780000000002</v>
      </c>
      <c r="T587">
        <v>-0.13936999999999999</v>
      </c>
      <c r="U587">
        <v>-0.20397950000000001</v>
      </c>
      <c r="V587">
        <v>-0.11644210000000001</v>
      </c>
      <c r="W587">
        <v>3.2574430000000001E-2</v>
      </c>
      <c r="X587">
        <v>0.99266310000000002</v>
      </c>
      <c r="Y587">
        <v>7.2375159999999994E-2</v>
      </c>
      <c r="Z587">
        <v>-1.9132330000000001E-3</v>
      </c>
      <c r="AA587">
        <v>0.99737569999999998</v>
      </c>
      <c r="AB587">
        <v>16</v>
      </c>
      <c r="AC587">
        <v>24.043499999999899</v>
      </c>
      <c r="AD587">
        <v>-1.1044240000000001</v>
      </c>
      <c r="AE587">
        <v>-1.61739999999997</v>
      </c>
      <c r="AF587">
        <v>1.7523374168136701</v>
      </c>
      <c r="AG587">
        <v>-1.1044240000000001</v>
      </c>
      <c r="AH587">
        <v>23.9833973514185</v>
      </c>
      <c r="AI587">
        <v>92.629580971211496</v>
      </c>
      <c r="AJ587">
        <v>85.8211322404985</v>
      </c>
      <c r="AK587">
        <v>24.072677194491099</v>
      </c>
      <c r="AL587">
        <v>88.133292310228498</v>
      </c>
      <c r="AM587">
        <v>96.690377253112501</v>
      </c>
      <c r="AN587">
        <v>0.99999994312191998</v>
      </c>
    </row>
    <row r="588" spans="1:40" x14ac:dyDescent="0.3">
      <c r="A588" t="str">
        <f>"20200111145925171"</f>
        <v>20200111145925171</v>
      </c>
      <c r="B588" t="str">
        <f>"1578725965166296"</f>
        <v>1578725965166296</v>
      </c>
      <c r="C588" t="s">
        <v>40</v>
      </c>
      <c r="D588">
        <v>4.0767939999999996</v>
      </c>
      <c r="E588">
        <v>0.57269590000000004</v>
      </c>
      <c r="F588" t="s">
        <v>43</v>
      </c>
      <c r="G588">
        <v>-406.71539999999999</v>
      </c>
      <c r="H588">
        <v>-0.05</v>
      </c>
      <c r="I588">
        <v>365.46</v>
      </c>
      <c r="J588">
        <v>-431.91930000000002</v>
      </c>
      <c r="K588">
        <v>1.0544009999999999</v>
      </c>
      <c r="L588">
        <v>367.17619999999999</v>
      </c>
      <c r="M588">
        <v>0.99993770000000004</v>
      </c>
      <c r="N588">
        <v>0</v>
      </c>
      <c r="O588">
        <v>5.8161769999999996E-3</v>
      </c>
      <c r="P588">
        <v>0.99214590000000003</v>
      </c>
      <c r="Q588">
        <v>2.4077580000000001E-2</v>
      </c>
      <c r="R588">
        <v>0.12274740000000001</v>
      </c>
      <c r="S588">
        <v>3.052063</v>
      </c>
      <c r="T588">
        <v>-0.133238</v>
      </c>
      <c r="U588">
        <v>-0.20697019999999999</v>
      </c>
      <c r="V588">
        <v>-0.1169728</v>
      </c>
      <c r="W588">
        <v>3.3548559999999998E-2</v>
      </c>
      <c r="X588">
        <v>0.99256829999999996</v>
      </c>
      <c r="Y588">
        <v>7.3384690000000002E-2</v>
      </c>
      <c r="Z588">
        <v>-1.852727E-3</v>
      </c>
      <c r="AA588">
        <v>0.99730200000000002</v>
      </c>
      <c r="AB588">
        <v>16</v>
      </c>
      <c r="AC588">
        <v>25.203900000000001</v>
      </c>
      <c r="AD588">
        <v>-1.104401</v>
      </c>
      <c r="AE588">
        <v>-1.7162000000000099</v>
      </c>
      <c r="AF588">
        <v>1.8592146110904699</v>
      </c>
      <c r="AG588">
        <v>-1.104401</v>
      </c>
      <c r="AH588">
        <v>25.145433205499302</v>
      </c>
      <c r="AI588">
        <v>92.508007951056001</v>
      </c>
      <c r="AJ588">
        <v>85.771332981764203</v>
      </c>
      <c r="AK588">
        <v>25.238248584858699</v>
      </c>
      <c r="AL588">
        <v>88.077448320712804</v>
      </c>
      <c r="AM588">
        <v>96.721227234657306</v>
      </c>
      <c r="AN588">
        <v>0.99999998599140105</v>
      </c>
    </row>
    <row r="589" spans="1:40" x14ac:dyDescent="0.3">
      <c r="A589" t="str">
        <f>"20200111145925183"</f>
        <v>20200111145925183</v>
      </c>
      <c r="B589" t="str">
        <f>"1578725965176057"</f>
        <v>1578725965176057</v>
      </c>
      <c r="C589" t="s">
        <v>40</v>
      </c>
      <c r="D589">
        <v>4.0879260000000004</v>
      </c>
      <c r="E589">
        <v>0.57285379999999997</v>
      </c>
      <c r="F589" t="s">
        <v>43</v>
      </c>
      <c r="G589">
        <v>-406.1694</v>
      </c>
      <c r="H589">
        <v>-0.05</v>
      </c>
      <c r="I589">
        <v>365.42930000000001</v>
      </c>
      <c r="J589">
        <v>-431.82670000000002</v>
      </c>
      <c r="K589">
        <v>1.0543800000000001</v>
      </c>
      <c r="L589">
        <v>367.17680000000001</v>
      </c>
      <c r="M589">
        <v>0.99993739999999998</v>
      </c>
      <c r="N589">
        <v>0</v>
      </c>
      <c r="O589">
        <v>5.852065E-3</v>
      </c>
      <c r="P589">
        <v>0.99205480000000001</v>
      </c>
      <c r="Q589">
        <v>2.4027840000000002E-2</v>
      </c>
      <c r="R589">
        <v>0.123491</v>
      </c>
      <c r="S589">
        <v>3.052521</v>
      </c>
      <c r="T589">
        <v>-0.13092119999999999</v>
      </c>
      <c r="U589">
        <v>-0.20709230000000001</v>
      </c>
      <c r="V589">
        <v>-0.11767950000000001</v>
      </c>
      <c r="W589">
        <v>3.3506149999999998E-2</v>
      </c>
      <c r="X589">
        <v>0.99248619999999999</v>
      </c>
      <c r="Y589">
        <v>7.3452619999999996E-2</v>
      </c>
      <c r="Z589">
        <v>-1.823259E-3</v>
      </c>
      <c r="AA589">
        <v>0.99729699999999999</v>
      </c>
      <c r="AB589">
        <v>16</v>
      </c>
      <c r="AC589">
        <v>25.657299999999999</v>
      </c>
      <c r="AD589">
        <v>-1.1043799999999999</v>
      </c>
      <c r="AE589">
        <v>-1.7475000000000001</v>
      </c>
      <c r="AF589">
        <v>1.8941319543817501</v>
      </c>
      <c r="AG589">
        <v>-1.1043799999999999</v>
      </c>
      <c r="AH589">
        <v>25.599423520397</v>
      </c>
      <c r="AI589">
        <v>92.463528906784902</v>
      </c>
      <c r="AJ589">
        <v>85.768327900182996</v>
      </c>
      <c r="AK589">
        <v>25.693148417849901</v>
      </c>
      <c r="AL589">
        <v>88.079879613162007</v>
      </c>
      <c r="AM589">
        <v>96.762013335075693</v>
      </c>
      <c r="AN589">
        <v>0.99999999199925604</v>
      </c>
    </row>
    <row r="590" spans="1:40" x14ac:dyDescent="0.3">
      <c r="A590" t="str">
        <f>"20200111145925194"</f>
        <v>20200111145925194</v>
      </c>
      <c r="B590" t="str">
        <f>"1578725965186792"</f>
        <v>1578725965186792</v>
      </c>
      <c r="C590" t="s">
        <v>40</v>
      </c>
      <c r="D590">
        <v>4.0920069999999997</v>
      </c>
      <c r="E590">
        <v>0.57297810000000005</v>
      </c>
      <c r="F590" t="s">
        <v>43</v>
      </c>
      <c r="G590">
        <v>-406.15190000000001</v>
      </c>
      <c r="H590">
        <v>-0.05</v>
      </c>
      <c r="I590">
        <v>365.44439999999997</v>
      </c>
      <c r="J590">
        <v>-431.73719999999997</v>
      </c>
      <c r="K590">
        <v>1.0543629999999999</v>
      </c>
      <c r="L590">
        <v>367.17739999999998</v>
      </c>
      <c r="M590">
        <v>0.99993719999999997</v>
      </c>
      <c r="N590">
        <v>0</v>
      </c>
      <c r="O590">
        <v>5.8657889999999997E-3</v>
      </c>
      <c r="P590">
        <v>0.99197709999999995</v>
      </c>
      <c r="Q590">
        <v>2.3839470000000001E-2</v>
      </c>
      <c r="R590">
        <v>0.124149</v>
      </c>
      <c r="S590">
        <v>3.0528870000000001</v>
      </c>
      <c r="T590">
        <v>-0.1313174</v>
      </c>
      <c r="U590">
        <v>-0.2059937</v>
      </c>
      <c r="V590">
        <v>-0.11832330000000001</v>
      </c>
      <c r="W590">
        <v>3.3327910000000002E-2</v>
      </c>
      <c r="X590">
        <v>0.99241570000000001</v>
      </c>
      <c r="Y590">
        <v>7.3100849999999995E-2</v>
      </c>
      <c r="Z590">
        <v>-1.82161E-3</v>
      </c>
      <c r="AA590">
        <v>0.99732290000000001</v>
      </c>
      <c r="AB590">
        <v>16</v>
      </c>
      <c r="AC590">
        <v>25.585299999999901</v>
      </c>
      <c r="AD590">
        <v>-1.104363</v>
      </c>
      <c r="AE590">
        <v>-1.7330000000000001</v>
      </c>
      <c r="AF590">
        <v>1.8795691127343099</v>
      </c>
      <c r="AG590">
        <v>-1.104363</v>
      </c>
      <c r="AH590">
        <v>25.527350407082501</v>
      </c>
      <c r="AI590">
        <v>92.470503262782501</v>
      </c>
      <c r="AJ590">
        <v>85.788932400249095</v>
      </c>
      <c r="AK590">
        <v>25.620265738108301</v>
      </c>
      <c r="AL590">
        <v>88.090097806330803</v>
      </c>
      <c r="AM590">
        <v>96.799140006271401</v>
      </c>
      <c r="AN590">
        <v>1.00000003725717</v>
      </c>
    </row>
    <row r="591" spans="1:40" x14ac:dyDescent="0.3">
      <c r="A591" t="str">
        <f>"20200111145925213"</f>
        <v>20200111145925213</v>
      </c>
      <c r="B591" t="str">
        <f>"1578725965206004"</f>
        <v>1578725965206004</v>
      </c>
      <c r="C591" t="s">
        <v>40</v>
      </c>
      <c r="D591">
        <v>4.0679679999999996</v>
      </c>
      <c r="E591">
        <v>0.57314180000000003</v>
      </c>
      <c r="F591" t="s">
        <v>43</v>
      </c>
      <c r="G591">
        <v>-406.22710000000001</v>
      </c>
      <c r="H591">
        <v>-0.05</v>
      </c>
      <c r="I591">
        <v>365.46589999999998</v>
      </c>
      <c r="J591">
        <v>-431.60309999999998</v>
      </c>
      <c r="K591">
        <v>1.0543359999999999</v>
      </c>
      <c r="L591">
        <v>367.1782</v>
      </c>
      <c r="M591">
        <v>0.99993719999999997</v>
      </c>
      <c r="N591">
        <v>0</v>
      </c>
      <c r="O591">
        <v>5.8660229999999997E-3</v>
      </c>
      <c r="P591">
        <v>0.99193249999999999</v>
      </c>
      <c r="Q591">
        <v>2.3236050000000001E-2</v>
      </c>
      <c r="R591">
        <v>0.1246202</v>
      </c>
      <c r="S591">
        <v>3.05307</v>
      </c>
      <c r="T591">
        <v>-0.1321707</v>
      </c>
      <c r="U591">
        <v>-0.20483399999999999</v>
      </c>
      <c r="V591">
        <v>-0.1187932</v>
      </c>
      <c r="W591">
        <v>3.2746480000000001E-2</v>
      </c>
      <c r="X591">
        <v>0.99237889999999995</v>
      </c>
      <c r="Y591">
        <v>7.271938E-2</v>
      </c>
      <c r="Z591">
        <v>-1.825115E-3</v>
      </c>
      <c r="AA591">
        <v>0.99735079999999998</v>
      </c>
      <c r="AB591">
        <v>16</v>
      </c>
      <c r="AC591">
        <v>25.375999999999902</v>
      </c>
      <c r="AD591">
        <v>-1.104336</v>
      </c>
      <c r="AE591">
        <v>-1.7123000000000199</v>
      </c>
      <c r="AF591">
        <v>1.85763130928538</v>
      </c>
      <c r="AG591">
        <v>-1.104336</v>
      </c>
      <c r="AH591">
        <v>25.317786586707701</v>
      </c>
      <c r="AI591">
        <v>92.490912721479503</v>
      </c>
      <c r="AJ591">
        <v>85.803580605878096</v>
      </c>
      <c r="AK591">
        <v>25.409853792027398</v>
      </c>
      <c r="AL591">
        <v>88.123429450885297</v>
      </c>
      <c r="AM591">
        <v>96.826138050603802</v>
      </c>
      <c r="AN591">
        <v>1.00000001874192</v>
      </c>
    </row>
    <row r="592" spans="1:40" x14ac:dyDescent="0.3">
      <c r="A592" t="str">
        <f>"20200111145925226"</f>
        <v>20200111145925226</v>
      </c>
      <c r="B592" t="str">
        <f>"1578725965216740"</f>
        <v>1578725965216740</v>
      </c>
      <c r="C592" t="s">
        <v>40</v>
      </c>
      <c r="D592">
        <v>4.1039940000000001</v>
      </c>
      <c r="E592">
        <v>0.57324180000000002</v>
      </c>
      <c r="F592" t="s">
        <v>43</v>
      </c>
      <c r="G592">
        <v>-407.12520000000001</v>
      </c>
      <c r="H592">
        <v>-0.05</v>
      </c>
      <c r="I592">
        <v>365.53969999999998</v>
      </c>
      <c r="J592">
        <v>-431.51369999999997</v>
      </c>
      <c r="K592">
        <v>1.054327</v>
      </c>
      <c r="L592">
        <v>367.17869999999999</v>
      </c>
      <c r="M592">
        <v>0.99993699999999996</v>
      </c>
      <c r="N592">
        <v>0</v>
      </c>
      <c r="O592">
        <v>5.8550679999999997E-3</v>
      </c>
      <c r="P592">
        <v>0.99192579999999997</v>
      </c>
      <c r="Q592">
        <v>2.2938500000000001E-2</v>
      </c>
      <c r="R592">
        <v>0.1247274</v>
      </c>
      <c r="S592">
        <v>3.0532530000000002</v>
      </c>
      <c r="T592">
        <v>-0.13774910000000001</v>
      </c>
      <c r="U592">
        <v>-0.20437620000000001</v>
      </c>
      <c r="V592">
        <v>-0.11891069999999999</v>
      </c>
      <c r="W592">
        <v>3.2464350000000003E-2</v>
      </c>
      <c r="X592">
        <v>0.99237410000000004</v>
      </c>
      <c r="Y592">
        <v>7.2549459999999996E-2</v>
      </c>
      <c r="Z592">
        <v>-1.8976450000000001E-3</v>
      </c>
      <c r="AA592">
        <v>0.997363</v>
      </c>
      <c r="AB592">
        <v>16</v>
      </c>
      <c r="AC592">
        <v>24.388499999999901</v>
      </c>
      <c r="AD592">
        <v>-1.1043270000000001</v>
      </c>
      <c r="AE592">
        <v>-1.63900000000001</v>
      </c>
      <c r="AF592">
        <v>1.77814537264946</v>
      </c>
      <c r="AG592">
        <v>-1.1043270000000001</v>
      </c>
      <c r="AH592">
        <v>24.328827004838999</v>
      </c>
      <c r="AI592">
        <v>92.592064738134496</v>
      </c>
      <c r="AJ592">
        <v>85.819798686232204</v>
      </c>
      <c r="AK592">
        <v>24.418705176986499</v>
      </c>
      <c r="AL592">
        <v>88.139602913386</v>
      </c>
      <c r="AM592">
        <v>96.8328588127995</v>
      </c>
      <c r="AN592">
        <v>1.00000002147311</v>
      </c>
    </row>
    <row r="593" spans="1:40" x14ac:dyDescent="0.3">
      <c r="A593" t="str">
        <f>"20200111145925238"</f>
        <v>20200111145925238</v>
      </c>
      <c r="B593" t="str">
        <f>"1578725965226501"</f>
        <v>1578725965226501</v>
      </c>
      <c r="C593" t="s">
        <v>40</v>
      </c>
      <c r="D593">
        <v>4.0477480000000003</v>
      </c>
      <c r="E593">
        <v>0.57318409999999997</v>
      </c>
      <c r="F593" t="s">
        <v>43</v>
      </c>
      <c r="G593">
        <v>-407.45620000000002</v>
      </c>
      <c r="H593">
        <v>-0.05</v>
      </c>
      <c r="I593">
        <v>365.56630000000001</v>
      </c>
      <c r="J593">
        <v>-431.42469999999997</v>
      </c>
      <c r="K593">
        <v>1.0543229999999999</v>
      </c>
      <c r="L593">
        <v>367.17919999999998</v>
      </c>
      <c r="M593">
        <v>0.99993710000000002</v>
      </c>
      <c r="N593">
        <v>0</v>
      </c>
      <c r="O593">
        <v>5.8362789999999998E-3</v>
      </c>
      <c r="P593">
        <v>0.99198589999999998</v>
      </c>
      <c r="Q593">
        <v>2.2751420000000001E-2</v>
      </c>
      <c r="R593">
        <v>0.1242839</v>
      </c>
      <c r="S593">
        <v>3.0534059999999998</v>
      </c>
      <c r="T593">
        <v>-0.1401628</v>
      </c>
      <c r="U593">
        <v>-0.2046509</v>
      </c>
      <c r="V593">
        <v>-0.1184854</v>
      </c>
      <c r="W593">
        <v>3.2293250000000003E-2</v>
      </c>
      <c r="X593">
        <v>0.99243049999999999</v>
      </c>
      <c r="Y593">
        <v>7.2613880000000006E-2</v>
      </c>
      <c r="Z593">
        <v>-1.9313749999999999E-3</v>
      </c>
      <c r="AA593">
        <v>0.99735830000000003</v>
      </c>
      <c r="AB593">
        <v>16</v>
      </c>
      <c r="AC593">
        <v>23.968499999999899</v>
      </c>
      <c r="AD593">
        <v>-1.1043229999999999</v>
      </c>
      <c r="AE593">
        <v>-1.61289999999996</v>
      </c>
      <c r="AF593">
        <v>1.74906959779296</v>
      </c>
      <c r="AG593">
        <v>-1.1043229999999999</v>
      </c>
      <c r="AH593">
        <v>23.908154369673898</v>
      </c>
      <c r="AI593">
        <v>92.637586278495306</v>
      </c>
      <c r="AJ593">
        <v>85.815816995498693</v>
      </c>
      <c r="AK593">
        <v>23.997471098230601</v>
      </c>
      <c r="AL593">
        <v>88.149411269885405</v>
      </c>
      <c r="AM593">
        <v>96.808266703953294</v>
      </c>
      <c r="AN593">
        <v>0.99999997066948498</v>
      </c>
    </row>
    <row r="594" spans="1:40" x14ac:dyDescent="0.3">
      <c r="A594" t="str">
        <f>"20200111145925251"</f>
        <v>20200111145925251</v>
      </c>
      <c r="B594" t="str">
        <f>"1578725965246021"</f>
        <v>1578725965246021</v>
      </c>
      <c r="C594" t="s">
        <v>40</v>
      </c>
      <c r="D594">
        <v>4.0268379999999997</v>
      </c>
      <c r="E594">
        <v>0.57323619999999897</v>
      </c>
      <c r="F594" t="s">
        <v>43</v>
      </c>
      <c r="G594">
        <v>-407.5883</v>
      </c>
      <c r="H594">
        <v>-0.05</v>
      </c>
      <c r="I594">
        <v>365.57530000000003</v>
      </c>
      <c r="J594">
        <v>-431.33069999999998</v>
      </c>
      <c r="K594">
        <v>1.0543260000000001</v>
      </c>
      <c r="L594">
        <v>367.17970000000003</v>
      </c>
      <c r="M594">
        <v>0.99993710000000002</v>
      </c>
      <c r="N594">
        <v>0</v>
      </c>
      <c r="O594">
        <v>5.8081219999999998E-3</v>
      </c>
      <c r="P594">
        <v>0.99200889999999997</v>
      </c>
      <c r="Q594">
        <v>2.2758670000000002E-2</v>
      </c>
      <c r="R594">
        <v>0.1240995</v>
      </c>
      <c r="S594">
        <v>3.0531920000000001</v>
      </c>
      <c r="T594">
        <v>-0.14145260000000001</v>
      </c>
      <c r="U594">
        <v>-0.2054443</v>
      </c>
      <c r="V594">
        <v>-0.11832819999999999</v>
      </c>
      <c r="W594">
        <v>3.2315650000000001E-2</v>
      </c>
      <c r="X594">
        <v>0.99244860000000001</v>
      </c>
      <c r="Y594">
        <v>7.2846720000000004E-2</v>
      </c>
      <c r="Z594">
        <v>-1.9533300000000001E-3</v>
      </c>
      <c r="AA594">
        <v>0.99734120000000004</v>
      </c>
      <c r="AB594">
        <v>16</v>
      </c>
      <c r="AC594">
        <v>23.7423999999999</v>
      </c>
      <c r="AD594">
        <v>-1.1043259999999999</v>
      </c>
      <c r="AE594">
        <v>-1.6043999999999901</v>
      </c>
      <c r="AF594">
        <v>1.73853391850127</v>
      </c>
      <c r="AG594">
        <v>-1.1043259999999999</v>
      </c>
      <c r="AH594">
        <v>23.681679453729299</v>
      </c>
      <c r="AI594">
        <v>92.662732013860506</v>
      </c>
      <c r="AJ594">
        <v>85.801299266090197</v>
      </c>
      <c r="AK594">
        <v>23.7710743940874</v>
      </c>
      <c r="AL594">
        <v>88.1481273098386</v>
      </c>
      <c r="AM594">
        <v>96.799195643143804</v>
      </c>
      <c r="AN594">
        <v>1.0000000438960599</v>
      </c>
    </row>
    <row r="595" spans="1:40" x14ac:dyDescent="0.3">
      <c r="A595" t="str">
        <f>"20200111145925263"</f>
        <v>20200111145925263</v>
      </c>
      <c r="B595" t="str">
        <f>"1578725965256756"</f>
        <v>1578725965256756</v>
      </c>
      <c r="C595" t="s">
        <v>40</v>
      </c>
      <c r="D595">
        <v>4.0940269999999996</v>
      </c>
      <c r="E595">
        <v>0.573272</v>
      </c>
      <c r="F595" t="s">
        <v>43</v>
      </c>
      <c r="G595">
        <v>-407.7919</v>
      </c>
      <c r="H595">
        <v>-0.05</v>
      </c>
      <c r="I595">
        <v>365.58760000000001</v>
      </c>
      <c r="J595">
        <v>-431.23450000000003</v>
      </c>
      <c r="K595">
        <v>1.054327</v>
      </c>
      <c r="L595">
        <v>367.18020000000001</v>
      </c>
      <c r="M595">
        <v>0.99993710000000002</v>
      </c>
      <c r="N595">
        <v>0</v>
      </c>
      <c r="O595">
        <v>5.7761160000000004E-3</v>
      </c>
      <c r="P595">
        <v>0.99211499999999997</v>
      </c>
      <c r="Q595">
        <v>2.2993039999999999E-2</v>
      </c>
      <c r="R595">
        <v>0.1232048</v>
      </c>
      <c r="S595">
        <v>3.0532840000000001</v>
      </c>
      <c r="T595">
        <v>-0.14324529999999999</v>
      </c>
      <c r="U595">
        <v>-0.20651249999999999</v>
      </c>
      <c r="V595">
        <v>-0.117465</v>
      </c>
      <c r="W595">
        <v>3.2565379999999998E-2</v>
      </c>
      <c r="X595">
        <v>0.99254290000000001</v>
      </c>
      <c r="Y595">
        <v>7.3157650000000005E-2</v>
      </c>
      <c r="Z595">
        <v>-1.9837589999999999E-3</v>
      </c>
      <c r="AA595">
        <v>0.99731840000000005</v>
      </c>
      <c r="AB595">
        <v>16</v>
      </c>
      <c r="AC595">
        <v>23.442599999999999</v>
      </c>
      <c r="AD595">
        <v>-1.1043270000000001</v>
      </c>
      <c r="AE595">
        <v>-1.5926</v>
      </c>
      <c r="AF595">
        <v>1.7241782580585601</v>
      </c>
      <c r="AG595">
        <v>-1.1043270000000001</v>
      </c>
      <c r="AH595">
        <v>23.3813613917849</v>
      </c>
      <c r="AI595">
        <v>92.6968204765016</v>
      </c>
      <c r="AJ595">
        <v>85.782552879039102</v>
      </c>
      <c r="AK595">
        <v>23.470841257222599</v>
      </c>
      <c r="AL595">
        <v>88.133811161122395</v>
      </c>
      <c r="AM595">
        <v>96.749419685003403</v>
      </c>
      <c r="AN595">
        <v>0.99999996926997603</v>
      </c>
    </row>
    <row r="596" spans="1:40" x14ac:dyDescent="0.3">
      <c r="A596" t="str">
        <f>"20200111145925280"</f>
        <v>20200111145925280</v>
      </c>
      <c r="B596" t="str">
        <f>"1578725965276276"</f>
        <v>1578725965276276</v>
      </c>
      <c r="C596" t="s">
        <v>40</v>
      </c>
      <c r="D596">
        <v>4.0459969999999998</v>
      </c>
      <c r="E596">
        <v>0.57324919999999902</v>
      </c>
      <c r="F596" t="s">
        <v>43</v>
      </c>
      <c r="G596">
        <v>-407.75740000000002</v>
      </c>
      <c r="H596">
        <v>-0.05</v>
      </c>
      <c r="I596">
        <v>365.56849999999997</v>
      </c>
      <c r="J596">
        <v>-431.11959999999999</v>
      </c>
      <c r="K596">
        <v>1.0543359999999999</v>
      </c>
      <c r="L596">
        <v>367.18079999999998</v>
      </c>
      <c r="M596">
        <v>0.99993719999999997</v>
      </c>
      <c r="N596">
        <v>0</v>
      </c>
      <c r="O596">
        <v>5.7334129999999997E-3</v>
      </c>
      <c r="P596">
        <v>0.99238769999999998</v>
      </c>
      <c r="Q596">
        <v>2.292775E-2</v>
      </c>
      <c r="R596">
        <v>0.12099989999999999</v>
      </c>
      <c r="S596">
        <v>3.0531920000000001</v>
      </c>
      <c r="T596">
        <v>-0.14361750000000001</v>
      </c>
      <c r="U596">
        <v>-0.20959469999999999</v>
      </c>
      <c r="V596">
        <v>-0.1153011</v>
      </c>
      <c r="W596">
        <v>3.251772E-2</v>
      </c>
      <c r="X596">
        <v>0.99279819999999996</v>
      </c>
      <c r="Y596">
        <v>7.4117760000000005E-2</v>
      </c>
      <c r="Z596">
        <v>-2.009435E-3</v>
      </c>
      <c r="AA596">
        <v>0.99724749999999995</v>
      </c>
      <c r="AB596">
        <v>16</v>
      </c>
      <c r="AC596">
        <v>23.362199999999898</v>
      </c>
      <c r="AD596">
        <v>-1.104336</v>
      </c>
      <c r="AE596">
        <v>-1.6123000000000001</v>
      </c>
      <c r="AF596">
        <v>1.7423500709481401</v>
      </c>
      <c r="AG596">
        <v>-1.104336</v>
      </c>
      <c r="AH596">
        <v>23.300753480365898</v>
      </c>
      <c r="AI596">
        <v>92.705951651396205</v>
      </c>
      <c r="AJ596">
        <v>85.723577735451798</v>
      </c>
      <c r="AK596">
        <v>23.391888648063698</v>
      </c>
      <c r="AL596">
        <v>88.136543393245205</v>
      </c>
      <c r="AM596">
        <v>96.624511289829002</v>
      </c>
      <c r="AN596">
        <v>1.00000000584922</v>
      </c>
    </row>
    <row r="597" spans="1:40" x14ac:dyDescent="0.3">
      <c r="A597" t="str">
        <f>"20200111145925292"</f>
        <v>20200111145925292</v>
      </c>
      <c r="B597" t="str">
        <f>"1578725965286036"</f>
        <v>1578725965286036</v>
      </c>
      <c r="C597" t="s">
        <v>40</v>
      </c>
      <c r="D597">
        <v>4.0338969999999996</v>
      </c>
      <c r="E597">
        <v>0.57321369999999905</v>
      </c>
      <c r="F597" t="s">
        <v>43</v>
      </c>
      <c r="G597">
        <v>-408.10739999999998</v>
      </c>
      <c r="H597">
        <v>-0.05</v>
      </c>
      <c r="I597">
        <v>365.5532</v>
      </c>
      <c r="J597">
        <v>-431.02910000000003</v>
      </c>
      <c r="K597">
        <v>1.0543419999999999</v>
      </c>
      <c r="L597">
        <v>367.18130000000002</v>
      </c>
      <c r="M597">
        <v>0.99993730000000003</v>
      </c>
      <c r="N597">
        <v>0</v>
      </c>
      <c r="O597">
        <v>5.69915E-3</v>
      </c>
      <c r="P597">
        <v>0.99257220000000002</v>
      </c>
      <c r="Q597">
        <v>2.2981290000000001E-2</v>
      </c>
      <c r="R597">
        <v>0.1194675</v>
      </c>
      <c r="S597">
        <v>3.0527340000000001</v>
      </c>
      <c r="T597">
        <v>-0.14649799999999999</v>
      </c>
      <c r="U597">
        <v>-0.21591189999999999</v>
      </c>
      <c r="V597">
        <v>-0.1138028</v>
      </c>
      <c r="W597">
        <v>3.258349E-2</v>
      </c>
      <c r="X597">
        <v>0.99296890000000004</v>
      </c>
      <c r="Y597">
        <v>7.6141490000000006E-2</v>
      </c>
      <c r="Z597">
        <v>-2.096681E-3</v>
      </c>
      <c r="AA597">
        <v>0.99709479999999995</v>
      </c>
      <c r="AB597">
        <v>16</v>
      </c>
      <c r="AC597">
        <v>22.921700000000001</v>
      </c>
      <c r="AD597">
        <v>-1.1043419999999999</v>
      </c>
      <c r="AE597">
        <v>-1.6281000000000101</v>
      </c>
      <c r="AF597">
        <v>1.7546613488168601</v>
      </c>
      <c r="AG597">
        <v>-1.1043419999999999</v>
      </c>
      <c r="AH597">
        <v>22.859253828447301</v>
      </c>
      <c r="AI597">
        <v>92.757737624603195</v>
      </c>
      <c r="AJ597">
        <v>85.610620732220596</v>
      </c>
      <c r="AK597">
        <v>22.953080257241702</v>
      </c>
      <c r="AL597">
        <v>88.132773038618097</v>
      </c>
      <c r="AM597">
        <v>96.538063954317096</v>
      </c>
      <c r="AN597">
        <v>0.99999999873781498</v>
      </c>
    </row>
    <row r="598" spans="1:40" x14ac:dyDescent="0.3">
      <c r="A598" t="str">
        <f>"20200111145925305"</f>
        <v>20200111145925305</v>
      </c>
      <c r="B598" t="str">
        <f>"1578725965296772"</f>
        <v>1578725965296772</v>
      </c>
      <c r="C598" t="s">
        <v>40</v>
      </c>
      <c r="D598">
        <v>4.0655950000000001</v>
      </c>
      <c r="E598">
        <v>0.57325179999999998</v>
      </c>
      <c r="F598" t="s">
        <v>43</v>
      </c>
      <c r="G598">
        <v>-408.19139999999999</v>
      </c>
      <c r="H598">
        <v>-0.05</v>
      </c>
      <c r="I598">
        <v>365.53320000000002</v>
      </c>
      <c r="J598">
        <v>-430.93029999999999</v>
      </c>
      <c r="K598">
        <v>1.054349</v>
      </c>
      <c r="L598">
        <v>367.18180000000001</v>
      </c>
      <c r="M598">
        <v>0.99993730000000003</v>
      </c>
      <c r="N598">
        <v>0</v>
      </c>
      <c r="O598">
        <v>5.6631659999999999E-3</v>
      </c>
      <c r="P598">
        <v>0.99272329999999998</v>
      </c>
      <c r="Q598">
        <v>2.3130749999999999E-2</v>
      </c>
      <c r="R598">
        <v>0.1181745</v>
      </c>
      <c r="S598">
        <v>3.0523380000000002</v>
      </c>
      <c r="T598">
        <v>-0.14759900000000001</v>
      </c>
      <c r="U598">
        <v>-0.2202759</v>
      </c>
      <c r="V598">
        <v>-0.1125451</v>
      </c>
      <c r="W598">
        <v>3.2745530000000002E-2</v>
      </c>
      <c r="X598">
        <v>0.99310690000000001</v>
      </c>
      <c r="Y598">
        <v>7.7529970000000004E-2</v>
      </c>
      <c r="Z598">
        <v>-2.1443579999999999E-3</v>
      </c>
      <c r="AA598">
        <v>0.99698770000000003</v>
      </c>
      <c r="AB598">
        <v>16</v>
      </c>
      <c r="AC598">
        <v>22.738900000000001</v>
      </c>
      <c r="AD598">
        <v>-1.104349</v>
      </c>
      <c r="AE598">
        <v>-1.6485999999999801</v>
      </c>
      <c r="AF598">
        <v>1.7731931642359899</v>
      </c>
      <c r="AG598">
        <v>-1.104349</v>
      </c>
      <c r="AH598">
        <v>22.6759922777158</v>
      </c>
      <c r="AI598">
        <v>92.779700427925903</v>
      </c>
      <c r="AJ598">
        <v>85.528744217187494</v>
      </c>
      <c r="AK598">
        <v>22.772009715669</v>
      </c>
      <c r="AL598">
        <v>88.123483860972499</v>
      </c>
      <c r="AM598">
        <v>96.465532492445405</v>
      </c>
      <c r="AN598">
        <v>0.99999999204830003</v>
      </c>
    </row>
    <row r="599" spans="1:40" x14ac:dyDescent="0.3">
      <c r="A599" t="str">
        <f>"20200111145925318"</f>
        <v>20200111145925318</v>
      </c>
      <c r="B599" t="str">
        <f>"1578725965306532"</f>
        <v>1578725965306532</v>
      </c>
      <c r="C599" t="s">
        <v>40</v>
      </c>
      <c r="D599">
        <v>4.081226</v>
      </c>
      <c r="E599">
        <v>0.57327399999999995</v>
      </c>
      <c r="F599" t="s">
        <v>43</v>
      </c>
      <c r="G599">
        <v>-408.17720000000003</v>
      </c>
      <c r="H599">
        <v>-0.05</v>
      </c>
      <c r="I599">
        <v>365.50700000000001</v>
      </c>
      <c r="J599">
        <v>-430.83780000000002</v>
      </c>
      <c r="K599">
        <v>1.0543559999999901</v>
      </c>
      <c r="L599">
        <v>367.1823</v>
      </c>
      <c r="M599">
        <v>0.99993739999999998</v>
      </c>
      <c r="N599">
        <v>0</v>
      </c>
      <c r="O599">
        <v>5.63124E-3</v>
      </c>
      <c r="P599">
        <v>0.99284340000000004</v>
      </c>
      <c r="Q599">
        <v>2.3359850000000001E-2</v>
      </c>
      <c r="R599">
        <v>0.1171174</v>
      </c>
      <c r="S599">
        <v>3.052216</v>
      </c>
      <c r="T599">
        <v>-0.14814279999999999</v>
      </c>
      <c r="U599">
        <v>-0.22467039999999999</v>
      </c>
      <c r="V599">
        <v>-0.1115193</v>
      </c>
      <c r="W599">
        <v>3.2985729999999998E-2</v>
      </c>
      <c r="X599">
        <v>0.99321470000000001</v>
      </c>
      <c r="Y599">
        <v>7.8926490000000002E-2</v>
      </c>
      <c r="Z599">
        <v>-2.1845020000000001E-3</v>
      </c>
      <c r="AA599">
        <v>0.99687800000000004</v>
      </c>
      <c r="AB599">
        <v>16</v>
      </c>
      <c r="AC599">
        <v>22.660599999999899</v>
      </c>
      <c r="AD599">
        <v>-1.1043559999999999</v>
      </c>
      <c r="AE599">
        <v>-1.67530000000004</v>
      </c>
      <c r="AF599">
        <v>1.7986380176435699</v>
      </c>
      <c r="AG599">
        <v>-1.1043559999999999</v>
      </c>
      <c r="AH599">
        <v>22.597427616984699</v>
      </c>
      <c r="AI599">
        <v>92.789061824380298</v>
      </c>
      <c r="AJ599">
        <v>85.449147372187994</v>
      </c>
      <c r="AK599">
        <v>22.6957801319565</v>
      </c>
      <c r="AL599">
        <v>88.109714040915193</v>
      </c>
      <c r="AM599">
        <v>96.406404606620697</v>
      </c>
      <c r="AN599">
        <v>1.0000000264761</v>
      </c>
    </row>
    <row r="600" spans="1:40" x14ac:dyDescent="0.3">
      <c r="A600" t="str">
        <f>"20200111145925329"</f>
        <v>20200111145925329</v>
      </c>
      <c r="B600" t="str">
        <f>"1578725965326052"</f>
        <v>1578725965326052</v>
      </c>
      <c r="C600" t="s">
        <v>40</v>
      </c>
      <c r="D600">
        <v>4.0417899999999998</v>
      </c>
      <c r="E600">
        <v>0.57318469999999999</v>
      </c>
      <c r="F600" t="s">
        <v>43</v>
      </c>
      <c r="G600">
        <v>-407.97730000000001</v>
      </c>
      <c r="H600">
        <v>-0.05</v>
      </c>
      <c r="I600">
        <v>365.47519999999997</v>
      </c>
      <c r="J600">
        <v>-430.74889999999999</v>
      </c>
      <c r="K600">
        <v>1.0543629999999999</v>
      </c>
      <c r="L600">
        <v>367.18279999999999</v>
      </c>
      <c r="M600">
        <v>0.99993739999999998</v>
      </c>
      <c r="N600">
        <v>0</v>
      </c>
      <c r="O600">
        <v>5.6050340000000001E-3</v>
      </c>
      <c r="P600">
        <v>0.99290860000000003</v>
      </c>
      <c r="Q600">
        <v>2.3482360000000001E-2</v>
      </c>
      <c r="R600">
        <v>0.1165374</v>
      </c>
      <c r="S600">
        <v>3.051971</v>
      </c>
      <c r="T600">
        <v>-0.14743589999999901</v>
      </c>
      <c r="U600">
        <v>-0.22790530000000001</v>
      </c>
      <c r="V600">
        <v>-0.1109657</v>
      </c>
      <c r="W600">
        <v>3.311774E-2</v>
      </c>
      <c r="X600">
        <v>0.9932723</v>
      </c>
      <c r="Y600">
        <v>7.9956769999999996E-2</v>
      </c>
      <c r="Z600">
        <v>-2.197751E-3</v>
      </c>
      <c r="AA600">
        <v>0.99679589999999996</v>
      </c>
      <c r="AB600">
        <v>16</v>
      </c>
      <c r="AC600">
        <v>22.7715999999999</v>
      </c>
      <c r="AD600">
        <v>-1.104363</v>
      </c>
      <c r="AE600">
        <v>-1.70760000000001</v>
      </c>
      <c r="AF600">
        <v>1.8309324854256399</v>
      </c>
      <c r="AG600">
        <v>-1.104363</v>
      </c>
      <c r="AH600">
        <v>22.708558874598999</v>
      </c>
      <c r="AI600">
        <v>92.775223894297795</v>
      </c>
      <c r="AJ600">
        <v>85.390360687164403</v>
      </c>
      <c r="AK600">
        <v>22.809002116775801</v>
      </c>
      <c r="AL600">
        <v>88.102146271831799</v>
      </c>
      <c r="AM600">
        <v>96.374497989772607</v>
      </c>
      <c r="AN600">
        <v>1.0000000166132399</v>
      </c>
    </row>
    <row r="601" spans="1:40" x14ac:dyDescent="0.3">
      <c r="A601" t="str">
        <f>"20200111145925347"</f>
        <v>20200111145925347</v>
      </c>
      <c r="B601" t="str">
        <f>"1578725965336793"</f>
        <v>1578725965336793</v>
      </c>
      <c r="C601" t="s">
        <v>40</v>
      </c>
      <c r="D601">
        <v>4.0726000000000004</v>
      </c>
      <c r="E601">
        <v>0.57320170000000004</v>
      </c>
      <c r="F601" t="s">
        <v>43</v>
      </c>
      <c r="G601">
        <v>-407.9846</v>
      </c>
      <c r="H601">
        <v>-0.05</v>
      </c>
      <c r="I601">
        <v>365.47340000000003</v>
      </c>
      <c r="J601">
        <v>-430.62459999999999</v>
      </c>
      <c r="K601">
        <v>1.0543689999999999</v>
      </c>
      <c r="L601">
        <v>367.18349999999998</v>
      </c>
      <c r="M601">
        <v>0.99993750000000003</v>
      </c>
      <c r="N601">
        <v>0</v>
      </c>
      <c r="O601">
        <v>5.5731080000000002E-3</v>
      </c>
      <c r="P601">
        <v>0.99292630000000004</v>
      </c>
      <c r="Q601">
        <v>2.3778669999999998E-2</v>
      </c>
      <c r="R601">
        <v>0.11632770000000001</v>
      </c>
      <c r="S601">
        <v>3.0518190000000001</v>
      </c>
      <c r="T601">
        <v>-0.1480524</v>
      </c>
      <c r="U601">
        <v>-0.22915650000000001</v>
      </c>
      <c r="V601">
        <v>-0.11078739999999999</v>
      </c>
      <c r="W601">
        <v>3.3426560000000001E-2</v>
      </c>
      <c r="X601">
        <v>0.99328179999999999</v>
      </c>
      <c r="Y601">
        <v>8.0333790000000002E-2</v>
      </c>
      <c r="Z601">
        <v>-2.214588E-3</v>
      </c>
      <c r="AA601">
        <v>0.99676560000000003</v>
      </c>
      <c r="AB601">
        <v>17</v>
      </c>
      <c r="AC601">
        <v>22.639999999999901</v>
      </c>
      <c r="AD601">
        <v>-1.1043689999999999</v>
      </c>
      <c r="AE601">
        <v>-1.71009999999995</v>
      </c>
      <c r="AF601">
        <v>1.8319203077235</v>
      </c>
      <c r="AG601">
        <v>-1.1043689999999999</v>
      </c>
      <c r="AH601">
        <v>22.576702100462999</v>
      </c>
      <c r="AI601">
        <v>92.791306608948005</v>
      </c>
      <c r="AJ601">
        <v>85.361065092132407</v>
      </c>
      <c r="AK601">
        <v>22.677809432021</v>
      </c>
      <c r="AL601">
        <v>88.084442276051604</v>
      </c>
      <c r="AM601">
        <v>96.364279168490896</v>
      </c>
      <c r="AN601">
        <v>0.99999995856171497</v>
      </c>
    </row>
    <row r="602" spans="1:40" x14ac:dyDescent="0.3">
      <c r="A602" t="str">
        <f>"20200111145925359"</f>
        <v>20200111145925359</v>
      </c>
      <c r="B602" t="str">
        <f>"1578725965356308"</f>
        <v>1578725965356308</v>
      </c>
      <c r="C602" t="s">
        <v>40</v>
      </c>
      <c r="D602">
        <v>4.0657940000000004</v>
      </c>
      <c r="E602">
        <v>0.57315719999999903</v>
      </c>
      <c r="F602" t="s">
        <v>43</v>
      </c>
      <c r="G602">
        <v>-407.75880000000001</v>
      </c>
      <c r="H602">
        <v>-0.05</v>
      </c>
      <c r="I602">
        <v>365.459</v>
      </c>
      <c r="J602">
        <v>-430.52879999999999</v>
      </c>
      <c r="K602">
        <v>1.0543739999999999</v>
      </c>
      <c r="L602">
        <v>367.18400000000003</v>
      </c>
      <c r="M602">
        <v>0.99993750000000003</v>
      </c>
      <c r="N602">
        <v>0</v>
      </c>
      <c r="O602">
        <v>5.5527930000000003E-3</v>
      </c>
      <c r="P602">
        <v>0.99290270000000003</v>
      </c>
      <c r="Q602">
        <v>2.3814620000000002E-2</v>
      </c>
      <c r="R602">
        <v>0.116522</v>
      </c>
      <c r="S602">
        <v>3.0518489999999998</v>
      </c>
      <c r="T602">
        <v>-0.147398</v>
      </c>
      <c r="U602">
        <v>-0.2301636</v>
      </c>
      <c r="V602">
        <v>-0.1110027</v>
      </c>
      <c r="W602">
        <v>3.3471830000000001E-2</v>
      </c>
      <c r="X602">
        <v>0.99325629999999998</v>
      </c>
      <c r="Y602">
        <v>8.0640429999999999E-2</v>
      </c>
      <c r="Z602">
        <v>-2.211172E-3</v>
      </c>
      <c r="AA602">
        <v>0.99674079999999998</v>
      </c>
      <c r="AB602">
        <v>17</v>
      </c>
      <c r="AC602">
        <v>22.7699999999999</v>
      </c>
      <c r="AD602">
        <v>-1.104374</v>
      </c>
      <c r="AE602">
        <v>-1.7250000000000201</v>
      </c>
      <c r="AF602">
        <v>1.8470961879504999</v>
      </c>
      <c r="AG602">
        <v>-1.104374</v>
      </c>
      <c r="AH602">
        <v>22.7069594671154</v>
      </c>
      <c r="AI602">
        <v>92.775286695544807</v>
      </c>
      <c r="AJ602">
        <v>85.349517798146394</v>
      </c>
      <c r="AK602">
        <v>22.808713565228501</v>
      </c>
      <c r="AL602">
        <v>88.081847161943301</v>
      </c>
      <c r="AM602">
        <v>96.376707846838499</v>
      </c>
      <c r="AN602">
        <v>1.0000000201502599</v>
      </c>
    </row>
    <row r="603" spans="1:40" x14ac:dyDescent="0.3">
      <c r="A603" t="str">
        <f>"20200111145925372"</f>
        <v>20200111145925372</v>
      </c>
      <c r="B603" t="str">
        <f>"1578725965366068"</f>
        <v>1578725965366068</v>
      </c>
      <c r="C603" t="s">
        <v>40</v>
      </c>
      <c r="D603">
        <v>4.1207000000000003</v>
      </c>
      <c r="E603">
        <v>0.57313979999999998</v>
      </c>
      <c r="F603" t="s">
        <v>43</v>
      </c>
      <c r="G603">
        <v>-407.8116</v>
      </c>
      <c r="H603">
        <v>-0.05</v>
      </c>
      <c r="I603">
        <v>365.4778</v>
      </c>
      <c r="J603">
        <v>-430.42959999999999</v>
      </c>
      <c r="K603">
        <v>1.0543800000000001</v>
      </c>
      <c r="L603">
        <v>367.18450000000001</v>
      </c>
      <c r="M603">
        <v>0.99993759999999998</v>
      </c>
      <c r="N603">
        <v>0</v>
      </c>
      <c r="O603">
        <v>5.5370019999999897E-3</v>
      </c>
      <c r="P603">
        <v>0.9928437</v>
      </c>
      <c r="Q603">
        <v>2.4310689999999999E-2</v>
      </c>
      <c r="R603">
        <v>0.116921</v>
      </c>
      <c r="S603">
        <v>3.0518800000000001</v>
      </c>
      <c r="T603">
        <v>-0.1483641</v>
      </c>
      <c r="U603">
        <v>-0.22921749999999999</v>
      </c>
      <c r="V603">
        <v>-0.11141810000000001</v>
      </c>
      <c r="W603">
        <v>3.3976039999999999E-2</v>
      </c>
      <c r="X603">
        <v>0.99319270000000004</v>
      </c>
      <c r="Y603">
        <v>8.0315780000000003E-2</v>
      </c>
      <c r="Z603">
        <v>-2.2170089999999998E-3</v>
      </c>
      <c r="AA603">
        <v>0.99676699999999996</v>
      </c>
      <c r="AB603">
        <v>17</v>
      </c>
      <c r="AC603">
        <v>22.617999999999899</v>
      </c>
      <c r="AD603">
        <v>-1.1043799999999999</v>
      </c>
      <c r="AE603">
        <v>-1.7067000000000101</v>
      </c>
      <c r="AF603">
        <v>1.8275831269859</v>
      </c>
      <c r="AG603">
        <v>-1.1043799999999999</v>
      </c>
      <c r="AH603">
        <v>22.554733985007498</v>
      </c>
      <c r="AI603">
        <v>92.794074249882399</v>
      </c>
      <c r="AJ603">
        <v>85.367512259818099</v>
      </c>
      <c r="AK603">
        <v>22.655589606207499</v>
      </c>
      <c r="AL603">
        <v>88.052941677042</v>
      </c>
      <c r="AM603">
        <v>96.400779881940593</v>
      </c>
      <c r="AN603">
        <v>1.0000000518174801</v>
      </c>
    </row>
    <row r="604" spans="1:40" x14ac:dyDescent="0.3">
      <c r="A604" t="str">
        <f>"20200111145925384"</f>
        <v>20200111145925384</v>
      </c>
      <c r="B604" t="str">
        <f>"1578725965376804"</f>
        <v>1578725965376804</v>
      </c>
      <c r="C604" t="s">
        <v>40</v>
      </c>
      <c r="D604">
        <v>4.0542350000000003</v>
      </c>
      <c r="E604">
        <v>0.57311880000000004</v>
      </c>
      <c r="F604" t="s">
        <v>43</v>
      </c>
      <c r="G604">
        <v>-407.5675</v>
      </c>
      <c r="H604">
        <v>-0.05</v>
      </c>
      <c r="I604">
        <v>365.47750000000002</v>
      </c>
      <c r="J604">
        <v>-430.34219999999999</v>
      </c>
      <c r="K604">
        <v>1.054378</v>
      </c>
      <c r="L604">
        <v>367.185</v>
      </c>
      <c r="M604">
        <v>0.99993739999999998</v>
      </c>
      <c r="N604">
        <v>0</v>
      </c>
      <c r="O604">
        <v>5.5251999999999897E-3</v>
      </c>
      <c r="P604">
        <v>0.99275270000000004</v>
      </c>
      <c r="Q604">
        <v>2.4604600000000001E-2</v>
      </c>
      <c r="R604">
        <v>0.1176295</v>
      </c>
      <c r="S604">
        <v>3.0520320000000001</v>
      </c>
      <c r="T604">
        <v>-0.14743239999999999</v>
      </c>
      <c r="U604">
        <v>-0.22787479999999999</v>
      </c>
      <c r="V604">
        <v>-0.11213910000000001</v>
      </c>
      <c r="W604">
        <v>3.4276750000000002E-2</v>
      </c>
      <c r="X604">
        <v>0.99310120000000002</v>
      </c>
      <c r="Y604">
        <v>7.9865999999999895E-2</v>
      </c>
      <c r="Z604">
        <v>-2.1916190000000001E-3</v>
      </c>
      <c r="AA604">
        <v>0.9968032</v>
      </c>
      <c r="AB604">
        <v>17</v>
      </c>
      <c r="AC604">
        <v>22.774699999999999</v>
      </c>
      <c r="AD604">
        <v>-1.1043780000000001</v>
      </c>
      <c r="AE604">
        <v>-1.70749999999998</v>
      </c>
      <c r="AF604">
        <v>1.8290378675613601</v>
      </c>
      <c r="AG604">
        <v>-1.1043780000000001</v>
      </c>
      <c r="AH604">
        <v>22.7118111195533</v>
      </c>
      <c r="AI604">
        <v>92.774885808345203</v>
      </c>
      <c r="AJ604">
        <v>85.395766706237595</v>
      </c>
      <c r="AK604">
        <v>22.812088782444398</v>
      </c>
      <c r="AL604">
        <v>88.035702186250504</v>
      </c>
      <c r="AM604">
        <v>96.442441564865803</v>
      </c>
      <c r="AN604">
        <v>1.0000000333904</v>
      </c>
    </row>
    <row r="605" spans="1:40" x14ac:dyDescent="0.3">
      <c r="A605" t="str">
        <f>"20200111145925405"</f>
        <v>20200111145925405</v>
      </c>
      <c r="B605" t="str">
        <f>"1578725965396324"</f>
        <v>1578725965396324</v>
      </c>
      <c r="C605" t="s">
        <v>40</v>
      </c>
      <c r="D605">
        <v>4.0870540000000002</v>
      </c>
      <c r="E605">
        <v>0.57297509999999996</v>
      </c>
      <c r="F605" t="s">
        <v>43</v>
      </c>
      <c r="G605">
        <v>-407.44459999999998</v>
      </c>
      <c r="H605">
        <v>-0.05</v>
      </c>
      <c r="I605">
        <v>365.49220000000003</v>
      </c>
      <c r="J605">
        <v>-430.19369999999998</v>
      </c>
      <c r="K605">
        <v>1.054386</v>
      </c>
      <c r="L605">
        <v>367.18579999999997</v>
      </c>
      <c r="M605">
        <v>0.99993739999999998</v>
      </c>
      <c r="N605">
        <v>0</v>
      </c>
      <c r="O605">
        <v>5.5104029999999997E-3</v>
      </c>
      <c r="P605">
        <v>0.99252629999999997</v>
      </c>
      <c r="Q605">
        <v>2.568583E-2</v>
      </c>
      <c r="R605">
        <v>0.1192973</v>
      </c>
      <c r="S605">
        <v>3.0522770000000001</v>
      </c>
      <c r="T605">
        <v>-0.14721509999999999</v>
      </c>
      <c r="U605">
        <v>-0.22564699999999999</v>
      </c>
      <c r="V605">
        <v>-0.1138233</v>
      </c>
      <c r="W605">
        <v>3.5368040000000003E-2</v>
      </c>
      <c r="X605">
        <v>0.99287130000000001</v>
      </c>
      <c r="Y605">
        <v>7.9122929999999994E-2</v>
      </c>
      <c r="Z605">
        <v>-2.1696799999999998E-3</v>
      </c>
      <c r="AA605">
        <v>0.99686249999999998</v>
      </c>
      <c r="AB605">
        <v>17</v>
      </c>
      <c r="AC605">
        <v>22.749099999999999</v>
      </c>
      <c r="AD605">
        <v>-1.1043860000000001</v>
      </c>
      <c r="AE605">
        <v>-1.69359999999994</v>
      </c>
      <c r="AF605">
        <v>1.81468375618448</v>
      </c>
      <c r="AG605">
        <v>-1.1043860000000001</v>
      </c>
      <c r="AH605">
        <v>22.6862506128052</v>
      </c>
      <c r="AI605">
        <v>92.778147345347705</v>
      </c>
      <c r="AJ605">
        <v>85.426621529990499</v>
      </c>
      <c r="AK605">
        <v>22.785493464899101</v>
      </c>
      <c r="AL605">
        <v>87.973137923177106</v>
      </c>
      <c r="AM605">
        <v>96.539868739141994</v>
      </c>
      <c r="AN605">
        <v>1.00000003012001</v>
      </c>
    </row>
    <row r="606" spans="1:40" x14ac:dyDescent="0.3">
      <c r="A606" t="str">
        <f>"20200111145925418"</f>
        <v>20200111145925418</v>
      </c>
      <c r="B606" t="str">
        <f>"1578725965406593"</f>
        <v>1578725965406593</v>
      </c>
      <c r="C606" t="s">
        <v>40</v>
      </c>
      <c r="D606">
        <v>4.0382300000000004</v>
      </c>
      <c r="E606">
        <v>0.57293919999999998</v>
      </c>
      <c r="F606" t="s">
        <v>43</v>
      </c>
      <c r="G606">
        <v>-406.89440000000002</v>
      </c>
      <c r="H606">
        <v>-0.05</v>
      </c>
      <c r="I606">
        <v>365.5111</v>
      </c>
      <c r="J606">
        <v>-430.09320000000002</v>
      </c>
      <c r="K606">
        <v>1.054392</v>
      </c>
      <c r="L606">
        <v>367.18630000000002</v>
      </c>
      <c r="M606">
        <v>0.99993739999999998</v>
      </c>
      <c r="N606">
        <v>0</v>
      </c>
      <c r="O606">
        <v>5.5026989999999998E-3</v>
      </c>
      <c r="P606">
        <v>0.99241550000000001</v>
      </c>
      <c r="Q606">
        <v>2.6462320000000001E-2</v>
      </c>
      <c r="R606">
        <v>0.1200479</v>
      </c>
      <c r="S606">
        <v>3.0527340000000001</v>
      </c>
      <c r="T606">
        <v>-0.14469979999999999</v>
      </c>
      <c r="U606">
        <v>-0.21942139999999999</v>
      </c>
      <c r="V606">
        <v>-0.1145823</v>
      </c>
      <c r="W606">
        <v>3.6151469999999998E-2</v>
      </c>
      <c r="X606">
        <v>0.99275579999999997</v>
      </c>
      <c r="Y606">
        <v>7.7087489999999995E-2</v>
      </c>
      <c r="Z606">
        <v>-2.0839729999999998E-3</v>
      </c>
      <c r="AA606">
        <v>0.99702219999999997</v>
      </c>
      <c r="AB606">
        <v>17</v>
      </c>
      <c r="AC606">
        <v>23.198799999999999</v>
      </c>
      <c r="AD606">
        <v>-1.104392</v>
      </c>
      <c r="AE606">
        <v>-1.67520000000001</v>
      </c>
      <c r="AF606">
        <v>1.79878129401959</v>
      </c>
      <c r="AG606">
        <v>-1.104392</v>
      </c>
      <c r="AH606">
        <v>23.137066876975702</v>
      </c>
      <c r="AI606">
        <v>92.724592260410205</v>
      </c>
      <c r="AJ606">
        <v>85.554506432191801</v>
      </c>
      <c r="AK606">
        <v>23.233147860395999</v>
      </c>
      <c r="AL606">
        <v>87.928222015561502</v>
      </c>
      <c r="AM606">
        <v>96.583855726789295</v>
      </c>
      <c r="AN606">
        <v>1.0000000553450401</v>
      </c>
    </row>
    <row r="607" spans="1:40" x14ac:dyDescent="0.3">
      <c r="A607" t="str">
        <f>"20200111145925436"</f>
        <v>20200111145925436</v>
      </c>
      <c r="B607" t="str">
        <f>"1578725965426113"</f>
        <v>1578725965426113</v>
      </c>
      <c r="C607" t="s">
        <v>40</v>
      </c>
      <c r="D607">
        <v>4.2272650000000001</v>
      </c>
      <c r="E607">
        <v>0.57312790000000002</v>
      </c>
      <c r="F607" t="s">
        <v>43</v>
      </c>
      <c r="G607">
        <v>-406.42579999999998</v>
      </c>
      <c r="H607">
        <v>-0.05</v>
      </c>
      <c r="I607">
        <v>365.50400000000002</v>
      </c>
      <c r="J607">
        <v>-429.95490000000001</v>
      </c>
      <c r="K607">
        <v>1.054406</v>
      </c>
      <c r="L607">
        <v>367.18700000000001</v>
      </c>
      <c r="M607">
        <v>0.99993719999999997</v>
      </c>
      <c r="N607">
        <v>0</v>
      </c>
      <c r="O607">
        <v>5.4939129999999996E-3</v>
      </c>
      <c r="P607">
        <v>0.99221090000000001</v>
      </c>
      <c r="Q607">
        <v>2.8192330000000002E-2</v>
      </c>
      <c r="R607">
        <v>0.12133679999999999</v>
      </c>
      <c r="S607">
        <v>3.0530089999999999</v>
      </c>
      <c r="T607">
        <v>-0.14246239999999999</v>
      </c>
      <c r="U607">
        <v>-0.2170105</v>
      </c>
      <c r="V607">
        <v>-0.11588080000000001</v>
      </c>
      <c r="W607">
        <v>3.7889770000000003E-2</v>
      </c>
      <c r="X607">
        <v>0.99254019999999998</v>
      </c>
      <c r="Y607">
        <v>7.6292700000000005E-2</v>
      </c>
      <c r="Z607">
        <v>-2.0327399999999999E-3</v>
      </c>
      <c r="AA607">
        <v>0.99708339999999995</v>
      </c>
      <c r="AB607">
        <v>17</v>
      </c>
      <c r="AC607">
        <v>23.5291</v>
      </c>
      <c r="AD607">
        <v>-1.104406</v>
      </c>
      <c r="AE607">
        <v>-1.6829999999999301</v>
      </c>
      <c r="AF607">
        <v>1.80828392680943</v>
      </c>
      <c r="AG607">
        <v>-1.104406</v>
      </c>
      <c r="AH607">
        <v>23.468057377911201</v>
      </c>
      <c r="AI607">
        <v>92.6863983736405</v>
      </c>
      <c r="AJ607">
        <v>85.593895187150295</v>
      </c>
      <c r="AK607">
        <v>23.563516725347402</v>
      </c>
      <c r="AL607">
        <v>87.828556360953698</v>
      </c>
      <c r="AM607">
        <v>96.659234151221</v>
      </c>
      <c r="AN607">
        <v>1.0000000215476601</v>
      </c>
    </row>
    <row r="608" spans="1:40" x14ac:dyDescent="0.3">
      <c r="A608" t="str">
        <f>"20200111145925450"</f>
        <v>20200111145925450</v>
      </c>
      <c r="B608" t="str">
        <f>"1578725965446608"</f>
        <v>1578725965446608</v>
      </c>
      <c r="C608" t="s">
        <v>40</v>
      </c>
      <c r="D608">
        <v>4.0776070000000004</v>
      </c>
      <c r="E608">
        <v>0.57307569999999997</v>
      </c>
      <c r="F608" t="s">
        <v>43</v>
      </c>
      <c r="G608">
        <v>-405.58800000000002</v>
      </c>
      <c r="H608">
        <v>-0.05</v>
      </c>
      <c r="I608">
        <v>365.4744</v>
      </c>
      <c r="J608">
        <v>-429.85719999999998</v>
      </c>
      <c r="K608">
        <v>1.054419</v>
      </c>
      <c r="L608">
        <v>367.18759999999997</v>
      </c>
      <c r="M608">
        <v>0.99993719999999997</v>
      </c>
      <c r="N608">
        <v>0</v>
      </c>
      <c r="O608">
        <v>5.4876339999999999E-3</v>
      </c>
      <c r="P608">
        <v>0.99212679999999998</v>
      </c>
      <c r="Q608">
        <v>2.9460340000000002E-2</v>
      </c>
      <c r="R608">
        <v>0.12172280000000001</v>
      </c>
      <c r="S608">
        <v>3.0537109999999998</v>
      </c>
      <c r="T608">
        <v>-0.1384069</v>
      </c>
      <c r="U608">
        <v>-0.21463009999999999</v>
      </c>
      <c r="V608">
        <v>-0.116274</v>
      </c>
      <c r="W608">
        <v>3.9163410000000003E-2</v>
      </c>
      <c r="X608">
        <v>0.99244480000000002</v>
      </c>
      <c r="Y608">
        <v>7.5502650000000004E-2</v>
      </c>
      <c r="Z608">
        <v>-1.9563779999999999E-3</v>
      </c>
      <c r="AA608">
        <v>0.99714369999999997</v>
      </c>
      <c r="AB608">
        <v>17</v>
      </c>
      <c r="AC608">
        <v>24.269199999999898</v>
      </c>
      <c r="AD608">
        <v>-1.104419</v>
      </c>
      <c r="AE608">
        <v>-1.7131999999999701</v>
      </c>
      <c r="AF608">
        <v>1.84256422153495</v>
      </c>
      <c r="AG608">
        <v>-1.104419</v>
      </c>
      <c r="AH608">
        <v>24.2095459875435</v>
      </c>
      <c r="AI608">
        <v>92.6044521064576</v>
      </c>
      <c r="AJ608">
        <v>85.647666590263796</v>
      </c>
      <c r="AK608">
        <v>24.3046682997532</v>
      </c>
      <c r="AL608">
        <v>87.755528003155604</v>
      </c>
      <c r="AM608">
        <v>96.682262387734099</v>
      </c>
      <c r="AN608">
        <v>1.0000000484029301</v>
      </c>
    </row>
    <row r="609" spans="1:40" x14ac:dyDescent="0.3">
      <c r="A609" t="str">
        <f>"20200111145925463"</f>
        <v>20200111145925463</v>
      </c>
      <c r="B609" t="str">
        <f>"1578725965456370"</f>
        <v>1578725965456370</v>
      </c>
      <c r="C609" t="s">
        <v>40</v>
      </c>
      <c r="D609">
        <v>4.0705839999999904</v>
      </c>
      <c r="E609">
        <v>0.57303470000000001</v>
      </c>
      <c r="F609" t="s">
        <v>43</v>
      </c>
      <c r="G609">
        <v>-405.12009999999998</v>
      </c>
      <c r="H609">
        <v>-0.05</v>
      </c>
      <c r="I609">
        <v>365.46480000000003</v>
      </c>
      <c r="J609">
        <v>-429.76060000000001</v>
      </c>
      <c r="K609">
        <v>1.0544309999999999</v>
      </c>
      <c r="L609">
        <v>367.18810000000002</v>
      </c>
      <c r="M609">
        <v>0.99993730000000003</v>
      </c>
      <c r="N609">
        <v>0</v>
      </c>
      <c r="O609">
        <v>5.4815940000000002E-3</v>
      </c>
      <c r="P609">
        <v>0.99207140000000005</v>
      </c>
      <c r="Q609">
        <v>3.10035E-2</v>
      </c>
      <c r="R609">
        <v>0.12179230000000001</v>
      </c>
      <c r="S609">
        <v>3.053925</v>
      </c>
      <c r="T609">
        <v>-0.1363462</v>
      </c>
      <c r="U609">
        <v>-0.212677</v>
      </c>
      <c r="V609">
        <v>-0.1163496</v>
      </c>
      <c r="W609">
        <v>4.0712850000000002E-2</v>
      </c>
      <c r="X609">
        <v>0.99237350000000002</v>
      </c>
      <c r="Y609">
        <v>7.4860220000000005E-2</v>
      </c>
      <c r="Z609">
        <v>-1.9126010000000001E-3</v>
      </c>
      <c r="AA609">
        <v>0.99719219999999997</v>
      </c>
      <c r="AB609">
        <v>17</v>
      </c>
      <c r="AC609">
        <v>24.640499999999999</v>
      </c>
      <c r="AD609">
        <v>-1.1044309999999999</v>
      </c>
      <c r="AE609">
        <v>-1.7232999999999901</v>
      </c>
      <c r="AF609">
        <v>1.8546419390477</v>
      </c>
      <c r="AG609">
        <v>-1.1044309999999999</v>
      </c>
      <c r="AH609">
        <v>24.5815391508585</v>
      </c>
      <c r="AI609">
        <v>92.565247209599406</v>
      </c>
      <c r="AJ609">
        <v>85.685290209187698</v>
      </c>
      <c r="AK609">
        <v>24.6761328327805</v>
      </c>
      <c r="AL609">
        <v>87.666680543743396</v>
      </c>
      <c r="AM609">
        <v>96.687043853651204</v>
      </c>
      <c r="AN609">
        <v>0.99999996453876505</v>
      </c>
    </row>
    <row r="610" spans="1:40" x14ac:dyDescent="0.3">
      <c r="A610" t="str">
        <f>"20200111145925475"</f>
        <v>20200111145925475</v>
      </c>
      <c r="B610" t="str">
        <f>"1578725965466129"</f>
        <v>1578725965466129</v>
      </c>
      <c r="C610" t="s">
        <v>40</v>
      </c>
      <c r="D610">
        <v>4.155303</v>
      </c>
      <c r="E610">
        <v>0.57301040000000003</v>
      </c>
      <c r="F610" t="s">
        <v>43</v>
      </c>
      <c r="G610">
        <v>-404.39519999999999</v>
      </c>
      <c r="H610">
        <v>-0.05</v>
      </c>
      <c r="I610">
        <v>365.4248</v>
      </c>
      <c r="J610">
        <v>-429.66</v>
      </c>
      <c r="K610">
        <v>1.0544439999999999</v>
      </c>
      <c r="L610">
        <v>367.18860000000001</v>
      </c>
      <c r="M610">
        <v>0.99993719999999997</v>
      </c>
      <c r="N610">
        <v>0</v>
      </c>
      <c r="O610">
        <v>5.4754890000000001E-3</v>
      </c>
      <c r="P610">
        <v>0.99200869999999997</v>
      </c>
      <c r="Q610">
        <v>3.2822999999999998E-2</v>
      </c>
      <c r="R610">
        <v>0.1218257</v>
      </c>
      <c r="S610">
        <v>3.0541990000000001</v>
      </c>
      <c r="T610">
        <v>-0.13298270000000001</v>
      </c>
      <c r="U610">
        <v>-0.21231079999999999</v>
      </c>
      <c r="V610">
        <v>-0.11638950000000001</v>
      </c>
      <c r="W610">
        <v>4.2538029999999998E-2</v>
      </c>
      <c r="X610">
        <v>0.99229230000000002</v>
      </c>
      <c r="Y610">
        <v>7.4732939999999998E-2</v>
      </c>
      <c r="Z610">
        <v>-1.8622739999999999E-3</v>
      </c>
      <c r="AA610">
        <v>0.99720189999999997</v>
      </c>
      <c r="AB610">
        <v>17</v>
      </c>
      <c r="AC610">
        <v>25.264800000000001</v>
      </c>
      <c r="AD610">
        <v>-1.104444</v>
      </c>
      <c r="AE610">
        <v>-1.7638</v>
      </c>
      <c r="AF610">
        <v>1.8985068971666099</v>
      </c>
      <c r="AG610">
        <v>-1.104444</v>
      </c>
      <c r="AH610">
        <v>25.206827040210499</v>
      </c>
      <c r="AI610">
        <v>92.501748830659693</v>
      </c>
      <c r="AJ610">
        <v>85.692776200601301</v>
      </c>
      <c r="AK610">
        <v>25.302336935998799</v>
      </c>
      <c r="AL610">
        <v>87.562014795870198</v>
      </c>
      <c r="AM610">
        <v>96.689858706865095</v>
      </c>
      <c r="AN610">
        <v>1.00000000417291</v>
      </c>
    </row>
    <row r="611" spans="1:40" x14ac:dyDescent="0.3">
      <c r="A611" t="str">
        <f>"20200111145925493"</f>
        <v>20200111145925493</v>
      </c>
      <c r="B611" t="str">
        <f>"1578725965486625"</f>
        <v>1578725965486625</v>
      </c>
      <c r="C611" t="s">
        <v>40</v>
      </c>
      <c r="D611">
        <v>4.0720650000000003</v>
      </c>
      <c r="E611">
        <v>0.57297559999999903</v>
      </c>
      <c r="F611" t="s">
        <v>43</v>
      </c>
      <c r="G611">
        <v>-403.27839999999998</v>
      </c>
      <c r="H611">
        <v>-0.05</v>
      </c>
      <c r="I611">
        <v>365.35879999999997</v>
      </c>
      <c r="J611">
        <v>-429.53070000000002</v>
      </c>
      <c r="K611">
        <v>1.054478</v>
      </c>
      <c r="L611">
        <v>367.1893</v>
      </c>
      <c r="M611">
        <v>0.99993719999999997</v>
      </c>
      <c r="N611">
        <v>0</v>
      </c>
      <c r="O611">
        <v>5.4663990000000003E-3</v>
      </c>
      <c r="P611">
        <v>0.99181160000000002</v>
      </c>
      <c r="Q611">
        <v>3.7760870000000002E-2</v>
      </c>
      <c r="R611">
        <v>0.1220017</v>
      </c>
      <c r="S611">
        <v>3.0544129999999998</v>
      </c>
      <c r="T611">
        <v>-0.127870699999999</v>
      </c>
      <c r="U611">
        <v>-0.21185300000000001</v>
      </c>
      <c r="V611">
        <v>-0.1165755</v>
      </c>
      <c r="W611">
        <v>4.7481620000000002E-2</v>
      </c>
      <c r="X611">
        <v>0.99204619999999999</v>
      </c>
      <c r="Y611">
        <v>7.4576180000000006E-2</v>
      </c>
      <c r="Z611">
        <v>-1.7869779999999901E-3</v>
      </c>
      <c r="AA611">
        <v>0.99721369999999998</v>
      </c>
      <c r="AB611">
        <v>17</v>
      </c>
      <c r="AC611">
        <v>26.252300000000002</v>
      </c>
      <c r="AD611">
        <v>-1.1044780000000001</v>
      </c>
      <c r="AE611">
        <v>-1.83050000000002</v>
      </c>
      <c r="AF611">
        <v>1.97051407903222</v>
      </c>
      <c r="AG611">
        <v>-1.1044780000000001</v>
      </c>
      <c r="AH611">
        <v>26.195758199794401</v>
      </c>
      <c r="AI611">
        <v>92.407508202723307</v>
      </c>
      <c r="AJ611">
        <v>85.698161923459395</v>
      </c>
      <c r="AK611">
        <v>26.292975203469101</v>
      </c>
      <c r="AL611">
        <v>87.278480322200906</v>
      </c>
      <c r="AM611">
        <v>96.702099603604395</v>
      </c>
      <c r="AN611">
        <v>1.00000000718625</v>
      </c>
    </row>
    <row r="612" spans="1:40" x14ac:dyDescent="0.3">
      <c r="A612" t="str">
        <f>"20200111145925507"</f>
        <v>20200111145925507</v>
      </c>
      <c r="B612" t="str">
        <f>"1578725965496386"</f>
        <v>1578725965496386</v>
      </c>
      <c r="C612" t="s">
        <v>40</v>
      </c>
      <c r="D612">
        <v>4.0938629999999998</v>
      </c>
      <c r="E612">
        <v>0.57301530000000001</v>
      </c>
      <c r="F612" t="s">
        <v>43</v>
      </c>
      <c r="G612">
        <v>-400.04500000000002</v>
      </c>
      <c r="H612">
        <v>-0.05</v>
      </c>
      <c r="I612">
        <v>365.15109999999999</v>
      </c>
      <c r="J612">
        <v>-429.42849999999999</v>
      </c>
      <c r="K612">
        <v>1.0544910000000001</v>
      </c>
      <c r="L612">
        <v>367.18979999999999</v>
      </c>
      <c r="M612">
        <v>0.99993719999999997</v>
      </c>
      <c r="N612">
        <v>0</v>
      </c>
      <c r="O612">
        <v>5.4585069999999996E-3</v>
      </c>
      <c r="P612">
        <v>0.99167380000000005</v>
      </c>
      <c r="Q612">
        <v>4.0229229999999998E-2</v>
      </c>
      <c r="R612">
        <v>0.1223312</v>
      </c>
      <c r="S612">
        <v>3.0550540000000002</v>
      </c>
      <c r="T612">
        <v>-0.11443680000000001</v>
      </c>
      <c r="U612">
        <v>-0.2111816</v>
      </c>
      <c r="V612">
        <v>-0.1169133</v>
      </c>
      <c r="W612">
        <v>4.9954419999999999E-2</v>
      </c>
      <c r="X612">
        <v>0.99188500000000002</v>
      </c>
      <c r="Y612">
        <v>7.4349819999999997E-2</v>
      </c>
      <c r="Z612">
        <v>-1.5945289999999999E-3</v>
      </c>
      <c r="AA612">
        <v>0.99723090000000003</v>
      </c>
      <c r="AB612">
        <v>17</v>
      </c>
      <c r="AC612">
        <v>29.383499999999898</v>
      </c>
      <c r="AD612">
        <v>-1.1044909999999999</v>
      </c>
      <c r="AE612">
        <v>-2.0387</v>
      </c>
      <c r="AF612">
        <v>2.1959794721178598</v>
      </c>
      <c r="AG612">
        <v>-1.1044909999999999</v>
      </c>
      <c r="AH612">
        <v>29.3306900671882</v>
      </c>
      <c r="AI612">
        <v>92.150526062718399</v>
      </c>
      <c r="AJ612">
        <v>85.718271583657099</v>
      </c>
      <c r="AK612">
        <v>29.4335116156482</v>
      </c>
      <c r="AL612">
        <v>87.136630850992503</v>
      </c>
      <c r="AM612">
        <v>96.722425149492395</v>
      </c>
      <c r="AN612">
        <v>1.00000000850971</v>
      </c>
    </row>
    <row r="613" spans="1:40" x14ac:dyDescent="0.3">
      <c r="A613" t="str">
        <f>"20200111145925520"</f>
        <v>20200111145925520</v>
      </c>
      <c r="B613" t="str">
        <f>"1578725965516413"</f>
        <v>1578725965516413</v>
      </c>
      <c r="C613" t="s">
        <v>40</v>
      </c>
      <c r="D613">
        <v>4.1621779999999999</v>
      </c>
      <c r="E613">
        <v>0.57307169999999996</v>
      </c>
      <c r="F613" t="s">
        <v>42</v>
      </c>
      <c r="G613">
        <v>-399.56549999999999</v>
      </c>
      <c r="H613" s="1">
        <v>-1.3275100000000001E-6</v>
      </c>
      <c r="I613">
        <v>365.13029999999998</v>
      </c>
      <c r="J613">
        <v>-429.33210000000003</v>
      </c>
      <c r="K613">
        <v>1.054505</v>
      </c>
      <c r="L613">
        <v>367.19040000000001</v>
      </c>
      <c r="M613">
        <v>0.99993719999999997</v>
      </c>
      <c r="N613">
        <v>0</v>
      </c>
      <c r="O613">
        <v>5.4503769999999898E-3</v>
      </c>
      <c r="P613">
        <v>0.99153970000000002</v>
      </c>
      <c r="Q613">
        <v>4.1834730000000001E-2</v>
      </c>
      <c r="R613">
        <v>0.12287820000000001</v>
      </c>
      <c r="S613">
        <v>3.0555729999999999</v>
      </c>
      <c r="T613">
        <v>-0.107895</v>
      </c>
      <c r="U613">
        <v>-0.21072389999999999</v>
      </c>
      <c r="V613">
        <v>-0.1174689</v>
      </c>
      <c r="W613">
        <v>5.1564060000000002E-2</v>
      </c>
      <c r="X613">
        <v>0.99173690000000003</v>
      </c>
      <c r="Y613">
        <v>7.4187669999999997E-2</v>
      </c>
      <c r="Z613">
        <v>-1.5000440000000001E-3</v>
      </c>
      <c r="AA613">
        <v>0.9972432</v>
      </c>
      <c r="AB613">
        <v>17</v>
      </c>
      <c r="AC613">
        <v>29.7666</v>
      </c>
      <c r="AD613">
        <v>-1.05450632751</v>
      </c>
      <c r="AE613">
        <v>-2.06010000000003</v>
      </c>
      <c r="AF613">
        <v>2.21954414358148</v>
      </c>
      <c r="AG613">
        <v>-1.05450632751</v>
      </c>
      <c r="AH613">
        <v>29.717811222755401</v>
      </c>
      <c r="AI613">
        <v>92.026590080267397</v>
      </c>
      <c r="AJ613">
        <v>85.728661225280007</v>
      </c>
      <c r="AK613">
        <v>29.8192331167552</v>
      </c>
      <c r="AL613">
        <v>87.044286011289401</v>
      </c>
      <c r="AM613">
        <v>96.755076575058197</v>
      </c>
      <c r="AN613">
        <v>0.99999993678624899</v>
      </c>
    </row>
    <row r="614" spans="1:40" x14ac:dyDescent="0.3">
      <c r="A614" t="str">
        <f>"20200111145925536"</f>
        <v>20200111145925536</v>
      </c>
      <c r="B614" t="str">
        <f>"1578725965526173"</f>
        <v>1578725965526173</v>
      </c>
      <c r="C614" t="s">
        <v>40</v>
      </c>
      <c r="D614">
        <v>4.1433759999999999</v>
      </c>
      <c r="E614">
        <v>0.57312159999999901</v>
      </c>
      <c r="F614" t="s">
        <v>42</v>
      </c>
      <c r="G614">
        <v>-398.74110000000002</v>
      </c>
      <c r="H614" s="1">
        <v>-1.6176129999999999E-6</v>
      </c>
      <c r="I614">
        <v>365.09440000000001</v>
      </c>
      <c r="J614">
        <v>-429.20269999999999</v>
      </c>
      <c r="K614">
        <v>1.054514</v>
      </c>
      <c r="L614">
        <v>367.19099999999997</v>
      </c>
      <c r="M614">
        <v>0.99993719999999997</v>
      </c>
      <c r="N614">
        <v>0</v>
      </c>
      <c r="O614">
        <v>5.4384239999999999E-3</v>
      </c>
      <c r="P614">
        <v>0.99135479999999998</v>
      </c>
      <c r="Q614">
        <v>4.3115870000000001E-2</v>
      </c>
      <c r="R614">
        <v>0.1239224</v>
      </c>
      <c r="S614">
        <v>3.056</v>
      </c>
      <c r="T614">
        <v>-0.105343699999999</v>
      </c>
      <c r="U614">
        <v>-0.20938109999999999</v>
      </c>
      <c r="V614">
        <v>-0.1185258</v>
      </c>
      <c r="W614">
        <v>5.285024E-2</v>
      </c>
      <c r="X614">
        <v>0.99154350000000002</v>
      </c>
      <c r="Y614">
        <v>7.3732649999999997E-2</v>
      </c>
      <c r="Z614">
        <v>-1.4561699999999999E-3</v>
      </c>
      <c r="AA614">
        <v>0.99727699999999997</v>
      </c>
      <c r="AB614">
        <v>17</v>
      </c>
      <c r="AC614">
        <v>30.461599999999901</v>
      </c>
      <c r="AD614">
        <v>-1.0545156176129999</v>
      </c>
      <c r="AE614">
        <v>-2.0965999999999601</v>
      </c>
      <c r="AF614">
        <v>2.2595449782323498</v>
      </c>
      <c r="AG614">
        <v>-1.0545156176129999</v>
      </c>
      <c r="AH614">
        <v>30.4134711752965</v>
      </c>
      <c r="AI614">
        <v>91.980347439753203</v>
      </c>
      <c r="AJ614">
        <v>85.751061066709397</v>
      </c>
      <c r="AK614">
        <v>30.515516964767901</v>
      </c>
      <c r="AL614">
        <v>86.970492912506302</v>
      </c>
      <c r="AM614">
        <v>96.816601510225496</v>
      </c>
      <c r="AN614">
        <v>1.00000001276297</v>
      </c>
    </row>
    <row r="615" spans="1:40" x14ac:dyDescent="0.3">
      <c r="A615" t="str">
        <f>"20200111145925550"</f>
        <v>20200111145925550</v>
      </c>
      <c r="B615" t="str">
        <f>"1578725965546669"</f>
        <v>1578725965546669</v>
      </c>
      <c r="C615" t="s">
        <v>40</v>
      </c>
      <c r="D615">
        <v>4.1335100000000002</v>
      </c>
      <c r="E615">
        <v>0.57320409999999999</v>
      </c>
      <c r="F615" t="s">
        <v>42</v>
      </c>
      <c r="G615">
        <v>-397.69389999999999</v>
      </c>
      <c r="H615" s="1">
        <v>-1.9834139999999999E-6</v>
      </c>
      <c r="I615">
        <v>365.05889999999999</v>
      </c>
      <c r="J615">
        <v>-429.10390000000001</v>
      </c>
      <c r="K615">
        <v>1.0545089999999999</v>
      </c>
      <c r="L615">
        <v>367.19159999999999</v>
      </c>
      <c r="M615">
        <v>0.99993719999999997</v>
      </c>
      <c r="N615">
        <v>0</v>
      </c>
      <c r="O615">
        <v>5.4283259999999998E-3</v>
      </c>
      <c r="P615">
        <v>0.99129029999999996</v>
      </c>
      <c r="Q615">
        <v>4.3198279999999999E-2</v>
      </c>
      <c r="R615">
        <v>0.1244107</v>
      </c>
      <c r="S615">
        <v>3.0564580000000001</v>
      </c>
      <c r="T615">
        <v>-0.10229149999999999</v>
      </c>
      <c r="U615">
        <v>-0.20681759999999999</v>
      </c>
      <c r="V615">
        <v>-0.11902450000000001</v>
      </c>
      <c r="W615">
        <v>5.2936900000000002E-2</v>
      </c>
      <c r="X615">
        <v>0.99147909999999995</v>
      </c>
      <c r="Y615">
        <v>7.288298E-2</v>
      </c>
      <c r="Z615">
        <v>-1.399296E-3</v>
      </c>
      <c r="AA615">
        <v>0.99733950000000005</v>
      </c>
      <c r="AB615">
        <v>17</v>
      </c>
      <c r="AC615">
        <v>31.41</v>
      </c>
      <c r="AD615">
        <v>-1.0545109834139901</v>
      </c>
      <c r="AE615">
        <v>-2.1326999999999998</v>
      </c>
      <c r="AF615">
        <v>2.3005993612101898</v>
      </c>
      <c r="AG615">
        <v>-1.0545109834139901</v>
      </c>
      <c r="AH615">
        <v>31.362772553010899</v>
      </c>
      <c r="AI615">
        <v>91.920575032285498</v>
      </c>
      <c r="AJ615">
        <v>85.804613007784297</v>
      </c>
      <c r="AK615">
        <v>31.464714412287801</v>
      </c>
      <c r="AL615">
        <v>86.965520589421104</v>
      </c>
      <c r="AM615">
        <v>96.845451342294496</v>
      </c>
      <c r="AN615">
        <v>0.99999997635933402</v>
      </c>
    </row>
    <row r="616" spans="1:40" x14ac:dyDescent="0.3">
      <c r="A616" t="str">
        <f>"20200111145925564"</f>
        <v>20200111145925564</v>
      </c>
      <c r="B616" t="str">
        <f>"1578725965556430"</f>
        <v>1578725965556430</v>
      </c>
      <c r="C616" t="s">
        <v>40</v>
      </c>
      <c r="D616">
        <v>4.2403959999999996</v>
      </c>
      <c r="E616">
        <v>0.57324109999999995</v>
      </c>
      <c r="F616" t="s">
        <v>42</v>
      </c>
      <c r="G616">
        <v>-398.11079999999998</v>
      </c>
      <c r="H616" s="1">
        <v>-1.830428E-6</v>
      </c>
      <c r="I616">
        <v>365.10070000000002</v>
      </c>
      <c r="J616">
        <v>-428.99889999999999</v>
      </c>
      <c r="K616">
        <v>1.054505</v>
      </c>
      <c r="L616">
        <v>367.19220000000001</v>
      </c>
      <c r="M616">
        <v>0.99993710000000002</v>
      </c>
      <c r="N616">
        <v>0</v>
      </c>
      <c r="O616">
        <v>5.417509E-3</v>
      </c>
      <c r="P616">
        <v>0.99128709999999998</v>
      </c>
      <c r="Q616">
        <v>4.2731440000000002E-2</v>
      </c>
      <c r="R616">
        <v>0.1245946</v>
      </c>
      <c r="S616">
        <v>3.0567630000000001</v>
      </c>
      <c r="T616">
        <v>-0.1040031</v>
      </c>
      <c r="U616">
        <v>-0.20620730000000001</v>
      </c>
      <c r="V616">
        <v>-0.1192194</v>
      </c>
      <c r="W616">
        <v>5.247549E-2</v>
      </c>
      <c r="X616">
        <v>0.99148020000000003</v>
      </c>
      <c r="Y616">
        <v>7.266591E-2</v>
      </c>
      <c r="Z616">
        <v>-1.41851E-3</v>
      </c>
      <c r="AA616">
        <v>0.99735529999999994</v>
      </c>
      <c r="AB616">
        <v>17</v>
      </c>
      <c r="AC616">
        <v>30.888100000000001</v>
      </c>
      <c r="AD616">
        <v>-1.0545068304279901</v>
      </c>
      <c r="AE616">
        <v>-2.0914999999999901</v>
      </c>
      <c r="AF616">
        <v>2.25619631435521</v>
      </c>
      <c r="AG616">
        <v>-1.0545068304279901</v>
      </c>
      <c r="AH616">
        <v>30.840534481552002</v>
      </c>
      <c r="AI616">
        <v>91.953092519632605</v>
      </c>
      <c r="AJ616">
        <v>85.815875078344007</v>
      </c>
      <c r="AK616">
        <v>30.9409271608355</v>
      </c>
      <c r="AL616">
        <v>86.991994197483393</v>
      </c>
      <c r="AM616">
        <v>96.856546458635293</v>
      </c>
      <c r="AN616">
        <v>0.99999996468956898</v>
      </c>
    </row>
    <row r="617" spans="1:40" x14ac:dyDescent="0.3">
      <c r="A617" t="str">
        <f>"20200111145925575"</f>
        <v>20200111145925575</v>
      </c>
      <c r="B617" t="str">
        <f>"1578725965566189"</f>
        <v>1578725965566189</v>
      </c>
      <c r="C617" t="s">
        <v>40</v>
      </c>
      <c r="D617">
        <v>4.2710080000000001</v>
      </c>
      <c r="E617">
        <v>0.57324109999999995</v>
      </c>
      <c r="F617" t="s">
        <v>42</v>
      </c>
      <c r="G617">
        <v>-398.67919999999998</v>
      </c>
      <c r="H617" s="1">
        <v>-1.624742E-6</v>
      </c>
      <c r="I617">
        <v>365.14679999999998</v>
      </c>
      <c r="J617">
        <v>-428.90309999999999</v>
      </c>
      <c r="K617">
        <v>1.054497</v>
      </c>
      <c r="L617">
        <v>367.19260000000003</v>
      </c>
      <c r="M617">
        <v>0.99993719999999997</v>
      </c>
      <c r="N617">
        <v>0</v>
      </c>
      <c r="O617">
        <v>5.4072299999999998E-3</v>
      </c>
      <c r="P617">
        <v>0.99132160000000002</v>
      </c>
      <c r="Q617">
        <v>4.1691880000000001E-2</v>
      </c>
      <c r="R617">
        <v>0.1246733</v>
      </c>
      <c r="S617">
        <v>3.056854</v>
      </c>
      <c r="T617">
        <v>-0.1063159</v>
      </c>
      <c r="U617">
        <v>-0.20620730000000001</v>
      </c>
      <c r="V617">
        <v>-0.119308</v>
      </c>
      <c r="W617">
        <v>5.1440710000000001E-2</v>
      </c>
      <c r="X617">
        <v>0.99152379999999996</v>
      </c>
      <c r="Y617">
        <v>7.2651649999999998E-2</v>
      </c>
      <c r="Z617">
        <v>-1.4493869999999999E-3</v>
      </c>
      <c r="AA617">
        <v>0.99735629999999997</v>
      </c>
      <c r="AB617">
        <v>17</v>
      </c>
      <c r="AC617">
        <v>30.2239</v>
      </c>
      <c r="AD617">
        <v>-1.0544986247419901</v>
      </c>
      <c r="AE617">
        <v>-2.0458000000000398</v>
      </c>
      <c r="AF617">
        <v>2.2065318220885999</v>
      </c>
      <c r="AG617">
        <v>-1.0544986247419901</v>
      </c>
      <c r="AH617">
        <v>30.1758305131744</v>
      </c>
      <c r="AI617">
        <v>91.996069682487402</v>
      </c>
      <c r="AJ617">
        <v>85.817833291918504</v>
      </c>
      <c r="AK617">
        <v>30.274766674432001</v>
      </c>
      <c r="AL617">
        <v>87.051363011983597</v>
      </c>
      <c r="AM617">
        <v>96.8612946130296</v>
      </c>
      <c r="AN617">
        <v>0.99999999573787202</v>
      </c>
    </row>
    <row r="618" spans="1:40" x14ac:dyDescent="0.3">
      <c r="A618" t="str">
        <f>"20200111145925594"</f>
        <v>20200111145925594</v>
      </c>
      <c r="B618" t="str">
        <f>"1578725965586685"</f>
        <v>1578725965586685</v>
      </c>
      <c r="C618" t="s">
        <v>40</v>
      </c>
      <c r="D618">
        <v>4.1986699999999999</v>
      </c>
      <c r="E618">
        <v>0.5225282</v>
      </c>
      <c r="F618" t="s">
        <v>42</v>
      </c>
      <c r="G618">
        <v>-399.39640000000003</v>
      </c>
      <c r="H618" s="1">
        <v>-1.3652620000000001E-6</v>
      </c>
      <c r="I618">
        <v>365.2047</v>
      </c>
      <c r="J618">
        <v>-428.77289999999999</v>
      </c>
      <c r="K618">
        <v>1.0544690000000001</v>
      </c>
      <c r="L618">
        <v>367.1934</v>
      </c>
      <c r="M618">
        <v>0.99993719999999997</v>
      </c>
      <c r="N618">
        <v>0</v>
      </c>
      <c r="O618">
        <v>5.3925939999999997E-3</v>
      </c>
      <c r="P618">
        <v>0.99158139999999995</v>
      </c>
      <c r="Q618">
        <v>3.6228940000000001E-2</v>
      </c>
      <c r="R618">
        <v>0.1243132</v>
      </c>
      <c r="S618">
        <v>3.0567630000000001</v>
      </c>
      <c r="T618">
        <v>-0.10924109999999999</v>
      </c>
      <c r="U618">
        <v>-0.20593259999999999</v>
      </c>
      <c r="V618">
        <v>-0.118960999999999</v>
      </c>
      <c r="W618">
        <v>4.5985999999999999E-2</v>
      </c>
      <c r="X618">
        <v>0.99183339999999998</v>
      </c>
      <c r="Y618">
        <v>7.2547319999999998E-2</v>
      </c>
      <c r="Z618">
        <v>-1.486907E-3</v>
      </c>
      <c r="AA618">
        <v>0.99736389999999997</v>
      </c>
      <c r="AB618">
        <v>17</v>
      </c>
      <c r="AC618">
        <v>29.376499999999901</v>
      </c>
      <c r="AD618">
        <v>-1.054470365262</v>
      </c>
      <c r="AE618">
        <v>-1.9886999999999899</v>
      </c>
      <c r="AF618">
        <v>2.14434398155012</v>
      </c>
      <c r="AG618">
        <v>-1.054470365262</v>
      </c>
      <c r="AH618">
        <v>29.327733024188401</v>
      </c>
      <c r="AI618">
        <v>92.053689049154499</v>
      </c>
      <c r="AJ618">
        <v>85.818169166101796</v>
      </c>
      <c r="AK618">
        <v>29.4249221443404</v>
      </c>
      <c r="AL618">
        <v>87.364266657743002</v>
      </c>
      <c r="AM618">
        <v>96.839413030908304</v>
      </c>
      <c r="AN618">
        <v>0.99999996253627899</v>
      </c>
    </row>
    <row r="619" spans="1:40" x14ac:dyDescent="0.3">
      <c r="A619" t="str">
        <f>"20200111145925606"</f>
        <v>20200111145925606</v>
      </c>
      <c r="B619" t="str">
        <f>"1578725965596446"</f>
        <v>1578725965596446</v>
      </c>
      <c r="C619" t="s">
        <v>40</v>
      </c>
      <c r="D619">
        <v>4.2125139999999996</v>
      </c>
      <c r="E619">
        <v>0.52141219999999999</v>
      </c>
      <c r="F619" t="s">
        <v>43</v>
      </c>
      <c r="G619">
        <v>-414.47359999999998</v>
      </c>
      <c r="H619">
        <v>-0.05</v>
      </c>
      <c r="I619">
        <v>368.1139</v>
      </c>
      <c r="J619">
        <v>-428.67410000000001</v>
      </c>
      <c r="K619">
        <v>1.054459</v>
      </c>
      <c r="L619">
        <v>367.19380000000001</v>
      </c>
      <c r="M619">
        <v>0.99993730000000003</v>
      </c>
      <c r="N619">
        <v>0</v>
      </c>
      <c r="O619">
        <v>5.381126E-3</v>
      </c>
      <c r="P619">
        <v>0.99174059999999997</v>
      </c>
      <c r="Q619">
        <v>3.429434E-2</v>
      </c>
      <c r="R619">
        <v>0.1235911</v>
      </c>
      <c r="S619">
        <v>3.0096440000000002</v>
      </c>
      <c r="T619">
        <v>-0.2324628</v>
      </c>
      <c r="U619">
        <v>0.19375609999999999</v>
      </c>
      <c r="V619">
        <v>-0.1182496</v>
      </c>
      <c r="W619">
        <v>4.4057239999999998E-2</v>
      </c>
      <c r="X619">
        <v>0.9920061</v>
      </c>
      <c r="Y619">
        <v>-5.8716039999999997E-2</v>
      </c>
      <c r="Z619">
        <v>1.847301E-3</v>
      </c>
      <c r="AA619">
        <v>0.99827299999999997</v>
      </c>
      <c r="AB619">
        <v>17</v>
      </c>
      <c r="AC619">
        <v>14.2005</v>
      </c>
      <c r="AD619">
        <v>-1.1044590000000001</v>
      </c>
      <c r="AE619">
        <v>0.92009999999999004</v>
      </c>
      <c r="AF619">
        <v>-0.838616630977983</v>
      </c>
      <c r="AG619">
        <v>-1.1044590000000001</v>
      </c>
      <c r="AH619">
        <v>14.120188222538101</v>
      </c>
      <c r="AI619">
        <v>94.464644565462507</v>
      </c>
      <c r="AJ619">
        <v>93.398879461734893</v>
      </c>
      <c r="AK619">
        <v>14.188122602245</v>
      </c>
      <c r="AL619">
        <v>87.474888890706097</v>
      </c>
      <c r="AM619">
        <v>96.797724025678093</v>
      </c>
      <c r="AN619">
        <v>1.00000005536689</v>
      </c>
    </row>
    <row r="620" spans="1:40" x14ac:dyDescent="0.3">
      <c r="A620" t="str">
        <f>"20200111145925619"</f>
        <v>20200111145925619</v>
      </c>
      <c r="B620" t="str">
        <f>"1578725965616473"</f>
        <v>1578725965616473</v>
      </c>
      <c r="C620" t="s">
        <v>40</v>
      </c>
      <c r="D620">
        <v>4.2270529999999997</v>
      </c>
      <c r="E620">
        <v>0.52018129999999996</v>
      </c>
      <c r="F620" t="s">
        <v>43</v>
      </c>
      <c r="G620">
        <v>-414.55540000000002</v>
      </c>
      <c r="H620">
        <v>-0.05</v>
      </c>
      <c r="I620">
        <v>368.1345</v>
      </c>
      <c r="J620">
        <v>-428.57909999999998</v>
      </c>
      <c r="K620">
        <v>1.054457</v>
      </c>
      <c r="L620">
        <v>367.1943</v>
      </c>
      <c r="M620">
        <v>0.99993719999999997</v>
      </c>
      <c r="N620">
        <v>0</v>
      </c>
      <c r="O620">
        <v>5.3703149999999996E-3</v>
      </c>
      <c r="P620">
        <v>0.99182700000000001</v>
      </c>
      <c r="Q620">
        <v>3.3732749999999999E-2</v>
      </c>
      <c r="R620">
        <v>0.1230494</v>
      </c>
      <c r="S620">
        <v>3.0081479999999998</v>
      </c>
      <c r="T620">
        <v>-0.23531650000000001</v>
      </c>
      <c r="U620">
        <v>0.2004089</v>
      </c>
      <c r="V620">
        <v>-0.1177184</v>
      </c>
      <c r="W620">
        <v>4.350035E-2</v>
      </c>
      <c r="X620">
        <v>0.99209380000000003</v>
      </c>
      <c r="Y620">
        <v>-6.0946010000000002E-2</v>
      </c>
      <c r="Z620">
        <v>1.9585359999999999E-3</v>
      </c>
      <c r="AA620">
        <v>0.99813909999999995</v>
      </c>
      <c r="AB620">
        <v>17</v>
      </c>
      <c r="AC620">
        <v>14.0236999999999</v>
      </c>
      <c r="AD620">
        <v>-1.104457</v>
      </c>
      <c r="AE620">
        <v>0.94020000000000403</v>
      </c>
      <c r="AF620">
        <v>-0.85956345633268205</v>
      </c>
      <c r="AG620">
        <v>-1.104457</v>
      </c>
      <c r="AH620">
        <v>13.9424549443114</v>
      </c>
      <c r="AI620">
        <v>94.520702135283699</v>
      </c>
      <c r="AJ620">
        <v>93.527865385418593</v>
      </c>
      <c r="AK620">
        <v>14.012520275612999</v>
      </c>
      <c r="AL620">
        <v>87.506826831189599</v>
      </c>
      <c r="AM620">
        <v>96.766878500755993</v>
      </c>
      <c r="AN620">
        <v>1.00000000507356</v>
      </c>
    </row>
    <row r="621" spans="1:40" x14ac:dyDescent="0.3">
      <c r="A621" t="str">
        <f>"20200111145925637"</f>
        <v>20200111145925637</v>
      </c>
      <c r="B621" t="str">
        <f>"1578725965626235"</f>
        <v>1578725965626235</v>
      </c>
      <c r="C621" t="s">
        <v>40</v>
      </c>
      <c r="D621">
        <v>4.2496489999999998</v>
      </c>
      <c r="E621">
        <v>0.51967089999999905</v>
      </c>
      <c r="F621" t="s">
        <v>43</v>
      </c>
      <c r="G621">
        <v>-414.07369999999997</v>
      </c>
      <c r="H621">
        <v>-0.05</v>
      </c>
      <c r="I621">
        <v>368.20139999999998</v>
      </c>
      <c r="J621">
        <v>-428.44319999999999</v>
      </c>
      <c r="K621">
        <v>1.0544560000000001</v>
      </c>
      <c r="L621">
        <v>367.19510000000002</v>
      </c>
      <c r="M621">
        <v>0.99993730000000003</v>
      </c>
      <c r="N621">
        <v>0</v>
      </c>
      <c r="O621">
        <v>5.3548490000000001E-3</v>
      </c>
      <c r="P621">
        <v>0.99185540000000005</v>
      </c>
      <c r="Q621">
        <v>3.5248950000000001E-2</v>
      </c>
      <c r="R621">
        <v>0.1223958</v>
      </c>
      <c r="S621">
        <v>3.0066220000000001</v>
      </c>
      <c r="T621">
        <v>-0.22892680000000001</v>
      </c>
      <c r="U621">
        <v>0.20874019999999999</v>
      </c>
      <c r="V621">
        <v>-0.1170799</v>
      </c>
      <c r="W621">
        <v>4.502188E-2</v>
      </c>
      <c r="X621">
        <v>0.99210149999999997</v>
      </c>
      <c r="Y621">
        <v>-6.3748669999999993E-2</v>
      </c>
      <c r="Z621">
        <v>2.0138859999999999E-3</v>
      </c>
      <c r="AA621">
        <v>0.99796399999999996</v>
      </c>
      <c r="AB621">
        <v>17</v>
      </c>
      <c r="AC621">
        <v>14.3695</v>
      </c>
      <c r="AD621">
        <v>-1.1044559999999899</v>
      </c>
      <c r="AE621">
        <v>1.00629999999995</v>
      </c>
      <c r="AF621">
        <v>-0.92390389855390498</v>
      </c>
      <c r="AG621">
        <v>-1.1044559999999899</v>
      </c>
      <c r="AH621">
        <v>14.290670778878001</v>
      </c>
      <c r="AI621">
        <v>94.4101548966443</v>
      </c>
      <c r="AJ621">
        <v>93.699072410476205</v>
      </c>
      <c r="AK621">
        <v>14.3630321582867</v>
      </c>
      <c r="AL621">
        <v>87.419564120972794</v>
      </c>
      <c r="AM621">
        <v>96.730461080389006</v>
      </c>
      <c r="AN621">
        <v>1.00000002948249</v>
      </c>
    </row>
    <row r="622" spans="1:40" x14ac:dyDescent="0.3">
      <c r="A622" t="str">
        <f>"20200111145925649"</f>
        <v>20200111145925649</v>
      </c>
      <c r="B622" t="str">
        <f>"1578725965646728"</f>
        <v>1578725965646728</v>
      </c>
      <c r="C622" t="s">
        <v>40</v>
      </c>
      <c r="D622">
        <v>4.279102</v>
      </c>
      <c r="E622">
        <v>0.51937</v>
      </c>
      <c r="F622" t="s">
        <v>43</v>
      </c>
      <c r="G622">
        <v>-413.65159999999997</v>
      </c>
      <c r="H622">
        <v>-0.05</v>
      </c>
      <c r="I622">
        <v>368.23</v>
      </c>
      <c r="J622">
        <v>-428.34980000000002</v>
      </c>
      <c r="K622">
        <v>1.05446</v>
      </c>
      <c r="L622">
        <v>367.19560000000001</v>
      </c>
      <c r="M622">
        <v>0.99993739999999998</v>
      </c>
      <c r="N622">
        <v>0</v>
      </c>
      <c r="O622">
        <v>5.3445790000000003E-3</v>
      </c>
      <c r="P622">
        <v>0.99182400000000004</v>
      </c>
      <c r="Q622">
        <v>3.5992789999999997E-2</v>
      </c>
      <c r="R622">
        <v>0.12243420000000001</v>
      </c>
      <c r="S622">
        <v>3.006653</v>
      </c>
      <c r="T622">
        <v>-0.22449859999999999</v>
      </c>
      <c r="U622">
        <v>0.21035770000000001</v>
      </c>
      <c r="V622">
        <v>-0.11712839999999999</v>
      </c>
      <c r="W622">
        <v>4.5769259999999999E-2</v>
      </c>
      <c r="X622">
        <v>0.99206159999999999</v>
      </c>
      <c r="Y622">
        <v>-6.4297359999999998E-2</v>
      </c>
      <c r="Z622">
        <v>1.9961779999999999E-3</v>
      </c>
      <c r="AA622">
        <v>0.99792879999999995</v>
      </c>
      <c r="AB622">
        <v>17</v>
      </c>
      <c r="AC622">
        <v>14.6982</v>
      </c>
      <c r="AD622">
        <v>-1.10446</v>
      </c>
      <c r="AE622">
        <v>1.0344</v>
      </c>
      <c r="AF622">
        <v>-0.95048536671178996</v>
      </c>
      <c r="AG622">
        <v>-1.10446</v>
      </c>
      <c r="AH622">
        <v>14.6213675341964</v>
      </c>
      <c r="AI622">
        <v>94.310706069625496</v>
      </c>
      <c r="AJ622">
        <v>93.719370440376295</v>
      </c>
      <c r="AK622">
        <v>14.6937960682046</v>
      </c>
      <c r="AL622">
        <v>87.376698271637395</v>
      </c>
      <c r="AM622">
        <v>96.7334918794527</v>
      </c>
      <c r="AN622">
        <v>1.00000005272103</v>
      </c>
    </row>
    <row r="623" spans="1:40" x14ac:dyDescent="0.3">
      <c r="A623" t="str">
        <f>"20200111145925662"</f>
        <v>20200111145925662</v>
      </c>
      <c r="B623" t="str">
        <f>"1578725965656490"</f>
        <v>1578725965656490</v>
      </c>
      <c r="C623" t="s">
        <v>40</v>
      </c>
      <c r="D623">
        <v>4.2549080000000004</v>
      </c>
      <c r="E623">
        <v>0.51918260000000005</v>
      </c>
      <c r="F623" t="s">
        <v>43</v>
      </c>
      <c r="G623">
        <v>-413.28050000000002</v>
      </c>
      <c r="H623">
        <v>-0.05</v>
      </c>
      <c r="I623">
        <v>368.262</v>
      </c>
      <c r="J623">
        <v>-428.25889999999998</v>
      </c>
      <c r="K623">
        <v>1.05446</v>
      </c>
      <c r="L623">
        <v>367.19600000000003</v>
      </c>
      <c r="M623">
        <v>0.99993719999999997</v>
      </c>
      <c r="N623">
        <v>0</v>
      </c>
      <c r="O623">
        <v>5.3351450000000003E-3</v>
      </c>
      <c r="P623">
        <v>0.99183679999999996</v>
      </c>
      <c r="Q623">
        <v>3.6461779999999999E-2</v>
      </c>
      <c r="R623">
        <v>0.122188</v>
      </c>
      <c r="S623">
        <v>3.0064700000000002</v>
      </c>
      <c r="T623">
        <v>-0.22035179999999999</v>
      </c>
      <c r="U623">
        <v>0.2127686</v>
      </c>
      <c r="V623">
        <v>-0.1168912</v>
      </c>
      <c r="W623">
        <v>4.6241780000000003E-2</v>
      </c>
      <c r="X623">
        <v>0.99206760000000005</v>
      </c>
      <c r="Y623">
        <v>-6.5111059999999998E-2</v>
      </c>
      <c r="Z623">
        <v>1.989902E-3</v>
      </c>
      <c r="AA623">
        <v>0.99787599999999999</v>
      </c>
      <c r="AB623">
        <v>17</v>
      </c>
      <c r="AC623">
        <v>14.978399999999899</v>
      </c>
      <c r="AD623">
        <v>-1.10446</v>
      </c>
      <c r="AE623">
        <v>1.0659999999999701</v>
      </c>
      <c r="AF623">
        <v>-0.98076335276986804</v>
      </c>
      <c r="AG623">
        <v>-1.10446</v>
      </c>
      <c r="AH623">
        <v>14.9032518949079</v>
      </c>
      <c r="AI623">
        <v>94.229250714135006</v>
      </c>
      <c r="AJ623">
        <v>93.765130630261098</v>
      </c>
      <c r="AK623">
        <v>14.9762694182768</v>
      </c>
      <c r="AL623">
        <v>87.349596005746506</v>
      </c>
      <c r="AM623">
        <v>96.719940259635607</v>
      </c>
      <c r="AN623">
        <v>0.99999998891238395</v>
      </c>
    </row>
    <row r="624" spans="1:40" x14ac:dyDescent="0.3">
      <c r="A624" t="str">
        <f>"20200111145925674"</f>
        <v>20200111145925674</v>
      </c>
      <c r="B624" t="str">
        <f>"1578725965666249"</f>
        <v>1578725965666249</v>
      </c>
      <c r="C624" t="s">
        <v>40</v>
      </c>
      <c r="D624">
        <v>4.2739070000000003</v>
      </c>
      <c r="E624">
        <v>0.51898959999999905</v>
      </c>
      <c r="F624" t="s">
        <v>43</v>
      </c>
      <c r="G624">
        <v>-413.1103</v>
      </c>
      <c r="H624">
        <v>-0.05</v>
      </c>
      <c r="I624">
        <v>368.2704</v>
      </c>
      <c r="J624">
        <v>-428.1626</v>
      </c>
      <c r="K624">
        <v>1.0544530000000001</v>
      </c>
      <c r="L624">
        <v>367.19659999999999</v>
      </c>
      <c r="M624">
        <v>0.99993739999999998</v>
      </c>
      <c r="N624">
        <v>0</v>
      </c>
      <c r="O624">
        <v>5.3251790000000002E-3</v>
      </c>
      <c r="P624">
        <v>0.9918401</v>
      </c>
      <c r="Q624">
        <v>3.6645329999999997E-2</v>
      </c>
      <c r="R624">
        <v>0.1221105</v>
      </c>
      <c r="S624">
        <v>3.0064700000000002</v>
      </c>
      <c r="T624">
        <v>-0.2191969</v>
      </c>
      <c r="U624">
        <v>0.21322630000000001</v>
      </c>
      <c r="V624">
        <v>-0.116824</v>
      </c>
      <c r="W624">
        <v>4.6428490000000003E-2</v>
      </c>
      <c r="X624">
        <v>0.99206680000000003</v>
      </c>
      <c r="Y624">
        <v>-6.5273399999999995E-2</v>
      </c>
      <c r="Z624">
        <v>1.986116E-3</v>
      </c>
      <c r="AA624">
        <v>0.99786540000000001</v>
      </c>
      <c r="AB624">
        <v>17</v>
      </c>
      <c r="AC624">
        <v>15.052300000000001</v>
      </c>
      <c r="AD624">
        <v>-1.1044529999999999</v>
      </c>
      <c r="AE624">
        <v>1.0738000000000001</v>
      </c>
      <c r="AF624">
        <v>-0.98833066930063895</v>
      </c>
      <c r="AG624">
        <v>-1.1044529999999999</v>
      </c>
      <c r="AH624">
        <v>14.9775770494314</v>
      </c>
      <c r="AI624">
        <v>94.208263213573105</v>
      </c>
      <c r="AJ624">
        <v>93.7753235281033</v>
      </c>
      <c r="AK624">
        <v>15.050728494419999</v>
      </c>
      <c r="AL624">
        <v>87.3388868210602</v>
      </c>
      <c r="AM624">
        <v>96.716117676104105</v>
      </c>
      <c r="AN624">
        <v>0.99999999366096004</v>
      </c>
    </row>
    <row r="625" spans="1:40" x14ac:dyDescent="0.3">
      <c r="A625" t="str">
        <f>"20200111145925684"</f>
        <v>20200111145925684</v>
      </c>
      <c r="B625" t="str">
        <f>"1578725965676008"</f>
        <v>1578725965676008</v>
      </c>
      <c r="C625" t="s">
        <v>40</v>
      </c>
      <c r="D625">
        <v>4.2727320000000004</v>
      </c>
      <c r="E625">
        <v>0.51879989999999998</v>
      </c>
      <c r="F625" t="s">
        <v>43</v>
      </c>
      <c r="G625">
        <v>-412.9228</v>
      </c>
      <c r="H625">
        <v>-0.05</v>
      </c>
      <c r="I625">
        <v>368.28339999999997</v>
      </c>
      <c r="J625">
        <v>-428.07740000000001</v>
      </c>
      <c r="K625">
        <v>1.0544519999999999</v>
      </c>
      <c r="L625">
        <v>367.197</v>
      </c>
      <c r="M625">
        <v>0.99993750000000003</v>
      </c>
      <c r="N625">
        <v>0</v>
      </c>
      <c r="O625">
        <v>5.3167659999999997E-3</v>
      </c>
      <c r="P625">
        <v>0.9919597</v>
      </c>
      <c r="Q625">
        <v>3.4271080000000002E-2</v>
      </c>
      <c r="R625">
        <v>0.1218272</v>
      </c>
      <c r="S625">
        <v>3.0063170000000001</v>
      </c>
      <c r="T625">
        <v>-0.2178725</v>
      </c>
      <c r="U625">
        <v>0.21438599999999999</v>
      </c>
      <c r="V625">
        <v>-0.1165489</v>
      </c>
      <c r="W625">
        <v>4.405771E-2</v>
      </c>
      <c r="X625">
        <v>0.99220730000000001</v>
      </c>
      <c r="Y625">
        <v>-6.5669160000000004E-2</v>
      </c>
      <c r="Z625">
        <v>1.9891330000000001E-3</v>
      </c>
      <c r="AA625">
        <v>0.99783949999999999</v>
      </c>
      <c r="AB625">
        <v>17</v>
      </c>
      <c r="AC625">
        <v>15.1546</v>
      </c>
      <c r="AD625">
        <v>-1.104452</v>
      </c>
      <c r="AE625">
        <v>1.08640000000002</v>
      </c>
      <c r="AF625">
        <v>-1.00052034293561</v>
      </c>
      <c r="AG625">
        <v>-1.104452</v>
      </c>
      <c r="AH625">
        <v>15.080474083098601</v>
      </c>
      <c r="AI625">
        <v>94.179549502263299</v>
      </c>
      <c r="AJ625">
        <v>93.795749642750806</v>
      </c>
      <c r="AK625">
        <v>15.1539286572142</v>
      </c>
      <c r="AL625">
        <v>87.474861863935601</v>
      </c>
      <c r="AM625">
        <v>96.699506184923905</v>
      </c>
      <c r="AN625">
        <v>1.00000002703747</v>
      </c>
    </row>
    <row r="626" spans="1:40" x14ac:dyDescent="0.3">
      <c r="A626" t="str">
        <f>"20200111145925696"</f>
        <v>20200111145925696</v>
      </c>
      <c r="B626" t="str">
        <f>"1578725965686744"</f>
        <v>1578725965686744</v>
      </c>
      <c r="C626" t="s">
        <v>40</v>
      </c>
      <c r="D626">
        <v>4.4293969999999998</v>
      </c>
      <c r="E626">
        <v>0.51918489999999995</v>
      </c>
      <c r="F626" t="s">
        <v>43</v>
      </c>
      <c r="G626">
        <v>-413.2928</v>
      </c>
      <c r="H626">
        <v>-0.05</v>
      </c>
      <c r="I626">
        <v>368.2527</v>
      </c>
      <c r="J626">
        <v>-427.9905</v>
      </c>
      <c r="K626">
        <v>1.0544469999999999</v>
      </c>
      <c r="L626">
        <v>367.19740000000002</v>
      </c>
      <c r="M626">
        <v>0.99993739999999998</v>
      </c>
      <c r="N626">
        <v>0</v>
      </c>
      <c r="O626">
        <v>5.3087109999999998E-3</v>
      </c>
      <c r="P626">
        <v>0.99205030000000005</v>
      </c>
      <c r="Q626">
        <v>3.2600709999999998E-2</v>
      </c>
      <c r="R626">
        <v>0.1215454</v>
      </c>
      <c r="S626">
        <v>3.0056759999999998</v>
      </c>
      <c r="T626">
        <v>-0.22453310000000001</v>
      </c>
      <c r="U626">
        <v>0.21463009999999999</v>
      </c>
      <c r="V626">
        <v>-0.1162743</v>
      </c>
      <c r="W626">
        <v>4.23913E-2</v>
      </c>
      <c r="X626">
        <v>0.99231210000000003</v>
      </c>
      <c r="Y626">
        <v>-6.5762829999999994E-2</v>
      </c>
      <c r="Z626">
        <v>2.0542949999999998E-3</v>
      </c>
      <c r="AA626">
        <v>0.99783319999999998</v>
      </c>
      <c r="AB626">
        <v>17</v>
      </c>
      <c r="AC626">
        <v>14.6976999999999</v>
      </c>
      <c r="AD626">
        <v>-1.104447</v>
      </c>
      <c r="AE626">
        <v>1.0552999999999799</v>
      </c>
      <c r="AF626">
        <v>-0.97179625031990302</v>
      </c>
      <c r="AG626">
        <v>-1.104447</v>
      </c>
      <c r="AH626">
        <v>14.6209593940169</v>
      </c>
      <c r="AI626">
        <v>94.310365201680696</v>
      </c>
      <c r="AJ626">
        <v>93.802626498111195</v>
      </c>
      <c r="AK626">
        <v>14.694782908550801</v>
      </c>
      <c r="AL626">
        <v>87.570429433013302</v>
      </c>
      <c r="AM626">
        <v>96.683164998411996</v>
      </c>
      <c r="AN626">
        <v>1.0000000194812899</v>
      </c>
    </row>
    <row r="627" spans="1:40" x14ac:dyDescent="0.3">
      <c r="A627" t="str">
        <f>"20200111145925716"</f>
        <v>20200111145925716</v>
      </c>
      <c r="B627" t="str">
        <f>"1578725965706267"</f>
        <v>1578725965706267</v>
      </c>
      <c r="C627" t="s">
        <v>40</v>
      </c>
      <c r="D627">
        <v>4.2779480000000003</v>
      </c>
      <c r="E627">
        <v>0.51913729999999902</v>
      </c>
      <c r="F627" t="s">
        <v>43</v>
      </c>
      <c r="G627">
        <v>-413.37450000000001</v>
      </c>
      <c r="H627">
        <v>-0.05</v>
      </c>
      <c r="I627">
        <v>368.22109999999998</v>
      </c>
      <c r="J627">
        <v>-427.84140000000002</v>
      </c>
      <c r="K627">
        <v>1.0544340000000001</v>
      </c>
      <c r="L627">
        <v>367.19819999999999</v>
      </c>
      <c r="M627">
        <v>0.99993750000000003</v>
      </c>
      <c r="N627">
        <v>0</v>
      </c>
      <c r="O627">
        <v>5.2954009999999999E-3</v>
      </c>
      <c r="P627">
        <v>0.99209899999999995</v>
      </c>
      <c r="Q627">
        <v>3.1312989999999999E-2</v>
      </c>
      <c r="R627">
        <v>0.1214872</v>
      </c>
      <c r="S627">
        <v>3.0057369999999999</v>
      </c>
      <c r="T627">
        <v>-0.2271272</v>
      </c>
      <c r="U627">
        <v>0.21051030000000001</v>
      </c>
      <c r="V627">
        <v>-0.116229399999999</v>
      </c>
      <c r="W627">
        <v>4.1108760000000001E-2</v>
      </c>
      <c r="X627">
        <v>0.99237129999999996</v>
      </c>
      <c r="Y627">
        <v>-6.4413609999999996E-2</v>
      </c>
      <c r="Z627">
        <v>2.028181E-3</v>
      </c>
      <c r="AA627">
        <v>0.99792119999999995</v>
      </c>
      <c r="AB627">
        <v>17</v>
      </c>
      <c r="AC627">
        <v>14.466900000000001</v>
      </c>
      <c r="AD627">
        <v>-1.1044339999999999</v>
      </c>
      <c r="AE627">
        <v>1.0228999999999899</v>
      </c>
      <c r="AF627">
        <v>-0.940817980991137</v>
      </c>
      <c r="AG627">
        <v>-1.1044339999999999</v>
      </c>
      <c r="AH627">
        <v>14.3886723019444</v>
      </c>
      <c r="AI627">
        <v>94.379939960951504</v>
      </c>
      <c r="AJ627">
        <v>93.7410175516019</v>
      </c>
      <c r="AK627">
        <v>14.4616321190402</v>
      </c>
      <c r="AL627">
        <v>87.643977648190202</v>
      </c>
      <c r="AM627">
        <v>96.680212656390296</v>
      </c>
      <c r="AN627">
        <v>1.00000000031839</v>
      </c>
    </row>
    <row r="628" spans="1:40" x14ac:dyDescent="0.3">
      <c r="A628" t="str">
        <f>"20200111145925727"</f>
        <v>20200111145925727</v>
      </c>
      <c r="B628" t="str">
        <f>"1578725965716025"</f>
        <v>1578725965716025</v>
      </c>
      <c r="C628" t="s">
        <v>40</v>
      </c>
      <c r="D628">
        <v>4.3209049999999998</v>
      </c>
      <c r="E628">
        <v>0.5190536</v>
      </c>
      <c r="F628" t="s">
        <v>43</v>
      </c>
      <c r="G628">
        <v>-412.97269999999997</v>
      </c>
      <c r="H628">
        <v>-0.05</v>
      </c>
      <c r="I628">
        <v>368.24149999999997</v>
      </c>
      <c r="J628">
        <v>-427.7534</v>
      </c>
      <c r="K628">
        <v>1.054433</v>
      </c>
      <c r="L628">
        <v>367.19869999999997</v>
      </c>
      <c r="M628">
        <v>0.99993750000000003</v>
      </c>
      <c r="N628">
        <v>0</v>
      </c>
      <c r="O628">
        <v>5.2878219999999898E-3</v>
      </c>
      <c r="P628">
        <v>0.99206819999999896</v>
      </c>
      <c r="Q628">
        <v>3.1052300000000001E-2</v>
      </c>
      <c r="R628">
        <v>0.121806399999999</v>
      </c>
      <c r="S628">
        <v>3.005096</v>
      </c>
      <c r="T628">
        <v>-0.22321579999999999</v>
      </c>
      <c r="U628">
        <v>0.2108459</v>
      </c>
      <c r="V628">
        <v>-0.1165567</v>
      </c>
      <c r="W628">
        <v>4.0850060000000001E-2</v>
      </c>
      <c r="X628">
        <v>0.99234359999999999</v>
      </c>
      <c r="Y628">
        <v>-6.4552170000000006E-2</v>
      </c>
      <c r="Z628">
        <v>1.9994589999999999E-3</v>
      </c>
      <c r="AA628">
        <v>0.99791229999999997</v>
      </c>
      <c r="AB628">
        <v>17</v>
      </c>
      <c r="AC628">
        <v>14.7807</v>
      </c>
      <c r="AD628">
        <v>-1.104433</v>
      </c>
      <c r="AE628">
        <v>1.04279999999999</v>
      </c>
      <c r="AF628">
        <v>-0.95929444286381305</v>
      </c>
      <c r="AG628">
        <v>-1.104433</v>
      </c>
      <c r="AH628">
        <v>14.704316176295</v>
      </c>
      <c r="AI628">
        <v>94.2863110514607</v>
      </c>
      <c r="AJ628">
        <v>93.732628132996098</v>
      </c>
      <c r="AK628">
        <v>14.7769053692595</v>
      </c>
      <c r="AL628">
        <v>87.658812541334399</v>
      </c>
      <c r="AM628">
        <v>96.699038586733806</v>
      </c>
      <c r="AN628">
        <v>1.00000000608892</v>
      </c>
    </row>
    <row r="629" spans="1:40" x14ac:dyDescent="0.3">
      <c r="A629" t="str">
        <f>"20200111145925739"</f>
        <v>20200111145925739</v>
      </c>
      <c r="B629" t="str">
        <f>"1578725965736521"</f>
        <v>1578725965736521</v>
      </c>
      <c r="C629" t="s">
        <v>40</v>
      </c>
      <c r="D629">
        <v>4.275938</v>
      </c>
      <c r="E629">
        <v>0.51879419999999998</v>
      </c>
      <c r="F629" t="s">
        <v>43</v>
      </c>
      <c r="G629">
        <v>-412.70150000000001</v>
      </c>
      <c r="H629">
        <v>-0.05</v>
      </c>
      <c r="I629">
        <v>368.26249999999999</v>
      </c>
      <c r="J629">
        <v>-427.65820000000002</v>
      </c>
      <c r="K629">
        <v>1.054433</v>
      </c>
      <c r="L629">
        <v>367.19920000000002</v>
      </c>
      <c r="M629">
        <v>0.99993739999999998</v>
      </c>
      <c r="N629">
        <v>0</v>
      </c>
      <c r="O629">
        <v>5.2798840000000003E-3</v>
      </c>
      <c r="P629">
        <v>0.99200540000000004</v>
      </c>
      <c r="Q629">
        <v>3.1951340000000002E-2</v>
      </c>
      <c r="R629">
        <v>0.1220832</v>
      </c>
      <c r="S629">
        <v>3.0048520000000001</v>
      </c>
      <c r="T629">
        <v>-0.2204808</v>
      </c>
      <c r="U629">
        <v>0.2123718</v>
      </c>
      <c r="V629">
        <v>-0.1168415</v>
      </c>
      <c r="W629">
        <v>4.1751469999999999E-2</v>
      </c>
      <c r="X629">
        <v>0.99227259999999995</v>
      </c>
      <c r="Y629">
        <v>-6.5072530000000003E-2</v>
      </c>
      <c r="Z629">
        <v>1.994773E-3</v>
      </c>
      <c r="AA629">
        <v>0.99787859999999995</v>
      </c>
      <c r="AB629">
        <v>17</v>
      </c>
      <c r="AC629">
        <v>14.9567</v>
      </c>
      <c r="AD629">
        <v>-1.104433</v>
      </c>
      <c r="AE629">
        <v>1.0632999999999599</v>
      </c>
      <c r="AF629">
        <v>-0.97900039609713296</v>
      </c>
      <c r="AG629">
        <v>-1.104433</v>
      </c>
      <c r="AH629">
        <v>14.881371088701099</v>
      </c>
      <c r="AI629">
        <v>94.235349411581794</v>
      </c>
      <c r="AJ629">
        <v>93.763892349694501</v>
      </c>
      <c r="AK629">
        <v>14.954377937803899</v>
      </c>
      <c r="AL629">
        <v>87.607121472556898</v>
      </c>
      <c r="AM629">
        <v>96.715734123257505</v>
      </c>
      <c r="AN629">
        <v>1.00000001704008</v>
      </c>
    </row>
    <row r="630" spans="1:40" x14ac:dyDescent="0.3">
      <c r="A630" t="str">
        <f>"20200111145925751"</f>
        <v>20200111145925751</v>
      </c>
      <c r="B630" t="str">
        <f>"1578725965746281"</f>
        <v>1578725965746281</v>
      </c>
      <c r="C630" t="s">
        <v>40</v>
      </c>
      <c r="D630">
        <v>4.3473550000000003</v>
      </c>
      <c r="E630">
        <v>0.51885800000000004</v>
      </c>
      <c r="F630" t="s">
        <v>43</v>
      </c>
      <c r="G630">
        <v>-411.79750000000001</v>
      </c>
      <c r="H630">
        <v>-0.05</v>
      </c>
      <c r="I630">
        <v>368.33609999999999</v>
      </c>
      <c r="J630">
        <v>-427.57069999999999</v>
      </c>
      <c r="K630">
        <v>1.054435</v>
      </c>
      <c r="L630">
        <v>367.19970000000001</v>
      </c>
      <c r="M630">
        <v>0.99993750000000003</v>
      </c>
      <c r="N630">
        <v>0</v>
      </c>
      <c r="O630">
        <v>5.2726619999999896E-3</v>
      </c>
      <c r="P630">
        <v>0.99197440000000003</v>
      </c>
      <c r="Q630">
        <v>3.1963529999999997E-2</v>
      </c>
      <c r="R630">
        <v>0.1223322</v>
      </c>
      <c r="S630">
        <v>3.0044249999999999</v>
      </c>
      <c r="T630">
        <v>-0.20920710000000001</v>
      </c>
      <c r="U630">
        <v>0.21536250000000001</v>
      </c>
      <c r="V630">
        <v>-0.1170979</v>
      </c>
      <c r="W630">
        <v>4.1765759999999999E-2</v>
      </c>
      <c r="X630">
        <v>0.9922417</v>
      </c>
      <c r="Y630">
        <v>-6.6091430000000007E-2</v>
      </c>
      <c r="Z630">
        <v>1.9291169999999999E-3</v>
      </c>
      <c r="AA630">
        <v>0.99781169999999997</v>
      </c>
      <c r="AB630">
        <v>17</v>
      </c>
      <c r="AC630">
        <v>15.7731999999999</v>
      </c>
      <c r="AD630">
        <v>-1.1044350000000001</v>
      </c>
      <c r="AE630">
        <v>1.1363999999999801</v>
      </c>
      <c r="AF630">
        <v>-1.0481013523573699</v>
      </c>
      <c r="AG630">
        <v>-1.1044350000000001</v>
      </c>
      <c r="AH630">
        <v>15.7023853673484</v>
      </c>
      <c r="AI630">
        <v>94.014397639270399</v>
      </c>
      <c r="AJ630">
        <v>93.818708920232297</v>
      </c>
      <c r="AK630">
        <v>15.7760324333704</v>
      </c>
      <c r="AL630">
        <v>87.606301826276095</v>
      </c>
      <c r="AM630">
        <v>96.730543927316802</v>
      </c>
      <c r="AN630">
        <v>0.99999994405583703</v>
      </c>
    </row>
    <row r="631" spans="1:40" x14ac:dyDescent="0.3">
      <c r="A631" t="str">
        <f>"20200111145925764"</f>
        <v>20200111145925764</v>
      </c>
      <c r="B631" t="str">
        <f>"1578725965756040"</f>
        <v>1578725965756040</v>
      </c>
      <c r="C631" t="s">
        <v>40</v>
      </c>
      <c r="D631">
        <v>4.3173320000000004</v>
      </c>
      <c r="E631">
        <v>0.51865559999999999</v>
      </c>
      <c r="F631" t="s">
        <v>43</v>
      </c>
      <c r="G631">
        <v>-411.47579999999999</v>
      </c>
      <c r="H631">
        <v>-0.05</v>
      </c>
      <c r="I631">
        <v>368.35469999999998</v>
      </c>
      <c r="J631">
        <v>-427.47089999999997</v>
      </c>
      <c r="K631">
        <v>1.0544340000000001</v>
      </c>
      <c r="L631">
        <v>367.2002</v>
      </c>
      <c r="M631">
        <v>0.99993750000000003</v>
      </c>
      <c r="N631">
        <v>0</v>
      </c>
      <c r="O631">
        <v>5.2646029999999996E-3</v>
      </c>
      <c r="P631">
        <v>0.99197550000000001</v>
      </c>
      <c r="Q631">
        <v>3.170659E-2</v>
      </c>
      <c r="R631">
        <v>0.1223918</v>
      </c>
      <c r="S631">
        <v>3.0043639999999998</v>
      </c>
      <c r="T631">
        <v>-0.2061597</v>
      </c>
      <c r="U631">
        <v>0.21560670000000001</v>
      </c>
      <c r="V631">
        <v>-0.1171649</v>
      </c>
      <c r="W631">
        <v>4.151183E-2</v>
      </c>
      <c r="X631">
        <v>0.99224449999999997</v>
      </c>
      <c r="Y631">
        <v>-6.6185540000000001E-2</v>
      </c>
      <c r="Z631">
        <v>1.9048890000000001E-3</v>
      </c>
      <c r="AA631">
        <v>0.99780550000000001</v>
      </c>
      <c r="AB631">
        <v>17</v>
      </c>
      <c r="AC631">
        <v>15.9950999999999</v>
      </c>
      <c r="AD631">
        <v>-1.1044339999999999</v>
      </c>
      <c r="AE631">
        <v>1.1544999999999801</v>
      </c>
      <c r="AF631">
        <v>-1.06521976298167</v>
      </c>
      <c r="AG631">
        <v>-1.1044339999999999</v>
      </c>
      <c r="AH631">
        <v>15.9254230426733</v>
      </c>
      <c r="AI631">
        <v>93.958315107842495</v>
      </c>
      <c r="AJ631">
        <v>93.826700240000704</v>
      </c>
      <c r="AK631">
        <v>15.999173937798</v>
      </c>
      <c r="AL631">
        <v>87.620863698959596</v>
      </c>
      <c r="AM631">
        <v>96.734340759240396</v>
      </c>
      <c r="AN631">
        <v>0.99999999680110396</v>
      </c>
    </row>
    <row r="632" spans="1:40" x14ac:dyDescent="0.3">
      <c r="A632" t="str">
        <f>"20200111145925776"</f>
        <v>20200111145925776</v>
      </c>
      <c r="B632" t="str">
        <f>"1578725965766777"</f>
        <v>1578725965766777</v>
      </c>
      <c r="C632" t="s">
        <v>40</v>
      </c>
      <c r="D632">
        <v>4.3394579999999996</v>
      </c>
      <c r="E632">
        <v>0.51887759999999905</v>
      </c>
      <c r="F632" t="s">
        <v>43</v>
      </c>
      <c r="G632">
        <v>-411.40390000000002</v>
      </c>
      <c r="H632">
        <v>-0.05</v>
      </c>
      <c r="I632">
        <v>368.36439999999999</v>
      </c>
      <c r="J632">
        <v>-427.3707</v>
      </c>
      <c r="K632">
        <v>1.054435</v>
      </c>
      <c r="L632">
        <v>367.20069999999998</v>
      </c>
      <c r="M632">
        <v>0.99993739999999998</v>
      </c>
      <c r="N632">
        <v>0</v>
      </c>
      <c r="O632">
        <v>5.2570200000000003E-3</v>
      </c>
      <c r="P632">
        <v>0.99194499999999997</v>
      </c>
      <c r="Q632">
        <v>3.175973E-2</v>
      </c>
      <c r="R632">
        <v>0.12262290000000001</v>
      </c>
      <c r="S632">
        <v>3.0039669999999998</v>
      </c>
      <c r="T632">
        <v>-0.2064906</v>
      </c>
      <c r="U632">
        <v>0.21768190000000001</v>
      </c>
      <c r="V632">
        <v>-0.11740399999999999</v>
      </c>
      <c r="W632">
        <v>4.156758E-2</v>
      </c>
      <c r="X632">
        <v>0.99221389999999998</v>
      </c>
      <c r="Y632">
        <v>-6.6886100000000004E-2</v>
      </c>
      <c r="Z632">
        <v>1.93268E-3</v>
      </c>
      <c r="AA632">
        <v>0.9977587</v>
      </c>
      <c r="AB632">
        <v>17</v>
      </c>
      <c r="AC632">
        <v>15.9667999999999</v>
      </c>
      <c r="AD632">
        <v>-1.1044350000000001</v>
      </c>
      <c r="AE632">
        <v>1.1637</v>
      </c>
      <c r="AF632">
        <v>-1.07462755368951</v>
      </c>
      <c r="AG632">
        <v>-1.1044350000000001</v>
      </c>
      <c r="AH632">
        <v>15.897038347613099</v>
      </c>
      <c r="AI632">
        <v>93.965175679281003</v>
      </c>
      <c r="AJ632">
        <v>93.867267052806397</v>
      </c>
      <c r="AK632">
        <v>15.971550622085999</v>
      </c>
      <c r="AL632">
        <v>87.617666691032397</v>
      </c>
      <c r="AM632">
        <v>96.748163205289401</v>
      </c>
      <c r="AN632">
        <v>0.99999999313813304</v>
      </c>
    </row>
    <row r="633" spans="1:40" x14ac:dyDescent="0.3">
      <c r="A633" t="str">
        <f>"20200111145925795"</f>
        <v>20200111145925795</v>
      </c>
      <c r="B633" t="str">
        <f>"1578725965786299"</f>
        <v>1578725965786299</v>
      </c>
      <c r="C633" t="s">
        <v>40</v>
      </c>
      <c r="D633">
        <v>4.3241139999999998</v>
      </c>
      <c r="E633">
        <v>0.51823859999999999</v>
      </c>
      <c r="F633" t="s">
        <v>43</v>
      </c>
      <c r="G633">
        <v>-411.38310000000001</v>
      </c>
      <c r="H633">
        <v>-0.05</v>
      </c>
      <c r="I633">
        <v>368.35359999999997</v>
      </c>
      <c r="J633">
        <v>-427.23680000000002</v>
      </c>
      <c r="K633">
        <v>1.0544340000000001</v>
      </c>
      <c r="L633">
        <v>367.20139999999998</v>
      </c>
      <c r="M633">
        <v>0.99993739999999998</v>
      </c>
      <c r="N633">
        <v>0</v>
      </c>
      <c r="O633">
        <v>5.2467490000000002E-3</v>
      </c>
      <c r="P633">
        <v>0.99181419999999998</v>
      </c>
      <c r="Q633">
        <v>3.2422230000000003E-2</v>
      </c>
      <c r="R633">
        <v>0.1235043</v>
      </c>
      <c r="S633">
        <v>3.0042110000000002</v>
      </c>
      <c r="T633">
        <v>-0.2075321</v>
      </c>
      <c r="U633">
        <v>0.21664430000000001</v>
      </c>
      <c r="V633">
        <v>-0.11829629999999999</v>
      </c>
      <c r="W633">
        <v>4.2232649999999997E-2</v>
      </c>
      <c r="X633">
        <v>0.99207990000000001</v>
      </c>
      <c r="Y633">
        <v>-6.6547010000000004E-2</v>
      </c>
      <c r="Z633">
        <v>1.931297E-3</v>
      </c>
      <c r="AA633">
        <v>0.99778140000000004</v>
      </c>
      <c r="AB633">
        <v>17</v>
      </c>
      <c r="AC633">
        <v>15.8537</v>
      </c>
      <c r="AD633">
        <v>-1.1044339999999999</v>
      </c>
      <c r="AE633">
        <v>1.1521999999999899</v>
      </c>
      <c r="AF633">
        <v>-1.0638637940989799</v>
      </c>
      <c r="AG633">
        <v>-1.1044339999999999</v>
      </c>
      <c r="AH633">
        <v>15.7833319081124</v>
      </c>
      <c r="AI633">
        <v>93.993698081484197</v>
      </c>
      <c r="AJ633">
        <v>93.856146707780994</v>
      </c>
      <c r="AK633">
        <v>15.8576526243448</v>
      </c>
      <c r="AL633">
        <v>87.579527677621996</v>
      </c>
      <c r="AM633">
        <v>96.799882358458404</v>
      </c>
      <c r="AN633">
        <v>1.0000000696518501</v>
      </c>
    </row>
    <row r="634" spans="1:40" x14ac:dyDescent="0.3">
      <c r="A634" t="str">
        <f>"20200111145925807"</f>
        <v>20200111145925807</v>
      </c>
      <c r="B634" t="str">
        <f>"1578725965796057"</f>
        <v>1578725965796057</v>
      </c>
      <c r="C634" t="s">
        <v>40</v>
      </c>
      <c r="D634">
        <v>4.2664849999999896</v>
      </c>
      <c r="E634">
        <v>0.51812009999999997</v>
      </c>
      <c r="F634" t="s">
        <v>43</v>
      </c>
      <c r="G634">
        <v>-411.24299999999999</v>
      </c>
      <c r="H634">
        <v>-0.05</v>
      </c>
      <c r="I634">
        <v>368.39499999999998</v>
      </c>
      <c r="J634">
        <v>-427.137</v>
      </c>
      <c r="K634">
        <v>1.054433</v>
      </c>
      <c r="L634">
        <v>367.20190000000002</v>
      </c>
      <c r="M634">
        <v>0.99993750000000003</v>
      </c>
      <c r="N634">
        <v>0</v>
      </c>
      <c r="O634">
        <v>5.2391640000000001E-3</v>
      </c>
      <c r="P634">
        <v>0.99175349999999995</v>
      </c>
      <c r="Q634">
        <v>3.2128709999999998E-2</v>
      </c>
      <c r="R634">
        <v>0.124068</v>
      </c>
      <c r="S634">
        <v>3.0036619999999998</v>
      </c>
      <c r="T634">
        <v>-0.20741380000000001</v>
      </c>
      <c r="U634">
        <v>0.22415160000000001</v>
      </c>
      <c r="V634">
        <v>-0.11886770000000001</v>
      </c>
      <c r="W634">
        <v>4.1941079999999999E-2</v>
      </c>
      <c r="X634">
        <v>0.99202389999999996</v>
      </c>
      <c r="Y634">
        <v>-6.9042179999999995E-2</v>
      </c>
      <c r="Z634">
        <v>2.0168260000000002E-3</v>
      </c>
      <c r="AA634">
        <v>0.99761169999999999</v>
      </c>
      <c r="AB634">
        <v>17</v>
      </c>
      <c r="AC634">
        <v>15.893999999999799</v>
      </c>
      <c r="AD634">
        <v>-1.104433</v>
      </c>
      <c r="AE634">
        <v>1.1930999999999501</v>
      </c>
      <c r="AF634">
        <v>-1.1045050686148601</v>
      </c>
      <c r="AG634">
        <v>-1.104433</v>
      </c>
      <c r="AH634">
        <v>15.8240546592555</v>
      </c>
      <c r="AI634">
        <v>93.982800717664901</v>
      </c>
      <c r="AJ634">
        <v>93.992719249099693</v>
      </c>
      <c r="AK634">
        <v>15.9009562466284</v>
      </c>
      <c r="AL634">
        <v>87.596248057538901</v>
      </c>
      <c r="AM634">
        <v>96.832799740317398</v>
      </c>
      <c r="AN634">
        <v>1.0000000012330299</v>
      </c>
    </row>
    <row r="635" spans="1:40" x14ac:dyDescent="0.3">
      <c r="A635" t="str">
        <f>"20200111145925818"</f>
        <v>20200111145925818</v>
      </c>
      <c r="B635" t="str">
        <f>"1578725965816553"</f>
        <v>1578725965816553</v>
      </c>
      <c r="C635" t="s">
        <v>40</v>
      </c>
      <c r="D635">
        <v>4.3827400000000001</v>
      </c>
      <c r="E635">
        <v>0.51816519999999999</v>
      </c>
      <c r="F635" t="s">
        <v>43</v>
      </c>
      <c r="G635">
        <v>-411.2774</v>
      </c>
      <c r="H635">
        <v>-0.05</v>
      </c>
      <c r="I635">
        <v>368.40039999999999</v>
      </c>
      <c r="J635">
        <v>-427.04649999999998</v>
      </c>
      <c r="K635">
        <v>1.0544340000000001</v>
      </c>
      <c r="L635">
        <v>367.20240000000001</v>
      </c>
      <c r="M635">
        <v>0.99993750000000003</v>
      </c>
      <c r="N635">
        <v>0</v>
      </c>
      <c r="O635">
        <v>5.2325920000000003E-3</v>
      </c>
      <c r="P635">
        <v>0.99169339999999995</v>
      </c>
      <c r="Q635">
        <v>3.123163E-2</v>
      </c>
      <c r="R635">
        <v>0.1247752</v>
      </c>
      <c r="S635">
        <v>3.0032960000000002</v>
      </c>
      <c r="T635">
        <v>-0.20914450000000001</v>
      </c>
      <c r="U635">
        <v>0.2269592</v>
      </c>
      <c r="V635">
        <v>-0.1195817</v>
      </c>
      <c r="W635">
        <v>4.104588E-2</v>
      </c>
      <c r="X635">
        <v>0.99197550000000001</v>
      </c>
      <c r="Y635">
        <v>-6.9980290000000001E-2</v>
      </c>
      <c r="Z635">
        <v>2.066825E-3</v>
      </c>
      <c r="AA635">
        <v>0.9975463</v>
      </c>
      <c r="AB635">
        <v>17</v>
      </c>
      <c r="AC635">
        <v>15.7690999999999</v>
      </c>
      <c r="AD635">
        <v>-1.1044339999999999</v>
      </c>
      <c r="AE635">
        <v>1.19799999999997</v>
      </c>
      <c r="AF635">
        <v>-1.1100524086999499</v>
      </c>
      <c r="AG635">
        <v>-1.1044339999999999</v>
      </c>
      <c r="AH635">
        <v>15.6985886392207</v>
      </c>
      <c r="AI635">
        <v>94.014277060008098</v>
      </c>
      <c r="AJ635">
        <v>94.044671481444496</v>
      </c>
      <c r="AK635">
        <v>15.7764912472287</v>
      </c>
      <c r="AL635">
        <v>87.647583378658197</v>
      </c>
      <c r="AM635">
        <v>96.873782838890094</v>
      </c>
      <c r="AN635">
        <v>0.99999996992005602</v>
      </c>
    </row>
    <row r="636" spans="1:40" x14ac:dyDescent="0.3">
      <c r="A636" t="str">
        <f>"20200111145925830"</f>
        <v>20200111145925830</v>
      </c>
      <c r="B636" t="str">
        <f>"1578725965826312"</f>
        <v>1578725965826312</v>
      </c>
      <c r="C636" t="s">
        <v>40</v>
      </c>
      <c r="D636">
        <v>4.2723690000000003</v>
      </c>
      <c r="E636">
        <v>0.51816139999999999</v>
      </c>
      <c r="F636" t="s">
        <v>43</v>
      </c>
      <c r="G636">
        <v>-411.47879999999998</v>
      </c>
      <c r="H636">
        <v>-0.05</v>
      </c>
      <c r="I636">
        <v>368.38670000000002</v>
      </c>
      <c r="J636">
        <v>-426.96210000000002</v>
      </c>
      <c r="K636">
        <v>1.0544309999999999</v>
      </c>
      <c r="L636">
        <v>367.20280000000002</v>
      </c>
      <c r="M636">
        <v>0.99993759999999998</v>
      </c>
      <c r="N636">
        <v>0</v>
      </c>
      <c r="O636">
        <v>5.2258440000000003E-3</v>
      </c>
      <c r="P636">
        <v>0.99166509999999997</v>
      </c>
      <c r="Q636">
        <v>3.069612E-2</v>
      </c>
      <c r="R636">
        <v>0.12513350000000001</v>
      </c>
      <c r="S636">
        <v>3.0031129999999999</v>
      </c>
      <c r="T636">
        <v>-0.21305250000000001</v>
      </c>
      <c r="U636">
        <v>0.22845460000000001</v>
      </c>
      <c r="V636">
        <v>-0.1199466</v>
      </c>
      <c r="W636">
        <v>4.0512739999999998E-2</v>
      </c>
      <c r="X636">
        <v>0.99195339999999999</v>
      </c>
      <c r="Y636">
        <v>-7.0478310000000002E-2</v>
      </c>
      <c r="Z636">
        <v>2.1235339999999998E-3</v>
      </c>
      <c r="AA636">
        <v>0.99751100000000004</v>
      </c>
      <c r="AB636">
        <v>17</v>
      </c>
      <c r="AC636">
        <v>15.4833</v>
      </c>
      <c r="AD636">
        <v>-1.1044309999999999</v>
      </c>
      <c r="AE636">
        <v>1.18389999999999</v>
      </c>
      <c r="AF636">
        <v>-1.0974153455523199</v>
      </c>
      <c r="AG636">
        <v>-1.1044309999999999</v>
      </c>
      <c r="AH636">
        <v>15.411318190640401</v>
      </c>
      <c r="AI636">
        <v>94.088698239464307</v>
      </c>
      <c r="AJ636">
        <v>94.073065855756695</v>
      </c>
      <c r="AK636">
        <v>15.489764899687099</v>
      </c>
      <c r="AL636">
        <v>87.678155571688393</v>
      </c>
      <c r="AM636">
        <v>96.894708518322105</v>
      </c>
      <c r="AN636">
        <v>1.0000000083627101</v>
      </c>
    </row>
    <row r="637" spans="1:40" x14ac:dyDescent="0.3">
      <c r="A637" t="str">
        <f>"20200111145925841"</f>
        <v>20200111145925841</v>
      </c>
      <c r="B637" t="str">
        <f>"1578725965836073"</f>
        <v>1578725965836073</v>
      </c>
      <c r="C637" t="s">
        <v>40</v>
      </c>
      <c r="D637">
        <v>4.8199209999999999</v>
      </c>
      <c r="E637">
        <v>0.51816139999999999</v>
      </c>
      <c r="F637" t="s">
        <v>43</v>
      </c>
      <c r="G637">
        <v>-411.54419999999999</v>
      </c>
      <c r="H637">
        <v>-0.05</v>
      </c>
      <c r="I637">
        <v>368.38409999999999</v>
      </c>
      <c r="J637">
        <v>-426.86649999999997</v>
      </c>
      <c r="K637">
        <v>1.0544290000000001</v>
      </c>
      <c r="L637">
        <v>367.20330000000001</v>
      </c>
      <c r="M637">
        <v>0.99993759999999998</v>
      </c>
      <c r="N637">
        <v>0</v>
      </c>
      <c r="O637">
        <v>5.2184400000000004E-3</v>
      </c>
      <c r="P637">
        <v>0.99164730000000001</v>
      </c>
      <c r="Q637">
        <v>3.0759189999999999E-2</v>
      </c>
      <c r="R637">
        <v>0.1252588</v>
      </c>
      <c r="S637">
        <v>3.0028380000000001</v>
      </c>
      <c r="T637">
        <v>-0.21510219999999999</v>
      </c>
      <c r="U637">
        <v>0.230072</v>
      </c>
      <c r="V637">
        <v>-0.1200797</v>
      </c>
      <c r="W637">
        <v>4.0578009999999998E-2</v>
      </c>
      <c r="X637">
        <v>0.9919346</v>
      </c>
      <c r="Y637">
        <v>-7.1022199999999994E-2</v>
      </c>
      <c r="Z637">
        <v>2.1640190000000001E-3</v>
      </c>
      <c r="AA637">
        <v>0.99747240000000004</v>
      </c>
      <c r="AB637">
        <v>17</v>
      </c>
      <c r="AC637">
        <v>15.322299999999901</v>
      </c>
      <c r="AD637">
        <v>-1.1044290000000001</v>
      </c>
      <c r="AE637">
        <v>1.1807999999999701</v>
      </c>
      <c r="AF637">
        <v>-1.09516517379623</v>
      </c>
      <c r="AG637">
        <v>-1.1044290000000001</v>
      </c>
      <c r="AH637">
        <v>15.2494925370794</v>
      </c>
      <c r="AI637">
        <v>94.131751883104698</v>
      </c>
      <c r="AJ637">
        <v>94.1077299872682</v>
      </c>
      <c r="AK637">
        <v>15.3286063558426</v>
      </c>
      <c r="AL637">
        <v>87.674412732417395</v>
      </c>
      <c r="AM637">
        <v>96.902415093584494</v>
      </c>
      <c r="AN637">
        <v>0.99999997996240397</v>
      </c>
    </row>
    <row r="638" spans="1:40" x14ac:dyDescent="0.3">
      <c r="A638" t="str">
        <f>"20200111145925853"</f>
        <v>20200111145925853</v>
      </c>
      <c r="B638" t="str">
        <f>"1578725965846809"</f>
        <v>1578725965846809</v>
      </c>
      <c r="C638" t="s">
        <v>40</v>
      </c>
      <c r="D638">
        <v>4.2824730000000004</v>
      </c>
      <c r="E638">
        <v>0.51826879999999997</v>
      </c>
      <c r="F638" t="s">
        <v>43</v>
      </c>
      <c r="G638">
        <v>-411.44170000000003</v>
      </c>
      <c r="H638">
        <v>-0.05</v>
      </c>
      <c r="I638">
        <v>368.38720000000001</v>
      </c>
      <c r="J638">
        <v>-426.7758</v>
      </c>
      <c r="K638">
        <v>1.0544279999999999</v>
      </c>
      <c r="L638">
        <v>367.2038</v>
      </c>
      <c r="M638">
        <v>0.99993750000000003</v>
      </c>
      <c r="N638">
        <v>0</v>
      </c>
      <c r="O638">
        <v>5.2113339999999998E-3</v>
      </c>
      <c r="P638">
        <v>0.99160959999999998</v>
      </c>
      <c r="Q638">
        <v>3.1270880000000001E-2</v>
      </c>
      <c r="R638">
        <v>0.12542909999999999</v>
      </c>
      <c r="S638">
        <v>3.0028079999999999</v>
      </c>
      <c r="T638">
        <v>-0.21500340000000001</v>
      </c>
      <c r="U638">
        <v>0.2304688</v>
      </c>
      <c r="V638">
        <v>-0.1202574</v>
      </c>
      <c r="W638">
        <v>4.1091620000000002E-2</v>
      </c>
      <c r="X638">
        <v>0.99189190000000005</v>
      </c>
      <c r="Y638">
        <v>-7.1160860000000006E-2</v>
      </c>
      <c r="Z638">
        <v>2.1684970000000001E-3</v>
      </c>
      <c r="AA638">
        <v>0.99746250000000003</v>
      </c>
      <c r="AB638">
        <v>17</v>
      </c>
      <c r="AC638">
        <v>15.3340999999999</v>
      </c>
      <c r="AD638">
        <v>-1.104428</v>
      </c>
      <c r="AE638">
        <v>1.1834</v>
      </c>
      <c r="AF638">
        <v>-1.0978077407304401</v>
      </c>
      <c r="AG638">
        <v>-1.104428</v>
      </c>
      <c r="AH638">
        <v>15.261359551368001</v>
      </c>
      <c r="AI638">
        <v>94.128511968600705</v>
      </c>
      <c r="AJ638">
        <v>94.114416845951993</v>
      </c>
      <c r="AK638">
        <v>15.3406009790661</v>
      </c>
      <c r="AL638">
        <v>87.644960415411504</v>
      </c>
      <c r="AM638">
        <v>96.912825575361495</v>
      </c>
      <c r="AN638">
        <v>0.999999952387296</v>
      </c>
    </row>
    <row r="639" spans="1:40" x14ac:dyDescent="0.3">
      <c r="A639" t="str">
        <f>"20200111145925866"</f>
        <v>20200111145925866</v>
      </c>
      <c r="B639" t="str">
        <f>"1578725965856569"</f>
        <v>1578725965856569</v>
      </c>
      <c r="C639" t="s">
        <v>40</v>
      </c>
      <c r="D639">
        <v>4.2503099999999998</v>
      </c>
      <c r="E639">
        <v>0.51836789999999999</v>
      </c>
      <c r="F639" t="s">
        <v>43</v>
      </c>
      <c r="G639">
        <v>-411.08440000000002</v>
      </c>
      <c r="H639">
        <v>-0.05</v>
      </c>
      <c r="I639">
        <v>368.40620000000001</v>
      </c>
      <c r="J639">
        <v>-426.67790000000002</v>
      </c>
      <c r="K639">
        <v>1.054432</v>
      </c>
      <c r="L639">
        <v>367.20429999999999</v>
      </c>
      <c r="M639">
        <v>0.99993759999999998</v>
      </c>
      <c r="N639">
        <v>0</v>
      </c>
      <c r="O639">
        <v>5.2032750000000003E-3</v>
      </c>
      <c r="P639">
        <v>0.99161259999999996</v>
      </c>
      <c r="Q639">
        <v>3.2547890000000003E-2</v>
      </c>
      <c r="R639">
        <v>0.12508219999999901</v>
      </c>
      <c r="S639">
        <v>3.0029300000000001</v>
      </c>
      <c r="T639">
        <v>-0.2113583</v>
      </c>
      <c r="U639">
        <v>0.23010249999999999</v>
      </c>
      <c r="V639">
        <v>-0.1199185</v>
      </c>
      <c r="W639">
        <v>4.2370810000000002E-2</v>
      </c>
      <c r="X639">
        <v>0.99187919999999996</v>
      </c>
      <c r="Y639">
        <v>-7.1050760000000004E-2</v>
      </c>
      <c r="Z639">
        <v>2.1284490000000001E-3</v>
      </c>
      <c r="AA639">
        <v>0.99747039999999998</v>
      </c>
      <c r="AB639">
        <v>17</v>
      </c>
      <c r="AC639">
        <v>15.593500000000001</v>
      </c>
      <c r="AD639">
        <v>-1.1044320000000001</v>
      </c>
      <c r="AE639">
        <v>1.20190000000002</v>
      </c>
      <c r="AF639">
        <v>-1.1151813550020699</v>
      </c>
      <c r="AG639">
        <v>-1.1044320000000001</v>
      </c>
      <c r="AH639">
        <v>15.5221378628961</v>
      </c>
      <c r="AI639">
        <v>94.059425590534104</v>
      </c>
      <c r="AJ639">
        <v>94.109330178000604</v>
      </c>
      <c r="AK639">
        <v>15.6012872331716</v>
      </c>
      <c r="AL639">
        <v>87.571604528609797</v>
      </c>
      <c r="AM639">
        <v>96.893619525484695</v>
      </c>
      <c r="AN639">
        <v>1.00000003978747</v>
      </c>
    </row>
    <row r="640" spans="1:40" x14ac:dyDescent="0.3">
      <c r="A640" t="str">
        <f>"20200111145925884"</f>
        <v>20200111145925884</v>
      </c>
      <c r="B640" t="str">
        <f>"1578725965876091"</f>
        <v>1578725965876091</v>
      </c>
      <c r="C640" t="s">
        <v>40</v>
      </c>
      <c r="D640">
        <v>4.2788760000000003</v>
      </c>
      <c r="E640">
        <v>0.51849009999999995</v>
      </c>
      <c r="F640" t="s">
        <v>43</v>
      </c>
      <c r="G640">
        <v>-410.50490000000002</v>
      </c>
      <c r="H640">
        <v>-0.05</v>
      </c>
      <c r="I640">
        <v>368.43389999999999</v>
      </c>
      <c r="J640">
        <v>-426.53859999999997</v>
      </c>
      <c r="K640">
        <v>1.05444</v>
      </c>
      <c r="L640">
        <v>367.20499999999998</v>
      </c>
      <c r="M640">
        <v>0.99993770000000004</v>
      </c>
      <c r="N640">
        <v>0</v>
      </c>
      <c r="O640">
        <v>5.1918119999999996E-3</v>
      </c>
      <c r="P640">
        <v>0.99164180000000002</v>
      </c>
      <c r="Q640">
        <v>3.3849400000000002E-2</v>
      </c>
      <c r="R640">
        <v>0.124503</v>
      </c>
      <c r="S640">
        <v>3.0032960000000002</v>
      </c>
      <c r="T640">
        <v>-0.20509060000000001</v>
      </c>
      <c r="U640">
        <v>0.22833249999999999</v>
      </c>
      <c r="V640">
        <v>-0.11935030000000001</v>
      </c>
      <c r="W640">
        <v>4.3676600000000003E-2</v>
      </c>
      <c r="X640">
        <v>0.99189099999999997</v>
      </c>
      <c r="Y640">
        <v>-7.0479239999999999E-2</v>
      </c>
      <c r="Z640">
        <v>2.0465930000000002E-3</v>
      </c>
      <c r="AA640">
        <v>0.99751109999999998</v>
      </c>
      <c r="AB640">
        <v>17</v>
      </c>
      <c r="AC640">
        <v>16.0336999999999</v>
      </c>
      <c r="AD640">
        <v>-1.1044399999999901</v>
      </c>
      <c r="AE640">
        <v>1.2289000000000001</v>
      </c>
      <c r="AF640">
        <v>-1.1402567364345699</v>
      </c>
      <c r="AG640">
        <v>-1.1044399999999901</v>
      </c>
      <c r="AH640">
        <v>15.9645583596148</v>
      </c>
      <c r="AI640">
        <v>93.947435118358996</v>
      </c>
      <c r="AJ640">
        <v>94.085370897818095</v>
      </c>
      <c r="AK640">
        <v>16.0432882152049</v>
      </c>
      <c r="AL640">
        <v>87.496718699420896</v>
      </c>
      <c r="AM640">
        <v>96.861187314934</v>
      </c>
      <c r="AN640">
        <v>0.99999994768932299</v>
      </c>
    </row>
    <row r="641" spans="1:40" x14ac:dyDescent="0.3">
      <c r="A641" t="str">
        <f>"20200111145925896"</f>
        <v>20200111145925896</v>
      </c>
      <c r="B641" t="str">
        <f>"1578725965885849"</f>
        <v>1578725965885849</v>
      </c>
      <c r="C641" t="s">
        <v>40</v>
      </c>
      <c r="D641">
        <v>4.2585379999999997</v>
      </c>
      <c r="E641">
        <v>0.51851459999999905</v>
      </c>
      <c r="F641" t="s">
        <v>43</v>
      </c>
      <c r="G641">
        <v>-410.07850000000002</v>
      </c>
      <c r="H641">
        <v>-0.05</v>
      </c>
      <c r="I641">
        <v>368.4391</v>
      </c>
      <c r="J641">
        <v>-426.4391</v>
      </c>
      <c r="K641">
        <v>1.0544359999999999</v>
      </c>
      <c r="L641">
        <v>367.20549999999997</v>
      </c>
      <c r="M641">
        <v>0.99993750000000003</v>
      </c>
      <c r="N641">
        <v>0</v>
      </c>
      <c r="O641">
        <v>5.1837530000000001E-3</v>
      </c>
      <c r="P641">
        <v>0.99167470000000002</v>
      </c>
      <c r="Q641">
        <v>3.4137359999999999E-2</v>
      </c>
      <c r="R641">
        <v>0.1241627</v>
      </c>
      <c r="S641">
        <v>3.0038450000000001</v>
      </c>
      <c r="T641">
        <v>-0.2015516</v>
      </c>
      <c r="U641">
        <v>0.22521969999999999</v>
      </c>
      <c r="V641">
        <v>-0.1190177</v>
      </c>
      <c r="W641">
        <v>4.3967680000000002E-2</v>
      </c>
      <c r="X641">
        <v>0.99191810000000002</v>
      </c>
      <c r="Y641">
        <v>-6.9453109999999998E-2</v>
      </c>
      <c r="Z641">
        <v>1.9772689999999998E-3</v>
      </c>
      <c r="AA641">
        <v>0.99758329999999995</v>
      </c>
      <c r="AB641">
        <v>17</v>
      </c>
      <c r="AC641">
        <v>16.360599999999899</v>
      </c>
      <c r="AD641">
        <v>-1.104436</v>
      </c>
      <c r="AE641">
        <v>1.23360000000002</v>
      </c>
      <c r="AF641">
        <v>-1.14358803976665</v>
      </c>
      <c r="AG641">
        <v>-1.104436</v>
      </c>
      <c r="AH641">
        <v>16.2929473027306</v>
      </c>
      <c r="AI641">
        <v>93.868439073480005</v>
      </c>
      <c r="AJ641">
        <v>94.014957162015406</v>
      </c>
      <c r="AK641">
        <v>16.370329999494501</v>
      </c>
      <c r="AL641">
        <v>87.480024995484001</v>
      </c>
      <c r="AM641">
        <v>96.842063223003606</v>
      </c>
      <c r="AN641">
        <v>0.99999994345273902</v>
      </c>
    </row>
    <row r="642" spans="1:40" x14ac:dyDescent="0.3">
      <c r="A642" t="str">
        <f>"20200111145925908"</f>
        <v>20200111145925908</v>
      </c>
      <c r="B642" t="str">
        <f>"1578725965896585"</f>
        <v>1578725965896585</v>
      </c>
      <c r="C642" t="s">
        <v>40</v>
      </c>
      <c r="D642">
        <v>4.2603369999999998</v>
      </c>
      <c r="E642">
        <v>0.51855399999999996</v>
      </c>
      <c r="F642" t="s">
        <v>43</v>
      </c>
      <c r="G642">
        <v>-409.95150000000001</v>
      </c>
      <c r="H642">
        <v>-0.05</v>
      </c>
      <c r="I642">
        <v>368.43619999999999</v>
      </c>
      <c r="J642">
        <v>-426.35180000000003</v>
      </c>
      <c r="K642">
        <v>1.054433</v>
      </c>
      <c r="L642">
        <v>367.20589999999999</v>
      </c>
      <c r="M642">
        <v>0.99993779999999999</v>
      </c>
      <c r="N642">
        <v>0</v>
      </c>
      <c r="O642">
        <v>5.1763499999999997E-3</v>
      </c>
      <c r="P642">
        <v>0.99176779999999998</v>
      </c>
      <c r="Q642">
        <v>3.3265339999999997E-2</v>
      </c>
      <c r="R642">
        <v>0.1236536</v>
      </c>
      <c r="S642">
        <v>3.0040589999999998</v>
      </c>
      <c r="T642">
        <v>-0.2012293</v>
      </c>
      <c r="U642">
        <v>0.2242432</v>
      </c>
      <c r="V642">
        <v>-0.1185151</v>
      </c>
      <c r="W642">
        <v>4.3098270000000001E-2</v>
      </c>
      <c r="X642">
        <v>0.99201649999999997</v>
      </c>
      <c r="Y642">
        <v>-6.9133860000000005E-2</v>
      </c>
      <c r="Z642">
        <v>1.963827E-3</v>
      </c>
      <c r="AA642">
        <v>0.99760539999999998</v>
      </c>
      <c r="AB642">
        <v>17</v>
      </c>
      <c r="AC642">
        <v>16.400300000000001</v>
      </c>
      <c r="AD642">
        <v>-1.104433</v>
      </c>
      <c r="AE642">
        <v>1.23029999999999</v>
      </c>
      <c r="AF642">
        <v>-1.1402436369679401</v>
      </c>
      <c r="AG642">
        <v>-1.104433</v>
      </c>
      <c r="AH642">
        <v>16.332794663266</v>
      </c>
      <c r="AI642">
        <v>93.859120059997394</v>
      </c>
      <c r="AJ642">
        <v>93.993518566121907</v>
      </c>
      <c r="AK642">
        <v>16.409756528222601</v>
      </c>
      <c r="AL642">
        <v>87.529885964044794</v>
      </c>
      <c r="AM642">
        <v>96.812772569698396</v>
      </c>
      <c r="AN642">
        <v>1.00000001303862</v>
      </c>
    </row>
    <row r="643" spans="1:40" x14ac:dyDescent="0.3">
      <c r="A643" t="str">
        <f>"20200111145925920"</f>
        <v>20200111145925920</v>
      </c>
      <c r="B643" t="str">
        <f>"1578725965916104"</f>
        <v>1578725965916104</v>
      </c>
      <c r="C643" t="s">
        <v>40</v>
      </c>
      <c r="D643">
        <v>4.3855000000000004</v>
      </c>
      <c r="E643">
        <v>0.51874169999999997</v>
      </c>
      <c r="F643" t="s">
        <v>43</v>
      </c>
      <c r="G643">
        <v>-410.14159999999998</v>
      </c>
      <c r="H643">
        <v>-0.05</v>
      </c>
      <c r="I643">
        <v>368.4049</v>
      </c>
      <c r="J643">
        <v>-426.26170000000002</v>
      </c>
      <c r="K643">
        <v>1.054427</v>
      </c>
      <c r="L643">
        <v>367.20639999999997</v>
      </c>
      <c r="M643">
        <v>0.99993770000000004</v>
      </c>
      <c r="N643">
        <v>0</v>
      </c>
      <c r="O643">
        <v>5.1690649999999996E-3</v>
      </c>
      <c r="P643">
        <v>0.99187729999999996</v>
      </c>
      <c r="Q643">
        <v>3.240523E-2</v>
      </c>
      <c r="R643">
        <v>0.12300270000000001</v>
      </c>
      <c r="S643">
        <v>3.0040279999999999</v>
      </c>
      <c r="T643">
        <v>-0.2046703</v>
      </c>
      <c r="U643">
        <v>0.22219849999999999</v>
      </c>
      <c r="V643">
        <v>-0.1178709</v>
      </c>
      <c r="W643">
        <v>4.22417E-2</v>
      </c>
      <c r="X643">
        <v>0.99213010000000001</v>
      </c>
      <c r="Y643">
        <v>-6.8463179999999998E-2</v>
      </c>
      <c r="Z643">
        <v>1.9751059999999999E-3</v>
      </c>
      <c r="AA643">
        <v>0.99765170000000003</v>
      </c>
      <c r="AB643">
        <v>17</v>
      </c>
      <c r="AC643">
        <v>16.120100000000001</v>
      </c>
      <c r="AD643">
        <v>-1.104427</v>
      </c>
      <c r="AE643">
        <v>1.1985000000000201</v>
      </c>
      <c r="AF643">
        <v>-1.10997254864703</v>
      </c>
      <c r="AG643">
        <v>-1.104427</v>
      </c>
      <c r="AH643">
        <v>16.051150910246399</v>
      </c>
      <c r="AI643">
        <v>93.926782272454503</v>
      </c>
      <c r="AJ643">
        <v>93.955832129370606</v>
      </c>
      <c r="AK643">
        <v>16.127344592355598</v>
      </c>
      <c r="AL643">
        <v>87.579008574232105</v>
      </c>
      <c r="AM643">
        <v>96.775317704580004</v>
      </c>
      <c r="AN643">
        <v>1.0000000228058501</v>
      </c>
    </row>
    <row r="644" spans="1:40" x14ac:dyDescent="0.3">
      <c r="A644" t="str">
        <f>"20200111145925932"</f>
        <v>20200111145925932</v>
      </c>
      <c r="B644" t="str">
        <f>"1578725965926841"</f>
        <v>1578725965926841</v>
      </c>
      <c r="C644" t="s">
        <v>40</v>
      </c>
      <c r="D644">
        <v>4.2459059999999997</v>
      </c>
      <c r="E644">
        <v>0.51880420000000005</v>
      </c>
      <c r="F644" t="s">
        <v>43</v>
      </c>
      <c r="G644">
        <v>-409.98</v>
      </c>
      <c r="H644">
        <v>-0.05</v>
      </c>
      <c r="I644">
        <v>368.39249999999998</v>
      </c>
      <c r="J644">
        <v>-426.16770000000002</v>
      </c>
      <c r="K644">
        <v>1.0544180000000001</v>
      </c>
      <c r="L644">
        <v>367.20690000000002</v>
      </c>
      <c r="M644">
        <v>0.99993770000000004</v>
      </c>
      <c r="N644">
        <v>0</v>
      </c>
      <c r="O644">
        <v>5.1611850000000004E-3</v>
      </c>
      <c r="P644">
        <v>0.99198200000000003</v>
      </c>
      <c r="Q644">
        <v>3.08112E-2</v>
      </c>
      <c r="R644">
        <v>0.1225666</v>
      </c>
      <c r="S644">
        <v>3.0040589999999998</v>
      </c>
      <c r="T644">
        <v>-0.2037717</v>
      </c>
      <c r="U644">
        <v>0.2188416</v>
      </c>
      <c r="V644">
        <v>-0.11744250000000001</v>
      </c>
      <c r="W644">
        <v>4.0650909999999998E-2</v>
      </c>
      <c r="X644">
        <v>0.99224730000000005</v>
      </c>
      <c r="Y644">
        <v>-6.7365149999999999E-2</v>
      </c>
      <c r="Z644">
        <v>1.929898E-3</v>
      </c>
      <c r="AA644">
        <v>0.99772649999999996</v>
      </c>
      <c r="AB644">
        <v>17</v>
      </c>
      <c r="AC644">
        <v>16.1877</v>
      </c>
      <c r="AD644">
        <v>-1.1044179999999999</v>
      </c>
      <c r="AE644">
        <v>1.18559999999996</v>
      </c>
      <c r="AF644">
        <v>-1.0969535961653201</v>
      </c>
      <c r="AG644">
        <v>-1.1044179999999999</v>
      </c>
      <c r="AH644">
        <v>16.118974257383702</v>
      </c>
      <c r="AI644">
        <v>93.910571701921597</v>
      </c>
      <c r="AJ644">
        <v>93.8931790812494</v>
      </c>
      <c r="AK644">
        <v>16.1939611405321</v>
      </c>
      <c r="AL644">
        <v>87.670232399496399</v>
      </c>
      <c r="AM644">
        <v>96.750130569238493</v>
      </c>
      <c r="AN644">
        <v>0.99999997082368297</v>
      </c>
    </row>
    <row r="645" spans="1:40" x14ac:dyDescent="0.3">
      <c r="A645" t="str">
        <f>"20200111145925945"</f>
        <v>20200111145925945</v>
      </c>
      <c r="B645" t="str">
        <f>"1578725965936601"</f>
        <v>1578725965936601</v>
      </c>
      <c r="C645" t="s">
        <v>40</v>
      </c>
      <c r="D645">
        <v>4.2275729999999996</v>
      </c>
      <c r="E645">
        <v>0.51889229999999997</v>
      </c>
      <c r="F645" t="s">
        <v>43</v>
      </c>
      <c r="G645">
        <v>-410.14819999999997</v>
      </c>
      <c r="H645">
        <v>-0.05</v>
      </c>
      <c r="I645">
        <v>368.36540000000002</v>
      </c>
      <c r="J645">
        <v>-426.06509999999997</v>
      </c>
      <c r="K645">
        <v>1.0544100000000001</v>
      </c>
      <c r="L645">
        <v>367.20740000000001</v>
      </c>
      <c r="M645">
        <v>0.99993770000000004</v>
      </c>
      <c r="N645">
        <v>0</v>
      </c>
      <c r="O645">
        <v>5.152589E-3</v>
      </c>
      <c r="P645">
        <v>0.9920831</v>
      </c>
      <c r="Q645">
        <v>2.9015450000000002E-2</v>
      </c>
      <c r="R645">
        <v>0.1221855</v>
      </c>
      <c r="S645">
        <v>3.0038149999999999</v>
      </c>
      <c r="T645">
        <v>-0.2070892</v>
      </c>
      <c r="U645">
        <v>0.2172241</v>
      </c>
      <c r="V645">
        <v>-0.11706950000000001</v>
      </c>
      <c r="W645">
        <v>3.8858940000000002E-2</v>
      </c>
      <c r="X645">
        <v>0.9923632</v>
      </c>
      <c r="Y645">
        <v>-6.6841709999999999E-2</v>
      </c>
      <c r="Z645">
        <v>1.9440340000000001E-3</v>
      </c>
      <c r="AA645">
        <v>0.99776169999999997</v>
      </c>
      <c r="AB645">
        <v>17</v>
      </c>
      <c r="AC645">
        <v>15.916899999999901</v>
      </c>
      <c r="AD645">
        <v>-1.1044099999999999</v>
      </c>
      <c r="AE645">
        <v>1.1580000000000099</v>
      </c>
      <c r="AF645">
        <v>-1.07083904033369</v>
      </c>
      <c r="AG645">
        <v>-1.1044099999999999</v>
      </c>
      <c r="AH645">
        <v>15.8467644400866</v>
      </c>
      <c r="AI645">
        <v>93.9776317085839</v>
      </c>
      <c r="AJ645">
        <v>93.865863246177696</v>
      </c>
      <c r="AK645">
        <v>15.9212550044899</v>
      </c>
      <c r="AL645">
        <v>87.772986036516997</v>
      </c>
      <c r="AM645">
        <v>96.728110221539396</v>
      </c>
      <c r="AN645">
        <v>1.0000000028811999</v>
      </c>
    </row>
    <row r="646" spans="1:40" x14ac:dyDescent="0.3">
      <c r="A646" t="str">
        <f>"20200111145925961"</f>
        <v>20200111145925961</v>
      </c>
      <c r="B646" t="str">
        <f>"1578725965956122"</f>
        <v>1578725965956122</v>
      </c>
      <c r="C646" t="s">
        <v>40</v>
      </c>
      <c r="D646">
        <v>4.2178610000000001</v>
      </c>
      <c r="E646">
        <v>0.51895000000000002</v>
      </c>
      <c r="F646" t="s">
        <v>43</v>
      </c>
      <c r="G646">
        <v>-410.25069999999999</v>
      </c>
      <c r="H646">
        <v>-0.05</v>
      </c>
      <c r="I646">
        <v>368.33980000000003</v>
      </c>
      <c r="J646">
        <v>-425.93239999999997</v>
      </c>
      <c r="K646">
        <v>1.0543990000000001</v>
      </c>
      <c r="L646">
        <v>367.20800000000003</v>
      </c>
      <c r="M646">
        <v>0.99993779999999999</v>
      </c>
      <c r="N646">
        <v>0</v>
      </c>
      <c r="O646">
        <v>5.1413079999999998E-3</v>
      </c>
      <c r="P646">
        <v>0.9921759</v>
      </c>
      <c r="Q646">
        <v>2.6868679999999999E-2</v>
      </c>
      <c r="R646">
        <v>0.1219232</v>
      </c>
      <c r="S646">
        <v>3.0036010000000002</v>
      </c>
      <c r="T646">
        <v>-0.20975859999999999</v>
      </c>
      <c r="U646">
        <v>0.2150879</v>
      </c>
      <c r="V646">
        <v>-0.1168182</v>
      </c>
      <c r="W646">
        <v>3.6716140000000001E-2</v>
      </c>
      <c r="X646">
        <v>0.99247439999999998</v>
      </c>
      <c r="Y646">
        <v>-6.6149920000000001E-2</v>
      </c>
      <c r="Z646">
        <v>1.945911E-3</v>
      </c>
      <c r="AA646">
        <v>0.99780780000000002</v>
      </c>
      <c r="AB646">
        <v>18</v>
      </c>
      <c r="AC646">
        <v>15.6816999999999</v>
      </c>
      <c r="AD646">
        <v>-1.1043989999999999</v>
      </c>
      <c r="AE646">
        <v>1.1317999999999899</v>
      </c>
      <c r="AF646">
        <v>-1.04599557728203</v>
      </c>
      <c r="AG646">
        <v>-1.1043989999999999</v>
      </c>
      <c r="AH646">
        <v>15.6102889599678</v>
      </c>
      <c r="AI646">
        <v>94.037802804654405</v>
      </c>
      <c r="AJ646">
        <v>93.833476613847196</v>
      </c>
      <c r="AK646">
        <v>15.684225365397699</v>
      </c>
      <c r="AL646">
        <v>87.895847199533804</v>
      </c>
      <c r="AM646">
        <v>96.7130543505573</v>
      </c>
      <c r="AN646">
        <v>1.0000000007215399</v>
      </c>
    </row>
    <row r="647" spans="1:40" x14ac:dyDescent="0.3">
      <c r="A647" t="str">
        <f>"20200111145925975"</f>
        <v>20200111145925975</v>
      </c>
      <c r="B647" t="str">
        <f>"1578725965966858"</f>
        <v>1578725965966858</v>
      </c>
      <c r="C647" t="s">
        <v>40</v>
      </c>
      <c r="D647">
        <v>4.2439070000000001</v>
      </c>
      <c r="E647">
        <v>0.5188914</v>
      </c>
      <c r="F647" t="s">
        <v>43</v>
      </c>
      <c r="G647">
        <v>-410.42610000000002</v>
      </c>
      <c r="H647">
        <v>-0.05</v>
      </c>
      <c r="I647">
        <v>368.31209999999999</v>
      </c>
      <c r="J647">
        <v>-425.8236</v>
      </c>
      <c r="K647">
        <v>1.0543979999999999</v>
      </c>
      <c r="L647">
        <v>367.20859999999999</v>
      </c>
      <c r="M647">
        <v>0.99993779999999999</v>
      </c>
      <c r="N647">
        <v>0</v>
      </c>
      <c r="O647">
        <v>5.132055E-3</v>
      </c>
      <c r="P647">
        <v>0.99219669999999904</v>
      </c>
      <c r="Q647">
        <v>2.635467E-2</v>
      </c>
      <c r="R647">
        <v>0.121867</v>
      </c>
      <c r="S647">
        <v>3.0032040000000002</v>
      </c>
      <c r="T647">
        <v>-0.213896</v>
      </c>
      <c r="U647">
        <v>0.21383669999999999</v>
      </c>
      <c r="V647">
        <v>-0.11677120000000001</v>
      </c>
      <c r="W647">
        <v>3.6205309999999997E-2</v>
      </c>
      <c r="X647">
        <v>0.99249869999999996</v>
      </c>
      <c r="Y647">
        <v>-6.5750000000000003E-2</v>
      </c>
      <c r="Z647">
        <v>1.97094E-3</v>
      </c>
      <c r="AA647">
        <v>0.9978342</v>
      </c>
      <c r="AB647">
        <v>18</v>
      </c>
      <c r="AC647">
        <v>15.3974999999999</v>
      </c>
      <c r="AD647">
        <v>-1.104398</v>
      </c>
      <c r="AE647">
        <v>1.1034999999999899</v>
      </c>
      <c r="AF647">
        <v>-1.0192439769783901</v>
      </c>
      <c r="AG647">
        <v>-1.104398</v>
      </c>
      <c r="AH647">
        <v>15.3245251682876</v>
      </c>
      <c r="AI647">
        <v>94.112973076003399</v>
      </c>
      <c r="AJ647">
        <v>93.805174630025405</v>
      </c>
      <c r="AK647">
        <v>15.398039643425101</v>
      </c>
      <c r="AL647">
        <v>87.925135082675496</v>
      </c>
      <c r="AM647">
        <v>96.710215295737797</v>
      </c>
      <c r="AN647">
        <v>1.0000000035616601</v>
      </c>
    </row>
    <row r="648" spans="1:40" x14ac:dyDescent="0.3">
      <c r="A648" t="str">
        <f>"20200111145925989"</f>
        <v>20200111145925989</v>
      </c>
      <c r="B648" t="str">
        <f>"1578725965986377"</f>
        <v>1578725965986377</v>
      </c>
      <c r="C648" t="s">
        <v>40</v>
      </c>
      <c r="D648">
        <v>4.2227889999999997</v>
      </c>
      <c r="E648">
        <v>0.51882890000000004</v>
      </c>
      <c r="F648" t="s">
        <v>43</v>
      </c>
      <c r="G648">
        <v>-410.44299999999998</v>
      </c>
      <c r="H648">
        <v>-0.05</v>
      </c>
      <c r="I648">
        <v>368.30410000000001</v>
      </c>
      <c r="J648">
        <v>-425.71980000000002</v>
      </c>
      <c r="K648">
        <v>1.054397</v>
      </c>
      <c r="L648">
        <v>367.20920000000001</v>
      </c>
      <c r="M648">
        <v>0.99993770000000004</v>
      </c>
      <c r="N648">
        <v>0</v>
      </c>
      <c r="O648">
        <v>5.1232810000000004E-3</v>
      </c>
      <c r="P648">
        <v>0.99222370000000004</v>
      </c>
      <c r="Q648">
        <v>2.661935E-2</v>
      </c>
      <c r="R648">
        <v>0.12158770000000001</v>
      </c>
      <c r="S648">
        <v>3.0030519999999998</v>
      </c>
      <c r="T648">
        <v>-0.21563350000000001</v>
      </c>
      <c r="U648">
        <v>0.2138977</v>
      </c>
      <c r="V648">
        <v>-0.1165003</v>
      </c>
      <c r="W648">
        <v>3.6472640000000001E-2</v>
      </c>
      <c r="X648">
        <v>0.99252070000000003</v>
      </c>
      <c r="Y648">
        <v>-6.5779900000000002E-2</v>
      </c>
      <c r="Z648">
        <v>1.9887070000000001E-3</v>
      </c>
      <c r="AA648">
        <v>0.99783219999999995</v>
      </c>
      <c r="AB648">
        <v>18</v>
      </c>
      <c r="AC648">
        <v>15.2767999999999</v>
      </c>
      <c r="AD648">
        <v>-1.1043969999999901</v>
      </c>
      <c r="AE648">
        <v>1.09489999999999</v>
      </c>
      <c r="AF648">
        <v>-1.0113559086458901</v>
      </c>
      <c r="AG648">
        <v>-1.1043969999999901</v>
      </c>
      <c r="AH648">
        <v>15.20316060217</v>
      </c>
      <c r="AI648">
        <v>94.145685250261295</v>
      </c>
      <c r="AJ648">
        <v>93.805864886567505</v>
      </c>
      <c r="AK648">
        <v>15.276734788656199</v>
      </c>
      <c r="AL648">
        <v>87.909807980687006</v>
      </c>
      <c r="AM648">
        <v>96.694642543775501</v>
      </c>
      <c r="AN648">
        <v>0.999999956648573</v>
      </c>
    </row>
    <row r="649" spans="1:40" x14ac:dyDescent="0.3">
      <c r="A649" t="str">
        <f>"20200111145926005"</f>
        <v>20200111145926005</v>
      </c>
      <c r="B649" t="str">
        <f>"1578725965996137"</f>
        <v>1578725965996137</v>
      </c>
      <c r="C649" t="s">
        <v>40</v>
      </c>
      <c r="D649">
        <v>4.3861369999999997</v>
      </c>
      <c r="E649">
        <v>0.51884520000000001</v>
      </c>
      <c r="F649" t="s">
        <v>43</v>
      </c>
      <c r="G649">
        <v>-410.16070000000002</v>
      </c>
      <c r="H649">
        <v>-0.05</v>
      </c>
      <c r="I649">
        <v>368.31659999999999</v>
      </c>
      <c r="J649">
        <v>-425.58659999999998</v>
      </c>
      <c r="K649">
        <v>1.0543979999999999</v>
      </c>
      <c r="L649">
        <v>367.20979999999997</v>
      </c>
      <c r="M649">
        <v>0.99993770000000004</v>
      </c>
      <c r="N649">
        <v>0</v>
      </c>
      <c r="O649">
        <v>5.1121789999999997E-3</v>
      </c>
      <c r="P649">
        <v>0.99225660000000004</v>
      </c>
      <c r="Q649">
        <v>2.698598E-2</v>
      </c>
      <c r="R649">
        <v>0.1212379</v>
      </c>
      <c r="S649">
        <v>3.0030519999999998</v>
      </c>
      <c r="T649">
        <v>-0.21315870000000001</v>
      </c>
      <c r="U649">
        <v>0.21374509999999999</v>
      </c>
      <c r="V649">
        <v>-0.1161613</v>
      </c>
      <c r="W649">
        <v>3.6842420000000001E-2</v>
      </c>
      <c r="X649">
        <v>0.99254679999999995</v>
      </c>
      <c r="Y649">
        <v>-6.5744140000000006E-2</v>
      </c>
      <c r="Z649">
        <v>1.9654640000000001E-3</v>
      </c>
      <c r="AA649">
        <v>0.99783460000000002</v>
      </c>
      <c r="AB649">
        <v>18</v>
      </c>
      <c r="AC649">
        <v>15.425899999999899</v>
      </c>
      <c r="AD649">
        <v>-1.104398</v>
      </c>
      <c r="AE649">
        <v>1.10680000000002</v>
      </c>
      <c r="AF649">
        <v>-1.02270648821257</v>
      </c>
      <c r="AG649">
        <v>-1.104398</v>
      </c>
      <c r="AH649">
        <v>15.353065222459101</v>
      </c>
      <c r="AI649">
        <v>94.105325947526495</v>
      </c>
      <c r="AJ649">
        <v>93.810986635827504</v>
      </c>
      <c r="AK649">
        <v>15.426672850246099</v>
      </c>
      <c r="AL649">
        <v>87.888606947913203</v>
      </c>
      <c r="AM649">
        <v>96.675164153293593</v>
      </c>
      <c r="AN649">
        <v>0.99999998085969199</v>
      </c>
    </row>
    <row r="650" spans="1:40" x14ac:dyDescent="0.3">
      <c r="A650" t="str">
        <f>"20200111145926019"</f>
        <v>20200111145926019</v>
      </c>
      <c r="B650" t="str">
        <f>"1578725966016634"</f>
        <v>1578725966016634</v>
      </c>
      <c r="C650" t="s">
        <v>40</v>
      </c>
      <c r="D650">
        <v>4.2110709999999996</v>
      </c>
      <c r="E650">
        <v>0.51881259999999996</v>
      </c>
      <c r="F650" t="s">
        <v>43</v>
      </c>
      <c r="G650">
        <v>-409.8537</v>
      </c>
      <c r="H650">
        <v>-0.05</v>
      </c>
      <c r="I650">
        <v>368.32389999999998</v>
      </c>
      <c r="J650">
        <v>-425.48090000000002</v>
      </c>
      <c r="K650">
        <v>1.0544</v>
      </c>
      <c r="L650">
        <v>367.21039999999999</v>
      </c>
      <c r="M650">
        <v>0.99993770000000004</v>
      </c>
      <c r="N650">
        <v>0</v>
      </c>
      <c r="O650">
        <v>5.1034019999999999E-3</v>
      </c>
      <c r="P650">
        <v>0.99225379999999996</v>
      </c>
      <c r="Q650">
        <v>2.7111980000000001E-2</v>
      </c>
      <c r="R650">
        <v>0.1212332</v>
      </c>
      <c r="S650">
        <v>3.0032040000000002</v>
      </c>
      <c r="T650">
        <v>-0.21081620000000001</v>
      </c>
      <c r="U650">
        <v>0.212677</v>
      </c>
      <c r="V650">
        <v>-0.1161659</v>
      </c>
      <c r="W650">
        <v>3.6971080000000003E-2</v>
      </c>
      <c r="X650">
        <v>0.99254149999999997</v>
      </c>
      <c r="Y650">
        <v>-6.5400330000000007E-2</v>
      </c>
      <c r="Z650">
        <v>1.9324209999999999E-3</v>
      </c>
      <c r="AA650">
        <v>0.9978572</v>
      </c>
      <c r="AB650">
        <v>18</v>
      </c>
      <c r="AC650">
        <v>15.6272</v>
      </c>
      <c r="AD650">
        <v>-1.1044</v>
      </c>
      <c r="AE650">
        <v>1.11349999999998</v>
      </c>
      <c r="AF650">
        <v>-1.0286182205607699</v>
      </c>
      <c r="AG650">
        <v>-1.1044</v>
      </c>
      <c r="AH650">
        <v>15.5553807789485</v>
      </c>
      <c r="AI650">
        <v>94.052247607326393</v>
      </c>
      <c r="AJ650">
        <v>93.783244292436507</v>
      </c>
      <c r="AK650">
        <v>15.628423656330501</v>
      </c>
      <c r="AL650">
        <v>87.881230294381496</v>
      </c>
      <c r="AM650">
        <v>96.675461428863898</v>
      </c>
      <c r="AN650">
        <v>1.0000000031507099</v>
      </c>
    </row>
    <row r="651" spans="1:40" x14ac:dyDescent="0.3">
      <c r="A651" t="str">
        <f>"20200111145926031"</f>
        <v>20200111145926031</v>
      </c>
      <c r="B651" t="str">
        <f>"1578725966026393"</f>
        <v>1578725966026393</v>
      </c>
      <c r="C651" t="s">
        <v>40</v>
      </c>
      <c r="D651">
        <v>4.3283659999999999</v>
      </c>
      <c r="E651">
        <v>0.51885130000000002</v>
      </c>
      <c r="F651" t="s">
        <v>43</v>
      </c>
      <c r="G651">
        <v>-409.60180000000003</v>
      </c>
      <c r="H651">
        <v>-0.05</v>
      </c>
      <c r="I651">
        <v>368.33699999999999</v>
      </c>
      <c r="J651">
        <v>-425.38830000000002</v>
      </c>
      <c r="K651">
        <v>1.054403</v>
      </c>
      <c r="L651">
        <v>367.21080000000001</v>
      </c>
      <c r="M651">
        <v>0.99993779999999999</v>
      </c>
      <c r="N651">
        <v>0</v>
      </c>
      <c r="O651">
        <v>5.0954640000000001E-3</v>
      </c>
      <c r="P651">
        <v>0.99224199999999996</v>
      </c>
      <c r="Q651">
        <v>2.7420400000000001E-2</v>
      </c>
      <c r="R651">
        <v>0.121260199999999</v>
      </c>
      <c r="S651">
        <v>3.003082</v>
      </c>
      <c r="T651">
        <v>-0.20886579999999999</v>
      </c>
      <c r="U651">
        <v>0.2130737</v>
      </c>
      <c r="V651">
        <v>-0.1162001</v>
      </c>
      <c r="W651">
        <v>3.7281759999999997E-2</v>
      </c>
      <c r="X651">
        <v>0.99252589999999996</v>
      </c>
      <c r="Y651">
        <v>-6.5544630000000006E-2</v>
      </c>
      <c r="Z651">
        <v>1.9202100000000001E-3</v>
      </c>
      <c r="AA651">
        <v>0.99784779999999995</v>
      </c>
      <c r="AB651">
        <v>18</v>
      </c>
      <c r="AC651">
        <v>15.786499999999901</v>
      </c>
      <c r="AD651">
        <v>-1.104403</v>
      </c>
      <c r="AE651">
        <v>1.1261999999999801</v>
      </c>
      <c r="AF651">
        <v>-1.0406743778329199</v>
      </c>
      <c r="AG651">
        <v>-1.104403</v>
      </c>
      <c r="AH651">
        <v>15.7155081501912</v>
      </c>
      <c r="AI651">
        <v>94.011080449567501</v>
      </c>
      <c r="AJ651">
        <v>93.788571349995095</v>
      </c>
      <c r="AK651">
        <v>15.7886004942114</v>
      </c>
      <c r="AL651">
        <v>87.863417413027904</v>
      </c>
      <c r="AM651">
        <v>96.677512987998895</v>
      </c>
      <c r="AN651">
        <v>1.00000002751975</v>
      </c>
    </row>
    <row r="652" spans="1:40" x14ac:dyDescent="0.3">
      <c r="A652" t="str">
        <f>"20200111145926042"</f>
        <v>20200111145926042</v>
      </c>
      <c r="B652" t="str">
        <f>"1578725966036153"</f>
        <v>1578725966036153</v>
      </c>
      <c r="C652" t="s">
        <v>40</v>
      </c>
      <c r="D652">
        <v>4.2092400000000003</v>
      </c>
      <c r="E652">
        <v>0.51883610000000002</v>
      </c>
      <c r="F652" t="s">
        <v>43</v>
      </c>
      <c r="G652">
        <v>-409.34629999999999</v>
      </c>
      <c r="H652">
        <v>-0.05</v>
      </c>
      <c r="I652">
        <v>368.34870000000001</v>
      </c>
      <c r="J652">
        <v>-425.29579999999999</v>
      </c>
      <c r="K652">
        <v>1.054405</v>
      </c>
      <c r="L652">
        <v>367.21129999999999</v>
      </c>
      <c r="M652">
        <v>0.99993779999999999</v>
      </c>
      <c r="N652">
        <v>0</v>
      </c>
      <c r="O652">
        <v>5.0877650000000002E-3</v>
      </c>
      <c r="P652">
        <v>0.99224449999999997</v>
      </c>
      <c r="Q652">
        <v>2.7557350000000001E-2</v>
      </c>
      <c r="R652">
        <v>0.12120880000000001</v>
      </c>
      <c r="S652">
        <v>3.0031430000000001</v>
      </c>
      <c r="T652">
        <v>-0.20674980000000001</v>
      </c>
      <c r="U652">
        <v>0.2130127</v>
      </c>
      <c r="V652">
        <v>-0.11615639999999899</v>
      </c>
      <c r="W652">
        <v>3.7420429999999998E-2</v>
      </c>
      <c r="X652">
        <v>0.99252580000000001</v>
      </c>
      <c r="Y652">
        <v>-6.5533640000000004E-2</v>
      </c>
      <c r="Z652">
        <v>1.9009179999999999E-3</v>
      </c>
      <c r="AA652">
        <v>0.99784859999999997</v>
      </c>
      <c r="AB652">
        <v>18</v>
      </c>
      <c r="AC652">
        <v>15.9495</v>
      </c>
      <c r="AD652">
        <v>-1.1044049999999901</v>
      </c>
      <c r="AE652">
        <v>1.13740000000001</v>
      </c>
      <c r="AF652">
        <v>-1.0512191811114799</v>
      </c>
      <c r="AG652">
        <v>-1.1044049999999901</v>
      </c>
      <c r="AH652">
        <v>15.8793290719894</v>
      </c>
      <c r="AI652">
        <v>93.969844822013499</v>
      </c>
      <c r="AJ652">
        <v>93.787481581355706</v>
      </c>
      <c r="AK652">
        <v>15.952362331243901</v>
      </c>
      <c r="AL652">
        <v>87.855466666433699</v>
      </c>
      <c r="AM652">
        <v>96.675025071283301</v>
      </c>
      <c r="AN652">
        <v>1.00000003075399</v>
      </c>
    </row>
    <row r="653" spans="1:40" x14ac:dyDescent="0.3">
      <c r="A653" t="str">
        <f>"20200111145926054"</f>
        <v>20200111145926054</v>
      </c>
      <c r="B653" t="str">
        <f>"1578725966045913"</f>
        <v>1578725966045913</v>
      </c>
      <c r="C653" t="s">
        <v>40</v>
      </c>
      <c r="D653">
        <v>4.2138200000000001</v>
      </c>
      <c r="E653">
        <v>0.51879189999999997</v>
      </c>
      <c r="F653" t="s">
        <v>43</v>
      </c>
      <c r="G653">
        <v>-409.1146</v>
      </c>
      <c r="H653">
        <v>-0.05</v>
      </c>
      <c r="I653">
        <v>368.36</v>
      </c>
      <c r="J653">
        <v>-425.1977</v>
      </c>
      <c r="K653">
        <v>1.0544089999999999</v>
      </c>
      <c r="L653">
        <v>367.21179999999998</v>
      </c>
      <c r="M653">
        <v>0.99993779999999999</v>
      </c>
      <c r="N653">
        <v>0</v>
      </c>
      <c r="O653">
        <v>5.079648E-3</v>
      </c>
      <c r="P653">
        <v>0.99223980000000001</v>
      </c>
      <c r="Q653">
        <v>2.7719830000000001E-2</v>
      </c>
      <c r="R653">
        <v>0.121211</v>
      </c>
      <c r="S653">
        <v>3.0031129999999999</v>
      </c>
      <c r="T653">
        <v>-0.2049695</v>
      </c>
      <c r="U653">
        <v>0.21319579999999999</v>
      </c>
      <c r="V653">
        <v>-0.11616659999999999</v>
      </c>
      <c r="W653">
        <v>3.7584819999999998E-2</v>
      </c>
      <c r="X653">
        <v>0.99251840000000002</v>
      </c>
      <c r="Y653">
        <v>-6.5605239999999995E-2</v>
      </c>
      <c r="Z653">
        <v>1.887592E-3</v>
      </c>
      <c r="AA653">
        <v>0.99784390000000001</v>
      </c>
      <c r="AB653">
        <v>18</v>
      </c>
      <c r="AC653">
        <v>16.083100000000002</v>
      </c>
      <c r="AD653">
        <v>-1.104409</v>
      </c>
      <c r="AE653">
        <v>1.1482000000000301</v>
      </c>
      <c r="AF653">
        <v>-1.0615046131508299</v>
      </c>
      <c r="AG653">
        <v>-1.104409</v>
      </c>
      <c r="AH653">
        <v>16.0135973015643</v>
      </c>
      <c r="AI653">
        <v>93.936655840964505</v>
      </c>
      <c r="AJ653">
        <v>93.792457459566805</v>
      </c>
      <c r="AK653">
        <v>16.086696672085601</v>
      </c>
      <c r="AL653">
        <v>87.846041194258504</v>
      </c>
      <c r="AM653">
        <v>96.675655255476997</v>
      </c>
      <c r="AN653">
        <v>1.00000003599427</v>
      </c>
    </row>
    <row r="654" spans="1:40" x14ac:dyDescent="0.3">
      <c r="A654" t="str">
        <f>"20200111145926067"</f>
        <v>20200111145926067</v>
      </c>
      <c r="B654" t="str">
        <f>"1578725966056649"</f>
        <v>1578725966056649</v>
      </c>
      <c r="C654" t="s">
        <v>40</v>
      </c>
      <c r="D654">
        <v>4.2233000000000001</v>
      </c>
      <c r="E654">
        <v>0.51876259999999996</v>
      </c>
      <c r="F654" t="s">
        <v>43</v>
      </c>
      <c r="G654">
        <v>-409.00209999999998</v>
      </c>
      <c r="H654">
        <v>-0.05</v>
      </c>
      <c r="I654">
        <v>368.36180000000002</v>
      </c>
      <c r="J654">
        <v>-425.10480000000001</v>
      </c>
      <c r="K654">
        <v>1.054411</v>
      </c>
      <c r="L654">
        <v>367.2122</v>
      </c>
      <c r="M654">
        <v>0.99993779999999999</v>
      </c>
      <c r="N654">
        <v>0</v>
      </c>
      <c r="O654">
        <v>5.0718890000000004E-3</v>
      </c>
      <c r="P654">
        <v>0.99221309999999996</v>
      </c>
      <c r="Q654">
        <v>2.8182080000000002E-2</v>
      </c>
      <c r="R654">
        <v>0.12132229999999999</v>
      </c>
      <c r="S654">
        <v>3.0031129999999999</v>
      </c>
      <c r="T654">
        <v>-0.20478769999999999</v>
      </c>
      <c r="U654">
        <v>0.2132568</v>
      </c>
      <c r="V654">
        <v>-0.11628570000000001</v>
      </c>
      <c r="W654">
        <v>3.8048930000000002E-2</v>
      </c>
      <c r="X654">
        <v>0.99248670000000005</v>
      </c>
      <c r="Y654">
        <v>-6.5633319999999995E-2</v>
      </c>
      <c r="Z654">
        <v>1.887403E-3</v>
      </c>
      <c r="AA654">
        <v>0.99784200000000001</v>
      </c>
      <c r="AB654">
        <v>18</v>
      </c>
      <c r="AC654">
        <v>16.102699999999999</v>
      </c>
      <c r="AD654">
        <v>-1.104411</v>
      </c>
      <c r="AE654">
        <v>1.1496000000000199</v>
      </c>
      <c r="AF654">
        <v>-1.0629354197987499</v>
      </c>
      <c r="AG654">
        <v>-1.104411</v>
      </c>
      <c r="AH654">
        <v>16.0332862356159</v>
      </c>
      <c r="AI654">
        <v>93.931841855271401</v>
      </c>
      <c r="AJ654">
        <v>93.792904591434507</v>
      </c>
      <c r="AK654">
        <v>16.106390746432702</v>
      </c>
      <c r="AL654">
        <v>87.819430466158195</v>
      </c>
      <c r="AM654">
        <v>96.682649121966193</v>
      </c>
      <c r="AN654">
        <v>0.99999996738776198</v>
      </c>
    </row>
    <row r="655" spans="1:40" x14ac:dyDescent="0.3">
      <c r="A655" t="str">
        <f>"20200111145926085"</f>
        <v>20200111145926085</v>
      </c>
      <c r="B655" t="str">
        <f>"1578725966076168"</f>
        <v>1578725966076168</v>
      </c>
      <c r="C655" t="s">
        <v>40</v>
      </c>
      <c r="D655">
        <v>4.223681</v>
      </c>
      <c r="E655">
        <v>0.51865470000000002</v>
      </c>
      <c r="F655" t="s">
        <v>43</v>
      </c>
      <c r="G655">
        <v>-408.84640000000002</v>
      </c>
      <c r="H655">
        <v>-0.05</v>
      </c>
      <c r="I655">
        <v>368.3682</v>
      </c>
      <c r="J655">
        <v>-424.95979999999997</v>
      </c>
      <c r="K655">
        <v>1.054419</v>
      </c>
      <c r="L655">
        <v>367.21289999999999</v>
      </c>
      <c r="M655">
        <v>0.99993779999999999</v>
      </c>
      <c r="N655">
        <v>0</v>
      </c>
      <c r="O655">
        <v>5.0599520000000004E-3</v>
      </c>
      <c r="P655">
        <v>0.99219480000000004</v>
      </c>
      <c r="Q655">
        <v>2.9518300000000001E-2</v>
      </c>
      <c r="R655">
        <v>0.1211528</v>
      </c>
      <c r="S655">
        <v>3.0032350000000001</v>
      </c>
      <c r="T655">
        <v>-0.2040061</v>
      </c>
      <c r="U655">
        <v>0.21353150000000001</v>
      </c>
      <c r="V655">
        <v>-0.1161282</v>
      </c>
      <c r="W655">
        <v>3.9388300000000001E-2</v>
      </c>
      <c r="X655">
        <v>0.99245289999999997</v>
      </c>
      <c r="Y655">
        <v>-6.5733979999999997E-2</v>
      </c>
      <c r="Z655">
        <v>1.884354E-3</v>
      </c>
      <c r="AA655">
        <v>0.99783540000000004</v>
      </c>
      <c r="AB655">
        <v>18</v>
      </c>
      <c r="AC655">
        <v>16.113399999999899</v>
      </c>
      <c r="AD655">
        <v>-1.104419</v>
      </c>
      <c r="AE655">
        <v>1.15530000000001</v>
      </c>
      <c r="AF655">
        <v>-1.0687530537040599</v>
      </c>
      <c r="AG655">
        <v>-1.104419</v>
      </c>
      <c r="AH655">
        <v>16.044053673800999</v>
      </c>
      <c r="AI655">
        <v>93.929157331054896</v>
      </c>
      <c r="AJ655">
        <v>93.811050909493403</v>
      </c>
      <c r="AK655">
        <v>16.11749461626</v>
      </c>
      <c r="AL655">
        <v>87.742632646728794</v>
      </c>
      <c r="AM655">
        <v>96.673904922783706</v>
      </c>
      <c r="AN655">
        <v>0.99999997786526895</v>
      </c>
    </row>
    <row r="656" spans="1:40" x14ac:dyDescent="0.3">
      <c r="A656" t="str">
        <f>"20200111145926097"</f>
        <v>20200111145926097</v>
      </c>
      <c r="B656" t="str">
        <f>"1578725966085929"</f>
        <v>1578725966085929</v>
      </c>
      <c r="C656" t="s">
        <v>40</v>
      </c>
      <c r="D656">
        <v>4.22689</v>
      </c>
      <c r="E656">
        <v>0.51863230000000005</v>
      </c>
      <c r="F656" t="s">
        <v>43</v>
      </c>
      <c r="G656">
        <v>-408.452</v>
      </c>
      <c r="H656">
        <v>-0.05</v>
      </c>
      <c r="I656">
        <v>368.39260000000002</v>
      </c>
      <c r="J656">
        <v>-424.86290000000002</v>
      </c>
      <c r="K656">
        <v>1.0544199999999999</v>
      </c>
      <c r="L656">
        <v>367.21339999999998</v>
      </c>
      <c r="M656">
        <v>0.99993799999999999</v>
      </c>
      <c r="N656">
        <v>0</v>
      </c>
      <c r="O656">
        <v>5.0520720000000003E-3</v>
      </c>
      <c r="P656">
        <v>0.99217219999999995</v>
      </c>
      <c r="Q656">
        <v>3.0291909999999998E-2</v>
      </c>
      <c r="R656">
        <v>0.1211492</v>
      </c>
      <c r="S656">
        <v>3.0033569999999998</v>
      </c>
      <c r="T656">
        <v>-0.20093349999999999</v>
      </c>
      <c r="U656">
        <v>0.21463009999999999</v>
      </c>
      <c r="V656">
        <v>-0.11613270000000001</v>
      </c>
      <c r="W656">
        <v>4.0163509999999999E-2</v>
      </c>
      <c r="X656">
        <v>0.99242129999999995</v>
      </c>
      <c r="Y656">
        <v>-6.610547E-2</v>
      </c>
      <c r="Z656">
        <v>1.86886E-3</v>
      </c>
      <c r="AA656">
        <v>0.99781089999999995</v>
      </c>
      <c r="AB656">
        <v>18</v>
      </c>
      <c r="AC656">
        <v>16.410900000000002</v>
      </c>
      <c r="AD656">
        <v>-1.10442</v>
      </c>
      <c r="AE656">
        <v>1.17920000000003</v>
      </c>
      <c r="AF656">
        <v>-1.09135444753759</v>
      </c>
      <c r="AG656">
        <v>-1.10442</v>
      </c>
      <c r="AH656">
        <v>16.3430107058687</v>
      </c>
      <c r="AI656">
        <v>93.857463128843506</v>
      </c>
      <c r="AJ656">
        <v>93.820428558720593</v>
      </c>
      <c r="AK656">
        <v>16.416601262097501</v>
      </c>
      <c r="AL656">
        <v>87.698181197026599</v>
      </c>
      <c r="AM656">
        <v>96.674371802189796</v>
      </c>
      <c r="AN656">
        <v>0.99999997411924901</v>
      </c>
    </row>
    <row r="657" spans="1:40" x14ac:dyDescent="0.3">
      <c r="A657" t="str">
        <f>"20200111145926109"</f>
        <v>20200111145926109</v>
      </c>
      <c r="B657" t="str">
        <f>"1578725966106426"</f>
        <v>1578725966106426</v>
      </c>
      <c r="C657" t="s">
        <v>40</v>
      </c>
      <c r="D657">
        <v>4.2391920000000001</v>
      </c>
      <c r="E657">
        <v>0.51868119999999995</v>
      </c>
      <c r="F657" t="s">
        <v>43</v>
      </c>
      <c r="G657">
        <v>-408.1918</v>
      </c>
      <c r="H657">
        <v>-0.05</v>
      </c>
      <c r="I657">
        <v>368.40609999999998</v>
      </c>
      <c r="J657">
        <v>-424.7697</v>
      </c>
      <c r="K657">
        <v>1.0544230000000001</v>
      </c>
      <c r="L657">
        <v>367.21390000000002</v>
      </c>
      <c r="M657">
        <v>0.99993799999999999</v>
      </c>
      <c r="N657">
        <v>0</v>
      </c>
      <c r="O657">
        <v>5.0443129999999999E-3</v>
      </c>
      <c r="P657">
        <v>0.99218919999999999</v>
      </c>
      <c r="Q657">
        <v>3.0706710000000002E-2</v>
      </c>
      <c r="R657">
        <v>0.1209045</v>
      </c>
      <c r="S657">
        <v>3.0035099999999999</v>
      </c>
      <c r="T657">
        <v>-0.19897500000000001</v>
      </c>
      <c r="U657">
        <v>0.21487429999999999</v>
      </c>
      <c r="V657">
        <v>-0.1158955</v>
      </c>
      <c r="W657">
        <v>4.058088E-2</v>
      </c>
      <c r="X657">
        <v>0.99243210000000004</v>
      </c>
      <c r="Y657">
        <v>-6.6192749999999995E-2</v>
      </c>
      <c r="Z657">
        <v>1.8539819999999999E-3</v>
      </c>
      <c r="AA657">
        <v>0.9978051</v>
      </c>
      <c r="AB657">
        <v>18</v>
      </c>
      <c r="AC657">
        <v>16.5779</v>
      </c>
      <c r="AD657">
        <v>-1.1044229999999999</v>
      </c>
      <c r="AE657">
        <v>1.19219999999995</v>
      </c>
      <c r="AF657">
        <v>-1.10368337258959</v>
      </c>
      <c r="AG657">
        <v>-1.1044229999999999</v>
      </c>
      <c r="AH657">
        <v>16.5108011450086</v>
      </c>
      <c r="AI657">
        <v>93.818371453990196</v>
      </c>
      <c r="AJ657">
        <v>93.824312441407201</v>
      </c>
      <c r="AK657">
        <v>16.584463259324199</v>
      </c>
      <c r="AL657">
        <v>87.674248260274297</v>
      </c>
      <c r="AM657">
        <v>96.660790242268106</v>
      </c>
      <c r="AN657">
        <v>1.00000002392611</v>
      </c>
    </row>
    <row r="658" spans="1:40" x14ac:dyDescent="0.3">
      <c r="A658" t="str">
        <f>"20200111145926123"</f>
        <v>20200111145926123</v>
      </c>
      <c r="B658" t="str">
        <f>"1578725966116186"</f>
        <v>1578725966116186</v>
      </c>
      <c r="C658" t="s">
        <v>40</v>
      </c>
      <c r="D658">
        <v>4.1766230000000002</v>
      </c>
      <c r="E658">
        <v>0.5489233</v>
      </c>
      <c r="F658" t="s">
        <v>43</v>
      </c>
      <c r="G658">
        <v>-408.00900000000001</v>
      </c>
      <c r="H658">
        <v>-0.05</v>
      </c>
      <c r="I658">
        <v>368.40730000000002</v>
      </c>
      <c r="J658">
        <v>-424.65989999999999</v>
      </c>
      <c r="K658">
        <v>1.054424</v>
      </c>
      <c r="L658">
        <v>367.21440000000001</v>
      </c>
      <c r="M658">
        <v>0.99993779999999999</v>
      </c>
      <c r="N658">
        <v>0</v>
      </c>
      <c r="O658">
        <v>5.0353610000000004E-3</v>
      </c>
      <c r="P658">
        <v>0.99219930000000001</v>
      </c>
      <c r="Q658">
        <v>3.1071629999999999E-2</v>
      </c>
      <c r="R658">
        <v>0.12072769999999999</v>
      </c>
      <c r="S658">
        <v>3.0036930000000002</v>
      </c>
      <c r="T658">
        <v>-0.1979244</v>
      </c>
      <c r="U658">
        <v>0.21386720000000001</v>
      </c>
      <c r="V658">
        <v>-0.1157272</v>
      </c>
      <c r="W658">
        <v>4.0948209999999999E-2</v>
      </c>
      <c r="X658">
        <v>0.9924366</v>
      </c>
      <c r="Y658">
        <v>-6.5866579999999994E-2</v>
      </c>
      <c r="Z658">
        <v>1.833992E-3</v>
      </c>
      <c r="AA658">
        <v>0.99782680000000001</v>
      </c>
      <c r="AB658">
        <v>18</v>
      </c>
      <c r="AC658">
        <v>16.650899999999901</v>
      </c>
      <c r="AD658">
        <v>-1.1044240000000001</v>
      </c>
      <c r="AE658">
        <v>1.1929000000000001</v>
      </c>
      <c r="AF658">
        <v>-1.10420436867506</v>
      </c>
      <c r="AG658">
        <v>-1.1044240000000001</v>
      </c>
      <c r="AH658">
        <v>16.584107834326701</v>
      </c>
      <c r="AI658">
        <v>93.801612628792498</v>
      </c>
      <c r="AJ658">
        <v>93.8092497037062</v>
      </c>
      <c r="AK658">
        <v>16.6574803712973</v>
      </c>
      <c r="AL658">
        <v>87.653184173305803</v>
      </c>
      <c r="AM658">
        <v>96.651174478092301</v>
      </c>
      <c r="AN658">
        <v>0.999999972870801</v>
      </c>
    </row>
    <row r="659" spans="1:40" x14ac:dyDescent="0.3">
      <c r="A659" t="str">
        <f>"20200111145926135"</f>
        <v>20200111145926135</v>
      </c>
      <c r="B659" t="str">
        <f>"1578725966125945"</f>
        <v>1578725966125945</v>
      </c>
      <c r="C659" t="s">
        <v>40</v>
      </c>
      <c r="D659">
        <v>4.1325949999999896</v>
      </c>
      <c r="E659">
        <v>0.55672259999999996</v>
      </c>
      <c r="F659" t="s">
        <v>41</v>
      </c>
      <c r="G659">
        <v>-423.78089999999997</v>
      </c>
      <c r="H659">
        <v>0.99761569999999999</v>
      </c>
      <c r="I659">
        <v>367.20650000000001</v>
      </c>
      <c r="J659">
        <v>-424.55239999999998</v>
      </c>
      <c r="K659">
        <v>1.054424</v>
      </c>
      <c r="L659">
        <v>367.21499999999997</v>
      </c>
      <c r="M659">
        <v>0.99993790000000005</v>
      </c>
      <c r="N659">
        <v>0</v>
      </c>
      <c r="O659">
        <v>5.0262889999999998E-3</v>
      </c>
      <c r="P659">
        <v>0.99221000000000004</v>
      </c>
      <c r="Q659">
        <v>3.1141430000000001E-2</v>
      </c>
      <c r="R659">
        <v>0.12062249999999999</v>
      </c>
      <c r="S659">
        <v>3.0329280000000001</v>
      </c>
      <c r="T659">
        <v>-0.19621630000000001</v>
      </c>
      <c r="U659">
        <v>-2.6123049999999998E-2</v>
      </c>
      <c r="V659">
        <v>-0.11563130000000001</v>
      </c>
      <c r="W659">
        <v>4.1020630000000002E-2</v>
      </c>
      <c r="X659">
        <v>0.99244480000000002</v>
      </c>
      <c r="Y659">
        <v>1.360013E-2</v>
      </c>
      <c r="Z659">
        <v>-7.6431350000000003E-4</v>
      </c>
      <c r="AA659">
        <v>0.9999072</v>
      </c>
      <c r="AB659">
        <v>18</v>
      </c>
      <c r="AC659">
        <v>0.77150000000000296</v>
      </c>
      <c r="AD659">
        <v>-5.6808300000000103E-2</v>
      </c>
      <c r="AE659">
        <v>-8.4999999999695302E-3</v>
      </c>
      <c r="AF659">
        <v>1.2311124795416E-2</v>
      </c>
      <c r="AG659">
        <v>-5.6808300000000103E-2</v>
      </c>
      <c r="AH659">
        <v>0.76728787265409903</v>
      </c>
      <c r="AI659">
        <v>94.233784374657603</v>
      </c>
      <c r="AJ659">
        <v>89.080768776214299</v>
      </c>
      <c r="AK659">
        <v>0.76948646918881602</v>
      </c>
      <c r="AL659">
        <v>87.649031352877998</v>
      </c>
      <c r="AM659">
        <v>96.645657732762402</v>
      </c>
      <c r="AN659">
        <v>0.99999998533616297</v>
      </c>
    </row>
    <row r="660" spans="1:40" x14ac:dyDescent="0.3">
      <c r="A660" t="str">
        <f>"20200111145926152"</f>
        <v>20200111145926152</v>
      </c>
      <c r="B660" t="str">
        <f>"1578725966146441"</f>
        <v>1578725966146441</v>
      </c>
      <c r="C660" t="s">
        <v>40</v>
      </c>
      <c r="D660">
        <v>4.1270030000000002</v>
      </c>
      <c r="E660">
        <v>0.56436569999999997</v>
      </c>
      <c r="F660" t="s">
        <v>43</v>
      </c>
      <c r="G660">
        <v>-407.56319999999999</v>
      </c>
      <c r="H660">
        <v>-0.05</v>
      </c>
      <c r="I660">
        <v>366.72210000000001</v>
      </c>
      <c r="J660">
        <v>-424.42700000000002</v>
      </c>
      <c r="K660">
        <v>1.0544150000000001</v>
      </c>
      <c r="L660">
        <v>367.21559999999999</v>
      </c>
      <c r="M660">
        <v>0.99993799999999999</v>
      </c>
      <c r="N660">
        <v>0</v>
      </c>
      <c r="O660">
        <v>5.0156669999999997E-3</v>
      </c>
      <c r="P660">
        <v>0.99232719999999996</v>
      </c>
      <c r="Q660">
        <v>2.9604640000000002E-2</v>
      </c>
      <c r="R660">
        <v>0.1200441</v>
      </c>
      <c r="S660">
        <v>3.0404360000000001</v>
      </c>
      <c r="T660">
        <v>-0.19764999999999999</v>
      </c>
      <c r="U660">
        <v>-8.8195800000000005E-2</v>
      </c>
      <c r="V660">
        <v>-0.1150629</v>
      </c>
      <c r="W660">
        <v>3.9487889999999998E-2</v>
      </c>
      <c r="X660">
        <v>0.99257300000000004</v>
      </c>
      <c r="Y660">
        <v>3.3926739999999997E-2</v>
      </c>
      <c r="Z660">
        <v>-1.4270089999999999E-3</v>
      </c>
      <c r="AA660">
        <v>0.99942330000000001</v>
      </c>
      <c r="AB660">
        <v>18</v>
      </c>
      <c r="AC660">
        <v>16.863799999999902</v>
      </c>
      <c r="AD660">
        <v>-1.1044149999999999</v>
      </c>
      <c r="AE660">
        <v>-0.49349999999998301</v>
      </c>
      <c r="AF660">
        <v>0.57561449255560804</v>
      </c>
      <c r="AG660">
        <v>-1.1044149999999999</v>
      </c>
      <c r="AH660">
        <v>16.7891657722428</v>
      </c>
      <c r="AI660">
        <v>93.761371191928802</v>
      </c>
      <c r="AJ660">
        <v>88.036390351468</v>
      </c>
      <c r="AK660">
        <v>16.8352948255774</v>
      </c>
      <c r="AL660">
        <v>87.736922082132907</v>
      </c>
      <c r="AM660">
        <v>96.612433652859195</v>
      </c>
      <c r="AN660">
        <v>0.99999996237102995</v>
      </c>
    </row>
    <row r="661" spans="1:40" x14ac:dyDescent="0.3">
      <c r="A661" t="str">
        <f>"20200111145926165"</f>
        <v>20200111145926165</v>
      </c>
      <c r="B661" t="str">
        <f>"1578725966156200"</f>
        <v>1578725966156200</v>
      </c>
      <c r="C661" t="s">
        <v>40</v>
      </c>
      <c r="D661">
        <v>4.11897</v>
      </c>
      <c r="E661">
        <v>0.56660059999999901</v>
      </c>
      <c r="F661" t="s">
        <v>43</v>
      </c>
      <c r="G661">
        <v>-406.46780000000001</v>
      </c>
      <c r="H661">
        <v>-0.05</v>
      </c>
      <c r="I661">
        <v>366.32889999999998</v>
      </c>
      <c r="J661">
        <v>-424.32060000000001</v>
      </c>
      <c r="K661">
        <v>1.054414</v>
      </c>
      <c r="L661">
        <v>367.21609999999998</v>
      </c>
      <c r="M661">
        <v>0.99993810000000005</v>
      </c>
      <c r="N661">
        <v>0</v>
      </c>
      <c r="O661">
        <v>5.0065960000000003E-3</v>
      </c>
      <c r="P661">
        <v>0.99240689999999998</v>
      </c>
      <c r="Q661">
        <v>2.869209E-2</v>
      </c>
      <c r="R661">
        <v>0.11960610000000001</v>
      </c>
      <c r="S661">
        <v>3.046967</v>
      </c>
      <c r="T661">
        <v>-0.18737529999999999</v>
      </c>
      <c r="U661">
        <v>-0.15045169999999999</v>
      </c>
      <c r="V661">
        <v>-0.114633399999999</v>
      </c>
      <c r="W661">
        <v>3.8578300000000003E-2</v>
      </c>
      <c r="X661">
        <v>0.9926585</v>
      </c>
      <c r="Y661">
        <v>5.4205980000000001E-2</v>
      </c>
      <c r="Z661">
        <v>-1.9715639999999999E-3</v>
      </c>
      <c r="AA661">
        <v>0.99852779999999997</v>
      </c>
      <c r="AB661">
        <v>18</v>
      </c>
      <c r="AC661">
        <v>17.852799999999998</v>
      </c>
      <c r="AD661">
        <v>-1.104414</v>
      </c>
      <c r="AE661">
        <v>-0.88720000000000698</v>
      </c>
      <c r="AF661">
        <v>0.97286114450753902</v>
      </c>
      <c r="AG661">
        <v>-1.104414</v>
      </c>
      <c r="AH661">
        <v>17.780257887075699</v>
      </c>
      <c r="AI661">
        <v>93.549044209727697</v>
      </c>
      <c r="AJ661">
        <v>86.868138151182606</v>
      </c>
      <c r="AK661">
        <v>17.841069464042999</v>
      </c>
      <c r="AL661">
        <v>87.789077583083696</v>
      </c>
      <c r="AM661">
        <v>96.587406075762004</v>
      </c>
      <c r="AN661">
        <v>0.99999999962434905</v>
      </c>
    </row>
    <row r="662" spans="1:40" x14ac:dyDescent="0.3">
      <c r="A662" t="str">
        <f>"20200111145926179"</f>
        <v>20200111145926179</v>
      </c>
      <c r="B662" t="str">
        <f>"1578725966176696"</f>
        <v>1578725966176696</v>
      </c>
      <c r="C662" t="s">
        <v>40</v>
      </c>
      <c r="D662">
        <v>4.1683589999999997</v>
      </c>
      <c r="E662">
        <v>0.5690809</v>
      </c>
      <c r="F662" t="s">
        <v>41</v>
      </c>
      <c r="G662">
        <v>-423.47190000000001</v>
      </c>
      <c r="H662">
        <v>1.000651</v>
      </c>
      <c r="I662">
        <v>367.16860000000003</v>
      </c>
      <c r="J662">
        <v>-424.20580000000001</v>
      </c>
      <c r="K662">
        <v>1.0544089999999999</v>
      </c>
      <c r="L662">
        <v>367.2167</v>
      </c>
      <c r="M662">
        <v>0.99993810000000005</v>
      </c>
      <c r="N662">
        <v>0</v>
      </c>
      <c r="O662">
        <v>4.9971659999999999E-3</v>
      </c>
      <c r="P662">
        <v>0.99240879999999998</v>
      </c>
      <c r="Q662">
        <v>2.8054119999999998E-2</v>
      </c>
      <c r="R662">
        <v>0.1197404</v>
      </c>
      <c r="S662">
        <v>3.0489809999999999</v>
      </c>
      <c r="T662">
        <v>-0.1933347</v>
      </c>
      <c r="U662">
        <v>-0.16958619999999999</v>
      </c>
      <c r="V662">
        <v>-0.1147773</v>
      </c>
      <c r="W662">
        <v>3.7942669999999998E-2</v>
      </c>
      <c r="X662">
        <v>0.99266639999999995</v>
      </c>
      <c r="Y662">
        <v>6.039286E-2</v>
      </c>
      <c r="Z662">
        <v>-2.2276829999999998E-3</v>
      </c>
      <c r="AA662">
        <v>0.99817219999999995</v>
      </c>
      <c r="AB662">
        <v>18</v>
      </c>
      <c r="AC662">
        <v>0.73390000000000499</v>
      </c>
      <c r="AD662">
        <v>-5.3757999999999903E-2</v>
      </c>
      <c r="AE662">
        <v>-4.8099999999976703E-2</v>
      </c>
      <c r="AF662">
        <v>5.1491901206377803E-2</v>
      </c>
      <c r="AG662">
        <v>-5.3757999999999903E-2</v>
      </c>
      <c r="AH662">
        <v>0.72975170444140602</v>
      </c>
      <c r="AI662">
        <v>94.202737637655304</v>
      </c>
      <c r="AJ662">
        <v>85.963850613458206</v>
      </c>
      <c r="AK662">
        <v>0.73353860742907395</v>
      </c>
      <c r="AL662">
        <v>87.825523247797094</v>
      </c>
      <c r="AM662">
        <v>96.595550444374794</v>
      </c>
      <c r="AN662">
        <v>1.00000002824548</v>
      </c>
    </row>
    <row r="663" spans="1:40" x14ac:dyDescent="0.3">
      <c r="A663" t="str">
        <f>"20200111145926197"</f>
        <v>20200111145926197</v>
      </c>
      <c r="B663" t="str">
        <f>"1578725966186457"</f>
        <v>1578725966186457</v>
      </c>
      <c r="C663" t="s">
        <v>40</v>
      </c>
      <c r="D663">
        <v>4.2008330000000003</v>
      </c>
      <c r="E663">
        <v>0.57010629999999995</v>
      </c>
      <c r="F663" t="s">
        <v>43</v>
      </c>
      <c r="G663">
        <v>-406.80889999999999</v>
      </c>
      <c r="H663">
        <v>-0.05</v>
      </c>
      <c r="I663">
        <v>366.13940000000002</v>
      </c>
      <c r="J663">
        <v>-424.06959999999998</v>
      </c>
      <c r="K663">
        <v>1.054405</v>
      </c>
      <c r="L663">
        <v>367.2174</v>
      </c>
      <c r="M663">
        <v>0.99993799999999999</v>
      </c>
      <c r="N663">
        <v>0</v>
      </c>
      <c r="O663">
        <v>4.9861819999999996E-3</v>
      </c>
      <c r="P663">
        <v>0.9924598</v>
      </c>
      <c r="Q663">
        <v>2.7511770000000001E-2</v>
      </c>
      <c r="R663">
        <v>0.1194432</v>
      </c>
      <c r="S663">
        <v>3.0512389999999998</v>
      </c>
      <c r="T663">
        <v>-0.19370209999999999</v>
      </c>
      <c r="U663">
        <v>-0.1889343</v>
      </c>
      <c r="V663">
        <v>-0.11449040000000001</v>
      </c>
      <c r="W663">
        <v>3.7403739999999998E-2</v>
      </c>
      <c r="X663">
        <v>0.99271989999999999</v>
      </c>
      <c r="Y663">
        <v>6.6634650000000004E-2</v>
      </c>
      <c r="Z663">
        <v>-2.4268900000000001E-3</v>
      </c>
      <c r="AA663">
        <v>0.99777450000000001</v>
      </c>
      <c r="AB663">
        <v>18</v>
      </c>
      <c r="AC663">
        <v>17.2606999999999</v>
      </c>
      <c r="AD663">
        <v>-1.1044049999999901</v>
      </c>
      <c r="AE663">
        <v>-1.0779999999999701</v>
      </c>
      <c r="AF663">
        <v>1.1593280938968</v>
      </c>
      <c r="AG663">
        <v>-1.1044049999999901</v>
      </c>
      <c r="AH663">
        <v>17.185029163042401</v>
      </c>
      <c r="AI663">
        <v>93.668770920297405</v>
      </c>
      <c r="AJ663">
        <v>86.140587652061001</v>
      </c>
      <c r="AK663">
        <v>17.259460575810099</v>
      </c>
      <c r="AL663">
        <v>87.856423420396695</v>
      </c>
      <c r="AM663">
        <v>96.578857312526097</v>
      </c>
      <c r="AN663">
        <v>0.99999994565707695</v>
      </c>
    </row>
    <row r="664" spans="1:40" x14ac:dyDescent="0.3">
      <c r="A664" t="str">
        <f>"20200111145926209"</f>
        <v>20200111145926209</v>
      </c>
      <c r="B664" t="str">
        <f>"1578725966205978"</f>
        <v>1578725966205978</v>
      </c>
      <c r="C664" t="s">
        <v>40</v>
      </c>
      <c r="D664">
        <v>4.2031359999999998</v>
      </c>
      <c r="E664">
        <v>0.5715209</v>
      </c>
      <c r="F664" t="s">
        <v>41</v>
      </c>
      <c r="G664">
        <v>-423.3005</v>
      </c>
      <c r="H664">
        <v>1.0053190000000001</v>
      </c>
      <c r="I664">
        <v>367.16719999999998</v>
      </c>
      <c r="J664">
        <v>-423.97129999999999</v>
      </c>
      <c r="K664">
        <v>1.054406</v>
      </c>
      <c r="L664">
        <v>367.21780000000001</v>
      </c>
      <c r="M664">
        <v>0.99993799999999999</v>
      </c>
      <c r="N664">
        <v>0</v>
      </c>
      <c r="O664">
        <v>4.9779450000000001E-3</v>
      </c>
      <c r="P664">
        <v>0.99247540000000001</v>
      </c>
      <c r="Q664">
        <v>2.8166859999999998E-2</v>
      </c>
      <c r="R664">
        <v>0.11916069999999999</v>
      </c>
      <c r="S664">
        <v>3.0520320000000001</v>
      </c>
      <c r="T664">
        <v>-0.19500020000000001</v>
      </c>
      <c r="U664">
        <v>-0.19790650000000001</v>
      </c>
      <c r="V664">
        <v>-0.11421630000000001</v>
      </c>
      <c r="W664">
        <v>3.8061310000000001E-2</v>
      </c>
      <c r="X664">
        <v>0.99272660000000001</v>
      </c>
      <c r="Y664">
        <v>6.9523920000000003E-2</v>
      </c>
      <c r="Z664">
        <v>-2.5338470000000001E-3</v>
      </c>
      <c r="AA664">
        <v>0.99757709999999999</v>
      </c>
      <c r="AB664">
        <v>18</v>
      </c>
      <c r="AC664">
        <v>0.67079999999998496</v>
      </c>
      <c r="AD664">
        <v>-4.9086999999999797E-2</v>
      </c>
      <c r="AE664">
        <v>-5.0600000000031203E-2</v>
      </c>
      <c r="AF664">
        <v>5.3653065860198301E-2</v>
      </c>
      <c r="AG664">
        <v>-4.9086999999999797E-2</v>
      </c>
      <c r="AH664">
        <v>0.66698837993900295</v>
      </c>
      <c r="AI664">
        <v>94.195590139192603</v>
      </c>
      <c r="AJ664">
        <v>85.400985362403702</v>
      </c>
      <c r="AK664">
        <v>0.67094089457928696</v>
      </c>
      <c r="AL664">
        <v>87.818720841979001</v>
      </c>
      <c r="AM664">
        <v>96.563200628072906</v>
      </c>
      <c r="AN664">
        <v>1.00000006442608</v>
      </c>
    </row>
    <row r="665" spans="1:40" x14ac:dyDescent="0.3">
      <c r="A665" t="str">
        <f>"20200111145926221"</f>
        <v>20200111145926221</v>
      </c>
      <c r="B665" t="str">
        <f>"1578725966216713"</f>
        <v>1578725966216713</v>
      </c>
      <c r="C665" t="s">
        <v>40</v>
      </c>
      <c r="D665">
        <v>4.2002319999999997</v>
      </c>
      <c r="E665">
        <v>0.57207909999999995</v>
      </c>
      <c r="F665" t="s">
        <v>41</v>
      </c>
      <c r="G665">
        <v>-423.1506</v>
      </c>
      <c r="H665">
        <v>1.0020279999999999</v>
      </c>
      <c r="I665">
        <v>367.16129999999998</v>
      </c>
      <c r="J665">
        <v>-423.8741</v>
      </c>
      <c r="K665">
        <v>1.0544119999999999</v>
      </c>
      <c r="L665">
        <v>367.2183</v>
      </c>
      <c r="M665">
        <v>0.99993810000000005</v>
      </c>
      <c r="N665">
        <v>0</v>
      </c>
      <c r="O665">
        <v>4.9698870000000001E-3</v>
      </c>
      <c r="P665">
        <v>0.99247359999999896</v>
      </c>
      <c r="Q665">
        <v>2.88028E-2</v>
      </c>
      <c r="R665">
        <v>0.119024</v>
      </c>
      <c r="S665">
        <v>3.053436</v>
      </c>
      <c r="T665">
        <v>-0.1950027</v>
      </c>
      <c r="U665">
        <v>-0.20977779999999999</v>
      </c>
      <c r="V665">
        <v>-0.1140876</v>
      </c>
      <c r="W665">
        <v>3.8698839999999998E-2</v>
      </c>
      <c r="X665">
        <v>0.99271670000000001</v>
      </c>
      <c r="Y665">
        <v>7.333945E-2</v>
      </c>
      <c r="Z665">
        <v>-2.6534499999999999E-3</v>
      </c>
      <c r="AA665">
        <v>0.99730350000000001</v>
      </c>
      <c r="AB665">
        <v>18</v>
      </c>
      <c r="AC665">
        <v>0.72350000000000103</v>
      </c>
      <c r="AD665">
        <v>-5.2383999999999903E-2</v>
      </c>
      <c r="AE665">
        <v>-5.7000000000016302E-2</v>
      </c>
      <c r="AF665">
        <v>6.0281126173722097E-2</v>
      </c>
      <c r="AG665">
        <v>-5.2383999999999903E-2</v>
      </c>
      <c r="AH665">
        <v>0.71945942377727301</v>
      </c>
      <c r="AI665">
        <v>94.149879902851893</v>
      </c>
      <c r="AJ665">
        <v>85.210562801048198</v>
      </c>
      <c r="AK665">
        <v>0.72387827712309305</v>
      </c>
      <c r="AL665">
        <v>87.7821660195482</v>
      </c>
      <c r="AM665">
        <v>96.555934378169695</v>
      </c>
      <c r="AN665">
        <v>1.00000001357499</v>
      </c>
    </row>
    <row r="666" spans="1:40" x14ac:dyDescent="0.3">
      <c r="A666" t="str">
        <f>"20200111145926233"</f>
        <v>20200111145926233</v>
      </c>
      <c r="B666" t="str">
        <f>"1578725966226473"</f>
        <v>1578725966226473</v>
      </c>
      <c r="C666" t="s">
        <v>40</v>
      </c>
      <c r="D666">
        <v>4.1796569999999997</v>
      </c>
      <c r="E666">
        <v>0.57257349999999996</v>
      </c>
      <c r="F666" t="s">
        <v>41</v>
      </c>
      <c r="G666">
        <v>-422.99349999999998</v>
      </c>
      <c r="H666">
        <v>0.9984056</v>
      </c>
      <c r="I666">
        <v>367.15600000000001</v>
      </c>
      <c r="J666">
        <v>-423.77670000000001</v>
      </c>
      <c r="K666">
        <v>1.0544129999999901</v>
      </c>
      <c r="L666">
        <v>367.21879999999999</v>
      </c>
      <c r="M666">
        <v>0.9999382</v>
      </c>
      <c r="N666">
        <v>0</v>
      </c>
      <c r="O666">
        <v>4.9617699999999999E-3</v>
      </c>
      <c r="P666">
        <v>0.99248369999999997</v>
      </c>
      <c r="Q666">
        <v>2.9924989999999999E-2</v>
      </c>
      <c r="R666">
        <v>0.1186623</v>
      </c>
      <c r="S666">
        <v>3.0541079999999998</v>
      </c>
      <c r="T666">
        <v>-0.19456689999999999</v>
      </c>
      <c r="U666">
        <v>-0.21450810000000001</v>
      </c>
      <c r="V666">
        <v>-0.11373369999999999</v>
      </c>
      <c r="W666">
        <v>3.9823320000000002E-2</v>
      </c>
      <c r="X666">
        <v>0.99271279999999995</v>
      </c>
      <c r="Y666">
        <v>7.4851249999999994E-2</v>
      </c>
      <c r="Z666">
        <v>-2.6943430000000001E-3</v>
      </c>
      <c r="AA666">
        <v>0.9971911</v>
      </c>
      <c r="AB666">
        <v>18</v>
      </c>
      <c r="AC666">
        <v>0.78320000000002199</v>
      </c>
      <c r="AD666">
        <v>-5.6007399999999798E-2</v>
      </c>
      <c r="AE666">
        <v>-6.2799999999981496E-2</v>
      </c>
      <c r="AF666">
        <v>6.6348351456368304E-2</v>
      </c>
      <c r="AG666">
        <v>-5.6007399999999798E-2</v>
      </c>
      <c r="AH666">
        <v>0.77892092843438199</v>
      </c>
      <c r="AI666">
        <v>94.097919352659403</v>
      </c>
      <c r="AJ666">
        <v>85.1313077043162</v>
      </c>
      <c r="AK666">
        <v>0.78374533194706597</v>
      </c>
      <c r="AL666">
        <v>87.717688262892096</v>
      </c>
      <c r="AM666">
        <v>96.535799534898302</v>
      </c>
      <c r="AN666">
        <v>0.99999997730767498</v>
      </c>
    </row>
    <row r="667" spans="1:40" x14ac:dyDescent="0.3">
      <c r="A667" t="str">
        <f>"20200111145926245"</f>
        <v>20200111145926245</v>
      </c>
      <c r="B667" t="str">
        <f>"1578725966236232"</f>
        <v>1578725966236232</v>
      </c>
      <c r="C667" t="s">
        <v>40</v>
      </c>
      <c r="D667">
        <v>4.1842220000000001</v>
      </c>
      <c r="E667">
        <v>0.57292469999999995</v>
      </c>
      <c r="F667" t="s">
        <v>41</v>
      </c>
      <c r="G667">
        <v>-422.98750000000001</v>
      </c>
      <c r="H667">
        <v>1.004766</v>
      </c>
      <c r="I667">
        <v>367.16160000000002</v>
      </c>
      <c r="J667">
        <v>-423.68700000000001</v>
      </c>
      <c r="K667">
        <v>1.0544119999999999</v>
      </c>
      <c r="L667">
        <v>367.2192</v>
      </c>
      <c r="M667">
        <v>0.99993810000000005</v>
      </c>
      <c r="N667">
        <v>0</v>
      </c>
      <c r="O667">
        <v>4.9543690000000001E-3</v>
      </c>
      <c r="P667">
        <v>0.99251449999999997</v>
      </c>
      <c r="Q667">
        <v>2.9633909999999999E-2</v>
      </c>
      <c r="R667">
        <v>0.1184776</v>
      </c>
      <c r="S667">
        <v>3.0548099999999998</v>
      </c>
      <c r="T667">
        <v>-0.1925789</v>
      </c>
      <c r="U667">
        <v>-0.21951290000000001</v>
      </c>
      <c r="V667">
        <v>-0.1135565</v>
      </c>
      <c r="W667">
        <v>3.953458E-2</v>
      </c>
      <c r="X667">
        <v>0.99274459999999998</v>
      </c>
      <c r="Y667">
        <v>7.6453549999999995E-2</v>
      </c>
      <c r="Z667">
        <v>-2.7160299999999999E-3</v>
      </c>
      <c r="AA667">
        <v>0.99706939999999999</v>
      </c>
      <c r="AB667">
        <v>18</v>
      </c>
      <c r="AC667">
        <v>0.69949999999994295</v>
      </c>
      <c r="AD667">
        <v>-4.9646000000000003E-2</v>
      </c>
      <c r="AE667">
        <v>-5.7599999999979397E-2</v>
      </c>
      <c r="AF667">
        <v>6.0761039220780501E-2</v>
      </c>
      <c r="AG667">
        <v>-4.9646000000000003E-2</v>
      </c>
      <c r="AH667">
        <v>0.69572509343859601</v>
      </c>
      <c r="AI667">
        <v>94.066205048716895</v>
      </c>
      <c r="AJ667">
        <v>85.008746648359804</v>
      </c>
      <c r="AK667">
        <v>0.70013572601555796</v>
      </c>
      <c r="AL667">
        <v>87.734244826338795</v>
      </c>
      <c r="AM667">
        <v>96.525497263782597</v>
      </c>
      <c r="AN667">
        <v>0.99999995126859198</v>
      </c>
    </row>
    <row r="668" spans="1:40" x14ac:dyDescent="0.3">
      <c r="A668" t="str">
        <f>"20200111145926255"</f>
        <v>20200111145926255</v>
      </c>
      <c r="B668" t="str">
        <f>"1578725966245993"</f>
        <v>1578725966245993</v>
      </c>
      <c r="C668" t="s">
        <v>40</v>
      </c>
      <c r="D668">
        <v>4.241536</v>
      </c>
      <c r="E668">
        <v>0.57323840000000004</v>
      </c>
      <c r="F668" t="s">
        <v>41</v>
      </c>
      <c r="G668">
        <v>-422.83100000000002</v>
      </c>
      <c r="H668">
        <v>1.0001389999999999</v>
      </c>
      <c r="I668">
        <v>367.1567</v>
      </c>
      <c r="J668">
        <v>-423.5967</v>
      </c>
      <c r="K668">
        <v>1.054406</v>
      </c>
      <c r="L668">
        <v>367.21969999999999</v>
      </c>
      <c r="M668">
        <v>0.99993810000000005</v>
      </c>
      <c r="N668">
        <v>0</v>
      </c>
      <c r="O668">
        <v>4.9469689999999998E-3</v>
      </c>
      <c r="P668">
        <v>0.9925254</v>
      </c>
      <c r="Q668">
        <v>2.8836589999999999E-2</v>
      </c>
      <c r="R668">
        <v>0.1185832</v>
      </c>
      <c r="S668">
        <v>3.0549620000000002</v>
      </c>
      <c r="T668">
        <v>-0.1938221</v>
      </c>
      <c r="U668">
        <v>-0.2227478</v>
      </c>
      <c r="V668">
        <v>-0.1136694</v>
      </c>
      <c r="W668">
        <v>3.8739820000000001E-2</v>
      </c>
      <c r="X668">
        <v>0.99276299999999995</v>
      </c>
      <c r="Y668">
        <v>7.7488749999999995E-2</v>
      </c>
      <c r="Z668">
        <v>-2.7655829999999998E-3</v>
      </c>
      <c r="AA668">
        <v>0.99698940000000003</v>
      </c>
      <c r="AB668">
        <v>18</v>
      </c>
      <c r="AC668">
        <v>0.76570000000003802</v>
      </c>
      <c r="AD668">
        <v>-5.4267000000000003E-2</v>
      </c>
      <c r="AE668">
        <v>-6.2999999999988093E-2</v>
      </c>
      <c r="AF668">
        <v>6.6455755370707595E-2</v>
      </c>
      <c r="AG668">
        <v>-5.4267000000000003E-2</v>
      </c>
      <c r="AH668">
        <v>0.76157934197520705</v>
      </c>
      <c r="AI668">
        <v>94.060394442019401</v>
      </c>
      <c r="AJ668">
        <v>85.012976658161605</v>
      </c>
      <c r="AK668">
        <v>0.76639700471379801</v>
      </c>
      <c r="AL668">
        <v>87.779816113445804</v>
      </c>
      <c r="AM668">
        <v>96.531808977739004</v>
      </c>
      <c r="AN668">
        <v>0.99999994015949401</v>
      </c>
    </row>
    <row r="669" spans="1:40" x14ac:dyDescent="0.3">
      <c r="A669" t="str">
        <f>"20200111145926268"</f>
        <v>20200111145926268</v>
      </c>
      <c r="B669" t="str">
        <f>"1578725966256729"</f>
        <v>1578725966256729</v>
      </c>
      <c r="C669" t="s">
        <v>40</v>
      </c>
      <c r="D669">
        <v>4.2839780000000003</v>
      </c>
      <c r="E669">
        <v>0.57306389999999996</v>
      </c>
      <c r="F669" t="s">
        <v>41</v>
      </c>
      <c r="G669">
        <v>-422.8263</v>
      </c>
      <c r="H669">
        <v>1.0051559999999999</v>
      </c>
      <c r="I669">
        <v>367.1628</v>
      </c>
      <c r="J669">
        <v>-423.5009</v>
      </c>
      <c r="K669">
        <v>1.054403</v>
      </c>
      <c r="L669">
        <v>367.2201</v>
      </c>
      <c r="M669">
        <v>0.9999382</v>
      </c>
      <c r="N669">
        <v>0</v>
      </c>
      <c r="O669">
        <v>4.9385540000000004E-3</v>
      </c>
      <c r="P669">
        <v>0.99257879999999998</v>
      </c>
      <c r="Q669">
        <v>2.827942E-2</v>
      </c>
      <c r="R669">
        <v>0.11826970000000001</v>
      </c>
      <c r="S669">
        <v>3.0552060000000001</v>
      </c>
      <c r="T669">
        <v>-0.19547900000000001</v>
      </c>
      <c r="U669">
        <v>-0.22506709999999999</v>
      </c>
      <c r="V669">
        <v>-0.1133641</v>
      </c>
      <c r="W669">
        <v>3.8185200000000002E-2</v>
      </c>
      <c r="X669">
        <v>0.99281940000000002</v>
      </c>
      <c r="Y669">
        <v>7.8223100000000004E-2</v>
      </c>
      <c r="Z669">
        <v>-2.811778E-3</v>
      </c>
      <c r="AA669">
        <v>0.99693189999999998</v>
      </c>
      <c r="AB669">
        <v>18</v>
      </c>
      <c r="AC669">
        <v>0.67459999999999798</v>
      </c>
      <c r="AD669">
        <v>-4.9246999999999999E-2</v>
      </c>
      <c r="AE669">
        <v>-5.7299999999997901E-2</v>
      </c>
      <c r="AF669">
        <v>6.03118995065062E-2</v>
      </c>
      <c r="AG669">
        <v>-4.9246999999999999E-2</v>
      </c>
      <c r="AH669">
        <v>0.67075973183288295</v>
      </c>
      <c r="AI669">
        <v>94.182294230652502</v>
      </c>
      <c r="AJ669">
        <v>84.862020883321193</v>
      </c>
      <c r="AK669">
        <v>0.67526395585696997</v>
      </c>
      <c r="AL669">
        <v>87.811617042529804</v>
      </c>
      <c r="AM669">
        <v>96.514049571813402</v>
      </c>
      <c r="AN669">
        <v>0.99999994484210297</v>
      </c>
    </row>
    <row r="670" spans="1:40" x14ac:dyDescent="0.3">
      <c r="A670" t="str">
        <f>"20200111145926286"</f>
        <v>20200111145926286</v>
      </c>
      <c r="B670" t="str">
        <f>"1578725966276251"</f>
        <v>1578725966276251</v>
      </c>
      <c r="C670" t="s">
        <v>40</v>
      </c>
      <c r="D670">
        <v>4.256799</v>
      </c>
      <c r="E670">
        <v>0.57293249999999996</v>
      </c>
      <c r="F670" t="s">
        <v>41</v>
      </c>
      <c r="G670">
        <v>-422.66950000000003</v>
      </c>
      <c r="H670">
        <v>1.000497</v>
      </c>
      <c r="I670">
        <v>367.15859999999998</v>
      </c>
      <c r="J670">
        <v>-423.3571</v>
      </c>
      <c r="K670">
        <v>1.0544070000000001</v>
      </c>
      <c r="L670">
        <v>367.22089999999997</v>
      </c>
      <c r="M670">
        <v>0.9999382</v>
      </c>
      <c r="N670">
        <v>0</v>
      </c>
      <c r="O670">
        <v>4.9262610000000004E-3</v>
      </c>
      <c r="P670">
        <v>0.9926488</v>
      </c>
      <c r="Q670">
        <v>2.8020610000000001E-2</v>
      </c>
      <c r="R670">
        <v>0.11774220000000001</v>
      </c>
      <c r="S670">
        <v>3.05484</v>
      </c>
      <c r="T670">
        <v>-0.19845409999999999</v>
      </c>
      <c r="U670">
        <v>-0.2244873</v>
      </c>
      <c r="V670">
        <v>-0.1128482</v>
      </c>
      <c r="W670">
        <v>3.7930270000000002E-2</v>
      </c>
      <c r="X670">
        <v>0.99288799999999999</v>
      </c>
      <c r="Y670">
        <v>7.8026590000000007E-2</v>
      </c>
      <c r="Z670">
        <v>-2.8476780000000002E-3</v>
      </c>
      <c r="AA670">
        <v>0.99694720000000003</v>
      </c>
      <c r="AB670">
        <v>18</v>
      </c>
      <c r="AC670">
        <v>0.68759999999997401</v>
      </c>
      <c r="AD670">
        <v>-5.3909999999999902E-2</v>
      </c>
      <c r="AE670">
        <v>-6.2299999999993298E-2</v>
      </c>
      <c r="AF670">
        <v>6.5288644365169596E-2</v>
      </c>
      <c r="AG670">
        <v>-5.3909999999999902E-2</v>
      </c>
      <c r="AH670">
        <v>0.68311975287013005</v>
      </c>
      <c r="AI670">
        <v>94.491894645531403</v>
      </c>
      <c r="AJ670">
        <v>84.540582588611002</v>
      </c>
      <c r="AK670">
        <v>0.68834692702472999</v>
      </c>
      <c r="AL670">
        <v>87.826234168170004</v>
      </c>
      <c r="AM670">
        <v>96.484214136404205</v>
      </c>
      <c r="AN670">
        <v>1.0000000010847501</v>
      </c>
    </row>
    <row r="671" spans="1:40" x14ac:dyDescent="0.3">
      <c r="A671" t="str">
        <f>"20200111145926297"</f>
        <v>20200111145926297</v>
      </c>
      <c r="B671" t="str">
        <f>"1578725966286009"</f>
        <v>1578725966286009</v>
      </c>
      <c r="C671" t="s">
        <v>40</v>
      </c>
      <c r="D671">
        <v>4.2608680000000003</v>
      </c>
      <c r="E671">
        <v>0.57290240000000003</v>
      </c>
      <c r="F671" t="s">
        <v>41</v>
      </c>
      <c r="G671">
        <v>-422.50970000000001</v>
      </c>
      <c r="H671">
        <v>0.99873909999999999</v>
      </c>
      <c r="I671">
        <v>367.1583</v>
      </c>
      <c r="J671">
        <v>-423.25630000000001</v>
      </c>
      <c r="K671">
        <v>1.0544100000000001</v>
      </c>
      <c r="L671">
        <v>367.22129999999999</v>
      </c>
      <c r="M671">
        <v>0.99993829999999995</v>
      </c>
      <c r="N671">
        <v>0</v>
      </c>
      <c r="O671">
        <v>4.9182009999999996E-3</v>
      </c>
      <c r="P671">
        <v>0.99269300000000005</v>
      </c>
      <c r="Q671">
        <v>2.8319110000000002E-2</v>
      </c>
      <c r="R671">
        <v>0.117298</v>
      </c>
      <c r="S671">
        <v>3.0545650000000002</v>
      </c>
      <c r="T671">
        <v>-0.200659</v>
      </c>
      <c r="U671">
        <v>-0.22534179999999901</v>
      </c>
      <c r="V671">
        <v>-0.11241180000000001</v>
      </c>
      <c r="W671">
        <v>3.823141E-2</v>
      </c>
      <c r="X671">
        <v>0.99292590000000003</v>
      </c>
      <c r="Y671">
        <v>7.8298010000000001E-2</v>
      </c>
      <c r="Z671">
        <v>-2.8878430000000002E-3</v>
      </c>
      <c r="AA671">
        <v>0.99692579999999997</v>
      </c>
      <c r="AB671">
        <v>18</v>
      </c>
      <c r="AC671">
        <v>0.74660000000000004</v>
      </c>
      <c r="AD671">
        <v>-5.5670900000000002E-2</v>
      </c>
      <c r="AE671">
        <v>-6.2999999999988093E-2</v>
      </c>
      <c r="AF671">
        <v>6.6305293178281294E-2</v>
      </c>
      <c r="AG671">
        <v>-5.5670900000000002E-2</v>
      </c>
      <c r="AH671">
        <v>0.74218368702640802</v>
      </c>
      <c r="AI671">
        <v>94.272746426059896</v>
      </c>
      <c r="AJ671">
        <v>84.894856044668998</v>
      </c>
      <c r="AK671">
        <v>0.74721634504230505</v>
      </c>
      <c r="AL671">
        <v>87.808967477023302</v>
      </c>
      <c r="AM671">
        <v>96.459106622489003</v>
      </c>
      <c r="AN671">
        <v>0.99999994819031701</v>
      </c>
    </row>
    <row r="672" spans="1:40" x14ac:dyDescent="0.3">
      <c r="A672" t="str">
        <f>"20200111145926309"</f>
        <v>20200111145926309</v>
      </c>
      <c r="B672" t="str">
        <f>"1578725966306505"</f>
        <v>1578725966306505</v>
      </c>
      <c r="C672" t="s">
        <v>40</v>
      </c>
      <c r="D672">
        <v>4.2210479999999997</v>
      </c>
      <c r="E672">
        <v>0.57286269999999995</v>
      </c>
      <c r="F672" t="s">
        <v>41</v>
      </c>
      <c r="G672">
        <v>-422.50380000000001</v>
      </c>
      <c r="H672">
        <v>1.0048760000000001</v>
      </c>
      <c r="I672">
        <v>367.16550000000001</v>
      </c>
      <c r="J672">
        <v>-423.16210000000001</v>
      </c>
      <c r="K672">
        <v>1.054414</v>
      </c>
      <c r="L672">
        <v>367.22179999999997</v>
      </c>
      <c r="M672">
        <v>0.9999382</v>
      </c>
      <c r="N672">
        <v>0</v>
      </c>
      <c r="O672">
        <v>4.9100849999999998E-3</v>
      </c>
      <c r="P672">
        <v>0.99269220000000002</v>
      </c>
      <c r="Q672">
        <v>2.9154860000000001E-2</v>
      </c>
      <c r="R672">
        <v>0.1170993</v>
      </c>
      <c r="S672">
        <v>3.0545960000000001</v>
      </c>
      <c r="T672">
        <v>-0.20109869999999999</v>
      </c>
      <c r="U672">
        <v>-0.22637940000000001</v>
      </c>
      <c r="V672">
        <v>-0.11222119999999999</v>
      </c>
      <c r="W672">
        <v>3.9069550000000001E-2</v>
      </c>
      <c r="X672">
        <v>0.99291490000000004</v>
      </c>
      <c r="Y672">
        <v>7.8624529999999998E-2</v>
      </c>
      <c r="Z672">
        <v>-2.9042809999999999E-3</v>
      </c>
      <c r="AA672">
        <v>0.99690009999999996</v>
      </c>
      <c r="AB672">
        <v>18</v>
      </c>
      <c r="AC672">
        <v>0.658299999999997</v>
      </c>
      <c r="AD672">
        <v>-4.9537999999999797E-2</v>
      </c>
      <c r="AE672">
        <v>-5.6299999999964698E-2</v>
      </c>
      <c r="AF672">
        <v>5.9198994641746903E-2</v>
      </c>
      <c r="AG672">
        <v>-4.9537999999999797E-2</v>
      </c>
      <c r="AH672">
        <v>0.65433715388237801</v>
      </c>
      <c r="AI672">
        <v>94.311897254221506</v>
      </c>
      <c r="AJ672">
        <v>84.830427312604698</v>
      </c>
      <c r="AK672">
        <v>0.65887452930090096</v>
      </c>
      <c r="AL672">
        <v>87.760909824569595</v>
      </c>
      <c r="AM672">
        <v>96.448318029070293</v>
      </c>
      <c r="AN672">
        <v>1.0000000130543201</v>
      </c>
    </row>
    <row r="673" spans="1:40" x14ac:dyDescent="0.3">
      <c r="A673" t="str">
        <f>"20200111145926321"</f>
        <v>20200111145926321</v>
      </c>
      <c r="B673" t="str">
        <f>"1578725966316265"</f>
        <v>1578725966316265</v>
      </c>
      <c r="C673" t="s">
        <v>40</v>
      </c>
      <c r="D673">
        <v>4.2452779999999999</v>
      </c>
      <c r="E673">
        <v>0.57287030000000005</v>
      </c>
      <c r="F673" t="s">
        <v>41</v>
      </c>
      <c r="G673">
        <v>-422.34620000000001</v>
      </c>
      <c r="H673">
        <v>1.000629</v>
      </c>
      <c r="I673">
        <v>367.16070000000002</v>
      </c>
      <c r="J673">
        <v>-423.06670000000003</v>
      </c>
      <c r="K673">
        <v>1.054414</v>
      </c>
      <c r="L673">
        <v>367.22219999999999</v>
      </c>
      <c r="M673">
        <v>0.9999382</v>
      </c>
      <c r="N673">
        <v>0</v>
      </c>
      <c r="O673">
        <v>4.9016720000000001E-3</v>
      </c>
      <c r="P673">
        <v>0.99267479999999997</v>
      </c>
      <c r="Q673">
        <v>3.0008409999999999E-2</v>
      </c>
      <c r="R673">
        <v>0.1170308</v>
      </c>
      <c r="S673">
        <v>3.0547490000000002</v>
      </c>
      <c r="T673">
        <v>-0.20175650000000001</v>
      </c>
      <c r="U673">
        <v>-0.22668460000000001</v>
      </c>
      <c r="V673">
        <v>-0.1121611</v>
      </c>
      <c r="W673">
        <v>3.9924800000000003E-2</v>
      </c>
      <c r="X673">
        <v>0.99288770000000004</v>
      </c>
      <c r="Y673">
        <v>7.8710210000000003E-2</v>
      </c>
      <c r="Z673">
        <v>-2.9158740000000002E-3</v>
      </c>
      <c r="AA673">
        <v>0.99689329999999998</v>
      </c>
      <c r="AB673">
        <v>18</v>
      </c>
      <c r="AC673">
        <v>0.72050000000001502</v>
      </c>
      <c r="AD673">
        <v>-5.3784999999999902E-2</v>
      </c>
      <c r="AE673">
        <v>-6.1499999999966803E-2</v>
      </c>
      <c r="AF673">
        <v>6.4673302882671396E-2</v>
      </c>
      <c r="AG673">
        <v>-5.3784999999999902E-2</v>
      </c>
      <c r="AH673">
        <v>0.71622752755209795</v>
      </c>
      <c r="AI673">
        <v>94.277220550859397</v>
      </c>
      <c r="AJ673">
        <v>84.840347375251596</v>
      </c>
      <c r="AK673">
        <v>0.72115000766424797</v>
      </c>
      <c r="AL673">
        <v>87.711869410607704</v>
      </c>
      <c r="AM673">
        <v>96.445068771343102</v>
      </c>
      <c r="AN673">
        <v>1.00000004340976</v>
      </c>
    </row>
    <row r="674" spans="1:40" x14ac:dyDescent="0.3">
      <c r="A674" t="str">
        <f>"20200111145926332"</f>
        <v>20200111145926332</v>
      </c>
      <c r="B674" t="str">
        <f>"1578725966326025"</f>
        <v>1578725966326025</v>
      </c>
      <c r="C674" t="s">
        <v>40</v>
      </c>
      <c r="D674">
        <v>4.256094</v>
      </c>
      <c r="E674">
        <v>0.57284179999999996</v>
      </c>
      <c r="F674" t="s">
        <v>41</v>
      </c>
      <c r="G674">
        <v>-422.1875</v>
      </c>
      <c r="H674">
        <v>0.99699899999999997</v>
      </c>
      <c r="I674">
        <v>367.15649999999999</v>
      </c>
      <c r="J674">
        <v>-422.9683</v>
      </c>
      <c r="K674">
        <v>1.0544169999999999</v>
      </c>
      <c r="L674">
        <v>367.22269999999997</v>
      </c>
      <c r="M674">
        <v>0.99993829999999995</v>
      </c>
      <c r="N674">
        <v>0</v>
      </c>
      <c r="O674">
        <v>4.8930800000000002E-3</v>
      </c>
      <c r="P674">
        <v>0.99265709999999996</v>
      </c>
      <c r="Q674">
        <v>3.097606E-2</v>
      </c>
      <c r="R674">
        <v>0.1169308</v>
      </c>
      <c r="S674">
        <v>3.0549620000000002</v>
      </c>
      <c r="T674">
        <v>-0.19975589999999999</v>
      </c>
      <c r="U674">
        <v>-0.22698969999999999</v>
      </c>
      <c r="V674">
        <v>-0.11207</v>
      </c>
      <c r="W674">
        <v>4.0894369999999999E-2</v>
      </c>
      <c r="X674">
        <v>0.99285849999999998</v>
      </c>
      <c r="Y674">
        <v>7.8798950000000006E-2</v>
      </c>
      <c r="Z674">
        <v>-2.8891440000000002E-3</v>
      </c>
      <c r="AA674">
        <v>0.9968863</v>
      </c>
      <c r="AB674">
        <v>18</v>
      </c>
      <c r="AC674">
        <v>0.78079999999999905</v>
      </c>
      <c r="AD674">
        <v>-5.74179999999999E-2</v>
      </c>
      <c r="AE674">
        <v>-6.6199999999980705E-2</v>
      </c>
      <c r="AF674">
        <v>6.9645974407402306E-2</v>
      </c>
      <c r="AG674">
        <v>-5.74179999999999E-2</v>
      </c>
      <c r="AH674">
        <v>0.77629864786348302</v>
      </c>
      <c r="AI674">
        <v>94.213250492846498</v>
      </c>
      <c r="AJ674">
        <v>84.873408963741198</v>
      </c>
      <c r="AK674">
        <v>0.78152861697434195</v>
      </c>
      <c r="AL674">
        <v>87.656271669389795</v>
      </c>
      <c r="AM674">
        <v>96.440065728636299</v>
      </c>
      <c r="AN674">
        <v>1.0000000177099699</v>
      </c>
    </row>
    <row r="675" spans="1:40" x14ac:dyDescent="0.3">
      <c r="A675" t="str">
        <f>"20200111145926344"</f>
        <v>20200111145926344</v>
      </c>
      <c r="B675" t="str">
        <f>"1578725966336761"</f>
        <v>1578725966336761</v>
      </c>
      <c r="C675" t="s">
        <v>40</v>
      </c>
      <c r="D675">
        <v>4.1789709999999998</v>
      </c>
      <c r="E675">
        <v>0.57262089999999999</v>
      </c>
      <c r="F675" t="s">
        <v>41</v>
      </c>
      <c r="G675">
        <v>-422.18150000000003</v>
      </c>
      <c r="H675">
        <v>1.0035639999999999</v>
      </c>
      <c r="I675">
        <v>367.16379999999998</v>
      </c>
      <c r="J675">
        <v>-422.8766</v>
      </c>
      <c r="K675">
        <v>1.0544199999999999</v>
      </c>
      <c r="L675">
        <v>367.22309999999999</v>
      </c>
      <c r="M675">
        <v>0.99993840000000001</v>
      </c>
      <c r="N675">
        <v>0</v>
      </c>
      <c r="O675">
        <v>4.8850250000000003E-3</v>
      </c>
      <c r="P675">
        <v>0.99262059999999996</v>
      </c>
      <c r="Q675">
        <v>3.1690299999999998E-2</v>
      </c>
      <c r="R675">
        <v>0.1170499</v>
      </c>
      <c r="S675">
        <v>3.0550839999999999</v>
      </c>
      <c r="T675">
        <v>-0.19771150000000001</v>
      </c>
      <c r="U675">
        <v>-0.22689819999999999</v>
      </c>
      <c r="V675">
        <v>-0.1121974</v>
      </c>
      <c r="W675">
        <v>4.1609970000000003E-2</v>
      </c>
      <c r="X675">
        <v>0.99281439999999999</v>
      </c>
      <c r="Y675">
        <v>7.8761990000000004E-2</v>
      </c>
      <c r="Z675">
        <v>-2.8578119999999999E-3</v>
      </c>
      <c r="AA675">
        <v>0.99688940000000004</v>
      </c>
      <c r="AB675">
        <v>18</v>
      </c>
      <c r="AC675">
        <v>0.69509999999996797</v>
      </c>
      <c r="AD675">
        <v>-5.08560000000002E-2</v>
      </c>
      <c r="AE675">
        <v>-5.9300000000007402E-2</v>
      </c>
      <c r="AF675">
        <v>6.2363627171676497E-2</v>
      </c>
      <c r="AG675">
        <v>-5.08560000000002E-2</v>
      </c>
      <c r="AH675">
        <v>0.69112918865458595</v>
      </c>
      <c r="AI675">
        <v>94.191495266569504</v>
      </c>
      <c r="AJ675">
        <v>84.843913540623603</v>
      </c>
      <c r="AK675">
        <v>0.69579818204731902</v>
      </c>
      <c r="AL675">
        <v>87.615235930409796</v>
      </c>
      <c r="AM675">
        <v>96.447609091292193</v>
      </c>
      <c r="AN675">
        <v>1.00000003950875</v>
      </c>
    </row>
    <row r="676" spans="1:40" x14ac:dyDescent="0.3">
      <c r="A676" t="str">
        <f>"20200111145926356"</f>
        <v>20200111145926356</v>
      </c>
      <c r="B676" t="str">
        <f>"1578725966346521"</f>
        <v>1578725966346521</v>
      </c>
      <c r="C676" t="s">
        <v>40</v>
      </c>
      <c r="D676">
        <v>4.2172809999999998</v>
      </c>
      <c r="E676">
        <v>0.57245809999999997</v>
      </c>
      <c r="F676" t="s">
        <v>41</v>
      </c>
      <c r="G676">
        <v>-422.02229999999997</v>
      </c>
      <c r="H676">
        <v>1.000373</v>
      </c>
      <c r="I676">
        <v>367.15969999999999</v>
      </c>
      <c r="J676">
        <v>-422.7801</v>
      </c>
      <c r="K676">
        <v>1.054427</v>
      </c>
      <c r="L676">
        <v>367.22359999999998</v>
      </c>
      <c r="M676">
        <v>0.99993829999999995</v>
      </c>
      <c r="N676">
        <v>0</v>
      </c>
      <c r="O676">
        <v>4.8767899999999998E-3</v>
      </c>
      <c r="P676">
        <v>0.99259120000000001</v>
      </c>
      <c r="Q676">
        <v>3.2010780000000003E-2</v>
      </c>
      <c r="R676">
        <v>0.1172097</v>
      </c>
      <c r="S676">
        <v>3.0549620000000002</v>
      </c>
      <c r="T676">
        <v>-0.1936068</v>
      </c>
      <c r="U676">
        <v>-0.22479250000000001</v>
      </c>
      <c r="V676">
        <v>-0.1123648</v>
      </c>
      <c r="W676">
        <v>4.1932520000000001E-2</v>
      </c>
      <c r="X676">
        <v>0.99278189999999999</v>
      </c>
      <c r="Y676">
        <v>7.8081789999999998E-2</v>
      </c>
      <c r="Z676">
        <v>-2.7767600000000001E-3</v>
      </c>
      <c r="AA676">
        <v>0.99694309999999997</v>
      </c>
      <c r="AB676">
        <v>18</v>
      </c>
      <c r="AC676">
        <v>0.757800000000031</v>
      </c>
      <c r="AD676">
        <v>-5.4053999999999998E-2</v>
      </c>
      <c r="AE676">
        <v>-6.3899999999989604E-2</v>
      </c>
      <c r="AF676">
        <v>6.7255277190657103E-2</v>
      </c>
      <c r="AG676">
        <v>-5.4053999999999998E-2</v>
      </c>
      <c r="AH676">
        <v>0.75367174245665303</v>
      </c>
      <c r="AI676">
        <v>94.086097773970195</v>
      </c>
      <c r="AJ676">
        <v>84.900613468701906</v>
      </c>
      <c r="AK676">
        <v>0.75859488701390498</v>
      </c>
      <c r="AL676">
        <v>87.596739041069199</v>
      </c>
      <c r="AM676">
        <v>96.457357418399496</v>
      </c>
      <c r="AN676">
        <v>1.0000000427400899</v>
      </c>
    </row>
    <row r="677" spans="1:40" x14ac:dyDescent="0.3">
      <c r="A677" t="str">
        <f>"20200111145926375"</f>
        <v>20200111145926375</v>
      </c>
      <c r="B677" t="str">
        <f>"1578725966366040"</f>
        <v>1578725966366040</v>
      </c>
      <c r="C677" t="s">
        <v>40</v>
      </c>
      <c r="D677">
        <v>4.1459609999999998</v>
      </c>
      <c r="E677">
        <v>0.57259150000000003</v>
      </c>
      <c r="F677" t="s">
        <v>43</v>
      </c>
      <c r="G677">
        <v>-405.07639999999998</v>
      </c>
      <c r="H677">
        <v>-0.05</v>
      </c>
      <c r="I677">
        <v>365.93180000000001</v>
      </c>
      <c r="J677">
        <v>-422.63119999999998</v>
      </c>
      <c r="K677">
        <v>1.0544260000000001</v>
      </c>
      <c r="L677">
        <v>367.22430000000003</v>
      </c>
      <c r="M677">
        <v>0.99993840000000001</v>
      </c>
      <c r="N677">
        <v>0</v>
      </c>
      <c r="O677">
        <v>4.8641370000000001E-3</v>
      </c>
      <c r="P677">
        <v>0.99260369999999998</v>
      </c>
      <c r="Q677">
        <v>3.102448E-2</v>
      </c>
      <c r="R677">
        <v>0.1173693</v>
      </c>
      <c r="S677">
        <v>3.0549010000000001</v>
      </c>
      <c r="T677">
        <v>-0.1905763</v>
      </c>
      <c r="U677">
        <v>-0.2229004</v>
      </c>
      <c r="V677">
        <v>-0.112536999999999</v>
      </c>
      <c r="W677">
        <v>4.0949640000000002E-2</v>
      </c>
      <c r="X677">
        <v>0.9928034</v>
      </c>
      <c r="Y677">
        <v>7.7462799999999998E-2</v>
      </c>
      <c r="Z677">
        <v>-2.7134450000000001E-3</v>
      </c>
      <c r="AA677">
        <v>0.99699159999999998</v>
      </c>
      <c r="AB677">
        <v>18</v>
      </c>
      <c r="AC677">
        <v>17.5548</v>
      </c>
      <c r="AD677">
        <v>-1.1044259999999999</v>
      </c>
      <c r="AE677">
        <v>-1.29250000000001</v>
      </c>
      <c r="AF677">
        <v>1.3724748729634999</v>
      </c>
      <c r="AG677">
        <v>-1.1044259999999999</v>
      </c>
      <c r="AH677">
        <v>17.479493376012101</v>
      </c>
      <c r="AI677">
        <v>93.604311746681404</v>
      </c>
      <c r="AJ677">
        <v>85.510395786634803</v>
      </c>
      <c r="AK677">
        <v>17.568042940192399</v>
      </c>
      <c r="AL677">
        <v>87.653102282741202</v>
      </c>
      <c r="AM677">
        <v>96.467030732205799</v>
      </c>
      <c r="AN677">
        <v>1.0000000202183399</v>
      </c>
    </row>
    <row r="678" spans="1:40" x14ac:dyDescent="0.3">
      <c r="A678" t="str">
        <f>"20200111145926388"</f>
        <v>20200111145926388</v>
      </c>
      <c r="B678" t="str">
        <f>"1578725966386538"</f>
        <v>1578725966386538</v>
      </c>
      <c r="C678" t="s">
        <v>40</v>
      </c>
      <c r="D678">
        <v>4.0861349999999996</v>
      </c>
      <c r="E678">
        <v>0.57260149999999999</v>
      </c>
      <c r="F678" t="s">
        <v>41</v>
      </c>
      <c r="G678">
        <v>-421.85550000000001</v>
      </c>
      <c r="H678">
        <v>1.00475</v>
      </c>
      <c r="I678">
        <v>367.16739999999999</v>
      </c>
      <c r="J678">
        <v>-422.52440000000001</v>
      </c>
      <c r="K678">
        <v>1.0544230000000001</v>
      </c>
      <c r="L678">
        <v>367.22480000000002</v>
      </c>
      <c r="M678">
        <v>0.99993829999999995</v>
      </c>
      <c r="N678">
        <v>0</v>
      </c>
      <c r="O678">
        <v>4.8548869999999996E-3</v>
      </c>
      <c r="P678">
        <v>0.99262570000000006</v>
      </c>
      <c r="Q678">
        <v>3.0428480000000001E-2</v>
      </c>
      <c r="R678">
        <v>0.1173386</v>
      </c>
      <c r="S678">
        <v>3.054932</v>
      </c>
      <c r="T678">
        <v>-0.1957526</v>
      </c>
      <c r="U678">
        <v>-0.22366330000000001</v>
      </c>
      <c r="V678">
        <v>-0.11251559999999999</v>
      </c>
      <c r="W678">
        <v>4.0356000000000003E-2</v>
      </c>
      <c r="X678">
        <v>0.99283010000000005</v>
      </c>
      <c r="Y678">
        <v>7.7691319999999994E-2</v>
      </c>
      <c r="Z678">
        <v>-2.7936570000000002E-3</v>
      </c>
      <c r="AA678">
        <v>0.99697360000000002</v>
      </c>
      <c r="AB678">
        <v>18</v>
      </c>
      <c r="AC678">
        <v>0.66890000000000704</v>
      </c>
      <c r="AD678">
        <v>-4.9672999999999801E-2</v>
      </c>
      <c r="AE678">
        <v>-5.7400000000029601E-2</v>
      </c>
      <c r="AF678">
        <v>6.0316725010464201E-2</v>
      </c>
      <c r="AG678">
        <v>-4.9672999999999801E-2</v>
      </c>
      <c r="AH678">
        <v>0.66497314032930499</v>
      </c>
      <c r="AI678">
        <v>94.254616047775698</v>
      </c>
      <c r="AJ678">
        <v>84.817140263051797</v>
      </c>
      <c r="AK678">
        <v>0.66954819961254897</v>
      </c>
      <c r="AL678">
        <v>87.687143413511706</v>
      </c>
      <c r="AM678">
        <v>96.465638967473595</v>
      </c>
      <c r="AN678">
        <v>0.99999998722268402</v>
      </c>
    </row>
    <row r="679" spans="1:40" x14ac:dyDescent="0.3">
      <c r="A679" t="str">
        <f>"20200111145926408"</f>
        <v>20200111145926408</v>
      </c>
      <c r="B679" t="str">
        <f>"1578725966406057"</f>
        <v>1578725966406057</v>
      </c>
      <c r="C679" t="s">
        <v>40</v>
      </c>
      <c r="D679">
        <v>4.2107489999999999</v>
      </c>
      <c r="E679">
        <v>0.57271669999999997</v>
      </c>
      <c r="F679" t="s">
        <v>41</v>
      </c>
      <c r="G679">
        <v>-421.69659999999999</v>
      </c>
      <c r="H679">
        <v>1.000623</v>
      </c>
      <c r="I679">
        <v>367.16379999999998</v>
      </c>
      <c r="J679">
        <v>-422.36700000000002</v>
      </c>
      <c r="K679">
        <v>1.0544230000000001</v>
      </c>
      <c r="L679">
        <v>367.22550000000001</v>
      </c>
      <c r="M679">
        <v>0.99993840000000001</v>
      </c>
      <c r="N679">
        <v>0</v>
      </c>
      <c r="O679">
        <v>4.8412209999999997E-3</v>
      </c>
      <c r="P679">
        <v>0.99260490000000001</v>
      </c>
      <c r="Q679">
        <v>3.0199710000000001E-2</v>
      </c>
      <c r="R679">
        <v>0.11757529999999999</v>
      </c>
      <c r="S679">
        <v>3.0548099999999998</v>
      </c>
      <c r="T679">
        <v>-0.19881180000000001</v>
      </c>
      <c r="U679">
        <v>-0.22348019999999999</v>
      </c>
      <c r="V679">
        <v>-0.11276609999999999</v>
      </c>
      <c r="W679">
        <v>4.0131109999999998E-2</v>
      </c>
      <c r="X679">
        <v>0.99281079999999999</v>
      </c>
      <c r="Y679">
        <v>7.7616039999999997E-2</v>
      </c>
      <c r="Z679">
        <v>-2.8340129999999998E-3</v>
      </c>
      <c r="AA679">
        <v>0.99697930000000001</v>
      </c>
      <c r="AB679">
        <v>18</v>
      </c>
      <c r="AC679">
        <v>0.67039999999997202</v>
      </c>
      <c r="AD679">
        <v>-5.3799999999999799E-2</v>
      </c>
      <c r="AE679">
        <v>-6.1700000000030203E-2</v>
      </c>
      <c r="AF679">
        <v>6.4532882096252506E-2</v>
      </c>
      <c r="AG679">
        <v>-5.3799999999999799E-2</v>
      </c>
      <c r="AH679">
        <v>0.665841318153513</v>
      </c>
      <c r="AI679">
        <v>94.598013450620499</v>
      </c>
      <c r="AJ679">
        <v>84.464222465391899</v>
      </c>
      <c r="AK679">
        <v>0.67112114691168601</v>
      </c>
      <c r="AL679">
        <v>87.700039119234404</v>
      </c>
      <c r="AM679">
        <v>96.480036392191195</v>
      </c>
      <c r="AN679">
        <v>0.99999999194784095</v>
      </c>
    </row>
    <row r="680" spans="1:40" x14ac:dyDescent="0.3">
      <c r="A680" t="str">
        <f>"20200111145926421"</f>
        <v>20200111145926421</v>
      </c>
      <c r="B680" t="str">
        <f>"1578725966416792"</f>
        <v>1578725966416792</v>
      </c>
      <c r="C680" t="s">
        <v>40</v>
      </c>
      <c r="D680">
        <v>4.1811189999999998</v>
      </c>
      <c r="E680">
        <v>0.57271669999999997</v>
      </c>
      <c r="F680" t="s">
        <v>41</v>
      </c>
      <c r="G680">
        <v>-421.53480000000002</v>
      </c>
      <c r="H680">
        <v>0.99933519999999998</v>
      </c>
      <c r="I680">
        <v>367.1644</v>
      </c>
      <c r="J680">
        <v>-422.25740000000002</v>
      </c>
      <c r="K680">
        <v>1.0544209999999901</v>
      </c>
      <c r="L680">
        <v>367.226</v>
      </c>
      <c r="M680">
        <v>0.99993840000000001</v>
      </c>
      <c r="N680">
        <v>0</v>
      </c>
      <c r="O680">
        <v>4.831793E-3</v>
      </c>
      <c r="P680">
        <v>0.99259209999999998</v>
      </c>
      <c r="Q680">
        <v>3.0496909999999999E-2</v>
      </c>
      <c r="R680">
        <v>0.1176045</v>
      </c>
      <c r="S680">
        <v>3.0550540000000002</v>
      </c>
      <c r="T680">
        <v>-0.20239260000000001</v>
      </c>
      <c r="U680">
        <v>-0.223938</v>
      </c>
      <c r="V680">
        <v>-0.1128045</v>
      </c>
      <c r="W680">
        <v>4.0430309999999997E-2</v>
      </c>
      <c r="X680">
        <v>0.99279430000000002</v>
      </c>
      <c r="Y680">
        <v>7.7742909999999998E-2</v>
      </c>
      <c r="Z680">
        <v>-2.888271E-3</v>
      </c>
      <c r="AA680">
        <v>0.99696929999999995</v>
      </c>
      <c r="AB680">
        <v>18</v>
      </c>
      <c r="AC680">
        <v>0.72259999999999902</v>
      </c>
      <c r="AD680">
        <v>-5.50857999999999E-2</v>
      </c>
      <c r="AE680">
        <v>-6.1599999999998503E-2</v>
      </c>
      <c r="AF680">
        <v>6.4717520598606706E-2</v>
      </c>
      <c r="AG680">
        <v>-5.50857999999999E-2</v>
      </c>
      <c r="AH680">
        <v>0.718150536050155</v>
      </c>
      <c r="AI680">
        <v>94.368654531430707</v>
      </c>
      <c r="AJ680">
        <v>84.850589824914294</v>
      </c>
      <c r="AK680">
        <v>0.72316180434477795</v>
      </c>
      <c r="AL680">
        <v>87.682882301319495</v>
      </c>
      <c r="AM680">
        <v>96.482331062875602</v>
      </c>
      <c r="AN680">
        <v>0.99999999364971803</v>
      </c>
    </row>
    <row r="681" spans="1:40" x14ac:dyDescent="0.3">
      <c r="A681" t="str">
        <f>"20200111145926433"</f>
        <v>20200111145926433</v>
      </c>
      <c r="B681" t="str">
        <f>"1578725966426553"</f>
        <v>1578725966426553</v>
      </c>
      <c r="C681" t="s">
        <v>40</v>
      </c>
      <c r="D681">
        <v>4.1799629999999999</v>
      </c>
      <c r="E681">
        <v>0.5713182</v>
      </c>
      <c r="F681" t="s">
        <v>41</v>
      </c>
      <c r="G681">
        <v>-421.37389999999999</v>
      </c>
      <c r="H681">
        <v>0.99617109999999998</v>
      </c>
      <c r="I681">
        <v>367.16090000000003</v>
      </c>
      <c r="J681">
        <v>-422.15359999999998</v>
      </c>
      <c r="K681">
        <v>1.054419</v>
      </c>
      <c r="L681">
        <v>367.22649999999999</v>
      </c>
      <c r="M681">
        <v>0.99993840000000001</v>
      </c>
      <c r="N681">
        <v>0</v>
      </c>
      <c r="O681">
        <v>4.8229010000000001E-3</v>
      </c>
      <c r="P681">
        <v>0.99260159999999997</v>
      </c>
      <c r="Q681">
        <v>3.0257280000000001E-2</v>
      </c>
      <c r="R681">
        <v>0.11758639999999999</v>
      </c>
      <c r="S681">
        <v>3.0551149999999998</v>
      </c>
      <c r="T681">
        <v>-0.20169010000000001</v>
      </c>
      <c r="U681">
        <v>-0.22390750000000001</v>
      </c>
      <c r="V681">
        <v>-0.1127956</v>
      </c>
      <c r="W681">
        <v>4.0193520000000003E-2</v>
      </c>
      <c r="X681">
        <v>0.99280489999999999</v>
      </c>
      <c r="Y681">
        <v>7.7724000000000001E-2</v>
      </c>
      <c r="Z681">
        <v>-2.8770029999999999E-3</v>
      </c>
      <c r="AA681">
        <v>0.99697080000000005</v>
      </c>
      <c r="AB681">
        <v>18</v>
      </c>
      <c r="AC681">
        <v>0.77969999999999096</v>
      </c>
      <c r="AD681">
        <v>-5.8247899999999998E-2</v>
      </c>
      <c r="AE681">
        <v>-6.5599999999960801E-2</v>
      </c>
      <c r="AF681">
        <v>6.8977588527421904E-2</v>
      </c>
      <c r="AG681">
        <v>-5.8247899999999998E-2</v>
      </c>
      <c r="AH681">
        <v>0.77507928528396097</v>
      </c>
      <c r="AI681">
        <v>94.280894785556995</v>
      </c>
      <c r="AJ681">
        <v>84.914403590775706</v>
      </c>
      <c r="AK681">
        <v>0.78031956533830704</v>
      </c>
      <c r="AL681">
        <v>87.696460346867397</v>
      </c>
      <c r="AM681">
        <v>96.481755359129593</v>
      </c>
      <c r="AN681">
        <v>0.999999967946679</v>
      </c>
    </row>
    <row r="682" spans="1:40" x14ac:dyDescent="0.3">
      <c r="A682" t="str">
        <f>"20200111145926445"</f>
        <v>20200111145926445</v>
      </c>
      <c r="B682" t="str">
        <f>"1578725966436312"</f>
        <v>1578725966436312</v>
      </c>
      <c r="C682" t="s">
        <v>40</v>
      </c>
      <c r="D682">
        <v>4.2191029999999996</v>
      </c>
      <c r="E682">
        <v>0.57016060000000002</v>
      </c>
      <c r="F682" t="s">
        <v>41</v>
      </c>
      <c r="G682">
        <v>-421.40879999999999</v>
      </c>
      <c r="H682">
        <v>0.92492180000000002</v>
      </c>
      <c r="I682">
        <v>367.17430000000002</v>
      </c>
      <c r="J682">
        <v>-422.06220000000002</v>
      </c>
      <c r="K682">
        <v>1.0544150000000001</v>
      </c>
      <c r="L682">
        <v>367.2269</v>
      </c>
      <c r="M682">
        <v>0.99993840000000001</v>
      </c>
      <c r="N682">
        <v>0</v>
      </c>
      <c r="O682">
        <v>4.8151419999999997E-3</v>
      </c>
      <c r="P682">
        <v>0.99257399999999996</v>
      </c>
      <c r="Q682">
        <v>3.0124970000000001E-2</v>
      </c>
      <c r="R682">
        <v>0.11785370000000001</v>
      </c>
      <c r="S682">
        <v>3.0638730000000001</v>
      </c>
      <c r="T682">
        <v>-0.53289339999999996</v>
      </c>
      <c r="U682">
        <v>-0.21319579999999999</v>
      </c>
      <c r="V682">
        <v>-0.1130708</v>
      </c>
      <c r="W682">
        <v>4.0062979999999998E-2</v>
      </c>
      <c r="X682">
        <v>0.99277890000000002</v>
      </c>
      <c r="Y682">
        <v>7.3055300000000004E-2</v>
      </c>
      <c r="Z682">
        <v>-7.1287420000000004E-3</v>
      </c>
      <c r="AA682">
        <v>0.99730240000000003</v>
      </c>
      <c r="AB682">
        <v>18</v>
      </c>
      <c r="AC682">
        <v>0.65340000000003295</v>
      </c>
      <c r="AD682">
        <v>-0.129493199999999</v>
      </c>
      <c r="AE682">
        <v>-5.2599999999983903E-2</v>
      </c>
      <c r="AF682">
        <v>5.3652050931793899E-2</v>
      </c>
      <c r="AG682">
        <v>-0.129493199999999</v>
      </c>
      <c r="AH682">
        <v>0.62860840630653803</v>
      </c>
      <c r="AI682">
        <v>101.59906647769699</v>
      </c>
      <c r="AJ682">
        <v>85.121598725777403</v>
      </c>
      <c r="AK682">
        <v>0.64404624049416903</v>
      </c>
      <c r="AL682">
        <v>87.703945832376604</v>
      </c>
      <c r="AM682">
        <v>96.497603257606798</v>
      </c>
      <c r="AN682">
        <v>0.99999999623216496</v>
      </c>
    </row>
    <row r="683" spans="1:40" x14ac:dyDescent="0.3">
      <c r="A683" t="str">
        <f>"20200111145926455"</f>
        <v>20200111145926455</v>
      </c>
      <c r="B683" t="str">
        <f>"1578725966446074"</f>
        <v>1578725966446074</v>
      </c>
      <c r="C683" t="s">
        <v>40</v>
      </c>
      <c r="D683">
        <v>4.2102510000000004</v>
      </c>
      <c r="E683">
        <v>0.57113359999999902</v>
      </c>
      <c r="F683" t="s">
        <v>41</v>
      </c>
      <c r="G683">
        <v>-421.25639999999999</v>
      </c>
      <c r="H683">
        <v>0.90216589999999997</v>
      </c>
      <c r="I683">
        <v>367.17320000000001</v>
      </c>
      <c r="J683">
        <v>-421.96730000000002</v>
      </c>
      <c r="K683">
        <v>1.0544039999999999</v>
      </c>
      <c r="L683">
        <v>367.22739999999999</v>
      </c>
      <c r="M683">
        <v>0.99993840000000001</v>
      </c>
      <c r="N683">
        <v>0</v>
      </c>
      <c r="O683">
        <v>4.807558E-3</v>
      </c>
      <c r="P683">
        <v>0.99258829999999998</v>
      </c>
      <c r="Q683">
        <v>2.9363839999999999E-2</v>
      </c>
      <c r="R683">
        <v>0.1179245</v>
      </c>
      <c r="S683">
        <v>3.0641479999999999</v>
      </c>
      <c r="T683">
        <v>-0.57893660000000002</v>
      </c>
      <c r="U683">
        <v>-0.20364380000000001</v>
      </c>
      <c r="V683">
        <v>-0.113149</v>
      </c>
      <c r="W683">
        <v>3.9303970000000001E-2</v>
      </c>
      <c r="X683">
        <v>0.99280040000000003</v>
      </c>
      <c r="Y683">
        <v>6.9796070000000002E-2</v>
      </c>
      <c r="Z683">
        <v>-7.4282459999999899E-3</v>
      </c>
      <c r="AA683">
        <v>0.99753360000000002</v>
      </c>
      <c r="AB683">
        <v>18</v>
      </c>
      <c r="AC683">
        <v>0.71090000000003695</v>
      </c>
      <c r="AD683">
        <v>-0.15223809999999999</v>
      </c>
      <c r="AE683">
        <v>-5.4199999999980202E-2</v>
      </c>
      <c r="AF683">
        <v>5.5104762977944498E-2</v>
      </c>
      <c r="AG683">
        <v>-0.15223809999999999</v>
      </c>
      <c r="AH683">
        <v>0.67964320275919798</v>
      </c>
      <c r="AI683">
        <v>102.585699982983</v>
      </c>
      <c r="AJ683">
        <v>85.364657398233902</v>
      </c>
      <c r="AK683">
        <v>0.69866147528774303</v>
      </c>
      <c r="AL683">
        <v>87.747468343525497</v>
      </c>
      <c r="AM683">
        <v>96.5019189425023</v>
      </c>
      <c r="AN683">
        <v>1.0000000662494499</v>
      </c>
    </row>
    <row r="684" spans="1:40" x14ac:dyDescent="0.3">
      <c r="A684" t="str">
        <f>"20200111145926468"</f>
        <v>20200111145926468</v>
      </c>
      <c r="B684" t="str">
        <f>"1578725966456809"</f>
        <v>1578725966456809</v>
      </c>
      <c r="C684" t="s">
        <v>40</v>
      </c>
      <c r="D684">
        <v>4.1653520000000004</v>
      </c>
      <c r="E684">
        <v>0.570046099999999</v>
      </c>
      <c r="F684" t="s">
        <v>41</v>
      </c>
      <c r="G684">
        <v>-421.24939999999998</v>
      </c>
      <c r="H684">
        <v>0.91639110000000001</v>
      </c>
      <c r="I684">
        <v>367.17770000000002</v>
      </c>
      <c r="J684">
        <v>-421.8734</v>
      </c>
      <c r="K684">
        <v>1.0543979999999999</v>
      </c>
      <c r="L684">
        <v>367.2278</v>
      </c>
      <c r="M684">
        <v>0.99993849999999995</v>
      </c>
      <c r="N684">
        <v>0</v>
      </c>
      <c r="O684">
        <v>4.7997980000000001E-3</v>
      </c>
      <c r="P684">
        <v>0.99259160000000002</v>
      </c>
      <c r="Q684">
        <v>2.819402E-2</v>
      </c>
      <c r="R684">
        <v>0.1181844</v>
      </c>
      <c r="S684">
        <v>3.0649109999999999</v>
      </c>
      <c r="T684">
        <v>-0.58922569999999996</v>
      </c>
      <c r="U684">
        <v>-0.21145630000000001</v>
      </c>
      <c r="V684">
        <v>-0.1134164</v>
      </c>
      <c r="W684">
        <v>3.8136120000000003E-2</v>
      </c>
      <c r="X684">
        <v>0.99281540000000001</v>
      </c>
      <c r="Y684">
        <v>7.221313E-2</v>
      </c>
      <c r="Z684">
        <v>-7.78392699999999E-3</v>
      </c>
      <c r="AA684">
        <v>0.99735890000000005</v>
      </c>
      <c r="AB684">
        <v>18</v>
      </c>
      <c r="AC684">
        <v>0.62400000000002298</v>
      </c>
      <c r="AD684">
        <v>-0.13800689999999899</v>
      </c>
      <c r="AE684">
        <v>-5.0099999999986197E-2</v>
      </c>
      <c r="AF684">
        <v>5.0633811669798898E-2</v>
      </c>
      <c r="AG684">
        <v>-0.13800689999999899</v>
      </c>
      <c r="AH684">
        <v>0.59484260781055998</v>
      </c>
      <c r="AI684">
        <v>103.01640348431501</v>
      </c>
      <c r="AJ684">
        <v>85.134633622851894</v>
      </c>
      <c r="AK684">
        <v>0.61273763993954999</v>
      </c>
      <c r="AL684">
        <v>87.814431357608996</v>
      </c>
      <c r="AM684">
        <v>96.517054981716498</v>
      </c>
      <c r="AN684">
        <v>1.00000003095738</v>
      </c>
    </row>
    <row r="685" spans="1:40" x14ac:dyDescent="0.3">
      <c r="A685" t="str">
        <f>"20200111145926487"</f>
        <v>20200111145926487</v>
      </c>
      <c r="B685" t="str">
        <f>"1578725966476331"</f>
        <v>1578725966476331</v>
      </c>
      <c r="C685" t="s">
        <v>40</v>
      </c>
      <c r="D685">
        <v>4.2053669999999999</v>
      </c>
      <c r="E685">
        <v>0.56952009999999997</v>
      </c>
      <c r="F685" t="s">
        <v>41</v>
      </c>
      <c r="G685">
        <v>-421.09539999999998</v>
      </c>
      <c r="H685">
        <v>0.89633300000000005</v>
      </c>
      <c r="I685">
        <v>367.17599999999999</v>
      </c>
      <c r="J685">
        <v>-421.72550000000001</v>
      </c>
      <c r="K685">
        <v>1.054386</v>
      </c>
      <c r="L685">
        <v>367.2285</v>
      </c>
      <c r="M685">
        <v>0.99993849999999995</v>
      </c>
      <c r="N685">
        <v>0</v>
      </c>
      <c r="O685">
        <v>4.7875010000000004E-3</v>
      </c>
      <c r="P685">
        <v>0.99266200000000004</v>
      </c>
      <c r="Q685">
        <v>2.6779150000000002E-2</v>
      </c>
      <c r="R685">
        <v>0.11792030000000001</v>
      </c>
      <c r="S685">
        <v>3.0642399999999999</v>
      </c>
      <c r="T685">
        <v>-0.62268769999999996</v>
      </c>
      <c r="U685">
        <v>-0.20245360000000001</v>
      </c>
      <c r="V685">
        <v>-0.1131644</v>
      </c>
      <c r="W685">
        <v>3.6725670000000002E-2</v>
      </c>
      <c r="X685">
        <v>0.99289729999999998</v>
      </c>
      <c r="Y685">
        <v>6.9196859999999999E-2</v>
      </c>
      <c r="Z685">
        <v>-7.9144100000000002E-3</v>
      </c>
      <c r="AA685">
        <v>0.9975716</v>
      </c>
      <c r="AB685">
        <v>18</v>
      </c>
      <c r="AC685">
        <v>0.63010000000002697</v>
      </c>
      <c r="AD685">
        <v>-0.158053</v>
      </c>
      <c r="AE685">
        <v>-5.2500000000008998E-2</v>
      </c>
      <c r="AF685">
        <v>5.2251191359105997E-2</v>
      </c>
      <c r="AG685">
        <v>-0.158053</v>
      </c>
      <c r="AH685">
        <v>0.59279979815621198</v>
      </c>
      <c r="AI685">
        <v>104.873888563004</v>
      </c>
      <c r="AJ685">
        <v>84.962792468193797</v>
      </c>
      <c r="AK685">
        <v>0.61572927370841402</v>
      </c>
      <c r="AL685">
        <v>87.895300805579197</v>
      </c>
      <c r="AM685">
        <v>96.502167105087494</v>
      </c>
      <c r="AN685">
        <v>1.00000000230579</v>
      </c>
    </row>
    <row r="686" spans="1:40" x14ac:dyDescent="0.3">
      <c r="A686" t="str">
        <f>"20200111145926499"</f>
        <v>20200111145926499</v>
      </c>
      <c r="B686" t="str">
        <f>"1578725966496825"</f>
        <v>1578725966496825</v>
      </c>
      <c r="C686" t="s">
        <v>40</v>
      </c>
      <c r="D686">
        <v>4.2034120000000001</v>
      </c>
      <c r="E686">
        <v>0.56895079999999998</v>
      </c>
      <c r="F686" t="s">
        <v>41</v>
      </c>
      <c r="G686">
        <v>-420.93369999999999</v>
      </c>
      <c r="H686">
        <v>0.89138209999999996</v>
      </c>
      <c r="I686">
        <v>367.17689999999999</v>
      </c>
      <c r="J686">
        <v>-421.61399999999998</v>
      </c>
      <c r="K686">
        <v>1.054384</v>
      </c>
      <c r="L686">
        <v>367.22910000000002</v>
      </c>
      <c r="M686">
        <v>0.99993860000000001</v>
      </c>
      <c r="N686">
        <v>0</v>
      </c>
      <c r="O686">
        <v>4.7782479999999997E-3</v>
      </c>
      <c r="P686">
        <v>0.99274180000000001</v>
      </c>
      <c r="Q686">
        <v>2.6149229999999999E-2</v>
      </c>
      <c r="R686">
        <v>0.1173902</v>
      </c>
      <c r="S686">
        <v>3.0627749999999998</v>
      </c>
      <c r="T686">
        <v>-0.63056420000000002</v>
      </c>
      <c r="U686">
        <v>-0.1987305</v>
      </c>
      <c r="V686">
        <v>-0.1126428</v>
      </c>
      <c r="W686">
        <v>3.6099050000000001E-2</v>
      </c>
      <c r="X686">
        <v>0.99297959999999996</v>
      </c>
      <c r="Y686">
        <v>6.7997189999999999E-2</v>
      </c>
      <c r="Z686">
        <v>-7.8925680000000008E-3</v>
      </c>
      <c r="AA686">
        <v>0.99765429999999999</v>
      </c>
      <c r="AB686">
        <v>18</v>
      </c>
      <c r="AC686">
        <v>0.68030000000004498</v>
      </c>
      <c r="AD686">
        <v>-0.16300190000000001</v>
      </c>
      <c r="AE686">
        <v>-5.2200000000027502E-2</v>
      </c>
      <c r="AF686">
        <v>5.2456338876619303E-2</v>
      </c>
      <c r="AG686">
        <v>-0.16300190000000001</v>
      </c>
      <c r="AH686">
        <v>0.64332589969530096</v>
      </c>
      <c r="AI686">
        <v>104.17289697417201</v>
      </c>
      <c r="AJ686">
        <v>85.338455409710804</v>
      </c>
      <c r="AK686">
        <v>0.66572479307196997</v>
      </c>
      <c r="AL686">
        <v>87.931227336118994</v>
      </c>
      <c r="AM686">
        <v>96.471920166749499</v>
      </c>
      <c r="AN686">
        <v>1.00000001390945</v>
      </c>
    </row>
    <row r="687" spans="1:40" x14ac:dyDescent="0.3">
      <c r="A687" t="str">
        <f>"20200111145926513"</f>
        <v>20200111145926513</v>
      </c>
      <c r="B687" t="str">
        <f>"1578725966506584"</f>
        <v>1578725966506584</v>
      </c>
      <c r="C687" t="s">
        <v>40</v>
      </c>
      <c r="D687">
        <v>4.2151059999999996</v>
      </c>
      <c r="E687">
        <v>0.56890620000000003</v>
      </c>
      <c r="F687" t="s">
        <v>41</v>
      </c>
      <c r="G687">
        <v>-420.92579999999998</v>
      </c>
      <c r="H687">
        <v>0.90731949999999995</v>
      </c>
      <c r="I687">
        <v>367.18490000000003</v>
      </c>
      <c r="J687">
        <v>-421.51280000000003</v>
      </c>
      <c r="K687">
        <v>1.054384</v>
      </c>
      <c r="L687">
        <v>367.22949999999997</v>
      </c>
      <c r="M687">
        <v>0.99993849999999995</v>
      </c>
      <c r="N687">
        <v>0</v>
      </c>
      <c r="O687">
        <v>4.7700109999999898E-3</v>
      </c>
      <c r="P687">
        <v>0.99280380000000001</v>
      </c>
      <c r="Q687">
        <v>2.6420949999999999E-2</v>
      </c>
      <c r="R687">
        <v>0.1168014</v>
      </c>
      <c r="S687">
        <v>3.0622859999999998</v>
      </c>
      <c r="T687">
        <v>-0.65448470000000003</v>
      </c>
      <c r="U687">
        <v>-0.1952209</v>
      </c>
      <c r="V687">
        <v>-0.1120622</v>
      </c>
      <c r="W687">
        <v>3.6373519999999999E-2</v>
      </c>
      <c r="X687">
        <v>0.99303529999999995</v>
      </c>
      <c r="Y687">
        <v>6.6771430000000007E-2</v>
      </c>
      <c r="Z687">
        <v>-8.0559259999999997E-3</v>
      </c>
      <c r="AA687">
        <v>0.99773579999999995</v>
      </c>
      <c r="AB687">
        <v>18</v>
      </c>
      <c r="AC687">
        <v>0.58700000000004504</v>
      </c>
      <c r="AD687">
        <v>-0.14706449999999999</v>
      </c>
      <c r="AE687">
        <v>-4.4599999999945697E-2</v>
      </c>
      <c r="AF687">
        <v>4.4615283207685402E-2</v>
      </c>
      <c r="AG687">
        <v>-0.14706449999999999</v>
      </c>
      <c r="AH687">
        <v>0.55231193957180602</v>
      </c>
      <c r="AI687">
        <v>104.863971727105</v>
      </c>
      <c r="AJ687">
        <v>85.381723979838497</v>
      </c>
      <c r="AK687">
        <v>0.57329483623134303</v>
      </c>
      <c r="AL687">
        <v>87.915491079808206</v>
      </c>
      <c r="AM687">
        <v>96.438484387646497</v>
      </c>
      <c r="AN687">
        <v>1.0000000383360499</v>
      </c>
    </row>
    <row r="688" spans="1:40" x14ac:dyDescent="0.3">
      <c r="A688" t="str">
        <f>"20200111145926526"</f>
        <v>20200111145926526</v>
      </c>
      <c r="B688" t="str">
        <f>"1578725966516344"</f>
        <v>1578725966516344</v>
      </c>
      <c r="C688" t="s">
        <v>40</v>
      </c>
      <c r="D688">
        <v>4.2012269999999896</v>
      </c>
      <c r="E688">
        <v>0.56845100000000004</v>
      </c>
      <c r="F688" t="s">
        <v>41</v>
      </c>
      <c r="G688">
        <v>-420.76729999999998</v>
      </c>
      <c r="H688">
        <v>0.89521600000000001</v>
      </c>
      <c r="I688">
        <v>367.18119999999999</v>
      </c>
      <c r="J688">
        <v>-421.39690000000002</v>
      </c>
      <c r="K688">
        <v>1.0543899999999999</v>
      </c>
      <c r="L688">
        <v>367.23</v>
      </c>
      <c r="M688">
        <v>0.99993849999999995</v>
      </c>
      <c r="N688">
        <v>0</v>
      </c>
      <c r="O688">
        <v>4.760401E-3</v>
      </c>
      <c r="P688">
        <v>0.9928806</v>
      </c>
      <c r="Q688">
        <v>2.6538099999999998E-2</v>
      </c>
      <c r="R688">
        <v>0.1161211</v>
      </c>
      <c r="S688">
        <v>3.0622250000000002</v>
      </c>
      <c r="T688">
        <v>-0.65408750000000004</v>
      </c>
      <c r="U688">
        <v>-0.19601440000000001</v>
      </c>
      <c r="V688">
        <v>-0.11139110000000001</v>
      </c>
      <c r="W688">
        <v>3.6493610000000003E-2</v>
      </c>
      <c r="X688">
        <v>0.99310639999999994</v>
      </c>
      <c r="Y688">
        <v>6.7017170000000001E-2</v>
      </c>
      <c r="Z688">
        <v>-8.0751339999999994E-3</v>
      </c>
      <c r="AA688">
        <v>0.99771920000000003</v>
      </c>
      <c r="AB688">
        <v>18</v>
      </c>
      <c r="AC688">
        <v>0.62960000000003902</v>
      </c>
      <c r="AD688">
        <v>-0.15917399999999901</v>
      </c>
      <c r="AE688">
        <v>-4.88000000000283E-2</v>
      </c>
      <c r="AF688">
        <v>4.8702433384148799E-2</v>
      </c>
      <c r="AG688">
        <v>-0.15917399999999901</v>
      </c>
      <c r="AH688">
        <v>0.59176285261556905</v>
      </c>
      <c r="AI688">
        <v>105.006799498257</v>
      </c>
      <c r="AJ688">
        <v>85.295126922505403</v>
      </c>
      <c r="AK688">
        <v>0.61472885325910398</v>
      </c>
      <c r="AL688">
        <v>87.908605864697293</v>
      </c>
      <c r="AM688">
        <v>96.399793120968098</v>
      </c>
      <c r="AN688">
        <v>1.0000000412254999</v>
      </c>
    </row>
    <row r="689" spans="1:40" x14ac:dyDescent="0.3">
      <c r="A689" t="str">
        <f>"20200111145926542"</f>
        <v>20200111145926542</v>
      </c>
      <c r="B689" t="str">
        <f>"1578725966535865"</f>
        <v>1578725966535865</v>
      </c>
      <c r="C689" t="s">
        <v>40</v>
      </c>
      <c r="D689">
        <v>4.2103590000000004</v>
      </c>
      <c r="E689">
        <v>0.56859169999999903</v>
      </c>
      <c r="F689" t="s">
        <v>41</v>
      </c>
      <c r="G689">
        <v>-420.60700000000003</v>
      </c>
      <c r="H689">
        <v>0.88622570000000001</v>
      </c>
      <c r="I689">
        <v>367.1798</v>
      </c>
      <c r="J689">
        <v>-421.26459999999997</v>
      </c>
      <c r="K689">
        <v>1.054395</v>
      </c>
      <c r="L689">
        <v>367.23070000000001</v>
      </c>
      <c r="M689">
        <v>0.99993849999999995</v>
      </c>
      <c r="N689">
        <v>0</v>
      </c>
      <c r="O689">
        <v>4.7494190000000004E-3</v>
      </c>
      <c r="P689">
        <v>0.99299970000000004</v>
      </c>
      <c r="Q689">
        <v>2.6573320000000001E-2</v>
      </c>
      <c r="R689">
        <v>0.115089</v>
      </c>
      <c r="S689">
        <v>3.0617070000000002</v>
      </c>
      <c r="T689">
        <v>-0.65192439999999996</v>
      </c>
      <c r="U689">
        <v>-0.19454959999999999</v>
      </c>
      <c r="V689">
        <v>-0.1103695</v>
      </c>
      <c r="W689">
        <v>3.653315E-2</v>
      </c>
      <c r="X689">
        <v>0.99321899999999996</v>
      </c>
      <c r="Y689">
        <v>6.6561910000000002E-2</v>
      </c>
      <c r="Z689">
        <v>-8.0002679999999996E-3</v>
      </c>
      <c r="AA689">
        <v>0.99775020000000003</v>
      </c>
      <c r="AB689">
        <v>18</v>
      </c>
      <c r="AC689">
        <v>0.65760000000000196</v>
      </c>
      <c r="AD689">
        <v>-0.16816929999999899</v>
      </c>
      <c r="AE689">
        <v>-5.0900000000012803E-2</v>
      </c>
      <c r="AF689">
        <v>5.0725190301661699E-2</v>
      </c>
      <c r="AG689">
        <v>-0.16816929999999899</v>
      </c>
      <c r="AH689">
        <v>0.61722541747161497</v>
      </c>
      <c r="AI689">
        <v>105.192031061758</v>
      </c>
      <c r="AJ689">
        <v>85.301841910488093</v>
      </c>
      <c r="AK689">
        <v>0.64173294629981303</v>
      </c>
      <c r="AL689">
        <v>87.906338874912294</v>
      </c>
      <c r="AM689">
        <v>96.3408660492492</v>
      </c>
      <c r="AN689">
        <v>1.0000000397700799</v>
      </c>
    </row>
    <row r="690" spans="1:40" x14ac:dyDescent="0.3">
      <c r="A690" t="str">
        <f>"20200111145926553"</f>
        <v>20200111145926553</v>
      </c>
      <c r="B690" t="str">
        <f>"1578725966546600"</f>
        <v>1578725966546600</v>
      </c>
      <c r="C690" t="s">
        <v>40</v>
      </c>
      <c r="D690">
        <v>4.2208030000000001</v>
      </c>
      <c r="E690">
        <v>0.56817810000000002</v>
      </c>
      <c r="F690" t="s">
        <v>41</v>
      </c>
      <c r="G690">
        <v>-420.4461</v>
      </c>
      <c r="H690">
        <v>0.87819950000000002</v>
      </c>
      <c r="I690">
        <v>367.17689999999999</v>
      </c>
      <c r="J690">
        <v>-421.16660000000002</v>
      </c>
      <c r="K690">
        <v>1.054395</v>
      </c>
      <c r="L690">
        <v>367.23110000000003</v>
      </c>
      <c r="M690">
        <v>0.99993869999999896</v>
      </c>
      <c r="N690">
        <v>0</v>
      </c>
      <c r="O690">
        <v>4.7415369999999997E-3</v>
      </c>
      <c r="P690">
        <v>0.99305810000000005</v>
      </c>
      <c r="Q690">
        <v>2.6598190000000001E-2</v>
      </c>
      <c r="R690">
        <v>0.11457920000000001</v>
      </c>
      <c r="S690">
        <v>3.0619809999999998</v>
      </c>
      <c r="T690">
        <v>-0.65915979999999996</v>
      </c>
      <c r="U690">
        <v>-0.2000122</v>
      </c>
      <c r="V690">
        <v>-0.1098673</v>
      </c>
      <c r="W690">
        <v>3.6560790000000003E-2</v>
      </c>
      <c r="X690">
        <v>0.99327359999999998</v>
      </c>
      <c r="Y690">
        <v>6.8248020000000006E-2</v>
      </c>
      <c r="Z690">
        <v>-8.2635030000000002E-3</v>
      </c>
      <c r="AA690">
        <v>0.99763420000000003</v>
      </c>
      <c r="AB690">
        <v>18</v>
      </c>
      <c r="AC690">
        <v>0.72050000000001502</v>
      </c>
      <c r="AD690">
        <v>-0.17619549999999901</v>
      </c>
      <c r="AE690">
        <v>-5.42000000000371E-2</v>
      </c>
      <c r="AF690">
        <v>5.4381945677906302E-2</v>
      </c>
      <c r="AG690">
        <v>-0.17619549999999901</v>
      </c>
      <c r="AH690">
        <v>0.67980915647090401</v>
      </c>
      <c r="AI690">
        <v>104.48608131144501</v>
      </c>
      <c r="AJ690">
        <v>85.426312127353498</v>
      </c>
      <c r="AK690">
        <v>0.70437400538183303</v>
      </c>
      <c r="AL690">
        <v>87.904754035055205</v>
      </c>
      <c r="AM690">
        <v>96.311903264776802</v>
      </c>
      <c r="AN690">
        <v>0.99999997971583598</v>
      </c>
    </row>
    <row r="691" spans="1:40" x14ac:dyDescent="0.3">
      <c r="A691" t="str">
        <f>"20200111145926566"</f>
        <v>20200111145926566</v>
      </c>
      <c r="B691" t="str">
        <f>"1578725966556361"</f>
        <v>1578725966556361</v>
      </c>
      <c r="C691" t="s">
        <v>40</v>
      </c>
      <c r="D691">
        <v>4.23949</v>
      </c>
      <c r="E691">
        <v>0.5679457</v>
      </c>
      <c r="F691" t="s">
        <v>41</v>
      </c>
      <c r="G691">
        <v>-420.43650000000002</v>
      </c>
      <c r="H691">
        <v>0.8978429</v>
      </c>
      <c r="I691">
        <v>367.18349999999998</v>
      </c>
      <c r="J691">
        <v>-421.0693</v>
      </c>
      <c r="K691">
        <v>1.054395</v>
      </c>
      <c r="L691">
        <v>367.23160000000001</v>
      </c>
      <c r="M691">
        <v>0.99993860000000001</v>
      </c>
      <c r="N691">
        <v>0</v>
      </c>
      <c r="O691">
        <v>4.7335980000000003E-3</v>
      </c>
      <c r="P691">
        <v>0.99313070000000003</v>
      </c>
      <c r="Q691">
        <v>2.6736159999999998E-2</v>
      </c>
      <c r="R691">
        <v>0.1139133</v>
      </c>
      <c r="S691">
        <v>3.0614319999999999</v>
      </c>
      <c r="T691">
        <v>-0.65650529999999996</v>
      </c>
      <c r="U691">
        <v>-0.19830320000000001</v>
      </c>
      <c r="V691">
        <v>-0.109208399999999</v>
      </c>
      <c r="W691">
        <v>3.6701369999999997E-2</v>
      </c>
      <c r="X691">
        <v>0.99334109999999998</v>
      </c>
      <c r="Y691">
        <v>6.7721840000000005E-2</v>
      </c>
      <c r="Z691">
        <v>-8.1751389999999997E-3</v>
      </c>
      <c r="AA691">
        <v>0.99767079999999997</v>
      </c>
      <c r="AB691">
        <v>18</v>
      </c>
      <c r="AC691">
        <v>0.63279999999997405</v>
      </c>
      <c r="AD691">
        <v>-0.156552099999999</v>
      </c>
      <c r="AE691">
        <v>-4.8100000000033498E-2</v>
      </c>
      <c r="AF691">
        <v>4.8164096747787301E-2</v>
      </c>
      <c r="AG691">
        <v>-0.156552099999999</v>
      </c>
      <c r="AH691">
        <v>0.59627973105187104</v>
      </c>
      <c r="AI691">
        <v>104.66518602077799</v>
      </c>
      <c r="AJ691">
        <v>85.381997663345203</v>
      </c>
      <c r="AK691">
        <v>0.61836708991765699</v>
      </c>
      <c r="AL691">
        <v>87.8966940338955</v>
      </c>
      <c r="AM691">
        <v>96.273929145370701</v>
      </c>
      <c r="AN691">
        <v>1.00000000306982</v>
      </c>
    </row>
    <row r="692" spans="1:40" x14ac:dyDescent="0.3">
      <c r="A692" t="str">
        <f>"20200111145926577"</f>
        <v>20200111145926577</v>
      </c>
      <c r="B692" t="str">
        <f>"1578725966566121"</f>
        <v>1578725966566121</v>
      </c>
      <c r="C692" t="s">
        <v>40</v>
      </c>
      <c r="D692">
        <v>4.242902</v>
      </c>
      <c r="E692">
        <v>0.56795949999999995</v>
      </c>
      <c r="F692" t="s">
        <v>41</v>
      </c>
      <c r="G692">
        <v>-420.27780000000001</v>
      </c>
      <c r="H692">
        <v>0.88444820000000002</v>
      </c>
      <c r="I692">
        <v>367.18020000000001</v>
      </c>
      <c r="J692">
        <v>-420.96809999999999</v>
      </c>
      <c r="K692">
        <v>1.054397</v>
      </c>
      <c r="L692">
        <v>367.2321</v>
      </c>
      <c r="M692">
        <v>0.99993860000000001</v>
      </c>
      <c r="N692">
        <v>0</v>
      </c>
      <c r="O692">
        <v>4.7251819999999996E-3</v>
      </c>
      <c r="P692">
        <v>0.99317650000000002</v>
      </c>
      <c r="Q692">
        <v>2.651268E-2</v>
      </c>
      <c r="R692">
        <v>0.11356719999999999</v>
      </c>
      <c r="S692">
        <v>3.061188</v>
      </c>
      <c r="T692">
        <v>-0.65740739999999998</v>
      </c>
      <c r="U692">
        <v>-0.19839480000000001</v>
      </c>
      <c r="V692">
        <v>-0.1088706</v>
      </c>
      <c r="W692">
        <v>3.648026E-2</v>
      </c>
      <c r="X692">
        <v>0.99338630000000006</v>
      </c>
      <c r="Y692">
        <v>6.7743269999999994E-2</v>
      </c>
      <c r="Z692">
        <v>-8.1872400000000001E-3</v>
      </c>
      <c r="AA692">
        <v>0.99766920000000003</v>
      </c>
      <c r="AB692">
        <v>18</v>
      </c>
      <c r="AC692">
        <v>0.69029999999997904</v>
      </c>
      <c r="AD692">
        <v>-0.16994879999999901</v>
      </c>
      <c r="AE692">
        <v>-5.1899999999989101E-2</v>
      </c>
      <c r="AF692">
        <v>5.2025707127475701E-2</v>
      </c>
      <c r="AG692">
        <v>-0.16994879999999901</v>
      </c>
      <c r="AH692">
        <v>0.65082104533755103</v>
      </c>
      <c r="AI692">
        <v>104.590288094499</v>
      </c>
      <c r="AJ692">
        <v>85.429575753523096</v>
      </c>
      <c r="AK692">
        <v>0.67465346799509995</v>
      </c>
      <c r="AL692">
        <v>87.909371142775399</v>
      </c>
      <c r="AM692">
        <v>96.254394530647801</v>
      </c>
      <c r="AN692">
        <v>0.99999997897085802</v>
      </c>
    </row>
    <row r="693" spans="1:40" x14ac:dyDescent="0.3">
      <c r="A693" t="str">
        <f>"20200111145926598"</f>
        <v>20200111145926598</v>
      </c>
      <c r="B693" t="str">
        <f>"1578725966586616"</f>
        <v>1578725966586616</v>
      </c>
      <c r="C693" t="s">
        <v>40</v>
      </c>
      <c r="D693">
        <v>4.1998899999999999</v>
      </c>
      <c r="E693">
        <v>0.56771169999999904</v>
      </c>
      <c r="F693" t="s">
        <v>41</v>
      </c>
      <c r="G693">
        <v>-420.26850000000002</v>
      </c>
      <c r="H693">
        <v>0.90346349999999997</v>
      </c>
      <c r="I693">
        <v>367.18639999999999</v>
      </c>
      <c r="J693">
        <v>-420.80509999999998</v>
      </c>
      <c r="K693">
        <v>1.0544</v>
      </c>
      <c r="L693">
        <v>367.2328</v>
      </c>
      <c r="M693">
        <v>0.99993869999999896</v>
      </c>
      <c r="N693">
        <v>0</v>
      </c>
      <c r="O693">
        <v>4.7115730000000001E-3</v>
      </c>
      <c r="P693">
        <v>0.99324049999999997</v>
      </c>
      <c r="Q693">
        <v>2.6849390000000001E-2</v>
      </c>
      <c r="R693">
        <v>0.1129281</v>
      </c>
      <c r="S693">
        <v>3.0610659999999998</v>
      </c>
      <c r="T693">
        <v>-0.66048779999999996</v>
      </c>
      <c r="U693">
        <v>-0.19927980000000001</v>
      </c>
      <c r="V693">
        <v>-0.10824489999999901</v>
      </c>
      <c r="W693">
        <v>3.6821449999999999E-2</v>
      </c>
      <c r="X693">
        <v>0.99344209999999999</v>
      </c>
      <c r="Y693">
        <v>6.7998580000000003E-2</v>
      </c>
      <c r="Z693">
        <v>-8.2492910000000006E-3</v>
      </c>
      <c r="AA693">
        <v>0.99765130000000002</v>
      </c>
      <c r="AB693">
        <v>18</v>
      </c>
      <c r="AC693">
        <v>0.53659999999996399</v>
      </c>
      <c r="AD693">
        <v>-0.1509365</v>
      </c>
      <c r="AE693">
        <v>-4.6400000000005499E-2</v>
      </c>
      <c r="AF693">
        <v>4.53651796543698E-2</v>
      </c>
      <c r="AG693">
        <v>-0.1509365</v>
      </c>
      <c r="AH693">
        <v>0.49731944279191198</v>
      </c>
      <c r="AI693">
        <v>106.81719080863</v>
      </c>
      <c r="AJ693">
        <v>84.787938092013206</v>
      </c>
      <c r="AK693">
        <v>0.521695749202714</v>
      </c>
      <c r="AL693">
        <v>87.889809279335594</v>
      </c>
      <c r="AM693">
        <v>96.218385216414802</v>
      </c>
      <c r="AN693">
        <v>0.99999999180426102</v>
      </c>
    </row>
    <row r="694" spans="1:40" x14ac:dyDescent="0.3">
      <c r="A694" t="str">
        <f>"20200111145926610"</f>
        <v>20200111145926610</v>
      </c>
      <c r="B694" t="str">
        <f>"1578725966606136"</f>
        <v>1578725966606136</v>
      </c>
      <c r="C694" t="s">
        <v>40</v>
      </c>
      <c r="D694">
        <v>4.2436569999999998</v>
      </c>
      <c r="E694">
        <v>0.56778200000000001</v>
      </c>
      <c r="F694" t="s">
        <v>41</v>
      </c>
      <c r="G694">
        <v>-420.10329999999999</v>
      </c>
      <c r="H694">
        <v>0.90304479999999998</v>
      </c>
      <c r="I694">
        <v>367.18669999999997</v>
      </c>
      <c r="J694">
        <v>-420.7054</v>
      </c>
      <c r="K694">
        <v>1.0544039999999999</v>
      </c>
      <c r="L694">
        <v>367.23320000000001</v>
      </c>
      <c r="M694">
        <v>0.99993860000000001</v>
      </c>
      <c r="N694">
        <v>0</v>
      </c>
      <c r="O694">
        <v>4.7032769999999996E-3</v>
      </c>
      <c r="P694">
        <v>0.99325629999999998</v>
      </c>
      <c r="Q694">
        <v>2.7422080000000001E-2</v>
      </c>
      <c r="R694">
        <v>0.11265</v>
      </c>
      <c r="S694">
        <v>3.0610050000000002</v>
      </c>
      <c r="T694">
        <v>-0.66023350000000003</v>
      </c>
      <c r="U694">
        <v>-0.19964599999999999</v>
      </c>
      <c r="V694">
        <v>-0.1079749</v>
      </c>
      <c r="W694">
        <v>3.7396600000000002E-2</v>
      </c>
      <c r="X694">
        <v>0.99345000000000006</v>
      </c>
      <c r="Y694">
        <v>6.8109329999999996E-2</v>
      </c>
      <c r="Z694">
        <v>-8.2563459999999995E-3</v>
      </c>
      <c r="AA694">
        <v>0.99764370000000002</v>
      </c>
      <c r="AB694">
        <v>18</v>
      </c>
      <c r="AC694">
        <v>0.60210000000000696</v>
      </c>
      <c r="AD694">
        <v>-0.1513592</v>
      </c>
      <c r="AE694">
        <v>-4.6500000000037199E-2</v>
      </c>
      <c r="AF694">
        <v>4.6415641751627101E-2</v>
      </c>
      <c r="AG694">
        <v>-0.1513592</v>
      </c>
      <c r="AH694">
        <v>0.56629969300360805</v>
      </c>
      <c r="AI694">
        <v>104.916310753394</v>
      </c>
      <c r="AJ694">
        <v>85.3143379318483</v>
      </c>
      <c r="AK694">
        <v>0.58801306237177797</v>
      </c>
      <c r="AL694">
        <v>87.856832901519297</v>
      </c>
      <c r="AM694">
        <v>96.202946548165201</v>
      </c>
      <c r="AN694">
        <v>0.99999999361078495</v>
      </c>
    </row>
    <row r="695" spans="1:40" x14ac:dyDescent="0.3">
      <c r="A695" t="str">
        <f>"20200111145926621"</f>
        <v>20200111145926621</v>
      </c>
      <c r="B695" t="str">
        <f>"1578725966615899"</f>
        <v>1578725966615899</v>
      </c>
      <c r="C695" t="s">
        <v>40</v>
      </c>
      <c r="D695">
        <v>4.1989219999999996</v>
      </c>
      <c r="E695">
        <v>0.56783149999999905</v>
      </c>
      <c r="F695" t="s">
        <v>41</v>
      </c>
      <c r="G695">
        <v>-419.94400000000002</v>
      </c>
      <c r="H695">
        <v>0.88979470000000005</v>
      </c>
      <c r="I695">
        <v>367.1832</v>
      </c>
      <c r="J695">
        <v>-420.60590000000002</v>
      </c>
      <c r="K695">
        <v>1.0544089999999999</v>
      </c>
      <c r="L695">
        <v>367.2337</v>
      </c>
      <c r="M695">
        <v>0.99993869999999896</v>
      </c>
      <c r="N695">
        <v>0</v>
      </c>
      <c r="O695">
        <v>4.6948609999999998E-3</v>
      </c>
      <c r="P695">
        <v>0.99321009999999998</v>
      </c>
      <c r="Q695">
        <v>2.8360420000000001E-2</v>
      </c>
      <c r="R695">
        <v>0.1128258</v>
      </c>
      <c r="S695">
        <v>3.0614319999999999</v>
      </c>
      <c r="T695">
        <v>-0.66196259999999996</v>
      </c>
      <c r="U695">
        <v>-0.2010498</v>
      </c>
      <c r="V695">
        <v>-0.108159199999999</v>
      </c>
      <c r="W695">
        <v>3.8336240000000001E-2</v>
      </c>
      <c r="X695">
        <v>0.99339409999999895</v>
      </c>
      <c r="Y695">
        <v>6.8529779999999998E-2</v>
      </c>
      <c r="Z695">
        <v>-8.3193280000000008E-3</v>
      </c>
      <c r="AA695">
        <v>0.99761440000000001</v>
      </c>
      <c r="AB695">
        <v>19</v>
      </c>
      <c r="AC695">
        <v>0.66190000000000204</v>
      </c>
      <c r="AD695">
        <v>-0.16461429999999899</v>
      </c>
      <c r="AE695">
        <v>-5.0499999999999497E-2</v>
      </c>
      <c r="AF695">
        <v>5.0501604542464697E-2</v>
      </c>
      <c r="AG695">
        <v>-0.16461429999999899</v>
      </c>
      <c r="AH695">
        <v>0.62332511971886295</v>
      </c>
      <c r="AI695">
        <v>104.747322887623</v>
      </c>
      <c r="AJ695">
        <v>85.368031379931296</v>
      </c>
      <c r="AK695">
        <v>0.64667030602803199</v>
      </c>
      <c r="AL695">
        <v>87.802956777208905</v>
      </c>
      <c r="AM695">
        <v>96.213798383616606</v>
      </c>
      <c r="AN695">
        <v>0.99999995887839199</v>
      </c>
    </row>
    <row r="696" spans="1:40" x14ac:dyDescent="0.3">
      <c r="A696" t="str">
        <f>"20200111145926638"</f>
        <v>20200111145926638</v>
      </c>
      <c r="B696" t="str">
        <f>"1578725966626633"</f>
        <v>1578725966626633</v>
      </c>
      <c r="C696" t="s">
        <v>40</v>
      </c>
      <c r="D696">
        <v>4.253234</v>
      </c>
      <c r="E696">
        <v>0.5680056</v>
      </c>
      <c r="F696" t="s">
        <v>41</v>
      </c>
      <c r="G696">
        <v>-419.78410000000002</v>
      </c>
      <c r="H696">
        <v>0.87751039999999902</v>
      </c>
      <c r="I696">
        <v>367.17950000000002</v>
      </c>
      <c r="J696">
        <v>-420.46949999999998</v>
      </c>
      <c r="K696">
        <v>1.0544129999999901</v>
      </c>
      <c r="L696">
        <v>367.23430000000002</v>
      </c>
      <c r="M696">
        <v>0.99993869999999896</v>
      </c>
      <c r="N696">
        <v>0</v>
      </c>
      <c r="O696">
        <v>4.6839350000000002E-3</v>
      </c>
      <c r="P696">
        <v>0.99318499999999998</v>
      </c>
      <c r="Q696">
        <v>2.9041790000000001E-2</v>
      </c>
      <c r="R696">
        <v>0.1128738</v>
      </c>
      <c r="S696">
        <v>3.062195</v>
      </c>
      <c r="T696">
        <v>-0.65919090000000002</v>
      </c>
      <c r="U696">
        <v>-0.2011414</v>
      </c>
      <c r="V696">
        <v>-0.10821790000000001</v>
      </c>
      <c r="W696">
        <v>3.9020939999999997E-2</v>
      </c>
      <c r="X696">
        <v>0.9933611</v>
      </c>
      <c r="Y696">
        <v>6.8546940000000001E-2</v>
      </c>
      <c r="Z696">
        <v>-8.2827549999999993E-3</v>
      </c>
      <c r="AA696">
        <v>0.99761350000000004</v>
      </c>
      <c r="AB696">
        <v>19</v>
      </c>
      <c r="AC696">
        <v>0.68539999999995804</v>
      </c>
      <c r="AD696">
        <v>-0.17690259999999899</v>
      </c>
      <c r="AE696">
        <v>-5.4800000000000099E-2</v>
      </c>
      <c r="AF696">
        <v>5.4408463682745802E-2</v>
      </c>
      <c r="AG696">
        <v>-0.17690259999999899</v>
      </c>
      <c r="AH696">
        <v>0.64260008597989005</v>
      </c>
      <c r="AI696">
        <v>105.33951202259</v>
      </c>
      <c r="AJ696">
        <v>85.160352571606495</v>
      </c>
      <c r="AK696">
        <v>0.66872242470881604</v>
      </c>
      <c r="AL696">
        <v>87.763697093939101</v>
      </c>
      <c r="AM696">
        <v>96.217349244398804</v>
      </c>
      <c r="AN696">
        <v>1.0000000113160501</v>
      </c>
    </row>
    <row r="697" spans="1:40" x14ac:dyDescent="0.3">
      <c r="A697" t="str">
        <f>"20200111145926654"</f>
        <v>20200111145926654</v>
      </c>
      <c r="B697" t="str">
        <f>"1578725966646152"</f>
        <v>1578725966646152</v>
      </c>
      <c r="C697" t="s">
        <v>40</v>
      </c>
      <c r="D697">
        <v>4.265695</v>
      </c>
      <c r="E697">
        <v>0.56709759999999998</v>
      </c>
      <c r="F697" t="s">
        <v>41</v>
      </c>
      <c r="G697">
        <v>-419.77109999999999</v>
      </c>
      <c r="H697">
        <v>0.90415259999999997</v>
      </c>
      <c r="I697">
        <v>367.18799999999999</v>
      </c>
      <c r="J697">
        <v>-420.33539999999999</v>
      </c>
      <c r="K697">
        <v>1.054416</v>
      </c>
      <c r="L697">
        <v>367.23500000000001</v>
      </c>
      <c r="M697">
        <v>0.99993880000000002</v>
      </c>
      <c r="N697">
        <v>0</v>
      </c>
      <c r="O697">
        <v>4.6726550000000004E-3</v>
      </c>
      <c r="P697">
        <v>0.9930949</v>
      </c>
      <c r="Q697">
        <v>2.9368419999999999E-2</v>
      </c>
      <c r="R697">
        <v>0.1135795</v>
      </c>
      <c r="S697">
        <v>3.062805</v>
      </c>
      <c r="T697">
        <v>-0.65905519999999995</v>
      </c>
      <c r="U697">
        <v>-0.20202639999999999</v>
      </c>
      <c r="V697">
        <v>-0.1089355</v>
      </c>
      <c r="W697">
        <v>3.9349240000000001E-2</v>
      </c>
      <c r="X697">
        <v>0.99326970000000003</v>
      </c>
      <c r="Y697">
        <v>6.8805439999999995E-2</v>
      </c>
      <c r="Z697">
        <v>-8.3044720000000002E-3</v>
      </c>
      <c r="AA697">
        <v>0.99759549999999997</v>
      </c>
      <c r="AB697">
        <v>19</v>
      </c>
      <c r="AC697">
        <v>0.56430000000000202</v>
      </c>
      <c r="AD697">
        <v>-0.15026339999999999</v>
      </c>
      <c r="AE697">
        <v>-4.6999999999968602E-2</v>
      </c>
      <c r="AF697">
        <v>4.6371040408658797E-2</v>
      </c>
      <c r="AG697">
        <v>-0.15026339999999999</v>
      </c>
      <c r="AH697">
        <v>0.52696627549019703</v>
      </c>
      <c r="AI697">
        <v>105.85721915344701</v>
      </c>
      <c r="AJ697">
        <v>84.971141321461801</v>
      </c>
      <c r="AK697">
        <v>0.54992983031669695</v>
      </c>
      <c r="AL697">
        <v>87.744872409348801</v>
      </c>
      <c r="AM697">
        <v>96.258822138259305</v>
      </c>
      <c r="AN697">
        <v>1.00000000139345</v>
      </c>
    </row>
    <row r="698" spans="1:40" x14ac:dyDescent="0.3">
      <c r="A698" t="str">
        <f>"20200111145926667"</f>
        <v>20200111145926667</v>
      </c>
      <c r="B698" t="str">
        <f>"1578725966655913"</f>
        <v>1578725966655913</v>
      </c>
      <c r="C698" t="s">
        <v>40</v>
      </c>
      <c r="D698">
        <v>4.1760830000000002</v>
      </c>
      <c r="E698">
        <v>0.56644280000000002</v>
      </c>
      <c r="F698" t="s">
        <v>41</v>
      </c>
      <c r="G698">
        <v>-419.60820000000001</v>
      </c>
      <c r="H698">
        <v>0.89712179999999997</v>
      </c>
      <c r="I698">
        <v>367.1891</v>
      </c>
      <c r="J698">
        <v>-420.23160000000001</v>
      </c>
      <c r="K698">
        <v>1.0544150000000001</v>
      </c>
      <c r="L698">
        <v>367.23540000000003</v>
      </c>
      <c r="M698">
        <v>0.99993869999999896</v>
      </c>
      <c r="N698">
        <v>0</v>
      </c>
      <c r="O698">
        <v>4.6640600000000003E-3</v>
      </c>
      <c r="P698">
        <v>0.99304570000000003</v>
      </c>
      <c r="Q698">
        <v>2.8950119999999999E-2</v>
      </c>
      <c r="R698">
        <v>0.11411490000000001</v>
      </c>
      <c r="S698">
        <v>3.062408</v>
      </c>
      <c r="T698">
        <v>-0.66244099999999995</v>
      </c>
      <c r="U698">
        <v>-0.1922913</v>
      </c>
      <c r="V698">
        <v>-0.10947949999999999</v>
      </c>
      <c r="W698">
        <v>3.8933269999999999E-2</v>
      </c>
      <c r="X698">
        <v>0.99322630000000001</v>
      </c>
      <c r="Y698">
        <v>6.5700670000000003E-2</v>
      </c>
      <c r="Z698">
        <v>-8.0145659999999903E-3</v>
      </c>
      <c r="AA698">
        <v>0.99780720000000001</v>
      </c>
      <c r="AB698">
        <v>19</v>
      </c>
      <c r="AC698">
        <v>0.62340000000000295</v>
      </c>
      <c r="AD698">
        <v>-0.15729319999999899</v>
      </c>
      <c r="AE698">
        <v>-4.6300000000030601E-2</v>
      </c>
      <c r="AF698">
        <v>4.6277237552721902E-2</v>
      </c>
      <c r="AG698">
        <v>-0.15729319999999899</v>
      </c>
      <c r="AH698">
        <v>0.58607097439101297</v>
      </c>
      <c r="AI698">
        <v>104.978825168756</v>
      </c>
      <c r="AJ698">
        <v>85.485187999912696</v>
      </c>
      <c r="AK698">
        <v>0.60857367713809496</v>
      </c>
      <c r="AL698">
        <v>87.7687240580576</v>
      </c>
      <c r="AM698">
        <v>96.290100070427002</v>
      </c>
      <c r="AN698">
        <v>1.0000000217224101</v>
      </c>
    </row>
    <row r="699" spans="1:40" x14ac:dyDescent="0.3">
      <c r="A699" t="str">
        <f>"20200111145926679"</f>
        <v>20200111145926679</v>
      </c>
      <c r="B699" t="str">
        <f>"1578725966676409"</f>
        <v>1578725966676409</v>
      </c>
      <c r="C699" t="s">
        <v>40</v>
      </c>
      <c r="D699">
        <v>4.1143140000000002</v>
      </c>
      <c r="E699">
        <v>0.56533919999999904</v>
      </c>
      <c r="F699" t="s">
        <v>41</v>
      </c>
      <c r="G699">
        <v>-419.4479</v>
      </c>
      <c r="H699">
        <v>0.88429489999999999</v>
      </c>
      <c r="I699">
        <v>367.18779999999998</v>
      </c>
      <c r="J699">
        <v>-420.1293</v>
      </c>
      <c r="K699">
        <v>1.054414</v>
      </c>
      <c r="L699">
        <v>367.23590000000002</v>
      </c>
      <c r="M699">
        <v>0.99993889999999996</v>
      </c>
      <c r="N699">
        <v>0</v>
      </c>
      <c r="O699">
        <v>4.6552870000000001E-3</v>
      </c>
      <c r="P699">
        <v>0.99301090000000003</v>
      </c>
      <c r="Q699">
        <v>2.8451959999999998E-2</v>
      </c>
      <c r="R699">
        <v>0.11454250000000001</v>
      </c>
      <c r="S699">
        <v>3.0616759999999998</v>
      </c>
      <c r="T699">
        <v>-0.66464100000000004</v>
      </c>
      <c r="U699">
        <v>-0.1851196</v>
      </c>
      <c r="V699">
        <v>-0.109915899999999</v>
      </c>
      <c r="W699">
        <v>3.84363E-2</v>
      </c>
      <c r="X699">
        <v>0.99319740000000001</v>
      </c>
      <c r="Y699">
        <v>6.3419680000000006E-2</v>
      </c>
      <c r="Z699">
        <v>-7.7966169999999996E-3</v>
      </c>
      <c r="AA699">
        <v>0.99795650000000002</v>
      </c>
      <c r="AB699">
        <v>19</v>
      </c>
      <c r="AC699">
        <v>0.68139999999999601</v>
      </c>
      <c r="AD699">
        <v>-0.170119099999999</v>
      </c>
      <c r="AE699">
        <v>-4.8100000000033498E-2</v>
      </c>
      <c r="AF699">
        <v>4.8277501239913201E-2</v>
      </c>
      <c r="AG699">
        <v>-0.170119099999999</v>
      </c>
      <c r="AH699">
        <v>0.64138870933238401</v>
      </c>
      <c r="AI699">
        <v>104.814780208831</v>
      </c>
      <c r="AJ699">
        <v>85.695448277046907</v>
      </c>
      <c r="AK699">
        <v>0.66531999952642495</v>
      </c>
      <c r="AL699">
        <v>87.797219545830302</v>
      </c>
      <c r="AM699">
        <v>96.3151533564955</v>
      </c>
      <c r="AN699">
        <v>0.99999996479862896</v>
      </c>
    </row>
    <row r="700" spans="1:40" x14ac:dyDescent="0.3">
      <c r="A700" t="str">
        <f>"20200111145926693"</f>
        <v>20200111145926693</v>
      </c>
      <c r="B700" t="str">
        <f>"1578725966686169"</f>
        <v>1578725966686169</v>
      </c>
      <c r="C700" t="s">
        <v>40</v>
      </c>
      <c r="D700">
        <v>4.1437739999999996</v>
      </c>
      <c r="E700">
        <v>0.56466759999999905</v>
      </c>
      <c r="F700" t="s">
        <v>41</v>
      </c>
      <c r="G700">
        <v>-419.4384</v>
      </c>
      <c r="H700">
        <v>0.90365280000000003</v>
      </c>
      <c r="I700">
        <v>367.1961</v>
      </c>
      <c r="J700">
        <v>-420.0222</v>
      </c>
      <c r="K700">
        <v>1.054414</v>
      </c>
      <c r="L700">
        <v>367.23649999999998</v>
      </c>
      <c r="M700">
        <v>0.99993869999999896</v>
      </c>
      <c r="N700">
        <v>0</v>
      </c>
      <c r="O700">
        <v>4.646514E-3</v>
      </c>
      <c r="P700">
        <v>0.99294499999999997</v>
      </c>
      <c r="Q700">
        <v>2.8545330000000001E-2</v>
      </c>
      <c r="R700">
        <v>0.1150883</v>
      </c>
      <c r="S700">
        <v>3.0604550000000001</v>
      </c>
      <c r="T700">
        <v>-0.66787799999999997</v>
      </c>
      <c r="U700">
        <v>-0.17510990000000001</v>
      </c>
      <c r="V700">
        <v>-0.1104706</v>
      </c>
      <c r="W700">
        <v>3.8531599999999999E-2</v>
      </c>
      <c r="X700">
        <v>0.99313220000000002</v>
      </c>
      <c r="Y700">
        <v>6.023978E-2</v>
      </c>
      <c r="Z700">
        <v>-7.49293599999999E-3</v>
      </c>
      <c r="AA700">
        <v>0.99815580000000004</v>
      </c>
      <c r="AB700">
        <v>19</v>
      </c>
      <c r="AC700">
        <v>0.58379999999999599</v>
      </c>
      <c r="AD700">
        <v>-0.15076119999999901</v>
      </c>
      <c r="AE700">
        <v>-4.0399999999976899E-2</v>
      </c>
      <c r="AF700">
        <v>4.0429033863694702E-2</v>
      </c>
      <c r="AG700">
        <v>-0.15076119999999901</v>
      </c>
      <c r="AH700">
        <v>0.54728246740420905</v>
      </c>
      <c r="AI700">
        <v>105.36153733455799</v>
      </c>
      <c r="AJ700">
        <v>85.775101082911803</v>
      </c>
      <c r="AK700">
        <v>0.56910591749922101</v>
      </c>
      <c r="AL700">
        <v>87.791755292534503</v>
      </c>
      <c r="AM700">
        <v>96.347177167049693</v>
      </c>
      <c r="AN700">
        <v>1.0000000021698801</v>
      </c>
    </row>
    <row r="701" spans="1:40" x14ac:dyDescent="0.3">
      <c r="A701" t="str">
        <f>"20200111145926710"</f>
        <v>20200111145926710</v>
      </c>
      <c r="B701" t="str">
        <f>"1578725966706665"</f>
        <v>1578725966706665</v>
      </c>
      <c r="C701" t="s">
        <v>40</v>
      </c>
      <c r="D701">
        <v>4.1334809999999997</v>
      </c>
      <c r="E701">
        <v>0.56373669999999998</v>
      </c>
      <c r="F701" t="s">
        <v>41</v>
      </c>
      <c r="G701">
        <v>-419.27749999999997</v>
      </c>
      <c r="H701">
        <v>0.89149389999999995</v>
      </c>
      <c r="I701">
        <v>367.19549999999998</v>
      </c>
      <c r="J701">
        <v>-419.87329999999997</v>
      </c>
      <c r="K701">
        <v>1.054416</v>
      </c>
      <c r="L701">
        <v>367.2371</v>
      </c>
      <c r="M701">
        <v>0.99993889999999996</v>
      </c>
      <c r="N701">
        <v>0</v>
      </c>
      <c r="O701">
        <v>4.633921E-3</v>
      </c>
      <c r="P701">
        <v>0.99276439999999999</v>
      </c>
      <c r="Q701">
        <v>2.910306E-2</v>
      </c>
      <c r="R701">
        <v>0.1165002</v>
      </c>
      <c r="S701">
        <v>3.060028</v>
      </c>
      <c r="T701">
        <v>-0.66954820000000004</v>
      </c>
      <c r="U701">
        <v>-0.167968799999999</v>
      </c>
      <c r="V701">
        <v>-0.1118963</v>
      </c>
      <c r="W701">
        <v>3.9090989999999999E-2</v>
      </c>
      <c r="X701">
        <v>0.99295069999999996</v>
      </c>
      <c r="Y701">
        <v>5.7958839999999998E-2</v>
      </c>
      <c r="Z701">
        <v>-7.2635729999999997E-3</v>
      </c>
      <c r="AA701">
        <v>0.99829259999999997</v>
      </c>
      <c r="AB701">
        <v>19</v>
      </c>
      <c r="AC701">
        <v>0.595799999999997</v>
      </c>
      <c r="AD701">
        <v>-0.16292209999999899</v>
      </c>
      <c r="AE701">
        <v>-4.16000000000167E-2</v>
      </c>
      <c r="AF701">
        <v>4.1288215977292403E-2</v>
      </c>
      <c r="AG701">
        <v>-0.16292209999999899</v>
      </c>
      <c r="AH701">
        <v>0.55435014548255501</v>
      </c>
      <c r="AI701">
        <v>106.33510450995</v>
      </c>
      <c r="AJ701">
        <v>85.740452650959099</v>
      </c>
      <c r="AK701">
        <v>0.57926885920402105</v>
      </c>
      <c r="AL701">
        <v>87.759680412350903</v>
      </c>
      <c r="AM701">
        <v>96.429575710575904</v>
      </c>
      <c r="AN701">
        <v>0.99999999004168005</v>
      </c>
    </row>
    <row r="702" spans="1:40" x14ac:dyDescent="0.3">
      <c r="A702" t="str">
        <f>"20200111145926723"</f>
        <v>20200111145926723</v>
      </c>
      <c r="B702" t="str">
        <f>"1578725966716425"</f>
        <v>1578725966716425</v>
      </c>
      <c r="C702" t="s">
        <v>40</v>
      </c>
      <c r="D702">
        <v>4.0936209999999997</v>
      </c>
      <c r="E702">
        <v>0.56333859999999902</v>
      </c>
      <c r="F702" t="s">
        <v>41</v>
      </c>
      <c r="G702">
        <v>-419.11200000000002</v>
      </c>
      <c r="H702">
        <v>0.88821149999999904</v>
      </c>
      <c r="I702">
        <v>367.19779999999997</v>
      </c>
      <c r="J702">
        <v>-419.7647</v>
      </c>
      <c r="K702">
        <v>1.054416</v>
      </c>
      <c r="L702">
        <v>367.23759999999999</v>
      </c>
      <c r="M702">
        <v>0.99993880000000002</v>
      </c>
      <c r="N702">
        <v>0</v>
      </c>
      <c r="O702">
        <v>4.6249680000000001E-3</v>
      </c>
      <c r="P702">
        <v>0.99270000000000003</v>
      </c>
      <c r="Q702">
        <v>2.9324510000000002E-2</v>
      </c>
      <c r="R702">
        <v>0.1169902</v>
      </c>
      <c r="S702">
        <v>3.0598450000000001</v>
      </c>
      <c r="T702">
        <v>-0.66822999999999999</v>
      </c>
      <c r="U702">
        <v>-0.15670780000000001</v>
      </c>
      <c r="V702">
        <v>-0.1123948</v>
      </c>
      <c r="W702">
        <v>3.9313979999999998E-2</v>
      </c>
      <c r="X702">
        <v>0.99288560000000003</v>
      </c>
      <c r="Y702">
        <v>5.4378719999999998E-2</v>
      </c>
      <c r="Z702">
        <v>-6.8626449999999997E-3</v>
      </c>
      <c r="AA702">
        <v>0.99849679999999996</v>
      </c>
      <c r="AB702">
        <v>19</v>
      </c>
      <c r="AC702">
        <v>0.65270000000003803</v>
      </c>
      <c r="AD702">
        <v>-0.16620450000000001</v>
      </c>
      <c r="AE702">
        <v>-3.9800000000013797E-2</v>
      </c>
      <c r="AF702">
        <v>4.0220138702194701E-2</v>
      </c>
      <c r="AG702">
        <v>-0.16620450000000001</v>
      </c>
      <c r="AH702">
        <v>0.61291345100116201</v>
      </c>
      <c r="AI702">
        <v>105.14103888536</v>
      </c>
      <c r="AJ702">
        <v>86.245562963173299</v>
      </c>
      <c r="AK702">
        <v>0.63632106188277904</v>
      </c>
      <c r="AL702">
        <v>87.746894213957802</v>
      </c>
      <c r="AM702">
        <v>96.458397980130997</v>
      </c>
      <c r="AN702">
        <v>0.99999999738891998</v>
      </c>
    </row>
    <row r="703" spans="1:40" x14ac:dyDescent="0.3">
      <c r="A703" t="str">
        <f>"20200111145926736"</f>
        <v>20200111145926736</v>
      </c>
      <c r="B703" t="str">
        <f>"1578725966726186"</f>
        <v>1578725966726186</v>
      </c>
      <c r="C703" t="s">
        <v>40</v>
      </c>
      <c r="D703">
        <v>4.0877699999999999</v>
      </c>
      <c r="E703">
        <v>0.56288870000000002</v>
      </c>
      <c r="F703" t="s">
        <v>41</v>
      </c>
      <c r="G703">
        <v>-418.9504</v>
      </c>
      <c r="H703">
        <v>0.87622440000000001</v>
      </c>
      <c r="I703">
        <v>367.1968</v>
      </c>
      <c r="J703">
        <v>-419.6497</v>
      </c>
      <c r="K703">
        <v>1.054416</v>
      </c>
      <c r="L703">
        <v>367.23809999999997</v>
      </c>
      <c r="M703">
        <v>0.99993880000000002</v>
      </c>
      <c r="N703">
        <v>0</v>
      </c>
      <c r="O703">
        <v>4.6157150000000003E-3</v>
      </c>
      <c r="P703">
        <v>0.99267879999999997</v>
      </c>
      <c r="Q703">
        <v>2.9544890000000001E-2</v>
      </c>
      <c r="R703">
        <v>0.1171172</v>
      </c>
      <c r="S703">
        <v>3.0597840000000001</v>
      </c>
      <c r="T703">
        <v>-0.66967949999999998</v>
      </c>
      <c r="U703">
        <v>-0.152343799999999</v>
      </c>
      <c r="V703">
        <v>-0.1125316</v>
      </c>
      <c r="W703">
        <v>3.9536960000000003E-2</v>
      </c>
      <c r="X703">
        <v>0.99286129999999995</v>
      </c>
      <c r="Y703">
        <v>5.2977139999999999E-2</v>
      </c>
      <c r="Z703">
        <v>-6.7240650000000004E-3</v>
      </c>
      <c r="AA703">
        <v>0.99857309999999999</v>
      </c>
      <c r="AB703">
        <v>19</v>
      </c>
      <c r="AC703">
        <v>0.69929999999999304</v>
      </c>
      <c r="AD703">
        <v>-0.17819160000000001</v>
      </c>
      <c r="AE703">
        <v>-4.1299999999978299E-2</v>
      </c>
      <c r="AF703">
        <v>4.1821451915968401E-2</v>
      </c>
      <c r="AG703">
        <v>-0.17819160000000001</v>
      </c>
      <c r="AH703">
        <v>0.65661583922252098</v>
      </c>
      <c r="AI703">
        <v>105.153889395747</v>
      </c>
      <c r="AJ703">
        <v>86.355615905218599</v>
      </c>
      <c r="AK703">
        <v>0.68164920631422599</v>
      </c>
      <c r="AL703">
        <v>87.734108571849404</v>
      </c>
      <c r="AM703">
        <v>96.466349124300393</v>
      </c>
      <c r="AN703">
        <v>1.0000000466211401</v>
      </c>
    </row>
    <row r="704" spans="1:40" x14ac:dyDescent="0.3">
      <c r="A704" t="str">
        <f>"20200111145926750"</f>
        <v>20200111145926750</v>
      </c>
      <c r="B704" t="str">
        <f>"1578725966746681"</f>
        <v>1578725966746681</v>
      </c>
      <c r="C704" t="s">
        <v>40</v>
      </c>
      <c r="D704">
        <v>4.0723979999999997</v>
      </c>
      <c r="E704">
        <v>0.56201369999999995</v>
      </c>
      <c r="F704" t="s">
        <v>41</v>
      </c>
      <c r="G704">
        <v>-418.9391</v>
      </c>
      <c r="H704">
        <v>0.89958249999999995</v>
      </c>
      <c r="I704">
        <v>367.20350000000002</v>
      </c>
      <c r="J704">
        <v>-419.54469999999998</v>
      </c>
      <c r="K704">
        <v>1.054408</v>
      </c>
      <c r="L704">
        <v>367.23860000000002</v>
      </c>
      <c r="M704">
        <v>0.99993880000000002</v>
      </c>
      <c r="N704">
        <v>0</v>
      </c>
      <c r="O704">
        <v>4.6071200000000001E-3</v>
      </c>
      <c r="P704">
        <v>0.99270049999999999</v>
      </c>
      <c r="Q704">
        <v>2.9000910000000001E-2</v>
      </c>
      <c r="R704">
        <v>0.1170679</v>
      </c>
      <c r="S704">
        <v>3.0593870000000001</v>
      </c>
      <c r="T704">
        <v>-0.66687700000000005</v>
      </c>
      <c r="U704">
        <v>-0.14785770000000001</v>
      </c>
      <c r="V704">
        <v>-0.1124904</v>
      </c>
      <c r="W704">
        <v>3.8995219999999997E-2</v>
      </c>
      <c r="X704">
        <v>0.99288730000000003</v>
      </c>
      <c r="Y704">
        <v>5.1558420000000001E-2</v>
      </c>
      <c r="Z704">
        <v>-6.5430569999999997E-3</v>
      </c>
      <c r="AA704">
        <v>0.99864850000000005</v>
      </c>
      <c r="AB704">
        <v>19</v>
      </c>
      <c r="AC704">
        <v>0.60559999999998104</v>
      </c>
      <c r="AD704">
        <v>-0.15482549999999901</v>
      </c>
      <c r="AE704">
        <v>-3.5099999999999902E-2</v>
      </c>
      <c r="AF704">
        <v>3.5572593517965802E-2</v>
      </c>
      <c r="AG704">
        <v>-0.15482549999999901</v>
      </c>
      <c r="AH704">
        <v>0.56840517093001397</v>
      </c>
      <c r="AI704">
        <v>105.208534641185</v>
      </c>
      <c r="AJ704">
        <v>86.418919295515906</v>
      </c>
      <c r="AK704">
        <v>0.59018707474818699</v>
      </c>
      <c r="AL704">
        <v>87.765171735419301</v>
      </c>
      <c r="AM704">
        <v>96.463833874209101</v>
      </c>
      <c r="AN704">
        <v>0.999999953888148</v>
      </c>
    </row>
    <row r="705" spans="1:40" x14ac:dyDescent="0.3">
      <c r="A705" t="str">
        <f>"20200111145926767"</f>
        <v>20200111145926767</v>
      </c>
      <c r="B705" t="str">
        <f>"1578725966756441"</f>
        <v>1578725966756441</v>
      </c>
      <c r="C705" t="s">
        <v>40</v>
      </c>
      <c r="D705">
        <v>4.0690489999999997</v>
      </c>
      <c r="E705">
        <v>0.56163560000000001</v>
      </c>
      <c r="F705" t="s">
        <v>41</v>
      </c>
      <c r="G705">
        <v>-418.77820000000003</v>
      </c>
      <c r="H705">
        <v>0.88581030000000005</v>
      </c>
      <c r="I705">
        <v>367.20269999999999</v>
      </c>
      <c r="J705">
        <v>-419.39949999999999</v>
      </c>
      <c r="K705">
        <v>1.0544039999999999</v>
      </c>
      <c r="L705">
        <v>367.23930000000001</v>
      </c>
      <c r="M705">
        <v>0.99993900000000002</v>
      </c>
      <c r="N705">
        <v>0</v>
      </c>
      <c r="O705">
        <v>4.5950050000000001E-3</v>
      </c>
      <c r="P705">
        <v>0.99273199999999995</v>
      </c>
      <c r="Q705">
        <v>2.8290800000000001E-2</v>
      </c>
      <c r="R705">
        <v>0.1169746</v>
      </c>
      <c r="S705">
        <v>3.0583499999999999</v>
      </c>
      <c r="T705">
        <v>-0.67285240000000002</v>
      </c>
      <c r="U705">
        <v>-0.14105219999999999</v>
      </c>
      <c r="V705">
        <v>-0.1124097</v>
      </c>
      <c r="W705">
        <v>3.8288589999999997E-2</v>
      </c>
      <c r="X705">
        <v>0.99292400000000003</v>
      </c>
      <c r="Y705">
        <v>4.937325E-2</v>
      </c>
      <c r="Z705">
        <v>-6.3627950000000001E-3</v>
      </c>
      <c r="AA705">
        <v>0.99876010000000004</v>
      </c>
      <c r="AB705">
        <v>19</v>
      </c>
      <c r="AC705">
        <v>0.62129999999996199</v>
      </c>
      <c r="AD705">
        <v>-0.16859370000000001</v>
      </c>
      <c r="AE705">
        <v>-3.6600000000021199E-2</v>
      </c>
      <c r="AF705">
        <v>3.67573906985703E-2</v>
      </c>
      <c r="AG705">
        <v>-0.16859370000000001</v>
      </c>
      <c r="AH705">
        <v>0.57866316902480297</v>
      </c>
      <c r="AI705">
        <v>106.212544906337</v>
      </c>
      <c r="AJ705">
        <v>86.365385403079401</v>
      </c>
      <c r="AK705">
        <v>0.60384269858671402</v>
      </c>
      <c r="AL705">
        <v>87.805689046558996</v>
      </c>
      <c r="AM705">
        <v>96.4589992326827</v>
      </c>
      <c r="AN705">
        <v>1.0000000132771301</v>
      </c>
    </row>
    <row r="706" spans="1:40" x14ac:dyDescent="0.3">
      <c r="A706" t="str">
        <f>"20200111145926779"</f>
        <v>20200111145926779</v>
      </c>
      <c r="B706" t="str">
        <f>"1578725966775960"</f>
        <v>1578725966775960</v>
      </c>
      <c r="C706" t="s">
        <v>40</v>
      </c>
      <c r="D706">
        <v>4.0280800000000001</v>
      </c>
      <c r="E706">
        <v>0.56114129999999995</v>
      </c>
      <c r="F706" t="s">
        <v>41</v>
      </c>
      <c r="G706">
        <v>-418.61290000000002</v>
      </c>
      <c r="H706">
        <v>0.88035730000000001</v>
      </c>
      <c r="I706">
        <v>367.20339999999999</v>
      </c>
      <c r="J706">
        <v>-419.2894</v>
      </c>
      <c r="K706">
        <v>1.0544009999999999</v>
      </c>
      <c r="L706">
        <v>367.2398</v>
      </c>
      <c r="M706">
        <v>0.99993900000000002</v>
      </c>
      <c r="N706">
        <v>0</v>
      </c>
      <c r="O706">
        <v>4.5858740000000002E-3</v>
      </c>
      <c r="P706">
        <v>0.99275259999999999</v>
      </c>
      <c r="Q706">
        <v>2.7863499999999999E-2</v>
      </c>
      <c r="R706">
        <v>0.11690390000000001</v>
      </c>
      <c r="S706">
        <v>3.0575559999999999</v>
      </c>
      <c r="T706">
        <v>-0.6766723</v>
      </c>
      <c r="U706">
        <v>-0.1382446</v>
      </c>
      <c r="V706">
        <v>-0.11234810000000001</v>
      </c>
      <c r="W706">
        <v>3.7864040000000002E-2</v>
      </c>
      <c r="X706">
        <v>0.99294720000000003</v>
      </c>
      <c r="Y706">
        <v>4.8467700000000002E-2</v>
      </c>
      <c r="Z706">
        <v>-6.2988640000000004E-3</v>
      </c>
      <c r="AA706">
        <v>0.9988049</v>
      </c>
      <c r="AB706">
        <v>19</v>
      </c>
      <c r="AC706">
        <v>0.67649999999997501</v>
      </c>
      <c r="AD706">
        <v>-0.174043699999999</v>
      </c>
      <c r="AE706">
        <v>-3.6400000000014601E-2</v>
      </c>
      <c r="AF706">
        <v>3.7056492920942E-2</v>
      </c>
      <c r="AG706">
        <v>-0.174043699999999</v>
      </c>
      <c r="AH706">
        <v>0.63445378018124798</v>
      </c>
      <c r="AI706">
        <v>105.315179518786</v>
      </c>
      <c r="AJ706">
        <v>86.657327410508799</v>
      </c>
      <c r="AK706">
        <v>0.65893549939547502</v>
      </c>
      <c r="AL706">
        <v>87.830031509700603</v>
      </c>
      <c r="AM706">
        <v>96.455340059538301</v>
      </c>
      <c r="AN706">
        <v>0.99999996154328497</v>
      </c>
    </row>
    <row r="707" spans="1:40" x14ac:dyDescent="0.3">
      <c r="A707" t="str">
        <f>"20200111145926794"</f>
        <v>20200111145926794</v>
      </c>
      <c r="B707" t="str">
        <f>"1578725966786697"</f>
        <v>1578725966786697</v>
      </c>
      <c r="C707" t="s">
        <v>40</v>
      </c>
      <c r="D707">
        <v>4.0265490000000002</v>
      </c>
      <c r="E707">
        <v>0.56087919999999902</v>
      </c>
      <c r="F707" t="s">
        <v>41</v>
      </c>
      <c r="G707">
        <v>-418.60239999999999</v>
      </c>
      <c r="H707">
        <v>0.90223299999999995</v>
      </c>
      <c r="I707">
        <v>367.20920000000001</v>
      </c>
      <c r="J707">
        <v>-419.16669999999999</v>
      </c>
      <c r="K707">
        <v>1.0544009999999999</v>
      </c>
      <c r="L707">
        <v>367.24029999999999</v>
      </c>
      <c r="M707">
        <v>0.99993889999999996</v>
      </c>
      <c r="N707">
        <v>0</v>
      </c>
      <c r="O707">
        <v>4.5757879999999999E-3</v>
      </c>
      <c r="P707">
        <v>0.9927918</v>
      </c>
      <c r="Q707">
        <v>2.7478840000000001E-2</v>
      </c>
      <c r="R707">
        <v>0.11666</v>
      </c>
      <c r="S707">
        <v>3.0567929999999999</v>
      </c>
      <c r="T707">
        <v>-0.67731960000000002</v>
      </c>
      <c r="U707">
        <v>-0.1347351</v>
      </c>
      <c r="V707">
        <v>-0.1121134</v>
      </c>
      <c r="W707">
        <v>3.7482370000000001E-2</v>
      </c>
      <c r="X707">
        <v>0.99298819999999999</v>
      </c>
      <c r="Y707">
        <v>4.7348599999999998E-2</v>
      </c>
      <c r="Z707">
        <v>-6.1817879999999997E-3</v>
      </c>
      <c r="AA707">
        <v>0.99885930000000001</v>
      </c>
      <c r="AB707">
        <v>19</v>
      </c>
      <c r="AC707">
        <v>0.56430000000000202</v>
      </c>
      <c r="AD707">
        <v>-0.152167999999999</v>
      </c>
      <c r="AE707">
        <v>-3.1099999999980799E-2</v>
      </c>
      <c r="AF707">
        <v>3.1405195377618197E-2</v>
      </c>
      <c r="AG707">
        <v>-0.152167999999999</v>
      </c>
      <c r="AH707">
        <v>0.526017982095492</v>
      </c>
      <c r="AI707">
        <v>106.10706120973499</v>
      </c>
      <c r="AJ707">
        <v>86.583288429619998</v>
      </c>
      <c r="AK707">
        <v>0.54848546380785701</v>
      </c>
      <c r="AL707">
        <v>87.851915109378893</v>
      </c>
      <c r="AM707">
        <v>96.441704306791493</v>
      </c>
      <c r="AN707">
        <v>0.99999995392980701</v>
      </c>
    </row>
    <row r="708" spans="1:40" x14ac:dyDescent="0.3">
      <c r="A708" t="str">
        <f>"20200111145926810"</f>
        <v>20200111145926810</v>
      </c>
      <c r="B708" t="str">
        <f>"1578725966806217"</f>
        <v>1578725966806217</v>
      </c>
      <c r="C708" t="s">
        <v>40</v>
      </c>
      <c r="D708">
        <v>4.0268959999999998</v>
      </c>
      <c r="E708">
        <v>0.56040849999999998</v>
      </c>
      <c r="F708" t="s">
        <v>41</v>
      </c>
      <c r="G708">
        <v>-418.43900000000002</v>
      </c>
      <c r="H708">
        <v>0.89263340000000002</v>
      </c>
      <c r="I708">
        <v>367.20800000000003</v>
      </c>
      <c r="J708">
        <v>-419.0326</v>
      </c>
      <c r="K708">
        <v>1.054408</v>
      </c>
      <c r="L708">
        <v>367.24090000000001</v>
      </c>
      <c r="M708">
        <v>0.99993909999999997</v>
      </c>
      <c r="N708">
        <v>0</v>
      </c>
      <c r="O708">
        <v>4.5646860000000001E-3</v>
      </c>
      <c r="P708">
        <v>0.99285699999999999</v>
      </c>
      <c r="Q708">
        <v>2.6955219999999998E-2</v>
      </c>
      <c r="R708">
        <v>0.1162276</v>
      </c>
      <c r="S708">
        <v>3.056305</v>
      </c>
      <c r="T708">
        <v>-0.67950029999999995</v>
      </c>
      <c r="U708">
        <v>-0.13381960000000001</v>
      </c>
      <c r="V708">
        <v>-0.11169229999999999</v>
      </c>
      <c r="W708">
        <v>3.6962019999999998E-2</v>
      </c>
      <c r="X708">
        <v>0.99305520000000003</v>
      </c>
      <c r="Y708">
        <v>4.7045120000000003E-2</v>
      </c>
      <c r="Z708">
        <v>-6.1664719999999897E-3</v>
      </c>
      <c r="AA708">
        <v>0.99887369999999998</v>
      </c>
      <c r="AB708">
        <v>19</v>
      </c>
      <c r="AC708">
        <v>0.59359999999998003</v>
      </c>
      <c r="AD708">
        <v>-0.16177459999999999</v>
      </c>
      <c r="AE708">
        <v>-3.2899999999983699E-2</v>
      </c>
      <c r="AF708">
        <v>3.31544421507965E-2</v>
      </c>
      <c r="AG708">
        <v>-0.16177459999999999</v>
      </c>
      <c r="AH708">
        <v>0.55253099230663305</v>
      </c>
      <c r="AI708">
        <v>106.291667211147</v>
      </c>
      <c r="AJ708">
        <v>86.566102789245505</v>
      </c>
      <c r="AK708">
        <v>0.57668079185875698</v>
      </c>
      <c r="AL708">
        <v>87.881749733025998</v>
      </c>
      <c r="AM708">
        <v>96.417282006129994</v>
      </c>
      <c r="AN708">
        <v>0.99999999552440499</v>
      </c>
    </row>
    <row r="709" spans="1:40" x14ac:dyDescent="0.3">
      <c r="A709" t="str">
        <f>"20200111145926821"</f>
        <v>20200111145926821</v>
      </c>
      <c r="B709" t="str">
        <f>"1578725966815977"</f>
        <v>1578725966815977</v>
      </c>
      <c r="C709" t="s">
        <v>40</v>
      </c>
      <c r="D709">
        <v>3.9241920000000001</v>
      </c>
      <c r="E709">
        <v>0.56022039999999995</v>
      </c>
      <c r="F709" t="s">
        <v>41</v>
      </c>
      <c r="G709">
        <v>-418.27420000000001</v>
      </c>
      <c r="H709">
        <v>0.88507190000000002</v>
      </c>
      <c r="I709">
        <v>367.2081</v>
      </c>
      <c r="J709">
        <v>-418.93439999999998</v>
      </c>
      <c r="K709">
        <v>1.0544070000000001</v>
      </c>
      <c r="L709">
        <v>367.2414</v>
      </c>
      <c r="M709">
        <v>0.99993900000000002</v>
      </c>
      <c r="N709">
        <v>0</v>
      </c>
      <c r="O709">
        <v>4.5567469999999999E-3</v>
      </c>
      <c r="P709">
        <v>0.99287930000000002</v>
      </c>
      <c r="Q709">
        <v>2.7087010000000002E-2</v>
      </c>
      <c r="R709">
        <v>0.1160056</v>
      </c>
      <c r="S709">
        <v>3.0554809999999999</v>
      </c>
      <c r="T709">
        <v>-0.68230679999999999</v>
      </c>
      <c r="U709">
        <v>-0.13116459999999999</v>
      </c>
      <c r="V709">
        <v>-0.1114777</v>
      </c>
      <c r="W709">
        <v>3.7096400000000002E-2</v>
      </c>
      <c r="X709">
        <v>0.99307429999999997</v>
      </c>
      <c r="Y709">
        <v>4.6192749999999998E-2</v>
      </c>
      <c r="Z709">
        <v>-6.0973490000000002E-3</v>
      </c>
      <c r="AA709">
        <v>0.99891390000000002</v>
      </c>
      <c r="AB709">
        <v>19</v>
      </c>
      <c r="AC709">
        <v>0.66019999999997403</v>
      </c>
      <c r="AD709">
        <v>-0.16933509999999899</v>
      </c>
      <c r="AE709">
        <v>-3.3299999999996999E-2</v>
      </c>
      <c r="AF709">
        <v>3.4072328159026097E-2</v>
      </c>
      <c r="AG709">
        <v>-0.16933509999999899</v>
      </c>
      <c r="AH709">
        <v>0.61939631072036905</v>
      </c>
      <c r="AI709">
        <v>105.268309118121</v>
      </c>
      <c r="AJ709">
        <v>86.851393805332293</v>
      </c>
      <c r="AK709">
        <v>0.64302961780324797</v>
      </c>
      <c r="AL709">
        <v>87.8740450365611</v>
      </c>
      <c r="AM709">
        <v>96.404932559053407</v>
      </c>
      <c r="AN709">
        <v>0.99999999290536901</v>
      </c>
    </row>
    <row r="710" spans="1:40" x14ac:dyDescent="0.3">
      <c r="A710" t="str">
        <f>"20200111145926833"</f>
        <v>20200111145926833</v>
      </c>
      <c r="B710" t="str">
        <f>"1578725966826712"</f>
        <v>1578725966826712</v>
      </c>
      <c r="C710" t="s">
        <v>40</v>
      </c>
      <c r="D710">
        <v>3.8949639999999999</v>
      </c>
      <c r="E710">
        <v>0.5600368</v>
      </c>
      <c r="F710" t="s">
        <v>41</v>
      </c>
      <c r="G710">
        <v>-418.1121</v>
      </c>
      <c r="H710">
        <v>0.87101669999999998</v>
      </c>
      <c r="I710">
        <v>367.20580000000001</v>
      </c>
      <c r="J710">
        <v>-418.83440000000002</v>
      </c>
      <c r="K710">
        <v>1.0544089999999999</v>
      </c>
      <c r="L710">
        <v>367.24180000000001</v>
      </c>
      <c r="M710">
        <v>0.99993900000000002</v>
      </c>
      <c r="N710">
        <v>0</v>
      </c>
      <c r="O710">
        <v>4.5481559999999898E-3</v>
      </c>
      <c r="P710">
        <v>0.99290520000000004</v>
      </c>
      <c r="Q710">
        <v>2.7339820000000001E-2</v>
      </c>
      <c r="R710">
        <v>0.1157232</v>
      </c>
      <c r="S710">
        <v>3.0553279999999998</v>
      </c>
      <c r="T710">
        <v>-0.68148359999999997</v>
      </c>
      <c r="U710">
        <v>-0.130188</v>
      </c>
      <c r="V710">
        <v>-0.11120389999999999</v>
      </c>
      <c r="W710">
        <v>3.7351330000000002E-2</v>
      </c>
      <c r="X710">
        <v>0.99309550000000002</v>
      </c>
      <c r="Y710">
        <v>4.5878349999999998E-2</v>
      </c>
      <c r="Z710">
        <v>-6.0539929999999997E-3</v>
      </c>
      <c r="AA710">
        <v>0.9989287</v>
      </c>
      <c r="AB710">
        <v>19</v>
      </c>
      <c r="AC710">
        <v>0.72230000000001804</v>
      </c>
      <c r="AD710">
        <v>-0.18339229999999901</v>
      </c>
      <c r="AE710">
        <v>-3.6000000000001302E-2</v>
      </c>
      <c r="AF710">
        <v>3.6911318918771197E-2</v>
      </c>
      <c r="AG710">
        <v>-0.18339229999999901</v>
      </c>
      <c r="AH710">
        <v>0.67849752817768405</v>
      </c>
      <c r="AI710">
        <v>105.10384435578899</v>
      </c>
      <c r="AJ710">
        <v>86.886090122720503</v>
      </c>
      <c r="AK710">
        <v>0.70381395049177597</v>
      </c>
      <c r="AL710">
        <v>87.859428617092703</v>
      </c>
      <c r="AM710">
        <v>96.389196409418901</v>
      </c>
      <c r="AN710">
        <v>1.00000005067411</v>
      </c>
    </row>
    <row r="711" spans="1:40" x14ac:dyDescent="0.3">
      <c r="A711" t="str">
        <f>"20200111145926845"</f>
        <v>20200111145926845</v>
      </c>
      <c r="B711" t="str">
        <f>"1578725966836473"</f>
        <v>1578725966836473</v>
      </c>
      <c r="C711" t="s">
        <v>40</v>
      </c>
      <c r="D711">
        <v>3.954224</v>
      </c>
      <c r="E711">
        <v>0.559782</v>
      </c>
      <c r="F711" t="s">
        <v>41</v>
      </c>
      <c r="G711">
        <v>-418.10250000000002</v>
      </c>
      <c r="H711">
        <v>0.89147469999999995</v>
      </c>
      <c r="I711">
        <v>367.21030000000002</v>
      </c>
      <c r="J711">
        <v>-418.73860000000002</v>
      </c>
      <c r="K711">
        <v>1.054408</v>
      </c>
      <c r="L711">
        <v>367.24220000000003</v>
      </c>
      <c r="M711">
        <v>0.99993900000000002</v>
      </c>
      <c r="N711">
        <v>0</v>
      </c>
      <c r="O711">
        <v>4.5399220000000001E-3</v>
      </c>
      <c r="P711">
        <v>0.9929251</v>
      </c>
      <c r="Q711">
        <v>2.7879439999999998E-2</v>
      </c>
      <c r="R711">
        <v>0.115424</v>
      </c>
      <c r="S711">
        <v>3.055237</v>
      </c>
      <c r="T711">
        <v>-0.68038089999999996</v>
      </c>
      <c r="U711">
        <v>-0.12942500000000001</v>
      </c>
      <c r="V711">
        <v>-0.1109127</v>
      </c>
      <c r="W711">
        <v>3.7893110000000001E-2</v>
      </c>
      <c r="X711">
        <v>0.99310750000000003</v>
      </c>
      <c r="Y711">
        <v>4.5632489999999998E-2</v>
      </c>
      <c r="Z711">
        <v>-6.0157939999999997E-3</v>
      </c>
      <c r="AA711">
        <v>0.99894019999999994</v>
      </c>
      <c r="AB711">
        <v>19</v>
      </c>
      <c r="AC711">
        <v>0.636099999999999</v>
      </c>
      <c r="AD711">
        <v>-0.1629333</v>
      </c>
      <c r="AE711">
        <v>-3.1900000000007298E-2</v>
      </c>
      <c r="AF711">
        <v>3.26508212238708E-2</v>
      </c>
      <c r="AG711">
        <v>-0.1629333</v>
      </c>
      <c r="AH711">
        <v>0.59688531152666902</v>
      </c>
      <c r="AI711">
        <v>105.246466928467</v>
      </c>
      <c r="AJ711">
        <v>86.8689267395294</v>
      </c>
      <c r="AK711">
        <v>0.61958487028959297</v>
      </c>
      <c r="AL711">
        <v>87.828364831918194</v>
      </c>
      <c r="AM711">
        <v>96.372527023788095</v>
      </c>
      <c r="AN711">
        <v>1.0000000106814999</v>
      </c>
    </row>
    <row r="712" spans="1:40" x14ac:dyDescent="0.3">
      <c r="A712" t="str">
        <f>"20200111145926855"</f>
        <v>20200111145926855</v>
      </c>
      <c r="B712" t="str">
        <f>"1578725966846233"</f>
        <v>1578725966846233</v>
      </c>
      <c r="C712" t="s">
        <v>40</v>
      </c>
      <c r="D712">
        <v>3.9810300000000001</v>
      </c>
      <c r="E712">
        <v>0.55951169999999995</v>
      </c>
      <c r="F712" t="s">
        <v>41</v>
      </c>
      <c r="G712">
        <v>-417.9402</v>
      </c>
      <c r="H712">
        <v>0.87766929999999999</v>
      </c>
      <c r="I712">
        <v>367.20839999999998</v>
      </c>
      <c r="J712">
        <v>-418.64</v>
      </c>
      <c r="K712">
        <v>1.0544129999999901</v>
      </c>
      <c r="L712">
        <v>367.24270000000001</v>
      </c>
      <c r="M712">
        <v>0.99993909999999997</v>
      </c>
      <c r="N712">
        <v>0</v>
      </c>
      <c r="O712">
        <v>4.531686E-3</v>
      </c>
      <c r="P712">
        <v>0.99294139999999997</v>
      </c>
      <c r="Q712">
        <v>2.8494809999999999E-2</v>
      </c>
      <c r="R712">
        <v>0.1151335</v>
      </c>
      <c r="S712">
        <v>3.0552980000000001</v>
      </c>
      <c r="T712">
        <v>-0.67652979999999996</v>
      </c>
      <c r="U712">
        <v>-0.12838749999999999</v>
      </c>
      <c r="V712">
        <v>-0.110630199999999</v>
      </c>
      <c r="W712">
        <v>3.8511120000000003E-2</v>
      </c>
      <c r="X712">
        <v>0.99311519999999998</v>
      </c>
      <c r="Y712">
        <v>4.5306560000000003E-2</v>
      </c>
      <c r="Z712">
        <v>-5.9450350000000004E-3</v>
      </c>
      <c r="AA712">
        <v>0.99895540000000005</v>
      </c>
      <c r="AB712">
        <v>19</v>
      </c>
      <c r="AC712">
        <v>0.69979999999998199</v>
      </c>
      <c r="AD712">
        <v>-0.176743699999999</v>
      </c>
      <c r="AE712">
        <v>-3.4300000000030098E-2</v>
      </c>
      <c r="AF712">
        <v>3.5229258655182803E-2</v>
      </c>
      <c r="AG712">
        <v>-0.176743699999999</v>
      </c>
      <c r="AH712">
        <v>0.65777939640605698</v>
      </c>
      <c r="AI712">
        <v>105.01944581891</v>
      </c>
      <c r="AJ712">
        <v>86.934289537492603</v>
      </c>
      <c r="AK712">
        <v>0.682021385655465</v>
      </c>
      <c r="AL712">
        <v>87.792929519462504</v>
      </c>
      <c r="AM712">
        <v>96.356380029333906</v>
      </c>
      <c r="AN712">
        <v>0.99999997399336604</v>
      </c>
    </row>
    <row r="713" spans="1:40" x14ac:dyDescent="0.3">
      <c r="A713" t="str">
        <f>"20200111145926869"</f>
        <v>20200111145926869</v>
      </c>
      <c r="B713" t="str">
        <f>"1578725966866729"</f>
        <v>1578725966866729</v>
      </c>
      <c r="C713" t="s">
        <v>40</v>
      </c>
      <c r="D713">
        <v>4.0231260000000004</v>
      </c>
      <c r="E713">
        <v>0.55896869999999999</v>
      </c>
      <c r="F713" t="s">
        <v>41</v>
      </c>
      <c r="G713">
        <v>-417.93079999999998</v>
      </c>
      <c r="H713">
        <v>0.89743510000000004</v>
      </c>
      <c r="I713">
        <v>367.21289999999999</v>
      </c>
      <c r="J713">
        <v>-418.5367</v>
      </c>
      <c r="K713">
        <v>1.0544150000000001</v>
      </c>
      <c r="L713">
        <v>367.24310000000003</v>
      </c>
      <c r="M713">
        <v>0.99993900000000002</v>
      </c>
      <c r="N713">
        <v>0</v>
      </c>
      <c r="O713">
        <v>4.5227339999999996E-3</v>
      </c>
      <c r="P713">
        <v>0.99289000000000005</v>
      </c>
      <c r="Q713">
        <v>2.9714649999999999E-2</v>
      </c>
      <c r="R713">
        <v>0.1152666</v>
      </c>
      <c r="S713">
        <v>3.0554199999999998</v>
      </c>
      <c r="T713">
        <v>-0.67642369999999996</v>
      </c>
      <c r="U713">
        <v>-0.12686159999999999</v>
      </c>
      <c r="V713">
        <v>-0.1107722</v>
      </c>
      <c r="W713">
        <v>3.973231E-2</v>
      </c>
      <c r="X713">
        <v>0.99305129999999997</v>
      </c>
      <c r="Y713">
        <v>4.4810570000000001E-2</v>
      </c>
      <c r="Z713">
        <v>-5.887771E-3</v>
      </c>
      <c r="AA713">
        <v>0.99897809999999998</v>
      </c>
      <c r="AB713">
        <v>19</v>
      </c>
      <c r="AC713">
        <v>0.60590000000001898</v>
      </c>
      <c r="AD713">
        <v>-0.15697989999999901</v>
      </c>
      <c r="AE713">
        <v>-3.0200000000036201E-2</v>
      </c>
      <c r="AF713">
        <v>3.0872935616498402E-2</v>
      </c>
      <c r="AG713">
        <v>-0.15697989999999901</v>
      </c>
      <c r="AH713">
        <v>0.567741816803366</v>
      </c>
      <c r="AI713">
        <v>105.434341469157</v>
      </c>
      <c r="AJ713">
        <v>86.8874083242236</v>
      </c>
      <c r="AK713">
        <v>0.58985303059726502</v>
      </c>
      <c r="AL713">
        <v>87.722906958014406</v>
      </c>
      <c r="AM713">
        <v>96.364878064265298</v>
      </c>
      <c r="AN713">
        <v>1.0000000105912299</v>
      </c>
    </row>
    <row r="714" spans="1:40" x14ac:dyDescent="0.3">
      <c r="A714" t="str">
        <f>"20200111145926881"</f>
        <v>20200111145926881</v>
      </c>
      <c r="B714" t="str">
        <f>"1578725966876489"</f>
        <v>1578725966876489</v>
      </c>
      <c r="C714" t="s">
        <v>40</v>
      </c>
      <c r="D714">
        <v>4.0502099999999999</v>
      </c>
      <c r="E714">
        <v>0.55870350000000002</v>
      </c>
      <c r="F714" t="s">
        <v>41</v>
      </c>
      <c r="G714">
        <v>-417.7679</v>
      </c>
      <c r="H714">
        <v>0.88445589999999996</v>
      </c>
      <c r="I714">
        <v>367.21190000000001</v>
      </c>
      <c r="J714">
        <v>-418.43040000000002</v>
      </c>
      <c r="K714">
        <v>1.0544169999999999</v>
      </c>
      <c r="L714">
        <v>367.24360000000001</v>
      </c>
      <c r="M714">
        <v>0.99993909999999997</v>
      </c>
      <c r="N714">
        <v>0</v>
      </c>
      <c r="O714">
        <v>4.512828E-3</v>
      </c>
      <c r="P714">
        <v>0.99285760000000001</v>
      </c>
      <c r="Q714">
        <v>3.0225499999999999E-2</v>
      </c>
      <c r="R714">
        <v>0.11541510000000001</v>
      </c>
      <c r="S714">
        <v>3.055847</v>
      </c>
      <c r="T714">
        <v>-0.67578669999999996</v>
      </c>
      <c r="U714">
        <v>-0.1218262</v>
      </c>
      <c r="V714">
        <v>-0.1109305</v>
      </c>
      <c r="W714">
        <v>4.024498E-2</v>
      </c>
      <c r="X714">
        <v>0.99301300000000003</v>
      </c>
      <c r="Y714">
        <v>4.319315E-2</v>
      </c>
      <c r="Z714">
        <v>-5.7029409999999996E-3</v>
      </c>
      <c r="AA714">
        <v>0.99905040000000001</v>
      </c>
      <c r="AB714">
        <v>19</v>
      </c>
      <c r="AC714">
        <v>0.66250000000002196</v>
      </c>
      <c r="AD714">
        <v>-0.169961099999999</v>
      </c>
      <c r="AE714">
        <v>-3.17000000000007E-2</v>
      </c>
      <c r="AF714">
        <v>3.2552046450701297E-2</v>
      </c>
      <c r="AG714">
        <v>-0.169961099999999</v>
      </c>
      <c r="AH714">
        <v>0.62153695056625502</v>
      </c>
      <c r="AI714">
        <v>105.273856289994</v>
      </c>
      <c r="AJ714">
        <v>87.001960431536205</v>
      </c>
      <c r="AK714">
        <v>0.64517795387051002</v>
      </c>
      <c r="AL714">
        <v>87.693509652830301</v>
      </c>
      <c r="AM714">
        <v>96.374142859219702</v>
      </c>
      <c r="AN714">
        <v>1.0000000262072199</v>
      </c>
    </row>
    <row r="715" spans="1:40" x14ac:dyDescent="0.3">
      <c r="A715" t="str">
        <f>"20200111145926893"</f>
        <v>20200111145926893</v>
      </c>
      <c r="B715" t="str">
        <f>"1578725966886250"</f>
        <v>1578725966886250</v>
      </c>
      <c r="C715" t="s">
        <v>40</v>
      </c>
      <c r="D715">
        <v>4.092066</v>
      </c>
      <c r="E715">
        <v>0.55847400000000003</v>
      </c>
      <c r="F715" t="s">
        <v>41</v>
      </c>
      <c r="G715">
        <v>-417.60430000000002</v>
      </c>
      <c r="H715">
        <v>0.87183279999999996</v>
      </c>
      <c r="I715">
        <v>367.21129999999999</v>
      </c>
      <c r="J715">
        <v>-418.32839999999999</v>
      </c>
      <c r="K715">
        <v>1.0544180000000001</v>
      </c>
      <c r="L715">
        <v>367.24400000000003</v>
      </c>
      <c r="M715">
        <v>0.99993909999999997</v>
      </c>
      <c r="N715">
        <v>0</v>
      </c>
      <c r="O715">
        <v>4.5033950000000003E-3</v>
      </c>
      <c r="P715">
        <v>0.99285789999999996</v>
      </c>
      <c r="Q715">
        <v>3.0158379999999999E-2</v>
      </c>
      <c r="R715">
        <v>0.1154295</v>
      </c>
      <c r="S715">
        <v>3.056</v>
      </c>
      <c r="T715">
        <v>-0.67553430000000003</v>
      </c>
      <c r="U715">
        <v>-0.11920169999999999</v>
      </c>
      <c r="V715">
        <v>-0.1109549</v>
      </c>
      <c r="W715">
        <v>4.0180180000000003E-2</v>
      </c>
      <c r="X715">
        <v>0.99301280000000003</v>
      </c>
      <c r="Y715">
        <v>4.2346599999999998E-2</v>
      </c>
      <c r="Z715">
        <v>-5.6062009999999999E-3</v>
      </c>
      <c r="AA715">
        <v>0.99908730000000001</v>
      </c>
      <c r="AB715">
        <v>19</v>
      </c>
      <c r="AC715">
        <v>0.72409999999996399</v>
      </c>
      <c r="AD715">
        <v>-0.182585199999999</v>
      </c>
      <c r="AE715">
        <v>-3.2700000000033903E-2</v>
      </c>
      <c r="AF715">
        <v>3.3815087797271597E-2</v>
      </c>
      <c r="AG715">
        <v>-0.182585199999999</v>
      </c>
      <c r="AH715">
        <v>0.68075004421690499</v>
      </c>
      <c r="AI715">
        <v>104.99638239616699</v>
      </c>
      <c r="AJ715">
        <v>87.156268051886101</v>
      </c>
      <c r="AK715">
        <v>0.70562131354083601</v>
      </c>
      <c r="AL715">
        <v>87.697225200403295</v>
      </c>
      <c r="AM715">
        <v>96.375534630094293</v>
      </c>
      <c r="AN715">
        <v>0.99999992883133804</v>
      </c>
    </row>
    <row r="716" spans="1:40" x14ac:dyDescent="0.3">
      <c r="A716" t="str">
        <f>"20200111145926905"</f>
        <v>20200111145926905</v>
      </c>
      <c r="B716" t="str">
        <f>"1578725966896009"</f>
        <v>1578725966896009</v>
      </c>
      <c r="C716" t="s">
        <v>40</v>
      </c>
      <c r="D716">
        <v>3.9802900000000001</v>
      </c>
      <c r="E716">
        <v>0.55828040000000001</v>
      </c>
      <c r="F716" t="s">
        <v>41</v>
      </c>
      <c r="G716">
        <v>-417.5949</v>
      </c>
      <c r="H716">
        <v>0.89191480000000001</v>
      </c>
      <c r="I716">
        <v>367.2158</v>
      </c>
      <c r="J716">
        <v>-418.22989999999999</v>
      </c>
      <c r="K716">
        <v>1.054416</v>
      </c>
      <c r="L716">
        <v>367.24439999999998</v>
      </c>
      <c r="M716">
        <v>0.99993909999999997</v>
      </c>
      <c r="N716">
        <v>0</v>
      </c>
      <c r="O716">
        <v>4.4939630000000001E-3</v>
      </c>
      <c r="P716">
        <v>0.99289539999999998</v>
      </c>
      <c r="Q716">
        <v>2.9739430000000001E-2</v>
      </c>
      <c r="R716">
        <v>0.11521629999999999</v>
      </c>
      <c r="S716">
        <v>3.0557859999999999</v>
      </c>
      <c r="T716">
        <v>-0.6771587</v>
      </c>
      <c r="U716">
        <v>-0.1170959</v>
      </c>
      <c r="V716">
        <v>-0.1107508</v>
      </c>
      <c r="W716">
        <v>3.9763760000000002E-2</v>
      </c>
      <c r="X716">
        <v>0.99305239999999995</v>
      </c>
      <c r="Y716">
        <v>4.166367E-2</v>
      </c>
      <c r="Z716">
        <v>-5.5430169999999999E-3</v>
      </c>
      <c r="AA716">
        <v>0.99911629999999996</v>
      </c>
      <c r="AB716">
        <v>19</v>
      </c>
      <c r="AC716">
        <v>0.63499999999999002</v>
      </c>
      <c r="AD716">
        <v>-0.16250119999999901</v>
      </c>
      <c r="AE716">
        <v>-2.8599999999983E-2</v>
      </c>
      <c r="AF716">
        <v>2.95239544778567E-2</v>
      </c>
      <c r="AG716">
        <v>-0.16250119999999901</v>
      </c>
      <c r="AH716">
        <v>0.59591821049095095</v>
      </c>
      <c r="AI716">
        <v>105.235337840149</v>
      </c>
      <c r="AJ716">
        <v>87.163677931677697</v>
      </c>
      <c r="AK716">
        <v>0.61838242009632505</v>
      </c>
      <c r="AL716">
        <v>87.721103517089702</v>
      </c>
      <c r="AM716">
        <v>96.363651535324195</v>
      </c>
      <c r="AN716">
        <v>0.99999998272786805</v>
      </c>
    </row>
    <row r="717" spans="1:40" x14ac:dyDescent="0.3">
      <c r="A717" t="str">
        <f>"20200111145926922"</f>
        <v>20200111145926922</v>
      </c>
      <c r="B717" t="str">
        <f>"1578725966916505"</f>
        <v>1578725966916505</v>
      </c>
      <c r="C717" t="s">
        <v>40</v>
      </c>
      <c r="D717">
        <v>3.921062</v>
      </c>
      <c r="E717">
        <v>0.55812879999999998</v>
      </c>
      <c r="F717" t="s">
        <v>41</v>
      </c>
      <c r="G717">
        <v>-417.4323</v>
      </c>
      <c r="H717">
        <v>0.87702369999999996</v>
      </c>
      <c r="I717">
        <v>367.21370000000002</v>
      </c>
      <c r="J717">
        <v>-418.08870000000002</v>
      </c>
      <c r="K717">
        <v>1.054419</v>
      </c>
      <c r="L717">
        <v>367.24509999999998</v>
      </c>
      <c r="M717">
        <v>0.99993909999999997</v>
      </c>
      <c r="N717">
        <v>0</v>
      </c>
      <c r="O717">
        <v>4.4798169999999997E-3</v>
      </c>
      <c r="P717">
        <v>0.99293540000000002</v>
      </c>
      <c r="Q717">
        <v>2.8983829999999999E-2</v>
      </c>
      <c r="R717">
        <v>0.11506379999999999</v>
      </c>
      <c r="S717">
        <v>3.0552980000000001</v>
      </c>
      <c r="T717">
        <v>-0.67963419999999997</v>
      </c>
      <c r="U717">
        <v>-0.11621090000000001</v>
      </c>
      <c r="V717">
        <v>-0.110612</v>
      </c>
      <c r="W717">
        <v>3.901189E-2</v>
      </c>
      <c r="X717">
        <v>0.99309769999999997</v>
      </c>
      <c r="Y717">
        <v>4.1365810000000003E-2</v>
      </c>
      <c r="Z717">
        <v>-5.5278719999999996E-3</v>
      </c>
      <c r="AA717">
        <v>0.99912880000000004</v>
      </c>
      <c r="AB717">
        <v>19</v>
      </c>
      <c r="AC717">
        <v>0.65640000000001897</v>
      </c>
      <c r="AD717">
        <v>-0.17739530000000001</v>
      </c>
      <c r="AE717">
        <v>-3.1399999999962298E-2</v>
      </c>
      <c r="AF717">
        <v>3.2007937726334798E-2</v>
      </c>
      <c r="AG717">
        <v>-0.17739530000000001</v>
      </c>
      <c r="AH717">
        <v>0.61167910582484597</v>
      </c>
      <c r="AI717">
        <v>106.15193717370499</v>
      </c>
      <c r="AJ717">
        <v>87.004559124319599</v>
      </c>
      <c r="AK717">
        <v>0.63768717177176004</v>
      </c>
      <c r="AL717">
        <v>87.764215972485204</v>
      </c>
      <c r="AM717">
        <v>96.355453960296302</v>
      </c>
      <c r="AN717">
        <v>0.99999999192533096</v>
      </c>
    </row>
    <row r="718" spans="1:40" x14ac:dyDescent="0.3">
      <c r="A718" t="str">
        <f>"20200111145926935"</f>
        <v>20200111145926935</v>
      </c>
      <c r="B718" t="str">
        <f>"1578725966926264"</f>
        <v>1578725966926264</v>
      </c>
      <c r="C718" t="s">
        <v>40</v>
      </c>
      <c r="D718">
        <v>3.9386019999999999</v>
      </c>
      <c r="E718">
        <v>0.5581216</v>
      </c>
      <c r="F718" t="s">
        <v>41</v>
      </c>
      <c r="G718">
        <v>-417.2654</v>
      </c>
      <c r="H718">
        <v>0.87038470000000001</v>
      </c>
      <c r="I718">
        <v>367.21370000000002</v>
      </c>
      <c r="J718">
        <v>-417.97609999999997</v>
      </c>
      <c r="K718">
        <v>1.0544209999999901</v>
      </c>
      <c r="L718">
        <v>367.24560000000002</v>
      </c>
      <c r="M718">
        <v>0.99993929999999998</v>
      </c>
      <c r="N718">
        <v>0</v>
      </c>
      <c r="O718">
        <v>4.4681770000000003E-3</v>
      </c>
      <c r="P718">
        <v>0.99292550000000002</v>
      </c>
      <c r="Q718">
        <v>3.0076309999999998E-2</v>
      </c>
      <c r="R718">
        <v>0.114867899999999</v>
      </c>
      <c r="S718">
        <v>3.0546880000000001</v>
      </c>
      <c r="T718">
        <v>-0.68284299999999998</v>
      </c>
      <c r="U718">
        <v>-0.115387</v>
      </c>
      <c r="V718">
        <v>-0.1104277</v>
      </c>
      <c r="W718">
        <v>4.010681E-2</v>
      </c>
      <c r="X718">
        <v>0.99307460000000003</v>
      </c>
      <c r="Y718">
        <v>4.108883E-2</v>
      </c>
      <c r="Z718">
        <v>-5.5213129999999999E-3</v>
      </c>
      <c r="AA718">
        <v>0.99914029999999998</v>
      </c>
      <c r="AB718">
        <v>19</v>
      </c>
      <c r="AC718">
        <v>0.71069999999997402</v>
      </c>
      <c r="AD718">
        <v>-0.18403629999999899</v>
      </c>
      <c r="AE718">
        <v>-3.1900000000007298E-2</v>
      </c>
      <c r="AF718">
        <v>3.2875336512846097E-2</v>
      </c>
      <c r="AG718">
        <v>-0.18403629999999899</v>
      </c>
      <c r="AH718">
        <v>0.66598237730878096</v>
      </c>
      <c r="AI718">
        <v>105.429612614874</v>
      </c>
      <c r="AJ718">
        <v>87.173963836406102</v>
      </c>
      <c r="AK718">
        <v>0.69172442081682906</v>
      </c>
      <c r="AL718">
        <v>87.701432540471998</v>
      </c>
      <c r="AM718">
        <v>96.345097421653406</v>
      </c>
      <c r="AN718">
        <v>0.99999999715041299</v>
      </c>
    </row>
    <row r="719" spans="1:40" x14ac:dyDescent="0.3">
      <c r="A719" t="str">
        <f>"20200111145926947"</f>
        <v>20200111145926947</v>
      </c>
      <c r="B719" t="str">
        <f>"1578725966936024"</f>
        <v>1578725966936024</v>
      </c>
      <c r="C719" t="s">
        <v>40</v>
      </c>
      <c r="D719">
        <v>3.928642</v>
      </c>
      <c r="E719">
        <v>0.55806579999999995</v>
      </c>
      <c r="F719" t="s">
        <v>41</v>
      </c>
      <c r="G719">
        <v>-417.25450000000001</v>
      </c>
      <c r="H719">
        <v>0.89367350000000001</v>
      </c>
      <c r="I719">
        <v>367.21800000000002</v>
      </c>
      <c r="J719">
        <v>-417.87240000000003</v>
      </c>
      <c r="K719">
        <v>1.0544249999999999</v>
      </c>
      <c r="L719">
        <v>367.24599999999998</v>
      </c>
      <c r="M719">
        <v>0.99993920000000003</v>
      </c>
      <c r="N719">
        <v>0</v>
      </c>
      <c r="O719">
        <v>4.4575530000000004E-3</v>
      </c>
      <c r="P719">
        <v>0.99289289999999997</v>
      </c>
      <c r="Q719">
        <v>3.1431519999999998E-2</v>
      </c>
      <c r="R719">
        <v>0.1147871</v>
      </c>
      <c r="S719">
        <v>3.0553590000000002</v>
      </c>
      <c r="T719">
        <v>-0.68075169999999996</v>
      </c>
      <c r="U719">
        <v>-0.115509</v>
      </c>
      <c r="V719">
        <v>-0.1103572</v>
      </c>
      <c r="W719">
        <v>4.1463710000000001E-2</v>
      </c>
      <c r="X719">
        <v>0.99302670000000004</v>
      </c>
      <c r="Y719">
        <v>4.1116640000000003E-2</v>
      </c>
      <c r="Z719">
        <v>-5.5043469999999997E-3</v>
      </c>
      <c r="AA719">
        <v>0.99913920000000001</v>
      </c>
      <c r="AB719">
        <v>19</v>
      </c>
      <c r="AC719">
        <v>0.61790000000001999</v>
      </c>
      <c r="AD719">
        <v>-0.16075149999999899</v>
      </c>
      <c r="AE719">
        <v>-2.79999999999631E-2</v>
      </c>
      <c r="AF719">
        <v>2.8808369224288002E-2</v>
      </c>
      <c r="AG719">
        <v>-0.16075149999999899</v>
      </c>
      <c r="AH719">
        <v>0.57868284648874302</v>
      </c>
      <c r="AI719">
        <v>105.506409531111</v>
      </c>
      <c r="AJ719">
        <v>87.150016733387702</v>
      </c>
      <c r="AK719">
        <v>0.60128595835087195</v>
      </c>
      <c r="AL719">
        <v>87.623623128887402</v>
      </c>
      <c r="AM719">
        <v>96.341382928002702</v>
      </c>
      <c r="AN719">
        <v>0.99999998887584696</v>
      </c>
    </row>
    <row r="720" spans="1:40" x14ac:dyDescent="0.3">
      <c r="A720" t="str">
        <f>"20200111145926961"</f>
        <v>20200111145926961</v>
      </c>
      <c r="B720" t="str">
        <f>"1578725966956521"</f>
        <v>1578725966956521</v>
      </c>
      <c r="C720" t="s">
        <v>40</v>
      </c>
      <c r="D720">
        <v>3.8879549999999998</v>
      </c>
      <c r="E720">
        <v>0.55808740000000001</v>
      </c>
      <c r="F720" t="s">
        <v>41</v>
      </c>
      <c r="G720">
        <v>-417.09030000000001</v>
      </c>
      <c r="H720">
        <v>0.88127949999999999</v>
      </c>
      <c r="I720">
        <v>367.21609999999998</v>
      </c>
      <c r="J720">
        <v>-417.75790000000001</v>
      </c>
      <c r="K720">
        <v>1.0544249999999999</v>
      </c>
      <c r="L720">
        <v>367.24650000000003</v>
      </c>
      <c r="M720">
        <v>0.99993929999999998</v>
      </c>
      <c r="N720">
        <v>0</v>
      </c>
      <c r="O720">
        <v>4.4457940000000003E-3</v>
      </c>
      <c r="P720">
        <v>0.99285919999999905</v>
      </c>
      <c r="Q720">
        <v>3.1893009999999999E-2</v>
      </c>
      <c r="R720">
        <v>0.1149498</v>
      </c>
      <c r="S720">
        <v>3.056244</v>
      </c>
      <c r="T720">
        <v>-0.67663709999999999</v>
      </c>
      <c r="U720">
        <v>-0.11541750000000001</v>
      </c>
      <c r="V720">
        <v>-0.1105317</v>
      </c>
      <c r="W720">
        <v>4.1927270000000003E-2</v>
      </c>
      <c r="X720">
        <v>0.99298779999999998</v>
      </c>
      <c r="Y720">
        <v>4.1079190000000002E-2</v>
      </c>
      <c r="Z720">
        <v>-5.4636569999999898E-3</v>
      </c>
      <c r="AA720">
        <v>0.99914099999999995</v>
      </c>
      <c r="AB720">
        <v>19</v>
      </c>
      <c r="AC720">
        <v>0.66759999999999298</v>
      </c>
      <c r="AD720">
        <v>-0.17314549999999901</v>
      </c>
      <c r="AE720">
        <v>-3.0400000000042799E-2</v>
      </c>
      <c r="AF720">
        <v>3.12689086145507E-2</v>
      </c>
      <c r="AG720">
        <v>-0.17314549999999901</v>
      </c>
      <c r="AH720">
        <v>0.62547281321869397</v>
      </c>
      <c r="AI720">
        <v>105.454956329365</v>
      </c>
      <c r="AJ720">
        <v>87.138027167202793</v>
      </c>
      <c r="AK720">
        <v>0.64974868133140695</v>
      </c>
      <c r="AL720">
        <v>87.597039914089294</v>
      </c>
      <c r="AM720">
        <v>96.351575006628593</v>
      </c>
      <c r="AN720">
        <v>0.99999996181169004</v>
      </c>
    </row>
    <row r="721" spans="1:40" x14ac:dyDescent="0.3">
      <c r="A721" t="str">
        <f>"20200111145926978"</f>
        <v>20200111145926978</v>
      </c>
      <c r="B721" t="str">
        <f>"1578725966966281"</f>
        <v>1578725966966281</v>
      </c>
      <c r="C721" t="s">
        <v>40</v>
      </c>
      <c r="D721">
        <v>3.9058950000000001</v>
      </c>
      <c r="E721">
        <v>0.55803190000000003</v>
      </c>
      <c r="F721" t="s">
        <v>41</v>
      </c>
      <c r="G721">
        <v>-416.92469999999997</v>
      </c>
      <c r="H721">
        <v>0.87064909999999995</v>
      </c>
      <c r="I721">
        <v>367.21480000000003</v>
      </c>
      <c r="J721">
        <v>-417.60750000000002</v>
      </c>
      <c r="K721">
        <v>1.0544249999999999</v>
      </c>
      <c r="L721">
        <v>367.24709999999999</v>
      </c>
      <c r="M721">
        <v>0.99993920000000003</v>
      </c>
      <c r="N721">
        <v>0</v>
      </c>
      <c r="O721">
        <v>4.4306320000000003E-3</v>
      </c>
      <c r="P721">
        <v>0.99287919999999996</v>
      </c>
      <c r="Q721">
        <v>3.1089559999999999E-2</v>
      </c>
      <c r="R721">
        <v>0.1149984</v>
      </c>
      <c r="S721">
        <v>3.056549</v>
      </c>
      <c r="T721">
        <v>-0.67431350000000001</v>
      </c>
      <c r="U721">
        <v>-0.1150513</v>
      </c>
      <c r="V721">
        <v>-0.1105955</v>
      </c>
      <c r="W721">
        <v>4.112735E-2</v>
      </c>
      <c r="X721">
        <v>0.99301419999999996</v>
      </c>
      <c r="Y721">
        <v>4.0951840000000003E-2</v>
      </c>
      <c r="Z721">
        <v>-5.4276359999999996E-3</v>
      </c>
      <c r="AA721">
        <v>0.99914639999999999</v>
      </c>
      <c r="AB721">
        <v>19</v>
      </c>
      <c r="AC721">
        <v>0.68280000000004204</v>
      </c>
      <c r="AD721">
        <v>-0.18377589999999999</v>
      </c>
      <c r="AE721">
        <v>-3.2299999999963802E-2</v>
      </c>
      <c r="AF721">
        <v>3.29438824362214E-2</v>
      </c>
      <c r="AG721">
        <v>-0.18377589999999999</v>
      </c>
      <c r="AH721">
        <v>0.63663414038055099</v>
      </c>
      <c r="AI721">
        <v>106.08133401878101</v>
      </c>
      <c r="AJ721">
        <v>87.037759654876695</v>
      </c>
      <c r="AK721">
        <v>0.66344699073013003</v>
      </c>
      <c r="AL721">
        <v>87.642911646760993</v>
      </c>
      <c r="AM721">
        <v>96.355043635631404</v>
      </c>
      <c r="AN721">
        <v>1.00000001246995</v>
      </c>
    </row>
    <row r="722" spans="1:40" x14ac:dyDescent="0.3">
      <c r="A722" t="str">
        <f>"20200111145926991"</f>
        <v>20200111145926991</v>
      </c>
      <c r="B722" t="str">
        <f>"1578725966986777"</f>
        <v>1578725966986777</v>
      </c>
      <c r="C722" t="s">
        <v>40</v>
      </c>
      <c r="D722">
        <v>3.8741310000000002</v>
      </c>
      <c r="E722">
        <v>0.56559820000000005</v>
      </c>
      <c r="F722" t="s">
        <v>41</v>
      </c>
      <c r="G722">
        <v>-416.91079999999999</v>
      </c>
      <c r="H722">
        <v>0.900327399999999</v>
      </c>
      <c r="I722">
        <v>367.22070000000002</v>
      </c>
      <c r="J722">
        <v>-417.49369999999999</v>
      </c>
      <c r="K722">
        <v>1.054422</v>
      </c>
      <c r="L722">
        <v>367.24770000000001</v>
      </c>
      <c r="M722">
        <v>0.99993929999999998</v>
      </c>
      <c r="N722">
        <v>0</v>
      </c>
      <c r="O722">
        <v>4.4184589999999996E-3</v>
      </c>
      <c r="P722">
        <v>0.99290679999999998</v>
      </c>
      <c r="Q722">
        <v>3.0460999999999998E-2</v>
      </c>
      <c r="R722">
        <v>0.11492810000000001</v>
      </c>
      <c r="S722">
        <v>3.056</v>
      </c>
      <c r="T722">
        <v>-0.676075599999999</v>
      </c>
      <c r="U722">
        <v>-0.1144714</v>
      </c>
      <c r="V722">
        <v>-0.1105368</v>
      </c>
      <c r="W722">
        <v>4.0501299999999997E-2</v>
      </c>
      <c r="X722">
        <v>0.99304650000000005</v>
      </c>
      <c r="Y722">
        <v>4.0756109999999998E-2</v>
      </c>
      <c r="Z722">
        <v>-5.4184130000000004E-3</v>
      </c>
      <c r="AA722">
        <v>0.9991544</v>
      </c>
      <c r="AB722">
        <v>19</v>
      </c>
      <c r="AC722">
        <v>0.58289999999999498</v>
      </c>
      <c r="AD722">
        <v>-0.1540946</v>
      </c>
      <c r="AE722">
        <v>-2.6999999999986798E-2</v>
      </c>
      <c r="AF722">
        <v>2.7647374943760399E-2</v>
      </c>
      <c r="AG722">
        <v>-0.1540946</v>
      </c>
      <c r="AH722">
        <v>0.54478404197921304</v>
      </c>
      <c r="AI722">
        <v>105.77450445893</v>
      </c>
      <c r="AJ722">
        <v>87.094775265940399</v>
      </c>
      <c r="AK722">
        <v>0.56683258153148697</v>
      </c>
      <c r="AL722">
        <v>87.678811659618205</v>
      </c>
      <c r="AM722">
        <v>96.351493280121801</v>
      </c>
      <c r="AN722">
        <v>1.00000004530908</v>
      </c>
    </row>
    <row r="723" spans="1:40" x14ac:dyDescent="0.3">
      <c r="A723" t="str">
        <f>"20200111145927006"</f>
        <v>20200111145927006</v>
      </c>
      <c r="B723" t="str">
        <f>"1578725966986777"</f>
        <v>1578725966986777</v>
      </c>
      <c r="C723" t="s">
        <v>40</v>
      </c>
      <c r="D723">
        <v>3.8741310000000002</v>
      </c>
      <c r="E723">
        <v>0.56559820000000005</v>
      </c>
      <c r="F723" t="s">
        <v>41</v>
      </c>
      <c r="G723">
        <v>-416.69760000000002</v>
      </c>
      <c r="H723">
        <v>0.98826380000000003</v>
      </c>
      <c r="I723">
        <v>367.20139999999998</v>
      </c>
      <c r="J723">
        <v>-417.37729999999999</v>
      </c>
      <c r="K723">
        <v>1.0544199999999999</v>
      </c>
      <c r="L723">
        <v>367.24810000000002</v>
      </c>
      <c r="M723">
        <v>0.99993929999999998</v>
      </c>
      <c r="N723">
        <v>0</v>
      </c>
      <c r="O723">
        <v>4.4060469999999997E-3</v>
      </c>
      <c r="P723">
        <v>0.99294749999999998</v>
      </c>
      <c r="Q723">
        <v>2.9869400000000001E-2</v>
      </c>
      <c r="R723">
        <v>0.1147309</v>
      </c>
      <c r="S723">
        <v>3.0494690000000002</v>
      </c>
      <c r="T723">
        <v>-0.25390499999999999</v>
      </c>
      <c r="U723">
        <v>-0.17477419999999999</v>
      </c>
      <c r="V723">
        <v>-0.1103519</v>
      </c>
      <c r="W723">
        <v>3.9912879999999998E-2</v>
      </c>
      <c r="X723">
        <v>0.9930909</v>
      </c>
      <c r="Y723">
        <v>6.1390630000000002E-2</v>
      </c>
      <c r="Z723">
        <v>-2.9152129999999998E-3</v>
      </c>
      <c r="AA723">
        <v>0.99810960000000004</v>
      </c>
      <c r="AB723">
        <v>19</v>
      </c>
      <c r="AC723">
        <v>0.679699999999968</v>
      </c>
      <c r="AD723">
        <v>-6.6156199999999998E-2</v>
      </c>
      <c r="AE723">
        <v>-4.6700000000043901E-2</v>
      </c>
      <c r="AF723">
        <v>4.9230301695098698E-2</v>
      </c>
      <c r="AG723">
        <v>-6.6156199999999998E-2</v>
      </c>
      <c r="AH723">
        <v>0.67314064976947197</v>
      </c>
      <c r="AI723">
        <v>95.598142037764902</v>
      </c>
      <c r="AJ723">
        <v>85.817106684051197</v>
      </c>
      <c r="AK723">
        <v>0.67817298661587599</v>
      </c>
      <c r="AL723">
        <v>87.712552953882906</v>
      </c>
      <c r="AM723">
        <v>96.340674267612997</v>
      </c>
      <c r="AN723">
        <v>1.00000005774315</v>
      </c>
    </row>
    <row r="724" spans="1:40" x14ac:dyDescent="0.3">
      <c r="A724" t="str">
        <f>"20200111145927022"</f>
        <v>20200111145927022</v>
      </c>
      <c r="B724" t="str">
        <f>"1578725967016056"</f>
        <v>1578725967016056</v>
      </c>
      <c r="C724" t="s">
        <v>40</v>
      </c>
      <c r="D724">
        <v>3.9089640000000001</v>
      </c>
      <c r="E724">
        <v>0.56513679999999999</v>
      </c>
      <c r="F724" t="s">
        <v>41</v>
      </c>
      <c r="G724">
        <v>-416.52910000000003</v>
      </c>
      <c r="H724">
        <v>0.98332249999999999</v>
      </c>
      <c r="I724">
        <v>367.19900000000001</v>
      </c>
      <c r="J724">
        <v>-417.23110000000003</v>
      </c>
      <c r="K724">
        <v>1.0544180000000001</v>
      </c>
      <c r="L724">
        <v>367.24880000000002</v>
      </c>
      <c r="M724">
        <v>0.99993940000000003</v>
      </c>
      <c r="N724">
        <v>0</v>
      </c>
      <c r="O724">
        <v>4.3890379999999996E-3</v>
      </c>
      <c r="P724">
        <v>0.99290129999999999</v>
      </c>
      <c r="Q724">
        <v>3.023406E-2</v>
      </c>
      <c r="R724">
        <v>0.1150366</v>
      </c>
      <c r="S724">
        <v>3.049255</v>
      </c>
      <c r="T724">
        <v>-0.25568469999999999</v>
      </c>
      <c r="U724">
        <v>-0.17535400000000001</v>
      </c>
      <c r="V724">
        <v>-0.1106751</v>
      </c>
      <c r="W724">
        <v>4.0280240000000002E-2</v>
      </c>
      <c r="X724">
        <v>0.99304000000000003</v>
      </c>
      <c r="Y724">
        <v>6.1563069999999998E-2</v>
      </c>
      <c r="Z724">
        <v>-2.941553E-3</v>
      </c>
      <c r="AA724">
        <v>0.99809890000000001</v>
      </c>
      <c r="AB724">
        <v>19</v>
      </c>
      <c r="AC724">
        <v>0.70199999999999796</v>
      </c>
      <c r="AD724">
        <v>-7.1095500000000006E-2</v>
      </c>
      <c r="AE724">
        <v>-4.9800000000004702E-2</v>
      </c>
      <c r="AF724">
        <v>5.2346564545986601E-2</v>
      </c>
      <c r="AG724">
        <v>-7.1095500000000006E-2</v>
      </c>
      <c r="AH724">
        <v>0.69468511530092603</v>
      </c>
      <c r="AI724">
        <v>95.827017643135605</v>
      </c>
      <c r="AJ724">
        <v>85.690738445064696</v>
      </c>
      <c r="AK724">
        <v>0.70027290563085298</v>
      </c>
      <c r="AL724">
        <v>87.691487607935002</v>
      </c>
      <c r="AM724">
        <v>96.359416279034903</v>
      </c>
      <c r="AN724">
        <v>0.999999958547232</v>
      </c>
    </row>
    <row r="725" spans="1:40" x14ac:dyDescent="0.3">
      <c r="A725" t="str">
        <f>"20200111145927034"</f>
        <v>20200111145927034</v>
      </c>
      <c r="B725" t="str">
        <f>"1578725967026793"</f>
        <v>1578725967026793</v>
      </c>
      <c r="C725" t="s">
        <v>40</v>
      </c>
      <c r="D725">
        <v>3.8568730000000002</v>
      </c>
      <c r="E725">
        <v>0.56443549999999998</v>
      </c>
      <c r="F725" t="s">
        <v>41</v>
      </c>
      <c r="G725">
        <v>-416.36070000000001</v>
      </c>
      <c r="H725">
        <v>0.97786620000000002</v>
      </c>
      <c r="I725">
        <v>367.1995</v>
      </c>
      <c r="J725">
        <v>-417.1223</v>
      </c>
      <c r="K725">
        <v>1.054414</v>
      </c>
      <c r="L725">
        <v>367.24930000000001</v>
      </c>
      <c r="M725">
        <v>0.99993929999999998</v>
      </c>
      <c r="N725">
        <v>0</v>
      </c>
      <c r="O725">
        <v>4.3753660000000003E-3</v>
      </c>
      <c r="P725">
        <v>0.99288829999999995</v>
      </c>
      <c r="Q725">
        <v>3.003169E-2</v>
      </c>
      <c r="R725">
        <v>0.1151998</v>
      </c>
      <c r="S725">
        <v>3.0494690000000002</v>
      </c>
      <c r="T725">
        <v>-0.26856020000000003</v>
      </c>
      <c r="U725">
        <v>-0.1708374</v>
      </c>
      <c r="V725">
        <v>-0.1108517</v>
      </c>
      <c r="W725">
        <v>4.0080129999999999E-2</v>
      </c>
      <c r="X725">
        <v>0.99302849999999998</v>
      </c>
      <c r="Y725">
        <v>6.00539E-2</v>
      </c>
      <c r="Z725">
        <v>-3.0215609999999999E-3</v>
      </c>
      <c r="AA725">
        <v>0.99819060000000004</v>
      </c>
      <c r="AB725">
        <v>19</v>
      </c>
      <c r="AC725">
        <v>0.76159999999998695</v>
      </c>
      <c r="AD725">
        <v>-7.6547799999999902E-2</v>
      </c>
      <c r="AE725">
        <v>-4.9800000000004702E-2</v>
      </c>
      <c r="AF725">
        <v>5.2602835832924501E-2</v>
      </c>
      <c r="AG725">
        <v>-7.6547799999999902E-2</v>
      </c>
      <c r="AH725">
        <v>0.75379234130695205</v>
      </c>
      <c r="AI725">
        <v>95.784550793975697</v>
      </c>
      <c r="AJ725">
        <v>86.008128332472793</v>
      </c>
      <c r="AK725">
        <v>0.75949293468440005</v>
      </c>
      <c r="AL725">
        <v>87.702962564177</v>
      </c>
      <c r="AM725">
        <v>96.369553579490699</v>
      </c>
      <c r="AN725">
        <v>1.0000000590129701</v>
      </c>
    </row>
    <row r="726" spans="1:40" x14ac:dyDescent="0.3">
      <c r="A726" t="str">
        <f>"20200111145927047"</f>
        <v>20200111145927047</v>
      </c>
      <c r="B726" t="str">
        <f>"1578725967036552"</f>
        <v>1578725967036552</v>
      </c>
      <c r="C726" t="s">
        <v>40</v>
      </c>
      <c r="D726">
        <v>3.9907339999999998</v>
      </c>
      <c r="E726">
        <v>0.56506529999999999</v>
      </c>
      <c r="F726" t="s">
        <v>41</v>
      </c>
      <c r="G726">
        <v>-416.35570000000001</v>
      </c>
      <c r="H726">
        <v>0.98796680000000003</v>
      </c>
      <c r="I726">
        <v>367.2072</v>
      </c>
      <c r="J726">
        <v>-417.01949999999999</v>
      </c>
      <c r="K726">
        <v>1.054406</v>
      </c>
      <c r="L726">
        <v>367.24970000000002</v>
      </c>
      <c r="M726">
        <v>0.99993960000000004</v>
      </c>
      <c r="N726">
        <v>0</v>
      </c>
      <c r="O726">
        <v>4.3612140000000004E-3</v>
      </c>
      <c r="P726">
        <v>0.99289079999999996</v>
      </c>
      <c r="Q726">
        <v>2.9400949999999999E-2</v>
      </c>
      <c r="R726">
        <v>0.115342</v>
      </c>
      <c r="S726">
        <v>3.048645</v>
      </c>
      <c r="T726">
        <v>-0.26468120000000001</v>
      </c>
      <c r="U726">
        <v>-0.16503909999999999</v>
      </c>
      <c r="V726">
        <v>-0.11100790000000001</v>
      </c>
      <c r="W726">
        <v>3.945216E-2</v>
      </c>
      <c r="X726">
        <v>0.99303620000000004</v>
      </c>
      <c r="Y726">
        <v>5.8176039999999998E-2</v>
      </c>
      <c r="Z726">
        <v>-2.8965079999999999E-3</v>
      </c>
      <c r="AA726">
        <v>0.99830220000000003</v>
      </c>
      <c r="AB726">
        <v>19</v>
      </c>
      <c r="AC726">
        <v>0.66379999999997996</v>
      </c>
      <c r="AD726">
        <v>-6.6439200000000004E-2</v>
      </c>
      <c r="AE726">
        <v>-4.25000000000181E-2</v>
      </c>
      <c r="AF726">
        <v>4.49462902179424E-2</v>
      </c>
      <c r="AG726">
        <v>-6.6439200000000004E-2</v>
      </c>
      <c r="AH726">
        <v>0.65705294327189501</v>
      </c>
      <c r="AI726">
        <v>95.760578551326603</v>
      </c>
      <c r="AJ726">
        <v>86.086727588269795</v>
      </c>
      <c r="AK726">
        <v>0.66193119473496298</v>
      </c>
      <c r="AL726">
        <v>87.738971079238596</v>
      </c>
      <c r="AM726">
        <v>96.378405881238706</v>
      </c>
      <c r="AN726">
        <v>1.00000006065075</v>
      </c>
    </row>
    <row r="727" spans="1:40" x14ac:dyDescent="0.3">
      <c r="A727" t="str">
        <f>"20200111145927059"</f>
        <v>20200111145927059</v>
      </c>
      <c r="B727" t="str">
        <f>"1578725967056073"</f>
        <v>1578725967056073</v>
      </c>
      <c r="C727" t="s">
        <v>40</v>
      </c>
      <c r="D727">
        <v>4.0348040000000003</v>
      </c>
      <c r="E727">
        <v>0.56485719999999995</v>
      </c>
      <c r="F727" t="s">
        <v>41</v>
      </c>
      <c r="G727">
        <v>-416.18770000000001</v>
      </c>
      <c r="H727">
        <v>0.98084340000000003</v>
      </c>
      <c r="I727">
        <v>367.20319999999998</v>
      </c>
      <c r="J727">
        <v>-416.91950000000003</v>
      </c>
      <c r="K727">
        <v>1.0544009999999999</v>
      </c>
      <c r="L727">
        <v>367.25009999999997</v>
      </c>
      <c r="M727">
        <v>0.99993949999999998</v>
      </c>
      <c r="N727">
        <v>0</v>
      </c>
      <c r="O727">
        <v>4.347058E-3</v>
      </c>
      <c r="P727">
        <v>0.99288430000000005</v>
      </c>
      <c r="Q727">
        <v>2.86685E-2</v>
      </c>
      <c r="R727">
        <v>0.11558110000000001</v>
      </c>
      <c r="S727">
        <v>3.0491640000000002</v>
      </c>
      <c r="T727">
        <v>-0.269847</v>
      </c>
      <c r="U727">
        <v>-0.16952509999999901</v>
      </c>
      <c r="V727">
        <v>-0.111260999999999</v>
      </c>
      <c r="W727">
        <v>3.8722189999999997E-2</v>
      </c>
      <c r="X727">
        <v>0.99303660000000005</v>
      </c>
      <c r="Y727">
        <v>5.96024E-2</v>
      </c>
      <c r="Z727">
        <v>-3.0138980000000001E-3</v>
      </c>
      <c r="AA727">
        <v>0.99821760000000004</v>
      </c>
      <c r="AB727">
        <v>19</v>
      </c>
      <c r="AC727">
        <v>0.73180000000002099</v>
      </c>
      <c r="AD727">
        <v>-7.3557599999999695E-2</v>
      </c>
      <c r="AE727">
        <v>-4.6899999999993697E-2</v>
      </c>
      <c r="AF727">
        <v>4.9581995532163102E-2</v>
      </c>
      <c r="AG727">
        <v>-7.3557599999999695E-2</v>
      </c>
      <c r="AH727">
        <v>0.724301181037598</v>
      </c>
      <c r="AI727">
        <v>95.785438248690497</v>
      </c>
      <c r="AJ727">
        <v>86.083930100496502</v>
      </c>
      <c r="AK727">
        <v>0.72971315984513396</v>
      </c>
      <c r="AL727">
        <v>87.7808272483054</v>
      </c>
      <c r="AM727">
        <v>96.392825944453193</v>
      </c>
      <c r="AN727">
        <v>1.00000005352947</v>
      </c>
    </row>
    <row r="728" spans="1:40" x14ac:dyDescent="0.3">
      <c r="A728" t="str">
        <f>"20200111145927070"</f>
        <v>20200111145927070</v>
      </c>
      <c r="B728" t="str">
        <f>"1578725967066808"</f>
        <v>1578725967066808</v>
      </c>
      <c r="C728" t="s">
        <v>40</v>
      </c>
      <c r="D728">
        <v>4.0185870000000001</v>
      </c>
      <c r="E728">
        <v>0.56474959999999996</v>
      </c>
      <c r="F728" t="s">
        <v>41</v>
      </c>
      <c r="G728">
        <v>-416.18419999999998</v>
      </c>
      <c r="H728">
        <v>0.98799590000000004</v>
      </c>
      <c r="I728">
        <v>367.20949999999999</v>
      </c>
      <c r="J728">
        <v>-416.82220000000001</v>
      </c>
      <c r="K728">
        <v>1.0543940000000001</v>
      </c>
      <c r="L728">
        <v>367.25049999999999</v>
      </c>
      <c r="M728">
        <v>0.99993949999999998</v>
      </c>
      <c r="N728">
        <v>0</v>
      </c>
      <c r="O728">
        <v>4.3305139999999997E-3</v>
      </c>
      <c r="P728">
        <v>0.99288370000000004</v>
      </c>
      <c r="Q728">
        <v>2.818644E-2</v>
      </c>
      <c r="R728">
        <v>0.1157054</v>
      </c>
      <c r="S728">
        <v>3.0489199999999999</v>
      </c>
      <c r="T728">
        <v>-0.27556000000000003</v>
      </c>
      <c r="U728">
        <v>-0.1674194</v>
      </c>
      <c r="V728">
        <v>-0.1114009</v>
      </c>
      <c r="W728">
        <v>3.8242850000000002E-2</v>
      </c>
      <c r="X728">
        <v>0.99303940000000002</v>
      </c>
      <c r="Y728">
        <v>5.8895250000000003E-2</v>
      </c>
      <c r="Z728">
        <v>-3.044396E-3</v>
      </c>
      <c r="AA728">
        <v>0.99825949999999997</v>
      </c>
      <c r="AB728">
        <v>19</v>
      </c>
      <c r="AC728">
        <v>0.63800000000003299</v>
      </c>
      <c r="AD728">
        <v>-6.6398100000000002E-2</v>
      </c>
      <c r="AE728">
        <v>-4.0999999999996803E-2</v>
      </c>
      <c r="AF728">
        <v>4.3295617006840197E-2</v>
      </c>
      <c r="AG728">
        <v>-6.6398100000000002E-2</v>
      </c>
      <c r="AH728">
        <v>0.63101007372149598</v>
      </c>
      <c r="AI728">
        <v>95.992862410042804</v>
      </c>
      <c r="AJ728">
        <v>86.074905296349101</v>
      </c>
      <c r="AK728">
        <v>0.63596928485078597</v>
      </c>
      <c r="AL728">
        <v>87.808311566103995</v>
      </c>
      <c r="AM728">
        <v>96.400779737382607</v>
      </c>
      <c r="AN728">
        <v>0.999999963024645</v>
      </c>
    </row>
    <row r="729" spans="1:40" x14ac:dyDescent="0.3">
      <c r="A729" t="str">
        <f>"20200111145927082"</f>
        <v>20200111145927082</v>
      </c>
      <c r="B729" t="str">
        <f>"1578725967076569"</f>
        <v>1578725967076569</v>
      </c>
      <c r="C729" t="s">
        <v>40</v>
      </c>
      <c r="D729">
        <v>4.0051040000000002</v>
      </c>
      <c r="E729">
        <v>0.56473669999999998</v>
      </c>
      <c r="F729" t="s">
        <v>41</v>
      </c>
      <c r="G729">
        <v>-416.01620000000003</v>
      </c>
      <c r="H729">
        <v>0.98053299999999999</v>
      </c>
      <c r="I729">
        <v>367.20620000000002</v>
      </c>
      <c r="J729">
        <v>-416.71940000000001</v>
      </c>
      <c r="K729">
        <v>1.0543929999999999</v>
      </c>
      <c r="L729">
        <v>367.2509</v>
      </c>
      <c r="M729">
        <v>0.99993960000000004</v>
      </c>
      <c r="N729">
        <v>0</v>
      </c>
      <c r="O729">
        <v>4.3121779999999998E-3</v>
      </c>
      <c r="P729">
        <v>0.99289760000000005</v>
      </c>
      <c r="Q729">
        <v>2.81894E-2</v>
      </c>
      <c r="R729">
        <v>0.11558450000000001</v>
      </c>
      <c r="S729">
        <v>3.0487669999999998</v>
      </c>
      <c r="T729">
        <v>-0.27966089999999999</v>
      </c>
      <c r="U729">
        <v>-0.1661987</v>
      </c>
      <c r="V729">
        <v>-0.1112986</v>
      </c>
      <c r="W729">
        <v>3.8248570000000003E-2</v>
      </c>
      <c r="X729">
        <v>0.99305069999999995</v>
      </c>
      <c r="Y729">
        <v>5.8475270000000003E-2</v>
      </c>
      <c r="Z729">
        <v>-3.0688180000000001E-3</v>
      </c>
      <c r="AA729">
        <v>0.99828419999999896</v>
      </c>
      <c r="AB729">
        <v>19</v>
      </c>
      <c r="AC729">
        <v>0.70319999999998095</v>
      </c>
      <c r="AD729">
        <v>-7.3860000000000106E-2</v>
      </c>
      <c r="AE729">
        <v>-4.4699999999977501E-2</v>
      </c>
      <c r="AF729">
        <v>4.7213294077084203E-2</v>
      </c>
      <c r="AG729">
        <v>-7.3860000000000106E-2</v>
      </c>
      <c r="AH729">
        <v>0.69536023873304398</v>
      </c>
      <c r="AI729">
        <v>96.049303629251</v>
      </c>
      <c r="AJ729">
        <v>86.115715495623405</v>
      </c>
      <c r="AK729">
        <v>0.70086393568829397</v>
      </c>
      <c r="AL729">
        <v>87.807983701947293</v>
      </c>
      <c r="AM729">
        <v>96.394878419835905</v>
      </c>
      <c r="AN729">
        <v>1.0000000121197401</v>
      </c>
    </row>
    <row r="730" spans="1:40" x14ac:dyDescent="0.3">
      <c r="A730" t="str">
        <f>"20200111145927094"</f>
        <v>20200111145927094</v>
      </c>
      <c r="B730" t="str">
        <f>"1578725967086329"</f>
        <v>1578725967086329</v>
      </c>
      <c r="C730" t="s">
        <v>40</v>
      </c>
      <c r="D730">
        <v>4.017963</v>
      </c>
      <c r="E730">
        <v>0.56499169999999999</v>
      </c>
      <c r="F730" t="s">
        <v>41</v>
      </c>
      <c r="G730">
        <v>-415.84730000000002</v>
      </c>
      <c r="H730">
        <v>0.97439799999999999</v>
      </c>
      <c r="I730">
        <v>367.20330000000001</v>
      </c>
      <c r="J730">
        <v>-416.60849999999999</v>
      </c>
      <c r="K730">
        <v>1.0543910000000001</v>
      </c>
      <c r="L730">
        <v>367.25139999999999</v>
      </c>
      <c r="M730">
        <v>0.99993969999999999</v>
      </c>
      <c r="N730">
        <v>0</v>
      </c>
      <c r="O730">
        <v>4.289536E-3</v>
      </c>
      <c r="P730">
        <v>0.99290670000000003</v>
      </c>
      <c r="Q730">
        <v>2.8053080000000001E-2</v>
      </c>
      <c r="R730">
        <v>0.11553919999999999</v>
      </c>
      <c r="S730">
        <v>3.0487980000000001</v>
      </c>
      <c r="T730">
        <v>-0.279647599999999</v>
      </c>
      <c r="U730">
        <v>-0.16665650000000001</v>
      </c>
      <c r="V730">
        <v>-0.111275</v>
      </c>
      <c r="W730">
        <v>3.8115629999999998E-2</v>
      </c>
      <c r="X730">
        <v>0.99305840000000001</v>
      </c>
      <c r="Y730">
        <v>5.8601159999999999E-2</v>
      </c>
      <c r="Z730">
        <v>-3.0723149999999999E-3</v>
      </c>
      <c r="AA730">
        <v>0.99827679999999996</v>
      </c>
      <c r="AB730">
        <v>19</v>
      </c>
      <c r="AC730">
        <v>0.76119999999997301</v>
      </c>
      <c r="AD730">
        <v>-7.9992999999999995E-2</v>
      </c>
      <c r="AE730">
        <v>-4.8099999999976703E-2</v>
      </c>
      <c r="AF730">
        <v>5.0806074066552798E-2</v>
      </c>
      <c r="AG730">
        <v>-7.9992999999999995E-2</v>
      </c>
      <c r="AH730">
        <v>0.75270720254061996</v>
      </c>
      <c r="AI730">
        <v>96.0525973143382</v>
      </c>
      <c r="AJ730">
        <v>86.138518535288497</v>
      </c>
      <c r="AK730">
        <v>0.75864897677884102</v>
      </c>
      <c r="AL730">
        <v>87.815606039205704</v>
      </c>
      <c r="AM730">
        <v>96.3934845015024</v>
      </c>
      <c r="AN730">
        <v>0.99999995634292704</v>
      </c>
    </row>
    <row r="731" spans="1:40" x14ac:dyDescent="0.3">
      <c r="A731" t="str">
        <f>"20200111145927111"</f>
        <v>20200111145927111</v>
      </c>
      <c r="B731" t="str">
        <f>"1578725967106824"</f>
        <v>1578725967106824</v>
      </c>
      <c r="C731" t="s">
        <v>40</v>
      </c>
      <c r="D731">
        <v>4.0854520000000001</v>
      </c>
      <c r="E731">
        <v>0.56590379999999996</v>
      </c>
      <c r="F731" t="s">
        <v>41</v>
      </c>
      <c r="G731">
        <v>-415.84269999999998</v>
      </c>
      <c r="H731">
        <v>0.98390650000000002</v>
      </c>
      <c r="I731">
        <v>367.209</v>
      </c>
      <c r="J731">
        <v>-416.46510000000001</v>
      </c>
      <c r="K731">
        <v>1.054386</v>
      </c>
      <c r="L731">
        <v>367.25200000000001</v>
      </c>
      <c r="M731">
        <v>0.99993980000000005</v>
      </c>
      <c r="N731">
        <v>0</v>
      </c>
      <c r="O731">
        <v>4.2566870000000003E-3</v>
      </c>
      <c r="P731">
        <v>0.99287800000000004</v>
      </c>
      <c r="Q731">
        <v>2.9187459999999998E-2</v>
      </c>
      <c r="R731">
        <v>0.1155061</v>
      </c>
      <c r="S731">
        <v>3.0489809999999999</v>
      </c>
      <c r="T731">
        <v>-0.28056629999999999</v>
      </c>
      <c r="U731">
        <v>-0.16879269999999999</v>
      </c>
      <c r="V731">
        <v>-0.1112744</v>
      </c>
      <c r="W731">
        <v>3.9253469999999999E-2</v>
      </c>
      <c r="X731">
        <v>0.99301419999999996</v>
      </c>
      <c r="Y731">
        <v>5.9258089999999999E-2</v>
      </c>
      <c r="Z731">
        <v>-3.1092469999999999E-3</v>
      </c>
      <c r="AA731">
        <v>0.99823779999999995</v>
      </c>
      <c r="AB731">
        <v>19</v>
      </c>
      <c r="AC731">
        <v>0.62240000000002704</v>
      </c>
      <c r="AD731">
        <v>-7.04795E-2</v>
      </c>
      <c r="AE731">
        <v>-4.2999999999949502E-2</v>
      </c>
      <c r="AF731">
        <v>4.50738754288426E-2</v>
      </c>
      <c r="AG731">
        <v>-7.04795E-2</v>
      </c>
      <c r="AH731">
        <v>0.61437071941875498</v>
      </c>
      <c r="AI731">
        <v>96.526870313596405</v>
      </c>
      <c r="AJ731">
        <v>85.803959904032197</v>
      </c>
      <c r="AK731">
        <v>0.62004063983382895</v>
      </c>
      <c r="AL731">
        <v>87.750363897660094</v>
      </c>
      <c r="AM731">
        <v>96.393732534921398</v>
      </c>
      <c r="AN731">
        <v>1.00000001420202</v>
      </c>
    </row>
    <row r="732" spans="1:40" x14ac:dyDescent="0.3">
      <c r="A732" t="str">
        <f>"20200111145927137"</f>
        <v>20200111145927137</v>
      </c>
      <c r="B732" t="str">
        <f>"1578725967126370"</f>
        <v>1578725967126370</v>
      </c>
      <c r="C732" t="s">
        <v>40</v>
      </c>
      <c r="D732">
        <v>4.0861169999999998</v>
      </c>
      <c r="E732">
        <v>0.56618710000000005</v>
      </c>
      <c r="F732" t="s">
        <v>41</v>
      </c>
      <c r="G732">
        <v>-415.67140000000001</v>
      </c>
      <c r="H732">
        <v>0.98199029999999998</v>
      </c>
      <c r="I732">
        <v>367.20569999999998</v>
      </c>
      <c r="J732">
        <v>-416.2482</v>
      </c>
      <c r="K732">
        <v>1.0543830000000001</v>
      </c>
      <c r="L732">
        <v>367.25279999999998</v>
      </c>
      <c r="M732">
        <v>0.99994000000000005</v>
      </c>
      <c r="N732">
        <v>0</v>
      </c>
      <c r="O732">
        <v>4.2003850000000001E-3</v>
      </c>
      <c r="P732">
        <v>0.99290040000000002</v>
      </c>
      <c r="Q732">
        <v>2.9227840000000001E-2</v>
      </c>
      <c r="R732">
        <v>0.11530360000000001</v>
      </c>
      <c r="S732">
        <v>3.0502009999999999</v>
      </c>
      <c r="T732">
        <v>-0.27851409999999999</v>
      </c>
      <c r="U732">
        <v>-0.17611689999999999</v>
      </c>
      <c r="V732">
        <v>-0.1111274</v>
      </c>
      <c r="W732">
        <v>3.9299689999999998E-2</v>
      </c>
      <c r="X732">
        <v>0.99302880000000004</v>
      </c>
      <c r="Y732">
        <v>6.1563859999999998E-2</v>
      </c>
      <c r="Z732">
        <v>-3.1850020000000001E-3</v>
      </c>
      <c r="AA732">
        <v>0.99809809999999999</v>
      </c>
      <c r="AB732">
        <v>19</v>
      </c>
      <c r="AC732">
        <v>0.57679999999999099</v>
      </c>
      <c r="AD732">
        <v>-7.2392700000000004E-2</v>
      </c>
      <c r="AE732">
        <v>-4.7100000000000301E-2</v>
      </c>
      <c r="AF732">
        <v>4.8759512264726398E-2</v>
      </c>
      <c r="AG732">
        <v>-7.2392700000000004E-2</v>
      </c>
      <c r="AH732">
        <v>0.56771360369528201</v>
      </c>
      <c r="AI732">
        <v>97.240551575023204</v>
      </c>
      <c r="AJ732">
        <v>85.091054611903502</v>
      </c>
      <c r="AK732">
        <v>0.57438395596522995</v>
      </c>
      <c r="AL732">
        <v>87.747713567283796</v>
      </c>
      <c r="AM732">
        <v>96.385262744014497</v>
      </c>
      <c r="AN732">
        <v>0.99999998114714705</v>
      </c>
    </row>
    <row r="733" spans="1:40" x14ac:dyDescent="0.3">
      <c r="A733" t="str">
        <f>"20200111145927148"</f>
        <v>20200111145927148</v>
      </c>
      <c r="B733" t="str">
        <f>"1578725967146865"</f>
        <v>1578725967146865</v>
      </c>
      <c r="C733" t="s">
        <v>40</v>
      </c>
      <c r="D733">
        <v>4.0365440000000001</v>
      </c>
      <c r="E733">
        <v>0.56550619999999996</v>
      </c>
      <c r="F733" t="s">
        <v>41</v>
      </c>
      <c r="G733">
        <v>-415.49709999999999</v>
      </c>
      <c r="H733">
        <v>0.98580350000000005</v>
      </c>
      <c r="I733">
        <v>367.20859999999999</v>
      </c>
      <c r="J733">
        <v>-416.14600000000002</v>
      </c>
      <c r="K733">
        <v>1.054386</v>
      </c>
      <c r="L733">
        <v>367.25330000000002</v>
      </c>
      <c r="M733">
        <v>0.99994000000000005</v>
      </c>
      <c r="N733">
        <v>0</v>
      </c>
      <c r="O733">
        <v>4.1712629999999997E-3</v>
      </c>
      <c r="P733">
        <v>0.99294139999999997</v>
      </c>
      <c r="Q733">
        <v>2.920232E-2</v>
      </c>
      <c r="R733">
        <v>0.1149548</v>
      </c>
      <c r="S733">
        <v>3.0504150000000001</v>
      </c>
      <c r="T733">
        <v>-0.27865089999999998</v>
      </c>
      <c r="U733">
        <v>-0.17886350000000001</v>
      </c>
      <c r="V733">
        <v>-0.1108069</v>
      </c>
      <c r="W733">
        <v>3.9277289999999999E-2</v>
      </c>
      <c r="X733">
        <v>0.99306550000000005</v>
      </c>
      <c r="Y733">
        <v>6.2422730000000003E-2</v>
      </c>
      <c r="Z733">
        <v>-3.222716E-3</v>
      </c>
      <c r="AA733">
        <v>0.99804459999999995</v>
      </c>
      <c r="AB733">
        <v>19</v>
      </c>
      <c r="AC733">
        <v>0.64889999999996895</v>
      </c>
      <c r="AD733">
        <v>-6.8582500000000102E-2</v>
      </c>
      <c r="AE733">
        <v>-4.4700000000034303E-2</v>
      </c>
      <c r="AF733">
        <v>4.6885226427969801E-2</v>
      </c>
      <c r="AG733">
        <v>-6.8582500000000102E-2</v>
      </c>
      <c r="AH733">
        <v>0.64157504756811601</v>
      </c>
      <c r="AI733">
        <v>96.085475432163406</v>
      </c>
      <c r="AJ733">
        <v>85.820350531895997</v>
      </c>
      <c r="AK733">
        <v>0.64693146887864506</v>
      </c>
      <c r="AL733">
        <v>87.748997983997796</v>
      </c>
      <c r="AM733">
        <v>96.366765233678805</v>
      </c>
      <c r="AN733">
        <v>0.99999998094380105</v>
      </c>
    </row>
    <row r="734" spans="1:40" x14ac:dyDescent="0.3">
      <c r="A734" t="str">
        <f>"20200111145927217"</f>
        <v>20200111145927217</v>
      </c>
      <c r="B734" t="str">
        <f>"1578725967206403"</f>
        <v>1578725967206403</v>
      </c>
      <c r="C734" t="s">
        <v>40</v>
      </c>
      <c r="D734">
        <v>4.0721910000000001</v>
      </c>
      <c r="E734">
        <v>0.56479169999999901</v>
      </c>
      <c r="F734" t="s">
        <v>41</v>
      </c>
      <c r="G734">
        <v>-415.32749999999999</v>
      </c>
      <c r="H734">
        <v>0.9793345</v>
      </c>
      <c r="I734">
        <v>367.20620000000002</v>
      </c>
      <c r="J734">
        <v>-415.55029999999999</v>
      </c>
      <c r="K734">
        <v>1.0543899999999999</v>
      </c>
      <c r="L734">
        <v>367.25549999999998</v>
      </c>
      <c r="M734">
        <v>0.99994070000000002</v>
      </c>
      <c r="N734">
        <v>0</v>
      </c>
      <c r="O734">
        <v>3.9846150000000004E-3</v>
      </c>
      <c r="P734">
        <v>0.99315149999999996</v>
      </c>
      <c r="Q734">
        <v>2.9893820000000002E-2</v>
      </c>
      <c r="R734">
        <v>0.1129459</v>
      </c>
      <c r="S734">
        <v>3.0497130000000001</v>
      </c>
      <c r="T734">
        <v>-0.27982119999999999</v>
      </c>
      <c r="U734">
        <v>-0.17422489999999999</v>
      </c>
      <c r="V734">
        <v>-0.1089825</v>
      </c>
      <c r="W734">
        <v>3.9983879999999999E-2</v>
      </c>
      <c r="X734">
        <v>0.99323919999999999</v>
      </c>
      <c r="Y734">
        <v>6.074214E-2</v>
      </c>
      <c r="Z734">
        <v>-3.1431219999999999E-3</v>
      </c>
      <c r="AA734">
        <v>0.99814860000000005</v>
      </c>
      <c r="AB734">
        <v>19</v>
      </c>
      <c r="AC734">
        <v>0.22280000000000599</v>
      </c>
      <c r="AD734">
        <v>-7.5055499999999997E-2</v>
      </c>
      <c r="AE734">
        <v>-4.9299999999959702E-2</v>
      </c>
      <c r="AF734">
        <v>4.5287871546271903E-2</v>
      </c>
      <c r="AG734">
        <v>-7.5055499999999997E-2</v>
      </c>
      <c r="AH734">
        <v>0.20087024812765999</v>
      </c>
      <c r="AI734">
        <v>110.026918684669</v>
      </c>
      <c r="AJ734">
        <v>77.294623727746597</v>
      </c>
      <c r="AK734">
        <v>0.21916472337561299</v>
      </c>
      <c r="AL734">
        <v>87.708481576509797</v>
      </c>
      <c r="AM734">
        <v>96.261691798471801</v>
      </c>
      <c r="AN734">
        <v>1.00000000219137</v>
      </c>
    </row>
    <row r="735" spans="1:40" x14ac:dyDescent="0.3">
      <c r="A735" t="str">
        <f>"20200111145927235"</f>
        <v>20200111145927235</v>
      </c>
      <c r="B735" t="str">
        <f>"1578725967226896"</f>
        <v>1578725967226896</v>
      </c>
      <c r="C735" t="s">
        <v>40</v>
      </c>
      <c r="D735">
        <v>4.1556220000000001</v>
      </c>
      <c r="E735">
        <v>0.56406269999999903</v>
      </c>
      <c r="F735" t="s">
        <v>41</v>
      </c>
      <c r="G735">
        <v>-414.80329999999998</v>
      </c>
      <c r="H735">
        <v>0.98874240000000002</v>
      </c>
      <c r="I735">
        <v>367.21260000000001</v>
      </c>
      <c r="J735">
        <v>-415.39690000000002</v>
      </c>
      <c r="K735">
        <v>1.0543910000000001</v>
      </c>
      <c r="L735">
        <v>367.25599999999997</v>
      </c>
      <c r="M735">
        <v>0.99994079999999996</v>
      </c>
      <c r="N735">
        <v>0</v>
      </c>
      <c r="O735">
        <v>3.934964E-3</v>
      </c>
      <c r="P735">
        <v>0.9932204</v>
      </c>
      <c r="Q735">
        <v>2.9107540000000001E-2</v>
      </c>
      <c r="R735">
        <v>0.1125438</v>
      </c>
      <c r="S735">
        <v>3.048645</v>
      </c>
      <c r="T735">
        <v>-0.26785140000000002</v>
      </c>
      <c r="U735">
        <v>-0.17495729999999901</v>
      </c>
      <c r="V735">
        <v>-0.1086297</v>
      </c>
      <c r="W735">
        <v>3.9200569999999997E-2</v>
      </c>
      <c r="X735">
        <v>0.99330909999999994</v>
      </c>
      <c r="Y735">
        <v>6.0973289999999999E-2</v>
      </c>
      <c r="Z735">
        <v>-3.016E-3</v>
      </c>
      <c r="AA735">
        <v>0.99813490000000005</v>
      </c>
      <c r="AB735">
        <v>19</v>
      </c>
      <c r="AC735">
        <v>0.59360000000003699</v>
      </c>
      <c r="AD735">
        <v>-6.5648599999999904E-2</v>
      </c>
      <c r="AE735">
        <v>-4.3399999999962802E-2</v>
      </c>
      <c r="AF735">
        <v>4.51858477882503E-2</v>
      </c>
      <c r="AG735">
        <v>-6.5648599999999904E-2</v>
      </c>
      <c r="AH735">
        <v>0.58629179195413605</v>
      </c>
      <c r="AI735">
        <v>96.370208153323404</v>
      </c>
      <c r="AJ735">
        <v>85.592893214397193</v>
      </c>
      <c r="AK735">
        <v>0.59168366956938601</v>
      </c>
      <c r="AL735">
        <v>87.753397219623906</v>
      </c>
      <c r="AM735">
        <v>96.241145828141697</v>
      </c>
      <c r="AN735">
        <v>1.0000000322766101</v>
      </c>
    </row>
    <row r="736" spans="1:40" x14ac:dyDescent="0.3">
      <c r="A736" t="str">
        <f>"20200111145927248"</f>
        <v>20200111145927248</v>
      </c>
      <c r="B736" t="str">
        <f>"1578725967236656"</f>
        <v>1578725967236656</v>
      </c>
      <c r="C736" t="s">
        <v>40</v>
      </c>
      <c r="D736">
        <v>4.1380839999999903</v>
      </c>
      <c r="E736">
        <v>0.5638358</v>
      </c>
      <c r="F736" t="s">
        <v>41</v>
      </c>
      <c r="G736">
        <v>-414.62990000000002</v>
      </c>
      <c r="H736">
        <v>0.98814869999999999</v>
      </c>
      <c r="I736">
        <v>367.21269999999998</v>
      </c>
      <c r="J736">
        <v>-415.28609999999998</v>
      </c>
      <c r="K736">
        <v>1.0543849999999999</v>
      </c>
      <c r="L736">
        <v>367.25639999999999</v>
      </c>
      <c r="M736">
        <v>0.99994090000000002</v>
      </c>
      <c r="N736">
        <v>0</v>
      </c>
      <c r="O736">
        <v>3.8996119999999998E-3</v>
      </c>
      <c r="P736">
        <v>0.99327330000000003</v>
      </c>
      <c r="Q736">
        <v>2.8946309999999999E-2</v>
      </c>
      <c r="R736">
        <v>0.1121186</v>
      </c>
      <c r="S736">
        <v>3.0475159999999999</v>
      </c>
      <c r="T736">
        <v>-0.26361079999999998</v>
      </c>
      <c r="U736">
        <v>-0.17031859999999999</v>
      </c>
      <c r="V736">
        <v>-0.10823960000000001</v>
      </c>
      <c r="W736">
        <v>3.9043340000000003E-2</v>
      </c>
      <c r="X736">
        <v>0.99335779999999996</v>
      </c>
      <c r="Y736">
        <v>5.9458049999999998E-2</v>
      </c>
      <c r="Z736">
        <v>-2.901238E-3</v>
      </c>
      <c r="AA736">
        <v>0.99822659999999996</v>
      </c>
      <c r="AB736">
        <v>19</v>
      </c>
      <c r="AC736">
        <v>0.65619999999995504</v>
      </c>
      <c r="AD736">
        <v>-6.6236300000000206E-2</v>
      </c>
      <c r="AE736">
        <v>-4.3700000000001099E-2</v>
      </c>
      <c r="AF736">
        <v>4.5794200676085098E-2</v>
      </c>
      <c r="AG736">
        <v>-6.6236300000000206E-2</v>
      </c>
      <c r="AH736">
        <v>0.64943687332450994</v>
      </c>
      <c r="AI736">
        <v>95.809155655855506</v>
      </c>
      <c r="AJ736">
        <v>85.966538450153394</v>
      </c>
      <c r="AK736">
        <v>0.65441012269582699</v>
      </c>
      <c r="AL736">
        <v>87.762412566136604</v>
      </c>
      <c r="AM736">
        <v>96.218606685726201</v>
      </c>
      <c r="AN736">
        <v>0.99999995611367698</v>
      </c>
    </row>
    <row r="737" spans="1:40" x14ac:dyDescent="0.3">
      <c r="A737" t="str">
        <f>"20200111145927260"</f>
        <v>20200111145927260</v>
      </c>
      <c r="B737" t="str">
        <f>"1578725967256177"</f>
        <v>1578725967256177</v>
      </c>
      <c r="C737" t="s">
        <v>40</v>
      </c>
      <c r="D737">
        <v>4.1218240000000002</v>
      </c>
      <c r="E737">
        <v>0.56328449999999997</v>
      </c>
      <c r="F737" t="s">
        <v>41</v>
      </c>
      <c r="G737">
        <v>-414.45830000000001</v>
      </c>
      <c r="H737">
        <v>0.98343320000000001</v>
      </c>
      <c r="I737">
        <v>367.21019999999999</v>
      </c>
      <c r="J737">
        <v>-415.17809999999997</v>
      </c>
      <c r="K737">
        <v>1.0543849999999999</v>
      </c>
      <c r="L737">
        <v>367.2568</v>
      </c>
      <c r="M737">
        <v>0.99994099999999997</v>
      </c>
      <c r="N737">
        <v>0</v>
      </c>
      <c r="O737">
        <v>3.8652679999999998E-3</v>
      </c>
      <c r="P737">
        <v>0.99326329999999996</v>
      </c>
      <c r="Q737">
        <v>2.9063100000000001E-2</v>
      </c>
      <c r="R737">
        <v>0.11217480000000001</v>
      </c>
      <c r="S737">
        <v>3.0470890000000002</v>
      </c>
      <c r="T737">
        <v>-0.26129180000000002</v>
      </c>
      <c r="U737">
        <v>-0.17007449999999999</v>
      </c>
      <c r="V737">
        <v>-0.10833</v>
      </c>
      <c r="W737">
        <v>3.9163879999999998E-2</v>
      </c>
      <c r="X737">
        <v>0.99334319999999998</v>
      </c>
      <c r="Y737">
        <v>5.9356390000000002E-2</v>
      </c>
      <c r="Z737">
        <v>-2.8689319999999998E-3</v>
      </c>
      <c r="AA737">
        <v>0.99823269999999997</v>
      </c>
      <c r="AB737">
        <v>19</v>
      </c>
      <c r="AC737">
        <v>0.71979999999996302</v>
      </c>
      <c r="AD737">
        <v>-7.0951800000000106E-2</v>
      </c>
      <c r="AE737">
        <v>-4.6600000000012097E-2</v>
      </c>
      <c r="AF737">
        <v>4.8908783724942999E-2</v>
      </c>
      <c r="AG737">
        <v>-7.0951800000000106E-2</v>
      </c>
      <c r="AH737">
        <v>0.71271837412054195</v>
      </c>
      <c r="AI737">
        <v>95.671867046476294</v>
      </c>
      <c r="AJ737">
        <v>86.074353265537894</v>
      </c>
      <c r="AK737">
        <v>0.71790926157678303</v>
      </c>
      <c r="AL737">
        <v>87.755500845267605</v>
      </c>
      <c r="AM737">
        <v>96.223850383665805</v>
      </c>
      <c r="AN737">
        <v>0.99999995569144595</v>
      </c>
    </row>
    <row r="738" spans="1:40" x14ac:dyDescent="0.3">
      <c r="A738" t="str">
        <f>"20200111145927272"</f>
        <v>20200111145927272</v>
      </c>
      <c r="B738" t="str">
        <f>"1578725967266913"</f>
        <v>1578725967266913</v>
      </c>
      <c r="C738" t="s">
        <v>40</v>
      </c>
      <c r="D738">
        <v>4.1687969999999996</v>
      </c>
      <c r="E738">
        <v>0.56306990000000001</v>
      </c>
      <c r="F738" t="s">
        <v>41</v>
      </c>
      <c r="G738">
        <v>-414.45319999999998</v>
      </c>
      <c r="H738">
        <v>0.99374969999999996</v>
      </c>
      <c r="I738">
        <v>367.2174</v>
      </c>
      <c r="J738">
        <v>-415.06920000000002</v>
      </c>
      <c r="K738">
        <v>1.054386</v>
      </c>
      <c r="L738">
        <v>367.25720000000001</v>
      </c>
      <c r="M738">
        <v>0.99994119999999997</v>
      </c>
      <c r="N738">
        <v>0</v>
      </c>
      <c r="O738">
        <v>3.831611E-3</v>
      </c>
      <c r="P738">
        <v>0.99324349999999995</v>
      </c>
      <c r="Q738">
        <v>2.8954899999999999E-2</v>
      </c>
      <c r="R738">
        <v>0.1123808</v>
      </c>
      <c r="S738">
        <v>3.046478</v>
      </c>
      <c r="T738">
        <v>-0.25493579999999999</v>
      </c>
      <c r="U738">
        <v>-0.16528319999999999</v>
      </c>
      <c r="V738">
        <v>-0.1085696</v>
      </c>
      <c r="W738">
        <v>3.9065259999999997E-2</v>
      </c>
      <c r="X738">
        <v>0.99332089999999995</v>
      </c>
      <c r="Y738">
        <v>5.778523E-2</v>
      </c>
      <c r="Z738">
        <v>-2.7316810000000001E-3</v>
      </c>
      <c r="AA738">
        <v>0.99832529999999997</v>
      </c>
      <c r="AB738">
        <v>19</v>
      </c>
      <c r="AC738">
        <v>0.61600000000004196</v>
      </c>
      <c r="AD738">
        <v>-6.0636299999999997E-2</v>
      </c>
      <c r="AE738">
        <v>-3.9800000000013797E-2</v>
      </c>
      <c r="AF738">
        <v>4.1757175104059401E-2</v>
      </c>
      <c r="AG738">
        <v>-6.0636299999999997E-2</v>
      </c>
      <c r="AH738">
        <v>0.60995732457283802</v>
      </c>
      <c r="AI738">
        <v>95.663991937699393</v>
      </c>
      <c r="AJ738">
        <v>86.083688725361498</v>
      </c>
      <c r="AK738">
        <v>0.61438453785102298</v>
      </c>
      <c r="AL738">
        <v>87.761155628526794</v>
      </c>
      <c r="AM738">
        <v>96.237646589446598</v>
      </c>
      <c r="AN738">
        <v>0.99999993147991595</v>
      </c>
    </row>
    <row r="739" spans="1:40" x14ac:dyDescent="0.3">
      <c r="A739" t="str">
        <f>"20200111145927284"</f>
        <v>20200111145927284</v>
      </c>
      <c r="B739" t="str">
        <f>"1578725967276672"</f>
        <v>1578725967276672</v>
      </c>
      <c r="C739" t="s">
        <v>40</v>
      </c>
      <c r="D739">
        <v>4.1783449999999904</v>
      </c>
      <c r="E739">
        <v>0.56298999999999999</v>
      </c>
      <c r="F739" t="s">
        <v>41</v>
      </c>
      <c r="G739">
        <v>-414.28149999999999</v>
      </c>
      <c r="H739">
        <v>0.98884430000000001</v>
      </c>
      <c r="I739">
        <v>367.21480000000003</v>
      </c>
      <c r="J739">
        <v>-414.96710000000002</v>
      </c>
      <c r="K739">
        <v>1.0543910000000001</v>
      </c>
      <c r="L739">
        <v>367.25760000000002</v>
      </c>
      <c r="M739">
        <v>0.99994119999999997</v>
      </c>
      <c r="N739">
        <v>0</v>
      </c>
      <c r="O739">
        <v>3.8002679999999999E-3</v>
      </c>
      <c r="P739">
        <v>0.99320469999999905</v>
      </c>
      <c r="Q739">
        <v>2.9091120000000002E-2</v>
      </c>
      <c r="R739">
        <v>0.11268690000000001</v>
      </c>
      <c r="S739">
        <v>3.0462340000000001</v>
      </c>
      <c r="T739">
        <v>-0.2535615</v>
      </c>
      <c r="U739">
        <v>-0.162933299999999</v>
      </c>
      <c r="V739">
        <v>-0.1089072</v>
      </c>
      <c r="W739">
        <v>3.9212009999999999E-2</v>
      </c>
      <c r="X739">
        <v>0.9932782</v>
      </c>
      <c r="Y739">
        <v>5.6995459999999998E-2</v>
      </c>
      <c r="Z739">
        <v>-2.681887E-3</v>
      </c>
      <c r="AA739">
        <v>0.9983708</v>
      </c>
      <c r="AB739">
        <v>19</v>
      </c>
      <c r="AC739">
        <v>0.68560000000002197</v>
      </c>
      <c r="AD739">
        <v>-6.5546699999999902E-2</v>
      </c>
      <c r="AE739">
        <v>-4.2799999999999699E-2</v>
      </c>
      <c r="AF739">
        <v>4.4995612592898797E-2</v>
      </c>
      <c r="AG739">
        <v>-6.5546699999999902E-2</v>
      </c>
      <c r="AH739">
        <v>0.67924796603941395</v>
      </c>
      <c r="AI739">
        <v>95.499934505135201</v>
      </c>
      <c r="AJ739">
        <v>86.210076825892699</v>
      </c>
      <c r="AK739">
        <v>0.68388505935001997</v>
      </c>
      <c r="AL739">
        <v>87.752741114405197</v>
      </c>
      <c r="AM739">
        <v>96.257155956637305</v>
      </c>
      <c r="AN739">
        <v>0.99999997126765905</v>
      </c>
    </row>
    <row r="740" spans="1:40" x14ac:dyDescent="0.3">
      <c r="A740" t="str">
        <f>"20200111145927302"</f>
        <v>20200111145927302</v>
      </c>
      <c r="B740" t="str">
        <f>"1578725967296194"</f>
        <v>1578725967296194</v>
      </c>
      <c r="C740" t="s">
        <v>40</v>
      </c>
      <c r="D740">
        <v>4.2111640000000001</v>
      </c>
      <c r="E740">
        <v>0.56242159999999997</v>
      </c>
      <c r="F740" t="s">
        <v>41</v>
      </c>
      <c r="G740">
        <v>-414.11</v>
      </c>
      <c r="H740">
        <v>0.98302160000000005</v>
      </c>
      <c r="I740">
        <v>367.21199999999999</v>
      </c>
      <c r="J740">
        <v>-414.81479999999999</v>
      </c>
      <c r="K740">
        <v>1.0543960000000001</v>
      </c>
      <c r="L740">
        <v>367.25810000000001</v>
      </c>
      <c r="M740">
        <v>0.99994110000000003</v>
      </c>
      <c r="N740">
        <v>0</v>
      </c>
      <c r="O740">
        <v>3.7550320000000002E-3</v>
      </c>
      <c r="P740">
        <v>0.99312590000000001</v>
      </c>
      <c r="Q740">
        <v>2.8733160000000001E-2</v>
      </c>
      <c r="R740">
        <v>0.11346879999999999</v>
      </c>
      <c r="S740">
        <v>3.046265</v>
      </c>
      <c r="T740">
        <v>-0.25375530000000002</v>
      </c>
      <c r="U740">
        <v>-0.16140750000000001</v>
      </c>
      <c r="V740">
        <v>-0.1097336</v>
      </c>
      <c r="W740">
        <v>3.8876099999999997E-2</v>
      </c>
      <c r="X740">
        <v>0.99320050000000004</v>
      </c>
      <c r="Y740">
        <v>5.6452780000000001E-2</v>
      </c>
      <c r="Z740">
        <v>-2.657632E-3</v>
      </c>
      <c r="AA740">
        <v>0.99840180000000001</v>
      </c>
      <c r="AB740">
        <v>19</v>
      </c>
      <c r="AC740">
        <v>0.704799999999977</v>
      </c>
      <c r="AD740">
        <v>-7.1374399999999796E-2</v>
      </c>
      <c r="AE740">
        <v>-4.6100000000023997E-2</v>
      </c>
      <c r="AF740">
        <v>4.8253606219020799E-2</v>
      </c>
      <c r="AG740">
        <v>-7.1374399999999796E-2</v>
      </c>
      <c r="AH740">
        <v>0.69749924467422797</v>
      </c>
      <c r="AI740">
        <v>95.828847595679605</v>
      </c>
      <c r="AJ740">
        <v>86.042533422297893</v>
      </c>
      <c r="AK740">
        <v>0.70280005108822996</v>
      </c>
      <c r="AL740">
        <v>87.772002143770806</v>
      </c>
      <c r="AM740">
        <v>96.304744311327099</v>
      </c>
      <c r="AN740">
        <v>1.0000000236602</v>
      </c>
    </row>
    <row r="741" spans="1:40" x14ac:dyDescent="0.3">
      <c r="A741" t="str">
        <f>"20200111145927313"</f>
        <v>20200111145927313</v>
      </c>
      <c r="B741" t="str">
        <f>"1578725967306929"</f>
        <v>1578725967306929</v>
      </c>
      <c r="C741" t="s">
        <v>40</v>
      </c>
      <c r="D741">
        <v>4.1444279999999996</v>
      </c>
      <c r="E741">
        <v>0.56192919999999902</v>
      </c>
      <c r="F741" t="s">
        <v>41</v>
      </c>
      <c r="G741">
        <v>-413.9359</v>
      </c>
      <c r="H741">
        <v>0.98199570000000003</v>
      </c>
      <c r="I741">
        <v>367.2133</v>
      </c>
      <c r="J741">
        <v>-414.71249999999998</v>
      </c>
      <c r="K741">
        <v>1.0544009999999999</v>
      </c>
      <c r="L741">
        <v>367.25839999999999</v>
      </c>
      <c r="M741">
        <v>0.99994090000000002</v>
      </c>
      <c r="N741">
        <v>0</v>
      </c>
      <c r="O741">
        <v>3.7250109999999999E-3</v>
      </c>
      <c r="P741">
        <v>0.99309499999999995</v>
      </c>
      <c r="Q741">
        <v>2.8874960000000002E-2</v>
      </c>
      <c r="R741">
        <v>0.1137045</v>
      </c>
      <c r="S741">
        <v>3.0456539999999999</v>
      </c>
      <c r="T741">
        <v>-0.25100410000000001</v>
      </c>
      <c r="U741">
        <v>-0.15438840000000001</v>
      </c>
      <c r="V741">
        <v>-0.1099996</v>
      </c>
      <c r="W741">
        <v>3.9037620000000002E-2</v>
      </c>
      <c r="X741">
        <v>0.99316470000000001</v>
      </c>
      <c r="Y741">
        <v>5.4150730000000001E-2</v>
      </c>
      <c r="Z741">
        <v>-2.5324869999999999E-3</v>
      </c>
      <c r="AA741">
        <v>0.99852960000000002</v>
      </c>
      <c r="AB741">
        <v>19</v>
      </c>
      <c r="AC741">
        <v>0.77659999999997298</v>
      </c>
      <c r="AD741">
        <v>-7.2405299999999895E-2</v>
      </c>
      <c r="AE741">
        <v>-4.50999999999908E-2</v>
      </c>
      <c r="AF741">
        <v>4.7580477212921198E-2</v>
      </c>
      <c r="AG741">
        <v>-7.2405299999999895E-2</v>
      </c>
      <c r="AH741">
        <v>0.76975795490168597</v>
      </c>
      <c r="AI741">
        <v>95.363392735327494</v>
      </c>
      <c r="AJ741">
        <v>86.462918694700704</v>
      </c>
      <c r="AK741">
        <v>0.77461844698814497</v>
      </c>
      <c r="AL741">
        <v>87.762740611706903</v>
      </c>
      <c r="AM741">
        <v>96.320129793770406</v>
      </c>
      <c r="AN741">
        <v>0.999999984550757</v>
      </c>
    </row>
    <row r="742" spans="1:40" x14ac:dyDescent="0.3">
      <c r="A742" t="str">
        <f>"20200111145927325"</f>
        <v>20200111145927325</v>
      </c>
      <c r="B742" t="str">
        <f>"1578725967316689"</f>
        <v>1578725967316689</v>
      </c>
      <c r="C742" t="s">
        <v>40</v>
      </c>
      <c r="D742">
        <v>4.1913450000000001</v>
      </c>
      <c r="E742">
        <v>0.56149320000000003</v>
      </c>
      <c r="F742" t="s">
        <v>41</v>
      </c>
      <c r="G742">
        <v>-413.93169999999998</v>
      </c>
      <c r="H742">
        <v>0.99063319999999999</v>
      </c>
      <c r="I742">
        <v>367.21980000000002</v>
      </c>
      <c r="J742">
        <v>-414.6123</v>
      </c>
      <c r="K742">
        <v>1.054405</v>
      </c>
      <c r="L742">
        <v>367.25880000000001</v>
      </c>
      <c r="M742">
        <v>0.99994079999999996</v>
      </c>
      <c r="N742">
        <v>0</v>
      </c>
      <c r="O742">
        <v>3.6954660000000001E-3</v>
      </c>
      <c r="P742">
        <v>0.99309380000000003</v>
      </c>
      <c r="Q742">
        <v>2.9106449999999999E-2</v>
      </c>
      <c r="R742">
        <v>0.1136562</v>
      </c>
      <c r="S742">
        <v>3.0451969999999999</v>
      </c>
      <c r="T742">
        <v>-0.24876580000000001</v>
      </c>
      <c r="U742">
        <v>-0.1497192</v>
      </c>
      <c r="V742">
        <v>-0.10998049999999999</v>
      </c>
      <c r="W742">
        <v>3.9289200000000003E-2</v>
      </c>
      <c r="X742">
        <v>0.99315690000000001</v>
      </c>
      <c r="Y742">
        <v>5.261014E-2</v>
      </c>
      <c r="Z742">
        <v>-2.4452580000000001E-3</v>
      </c>
      <c r="AA742">
        <v>0.9986121</v>
      </c>
      <c r="AB742">
        <v>19</v>
      </c>
      <c r="AC742">
        <v>0.68060000000002596</v>
      </c>
      <c r="AD742">
        <v>-6.3771800000000003E-2</v>
      </c>
      <c r="AE742">
        <v>-3.8999999999987198E-2</v>
      </c>
      <c r="AF742">
        <v>4.1154859945644197E-2</v>
      </c>
      <c r="AG742">
        <v>-6.3771800000000003E-2</v>
      </c>
      <c r="AH742">
        <v>0.67454835645475797</v>
      </c>
      <c r="AI742">
        <v>95.390726383733906</v>
      </c>
      <c r="AJ742">
        <v>86.508655729951897</v>
      </c>
      <c r="AK742">
        <v>0.67880486899270298</v>
      </c>
      <c r="AL742">
        <v>87.748315084105997</v>
      </c>
      <c r="AM742">
        <v>96.319090490089394</v>
      </c>
      <c r="AN742">
        <v>0.99999998981724902</v>
      </c>
    </row>
    <row r="743" spans="1:40" x14ac:dyDescent="0.3">
      <c r="A743" t="str">
        <f>"20200111145927337"</f>
        <v>20200111145927337</v>
      </c>
      <c r="B743" t="str">
        <f>"1578725967326449"</f>
        <v>1578725967326449</v>
      </c>
      <c r="C743" t="s">
        <v>40</v>
      </c>
      <c r="D743">
        <v>4.2364420000000003</v>
      </c>
      <c r="E743">
        <v>0.56114330000000001</v>
      </c>
      <c r="F743" t="s">
        <v>41</v>
      </c>
      <c r="G743">
        <v>-413.7595</v>
      </c>
      <c r="H743">
        <v>0.98553820000000003</v>
      </c>
      <c r="I743">
        <v>367.21769999999998</v>
      </c>
      <c r="J743">
        <v>-414.50880000000001</v>
      </c>
      <c r="K743">
        <v>1.0544119999999999</v>
      </c>
      <c r="L743">
        <v>367.25909999999999</v>
      </c>
      <c r="M743">
        <v>0.99994059999999996</v>
      </c>
      <c r="N743">
        <v>0</v>
      </c>
      <c r="O743">
        <v>3.6652E-3</v>
      </c>
      <c r="P743">
        <v>0.99308810000000003</v>
      </c>
      <c r="Q743">
        <v>2.9155650000000002E-2</v>
      </c>
      <c r="R743">
        <v>0.1136934</v>
      </c>
      <c r="S743">
        <v>3.0448300000000001</v>
      </c>
      <c r="T743">
        <v>-0.24594269999999999</v>
      </c>
      <c r="U743">
        <v>-0.1463013</v>
      </c>
      <c r="V743">
        <v>-0.1100479</v>
      </c>
      <c r="W743">
        <v>3.9359239999999997E-2</v>
      </c>
      <c r="X743">
        <v>0.99314669999999905</v>
      </c>
      <c r="Y743">
        <v>5.1475359999999998E-2</v>
      </c>
      <c r="Z743">
        <v>-2.3697840000000002E-3</v>
      </c>
      <c r="AA743">
        <v>0.99867150000000005</v>
      </c>
      <c r="AB743">
        <v>20</v>
      </c>
      <c r="AC743">
        <v>0.74930000000000496</v>
      </c>
      <c r="AD743">
        <v>-6.8873800000000193E-2</v>
      </c>
      <c r="AE743">
        <v>-4.1400000000009998E-2</v>
      </c>
      <c r="AF743">
        <v>4.3777458270254997E-2</v>
      </c>
      <c r="AG743">
        <v>-6.8873800000000193E-2</v>
      </c>
      <c r="AH743">
        <v>0.74288580483295297</v>
      </c>
      <c r="AI743">
        <v>95.287695451576298</v>
      </c>
      <c r="AJ743">
        <v>86.627521751745903</v>
      </c>
      <c r="AK743">
        <v>0.74735492585608099</v>
      </c>
      <c r="AL743">
        <v>87.744299069418304</v>
      </c>
      <c r="AM743">
        <v>96.322996113422903</v>
      </c>
      <c r="AN743">
        <v>1.00000002889433</v>
      </c>
    </row>
    <row r="744" spans="1:40" x14ac:dyDescent="0.3">
      <c r="A744" t="str">
        <f>"20200111145927348"</f>
        <v>20200111145927348</v>
      </c>
      <c r="B744" t="str">
        <f>"1578725967345970"</f>
        <v>1578725967345970</v>
      </c>
      <c r="C744" t="s">
        <v>40</v>
      </c>
      <c r="D744">
        <v>4.206048</v>
      </c>
      <c r="E744">
        <v>0.56043999999999905</v>
      </c>
      <c r="F744" t="s">
        <v>41</v>
      </c>
      <c r="G744">
        <v>-413.75549999999998</v>
      </c>
      <c r="H744">
        <v>0.99375360000000001</v>
      </c>
      <c r="I744">
        <v>367.2235</v>
      </c>
      <c r="J744">
        <v>-414.40870000000001</v>
      </c>
      <c r="K744">
        <v>1.054414</v>
      </c>
      <c r="L744">
        <v>367.25940000000003</v>
      </c>
      <c r="M744">
        <v>0.99994070000000002</v>
      </c>
      <c r="N744">
        <v>0</v>
      </c>
      <c r="O744">
        <v>3.6361900000000001E-3</v>
      </c>
      <c r="P744">
        <v>0.99307250000000002</v>
      </c>
      <c r="Q744">
        <v>2.9478910000000001E-2</v>
      </c>
      <c r="R744">
        <v>0.1137466</v>
      </c>
      <c r="S744">
        <v>3.0445250000000001</v>
      </c>
      <c r="T744">
        <v>-0.2452763</v>
      </c>
      <c r="U744">
        <v>-0.1434937</v>
      </c>
      <c r="V744">
        <v>-0.1101302</v>
      </c>
      <c r="W744">
        <v>3.9702300000000003E-2</v>
      </c>
      <c r="X744">
        <v>0.99312389999999995</v>
      </c>
      <c r="Y744">
        <v>5.0536350000000001E-2</v>
      </c>
      <c r="Z744">
        <v>-2.3235959999999998E-3</v>
      </c>
      <c r="AA744">
        <v>0.99871949999999998</v>
      </c>
      <c r="AB744">
        <v>20</v>
      </c>
      <c r="AC744">
        <v>0.65320000000002598</v>
      </c>
      <c r="AD744">
        <v>-6.0660399999999899E-2</v>
      </c>
      <c r="AE744">
        <v>-3.5900000000026397E-2</v>
      </c>
      <c r="AF744">
        <v>3.7948755523001101E-2</v>
      </c>
      <c r="AG744">
        <v>-6.0660399999999899E-2</v>
      </c>
      <c r="AH744">
        <v>0.64749780947792102</v>
      </c>
      <c r="AI744">
        <v>95.342979993134406</v>
      </c>
      <c r="AJ744">
        <v>86.645827853630394</v>
      </c>
      <c r="AK744">
        <v>0.65143933367015106</v>
      </c>
      <c r="AL744">
        <v>87.724627754326903</v>
      </c>
      <c r="AM744">
        <v>96.327830554790097</v>
      </c>
      <c r="AN744">
        <v>1.0000000071642601</v>
      </c>
    </row>
    <row r="745" spans="1:40" x14ac:dyDescent="0.3">
      <c r="A745" t="str">
        <f>"20200111145927360"</f>
        <v>20200111145927360</v>
      </c>
      <c r="B745" t="str">
        <f>"1578725967356705"</f>
        <v>1578725967356705</v>
      </c>
      <c r="C745" t="s">
        <v>40</v>
      </c>
      <c r="D745">
        <v>4.1642749999999999</v>
      </c>
      <c r="E745">
        <v>0.559957699999999</v>
      </c>
      <c r="F745" t="s">
        <v>41</v>
      </c>
      <c r="G745">
        <v>-413.58330000000001</v>
      </c>
      <c r="H745">
        <v>0.98827909999999997</v>
      </c>
      <c r="I745">
        <v>367.22160000000002</v>
      </c>
      <c r="J745">
        <v>-414.30450000000002</v>
      </c>
      <c r="K745">
        <v>1.054422</v>
      </c>
      <c r="L745">
        <v>367.25970000000001</v>
      </c>
      <c r="M745">
        <v>0.99994059999999996</v>
      </c>
      <c r="N745">
        <v>0</v>
      </c>
      <c r="O745">
        <v>3.6061029999999998E-3</v>
      </c>
      <c r="P745">
        <v>0.99307630000000002</v>
      </c>
      <c r="Q745">
        <v>2.9160169999999999E-2</v>
      </c>
      <c r="R745">
        <v>0.11379589999999901</v>
      </c>
      <c r="S745">
        <v>3.0439449999999999</v>
      </c>
      <c r="T745">
        <v>-0.24417359999999999</v>
      </c>
      <c r="U745">
        <v>-0.1379089</v>
      </c>
      <c r="V745">
        <v>-0.11020969999999999</v>
      </c>
      <c r="W745">
        <v>3.940403E-2</v>
      </c>
      <c r="X745">
        <v>0.99312690000000003</v>
      </c>
      <c r="Y745">
        <v>4.8694199999999903E-2</v>
      </c>
      <c r="Z745">
        <v>-2.2375810000000002E-3</v>
      </c>
      <c r="AA745">
        <v>0.99881120000000001</v>
      </c>
      <c r="AB745">
        <v>20</v>
      </c>
      <c r="AC745">
        <v>0.72120000000001006</v>
      </c>
      <c r="AD745">
        <v>-6.6142899999999893E-2</v>
      </c>
      <c r="AE745">
        <v>-3.8099999999985798E-2</v>
      </c>
      <c r="AF745">
        <v>4.0362065036091702E-2</v>
      </c>
      <c r="AG745">
        <v>-6.6142899999999893E-2</v>
      </c>
      <c r="AH745">
        <v>0.71506017575748204</v>
      </c>
      <c r="AI745">
        <v>95.276456386859394</v>
      </c>
      <c r="AJ745">
        <v>86.769328377166303</v>
      </c>
      <c r="AK745">
        <v>0.71924615707607897</v>
      </c>
      <c r="AL745">
        <v>87.741730615332898</v>
      </c>
      <c r="AM745">
        <v>96.332342377382901</v>
      </c>
      <c r="AN745">
        <v>0.99999994752896904</v>
      </c>
    </row>
    <row r="746" spans="1:40" x14ac:dyDescent="0.3">
      <c r="A746" t="str">
        <f>"20200111145927372"</f>
        <v>20200111145927372</v>
      </c>
      <c r="B746" t="str">
        <f>"1578725967366465"</f>
        <v>1578725967366465</v>
      </c>
      <c r="C746" t="s">
        <v>40</v>
      </c>
      <c r="D746">
        <v>4.1605480000000004</v>
      </c>
      <c r="E746">
        <v>0.55952170000000001</v>
      </c>
      <c r="F746" t="s">
        <v>41</v>
      </c>
      <c r="G746">
        <v>-413.41120000000001</v>
      </c>
      <c r="H746">
        <v>0.98231210000000002</v>
      </c>
      <c r="I746">
        <v>367.22039999999998</v>
      </c>
      <c r="J746">
        <v>-414.19479999999999</v>
      </c>
      <c r="K746">
        <v>1.0544249999999999</v>
      </c>
      <c r="L746">
        <v>367.26010000000002</v>
      </c>
      <c r="M746">
        <v>0.99994050000000001</v>
      </c>
      <c r="N746">
        <v>0</v>
      </c>
      <c r="O746">
        <v>3.5742310000000002E-3</v>
      </c>
      <c r="P746">
        <v>0.99308209999999997</v>
      </c>
      <c r="Q746">
        <v>2.9258880000000001E-2</v>
      </c>
      <c r="R746">
        <v>0.1137198</v>
      </c>
      <c r="S746">
        <v>3.043488</v>
      </c>
      <c r="T746">
        <v>-0.24566760000000001</v>
      </c>
      <c r="U746">
        <v>-0.13391110000000001</v>
      </c>
      <c r="V746">
        <v>-0.1101646</v>
      </c>
      <c r="W746">
        <v>3.9522670000000003E-2</v>
      </c>
      <c r="X746">
        <v>0.99312719999999999</v>
      </c>
      <c r="Y746">
        <v>4.7362040000000001E-2</v>
      </c>
      <c r="Z746">
        <v>-2.1954119999999999E-3</v>
      </c>
      <c r="AA746">
        <v>0.99887539999999997</v>
      </c>
      <c r="AB746">
        <v>20</v>
      </c>
      <c r="AC746">
        <v>0.78359999999997798</v>
      </c>
      <c r="AD746">
        <v>-7.2112899999999994E-2</v>
      </c>
      <c r="AE746">
        <v>-3.9700000000038899E-2</v>
      </c>
      <c r="AF746">
        <v>4.21446492851206E-2</v>
      </c>
      <c r="AG746">
        <v>-7.2112899999999994E-2</v>
      </c>
      <c r="AH746">
        <v>0.77689037548427897</v>
      </c>
      <c r="AI746">
        <v>95.295399524663594</v>
      </c>
      <c r="AJ746">
        <v>86.894869485589197</v>
      </c>
      <c r="AK746">
        <v>0.781367453462121</v>
      </c>
      <c r="AL746">
        <v>87.734927768016206</v>
      </c>
      <c r="AM746">
        <v>96.329770197672104</v>
      </c>
      <c r="AN746">
        <v>0.99999995795846297</v>
      </c>
    </row>
    <row r="747" spans="1:40" x14ac:dyDescent="0.3">
      <c r="A747" t="str">
        <f>"20200111145927390"</f>
        <v>20200111145927390</v>
      </c>
      <c r="B747" t="str">
        <f>"1578725967385985"</f>
        <v>1578725967385985</v>
      </c>
      <c r="C747" t="s">
        <v>40</v>
      </c>
      <c r="D747">
        <v>4.2336330000000002</v>
      </c>
      <c r="E747">
        <v>0.55872029999999995</v>
      </c>
      <c r="F747" t="s">
        <v>41</v>
      </c>
      <c r="G747">
        <v>-413.40699999999998</v>
      </c>
      <c r="H747">
        <v>0.99076399999999998</v>
      </c>
      <c r="I747">
        <v>367.22620000000001</v>
      </c>
      <c r="J747">
        <v>-414.04250000000002</v>
      </c>
      <c r="K747">
        <v>1.0544340000000001</v>
      </c>
      <c r="L747">
        <v>367.26060000000001</v>
      </c>
      <c r="M747">
        <v>0.9999403</v>
      </c>
      <c r="N747">
        <v>0</v>
      </c>
      <c r="O747">
        <v>3.5302829999999999E-3</v>
      </c>
      <c r="P747">
        <v>0.99307860000000003</v>
      </c>
      <c r="Q747">
        <v>2.9930890000000002E-2</v>
      </c>
      <c r="R747">
        <v>0.11357449999999999</v>
      </c>
      <c r="S747">
        <v>3.0431210000000002</v>
      </c>
      <c r="T747">
        <v>-0.2459247</v>
      </c>
      <c r="U747">
        <v>-0.13070680000000001</v>
      </c>
      <c r="V747">
        <v>-0.1100631</v>
      </c>
      <c r="W747">
        <v>4.0221640000000003E-2</v>
      </c>
      <c r="X747">
        <v>0.99311039999999995</v>
      </c>
      <c r="Y747">
        <v>4.6276860000000003E-2</v>
      </c>
      <c r="Z747">
        <v>-2.1507129999999998E-3</v>
      </c>
      <c r="AA747">
        <v>0.99892630000000004</v>
      </c>
      <c r="AB747">
        <v>20</v>
      </c>
      <c r="AC747">
        <v>0.63550000000003504</v>
      </c>
      <c r="AD747">
        <v>-6.3670000000000102E-2</v>
      </c>
      <c r="AE747">
        <v>-3.4400000000005003E-2</v>
      </c>
      <c r="AF747">
        <v>3.6280290042263699E-2</v>
      </c>
      <c r="AG747">
        <v>-6.3670000000000102E-2</v>
      </c>
      <c r="AH747">
        <v>0.629078474973644</v>
      </c>
      <c r="AI747">
        <v>95.769791026227594</v>
      </c>
      <c r="AJ747">
        <v>86.699287091826804</v>
      </c>
      <c r="AK747">
        <v>0.63333234247172099</v>
      </c>
      <c r="AL747">
        <v>87.694847882117301</v>
      </c>
      <c r="AM747">
        <v>96.324091657193804</v>
      </c>
      <c r="AN747">
        <v>0.99999996644702904</v>
      </c>
    </row>
    <row r="748" spans="1:40" x14ac:dyDescent="0.3">
      <c r="A748" t="str">
        <f>"20200111145927402"</f>
        <v>20200111145927402</v>
      </c>
      <c r="B748" t="str">
        <f>"1578725967396721"</f>
        <v>1578725967396721</v>
      </c>
      <c r="C748" t="s">
        <v>40</v>
      </c>
      <c r="D748">
        <v>4.2346490000000001</v>
      </c>
      <c r="E748">
        <v>0.55837190000000003</v>
      </c>
      <c r="F748" t="s">
        <v>41</v>
      </c>
      <c r="G748">
        <v>-413.23259999999999</v>
      </c>
      <c r="H748">
        <v>0.98888480000000001</v>
      </c>
      <c r="I748">
        <v>367.2269</v>
      </c>
      <c r="J748">
        <v>-413.93669999999997</v>
      </c>
      <c r="K748">
        <v>1.054438</v>
      </c>
      <c r="L748">
        <v>367.26089999999999</v>
      </c>
      <c r="M748">
        <v>0.99994019999999995</v>
      </c>
      <c r="N748">
        <v>0</v>
      </c>
      <c r="O748">
        <v>3.4996129999999999E-3</v>
      </c>
      <c r="P748">
        <v>0.99310019999999999</v>
      </c>
      <c r="Q748">
        <v>3.0021610000000001E-2</v>
      </c>
      <c r="R748">
        <v>0.11336110000000001</v>
      </c>
      <c r="S748">
        <v>3.0426030000000002</v>
      </c>
      <c r="T748">
        <v>-0.2465899</v>
      </c>
      <c r="U748">
        <v>-0.1249695</v>
      </c>
      <c r="V748">
        <v>-0.1098803</v>
      </c>
      <c r="W748">
        <v>4.0330739999999997E-2</v>
      </c>
      <c r="X748">
        <v>0.99312630000000002</v>
      </c>
      <c r="Y748">
        <v>4.437849E-2</v>
      </c>
      <c r="Z748">
        <v>-2.0777130000000001E-3</v>
      </c>
      <c r="AA748">
        <v>0.99901260000000003</v>
      </c>
      <c r="AB748">
        <v>20</v>
      </c>
      <c r="AC748">
        <v>0.70409999999998196</v>
      </c>
      <c r="AD748">
        <v>-6.5553199999999895E-2</v>
      </c>
      <c r="AE748">
        <v>-3.3999999999991801E-2</v>
      </c>
      <c r="AF748">
        <v>3.61513703213183E-2</v>
      </c>
      <c r="AG748">
        <v>-6.5553199999999895E-2</v>
      </c>
      <c r="AH748">
        <v>0.69794101305010003</v>
      </c>
      <c r="AI748">
        <v>95.358548624994995</v>
      </c>
      <c r="AJ748">
        <v>87.034890533961203</v>
      </c>
      <c r="AK748">
        <v>0.70194430071320402</v>
      </c>
      <c r="AL748">
        <v>87.688592025487907</v>
      </c>
      <c r="AM748">
        <v>96.313572816985101</v>
      </c>
      <c r="AN748">
        <v>1.0000000483343601</v>
      </c>
    </row>
    <row r="749" spans="1:40" x14ac:dyDescent="0.3">
      <c r="A749" t="str">
        <f>"20200111145927414"</f>
        <v>20200111145927414</v>
      </c>
      <c r="B749" t="str">
        <f>"1578725967406480"</f>
        <v>1578725967406480</v>
      </c>
      <c r="C749" t="s">
        <v>40</v>
      </c>
      <c r="D749">
        <v>4.0772510000000004</v>
      </c>
      <c r="E749">
        <v>0.55837190000000003</v>
      </c>
      <c r="F749" t="s">
        <v>41</v>
      </c>
      <c r="G749">
        <v>-413.06009999999998</v>
      </c>
      <c r="H749">
        <v>0.98306720000000003</v>
      </c>
      <c r="I749">
        <v>367.22550000000001</v>
      </c>
      <c r="J749">
        <v>-413.83229999999998</v>
      </c>
      <c r="K749">
        <v>1.054441</v>
      </c>
      <c r="L749">
        <v>367.26119999999997</v>
      </c>
      <c r="M749">
        <v>0.99994019999999995</v>
      </c>
      <c r="N749">
        <v>0</v>
      </c>
      <c r="O749">
        <v>3.4693649999999999E-3</v>
      </c>
      <c r="P749">
        <v>0.99312370000000005</v>
      </c>
      <c r="Q749">
        <v>3.0239490000000001E-2</v>
      </c>
      <c r="R749">
        <v>0.1130987</v>
      </c>
      <c r="S749">
        <v>3.042297</v>
      </c>
      <c r="T749">
        <v>-0.24789330000000001</v>
      </c>
      <c r="U749">
        <v>-0.122345</v>
      </c>
      <c r="V749">
        <v>-0.1096477</v>
      </c>
      <c r="W749">
        <v>4.0565160000000003E-2</v>
      </c>
      <c r="X749">
        <v>0.99314239999999998</v>
      </c>
      <c r="Y749">
        <v>4.3493299999999999E-2</v>
      </c>
      <c r="Z749">
        <v>-2.0504540000000002E-3</v>
      </c>
      <c r="AA749">
        <v>0.99905160000000004</v>
      </c>
      <c r="AB749">
        <v>20</v>
      </c>
      <c r="AC749">
        <v>0.772199999999997</v>
      </c>
      <c r="AD749">
        <v>-7.1373800000000001E-2</v>
      </c>
      <c r="AE749">
        <v>-3.56999999999629E-2</v>
      </c>
      <c r="AF749">
        <v>3.8054560425633203E-2</v>
      </c>
      <c r="AG749">
        <v>-7.1373800000000001E-2</v>
      </c>
      <c r="AH749">
        <v>0.76554526979256299</v>
      </c>
      <c r="AI749">
        <v>95.319907945475194</v>
      </c>
      <c r="AJ749">
        <v>87.154221236306199</v>
      </c>
      <c r="AK749">
        <v>0.76980642306842095</v>
      </c>
      <c r="AL749">
        <v>87.675149609760297</v>
      </c>
      <c r="AM749">
        <v>96.300214209066695</v>
      </c>
      <c r="AN749">
        <v>0.99999998849943705</v>
      </c>
    </row>
    <row r="750" spans="1:40" x14ac:dyDescent="0.3">
      <c r="A750" t="str">
        <f>"20200111145927426"</f>
        <v>20200111145927426</v>
      </c>
      <c r="B750" t="str">
        <f>"1578725967416064"</f>
        <v>1578725967416064</v>
      </c>
      <c r="C750" t="s">
        <v>40</v>
      </c>
      <c r="D750">
        <v>4.2315620000000003</v>
      </c>
      <c r="E750">
        <v>0.54210760000000002</v>
      </c>
      <c r="F750" t="s">
        <v>41</v>
      </c>
      <c r="G750">
        <v>-413.05599999999998</v>
      </c>
      <c r="H750">
        <v>0.99134949999999999</v>
      </c>
      <c r="I750">
        <v>367.22969999999998</v>
      </c>
      <c r="J750">
        <v>-413.7242</v>
      </c>
      <c r="K750">
        <v>1.0544420000000001</v>
      </c>
      <c r="L750">
        <v>367.26159999999999</v>
      </c>
      <c r="M750">
        <v>0.99994019999999995</v>
      </c>
      <c r="N750">
        <v>0</v>
      </c>
      <c r="O750">
        <v>3.4379860000000001E-3</v>
      </c>
      <c r="P750">
        <v>0.99316260000000001</v>
      </c>
      <c r="Q750">
        <v>3.0751049999999999E-2</v>
      </c>
      <c r="R750">
        <v>0.1126162</v>
      </c>
      <c r="S750">
        <v>3.0422669999999998</v>
      </c>
      <c r="T750">
        <v>-0.24745449999999999</v>
      </c>
      <c r="U750">
        <v>-0.1229553</v>
      </c>
      <c r="V750">
        <v>-0.109195899999999</v>
      </c>
      <c r="W750">
        <v>4.1093520000000001E-2</v>
      </c>
      <c r="X750">
        <v>0.99317049999999996</v>
      </c>
      <c r="Y750">
        <v>4.3662550000000001E-2</v>
      </c>
      <c r="Z750">
        <v>-2.0511710000000001E-3</v>
      </c>
      <c r="AA750">
        <v>0.99904420000000005</v>
      </c>
      <c r="AB750">
        <v>20</v>
      </c>
      <c r="AC750">
        <v>0.66820000000001301</v>
      </c>
      <c r="AD750">
        <v>-6.3092499999999996E-2</v>
      </c>
      <c r="AE750">
        <v>-3.1900000000007298E-2</v>
      </c>
      <c r="AF750">
        <v>3.3895689864746101E-2</v>
      </c>
      <c r="AG750">
        <v>-6.3092499999999996E-2</v>
      </c>
      <c r="AH750">
        <v>0.662196032177229</v>
      </c>
      <c r="AI750">
        <v>95.435506143199802</v>
      </c>
      <c r="AJ750">
        <v>87.069770279155094</v>
      </c>
      <c r="AK750">
        <v>0.66605793019745896</v>
      </c>
      <c r="AL750">
        <v>87.644851649040902</v>
      </c>
      <c r="AM750">
        <v>96.274285733424193</v>
      </c>
      <c r="AN750">
        <v>1.0000000320165201</v>
      </c>
    </row>
    <row r="751" spans="1:40" x14ac:dyDescent="0.3">
      <c r="A751" t="str">
        <f>"20200111145927438"</f>
        <v>20200111145927438</v>
      </c>
      <c r="B751" t="str">
        <f>"1578725967436560"</f>
        <v>1578725967436560</v>
      </c>
      <c r="C751" t="s">
        <v>40</v>
      </c>
      <c r="D751">
        <v>4.2993249999999996</v>
      </c>
      <c r="E751">
        <v>0.54432290000000005</v>
      </c>
      <c r="F751" t="s">
        <v>41</v>
      </c>
      <c r="G751">
        <v>-412.8947</v>
      </c>
      <c r="H751">
        <v>0.96078050000000004</v>
      </c>
      <c r="I751">
        <v>367.26260000000002</v>
      </c>
      <c r="J751">
        <v>-413.61599999999999</v>
      </c>
      <c r="K751">
        <v>1.054443</v>
      </c>
      <c r="L751">
        <v>367.26190000000003</v>
      </c>
      <c r="M751">
        <v>0.99994000000000005</v>
      </c>
      <c r="N751">
        <v>0</v>
      </c>
      <c r="O751">
        <v>3.4066109999999999E-3</v>
      </c>
      <c r="P751">
        <v>0.99318030000000002</v>
      </c>
      <c r="Q751">
        <v>3.114403E-2</v>
      </c>
      <c r="R751">
        <v>0.11235340000000001</v>
      </c>
      <c r="S751">
        <v>3.0307309999999998</v>
      </c>
      <c r="T751">
        <v>-0.34241959999999999</v>
      </c>
      <c r="U751">
        <v>4.3945310000000001E-3</v>
      </c>
      <c r="V751">
        <v>-0.1089648</v>
      </c>
      <c r="W751">
        <v>4.1501830000000003E-2</v>
      </c>
      <c r="X751">
        <v>0.99317880000000003</v>
      </c>
      <c r="Y751">
        <v>1.9229029999999999E-3</v>
      </c>
      <c r="Z751">
        <v>-4.9196940000000001E-4</v>
      </c>
      <c r="AA751">
        <v>0.99999800000000005</v>
      </c>
      <c r="AB751">
        <v>20</v>
      </c>
      <c r="AC751">
        <v>0.72129999999998495</v>
      </c>
      <c r="AD751">
        <v>-9.3662499999999899E-2</v>
      </c>
      <c r="AE751">
        <v>6.9999999999481501E-4</v>
      </c>
      <c r="AF751">
        <v>1.7281857503322899E-3</v>
      </c>
      <c r="AG751">
        <v>-9.3662499999999899E-2</v>
      </c>
      <c r="AH751">
        <v>0.70933761975119303</v>
      </c>
      <c r="AI751">
        <v>97.521924729482095</v>
      </c>
      <c r="AJ751">
        <v>89.860408427471199</v>
      </c>
      <c r="AK751">
        <v>0.71549668715272596</v>
      </c>
      <c r="AL751">
        <v>87.621436989943206</v>
      </c>
      <c r="AM751">
        <v>96.261060623326301</v>
      </c>
      <c r="AN751">
        <v>0.99999992915091196</v>
      </c>
    </row>
    <row r="752" spans="1:40" x14ac:dyDescent="0.3">
      <c r="A752" t="str">
        <f>"20200111145927458"</f>
        <v>20200111145927458</v>
      </c>
      <c r="B752" t="str">
        <f>"1578725967446320"</f>
        <v>1578725967446320</v>
      </c>
      <c r="C752" t="s">
        <v>40</v>
      </c>
      <c r="D752">
        <v>4.2610859999999997</v>
      </c>
      <c r="E752">
        <v>0.54483400000000004</v>
      </c>
      <c r="F752" t="s">
        <v>41</v>
      </c>
      <c r="G752">
        <v>-412.88459999999998</v>
      </c>
      <c r="H752">
        <v>0.98201039999999995</v>
      </c>
      <c r="I752">
        <v>367.25839999999999</v>
      </c>
      <c r="J752">
        <v>-413.45639999999997</v>
      </c>
      <c r="K752">
        <v>1.054443</v>
      </c>
      <c r="L752">
        <v>367.26240000000001</v>
      </c>
      <c r="M752">
        <v>0.99994000000000005</v>
      </c>
      <c r="N752">
        <v>0</v>
      </c>
      <c r="O752">
        <v>3.3601849999999999E-3</v>
      </c>
      <c r="P752">
        <v>0.99322529999999998</v>
      </c>
      <c r="Q752">
        <v>3.1431460000000001E-2</v>
      </c>
      <c r="R752">
        <v>0.111875</v>
      </c>
      <c r="S752">
        <v>3.0315859999999999</v>
      </c>
      <c r="T752">
        <v>-0.30041839999999997</v>
      </c>
      <c r="U752">
        <v>-1.400757E-2</v>
      </c>
      <c r="V752">
        <v>-0.108532</v>
      </c>
      <c r="W752">
        <v>4.1811029999999999E-2</v>
      </c>
      <c r="X752">
        <v>0.99321329999999997</v>
      </c>
      <c r="Y752">
        <v>7.9255230000000003E-3</v>
      </c>
      <c r="Z752">
        <v>-7.2391739999999995E-4</v>
      </c>
      <c r="AA752">
        <v>0.99996830000000003</v>
      </c>
      <c r="AB752">
        <v>20</v>
      </c>
      <c r="AC752">
        <v>0.57179999999999598</v>
      </c>
      <c r="AD752">
        <v>-7.24326E-2</v>
      </c>
      <c r="AE752">
        <v>-4.0000000000190898E-3</v>
      </c>
      <c r="AF752">
        <v>5.8279225570090501E-3</v>
      </c>
      <c r="AG752">
        <v>-7.24326E-2</v>
      </c>
      <c r="AH752">
        <v>0.56275355688906203</v>
      </c>
      <c r="AI752">
        <v>97.333887048245003</v>
      </c>
      <c r="AJ752">
        <v>89.406661361400793</v>
      </c>
      <c r="AK752">
        <v>0.56742577665751204</v>
      </c>
      <c r="AL752">
        <v>87.603705932479897</v>
      </c>
      <c r="AM752">
        <v>96.236173579853897</v>
      </c>
      <c r="AN752">
        <v>1.00000000827527</v>
      </c>
    </row>
    <row r="753" spans="1:40" x14ac:dyDescent="0.3">
      <c r="A753" t="str">
        <f>"20200111145927468"</f>
        <v>20200111145927468</v>
      </c>
      <c r="B753" t="str">
        <f>"1578725967456080"</f>
        <v>1578725967456080</v>
      </c>
      <c r="C753" t="s">
        <v>40</v>
      </c>
      <c r="D753">
        <v>4.2852569999999996</v>
      </c>
      <c r="E753">
        <v>0.54524399999999995</v>
      </c>
      <c r="F753" t="s">
        <v>41</v>
      </c>
      <c r="G753">
        <v>-412.71089999999998</v>
      </c>
      <c r="H753">
        <v>0.97755400000000003</v>
      </c>
      <c r="I753">
        <v>367.25749999999999</v>
      </c>
      <c r="J753">
        <v>-413.3587</v>
      </c>
      <c r="K753">
        <v>1.0544450000000001</v>
      </c>
      <c r="L753">
        <v>367.2627</v>
      </c>
      <c r="M753">
        <v>0.99994000000000005</v>
      </c>
      <c r="N753">
        <v>0</v>
      </c>
      <c r="O753">
        <v>3.3315129999999999E-3</v>
      </c>
      <c r="P753">
        <v>0.99323550000000005</v>
      </c>
      <c r="Q753">
        <v>3.134754E-2</v>
      </c>
      <c r="R753">
        <v>0.1118075</v>
      </c>
      <c r="S753">
        <v>3.032562</v>
      </c>
      <c r="T753">
        <v>-0.31290590000000001</v>
      </c>
      <c r="U753">
        <v>-1.9409180000000002E-2</v>
      </c>
      <c r="V753">
        <v>-0.10849350000000001</v>
      </c>
      <c r="W753">
        <v>4.1739560000000002E-2</v>
      </c>
      <c r="X753">
        <v>0.99322049999999995</v>
      </c>
      <c r="Y753">
        <v>9.6627299999999996E-3</v>
      </c>
      <c r="Z753">
        <v>-8.4004289999999905E-4</v>
      </c>
      <c r="AA753">
        <v>0.99995299999999998</v>
      </c>
      <c r="AB753">
        <v>20</v>
      </c>
      <c r="AC753">
        <v>0.64780000000001703</v>
      </c>
      <c r="AD753">
        <v>-7.6891000000000001E-2</v>
      </c>
      <c r="AE753">
        <v>-5.2000000000020901E-3</v>
      </c>
      <c r="AF753">
        <v>7.2560218719309602E-3</v>
      </c>
      <c r="AG753">
        <v>-7.6891000000000001E-2</v>
      </c>
      <c r="AH753">
        <v>0.63878011537450696</v>
      </c>
      <c r="AI753">
        <v>96.863324175301997</v>
      </c>
      <c r="AJ753">
        <v>89.349194598282196</v>
      </c>
      <c r="AK753">
        <v>0.643432134364048</v>
      </c>
      <c r="AL753">
        <v>87.607804410332704</v>
      </c>
      <c r="AM753">
        <v>96.233933981890701</v>
      </c>
      <c r="AN753">
        <v>0.99999999601574596</v>
      </c>
    </row>
    <row r="754" spans="1:40" x14ac:dyDescent="0.3">
      <c r="A754" t="str">
        <f>"20200111145927480"</f>
        <v>20200111145927480</v>
      </c>
      <c r="B754" t="str">
        <f>"1578725967476576"</f>
        <v>1578725967476576</v>
      </c>
      <c r="C754" t="s">
        <v>40</v>
      </c>
      <c r="D754">
        <v>4.3386230000000001</v>
      </c>
      <c r="E754">
        <v>0.54497869999999904</v>
      </c>
      <c r="F754" t="s">
        <v>41</v>
      </c>
      <c r="G754">
        <v>-412.53789999999998</v>
      </c>
      <c r="H754">
        <v>0.9715203</v>
      </c>
      <c r="I754">
        <v>367.25630000000001</v>
      </c>
      <c r="J754">
        <v>-413.25369999999998</v>
      </c>
      <c r="K754">
        <v>1.0544450000000001</v>
      </c>
      <c r="L754">
        <v>367.26299999999998</v>
      </c>
      <c r="M754">
        <v>0.99993989999999999</v>
      </c>
      <c r="N754">
        <v>0</v>
      </c>
      <c r="O754">
        <v>3.300692E-3</v>
      </c>
      <c r="P754">
        <v>0.99324210000000002</v>
      </c>
      <c r="Q754">
        <v>3.1599780000000001E-2</v>
      </c>
      <c r="R754">
        <v>0.111676</v>
      </c>
      <c r="S754">
        <v>3.0326840000000002</v>
      </c>
      <c r="T754">
        <v>-0.30644090000000002</v>
      </c>
      <c r="U754">
        <v>-2.2979739999999999E-2</v>
      </c>
      <c r="V754">
        <v>-0.1083919</v>
      </c>
      <c r="W754">
        <v>4.2003980000000003E-2</v>
      </c>
      <c r="X754">
        <v>0.9932204</v>
      </c>
      <c r="Y754">
        <v>1.0806049999999999E-2</v>
      </c>
      <c r="Z754">
        <v>-8.7724910000000001E-4</v>
      </c>
      <c r="AA754">
        <v>0.99994119999999997</v>
      </c>
      <c r="AB754">
        <v>20</v>
      </c>
      <c r="AC754">
        <v>0.71580000000000099</v>
      </c>
      <c r="AD754">
        <v>-8.2924699999999907E-2</v>
      </c>
      <c r="AE754">
        <v>-6.7000000000234598E-3</v>
      </c>
      <c r="AF754">
        <v>8.9427183778524599E-3</v>
      </c>
      <c r="AG754">
        <v>-8.2924699999999907E-2</v>
      </c>
      <c r="AH754">
        <v>0.706295631054074</v>
      </c>
      <c r="AI754">
        <v>96.695789952409697</v>
      </c>
      <c r="AJ754">
        <v>89.274591799372303</v>
      </c>
      <c r="AK754">
        <v>0.71120320340121301</v>
      </c>
      <c r="AL754">
        <v>87.592640852477601</v>
      </c>
      <c r="AM754">
        <v>96.228142663465505</v>
      </c>
      <c r="AN754">
        <v>0.99999995064880398</v>
      </c>
    </row>
    <row r="755" spans="1:40" x14ac:dyDescent="0.3">
      <c r="A755" t="str">
        <f>"20200111145927491"</f>
        <v>20200111145927491</v>
      </c>
      <c r="B755" t="str">
        <f>"1578725967486338"</f>
        <v>1578725967486338</v>
      </c>
      <c r="C755" t="s">
        <v>40</v>
      </c>
      <c r="D755">
        <v>4.346508</v>
      </c>
      <c r="E755">
        <v>0.5456008</v>
      </c>
      <c r="F755" t="s">
        <v>41</v>
      </c>
      <c r="G755">
        <v>-412.53300000000002</v>
      </c>
      <c r="H755">
        <v>0.98162530000000003</v>
      </c>
      <c r="I755">
        <v>367.25790000000001</v>
      </c>
      <c r="J755">
        <v>-413.15859999999998</v>
      </c>
      <c r="K755">
        <v>1.054446</v>
      </c>
      <c r="L755">
        <v>367.26330000000002</v>
      </c>
      <c r="M755">
        <v>0.99993989999999999</v>
      </c>
      <c r="N755">
        <v>0</v>
      </c>
      <c r="O755">
        <v>3.2726729999999998E-3</v>
      </c>
      <c r="P755">
        <v>0.99326550000000002</v>
      </c>
      <c r="Q755">
        <v>3.1551419999999997E-2</v>
      </c>
      <c r="R755">
        <v>0.11148379999999999</v>
      </c>
      <c r="S755">
        <v>3.0324399999999998</v>
      </c>
      <c r="T755">
        <v>-0.30644549999999998</v>
      </c>
      <c r="U755">
        <v>-2.087402E-2</v>
      </c>
      <c r="V755">
        <v>-0.1082277</v>
      </c>
      <c r="W755">
        <v>4.196776E-2</v>
      </c>
      <c r="X755">
        <v>0.99323989999999995</v>
      </c>
      <c r="Y755">
        <v>1.0088099999999999E-2</v>
      </c>
      <c r="Z755">
        <v>-8.3832660000000001E-4</v>
      </c>
      <c r="AA755">
        <v>0.99994870000000002</v>
      </c>
      <c r="AB755">
        <v>20</v>
      </c>
      <c r="AC755">
        <v>0.62559999999996296</v>
      </c>
      <c r="AD755">
        <v>-7.2820699999999905E-2</v>
      </c>
      <c r="AE755">
        <v>-5.4000000000087303E-3</v>
      </c>
      <c r="AF755">
        <v>7.3479158445140802E-3</v>
      </c>
      <c r="AG755">
        <v>-7.2820699999999905E-2</v>
      </c>
      <c r="AH755">
        <v>0.61721675638255302</v>
      </c>
      <c r="AI755">
        <v>96.728313694228603</v>
      </c>
      <c r="AJ755">
        <v>89.317930574320499</v>
      </c>
      <c r="AK755">
        <v>0.62154112540937101</v>
      </c>
      <c r="AL755">
        <v>87.594718088395894</v>
      </c>
      <c r="AM755">
        <v>96.218660660566201</v>
      </c>
      <c r="AN755">
        <v>1.0000000134393501</v>
      </c>
    </row>
    <row r="756" spans="1:40" x14ac:dyDescent="0.3">
      <c r="A756" t="str">
        <f>"20200111145927503"</f>
        <v>20200111145927503</v>
      </c>
      <c r="B756" t="str">
        <f>"1578725967496096"</f>
        <v>1578725967496096</v>
      </c>
      <c r="C756" t="s">
        <v>40</v>
      </c>
      <c r="D756">
        <v>4.3196479999999999</v>
      </c>
      <c r="E756">
        <v>0.54559069999999898</v>
      </c>
      <c r="F756" t="s">
        <v>41</v>
      </c>
      <c r="G756">
        <v>-412.36219999999997</v>
      </c>
      <c r="H756">
        <v>0.97072890000000001</v>
      </c>
      <c r="I756">
        <v>367.25630000000001</v>
      </c>
      <c r="J756">
        <v>-413.05149999999998</v>
      </c>
      <c r="K756">
        <v>1.0544469999999999</v>
      </c>
      <c r="L756">
        <v>367.2636</v>
      </c>
      <c r="M756">
        <v>0.99993969999999999</v>
      </c>
      <c r="N756">
        <v>0</v>
      </c>
      <c r="O756">
        <v>3.2414240000000001E-3</v>
      </c>
      <c r="P756">
        <v>0.99325980000000003</v>
      </c>
      <c r="Q756">
        <v>3.1548729999999997E-2</v>
      </c>
      <c r="R756">
        <v>0.11153339999999901</v>
      </c>
      <c r="S756">
        <v>3.033417</v>
      </c>
      <c r="T756">
        <v>-0.31883869999999997</v>
      </c>
      <c r="U756">
        <v>-2.6428219999999999E-2</v>
      </c>
      <c r="V756">
        <v>-0.1083081</v>
      </c>
      <c r="W756">
        <v>4.1978719999999997E-2</v>
      </c>
      <c r="X756">
        <v>0.99323059999999996</v>
      </c>
      <c r="Y756">
        <v>1.1870220000000001E-2</v>
      </c>
      <c r="Z756">
        <v>-9.6188630000000001E-4</v>
      </c>
      <c r="AA756">
        <v>0.99992910000000002</v>
      </c>
      <c r="AB756">
        <v>20</v>
      </c>
      <c r="AC756">
        <v>0.68930000000000202</v>
      </c>
      <c r="AD756">
        <v>-8.3718099999999795E-2</v>
      </c>
      <c r="AE756">
        <v>-7.2999999999865299E-3</v>
      </c>
      <c r="AF756">
        <v>9.3958158443752503E-3</v>
      </c>
      <c r="AG756">
        <v>-8.3718099999999795E-2</v>
      </c>
      <c r="AH756">
        <v>0.67925414418874597</v>
      </c>
      <c r="AI756">
        <v>97.025606975831906</v>
      </c>
      <c r="AJ756">
        <v>89.207503897831302</v>
      </c>
      <c r="AK756">
        <v>0.68445832160956099</v>
      </c>
      <c r="AL756">
        <v>87.594089398669695</v>
      </c>
      <c r="AM756">
        <v>96.223301946519101</v>
      </c>
      <c r="AN756">
        <v>0.99999994111740198</v>
      </c>
    </row>
    <row r="757" spans="1:40" x14ac:dyDescent="0.3">
      <c r="A757" t="str">
        <f>"20200111145927514"</f>
        <v>20200111145927514</v>
      </c>
      <c r="B757" t="str">
        <f>"1578725967506832"</f>
        <v>1578725967506832</v>
      </c>
      <c r="C757" t="s">
        <v>40</v>
      </c>
      <c r="D757">
        <v>4.3792289999999996</v>
      </c>
      <c r="E757">
        <v>0.5459387</v>
      </c>
      <c r="F757" t="s">
        <v>41</v>
      </c>
      <c r="G757">
        <v>-412.18849999999998</v>
      </c>
      <c r="H757">
        <v>0.96513349999999998</v>
      </c>
      <c r="I757">
        <v>367.25580000000002</v>
      </c>
      <c r="J757">
        <v>-412.95269999999999</v>
      </c>
      <c r="K757">
        <v>1.0544469999999999</v>
      </c>
      <c r="L757">
        <v>367.26389999999998</v>
      </c>
      <c r="M757">
        <v>0.99993969999999999</v>
      </c>
      <c r="N757">
        <v>0</v>
      </c>
      <c r="O757">
        <v>3.212735E-3</v>
      </c>
      <c r="P757">
        <v>0.99326519999999996</v>
      </c>
      <c r="Q757">
        <v>3.1507760000000003E-2</v>
      </c>
      <c r="R757">
        <v>0.111497</v>
      </c>
      <c r="S757">
        <v>3.033264</v>
      </c>
      <c r="T757">
        <v>-0.31415209999999999</v>
      </c>
      <c r="U757">
        <v>-2.6184079999999998E-2</v>
      </c>
      <c r="V757">
        <v>-0.1083002</v>
      </c>
      <c r="W757">
        <v>4.1951570000000001E-2</v>
      </c>
      <c r="X757">
        <v>0.99323269999999997</v>
      </c>
      <c r="Y757">
        <v>1.176463E-2</v>
      </c>
      <c r="Z757">
        <v>-9.3945409999999997E-4</v>
      </c>
      <c r="AA757">
        <v>0.9999304</v>
      </c>
      <c r="AB757">
        <v>20</v>
      </c>
      <c r="AC757">
        <v>0.76420000000001598</v>
      </c>
      <c r="AD757">
        <v>-8.9313500000000004E-2</v>
      </c>
      <c r="AE757">
        <v>-8.0999999999562498E-3</v>
      </c>
      <c r="AF757">
        <v>1.04130493901274E-2</v>
      </c>
      <c r="AG757">
        <v>-8.9313500000000004E-2</v>
      </c>
      <c r="AH757">
        <v>0.75387399335956096</v>
      </c>
      <c r="AI757">
        <v>96.755854719764201</v>
      </c>
      <c r="AJ757">
        <v>89.208639841682199</v>
      </c>
      <c r="AK757">
        <v>0.75921757799970802</v>
      </c>
      <c r="AL757">
        <v>87.595646569248601</v>
      </c>
      <c r="AM757">
        <v>96.222838526055796</v>
      </c>
      <c r="AN757">
        <v>1.0000000319473901</v>
      </c>
    </row>
    <row r="758" spans="1:40" x14ac:dyDescent="0.3">
      <c r="A758" t="str">
        <f>"20200111145927525"</f>
        <v>20200111145927525</v>
      </c>
      <c r="B758" t="str">
        <f>"1578725967517018"</f>
        <v>1578725967517018</v>
      </c>
      <c r="C758" t="s">
        <v>40</v>
      </c>
      <c r="D758">
        <v>4.3355230000000002</v>
      </c>
      <c r="E758">
        <v>0.54606650000000001</v>
      </c>
      <c r="F758" t="s">
        <v>41</v>
      </c>
      <c r="G758">
        <v>-412.18380000000002</v>
      </c>
      <c r="H758">
        <v>0.97483810000000004</v>
      </c>
      <c r="I758">
        <v>367.25619999999998</v>
      </c>
      <c r="J758">
        <v>-412.8503</v>
      </c>
      <c r="K758">
        <v>1.0544439999999999</v>
      </c>
      <c r="L758">
        <v>367.26420000000002</v>
      </c>
      <c r="M758">
        <v>0.99993969999999999</v>
      </c>
      <c r="N758">
        <v>0</v>
      </c>
      <c r="O758">
        <v>3.1829100000000002E-3</v>
      </c>
      <c r="P758">
        <v>0.99327500000000002</v>
      </c>
      <c r="Q758">
        <v>3.1430239999999998E-2</v>
      </c>
      <c r="R758">
        <v>0.11143119999999999</v>
      </c>
      <c r="S758">
        <v>3.033569</v>
      </c>
      <c r="T758">
        <v>-0.3143241</v>
      </c>
      <c r="U758">
        <v>-2.8991699999999999E-2</v>
      </c>
      <c r="V758">
        <v>-0.108264</v>
      </c>
      <c r="W758">
        <v>4.1889639999999999E-2</v>
      </c>
      <c r="X758">
        <v>0.99323919999999999</v>
      </c>
      <c r="Y758">
        <v>1.265463E-2</v>
      </c>
      <c r="Z758">
        <v>-9.8277070000000002E-4</v>
      </c>
      <c r="AA758">
        <v>0.99991940000000001</v>
      </c>
      <c r="AB758">
        <v>20</v>
      </c>
      <c r="AC758">
        <v>0.66649999999998499</v>
      </c>
      <c r="AD758">
        <v>-7.9605900000000201E-2</v>
      </c>
      <c r="AE758">
        <v>-8.0000000000381901E-3</v>
      </c>
      <c r="AF758">
        <v>9.9791480861448501E-3</v>
      </c>
      <c r="AG758">
        <v>-7.9605900000000201E-2</v>
      </c>
      <c r="AH758">
        <v>0.657098599813978</v>
      </c>
      <c r="AI758">
        <v>96.906793515798498</v>
      </c>
      <c r="AJ758">
        <v>89.1299340487721</v>
      </c>
      <c r="AK758">
        <v>0.661978287097716</v>
      </c>
      <c r="AL758">
        <v>87.599197874736205</v>
      </c>
      <c r="AM758">
        <v>96.220734423893703</v>
      </c>
      <c r="AN758">
        <v>0.99999997202598401</v>
      </c>
    </row>
    <row r="759" spans="1:40" x14ac:dyDescent="0.3">
      <c r="A759" t="str">
        <f>"20200111145927538"</f>
        <v>20200111145927538</v>
      </c>
      <c r="B759" t="str">
        <f>"1578725967526779"</f>
        <v>1578725967526779</v>
      </c>
      <c r="C759" t="s">
        <v>40</v>
      </c>
      <c r="D759">
        <v>4.3392480000000004</v>
      </c>
      <c r="E759">
        <v>0.54611549999999998</v>
      </c>
      <c r="F759" t="s">
        <v>41</v>
      </c>
      <c r="G759">
        <v>-412.01190000000003</v>
      </c>
      <c r="H759">
        <v>0.96530510000000003</v>
      </c>
      <c r="I759">
        <v>367.25599999999997</v>
      </c>
      <c r="J759">
        <v>-412.7407</v>
      </c>
      <c r="K759">
        <v>1.0544450000000001</v>
      </c>
      <c r="L759">
        <v>367.2645</v>
      </c>
      <c r="M759">
        <v>0.99993969999999999</v>
      </c>
      <c r="N759">
        <v>0</v>
      </c>
      <c r="O759">
        <v>3.1506339999999998E-3</v>
      </c>
      <c r="P759">
        <v>0.99330339999999995</v>
      </c>
      <c r="Q759">
        <v>3.1216810000000001E-2</v>
      </c>
      <c r="R759">
        <v>0.11123710000000001</v>
      </c>
      <c r="S759">
        <v>3.0338750000000001</v>
      </c>
      <c r="T759">
        <v>-0.32257750000000002</v>
      </c>
      <c r="U759">
        <v>-2.996826E-2</v>
      </c>
      <c r="V759">
        <v>-0.108102</v>
      </c>
      <c r="W759">
        <v>4.1692390000000003E-2</v>
      </c>
      <c r="X759">
        <v>0.99326519999999996</v>
      </c>
      <c r="Y759">
        <v>1.293734E-2</v>
      </c>
      <c r="Z759">
        <v>-1.019895E-3</v>
      </c>
      <c r="AA759">
        <v>0.99991580000000002</v>
      </c>
      <c r="AB759">
        <v>20</v>
      </c>
      <c r="AC759">
        <v>0.72879999999997802</v>
      </c>
      <c r="AD759">
        <v>-8.9139900000000105E-2</v>
      </c>
      <c r="AE759">
        <v>-8.5000000000263701E-3</v>
      </c>
      <c r="AF759">
        <v>1.06371581720935E-2</v>
      </c>
      <c r="AG759">
        <v>-8.9139900000000105E-2</v>
      </c>
      <c r="AH759">
        <v>0.71802944084220899</v>
      </c>
      <c r="AI759">
        <v>97.076019109389904</v>
      </c>
      <c r="AJ759">
        <v>89.151260860667904</v>
      </c>
      <c r="AK759">
        <v>0.72361961611205905</v>
      </c>
      <c r="AL759">
        <v>87.610509482592605</v>
      </c>
      <c r="AM759">
        <v>96.211337569325806</v>
      </c>
      <c r="AN759">
        <v>1.00000002765947</v>
      </c>
    </row>
    <row r="760" spans="1:40" x14ac:dyDescent="0.3">
      <c r="A760" t="str">
        <f>"20200111145927551"</f>
        <v>20200111145927551</v>
      </c>
      <c r="B760" t="str">
        <f>"1578725967546298"</f>
        <v>1578725967546298</v>
      </c>
      <c r="C760" t="s">
        <v>40</v>
      </c>
      <c r="D760">
        <v>4.4304139999999999</v>
      </c>
      <c r="E760">
        <v>0.54640580000000005</v>
      </c>
      <c r="F760" t="s">
        <v>41</v>
      </c>
      <c r="G760">
        <v>-412.00659999999999</v>
      </c>
      <c r="H760">
        <v>0.97626939999999995</v>
      </c>
      <c r="I760">
        <v>367.25700000000001</v>
      </c>
      <c r="J760">
        <v>-412.63389999999998</v>
      </c>
      <c r="K760">
        <v>1.054443</v>
      </c>
      <c r="L760">
        <v>367.26479999999998</v>
      </c>
      <c r="M760">
        <v>0.99993949999999998</v>
      </c>
      <c r="N760">
        <v>0</v>
      </c>
      <c r="O760">
        <v>3.1194370000000001E-3</v>
      </c>
      <c r="P760">
        <v>0.99331780000000003</v>
      </c>
      <c r="Q760">
        <v>3.111599E-2</v>
      </c>
      <c r="R760">
        <v>0.1111369</v>
      </c>
      <c r="S760">
        <v>3.0338440000000002</v>
      </c>
      <c r="T760">
        <v>-0.32303290000000001</v>
      </c>
      <c r="U760">
        <v>-3.1097409999999999E-2</v>
      </c>
      <c r="V760">
        <v>-0.1080327</v>
      </c>
      <c r="W760">
        <v>4.160759E-2</v>
      </c>
      <c r="X760">
        <v>0.99327619999999905</v>
      </c>
      <c r="Y760">
        <v>1.3276359999999999E-2</v>
      </c>
      <c r="Z760">
        <v>-1.0360199999999999E-3</v>
      </c>
      <c r="AA760">
        <v>0.99991129999999995</v>
      </c>
      <c r="AB760">
        <v>20</v>
      </c>
      <c r="AC760">
        <v>0.62729999999999098</v>
      </c>
      <c r="AD760">
        <v>-7.8173599999999996E-2</v>
      </c>
      <c r="AE760">
        <v>-7.8000000000315499E-3</v>
      </c>
      <c r="AF760">
        <v>9.6077097021250793E-3</v>
      </c>
      <c r="AG760">
        <v>-7.8173599999999996E-2</v>
      </c>
      <c r="AH760">
        <v>0.61768154301044598</v>
      </c>
      <c r="AI760">
        <v>97.212126411111697</v>
      </c>
      <c r="AJ760">
        <v>89.108866316911502</v>
      </c>
      <c r="AK760">
        <v>0.62268283130213697</v>
      </c>
      <c r="AL760">
        <v>87.615372157591906</v>
      </c>
      <c r="AM760">
        <v>96.207318609366894</v>
      </c>
      <c r="AN760">
        <v>0.999999932650666</v>
      </c>
    </row>
    <row r="761" spans="1:40" x14ac:dyDescent="0.3">
      <c r="A761" t="str">
        <f>"20200111145927562"</f>
        <v>20200111145927562</v>
      </c>
      <c r="B761" t="str">
        <f>"1578725967556058"</f>
        <v>1578725967556058</v>
      </c>
      <c r="C761" t="s">
        <v>40</v>
      </c>
      <c r="D761">
        <v>4.3674790000000003</v>
      </c>
      <c r="E761">
        <v>0.54648949999999996</v>
      </c>
      <c r="F761" t="s">
        <v>41</v>
      </c>
      <c r="G761">
        <v>-411.83319999999998</v>
      </c>
      <c r="H761">
        <v>0.96971949999999996</v>
      </c>
      <c r="I761">
        <v>367.25560000000002</v>
      </c>
      <c r="J761">
        <v>-412.52510000000001</v>
      </c>
      <c r="K761">
        <v>1.0544439999999999</v>
      </c>
      <c r="L761">
        <v>367.26510000000002</v>
      </c>
      <c r="M761">
        <v>0.99993949999999998</v>
      </c>
      <c r="N761">
        <v>0</v>
      </c>
      <c r="O761">
        <v>3.0877029999999998E-3</v>
      </c>
      <c r="P761">
        <v>0.9933613</v>
      </c>
      <c r="Q761">
        <v>3.0670530000000001E-2</v>
      </c>
      <c r="R761">
        <v>0.1108736</v>
      </c>
      <c r="S761">
        <v>3.0339969999999998</v>
      </c>
      <c r="T761">
        <v>-0.32125039999999999</v>
      </c>
      <c r="U761">
        <v>-3.3569340000000003E-2</v>
      </c>
      <c r="V761">
        <v>-0.1078012</v>
      </c>
      <c r="W761">
        <v>4.1177850000000002E-2</v>
      </c>
      <c r="X761">
        <v>0.99331930000000002</v>
      </c>
      <c r="Y761">
        <v>1.405553E-2</v>
      </c>
      <c r="Z761">
        <v>-1.0680640000000001E-3</v>
      </c>
      <c r="AA761">
        <v>0.99990060000000003</v>
      </c>
      <c r="AB761">
        <v>20</v>
      </c>
      <c r="AC761">
        <v>0.69190000000003204</v>
      </c>
      <c r="AD761">
        <v>-8.4724500000000202E-2</v>
      </c>
      <c r="AE761">
        <v>-9.5000000000027198E-3</v>
      </c>
      <c r="AF761">
        <v>1.14645824533982E-2</v>
      </c>
      <c r="AG761">
        <v>-8.4724500000000202E-2</v>
      </c>
      <c r="AH761">
        <v>0.68164833175815698</v>
      </c>
      <c r="AI761">
        <v>97.084168030897104</v>
      </c>
      <c r="AJ761">
        <v>89.036438247364202</v>
      </c>
      <c r="AK761">
        <v>0.68698917439779095</v>
      </c>
      <c r="AL761">
        <v>87.640015663312695</v>
      </c>
      <c r="AM761">
        <v>96.193853967804799</v>
      </c>
      <c r="AN761">
        <v>0.99999997290227505</v>
      </c>
    </row>
    <row r="762" spans="1:40" x14ac:dyDescent="0.3">
      <c r="A762" t="str">
        <f>"20200111145927573"</f>
        <v>20200111145927573</v>
      </c>
      <c r="B762" t="str">
        <f>"1578725967566794"</f>
        <v>1578725967566794</v>
      </c>
      <c r="C762" t="s">
        <v>40</v>
      </c>
      <c r="D762">
        <v>4.3203680000000002</v>
      </c>
      <c r="E762">
        <v>0.54656150000000003</v>
      </c>
      <c r="F762" t="s">
        <v>41</v>
      </c>
      <c r="G762">
        <v>-411.66059999999999</v>
      </c>
      <c r="H762">
        <v>0.96086050000000001</v>
      </c>
      <c r="I762">
        <v>367.25490000000002</v>
      </c>
      <c r="J762">
        <v>-412.42230000000001</v>
      </c>
      <c r="K762">
        <v>1.054443</v>
      </c>
      <c r="L762">
        <v>367.2654</v>
      </c>
      <c r="M762">
        <v>0.99993949999999998</v>
      </c>
      <c r="N762">
        <v>0</v>
      </c>
      <c r="O762">
        <v>3.057649E-3</v>
      </c>
      <c r="P762">
        <v>0.99339949999999999</v>
      </c>
      <c r="Q762">
        <v>3.0536290000000001E-2</v>
      </c>
      <c r="R762">
        <v>0.1105684</v>
      </c>
      <c r="S762">
        <v>3.0340880000000001</v>
      </c>
      <c r="T762">
        <v>-0.32854630000000001</v>
      </c>
      <c r="U762">
        <v>-3.4912110000000003E-2</v>
      </c>
      <c r="V762">
        <v>-0.1075256</v>
      </c>
      <c r="W762">
        <v>4.1057320000000001E-2</v>
      </c>
      <c r="X762">
        <v>0.99335419999999996</v>
      </c>
      <c r="Y762">
        <v>1.446103E-2</v>
      </c>
      <c r="Z762">
        <v>-1.11079E-3</v>
      </c>
      <c r="AA762">
        <v>0.99989479999999997</v>
      </c>
      <c r="AB762">
        <v>20</v>
      </c>
      <c r="AC762">
        <v>0.76170000000001803</v>
      </c>
      <c r="AD762">
        <v>-9.3582499999999999E-2</v>
      </c>
      <c r="AE762">
        <v>-1.0499999999979E-2</v>
      </c>
      <c r="AF762">
        <v>1.26383575738799E-2</v>
      </c>
      <c r="AG762">
        <v>-9.3582499999999999E-2</v>
      </c>
      <c r="AH762">
        <v>0.75034040155094905</v>
      </c>
      <c r="AI762">
        <v>97.108225265072903</v>
      </c>
      <c r="AJ762">
        <v>89.035029860792505</v>
      </c>
      <c r="AK762">
        <v>0.75625930115804496</v>
      </c>
      <c r="AL762">
        <v>87.646927461977</v>
      </c>
      <c r="AM762">
        <v>96.177926253506698</v>
      </c>
      <c r="AN762">
        <v>1.00000001241929</v>
      </c>
    </row>
    <row r="763" spans="1:40" x14ac:dyDescent="0.3">
      <c r="A763" t="str">
        <f>"20200111145927593"</f>
        <v>20200111145927593</v>
      </c>
      <c r="B763" t="str">
        <f>"1578725967586314"</f>
        <v>1578725967586314</v>
      </c>
      <c r="C763" t="s">
        <v>40</v>
      </c>
      <c r="D763">
        <v>4.4538270000000004</v>
      </c>
      <c r="E763">
        <v>0.54734589999999905</v>
      </c>
      <c r="F763" t="s">
        <v>41</v>
      </c>
      <c r="G763">
        <v>-411.65559999999999</v>
      </c>
      <c r="H763">
        <v>0.9712307</v>
      </c>
      <c r="I763">
        <v>367.2559</v>
      </c>
      <c r="J763">
        <v>-412.26130000000001</v>
      </c>
      <c r="K763">
        <v>1.054443</v>
      </c>
      <c r="L763">
        <v>367.26580000000001</v>
      </c>
      <c r="M763">
        <v>0.99993940000000003</v>
      </c>
      <c r="N763">
        <v>0</v>
      </c>
      <c r="O763">
        <v>3.0100999999999999E-3</v>
      </c>
      <c r="P763">
        <v>0.99344659999999996</v>
      </c>
      <c r="Q763">
        <v>3.0084690000000001E-2</v>
      </c>
      <c r="R763">
        <v>0.1102668</v>
      </c>
      <c r="S763">
        <v>3.034119</v>
      </c>
      <c r="T763">
        <v>-0.32940950000000002</v>
      </c>
      <c r="U763">
        <v>-3.6468510000000003E-2</v>
      </c>
      <c r="V763">
        <v>-0.1072712</v>
      </c>
      <c r="W763">
        <v>4.0625660000000001E-2</v>
      </c>
      <c r="X763">
        <v>0.99339940000000004</v>
      </c>
      <c r="Y763">
        <v>1.4923229999999999E-2</v>
      </c>
      <c r="Z763">
        <v>-1.133546E-3</v>
      </c>
      <c r="AA763">
        <v>0.999888</v>
      </c>
      <c r="AB763">
        <v>20</v>
      </c>
      <c r="AC763">
        <v>0.60570000000001301</v>
      </c>
      <c r="AD763">
        <v>-8.32123000000001E-2</v>
      </c>
      <c r="AE763">
        <v>-9.9000000000160002E-3</v>
      </c>
      <c r="AF763">
        <v>1.15061675635404E-2</v>
      </c>
      <c r="AG763">
        <v>-8.32123000000001E-2</v>
      </c>
      <c r="AH763">
        <v>0.594450888938168</v>
      </c>
      <c r="AI763">
        <v>97.967113994459893</v>
      </c>
      <c r="AJ763">
        <v>88.891123657330994</v>
      </c>
      <c r="AK763">
        <v>0.600357008889434</v>
      </c>
      <c r="AL763">
        <v>87.671680291780106</v>
      </c>
      <c r="AM763">
        <v>96.163143951669596</v>
      </c>
      <c r="AN763">
        <v>0.99999996126011703</v>
      </c>
    </row>
    <row r="764" spans="1:40" x14ac:dyDescent="0.3">
      <c r="A764" t="str">
        <f>"20200111145927605"</f>
        <v>20200111145927605</v>
      </c>
      <c r="B764" t="str">
        <f>"1578725967596075"</f>
        <v>1578725967596075</v>
      </c>
      <c r="C764" t="s">
        <v>40</v>
      </c>
      <c r="D764">
        <v>4.4470340000000004</v>
      </c>
      <c r="E764">
        <v>0.54779319999999998</v>
      </c>
      <c r="F764" t="s">
        <v>41</v>
      </c>
      <c r="G764">
        <v>-411.47989999999999</v>
      </c>
      <c r="H764">
        <v>0.96865650000000003</v>
      </c>
      <c r="I764">
        <v>367.25409999999999</v>
      </c>
      <c r="J764">
        <v>-412.15179999999998</v>
      </c>
      <c r="K764">
        <v>1.0544439999999999</v>
      </c>
      <c r="L764">
        <v>367.26609999999999</v>
      </c>
      <c r="M764">
        <v>0.99993940000000003</v>
      </c>
      <c r="N764">
        <v>0</v>
      </c>
      <c r="O764">
        <v>2.9777290000000001E-3</v>
      </c>
      <c r="P764">
        <v>0.99343760000000003</v>
      </c>
      <c r="Q764">
        <v>3.0234730000000001E-2</v>
      </c>
      <c r="R764">
        <v>0.1103075</v>
      </c>
      <c r="S764">
        <v>3.0347900000000001</v>
      </c>
      <c r="T764">
        <v>-0.33349179999999901</v>
      </c>
      <c r="U764">
        <v>-4.3945310000000001E-2</v>
      </c>
      <c r="V764">
        <v>-0.10734440000000001</v>
      </c>
      <c r="W764">
        <v>4.0787650000000002E-2</v>
      </c>
      <c r="X764">
        <v>0.99338490000000002</v>
      </c>
      <c r="Y764">
        <v>1.7334269999999999E-2</v>
      </c>
      <c r="Z764">
        <v>-1.2757619999999999E-3</v>
      </c>
      <c r="AA764">
        <v>0.99984899999999999</v>
      </c>
      <c r="AB764">
        <v>20</v>
      </c>
      <c r="AC764">
        <v>0.67189999999999295</v>
      </c>
      <c r="AD764">
        <v>-8.57875000000001E-2</v>
      </c>
      <c r="AE764">
        <v>-1.2000000000000399E-2</v>
      </c>
      <c r="AF764">
        <v>1.37762869800197E-2</v>
      </c>
      <c r="AG764">
        <v>-8.57875000000001E-2</v>
      </c>
      <c r="AH764">
        <v>0.66108772375822</v>
      </c>
      <c r="AI764">
        <v>97.392207584012894</v>
      </c>
      <c r="AJ764">
        <v>88.806196444852006</v>
      </c>
      <c r="AK764">
        <v>0.666773019657387</v>
      </c>
      <c r="AL764">
        <v>87.662391353595893</v>
      </c>
      <c r="AM764">
        <v>96.167406502541795</v>
      </c>
      <c r="AN764">
        <v>1.00000000607594</v>
      </c>
    </row>
    <row r="765" spans="1:40" x14ac:dyDescent="0.3">
      <c r="A765" t="str">
        <f>"20200111145927617"</f>
        <v>20200111145927617</v>
      </c>
      <c r="B765" t="str">
        <f>"1578725967606810"</f>
        <v>1578725967606810</v>
      </c>
      <c r="C765" t="s">
        <v>40</v>
      </c>
      <c r="D765">
        <v>4.4045120000000004</v>
      </c>
      <c r="E765">
        <v>0.54805059999999906</v>
      </c>
      <c r="F765" t="s">
        <v>41</v>
      </c>
      <c r="G765">
        <v>-411.30619999999999</v>
      </c>
      <c r="H765">
        <v>0.96167899999999995</v>
      </c>
      <c r="I765">
        <v>367.25299999999999</v>
      </c>
      <c r="J765">
        <v>-412.04090000000002</v>
      </c>
      <c r="K765">
        <v>1.0544480000000001</v>
      </c>
      <c r="L765">
        <v>367.26639999999998</v>
      </c>
      <c r="M765">
        <v>0.99993929999999998</v>
      </c>
      <c r="N765">
        <v>0</v>
      </c>
      <c r="O765">
        <v>2.9451210000000002E-3</v>
      </c>
      <c r="P765">
        <v>0.99344339999999998</v>
      </c>
      <c r="Q765">
        <v>3.033988E-2</v>
      </c>
      <c r="R765">
        <v>0.1102258</v>
      </c>
      <c r="S765">
        <v>3.0351870000000001</v>
      </c>
      <c r="T765">
        <v>-0.33300299999999999</v>
      </c>
      <c r="U765">
        <v>-4.7241209999999999E-2</v>
      </c>
      <c r="V765">
        <v>-0.1072946</v>
      </c>
      <c r="W765">
        <v>4.0905329999999997E-2</v>
      </c>
      <c r="X765">
        <v>0.99338539999999997</v>
      </c>
      <c r="Y765">
        <v>1.837956E-2</v>
      </c>
      <c r="Z765">
        <v>-1.32732799999999E-3</v>
      </c>
      <c r="AA765">
        <v>0.9998302</v>
      </c>
      <c r="AB765">
        <v>20</v>
      </c>
      <c r="AC765">
        <v>0.73470000000003199</v>
      </c>
      <c r="AD765">
        <v>-9.2769000000000004E-2</v>
      </c>
      <c r="AE765">
        <v>-1.33999999999332E-2</v>
      </c>
      <c r="AF765">
        <v>1.5319675097638E-2</v>
      </c>
      <c r="AG765">
        <v>-9.2769000000000004E-2</v>
      </c>
      <c r="AH765">
        <v>0.723131874205587</v>
      </c>
      <c r="AI765">
        <v>97.308797632913894</v>
      </c>
      <c r="AJ765">
        <v>88.786360443991398</v>
      </c>
      <c r="AK765">
        <v>0.72921909416730302</v>
      </c>
      <c r="AL765">
        <v>87.655643058300896</v>
      </c>
      <c r="AM765">
        <v>96.164564230351999</v>
      </c>
      <c r="AN765">
        <v>0.999999965072363</v>
      </c>
    </row>
    <row r="766" spans="1:40" x14ac:dyDescent="0.3">
      <c r="A766" t="str">
        <f>"20200111145927629"</f>
        <v>20200111145927629</v>
      </c>
      <c r="B766" t="str">
        <f>"1578725967626838"</f>
        <v>1578725967626838</v>
      </c>
      <c r="C766" t="s">
        <v>40</v>
      </c>
      <c r="D766">
        <v>4.5218550000000004</v>
      </c>
      <c r="E766">
        <v>0.54787949999999996</v>
      </c>
      <c r="F766" t="s">
        <v>41</v>
      </c>
      <c r="G766">
        <v>-411.30040000000002</v>
      </c>
      <c r="H766">
        <v>0.97357079999999996</v>
      </c>
      <c r="I766">
        <v>367.2543</v>
      </c>
      <c r="J766">
        <v>-411.9391</v>
      </c>
      <c r="K766">
        <v>1.0544469999999999</v>
      </c>
      <c r="L766">
        <v>367.26670000000001</v>
      </c>
      <c r="M766">
        <v>0.99993929999999998</v>
      </c>
      <c r="N766">
        <v>0</v>
      </c>
      <c r="O766">
        <v>2.9149660000000002E-3</v>
      </c>
      <c r="P766">
        <v>0.9934307</v>
      </c>
      <c r="Q766">
        <v>3.0636389999999999E-2</v>
      </c>
      <c r="R766">
        <v>0.11025939999999999</v>
      </c>
      <c r="S766">
        <v>3.035431</v>
      </c>
      <c r="T766">
        <v>-0.33151360000000002</v>
      </c>
      <c r="U766">
        <v>-4.9560550000000002E-2</v>
      </c>
      <c r="V766">
        <v>-0.1073581</v>
      </c>
      <c r="W766">
        <v>4.1212150000000003E-2</v>
      </c>
      <c r="X766">
        <v>0.99336590000000002</v>
      </c>
      <c r="Y766">
        <v>1.9108920000000001E-2</v>
      </c>
      <c r="Z766">
        <v>-1.3577379999999901E-3</v>
      </c>
      <c r="AA766">
        <v>0.9998165</v>
      </c>
      <c r="AB766">
        <v>20</v>
      </c>
      <c r="AC766">
        <v>0.63869999999997096</v>
      </c>
      <c r="AD766">
        <v>-8.0876199999999801E-2</v>
      </c>
      <c r="AE766">
        <v>-1.24000000000137E-2</v>
      </c>
      <c r="AF766">
        <v>1.4036856067187501E-2</v>
      </c>
      <c r="AG766">
        <v>-8.0876199999999801E-2</v>
      </c>
      <c r="AH766">
        <v>0.62858605350883301</v>
      </c>
      <c r="AI766">
        <v>97.329799270429902</v>
      </c>
      <c r="AJ766">
        <v>88.720749591625307</v>
      </c>
      <c r="AK766">
        <v>0.63392303927251303</v>
      </c>
      <c r="AL766">
        <v>87.638048829208302</v>
      </c>
      <c r="AM766">
        <v>96.168304629196697</v>
      </c>
      <c r="AN766">
        <v>1.00000000711302</v>
      </c>
    </row>
    <row r="767" spans="1:40" x14ac:dyDescent="0.3">
      <c r="A767" t="str">
        <f>"20200111145927641"</f>
        <v>20200111145927641</v>
      </c>
      <c r="B767" t="str">
        <f>"1578725967636597"</f>
        <v>1578725967636597</v>
      </c>
      <c r="C767" t="s">
        <v>40</v>
      </c>
      <c r="D767">
        <v>4.519279</v>
      </c>
      <c r="E767">
        <v>0.54787949999999996</v>
      </c>
      <c r="F767" t="s">
        <v>41</v>
      </c>
      <c r="G767">
        <v>-411.12700000000001</v>
      </c>
      <c r="H767">
        <v>0.96563290000000002</v>
      </c>
      <c r="I767">
        <v>367.25349999999997</v>
      </c>
      <c r="J767">
        <v>-411.83089999999999</v>
      </c>
      <c r="K767">
        <v>1.054449</v>
      </c>
      <c r="L767">
        <v>367.267</v>
      </c>
      <c r="M767">
        <v>0.99993920000000003</v>
      </c>
      <c r="N767">
        <v>0</v>
      </c>
      <c r="O767">
        <v>2.8829010000000002E-3</v>
      </c>
      <c r="P767">
        <v>0.99342220000000003</v>
      </c>
      <c r="Q767">
        <v>3.09999E-2</v>
      </c>
      <c r="R767">
        <v>0.1102331</v>
      </c>
      <c r="S767">
        <v>3.0354000000000001</v>
      </c>
      <c r="T767">
        <v>-0.33213779999999998</v>
      </c>
      <c r="U767">
        <v>-4.8156740000000003E-2</v>
      </c>
      <c r="V767">
        <v>-0.1073641</v>
      </c>
      <c r="W767">
        <v>4.158568E-2</v>
      </c>
      <c r="X767">
        <v>0.9933497</v>
      </c>
      <c r="Y767">
        <v>1.8617379999999999E-2</v>
      </c>
      <c r="Z767">
        <v>-1.3299879999999901E-3</v>
      </c>
      <c r="AA767">
        <v>0.99982579999999999</v>
      </c>
      <c r="AB767">
        <v>20</v>
      </c>
      <c r="AC767">
        <v>0.70390000000003194</v>
      </c>
      <c r="AD767">
        <v>-8.8816099999999898E-2</v>
      </c>
      <c r="AE767">
        <v>-1.35000000000218E-2</v>
      </c>
      <c r="AF767">
        <v>1.52860579879683E-2</v>
      </c>
      <c r="AG767">
        <v>-8.8816099999999898E-2</v>
      </c>
      <c r="AH767">
        <v>0.69283185837451899</v>
      </c>
      <c r="AI767">
        <v>97.303310041631505</v>
      </c>
      <c r="AJ767">
        <v>88.736079285990101</v>
      </c>
      <c r="AK767">
        <v>0.69866869628366202</v>
      </c>
      <c r="AL767">
        <v>87.616628810225293</v>
      </c>
      <c r="AM767">
        <v>96.168746529489894</v>
      </c>
      <c r="AN767">
        <v>1.0000000226199799</v>
      </c>
    </row>
    <row r="768" spans="1:40" x14ac:dyDescent="0.3">
      <c r="A768" t="str">
        <f>"20200111145927653"</f>
        <v>20200111145927653</v>
      </c>
      <c r="B768" t="str">
        <f>"1578725967646358"</f>
        <v>1578725967646358</v>
      </c>
      <c r="C768" t="s">
        <v>40</v>
      </c>
      <c r="D768">
        <v>4.505528</v>
      </c>
      <c r="E768">
        <v>0.52272240000000003</v>
      </c>
      <c r="F768" t="s">
        <v>41</v>
      </c>
      <c r="G768">
        <v>-410.9529</v>
      </c>
      <c r="H768">
        <v>0.9587213</v>
      </c>
      <c r="I768">
        <v>367.25310000000002</v>
      </c>
      <c r="J768">
        <v>-411.72030000000001</v>
      </c>
      <c r="K768">
        <v>1.054449</v>
      </c>
      <c r="L768">
        <v>367.2672</v>
      </c>
      <c r="M768">
        <v>0.99993920000000003</v>
      </c>
      <c r="N768">
        <v>0</v>
      </c>
      <c r="O768">
        <v>2.8508969999999998E-3</v>
      </c>
      <c r="P768">
        <v>0.99340150000000005</v>
      </c>
      <c r="Q768">
        <v>3.1105790000000001E-2</v>
      </c>
      <c r="R768">
        <v>0.1103901</v>
      </c>
      <c r="S768">
        <v>3.0354920000000001</v>
      </c>
      <c r="T768">
        <v>-0.33099250000000002</v>
      </c>
      <c r="U768">
        <v>-4.8034670000000002E-2</v>
      </c>
      <c r="V768">
        <v>-0.107553</v>
      </c>
      <c r="W768">
        <v>4.1701450000000001E-2</v>
      </c>
      <c r="X768">
        <v>0.9933244</v>
      </c>
      <c r="Y768">
        <v>1.8546199999999999E-2</v>
      </c>
      <c r="Z768">
        <v>-1.318041E-3</v>
      </c>
      <c r="AA768">
        <v>0.99982709999999997</v>
      </c>
      <c r="AB768">
        <v>20</v>
      </c>
      <c r="AC768">
        <v>0.76740000000000896</v>
      </c>
      <c r="AD768">
        <v>-9.5727699999999902E-2</v>
      </c>
      <c r="AE768">
        <v>-1.4099999999984901E-2</v>
      </c>
      <c r="AF768">
        <v>1.6038359849364501E-2</v>
      </c>
      <c r="AG768">
        <v>-9.5727699999999902E-2</v>
      </c>
      <c r="AH768">
        <v>0.75560287108768298</v>
      </c>
      <c r="AI768">
        <v>97.218755567984303</v>
      </c>
      <c r="AJ768">
        <v>88.784027433748804</v>
      </c>
      <c r="AK768">
        <v>0.76181147295764495</v>
      </c>
      <c r="AL768">
        <v>87.609989891604002</v>
      </c>
      <c r="AM768">
        <v>96.179672305158306</v>
      </c>
      <c r="AN768">
        <v>1.0000000111882299</v>
      </c>
    </row>
    <row r="769" spans="1:40" x14ac:dyDescent="0.3">
      <c r="A769" t="str">
        <f>"20200111145927665"</f>
        <v>20200111145927665</v>
      </c>
      <c r="B769" t="str">
        <f>"1578725967656119"</f>
        <v>1578725967656119</v>
      </c>
      <c r="C769" t="s">
        <v>40</v>
      </c>
      <c r="D769">
        <v>4.4599390000000003</v>
      </c>
      <c r="E769">
        <v>0.52124539999999997</v>
      </c>
      <c r="F769" t="s">
        <v>42</v>
      </c>
      <c r="G769">
        <v>-386.33589999999998</v>
      </c>
      <c r="H769" s="1">
        <v>-1.7440660000000001E-6</v>
      </c>
      <c r="I769">
        <v>368.54599999999999</v>
      </c>
      <c r="J769">
        <v>-411.61540000000002</v>
      </c>
      <c r="K769">
        <v>1.0544500000000001</v>
      </c>
      <c r="L769">
        <v>367.26749999999998</v>
      </c>
      <c r="M769">
        <v>0.99993920000000003</v>
      </c>
      <c r="N769">
        <v>0</v>
      </c>
      <c r="O769">
        <v>2.8202100000000001E-3</v>
      </c>
      <c r="P769">
        <v>0.99337129999999996</v>
      </c>
      <c r="Q769">
        <v>3.0950100000000001E-2</v>
      </c>
      <c r="R769">
        <v>0.11070530000000001</v>
      </c>
      <c r="S769">
        <v>3.0069889999999999</v>
      </c>
      <c r="T769">
        <v>-0.12490759999999999</v>
      </c>
      <c r="U769">
        <v>0.15148929999999999</v>
      </c>
      <c r="V769">
        <v>-0.10789849999999999</v>
      </c>
      <c r="W769">
        <v>4.15547E-2</v>
      </c>
      <c r="X769">
        <v>0.99329299999999998</v>
      </c>
      <c r="Y769">
        <v>-4.7459870000000001E-2</v>
      </c>
      <c r="Z769">
        <v>8.6764299999999997E-4</v>
      </c>
      <c r="AA769">
        <v>0.99887280000000001</v>
      </c>
      <c r="AB769">
        <v>20</v>
      </c>
      <c r="AC769">
        <v>25.279499999999999</v>
      </c>
      <c r="AD769">
        <v>-1.054451744066</v>
      </c>
      <c r="AE769">
        <v>1.2785</v>
      </c>
      <c r="AF769">
        <v>-1.2051059882355599</v>
      </c>
      <c r="AG769">
        <v>-1.054451744066</v>
      </c>
      <c r="AH769">
        <v>25.2392044335684</v>
      </c>
      <c r="AI769">
        <v>92.389611375722396</v>
      </c>
      <c r="AJ769">
        <v>92.733647451261803</v>
      </c>
      <c r="AK769">
        <v>25.289950362997999</v>
      </c>
      <c r="AL769">
        <v>87.618405152270697</v>
      </c>
      <c r="AM769">
        <v>96.199563817694099</v>
      </c>
      <c r="AN769">
        <v>0.999999931621667</v>
      </c>
    </row>
    <row r="770" spans="1:40" x14ac:dyDescent="0.3">
      <c r="A770" t="str">
        <f>"20200111145927682"</f>
        <v>20200111145927682</v>
      </c>
      <c r="B770" t="str">
        <f>"1578725967676613"</f>
        <v>1578725967676613</v>
      </c>
      <c r="C770" t="s">
        <v>40</v>
      </c>
      <c r="D770">
        <v>4.3627960000000003</v>
      </c>
      <c r="E770">
        <v>0.52069969999999999</v>
      </c>
      <c r="F770" t="s">
        <v>42</v>
      </c>
      <c r="G770">
        <v>-383.2989</v>
      </c>
      <c r="H770" s="1">
        <v>-2.9996079999999998E-6</v>
      </c>
      <c r="I770">
        <v>368.81270000000001</v>
      </c>
      <c r="J770">
        <v>-411.4744</v>
      </c>
      <c r="K770">
        <v>1.0544500000000001</v>
      </c>
      <c r="L770">
        <v>367.2679</v>
      </c>
      <c r="M770">
        <v>0.99993920000000003</v>
      </c>
      <c r="N770">
        <v>0</v>
      </c>
      <c r="O770">
        <v>2.7789009999999999E-3</v>
      </c>
      <c r="P770">
        <v>0.99334500000000003</v>
      </c>
      <c r="Q770">
        <v>3.0926990000000001E-2</v>
      </c>
      <c r="R770">
        <v>0.1109469</v>
      </c>
      <c r="S770">
        <v>3.0052490000000001</v>
      </c>
      <c r="T770">
        <v>-0.1119097</v>
      </c>
      <c r="U770">
        <v>0.16400149999999999</v>
      </c>
      <c r="V770">
        <v>-0.10818079999999999</v>
      </c>
      <c r="W770">
        <v>4.1542320000000001E-2</v>
      </c>
      <c r="X770">
        <v>0.99326289999999995</v>
      </c>
      <c r="Y770">
        <v>-5.1681659999999997E-2</v>
      </c>
      <c r="Z770">
        <v>8.5784289999999905E-4</v>
      </c>
      <c r="AA770">
        <v>0.99866319999999997</v>
      </c>
      <c r="AB770">
        <v>20</v>
      </c>
      <c r="AC770">
        <v>28.1755</v>
      </c>
      <c r="AD770">
        <v>-1.0544529996080001</v>
      </c>
      <c r="AE770">
        <v>1.5448</v>
      </c>
      <c r="AF770">
        <v>-1.46444770678017</v>
      </c>
      <c r="AG770">
        <v>-1.0544529996080001</v>
      </c>
      <c r="AH770">
        <v>28.140389249564102</v>
      </c>
      <c r="AI770">
        <v>92.143038017195593</v>
      </c>
      <c r="AJ770">
        <v>92.979029482577204</v>
      </c>
      <c r="AK770">
        <v>28.198191171265901</v>
      </c>
      <c r="AL770">
        <v>87.619115295688701</v>
      </c>
      <c r="AM770">
        <v>96.215844120651198</v>
      </c>
      <c r="AN770">
        <v>1.0000000191780101</v>
      </c>
    </row>
    <row r="771" spans="1:40" x14ac:dyDescent="0.3">
      <c r="A771" t="str">
        <f>"20200111145927692"</f>
        <v>20200111145927692</v>
      </c>
      <c r="B771" t="str">
        <f>"1578725967686373"</f>
        <v>1578725967686373</v>
      </c>
      <c r="C771" t="s">
        <v>40</v>
      </c>
      <c r="D771">
        <v>4.4428039999999998</v>
      </c>
      <c r="E771">
        <v>0.52053190000000005</v>
      </c>
      <c r="F771" t="s">
        <v>42</v>
      </c>
      <c r="G771">
        <v>-388.6225</v>
      </c>
      <c r="H771" s="1">
        <v>-7.6157270000000001E-7</v>
      </c>
      <c r="I771">
        <v>368.55470000000003</v>
      </c>
      <c r="J771">
        <v>-411.37619999999998</v>
      </c>
      <c r="K771">
        <v>1.0544519999999999</v>
      </c>
      <c r="L771">
        <v>367.2681</v>
      </c>
      <c r="M771">
        <v>0.99993940000000003</v>
      </c>
      <c r="N771">
        <v>0</v>
      </c>
      <c r="O771">
        <v>2.7500739999999999E-3</v>
      </c>
      <c r="P771">
        <v>0.99335960000000001</v>
      </c>
      <c r="Q771">
        <v>3.0786500000000001E-2</v>
      </c>
      <c r="R771">
        <v>0.11085730000000001</v>
      </c>
      <c r="S771">
        <v>3.005493</v>
      </c>
      <c r="T771">
        <v>-0.13868179999999999</v>
      </c>
      <c r="U771">
        <v>0.1692505</v>
      </c>
      <c r="V771">
        <v>-0.1081203</v>
      </c>
      <c r="W771">
        <v>4.1409399999999999E-2</v>
      </c>
      <c r="X771">
        <v>0.99327500000000002</v>
      </c>
      <c r="Y771">
        <v>-5.3424800000000001E-2</v>
      </c>
      <c r="Z771">
        <v>1.104222E-3</v>
      </c>
      <c r="AA771">
        <v>0.99857130000000005</v>
      </c>
      <c r="AB771">
        <v>20</v>
      </c>
      <c r="AC771">
        <v>22.753699999999899</v>
      </c>
      <c r="AD771">
        <v>-1.0544527615727</v>
      </c>
      <c r="AE771">
        <v>1.2866000000000199</v>
      </c>
      <c r="AF771">
        <v>-1.22140251511064</v>
      </c>
      <c r="AG771">
        <v>-1.0544527615727</v>
      </c>
      <c r="AH771">
        <v>22.708539324281901</v>
      </c>
      <c r="AI771">
        <v>92.654742066614006</v>
      </c>
      <c r="AJ771">
        <v>93.078746779679605</v>
      </c>
      <c r="AK771">
        <v>22.765795680642601</v>
      </c>
      <c r="AL771">
        <v>87.626737520405698</v>
      </c>
      <c r="AM771">
        <v>96.212320017626197</v>
      </c>
      <c r="AN771">
        <v>0.99999998165272397</v>
      </c>
    </row>
    <row r="772" spans="1:40" x14ac:dyDescent="0.3">
      <c r="A772" t="str">
        <f>"20200111145927703"</f>
        <v>20200111145927703</v>
      </c>
      <c r="B772" t="str">
        <f>"1578725967696133"</f>
        <v>1578725967696133</v>
      </c>
      <c r="C772" t="s">
        <v>40</v>
      </c>
      <c r="D772">
        <v>4.4152800000000001</v>
      </c>
      <c r="E772">
        <v>0.52041119999999996</v>
      </c>
      <c r="F772" t="s">
        <v>42</v>
      </c>
      <c r="G772">
        <v>-387.96769999999998</v>
      </c>
      <c r="H772" s="1">
        <v>-1.0351860000000001E-6</v>
      </c>
      <c r="I772">
        <v>368.59559999999999</v>
      </c>
      <c r="J772">
        <v>-411.27269999999999</v>
      </c>
      <c r="K772">
        <v>1.0544530000000001</v>
      </c>
      <c r="L772">
        <v>367.26839999999999</v>
      </c>
      <c r="M772">
        <v>0.99993929999999998</v>
      </c>
      <c r="N772">
        <v>0</v>
      </c>
      <c r="O772">
        <v>2.7200530000000001E-3</v>
      </c>
      <c r="P772">
        <v>0.99334149999999999</v>
      </c>
      <c r="Q772">
        <v>3.0845060000000001E-2</v>
      </c>
      <c r="R772">
        <v>0.1110018</v>
      </c>
      <c r="S772">
        <v>3.0052189999999999</v>
      </c>
      <c r="T772">
        <v>-0.13537249999999901</v>
      </c>
      <c r="U772">
        <v>0.1704407</v>
      </c>
      <c r="V772">
        <v>-0.1082943</v>
      </c>
      <c r="W772">
        <v>4.1474669999999998E-2</v>
      </c>
      <c r="X772">
        <v>0.99325339999999995</v>
      </c>
      <c r="Y772">
        <v>-5.3856170000000002E-2</v>
      </c>
      <c r="Z772">
        <v>1.0890400000000001E-3</v>
      </c>
      <c r="AA772">
        <v>0.99854810000000005</v>
      </c>
      <c r="AB772">
        <v>20</v>
      </c>
      <c r="AC772">
        <v>23.305</v>
      </c>
      <c r="AD772">
        <v>-1.0544540351859999</v>
      </c>
      <c r="AE772">
        <v>1.3271999999999999</v>
      </c>
      <c r="AF772">
        <v>-1.26122702271137</v>
      </c>
      <c r="AG772">
        <v>-1.0544540351859999</v>
      </c>
      <c r="AH772">
        <v>23.261058288408499</v>
      </c>
      <c r="AI772">
        <v>92.591713688404099</v>
      </c>
      <c r="AJ772">
        <v>93.103568834049796</v>
      </c>
      <c r="AK772">
        <v>23.3190780180494</v>
      </c>
      <c r="AL772">
        <v>87.622994795975998</v>
      </c>
      <c r="AM772">
        <v>96.222373513021495</v>
      </c>
      <c r="AN772">
        <v>1.0000000601378201</v>
      </c>
    </row>
    <row r="773" spans="1:40" x14ac:dyDescent="0.3">
      <c r="A773" t="str">
        <f>"20200111145927715"</f>
        <v>20200111145927715</v>
      </c>
      <c r="B773" t="str">
        <f>"1578725967706869"</f>
        <v>1578725967706869</v>
      </c>
      <c r="C773" t="s">
        <v>40</v>
      </c>
      <c r="D773">
        <v>4.4316690000000003</v>
      </c>
      <c r="E773">
        <v>0.52009890000000003</v>
      </c>
      <c r="F773" t="s">
        <v>42</v>
      </c>
      <c r="G773">
        <v>-387.42559999999997</v>
      </c>
      <c r="H773" s="1">
        <v>-1.2618060000000001E-6</v>
      </c>
      <c r="I773">
        <v>368.6293</v>
      </c>
      <c r="J773">
        <v>-411.16829999999999</v>
      </c>
      <c r="K773">
        <v>1.0544560000000001</v>
      </c>
      <c r="L773">
        <v>367.26859999999999</v>
      </c>
      <c r="M773">
        <v>0.99993929999999998</v>
      </c>
      <c r="N773">
        <v>0</v>
      </c>
      <c r="O773">
        <v>2.6895589999999998E-3</v>
      </c>
      <c r="P773">
        <v>0.99332790000000004</v>
      </c>
      <c r="Q773">
        <v>3.0863160000000001E-2</v>
      </c>
      <c r="R773">
        <v>0.1111188</v>
      </c>
      <c r="S773">
        <v>3.0050659999999998</v>
      </c>
      <c r="T773">
        <v>-0.13287539999999901</v>
      </c>
      <c r="U773">
        <v>0.17150879999999999</v>
      </c>
      <c r="V773">
        <v>-0.108442</v>
      </c>
      <c r="W773">
        <v>4.1499439999999999E-2</v>
      </c>
      <c r="X773">
        <v>0.99323620000000001</v>
      </c>
      <c r="Y773">
        <v>-5.424474E-2</v>
      </c>
      <c r="Z773">
        <v>1.0789409999999999E-3</v>
      </c>
      <c r="AA773">
        <v>0.9985271</v>
      </c>
      <c r="AB773">
        <v>20</v>
      </c>
      <c r="AC773">
        <v>23.742699999999999</v>
      </c>
      <c r="AD773">
        <v>-1.054457261806</v>
      </c>
      <c r="AE773">
        <v>1.3607</v>
      </c>
      <c r="AF773">
        <v>-1.2942895246060699</v>
      </c>
      <c r="AG773">
        <v>-1.054457261806</v>
      </c>
      <c r="AH773">
        <v>23.6996814903776</v>
      </c>
      <c r="AI773">
        <v>92.543764803204496</v>
      </c>
      <c r="AJ773">
        <v>93.125937983798394</v>
      </c>
      <c r="AK773">
        <v>23.758408369161199</v>
      </c>
      <c r="AL773">
        <v>87.621574237196995</v>
      </c>
      <c r="AM773">
        <v>96.230900404351203</v>
      </c>
      <c r="AN773">
        <v>1.00000000993737</v>
      </c>
    </row>
    <row r="774" spans="1:40" x14ac:dyDescent="0.3">
      <c r="A774" t="str">
        <f>"20200111145927726"</f>
        <v>20200111145927726</v>
      </c>
      <c r="B774" t="str">
        <f>"1578725967716164"</f>
        <v>1578725967716164</v>
      </c>
      <c r="C774" t="s">
        <v>40</v>
      </c>
      <c r="D774">
        <v>4.4212749999999996</v>
      </c>
      <c r="E774">
        <v>0.51990349999999996</v>
      </c>
      <c r="F774" t="s">
        <v>42</v>
      </c>
      <c r="G774">
        <v>-387.24029999999999</v>
      </c>
      <c r="H774" s="1">
        <v>-1.336322E-6</v>
      </c>
      <c r="I774">
        <v>368.6574</v>
      </c>
      <c r="J774">
        <v>-411.07310000000001</v>
      </c>
      <c r="K774">
        <v>1.0544560000000001</v>
      </c>
      <c r="L774">
        <v>367.2688</v>
      </c>
      <c r="M774">
        <v>0.99993940000000003</v>
      </c>
      <c r="N774">
        <v>0</v>
      </c>
      <c r="O774">
        <v>2.661395E-3</v>
      </c>
      <c r="P774">
        <v>0.99334809999999996</v>
      </c>
      <c r="Q774">
        <v>3.094765E-2</v>
      </c>
      <c r="R774">
        <v>0.1109154</v>
      </c>
      <c r="S774">
        <v>3.004791</v>
      </c>
      <c r="T774">
        <v>-0.13241449999999999</v>
      </c>
      <c r="U774">
        <v>0.17440799999999901</v>
      </c>
      <c r="V774">
        <v>-0.1082663</v>
      </c>
      <c r="W774">
        <v>4.1589960000000002E-2</v>
      </c>
      <c r="X774">
        <v>0.99325160000000001</v>
      </c>
      <c r="Y774">
        <v>-5.5237630000000003E-2</v>
      </c>
      <c r="Z774">
        <v>1.098358E-3</v>
      </c>
      <c r="AA774">
        <v>0.99847260000000004</v>
      </c>
      <c r="AB774">
        <v>20</v>
      </c>
      <c r="AC774">
        <v>23.832799999999999</v>
      </c>
      <c r="AD774">
        <v>-1.054457336322</v>
      </c>
      <c r="AE774">
        <v>1.3885999999999901</v>
      </c>
      <c r="AF774">
        <v>-1.32258273460375</v>
      </c>
      <c r="AG774">
        <v>-1.054457336322</v>
      </c>
      <c r="AH774">
        <v>23.7899993861569</v>
      </c>
      <c r="AI774">
        <v>92.533983760388296</v>
      </c>
      <c r="AJ774">
        <v>93.182029664473305</v>
      </c>
      <c r="AK774">
        <v>23.850056103861501</v>
      </c>
      <c r="AL774">
        <v>87.616383386444298</v>
      </c>
      <c r="AM774">
        <v>96.220788489369696</v>
      </c>
      <c r="AN774">
        <v>1.00000002869552</v>
      </c>
    </row>
    <row r="775" spans="1:40" x14ac:dyDescent="0.3">
      <c r="A775" t="str">
        <f>"20200111145927737"</f>
        <v>20200111145927737</v>
      </c>
      <c r="B775" t="str">
        <f>"1578725967726899"</f>
        <v>1578725967726899</v>
      </c>
      <c r="C775" t="s">
        <v>40</v>
      </c>
      <c r="D775">
        <v>4.4202690000000002</v>
      </c>
      <c r="E775">
        <v>0.52000740000000001</v>
      </c>
      <c r="F775" t="s">
        <v>42</v>
      </c>
      <c r="G775">
        <v>-387.62259999999998</v>
      </c>
      <c r="H775" s="1">
        <v>-1.175821E-6</v>
      </c>
      <c r="I775">
        <v>368.63760000000002</v>
      </c>
      <c r="J775">
        <v>-410.97019999999998</v>
      </c>
      <c r="K775">
        <v>1.054457</v>
      </c>
      <c r="L775">
        <v>367.26900000000001</v>
      </c>
      <c r="M775">
        <v>0.99993940000000003</v>
      </c>
      <c r="N775">
        <v>0</v>
      </c>
      <c r="O775">
        <v>2.631085E-3</v>
      </c>
      <c r="P775">
        <v>0.99334049999999996</v>
      </c>
      <c r="Q775">
        <v>3.092868E-2</v>
      </c>
      <c r="R775">
        <v>0.110989</v>
      </c>
      <c r="S775">
        <v>3.0047000000000001</v>
      </c>
      <c r="T775">
        <v>-0.1351069</v>
      </c>
      <c r="U775">
        <v>0.1753845</v>
      </c>
      <c r="V775">
        <v>-0.1083701</v>
      </c>
      <c r="W775">
        <v>4.1577099999999999E-2</v>
      </c>
      <c r="X775">
        <v>0.99324080000000003</v>
      </c>
      <c r="Y775">
        <v>-5.5590590000000002E-2</v>
      </c>
      <c r="Z775">
        <v>1.129978E-3</v>
      </c>
      <c r="AA775">
        <v>0.99845300000000003</v>
      </c>
      <c r="AB775">
        <v>20</v>
      </c>
      <c r="AC775">
        <v>23.3476</v>
      </c>
      <c r="AD775">
        <v>-1.0544581758210001</v>
      </c>
      <c r="AE775">
        <v>1.36860000000001</v>
      </c>
      <c r="AF775">
        <v>-1.30451048506051</v>
      </c>
      <c r="AG775">
        <v>-1.0544581758210001</v>
      </c>
      <c r="AH775">
        <v>23.303749531721401</v>
      </c>
      <c r="AI775">
        <v>92.586732923602</v>
      </c>
      <c r="AJ775">
        <v>93.203991700462794</v>
      </c>
      <c r="AK775">
        <v>23.3640401447907</v>
      </c>
      <c r="AL775">
        <v>87.617120804173098</v>
      </c>
      <c r="AM775">
        <v>96.226772999225204</v>
      </c>
      <c r="AN775">
        <v>1.0000000103015301</v>
      </c>
    </row>
    <row r="776" spans="1:40" x14ac:dyDescent="0.3">
      <c r="A776" t="str">
        <f>"20200111145927749"</f>
        <v>20200111145927749</v>
      </c>
      <c r="B776" t="str">
        <f>"1578725967746419"</f>
        <v>1578725967746419</v>
      </c>
      <c r="C776" t="s">
        <v>40</v>
      </c>
      <c r="D776">
        <v>4.4234869999999997</v>
      </c>
      <c r="E776">
        <v>0.51973530000000001</v>
      </c>
      <c r="F776" t="s">
        <v>42</v>
      </c>
      <c r="G776">
        <v>-387.2799</v>
      </c>
      <c r="H776" s="1">
        <v>-1.321163E-6</v>
      </c>
      <c r="I776">
        <v>368.64699999999999</v>
      </c>
      <c r="J776">
        <v>-410.8716</v>
      </c>
      <c r="K776">
        <v>1.0544549999999999</v>
      </c>
      <c r="L776">
        <v>367.26929999999999</v>
      </c>
      <c r="M776">
        <v>0.99993929999999998</v>
      </c>
      <c r="N776">
        <v>0</v>
      </c>
      <c r="O776">
        <v>2.6022660000000002E-3</v>
      </c>
      <c r="P776">
        <v>0.99335459999999998</v>
      </c>
      <c r="Q776">
        <v>3.0795340000000001E-2</v>
      </c>
      <c r="R776">
        <v>0.1108971</v>
      </c>
      <c r="S776">
        <v>3.0047000000000001</v>
      </c>
      <c r="T776">
        <v>-0.1337392</v>
      </c>
      <c r="U776">
        <v>0.17477419999999999</v>
      </c>
      <c r="V776">
        <v>-0.10830670000000001</v>
      </c>
      <c r="W776">
        <v>4.1449420000000001E-2</v>
      </c>
      <c r="X776">
        <v>0.9932531</v>
      </c>
      <c r="Y776">
        <v>-5.5418450000000001E-2</v>
      </c>
      <c r="Z776">
        <v>1.116012E-3</v>
      </c>
      <c r="AA776">
        <v>0.99846259999999998</v>
      </c>
      <c r="AB776">
        <v>20</v>
      </c>
      <c r="AC776">
        <v>23.591699999999999</v>
      </c>
      <c r="AD776">
        <v>-1.05445632116299</v>
      </c>
      <c r="AE776">
        <v>1.3776999999999999</v>
      </c>
      <c r="AF776">
        <v>-1.3136844581623199</v>
      </c>
      <c r="AG776">
        <v>-1.05445632116299</v>
      </c>
      <c r="AH776">
        <v>23.548321947661599</v>
      </c>
      <c r="AI776">
        <v>92.559925912332105</v>
      </c>
      <c r="AJ776">
        <v>93.193035921872394</v>
      </c>
      <c r="AK776">
        <v>23.608496596343802</v>
      </c>
      <c r="AL776">
        <v>87.624442754780802</v>
      </c>
      <c r="AM776">
        <v>96.223082267224598</v>
      </c>
      <c r="AN776">
        <v>1.0000000581714099</v>
      </c>
    </row>
    <row r="777" spans="1:40" x14ac:dyDescent="0.3">
      <c r="A777" t="str">
        <f>"20200111145927760"</f>
        <v>20200111145927760</v>
      </c>
      <c r="B777" t="str">
        <f>"1578725967756179"</f>
        <v>1578725967756179</v>
      </c>
      <c r="C777" t="s">
        <v>40</v>
      </c>
      <c r="D777">
        <v>4.3712150000000003</v>
      </c>
      <c r="E777">
        <v>0.519729</v>
      </c>
      <c r="F777" t="s">
        <v>42</v>
      </c>
      <c r="G777">
        <v>-388.8159</v>
      </c>
      <c r="H777" s="1">
        <v>-6.7648259999999904E-7</v>
      </c>
      <c r="I777">
        <v>368.56670000000003</v>
      </c>
      <c r="J777">
        <v>-410.77190000000002</v>
      </c>
      <c r="K777">
        <v>1.054454</v>
      </c>
      <c r="L777">
        <v>367.26949999999999</v>
      </c>
      <c r="M777">
        <v>0.99993929999999998</v>
      </c>
      <c r="N777">
        <v>0</v>
      </c>
      <c r="O777">
        <v>2.5729120000000001E-3</v>
      </c>
      <c r="P777">
        <v>0.99336880000000005</v>
      </c>
      <c r="Q777">
        <v>3.0649949999999999E-2</v>
      </c>
      <c r="R777">
        <v>0.1108117</v>
      </c>
      <c r="S777">
        <v>3.0048219999999999</v>
      </c>
      <c r="T777">
        <v>-0.1436566</v>
      </c>
      <c r="U777">
        <v>0.17675779999999999</v>
      </c>
      <c r="V777">
        <v>-0.1082501</v>
      </c>
      <c r="W777">
        <v>4.1309350000000002E-2</v>
      </c>
      <c r="X777">
        <v>0.99326499999999995</v>
      </c>
      <c r="Y777">
        <v>-5.6093480000000001E-2</v>
      </c>
      <c r="Z777">
        <v>1.2161209999999999E-3</v>
      </c>
      <c r="AA777">
        <v>0.9984248</v>
      </c>
      <c r="AB777">
        <v>20</v>
      </c>
      <c r="AC777">
        <v>21.956</v>
      </c>
      <c r="AD777">
        <v>-1.0544546764825999</v>
      </c>
      <c r="AE777">
        <v>1.2972000000000301</v>
      </c>
      <c r="AF777">
        <v>-1.23785645010894</v>
      </c>
      <c r="AG777">
        <v>-1.0544546764825999</v>
      </c>
      <c r="AH777">
        <v>21.9089084455067</v>
      </c>
      <c r="AI777">
        <v>92.751083604428302</v>
      </c>
      <c r="AJ777">
        <v>93.233781603430401</v>
      </c>
      <c r="AK777">
        <v>21.969170046440698</v>
      </c>
      <c r="AL777">
        <v>87.632474805545499</v>
      </c>
      <c r="AM777">
        <v>96.2197817088812</v>
      </c>
      <c r="AN777">
        <v>0.99999995338621495</v>
      </c>
    </row>
    <row r="778" spans="1:40" x14ac:dyDescent="0.3">
      <c r="A778" t="str">
        <f>"20200111145927771"</f>
        <v>20200111145927771</v>
      </c>
      <c r="B778" t="str">
        <f>"1578725967766915"</f>
        <v>1578725967766915</v>
      </c>
      <c r="C778" t="s">
        <v>40</v>
      </c>
      <c r="D778">
        <v>4.3503850000000002</v>
      </c>
      <c r="E778">
        <v>0.51977989999999996</v>
      </c>
      <c r="F778" t="s">
        <v>42</v>
      </c>
      <c r="G778">
        <v>-389.03699999999998</v>
      </c>
      <c r="H778" s="1">
        <v>-5.9885269999999899E-7</v>
      </c>
      <c r="I778">
        <v>368.54489999999998</v>
      </c>
      <c r="J778">
        <v>-410.6739</v>
      </c>
      <c r="K778">
        <v>1.0544530000000001</v>
      </c>
      <c r="L778">
        <v>367.2697</v>
      </c>
      <c r="M778">
        <v>0.99993940000000003</v>
      </c>
      <c r="N778">
        <v>0</v>
      </c>
      <c r="O778">
        <v>2.5445760000000002E-3</v>
      </c>
      <c r="P778">
        <v>0.99335929999999995</v>
      </c>
      <c r="Q778">
        <v>3.093595E-2</v>
      </c>
      <c r="R778">
        <v>0.11081779999999999</v>
      </c>
      <c r="S778">
        <v>3.0048520000000001</v>
      </c>
      <c r="T778">
        <v>-0.14577789999999999</v>
      </c>
      <c r="U778">
        <v>0.1763306</v>
      </c>
      <c r="V778">
        <v>-0.1082847</v>
      </c>
      <c r="W778">
        <v>4.1600440000000002E-2</v>
      </c>
      <c r="X778">
        <v>0.9932491</v>
      </c>
      <c r="Y778">
        <v>-5.5978E-2</v>
      </c>
      <c r="Z778">
        <v>1.2326259999999999E-3</v>
      </c>
      <c r="AA778">
        <v>0.99843130000000002</v>
      </c>
      <c r="AB778">
        <v>20</v>
      </c>
      <c r="AC778">
        <v>21.636900000000001</v>
      </c>
      <c r="AD778">
        <v>-1.0544535988527</v>
      </c>
      <c r="AE778">
        <v>1.2751999999999799</v>
      </c>
      <c r="AF778">
        <v>-1.21725499441685</v>
      </c>
      <c r="AG778">
        <v>-1.0544535988527</v>
      </c>
      <c r="AH778">
        <v>21.588978484309202</v>
      </c>
      <c r="AI778">
        <v>92.791803747785593</v>
      </c>
      <c r="AJ778">
        <v>93.227100721877605</v>
      </c>
      <c r="AK778">
        <v>21.648962425703701</v>
      </c>
      <c r="AL778">
        <v>87.615782275509204</v>
      </c>
      <c r="AM778">
        <v>96.221852966983604</v>
      </c>
      <c r="AN778">
        <v>0.99999997375654603</v>
      </c>
    </row>
    <row r="779" spans="1:40" x14ac:dyDescent="0.3">
      <c r="A779" t="str">
        <f>"20200111145927783"</f>
        <v>20200111145927783</v>
      </c>
      <c r="B779" t="str">
        <f>"1578725967776676"</f>
        <v>1578725967776676</v>
      </c>
      <c r="C779" t="s">
        <v>40</v>
      </c>
      <c r="D779">
        <v>4.2864940000000002</v>
      </c>
      <c r="E779">
        <v>0.51982450000000002</v>
      </c>
      <c r="F779" t="s">
        <v>42</v>
      </c>
      <c r="G779">
        <v>-388.95510000000002</v>
      </c>
      <c r="H779" s="1">
        <v>-6.2768059999999997E-7</v>
      </c>
      <c r="I779">
        <v>368.54129999999998</v>
      </c>
      <c r="J779">
        <v>-410.56889999999999</v>
      </c>
      <c r="K779">
        <v>1.0544560000000001</v>
      </c>
      <c r="L779">
        <v>367.27</v>
      </c>
      <c r="M779">
        <v>0.99993929999999998</v>
      </c>
      <c r="N779">
        <v>0</v>
      </c>
      <c r="O779">
        <v>2.5142720000000001E-3</v>
      </c>
      <c r="P779">
        <v>0.99334860000000003</v>
      </c>
      <c r="Q779">
        <v>3.0732079999999998E-2</v>
      </c>
      <c r="R779">
        <v>0.110969</v>
      </c>
      <c r="S779">
        <v>3.0049739999999998</v>
      </c>
      <c r="T779">
        <v>-0.14589189999999999</v>
      </c>
      <c r="U779">
        <v>0.1759338</v>
      </c>
      <c r="V779">
        <v>-0.1084661</v>
      </c>
      <c r="W779">
        <v>4.1401300000000002E-2</v>
      </c>
      <c r="X779">
        <v>0.9932377</v>
      </c>
      <c r="Y779">
        <v>-5.5874510000000002E-2</v>
      </c>
      <c r="Z779">
        <v>1.2325039999999999E-3</v>
      </c>
      <c r="AA779">
        <v>0.99843700000000002</v>
      </c>
      <c r="AB779">
        <v>20</v>
      </c>
      <c r="AC779">
        <v>21.613799999999902</v>
      </c>
      <c r="AD779">
        <v>-1.0544566276806</v>
      </c>
      <c r="AE779">
        <v>1.2712999999999901</v>
      </c>
      <c r="AF779">
        <v>-1.2140702362195599</v>
      </c>
      <c r="AG779">
        <v>-1.0544566276806</v>
      </c>
      <c r="AH779">
        <v>21.565776518841201</v>
      </c>
      <c r="AI779">
        <v>92.794824256719707</v>
      </c>
      <c r="AJ779">
        <v>93.222130873241994</v>
      </c>
      <c r="AK779">
        <v>21.625645936682101</v>
      </c>
      <c r="AL779">
        <v>87.627202166375596</v>
      </c>
      <c r="AM779">
        <v>96.232264917430498</v>
      </c>
      <c r="AN779">
        <v>1.00000004559609</v>
      </c>
    </row>
    <row r="780" spans="1:40" x14ac:dyDescent="0.3">
      <c r="A780" t="str">
        <f>"20200111145927794"</f>
        <v>20200111145927794</v>
      </c>
      <c r="B780" t="str">
        <f>"1578725967786434"</f>
        <v>1578725967786434</v>
      </c>
      <c r="C780" t="s">
        <v>40</v>
      </c>
      <c r="D780">
        <v>4.4050890000000003</v>
      </c>
      <c r="E780">
        <v>0.52007250000000005</v>
      </c>
      <c r="F780" t="s">
        <v>42</v>
      </c>
      <c r="G780">
        <v>-390.18990000000002</v>
      </c>
      <c r="H780" s="1">
        <v>-4.395551E-6</v>
      </c>
      <c r="I780">
        <v>368.46210000000002</v>
      </c>
      <c r="J780">
        <v>-410.46719999999999</v>
      </c>
      <c r="K780">
        <v>1.0544549999999999</v>
      </c>
      <c r="L780">
        <v>367.27019999999999</v>
      </c>
      <c r="M780">
        <v>0.99993940000000003</v>
      </c>
      <c r="N780">
        <v>0</v>
      </c>
      <c r="O780">
        <v>2.485639E-3</v>
      </c>
      <c r="P780">
        <v>0.99331809999999998</v>
      </c>
      <c r="Q780">
        <v>3.047091E-2</v>
      </c>
      <c r="R780">
        <v>0.11131489999999999</v>
      </c>
      <c r="S780">
        <v>3.0052490000000001</v>
      </c>
      <c r="T780">
        <v>-0.15549830000000001</v>
      </c>
      <c r="U780">
        <v>0.17581179999999999</v>
      </c>
      <c r="V780">
        <v>-0.1088404</v>
      </c>
      <c r="W780">
        <v>4.1144500000000001E-2</v>
      </c>
      <c r="X780">
        <v>0.99320739999999996</v>
      </c>
      <c r="Y780">
        <v>-5.5848849999999998E-2</v>
      </c>
      <c r="Z780">
        <v>1.3142539999999999E-3</v>
      </c>
      <c r="AA780">
        <v>0.99843839999999995</v>
      </c>
      <c r="AB780">
        <v>20</v>
      </c>
      <c r="AC780">
        <v>20.277299999999901</v>
      </c>
      <c r="AD780">
        <v>-1.054459395551</v>
      </c>
      <c r="AE780">
        <v>1.1919000000000299</v>
      </c>
      <c r="AF780">
        <v>-1.1384234416602099</v>
      </c>
      <c r="AG780">
        <v>-1.054459395551</v>
      </c>
      <c r="AH780">
        <v>20.2256940739356</v>
      </c>
      <c r="AI780">
        <v>92.979685503320695</v>
      </c>
      <c r="AJ780">
        <v>93.221551105639406</v>
      </c>
      <c r="AK780">
        <v>20.285132322019098</v>
      </c>
      <c r="AL780">
        <v>87.641928211805606</v>
      </c>
      <c r="AM780">
        <v>96.253790676117902</v>
      </c>
      <c r="AN780">
        <v>1.00000002098358</v>
      </c>
    </row>
    <row r="781" spans="1:40" x14ac:dyDescent="0.3">
      <c r="A781" t="str">
        <f>"20200111145927805"</f>
        <v>20200111145927805</v>
      </c>
      <c r="B781" t="str">
        <f>"1578725967796196"</f>
        <v>1578725967796196</v>
      </c>
      <c r="C781" t="s">
        <v>40</v>
      </c>
      <c r="D781">
        <v>4.3851990000000001</v>
      </c>
      <c r="E781">
        <v>0.52063669999999995</v>
      </c>
      <c r="F781" t="s">
        <v>42</v>
      </c>
      <c r="G781">
        <v>-389.94670000000002</v>
      </c>
      <c r="H781" s="1">
        <v>-3.100575E-7</v>
      </c>
      <c r="I781">
        <v>368.4667</v>
      </c>
      <c r="J781">
        <v>-410.36649999999997</v>
      </c>
      <c r="K781">
        <v>1.054454</v>
      </c>
      <c r="L781">
        <v>367.2704</v>
      </c>
      <c r="M781">
        <v>0.99993940000000003</v>
      </c>
      <c r="N781">
        <v>0</v>
      </c>
      <c r="O781">
        <v>2.457486E-3</v>
      </c>
      <c r="P781">
        <v>0.99330209999999997</v>
      </c>
      <c r="Q781">
        <v>3.0474500000000002E-2</v>
      </c>
      <c r="R781">
        <v>0.11145529999999999</v>
      </c>
      <c r="S781">
        <v>3.00528</v>
      </c>
      <c r="T781">
        <v>-0.15442739999999999</v>
      </c>
      <c r="U781">
        <v>0.1752319</v>
      </c>
      <c r="V781">
        <v>-0.10900899999999999</v>
      </c>
      <c r="W781">
        <v>4.1151649999999998E-2</v>
      </c>
      <c r="X781">
        <v>0.99318859999999998</v>
      </c>
      <c r="Y781">
        <v>-5.5685539999999999E-2</v>
      </c>
      <c r="Z781">
        <v>1.3024639999999999E-3</v>
      </c>
      <c r="AA781">
        <v>0.99844750000000004</v>
      </c>
      <c r="AB781">
        <v>20</v>
      </c>
      <c r="AC781">
        <v>20.419799999999899</v>
      </c>
      <c r="AD781">
        <v>-1.0544543100574999</v>
      </c>
      <c r="AE781">
        <v>1.1962999999999999</v>
      </c>
      <c r="AF781">
        <v>-1.1430744658313601</v>
      </c>
      <c r="AG781">
        <v>-1.0544543100574999</v>
      </c>
      <c r="AH781">
        <v>20.368550062365699</v>
      </c>
      <c r="AI781">
        <v>92.958837868559897</v>
      </c>
      <c r="AJ781">
        <v>93.212045870895096</v>
      </c>
      <c r="AK781">
        <v>20.427832111350799</v>
      </c>
      <c r="AL781">
        <v>87.641518168563493</v>
      </c>
      <c r="AM781">
        <v>96.2635188372996</v>
      </c>
      <c r="AN781">
        <v>1.0000000077743401</v>
      </c>
    </row>
    <row r="782" spans="1:40" x14ac:dyDescent="0.3">
      <c r="A782" t="str">
        <f>"20200111145927818"</f>
        <v>20200111145927818</v>
      </c>
      <c r="B782" t="str">
        <f>"1578725967805955"</f>
        <v>1578725967805955</v>
      </c>
      <c r="C782" t="s">
        <v>40</v>
      </c>
      <c r="D782">
        <v>4.3328089999999904</v>
      </c>
      <c r="E782">
        <v>0.52051510000000001</v>
      </c>
      <c r="F782" t="s">
        <v>42</v>
      </c>
      <c r="G782">
        <v>-391.21449999999999</v>
      </c>
      <c r="H782" s="1">
        <v>-3.9742010000000002E-6</v>
      </c>
      <c r="I782">
        <v>368.35950000000003</v>
      </c>
      <c r="J782">
        <v>-410.25380000000001</v>
      </c>
      <c r="K782">
        <v>1.0544579999999999</v>
      </c>
      <c r="L782">
        <v>367.27069999999998</v>
      </c>
      <c r="M782">
        <v>0.99993940000000003</v>
      </c>
      <c r="N782">
        <v>0</v>
      </c>
      <c r="O782">
        <v>2.4259960000000001E-3</v>
      </c>
      <c r="P782">
        <v>0.99333070000000001</v>
      </c>
      <c r="Q782">
        <v>3.051676E-2</v>
      </c>
      <c r="R782">
        <v>0.1111892</v>
      </c>
      <c r="S782">
        <v>3.0061339999999999</v>
      </c>
      <c r="T782">
        <v>-0.1655092</v>
      </c>
      <c r="U782">
        <v>0.17095949999999999</v>
      </c>
      <c r="V782">
        <v>-0.10877439999999999</v>
      </c>
      <c r="W782">
        <v>4.119929E-2</v>
      </c>
      <c r="X782">
        <v>0.99321230000000005</v>
      </c>
      <c r="Y782">
        <v>-5.4277810000000003E-2</v>
      </c>
      <c r="Z782">
        <v>1.3584929999999999E-3</v>
      </c>
      <c r="AA782">
        <v>0.998525</v>
      </c>
      <c r="AB782">
        <v>20</v>
      </c>
      <c r="AC782">
        <v>19.039300000000001</v>
      </c>
      <c r="AD782">
        <v>-1.054461974201</v>
      </c>
      <c r="AE782">
        <v>1.08880000000004</v>
      </c>
      <c r="AF782">
        <v>-1.039426998258</v>
      </c>
      <c r="AG782">
        <v>-1.054461974201</v>
      </c>
      <c r="AH782">
        <v>18.983845715661602</v>
      </c>
      <c r="AI782">
        <v>93.174494892855407</v>
      </c>
      <c r="AJ782">
        <v>93.134000054386604</v>
      </c>
      <c r="AK782">
        <v>19.041499328986401</v>
      </c>
      <c r="AL782">
        <v>87.638786173221305</v>
      </c>
      <c r="AM782">
        <v>96.2499978547891</v>
      </c>
      <c r="AN782">
        <v>0.99999996223157595</v>
      </c>
    </row>
    <row r="783" spans="1:40" x14ac:dyDescent="0.3">
      <c r="A783" t="str">
        <f>"20200111145927830"</f>
        <v>20200111145927830</v>
      </c>
      <c r="B783" t="str">
        <f>"1578725967826450"</f>
        <v>1578725967826450</v>
      </c>
      <c r="C783" t="s">
        <v>40</v>
      </c>
      <c r="D783">
        <v>4.3784269999999896</v>
      </c>
      <c r="E783">
        <v>0.52068289999999995</v>
      </c>
      <c r="F783" t="s">
        <v>42</v>
      </c>
      <c r="G783">
        <v>-391.65429999999998</v>
      </c>
      <c r="H783" s="1">
        <v>-3.790516E-6</v>
      </c>
      <c r="I783">
        <v>368.33139999999997</v>
      </c>
      <c r="J783">
        <v>-410.15120000000002</v>
      </c>
      <c r="K783">
        <v>1.054459</v>
      </c>
      <c r="L783">
        <v>367.27089999999998</v>
      </c>
      <c r="M783">
        <v>0.99993929999999998</v>
      </c>
      <c r="N783">
        <v>0</v>
      </c>
      <c r="O783">
        <v>2.3976689999999998E-3</v>
      </c>
      <c r="P783">
        <v>0.99335799999999996</v>
      </c>
      <c r="Q783">
        <v>3.0770889999999999E-2</v>
      </c>
      <c r="R783">
        <v>0.1108736</v>
      </c>
      <c r="S783">
        <v>3.0061650000000002</v>
      </c>
      <c r="T783">
        <v>-0.1704272</v>
      </c>
      <c r="U783">
        <v>0.17144779999999901</v>
      </c>
      <c r="V783">
        <v>-0.10848670000000001</v>
      </c>
      <c r="W783">
        <v>4.1457519999999998E-2</v>
      </c>
      <c r="X783">
        <v>0.99323309999999998</v>
      </c>
      <c r="Y783">
        <v>-5.4462120000000003E-2</v>
      </c>
      <c r="Z783">
        <v>1.4055949999999999E-3</v>
      </c>
      <c r="AA783">
        <v>0.99851480000000004</v>
      </c>
      <c r="AB783">
        <v>20</v>
      </c>
      <c r="AC783">
        <v>18.4969</v>
      </c>
      <c r="AD783">
        <v>-1.054462790516</v>
      </c>
      <c r="AE783">
        <v>1.06049999999999</v>
      </c>
      <c r="AF783">
        <v>-1.0128640616194799</v>
      </c>
      <c r="AG783">
        <v>-1.054462790516</v>
      </c>
      <c r="AH783">
        <v>18.439659736037999</v>
      </c>
      <c r="AI783">
        <v>93.267950793140599</v>
      </c>
      <c r="AJ783">
        <v>93.144015544317995</v>
      </c>
      <c r="AK783">
        <v>18.497535959277499</v>
      </c>
      <c r="AL783">
        <v>87.623978217691302</v>
      </c>
      <c r="AM783">
        <v>96.233467881040994</v>
      </c>
      <c r="AN783">
        <v>1.0000000404885201</v>
      </c>
    </row>
    <row r="784" spans="1:40" x14ac:dyDescent="0.3">
      <c r="A784" t="str">
        <f>"20200111145927848"</f>
        <v>20200111145927848</v>
      </c>
      <c r="B784" t="str">
        <f>"1578725967845972"</f>
        <v>1578725967845972</v>
      </c>
      <c r="C784" t="s">
        <v>40</v>
      </c>
      <c r="D784">
        <v>4.4059210000000002</v>
      </c>
      <c r="E784">
        <v>0.52071120000000004</v>
      </c>
      <c r="F784" t="s">
        <v>42</v>
      </c>
      <c r="G784">
        <v>-392.67750000000001</v>
      </c>
      <c r="H784" s="1">
        <v>-3.3649420000000001E-6</v>
      </c>
      <c r="I784">
        <v>368.25599999999997</v>
      </c>
      <c r="J784">
        <v>-409.98450000000003</v>
      </c>
      <c r="K784">
        <v>1.0544659999999999</v>
      </c>
      <c r="L784">
        <v>367.27120000000002</v>
      </c>
      <c r="M784">
        <v>0.99993960000000004</v>
      </c>
      <c r="N784">
        <v>0</v>
      </c>
      <c r="O784">
        <v>2.3513330000000002E-3</v>
      </c>
      <c r="P784">
        <v>0.99341749999999995</v>
      </c>
      <c r="Q784">
        <v>3.1610909999999999E-2</v>
      </c>
      <c r="R784">
        <v>0.1101039</v>
      </c>
      <c r="S784">
        <v>3.0067439999999999</v>
      </c>
      <c r="T784">
        <v>-0.18144299999999999</v>
      </c>
      <c r="U784">
        <v>0.16952509999999901</v>
      </c>
      <c r="V784">
        <v>-0.10776289999999999</v>
      </c>
      <c r="W784">
        <v>4.2303640000000003E-2</v>
      </c>
      <c r="X784">
        <v>0.99327619999999905</v>
      </c>
      <c r="Y784">
        <v>-5.3850960000000003E-2</v>
      </c>
      <c r="Z784">
        <v>1.4804099999999999E-3</v>
      </c>
      <c r="AA784">
        <v>0.99854790000000004</v>
      </c>
      <c r="AB784">
        <v>20</v>
      </c>
      <c r="AC784">
        <v>17.306999999999999</v>
      </c>
      <c r="AD784">
        <v>-1.0544693649419901</v>
      </c>
      <c r="AE784">
        <v>0.98479999999995005</v>
      </c>
      <c r="AF784">
        <v>-0.94061996754730104</v>
      </c>
      <c r="AG784">
        <v>-1.0544693649419901</v>
      </c>
      <c r="AH784">
        <v>17.245456935247599</v>
      </c>
      <c r="AI784">
        <v>93.493800451416107</v>
      </c>
      <c r="AJ784">
        <v>93.121993589580896</v>
      </c>
      <c r="AK784">
        <v>17.303249881754301</v>
      </c>
      <c r="AL784">
        <v>87.575456503964602</v>
      </c>
      <c r="AM784">
        <v>96.191937068827897</v>
      </c>
      <c r="AN784">
        <v>1.00000002503004</v>
      </c>
    </row>
    <row r="785" spans="1:40" x14ac:dyDescent="0.3">
      <c r="A785" t="str">
        <f>"20200111145927860"</f>
        <v>20200111145927860</v>
      </c>
      <c r="B785" t="str">
        <f>"1578725967856709"</f>
        <v>1578725967856709</v>
      </c>
      <c r="C785" t="s">
        <v>40</v>
      </c>
      <c r="D785">
        <v>4.3951760000000002</v>
      </c>
      <c r="E785">
        <v>0.52077870000000004</v>
      </c>
      <c r="F785" t="s">
        <v>42</v>
      </c>
      <c r="G785">
        <v>-391.75170000000003</v>
      </c>
      <c r="H785" s="1">
        <v>-3.75736E-6</v>
      </c>
      <c r="I785">
        <v>368.2826</v>
      </c>
      <c r="J785">
        <v>-409.8777</v>
      </c>
      <c r="K785">
        <v>1.05447</v>
      </c>
      <c r="L785">
        <v>367.2715</v>
      </c>
      <c r="M785">
        <v>0.99993960000000004</v>
      </c>
      <c r="N785">
        <v>0</v>
      </c>
      <c r="O785">
        <v>2.3218739999999998E-3</v>
      </c>
      <c r="P785">
        <v>0.99346100000000004</v>
      </c>
      <c r="Q785">
        <v>3.1823709999999998E-2</v>
      </c>
      <c r="R785">
        <v>0.109649</v>
      </c>
      <c r="S785">
        <v>3.0069270000000001</v>
      </c>
      <c r="T785">
        <v>-0.17390120000000001</v>
      </c>
      <c r="U785">
        <v>0.16680909999999999</v>
      </c>
      <c r="V785">
        <v>-0.10733760000000001</v>
      </c>
      <c r="W785">
        <v>4.2519929999999997E-2</v>
      </c>
      <c r="X785">
        <v>0.993313</v>
      </c>
      <c r="Y785">
        <v>-5.2986770000000002E-2</v>
      </c>
      <c r="Z785">
        <v>1.395681E-3</v>
      </c>
      <c r="AA785">
        <v>0.99859419999999999</v>
      </c>
      <c r="AB785">
        <v>20</v>
      </c>
      <c r="AC785">
        <v>18.125999999999902</v>
      </c>
      <c r="AD785">
        <v>-1.05447375736</v>
      </c>
      <c r="AE785">
        <v>1.0110999999999899</v>
      </c>
      <c r="AF785">
        <v>-0.96575031637950803</v>
      </c>
      <c r="AG785">
        <v>-1.05447375736</v>
      </c>
      <c r="AH785">
        <v>18.067343452308702</v>
      </c>
      <c r="AI785">
        <v>93.335443385377999</v>
      </c>
      <c r="AJ785">
        <v>93.059708688978802</v>
      </c>
      <c r="AK785">
        <v>18.1238375627854</v>
      </c>
      <c r="AL785">
        <v>87.563052803787997</v>
      </c>
      <c r="AM785">
        <v>96.167461776901803</v>
      </c>
      <c r="AN785">
        <v>1.00000001039498</v>
      </c>
    </row>
    <row r="786" spans="1:40" x14ac:dyDescent="0.3">
      <c r="A786" t="str">
        <f>"20200111145927871"</f>
        <v>20200111145927871</v>
      </c>
      <c r="B786" t="str">
        <f>"1578725967866467"</f>
        <v>1578725967866467</v>
      </c>
      <c r="C786" t="s">
        <v>40</v>
      </c>
      <c r="D786">
        <v>4.3667920000000002</v>
      </c>
      <c r="E786">
        <v>0.52088000000000001</v>
      </c>
      <c r="F786" t="s">
        <v>42</v>
      </c>
      <c r="G786">
        <v>-391.42160000000001</v>
      </c>
      <c r="H786" s="1">
        <v>-3.8990640000000004E-6</v>
      </c>
      <c r="I786">
        <v>368.28210000000001</v>
      </c>
      <c r="J786">
        <v>-409.7801</v>
      </c>
      <c r="K786">
        <v>1.0544709999999999</v>
      </c>
      <c r="L786">
        <v>367.27159999999998</v>
      </c>
      <c r="M786">
        <v>0.99993960000000004</v>
      </c>
      <c r="N786">
        <v>0</v>
      </c>
      <c r="O786">
        <v>2.2955720000000001E-3</v>
      </c>
      <c r="P786">
        <v>0.99348119999999995</v>
      </c>
      <c r="Q786">
        <v>3.1828719999999998E-2</v>
      </c>
      <c r="R786">
        <v>0.1094646</v>
      </c>
      <c r="S786">
        <v>3.0070190000000001</v>
      </c>
      <c r="T786">
        <v>-0.17180319999999999</v>
      </c>
      <c r="U786">
        <v>0.16467290000000001</v>
      </c>
      <c r="V786">
        <v>-0.10717889999999999</v>
      </c>
      <c r="W786">
        <v>4.2528499999999997E-2</v>
      </c>
      <c r="X786">
        <v>0.99332980000000004</v>
      </c>
      <c r="Y786">
        <v>-5.2307180000000002E-2</v>
      </c>
      <c r="Z786">
        <v>1.3609729999999999E-3</v>
      </c>
      <c r="AA786">
        <v>0.99863009999999997</v>
      </c>
      <c r="AB786">
        <v>20</v>
      </c>
      <c r="AC786">
        <v>18.3584999999999</v>
      </c>
      <c r="AD786">
        <v>-1.0544748990639901</v>
      </c>
      <c r="AE786">
        <v>1.0105000000000299</v>
      </c>
      <c r="AF786">
        <v>-0.96517702741807099</v>
      </c>
      <c r="AG786">
        <v>-1.0544748990639901</v>
      </c>
      <c r="AH786">
        <v>18.3005779981006</v>
      </c>
      <c r="AI786">
        <v>93.293155991291499</v>
      </c>
      <c r="AJ786">
        <v>93.018996563567697</v>
      </c>
      <c r="AK786">
        <v>18.3563242254972</v>
      </c>
      <c r="AL786">
        <v>87.562561408412805</v>
      </c>
      <c r="AM786">
        <v>96.158309871616595</v>
      </c>
      <c r="AN786">
        <v>1.0000000407427401</v>
      </c>
    </row>
    <row r="787" spans="1:40" x14ac:dyDescent="0.3">
      <c r="A787" t="str">
        <f>"20200111145927883"</f>
        <v>20200111145927883</v>
      </c>
      <c r="B787" t="str">
        <f>"1578725967876227"</f>
        <v>1578725967876227</v>
      </c>
      <c r="C787" t="s">
        <v>40</v>
      </c>
      <c r="D787">
        <v>4.2455429999999996</v>
      </c>
      <c r="E787">
        <v>0.52092159999999998</v>
      </c>
      <c r="F787" t="s">
        <v>42</v>
      </c>
      <c r="G787">
        <v>-391.18630000000002</v>
      </c>
      <c r="H787" s="1">
        <v>-4.0000510000000002E-6</v>
      </c>
      <c r="I787">
        <v>368.28190000000001</v>
      </c>
      <c r="J787">
        <v>-409.67829999999998</v>
      </c>
      <c r="K787">
        <v>1.0544690000000001</v>
      </c>
      <c r="L787">
        <v>367.27179999999998</v>
      </c>
      <c r="M787">
        <v>0.99993960000000004</v>
      </c>
      <c r="N787">
        <v>0</v>
      </c>
      <c r="O787">
        <v>2.268136E-3</v>
      </c>
      <c r="P787">
        <v>0.99351199999999995</v>
      </c>
      <c r="Q787">
        <v>3.1744479999999999E-2</v>
      </c>
      <c r="R787">
        <v>0.1092076</v>
      </c>
      <c r="S787">
        <v>3.0071110000000001</v>
      </c>
      <c r="T787">
        <v>-0.17053599999999999</v>
      </c>
      <c r="U787">
        <v>0.16339110000000001</v>
      </c>
      <c r="V787">
        <v>-0.106949</v>
      </c>
      <c r="W787">
        <v>4.2447520000000002E-2</v>
      </c>
      <c r="X787">
        <v>0.99335799999999996</v>
      </c>
      <c r="Y787">
        <v>-5.1910310000000001E-2</v>
      </c>
      <c r="Z787">
        <v>1.3412420000000001E-3</v>
      </c>
      <c r="AA787">
        <v>0.99865079999999995</v>
      </c>
      <c r="AB787">
        <v>20</v>
      </c>
      <c r="AC787">
        <v>18.491999999999901</v>
      </c>
      <c r="AD787">
        <v>-1.0544730000509901</v>
      </c>
      <c r="AE787">
        <v>1.01010000000002</v>
      </c>
      <c r="AF787">
        <v>-0.96502402410426902</v>
      </c>
      <c r="AG787">
        <v>-1.0544730000509901</v>
      </c>
      <c r="AH787">
        <v>18.434479538218199</v>
      </c>
      <c r="AI787">
        <v>93.269348775101506</v>
      </c>
      <c r="AJ787">
        <v>92.996633520250697</v>
      </c>
      <c r="AK787">
        <v>18.489813966612001</v>
      </c>
      <c r="AL787">
        <v>87.5672053109231</v>
      </c>
      <c r="AM787">
        <v>96.145028284484894</v>
      </c>
      <c r="AN787">
        <v>0.99999999835957498</v>
      </c>
    </row>
    <row r="788" spans="1:40" x14ac:dyDescent="0.3">
      <c r="A788" t="str">
        <f>"20200111145927893"</f>
        <v>20200111145927893</v>
      </c>
      <c r="B788" t="str">
        <f>"1578725967885987"</f>
        <v>1578725967885987</v>
      </c>
      <c r="C788" t="s">
        <v>40</v>
      </c>
      <c r="D788">
        <v>4.3725550000000002</v>
      </c>
      <c r="E788">
        <v>0.5210361</v>
      </c>
      <c r="F788" t="s">
        <v>42</v>
      </c>
      <c r="G788">
        <v>-391.5718</v>
      </c>
      <c r="H788" s="1">
        <v>-3.8404459999999997E-6</v>
      </c>
      <c r="I788">
        <v>368.24930000000001</v>
      </c>
      <c r="J788">
        <v>-409.57389999999998</v>
      </c>
      <c r="K788">
        <v>1.05447</v>
      </c>
      <c r="L788">
        <v>367.27199999999999</v>
      </c>
      <c r="M788">
        <v>0.99993960000000004</v>
      </c>
      <c r="N788">
        <v>0</v>
      </c>
      <c r="O788">
        <v>2.2398069999999999E-3</v>
      </c>
      <c r="P788">
        <v>0.99355610000000005</v>
      </c>
      <c r="Q788">
        <v>3.1444300000000001E-2</v>
      </c>
      <c r="R788">
        <v>0.1088925</v>
      </c>
      <c r="S788">
        <v>3.0072939999999999</v>
      </c>
      <c r="T788">
        <v>-0.17513629999999999</v>
      </c>
      <c r="U788">
        <v>0.16235350000000001</v>
      </c>
      <c r="V788">
        <v>-0.1066619</v>
      </c>
      <c r="W788">
        <v>4.2151189999999998E-2</v>
      </c>
      <c r="X788">
        <v>0.99340150000000005</v>
      </c>
      <c r="Y788">
        <v>-5.1587899999999999E-2</v>
      </c>
      <c r="Z788">
        <v>1.369566E-3</v>
      </c>
      <c r="AA788">
        <v>0.99866750000000004</v>
      </c>
      <c r="AB788">
        <v>20</v>
      </c>
      <c r="AC788">
        <v>18.002099999999899</v>
      </c>
      <c r="AD788">
        <v>-1.0544738404459999</v>
      </c>
      <c r="AE788">
        <v>0.97730000000001305</v>
      </c>
      <c r="AF788">
        <v>-0.93377956752682001</v>
      </c>
      <c r="AG788">
        <v>-1.0544738404459999</v>
      </c>
      <c r="AH788">
        <v>17.9428622259754</v>
      </c>
      <c r="AI788">
        <v>93.358779690352705</v>
      </c>
      <c r="AJ788">
        <v>92.979090261348006</v>
      </c>
      <c r="AK788">
        <v>17.9980600127138</v>
      </c>
      <c r="AL788">
        <v>87.584199011889893</v>
      </c>
      <c r="AM788">
        <v>96.1283916010848</v>
      </c>
      <c r="AN788">
        <v>1.0000000119661301</v>
      </c>
    </row>
    <row r="789" spans="1:40" x14ac:dyDescent="0.3">
      <c r="A789" t="str">
        <f>"20200111145927906"</f>
        <v>20200111145927906</v>
      </c>
      <c r="B789" t="str">
        <f>"1578725967896724"</f>
        <v>1578725967896724</v>
      </c>
      <c r="C789" t="s">
        <v>40</v>
      </c>
      <c r="D789">
        <v>4.269641</v>
      </c>
      <c r="E789">
        <v>0.52103980000000005</v>
      </c>
      <c r="F789" t="s">
        <v>42</v>
      </c>
      <c r="G789">
        <v>-391.42849999999999</v>
      </c>
      <c r="H789" s="1">
        <v>-3.903691E-6</v>
      </c>
      <c r="I789">
        <v>368.23930000000001</v>
      </c>
      <c r="J789">
        <v>-409.46420000000001</v>
      </c>
      <c r="K789">
        <v>1.0544690000000001</v>
      </c>
      <c r="L789">
        <v>367.2722</v>
      </c>
      <c r="M789">
        <v>0.99993960000000004</v>
      </c>
      <c r="N789">
        <v>0</v>
      </c>
      <c r="O789">
        <v>2.210465E-3</v>
      </c>
      <c r="P789">
        <v>0.99356049999999996</v>
      </c>
      <c r="Q789">
        <v>3.1435570000000003E-2</v>
      </c>
      <c r="R789">
        <v>0.1088538</v>
      </c>
      <c r="S789">
        <v>3.0074160000000001</v>
      </c>
      <c r="T789">
        <v>-0.17476820000000001</v>
      </c>
      <c r="U789">
        <v>0.16033939999999999</v>
      </c>
      <c r="V789">
        <v>-0.10665239999999999</v>
      </c>
      <c r="W789">
        <v>4.2145469999999997E-2</v>
      </c>
      <c r="X789">
        <v>0.99340269999999997</v>
      </c>
      <c r="Y789">
        <v>-5.0949469999999997E-2</v>
      </c>
      <c r="Z789">
        <v>1.349842E-3</v>
      </c>
      <c r="AA789">
        <v>0.99870029999999999</v>
      </c>
      <c r="AB789">
        <v>20</v>
      </c>
      <c r="AC789">
        <v>18.035699999999999</v>
      </c>
      <c r="AD789">
        <v>-1.0544729036910001</v>
      </c>
      <c r="AE789">
        <v>0.96710000000001595</v>
      </c>
      <c r="AF789">
        <v>-0.92407836057689396</v>
      </c>
      <c r="AG789">
        <v>-1.0544729036910001</v>
      </c>
      <c r="AH789">
        <v>17.976521580922199</v>
      </c>
      <c r="AI789">
        <v>93.352612007071002</v>
      </c>
      <c r="AJ789">
        <v>92.942684327519899</v>
      </c>
      <c r="AK789">
        <v>18.031116495393899</v>
      </c>
      <c r="AL789">
        <v>87.584526884788502</v>
      </c>
      <c r="AM789">
        <v>96.127842573918599</v>
      </c>
      <c r="AN789">
        <v>0.99999994971728401</v>
      </c>
    </row>
    <row r="790" spans="1:40" x14ac:dyDescent="0.3">
      <c r="A790" t="str">
        <f>"20200111145927918"</f>
        <v>20200111145927918</v>
      </c>
      <c r="B790" t="str">
        <f>"1578725967906483"</f>
        <v>1578725967906483</v>
      </c>
      <c r="C790" t="s">
        <v>40</v>
      </c>
      <c r="D790">
        <v>4.3821469999999998</v>
      </c>
      <c r="E790">
        <v>0.52110509999999999</v>
      </c>
      <c r="F790" t="s">
        <v>42</v>
      </c>
      <c r="G790">
        <v>-391.6413</v>
      </c>
      <c r="H790" s="1">
        <v>-3.8155129999999999E-6</v>
      </c>
      <c r="I790">
        <v>368.22179999999997</v>
      </c>
      <c r="J790">
        <v>-409.36009999999999</v>
      </c>
      <c r="K790">
        <v>1.0544659999999999</v>
      </c>
      <c r="L790">
        <v>367.2724</v>
      </c>
      <c r="M790">
        <v>0.99993960000000004</v>
      </c>
      <c r="N790">
        <v>0</v>
      </c>
      <c r="O790">
        <v>2.1824940000000001E-3</v>
      </c>
      <c r="P790">
        <v>0.99356089999999997</v>
      </c>
      <c r="Q790">
        <v>3.1235820000000001E-2</v>
      </c>
      <c r="R790">
        <v>0.1089089</v>
      </c>
      <c r="S790">
        <v>3.0075069999999999</v>
      </c>
      <c r="T790">
        <v>-0.17793490000000001</v>
      </c>
      <c r="U790">
        <v>0.1602478</v>
      </c>
      <c r="V790">
        <v>-0.10673530000000001</v>
      </c>
      <c r="W790">
        <v>4.1949180000000003E-2</v>
      </c>
      <c r="X790">
        <v>0.99340220000000001</v>
      </c>
      <c r="Y790">
        <v>-5.094245E-2</v>
      </c>
      <c r="Z790">
        <v>1.3756619999999999E-3</v>
      </c>
      <c r="AA790">
        <v>0.99870060000000005</v>
      </c>
      <c r="AB790">
        <v>20</v>
      </c>
      <c r="AC790">
        <v>17.718799999999899</v>
      </c>
      <c r="AD790">
        <v>-1.0544698155129999</v>
      </c>
      <c r="AE790">
        <v>0.94939999999996805</v>
      </c>
      <c r="AF790">
        <v>-0.90751944902923598</v>
      </c>
      <c r="AG790">
        <v>-1.0544698155129999</v>
      </c>
      <c r="AH790">
        <v>17.6584697471935</v>
      </c>
      <c r="AI790">
        <v>93.412847503268495</v>
      </c>
      <c r="AJ790">
        <v>92.942006229891405</v>
      </c>
      <c r="AK790">
        <v>17.713188644474499</v>
      </c>
      <c r="AL790">
        <v>87.595783656926599</v>
      </c>
      <c r="AM790">
        <v>96.132572475857103</v>
      </c>
      <c r="AN790">
        <v>1.0000000444668</v>
      </c>
    </row>
    <row r="791" spans="1:40" x14ac:dyDescent="0.3">
      <c r="A791" t="str">
        <f>"20200111145927929"</f>
        <v>20200111145927929</v>
      </c>
      <c r="B791" t="str">
        <f>"1578725967926003"</f>
        <v>1578725967926003</v>
      </c>
      <c r="C791" t="s">
        <v>40</v>
      </c>
      <c r="D791">
        <v>4.2496470000000004</v>
      </c>
      <c r="E791">
        <v>0.52112479999999906</v>
      </c>
      <c r="F791" t="s">
        <v>42</v>
      </c>
      <c r="G791">
        <v>-391.43970000000002</v>
      </c>
      <c r="H791" s="1">
        <v>-3.9014140000000004E-6</v>
      </c>
      <c r="I791">
        <v>368.22500000000002</v>
      </c>
      <c r="J791">
        <v>-409.25700000000001</v>
      </c>
      <c r="K791">
        <v>1.0544629999999999</v>
      </c>
      <c r="L791">
        <v>367.27260000000001</v>
      </c>
      <c r="M791">
        <v>0.99993969999999999</v>
      </c>
      <c r="N791">
        <v>0</v>
      </c>
      <c r="O791">
        <v>2.1545240000000001E-3</v>
      </c>
      <c r="P791">
        <v>0.99353360000000002</v>
      </c>
      <c r="Q791">
        <v>3.1524950000000003E-2</v>
      </c>
      <c r="R791">
        <v>0.10907559999999999</v>
      </c>
      <c r="S791">
        <v>3.0074770000000002</v>
      </c>
      <c r="T791">
        <v>-0.17696500000000001</v>
      </c>
      <c r="U791">
        <v>0.15988160000000001</v>
      </c>
      <c r="V791">
        <v>-0.1069296</v>
      </c>
      <c r="W791">
        <v>4.2240270000000003E-2</v>
      </c>
      <c r="X791">
        <v>0.9933689</v>
      </c>
      <c r="Y791">
        <v>-5.0850689999999997E-2</v>
      </c>
      <c r="Z791">
        <v>1.3671429999999999E-3</v>
      </c>
      <c r="AA791">
        <v>0.99870530000000002</v>
      </c>
      <c r="AB791">
        <v>20</v>
      </c>
      <c r="AC791">
        <v>17.8172999999999</v>
      </c>
      <c r="AD791">
        <v>-1.054466901414</v>
      </c>
      <c r="AE791">
        <v>0.95240000000001102</v>
      </c>
      <c r="AF791">
        <v>-0.91082665277168595</v>
      </c>
      <c r="AG791">
        <v>-1.054466901414</v>
      </c>
      <c r="AH791">
        <v>17.757292447433201</v>
      </c>
      <c r="AI791">
        <v>93.393906821355301</v>
      </c>
      <c r="AJ791">
        <v>92.936305073612203</v>
      </c>
      <c r="AK791">
        <v>17.811876394733002</v>
      </c>
      <c r="AL791">
        <v>87.579090466104503</v>
      </c>
      <c r="AM791">
        <v>96.143855233651905</v>
      </c>
      <c r="AN791">
        <v>0.99999997562652099</v>
      </c>
    </row>
    <row r="792" spans="1:40" x14ac:dyDescent="0.3">
      <c r="A792" t="str">
        <f>"20200111145927943"</f>
        <v>20200111145927943</v>
      </c>
      <c r="B792" t="str">
        <f>"1578725967936739"</f>
        <v>1578725967936739</v>
      </c>
      <c r="C792" t="s">
        <v>40</v>
      </c>
      <c r="D792">
        <v>4.31372</v>
      </c>
      <c r="E792">
        <v>0.52121549999999905</v>
      </c>
      <c r="F792" t="s">
        <v>42</v>
      </c>
      <c r="G792">
        <v>-391.77719999999999</v>
      </c>
      <c r="H792" s="1">
        <v>-3.7603190000000001E-6</v>
      </c>
      <c r="I792">
        <v>368.20429999999999</v>
      </c>
      <c r="J792">
        <v>-409.13619999999997</v>
      </c>
      <c r="K792">
        <v>1.054462</v>
      </c>
      <c r="L792">
        <v>367.27289999999999</v>
      </c>
      <c r="M792">
        <v>0.99993969999999999</v>
      </c>
      <c r="N792">
        <v>0</v>
      </c>
      <c r="O792">
        <v>2.1221999999999999E-3</v>
      </c>
      <c r="P792">
        <v>0.99351400000000001</v>
      </c>
      <c r="Q792">
        <v>3.1508999999999898E-2</v>
      </c>
      <c r="R792">
        <v>0.10925700000000001</v>
      </c>
      <c r="S792">
        <v>3.0076900000000002</v>
      </c>
      <c r="T792">
        <v>-0.18143819999999999</v>
      </c>
      <c r="U792">
        <v>0.1603088</v>
      </c>
      <c r="V792">
        <v>-0.1071438</v>
      </c>
      <c r="W792">
        <v>4.222741E-2</v>
      </c>
      <c r="X792">
        <v>0.99334639999999996</v>
      </c>
      <c r="Y792">
        <v>-5.1016039999999999E-2</v>
      </c>
      <c r="Z792">
        <v>1.4084600000000001E-3</v>
      </c>
      <c r="AA792">
        <v>0.9986969</v>
      </c>
      <c r="AB792">
        <v>20</v>
      </c>
      <c r="AC792">
        <v>17.358999999999899</v>
      </c>
      <c r="AD792">
        <v>-1.054465760319</v>
      </c>
      <c r="AE792">
        <v>0.93139999999999601</v>
      </c>
      <c r="AF792">
        <v>-0.89127720363165097</v>
      </c>
      <c r="AG792">
        <v>-1.054465760319</v>
      </c>
      <c r="AH792">
        <v>17.297295423454202</v>
      </c>
      <c r="AI792">
        <v>93.483898079293894</v>
      </c>
      <c r="AJ792">
        <v>92.949669210422101</v>
      </c>
      <c r="AK792">
        <v>17.352311144618401</v>
      </c>
      <c r="AL792">
        <v>87.579828029196904</v>
      </c>
      <c r="AM792">
        <v>96.156206487765303</v>
      </c>
      <c r="AN792">
        <v>1.0000000092133501</v>
      </c>
    </row>
    <row r="793" spans="1:40" x14ac:dyDescent="0.3">
      <c r="A793" t="str">
        <f>"20200111145927962"</f>
        <v>20200111145927962</v>
      </c>
      <c r="B793" t="str">
        <f>"1578725967956260"</f>
        <v>1578725967956260</v>
      </c>
      <c r="C793" t="s">
        <v>40</v>
      </c>
      <c r="D793">
        <v>4.2277570000000004</v>
      </c>
      <c r="E793">
        <v>0.52121819999999996</v>
      </c>
      <c r="F793" t="s">
        <v>42</v>
      </c>
      <c r="G793">
        <v>-391.51530000000002</v>
      </c>
      <c r="H793" s="1">
        <v>-3.8715670000000001E-6</v>
      </c>
      <c r="I793">
        <v>368.2106</v>
      </c>
      <c r="J793">
        <v>-408.97269999999997</v>
      </c>
      <c r="K793">
        <v>1.054465</v>
      </c>
      <c r="L793">
        <v>367.2731</v>
      </c>
      <c r="M793">
        <v>0.99993989999999999</v>
      </c>
      <c r="N793">
        <v>0</v>
      </c>
      <c r="O793">
        <v>2.0773570000000002E-3</v>
      </c>
      <c r="P793">
        <v>0.9934636</v>
      </c>
      <c r="Q793">
        <v>3.1470310000000001E-2</v>
      </c>
      <c r="R793">
        <v>0.1097264</v>
      </c>
      <c r="S793">
        <v>3.0076290000000001</v>
      </c>
      <c r="T793">
        <v>-0.1799811</v>
      </c>
      <c r="U793">
        <v>0.1600647</v>
      </c>
      <c r="V793">
        <v>-0.1076573</v>
      </c>
      <c r="W793">
        <v>4.2192159999999999E-2</v>
      </c>
      <c r="X793">
        <v>0.99329239999999996</v>
      </c>
      <c r="Y793">
        <v>-5.0982449999999999E-2</v>
      </c>
      <c r="Z793">
        <v>1.3988760000000001E-3</v>
      </c>
      <c r="AA793">
        <v>0.99869859999999999</v>
      </c>
      <c r="AB793">
        <v>20</v>
      </c>
      <c r="AC793">
        <v>17.4573999999999</v>
      </c>
      <c r="AD793">
        <v>-1.0544688715670001</v>
      </c>
      <c r="AE793">
        <v>0.9375</v>
      </c>
      <c r="AF793">
        <v>-0.89796386818457596</v>
      </c>
      <c r="AG793">
        <v>-1.0544688715670001</v>
      </c>
      <c r="AH793">
        <v>17.396023950627999</v>
      </c>
      <c r="AI793">
        <v>93.464167878510807</v>
      </c>
      <c r="AJ793">
        <v>92.954923313887093</v>
      </c>
      <c r="AK793">
        <v>17.4510713997878</v>
      </c>
      <c r="AL793">
        <v>87.581849562755195</v>
      </c>
      <c r="AM793">
        <v>96.185816367371302</v>
      </c>
      <c r="AN793">
        <v>1.0000000322532501</v>
      </c>
    </row>
    <row r="794" spans="1:40" x14ac:dyDescent="0.3">
      <c r="A794" t="str">
        <f>"20200111145927974"</f>
        <v>20200111145927974</v>
      </c>
      <c r="B794" t="str">
        <f>"1578725967966019"</f>
        <v>1578725967966019</v>
      </c>
      <c r="C794" t="s">
        <v>40</v>
      </c>
      <c r="D794">
        <v>4.2057169999999999</v>
      </c>
      <c r="E794">
        <v>0.52120489999999997</v>
      </c>
      <c r="F794" t="s">
        <v>42</v>
      </c>
      <c r="G794">
        <v>-391.79169999999999</v>
      </c>
      <c r="H794" s="1">
        <v>-3.7556309999999999E-6</v>
      </c>
      <c r="I794">
        <v>368.19560000000001</v>
      </c>
      <c r="J794">
        <v>-408.84629999999999</v>
      </c>
      <c r="K794">
        <v>1.0544639999999901</v>
      </c>
      <c r="L794">
        <v>367.27339999999998</v>
      </c>
      <c r="M794">
        <v>0.99993969999999999</v>
      </c>
      <c r="N794">
        <v>0</v>
      </c>
      <c r="O794">
        <v>2.043366E-3</v>
      </c>
      <c r="P794">
        <v>0.99344219999999905</v>
      </c>
      <c r="Q794">
        <v>3.1516540000000003E-2</v>
      </c>
      <c r="R794">
        <v>0.1099054</v>
      </c>
      <c r="S794">
        <v>3.0077509999999998</v>
      </c>
      <c r="T794">
        <v>-0.1845977</v>
      </c>
      <c r="U794">
        <v>0.161499</v>
      </c>
      <c r="V794">
        <v>-0.1078703</v>
      </c>
      <c r="W794">
        <v>4.2241220000000003E-2</v>
      </c>
      <c r="X794">
        <v>0.99326720000000002</v>
      </c>
      <c r="Y794">
        <v>-5.1483620000000001E-2</v>
      </c>
      <c r="Z794">
        <v>1.45205299999999E-3</v>
      </c>
      <c r="AA794">
        <v>0.99867280000000003</v>
      </c>
      <c r="AB794">
        <v>20</v>
      </c>
      <c r="AC794">
        <v>17.054599999999901</v>
      </c>
      <c r="AD794">
        <v>-1.05446775563099</v>
      </c>
      <c r="AE794">
        <v>0.92220000000003199</v>
      </c>
      <c r="AF794">
        <v>-0.88397782235669997</v>
      </c>
      <c r="AG794">
        <v>-1.05446775563099</v>
      </c>
      <c r="AH794">
        <v>16.991682171655999</v>
      </c>
      <c r="AI794">
        <v>93.546317011142406</v>
      </c>
      <c r="AJ794">
        <v>92.978079429071599</v>
      </c>
      <c r="AK794">
        <v>17.0473042461457</v>
      </c>
      <c r="AL794">
        <v>87.579036109584393</v>
      </c>
      <c r="AM794">
        <v>96.198115870390794</v>
      </c>
      <c r="AN794">
        <v>1.0000000264425</v>
      </c>
    </row>
    <row r="795" spans="1:40" x14ac:dyDescent="0.3">
      <c r="A795" t="str">
        <f>"20200111145927987"</f>
        <v>20200111145927987</v>
      </c>
      <c r="B795" t="str">
        <f>"1578725967976755"</f>
        <v>1578725967976755</v>
      </c>
      <c r="C795" t="s">
        <v>40</v>
      </c>
      <c r="D795">
        <v>4.3871079999999996</v>
      </c>
      <c r="E795">
        <v>0.521354599999999</v>
      </c>
      <c r="F795" t="s">
        <v>42</v>
      </c>
      <c r="G795">
        <v>-391.85770000000002</v>
      </c>
      <c r="H795" s="1">
        <v>-3.7286199999999999E-6</v>
      </c>
      <c r="I795">
        <v>368.1884</v>
      </c>
      <c r="J795">
        <v>-408.74009999999998</v>
      </c>
      <c r="K795">
        <v>1.0544639999999901</v>
      </c>
      <c r="L795">
        <v>367.27359999999999</v>
      </c>
      <c r="M795">
        <v>0.99993989999999999</v>
      </c>
      <c r="N795">
        <v>0</v>
      </c>
      <c r="O795">
        <v>2.0145639999999999E-3</v>
      </c>
      <c r="P795">
        <v>0.99344169999999998</v>
      </c>
      <c r="Q795">
        <v>3.1309799999999999E-2</v>
      </c>
      <c r="R795">
        <v>0.1099711</v>
      </c>
      <c r="S795">
        <v>3.0078130000000001</v>
      </c>
      <c r="T795">
        <v>-0.18669089999999999</v>
      </c>
      <c r="U795">
        <v>0.16201779999999999</v>
      </c>
      <c r="V795">
        <v>-0.10796500000000001</v>
      </c>
      <c r="W795">
        <v>4.2036370000000003E-2</v>
      </c>
      <c r="X795">
        <v>0.99326559999999997</v>
      </c>
      <c r="Y795">
        <v>-5.1680520000000001E-2</v>
      </c>
      <c r="Z795">
        <v>1.4763350000000001E-3</v>
      </c>
      <c r="AA795">
        <v>0.99866259999999996</v>
      </c>
      <c r="AB795">
        <v>20</v>
      </c>
      <c r="AC795">
        <v>16.882399999999901</v>
      </c>
      <c r="AD795">
        <v>-1.0544677286199999</v>
      </c>
      <c r="AE795">
        <v>0.91480000000001305</v>
      </c>
      <c r="AF795">
        <v>-0.87737270721816096</v>
      </c>
      <c r="AG795">
        <v>-1.0544677286199999</v>
      </c>
      <c r="AH795">
        <v>16.818787404085001</v>
      </c>
      <c r="AI795">
        <v>93.582651711652801</v>
      </c>
      <c r="AJ795">
        <v>92.986197895035005</v>
      </c>
      <c r="AK795">
        <v>16.8746346568416</v>
      </c>
      <c r="AL795">
        <v>87.590783580474707</v>
      </c>
      <c r="AM795">
        <v>96.203524742164603</v>
      </c>
      <c r="AN795">
        <v>1.0000000248855601</v>
      </c>
    </row>
    <row r="796" spans="1:40" x14ac:dyDescent="0.3">
      <c r="A796" t="str">
        <f>"20200111145928002"</f>
        <v>20200111145928002</v>
      </c>
      <c r="B796" t="str">
        <f>"1578725967996275"</f>
        <v>1578725967996275</v>
      </c>
      <c r="C796" t="s">
        <v>40</v>
      </c>
      <c r="D796">
        <v>4.2764939999999996</v>
      </c>
      <c r="E796">
        <v>0.5215301</v>
      </c>
      <c r="F796" t="s">
        <v>42</v>
      </c>
      <c r="G796">
        <v>-391.63740000000001</v>
      </c>
      <c r="H796" s="1">
        <v>-3.8230069999999996E-6</v>
      </c>
      <c r="I796">
        <v>368.18900000000002</v>
      </c>
      <c r="J796">
        <v>-408.61309999999997</v>
      </c>
      <c r="K796">
        <v>1.054462</v>
      </c>
      <c r="L796">
        <v>367.27379999999999</v>
      </c>
      <c r="M796">
        <v>0.99994000000000005</v>
      </c>
      <c r="N796">
        <v>0</v>
      </c>
      <c r="O796">
        <v>1.9796800000000002E-3</v>
      </c>
      <c r="P796">
        <v>0.9934423</v>
      </c>
      <c r="Q796">
        <v>3.1276409999999998E-2</v>
      </c>
      <c r="R796">
        <v>0.10997419999999999</v>
      </c>
      <c r="S796">
        <v>3.0078130000000001</v>
      </c>
      <c r="T796">
        <v>-0.18544579999999999</v>
      </c>
      <c r="U796">
        <v>0.16101070000000001</v>
      </c>
      <c r="V796">
        <v>-0.108002</v>
      </c>
      <c r="W796">
        <v>4.2005880000000002E-2</v>
      </c>
      <c r="X796">
        <v>0.9932628</v>
      </c>
      <c r="Y796">
        <v>-5.1383699999999997E-2</v>
      </c>
      <c r="Z796">
        <v>1.4595329999999901E-3</v>
      </c>
      <c r="AA796">
        <v>0.99867790000000001</v>
      </c>
      <c r="AB796">
        <v>20</v>
      </c>
      <c r="AC796">
        <v>16.9756999999999</v>
      </c>
      <c r="AD796">
        <v>-1.0544658230069901</v>
      </c>
      <c r="AE796">
        <v>0.91520000000002699</v>
      </c>
      <c r="AF796">
        <v>-0.87821111391326301</v>
      </c>
      <c r="AG796">
        <v>-1.0544658230069901</v>
      </c>
      <c r="AH796">
        <v>16.912412545964902</v>
      </c>
      <c r="AI796">
        <v>93.562907502284602</v>
      </c>
      <c r="AJ796">
        <v>92.972529043919906</v>
      </c>
      <c r="AK796">
        <v>16.967994903859498</v>
      </c>
      <c r="AL796">
        <v>87.592531911819293</v>
      </c>
      <c r="AM796">
        <v>96.205651485473098</v>
      </c>
      <c r="AN796">
        <v>0.99999995791120599</v>
      </c>
    </row>
    <row r="797" spans="1:40" x14ac:dyDescent="0.3">
      <c r="A797" t="str">
        <f>"20200111145928017"</f>
        <v>20200111145928017</v>
      </c>
      <c r="B797" t="str">
        <f>"1578725968006035"</f>
        <v>1578725968006035</v>
      </c>
      <c r="C797" t="s">
        <v>40</v>
      </c>
      <c r="D797">
        <v>4.2113110000000002</v>
      </c>
      <c r="E797">
        <v>0.52177359999999995</v>
      </c>
      <c r="F797" t="s">
        <v>42</v>
      </c>
      <c r="G797">
        <v>-391.16849999999999</v>
      </c>
      <c r="H797" s="1">
        <v>-4.0220760000000002E-6</v>
      </c>
      <c r="I797">
        <v>368.20069999999998</v>
      </c>
      <c r="J797">
        <v>-408.46570000000003</v>
      </c>
      <c r="K797">
        <v>1.0544610000000001</v>
      </c>
      <c r="L797">
        <v>367.274</v>
      </c>
      <c r="M797">
        <v>0.99993989999999999</v>
      </c>
      <c r="N797">
        <v>0</v>
      </c>
      <c r="O797">
        <v>1.9399040000000001E-3</v>
      </c>
      <c r="P797">
        <v>0.99341760000000001</v>
      </c>
      <c r="Q797">
        <v>3.1081379999999999E-2</v>
      </c>
      <c r="R797">
        <v>0.11025169999999999</v>
      </c>
      <c r="S797">
        <v>3.0078429999999998</v>
      </c>
      <c r="T797">
        <v>-0.18181320000000001</v>
      </c>
      <c r="U797">
        <v>0.15982060000000001</v>
      </c>
      <c r="V797">
        <v>-0.10831929999999999</v>
      </c>
      <c r="W797">
        <v>4.1813889999999999E-2</v>
      </c>
      <c r="X797">
        <v>0.99323640000000002</v>
      </c>
      <c r="Y797">
        <v>-5.103303E-2</v>
      </c>
      <c r="Z797">
        <v>1.422815E-3</v>
      </c>
      <c r="AA797">
        <v>0.99869600000000003</v>
      </c>
      <c r="AB797">
        <v>20</v>
      </c>
      <c r="AC797">
        <v>17.2972</v>
      </c>
      <c r="AD797">
        <v>-1.0544650220759999</v>
      </c>
      <c r="AE797">
        <v>0.92669999999998198</v>
      </c>
      <c r="AF797">
        <v>-0.889843917742835</v>
      </c>
      <c r="AG797">
        <v>-1.0544650220759999</v>
      </c>
      <c r="AH797">
        <v>17.235097498215399</v>
      </c>
      <c r="AI797">
        <v>93.496418733293297</v>
      </c>
      <c r="AJ797">
        <v>92.955542980870902</v>
      </c>
      <c r="AK797">
        <v>17.2902372584565</v>
      </c>
      <c r="AL797">
        <v>87.603541925380398</v>
      </c>
      <c r="AM797">
        <v>96.223904380262994</v>
      </c>
      <c r="AN797">
        <v>1.0000000092171899</v>
      </c>
    </row>
    <row r="798" spans="1:40" x14ac:dyDescent="0.3">
      <c r="A798" t="str">
        <f>"20200111145928030"</f>
        <v>20200111145928030</v>
      </c>
      <c r="B798" t="str">
        <f>"1578725968026530"</f>
        <v>1578725968026530</v>
      </c>
      <c r="C798" t="s">
        <v>40</v>
      </c>
      <c r="D798">
        <v>4.3431009999999999</v>
      </c>
      <c r="E798">
        <v>0.55496999999999996</v>
      </c>
      <c r="F798" t="s">
        <v>42</v>
      </c>
      <c r="G798">
        <v>-391.351</v>
      </c>
      <c r="H798" s="1">
        <v>-3.9480110000000002E-6</v>
      </c>
      <c r="I798">
        <v>368.1771</v>
      </c>
      <c r="J798">
        <v>-408.35230000000001</v>
      </c>
      <c r="K798">
        <v>1.0544610000000001</v>
      </c>
      <c r="L798">
        <v>367.27420000000001</v>
      </c>
      <c r="M798">
        <v>0.99994000000000005</v>
      </c>
      <c r="N798">
        <v>0</v>
      </c>
      <c r="O798">
        <v>1.9088969999999999E-3</v>
      </c>
      <c r="P798">
        <v>0.99338479999999996</v>
      </c>
      <c r="Q798">
        <v>3.1283190000000002E-2</v>
      </c>
      <c r="R798">
        <v>0.1104903</v>
      </c>
      <c r="S798">
        <v>3.0080260000000001</v>
      </c>
      <c r="T798">
        <v>-0.1853281</v>
      </c>
      <c r="U798">
        <v>0.1587219</v>
      </c>
      <c r="V798">
        <v>-0.1085888</v>
      </c>
      <c r="W798">
        <v>4.2017789999999999E-2</v>
      </c>
      <c r="X798">
        <v>0.99319829999999998</v>
      </c>
      <c r="Y798">
        <v>-5.0694139999999999E-2</v>
      </c>
      <c r="Z798">
        <v>1.441681E-3</v>
      </c>
      <c r="AA798">
        <v>0.99871319999999997</v>
      </c>
      <c r="AB798">
        <v>20</v>
      </c>
      <c r="AC798">
        <v>17.001300000000001</v>
      </c>
      <c r="AD798">
        <v>-1.054464948011</v>
      </c>
      <c r="AE798">
        <v>0.90289999999998805</v>
      </c>
      <c r="AF798">
        <v>-0.86711649045320904</v>
      </c>
      <c r="AG798">
        <v>-1.054464948011</v>
      </c>
      <c r="AH798">
        <v>16.938018684536299</v>
      </c>
      <c r="AI798">
        <v>93.557666004645199</v>
      </c>
      <c r="AJ798">
        <v>92.930613220965498</v>
      </c>
      <c r="AK798">
        <v>16.992947486892898</v>
      </c>
      <c r="AL798">
        <v>87.591848879257299</v>
      </c>
      <c r="AM798">
        <v>96.239505022814299</v>
      </c>
      <c r="AN798">
        <v>0.99999994264240499</v>
      </c>
    </row>
    <row r="799" spans="1:40" x14ac:dyDescent="0.3">
      <c r="A799" t="str">
        <f>"20200111145928044"</f>
        <v>20200111145928044</v>
      </c>
      <c r="B799" t="str">
        <f>"1578725968036292"</f>
        <v>1578725968036292</v>
      </c>
      <c r="C799" t="s">
        <v>40</v>
      </c>
      <c r="D799">
        <v>4.2865060000000001</v>
      </c>
      <c r="E799">
        <v>0.55810959999999998</v>
      </c>
      <c r="F799" t="s">
        <v>42</v>
      </c>
      <c r="G799">
        <v>-374.79020000000003</v>
      </c>
      <c r="H799" s="1">
        <v>-2.8366129999999998E-6</v>
      </c>
      <c r="I799">
        <v>366.12479999999999</v>
      </c>
      <c r="J799">
        <v>-408.22480000000002</v>
      </c>
      <c r="K799">
        <v>1.054462</v>
      </c>
      <c r="L799">
        <v>367.27440000000001</v>
      </c>
      <c r="M799">
        <v>0.99994000000000005</v>
      </c>
      <c r="N799">
        <v>0</v>
      </c>
      <c r="O799">
        <v>1.8740149999999999E-3</v>
      </c>
      <c r="P799">
        <v>0.9933746</v>
      </c>
      <c r="Q799">
        <v>3.1327290000000001E-2</v>
      </c>
      <c r="R799">
        <v>0.11057019999999999</v>
      </c>
      <c r="S799">
        <v>3.0345460000000002</v>
      </c>
      <c r="T799">
        <v>-9.5340190000000005E-2</v>
      </c>
      <c r="U799">
        <v>-0.1039124</v>
      </c>
      <c r="V799">
        <v>-0.1087032</v>
      </c>
      <c r="W799">
        <v>4.2063999999999997E-2</v>
      </c>
      <c r="X799">
        <v>0.99318390000000001</v>
      </c>
      <c r="Y799">
        <v>3.6077339999999999E-2</v>
      </c>
      <c r="Z799">
        <v>-6.2528859999999998E-4</v>
      </c>
      <c r="AA799">
        <v>0.99934880000000004</v>
      </c>
      <c r="AB799">
        <v>20</v>
      </c>
      <c r="AC799">
        <v>33.434599999999897</v>
      </c>
      <c r="AD799">
        <v>-1.0544648366130001</v>
      </c>
      <c r="AE799">
        <v>-1.1496000000000199</v>
      </c>
      <c r="AF799">
        <v>1.2110554141774199</v>
      </c>
      <c r="AG799">
        <v>-1.0544648366130001</v>
      </c>
      <c r="AH799">
        <v>33.3992053718842</v>
      </c>
      <c r="AI799">
        <v>91.807129353393293</v>
      </c>
      <c r="AJ799">
        <v>87.923364437796096</v>
      </c>
      <c r="AK799">
        <v>33.437785075886197</v>
      </c>
      <c r="AL799">
        <v>87.589199066779699</v>
      </c>
      <c r="AM799">
        <v>96.246116354932894</v>
      </c>
      <c r="AN799">
        <v>1.00000001250272</v>
      </c>
    </row>
    <row r="800" spans="1:40" x14ac:dyDescent="0.3">
      <c r="A800" t="str">
        <f>"20200111145928061"</f>
        <v>20200111145928061</v>
      </c>
      <c r="B800" t="str">
        <f>"1578725968056787"</f>
        <v>1578725968056787</v>
      </c>
      <c r="C800" t="s">
        <v>40</v>
      </c>
      <c r="D800">
        <v>4.2458869999999997</v>
      </c>
      <c r="E800">
        <v>0.56180039999999998</v>
      </c>
      <c r="F800" t="s">
        <v>42</v>
      </c>
      <c r="G800">
        <v>-373.27120000000002</v>
      </c>
      <c r="H800" s="1">
        <v>-3.5470129999999998E-6</v>
      </c>
      <c r="I800">
        <v>365.79360000000003</v>
      </c>
      <c r="J800">
        <v>-408.07459999999998</v>
      </c>
      <c r="K800">
        <v>1.054467</v>
      </c>
      <c r="L800">
        <v>367.2747</v>
      </c>
      <c r="M800">
        <v>0.99994000000000005</v>
      </c>
      <c r="N800">
        <v>0</v>
      </c>
      <c r="O800">
        <v>1.8327560000000001E-3</v>
      </c>
      <c r="P800">
        <v>0.99336530000000001</v>
      </c>
      <c r="Q800">
        <v>3.1914940000000003E-2</v>
      </c>
      <c r="R800">
        <v>0.11048470000000001</v>
      </c>
      <c r="S800">
        <v>3.037201</v>
      </c>
      <c r="T800">
        <v>-9.1624979999999995E-2</v>
      </c>
      <c r="U800">
        <v>-0.1286621</v>
      </c>
      <c r="V800">
        <v>-0.1086588</v>
      </c>
      <c r="W800">
        <v>4.2654270000000001E-2</v>
      </c>
      <c r="X800">
        <v>0.99316360000000004</v>
      </c>
      <c r="Y800">
        <v>4.4134380000000001E-2</v>
      </c>
      <c r="Z800">
        <v>-7.2052019999999995E-4</v>
      </c>
      <c r="AA800">
        <v>0.9990253</v>
      </c>
      <c r="AB800">
        <v>20</v>
      </c>
      <c r="AC800">
        <v>34.803399999999897</v>
      </c>
      <c r="AD800">
        <v>-1.054470547013</v>
      </c>
      <c r="AE800">
        <v>-1.4810999999999599</v>
      </c>
      <c r="AF800">
        <v>1.5434730815111199</v>
      </c>
      <c r="AG800">
        <v>-1.054470547013</v>
      </c>
      <c r="AH800">
        <v>34.768768113874899</v>
      </c>
      <c r="AI800">
        <v>91.735431330171295</v>
      </c>
      <c r="AJ800">
        <v>87.458165064064104</v>
      </c>
      <c r="AK800">
        <v>34.818981223526201</v>
      </c>
      <c r="AL800">
        <v>87.555348744781497</v>
      </c>
      <c r="AM800">
        <v>96.243711880733102</v>
      </c>
      <c r="AN800">
        <v>1.00000002896581</v>
      </c>
    </row>
    <row r="801" spans="1:40" x14ac:dyDescent="0.3">
      <c r="A801" t="str">
        <f>"20200111145928072"</f>
        <v>20200111145928072</v>
      </c>
      <c r="B801" t="str">
        <f>"1578725968066547"</f>
        <v>1578725968066547</v>
      </c>
      <c r="C801" t="s">
        <v>40</v>
      </c>
      <c r="D801">
        <v>4.303115</v>
      </c>
      <c r="E801">
        <v>0.56254740000000003</v>
      </c>
      <c r="F801" t="s">
        <v>42</v>
      </c>
      <c r="G801">
        <v>-368.4015</v>
      </c>
      <c r="H801" s="1">
        <v>-1.70104899999999E-6</v>
      </c>
      <c r="I801">
        <v>365.21530000000001</v>
      </c>
      <c r="J801">
        <v>-407.96809999999999</v>
      </c>
      <c r="K801">
        <v>1.0544659999999999</v>
      </c>
      <c r="L801">
        <v>367.27480000000003</v>
      </c>
      <c r="M801">
        <v>0.9999401</v>
      </c>
      <c r="N801">
        <v>0</v>
      </c>
      <c r="O801">
        <v>1.8035989999999999E-3</v>
      </c>
      <c r="P801">
        <v>0.99334730000000004</v>
      </c>
      <c r="Q801">
        <v>3.2129440000000002E-2</v>
      </c>
      <c r="R801">
        <v>0.11058460000000001</v>
      </c>
      <c r="S801">
        <v>3.0401609999999999</v>
      </c>
      <c r="T801">
        <v>-8.0804109999999998E-2</v>
      </c>
      <c r="U801">
        <v>-0.15780640000000001</v>
      </c>
      <c r="V801">
        <v>-0.108788</v>
      </c>
      <c r="W801">
        <v>4.2870079999999998E-2</v>
      </c>
      <c r="X801">
        <v>0.99314020000000003</v>
      </c>
      <c r="Y801">
        <v>5.3619140000000003E-2</v>
      </c>
      <c r="Z801">
        <v>-7.5986409999999999E-4</v>
      </c>
      <c r="AA801">
        <v>0.99856109999999998</v>
      </c>
      <c r="AB801">
        <v>20</v>
      </c>
      <c r="AC801">
        <v>39.566600000000001</v>
      </c>
      <c r="AD801">
        <v>-1.054467701049</v>
      </c>
      <c r="AE801">
        <v>-2.0595000000000101</v>
      </c>
      <c r="AF801">
        <v>2.1293548085043801</v>
      </c>
      <c r="AG801">
        <v>-1.054467701049</v>
      </c>
      <c r="AH801">
        <v>39.534817315716197</v>
      </c>
      <c r="AI801">
        <v>91.525613443295796</v>
      </c>
      <c r="AJ801">
        <v>86.917014346181404</v>
      </c>
      <c r="AK801">
        <v>39.606159044018703</v>
      </c>
      <c r="AL801">
        <v>87.542972510116996</v>
      </c>
      <c r="AM801">
        <v>96.251223304193303</v>
      </c>
      <c r="AN801">
        <v>1.0000000647796199</v>
      </c>
    </row>
    <row r="802" spans="1:40" x14ac:dyDescent="0.3">
      <c r="A802" t="str">
        <f>"20200111145928084"</f>
        <v>20200111145928084</v>
      </c>
      <c r="B802" t="str">
        <f>"1578725968076307"</f>
        <v>1578725968076307</v>
      </c>
      <c r="C802" t="s">
        <v>40</v>
      </c>
      <c r="D802">
        <v>4.250165</v>
      </c>
      <c r="E802">
        <v>0.56317839999999997</v>
      </c>
      <c r="F802" t="s">
        <v>42</v>
      </c>
      <c r="G802">
        <v>-368.22820000000002</v>
      </c>
      <c r="H802" s="1">
        <v>-1.780916E-6</v>
      </c>
      <c r="I802">
        <v>365.13670000000002</v>
      </c>
      <c r="J802">
        <v>-407.86619999999999</v>
      </c>
      <c r="K802">
        <v>1.0544690000000001</v>
      </c>
      <c r="L802">
        <v>367.27499999999998</v>
      </c>
      <c r="M802">
        <v>0.99994019999999995</v>
      </c>
      <c r="N802">
        <v>0</v>
      </c>
      <c r="O802">
        <v>1.7756339999999999E-3</v>
      </c>
      <c r="P802">
        <v>0.9933729</v>
      </c>
      <c r="Q802">
        <v>3.2019020000000002E-2</v>
      </c>
      <c r="R802">
        <v>0.1103872</v>
      </c>
      <c r="S802">
        <v>3.0408940000000002</v>
      </c>
      <c r="T802">
        <v>-8.0687640000000005E-2</v>
      </c>
      <c r="U802">
        <v>-0.16360469999999999</v>
      </c>
      <c r="V802">
        <v>-0.1086181</v>
      </c>
      <c r="W802">
        <v>4.2761939999999998E-2</v>
      </c>
      <c r="X802">
        <v>0.99316340000000003</v>
      </c>
      <c r="Y802">
        <v>5.5476829999999998E-2</v>
      </c>
      <c r="Z802">
        <v>-7.8243119999999995E-4</v>
      </c>
      <c r="AA802">
        <v>0.99845969999999995</v>
      </c>
      <c r="AB802">
        <v>20</v>
      </c>
      <c r="AC802">
        <v>39.637999999999899</v>
      </c>
      <c r="AD802">
        <v>-1.0544707809160001</v>
      </c>
      <c r="AE802">
        <v>-2.1382999999999499</v>
      </c>
      <c r="AF802">
        <v>2.2071258695507101</v>
      </c>
      <c r="AG802">
        <v>-1.0544707809160001</v>
      </c>
      <c r="AH802">
        <v>39.606192705706697</v>
      </c>
      <c r="AI802">
        <v>91.522714632254903</v>
      </c>
      <c r="AJ802">
        <v>86.810389314233106</v>
      </c>
      <c r="AK802">
        <v>39.681655886233202</v>
      </c>
      <c r="AL802">
        <v>87.549174021013997</v>
      </c>
      <c r="AM802">
        <v>96.2413929000042</v>
      </c>
      <c r="AN802">
        <v>1.00000000712986</v>
      </c>
    </row>
    <row r="803" spans="1:40" x14ac:dyDescent="0.3">
      <c r="A803" t="str">
        <f>"20200111145928095"</f>
        <v>20200111145928095</v>
      </c>
      <c r="B803" t="str">
        <f>"1578725968086066"</f>
        <v>1578725968086066</v>
      </c>
      <c r="C803" t="s">
        <v>40</v>
      </c>
      <c r="D803">
        <v>4.2334860000000001</v>
      </c>
      <c r="E803">
        <v>0.56402299999999905</v>
      </c>
      <c r="F803" t="s">
        <v>42</v>
      </c>
      <c r="G803">
        <v>-367.6146</v>
      </c>
      <c r="H803" s="1">
        <v>-2.0169250000000002E-6</v>
      </c>
      <c r="I803">
        <v>365.03449999999998</v>
      </c>
      <c r="J803">
        <v>-407.75560000000002</v>
      </c>
      <c r="K803">
        <v>1.0544690000000001</v>
      </c>
      <c r="L803">
        <v>367.27510000000001</v>
      </c>
      <c r="M803">
        <v>0.9999403</v>
      </c>
      <c r="N803">
        <v>0</v>
      </c>
      <c r="O803">
        <v>1.745286E-3</v>
      </c>
      <c r="P803">
        <v>0.99339219999999895</v>
      </c>
      <c r="Q803">
        <v>3.18955E-2</v>
      </c>
      <c r="R803">
        <v>0.1102495</v>
      </c>
      <c r="S803">
        <v>3.0414119999999998</v>
      </c>
      <c r="T803">
        <v>-7.9675609999999994E-2</v>
      </c>
      <c r="U803">
        <v>-0.16928099999999999</v>
      </c>
      <c r="V803">
        <v>-0.1085106</v>
      </c>
      <c r="W803">
        <v>4.2640459999999998E-2</v>
      </c>
      <c r="X803">
        <v>0.99318030000000002</v>
      </c>
      <c r="Y803">
        <v>5.7295100000000002E-2</v>
      </c>
      <c r="Z803">
        <v>-7.954498E-4</v>
      </c>
      <c r="AA803">
        <v>0.99835700000000005</v>
      </c>
      <c r="AB803">
        <v>20</v>
      </c>
      <c r="AC803">
        <v>40.140999999999998</v>
      </c>
      <c r="AD803">
        <v>-1.054471016925</v>
      </c>
      <c r="AE803">
        <v>-2.2406000000000201</v>
      </c>
      <c r="AF803">
        <v>2.3090697186854499</v>
      </c>
      <c r="AG803">
        <v>-1.054471016925</v>
      </c>
      <c r="AH803">
        <v>40.109435807235101</v>
      </c>
      <c r="AI803">
        <v>91.503462321122797</v>
      </c>
      <c r="AJ803">
        <v>86.705162268064399</v>
      </c>
      <c r="AK803">
        <v>40.189682169258298</v>
      </c>
      <c r="AL803">
        <v>87.556140487125703</v>
      </c>
      <c r="AM803">
        <v>96.235159170650206</v>
      </c>
      <c r="AN803">
        <v>0.99999993372472795</v>
      </c>
    </row>
    <row r="804" spans="1:40" x14ac:dyDescent="0.3">
      <c r="A804" t="str">
        <f>"20200111145928108"</f>
        <v>20200111145928108</v>
      </c>
      <c r="B804" t="str">
        <f>"1578725968096803"</f>
        <v>1578725968096803</v>
      </c>
      <c r="C804" t="s">
        <v>40</v>
      </c>
      <c r="D804">
        <v>4.1951489999999998</v>
      </c>
      <c r="E804">
        <v>0.56441889999999995</v>
      </c>
      <c r="F804" t="s">
        <v>42</v>
      </c>
      <c r="G804">
        <v>-368.24970000000002</v>
      </c>
      <c r="H804" s="1">
        <v>-1.814441E-6</v>
      </c>
      <c r="I804">
        <v>364.98320000000001</v>
      </c>
      <c r="J804">
        <v>-407.64870000000002</v>
      </c>
      <c r="K804">
        <v>1.054467</v>
      </c>
      <c r="L804">
        <v>367.27530000000002</v>
      </c>
      <c r="M804">
        <v>0.9999401</v>
      </c>
      <c r="N804">
        <v>0</v>
      </c>
      <c r="O804">
        <v>1.7159510000000001E-3</v>
      </c>
      <c r="P804">
        <v>0.99343250000000005</v>
      </c>
      <c r="Q804">
        <v>3.1741220000000001E-2</v>
      </c>
      <c r="R804">
        <v>0.10992929999999999</v>
      </c>
      <c r="S804">
        <v>3.0421749999999999</v>
      </c>
      <c r="T804">
        <v>-8.1200120000000001E-2</v>
      </c>
      <c r="U804">
        <v>-0.17648320000000001</v>
      </c>
      <c r="V804">
        <v>-0.1082196</v>
      </c>
      <c r="W804">
        <v>4.248801E-2</v>
      </c>
      <c r="X804">
        <v>0.99321870000000001</v>
      </c>
      <c r="Y804">
        <v>5.9606109999999997E-2</v>
      </c>
      <c r="Z804">
        <v>-8.4043589999999895E-4</v>
      </c>
      <c r="AA804">
        <v>0.99822160000000004</v>
      </c>
      <c r="AB804">
        <v>20</v>
      </c>
      <c r="AC804">
        <v>39.399000000000001</v>
      </c>
      <c r="AD804">
        <v>-1.0544688144409999</v>
      </c>
      <c r="AE804">
        <v>-2.2921</v>
      </c>
      <c r="AF804">
        <v>2.3580239653753501</v>
      </c>
      <c r="AG804">
        <v>-1.0544688144409999</v>
      </c>
      <c r="AH804">
        <v>39.366905091541597</v>
      </c>
      <c r="AI804">
        <v>91.531595004966206</v>
      </c>
      <c r="AJ804">
        <v>86.572156501221698</v>
      </c>
      <c r="AK804">
        <v>39.451557611688301</v>
      </c>
      <c r="AL804">
        <v>87.564883434406795</v>
      </c>
      <c r="AM804">
        <v>96.218330574474194</v>
      </c>
      <c r="AN804">
        <v>1.0000000494237999</v>
      </c>
    </row>
    <row r="805" spans="1:40" x14ac:dyDescent="0.3">
      <c r="A805" t="str">
        <f>"20200111145928122"</f>
        <v>20200111145928122</v>
      </c>
      <c r="B805" t="str">
        <f>"1578725968116325"</f>
        <v>1578725968116325</v>
      </c>
      <c r="C805" t="s">
        <v>40</v>
      </c>
      <c r="D805">
        <v>4.1962039999999998</v>
      </c>
      <c r="E805">
        <v>0.56506099999999904</v>
      </c>
      <c r="F805" t="s">
        <v>42</v>
      </c>
      <c r="G805">
        <v>-367.21140000000003</v>
      </c>
      <c r="H805" s="1">
        <v>-2.1957E-6</v>
      </c>
      <c r="I805">
        <v>364.8784</v>
      </c>
      <c r="J805">
        <v>-407.52480000000003</v>
      </c>
      <c r="K805">
        <v>1.0544610000000001</v>
      </c>
      <c r="L805">
        <v>367.27539999999999</v>
      </c>
      <c r="M805">
        <v>0.99994019999999995</v>
      </c>
      <c r="N805">
        <v>0</v>
      </c>
      <c r="O805">
        <v>1.6819059999999999E-3</v>
      </c>
      <c r="P805">
        <v>0.99347660000000004</v>
      </c>
      <c r="Q805">
        <v>3.142375E-2</v>
      </c>
      <c r="R805">
        <v>0.109622</v>
      </c>
      <c r="S805">
        <v>3.042297</v>
      </c>
      <c r="T805">
        <v>-7.9332650000000005E-2</v>
      </c>
      <c r="U805">
        <v>-0.1803284</v>
      </c>
      <c r="V805">
        <v>-0.107945899999999</v>
      </c>
      <c r="W805">
        <v>4.2173580000000002E-2</v>
      </c>
      <c r="X805">
        <v>0.99326179999999997</v>
      </c>
      <c r="Y805">
        <v>6.0827699999999901E-2</v>
      </c>
      <c r="Z805">
        <v>-8.3607449999999997E-4</v>
      </c>
      <c r="AA805">
        <v>0.99814789999999998</v>
      </c>
      <c r="AB805">
        <v>20</v>
      </c>
      <c r="AC805">
        <v>40.313400000000001</v>
      </c>
      <c r="AD805">
        <v>-1.0544631956999999</v>
      </c>
      <c r="AE805">
        <v>-2.39699999999999</v>
      </c>
      <c r="AF805">
        <v>2.4631246585350501</v>
      </c>
      <c r="AG805">
        <v>-1.0544631956999999</v>
      </c>
      <c r="AH805">
        <v>40.281848670083797</v>
      </c>
      <c r="AI805">
        <v>91.496702444324001</v>
      </c>
      <c r="AJ805">
        <v>86.500876814442904</v>
      </c>
      <c r="AK805">
        <v>40.370858400510897</v>
      </c>
      <c r="AL805">
        <v>87.582914905882205</v>
      </c>
      <c r="AM805">
        <v>96.202459380410801</v>
      </c>
      <c r="AN805">
        <v>0.99999996575803196</v>
      </c>
    </row>
    <row r="806" spans="1:40" x14ac:dyDescent="0.3">
      <c r="A806" t="str">
        <f>"20200111145928133"</f>
        <v>20200111145928133</v>
      </c>
      <c r="B806" t="str">
        <f>"1578725968126083"</f>
        <v>1578725968126083</v>
      </c>
      <c r="C806" t="s">
        <v>40</v>
      </c>
      <c r="D806">
        <v>4.2084710000000003</v>
      </c>
      <c r="E806">
        <v>0.5654399</v>
      </c>
      <c r="F806" t="s">
        <v>42</v>
      </c>
      <c r="G806">
        <v>-367.13760000000002</v>
      </c>
      <c r="H806" s="1">
        <v>-2.2421679999999999E-6</v>
      </c>
      <c r="I806">
        <v>364.798</v>
      </c>
      <c r="J806">
        <v>-407.41140000000001</v>
      </c>
      <c r="K806">
        <v>1.054459</v>
      </c>
      <c r="L806">
        <v>367.2756</v>
      </c>
      <c r="M806">
        <v>0.99994019999999995</v>
      </c>
      <c r="N806">
        <v>0</v>
      </c>
      <c r="O806">
        <v>1.6509020000000001E-3</v>
      </c>
      <c r="P806">
        <v>0.99352030000000002</v>
      </c>
      <c r="Q806">
        <v>3.0939149999999999E-2</v>
      </c>
      <c r="R806">
        <v>0.1093619</v>
      </c>
      <c r="S806">
        <v>3.042786</v>
      </c>
      <c r="T806">
        <v>-7.9443570000000005E-2</v>
      </c>
      <c r="U806">
        <v>-0.18664549999999999</v>
      </c>
      <c r="V806">
        <v>-0.10771650000000001</v>
      </c>
      <c r="W806">
        <v>4.1690970000000001E-2</v>
      </c>
      <c r="X806">
        <v>0.9933071</v>
      </c>
      <c r="Y806">
        <v>6.2851180000000006E-2</v>
      </c>
      <c r="Z806">
        <v>-8.6263409999999996E-4</v>
      </c>
      <c r="AA806">
        <v>0.99802259999999998</v>
      </c>
      <c r="AB806">
        <v>20</v>
      </c>
      <c r="AC806">
        <v>40.273800000000001</v>
      </c>
      <c r="AD806">
        <v>-1.054461242168</v>
      </c>
      <c r="AE806">
        <v>-2.47759999999999</v>
      </c>
      <c r="AF806">
        <v>2.5423523598908302</v>
      </c>
      <c r="AG806">
        <v>-1.054461242168</v>
      </c>
      <c r="AH806">
        <v>40.242172053774901</v>
      </c>
      <c r="AI806">
        <v>91.497986526177797</v>
      </c>
      <c r="AJ806">
        <v>86.385067724338299</v>
      </c>
      <c r="AK806">
        <v>40.336185437379903</v>
      </c>
      <c r="AL806">
        <v>87.610590818895105</v>
      </c>
      <c r="AM806">
        <v>96.189100629270897</v>
      </c>
      <c r="AN806">
        <v>0.99999998813110003</v>
      </c>
    </row>
    <row r="807" spans="1:40" x14ac:dyDescent="0.3">
      <c r="A807" t="str">
        <f>"20200111145928150"</f>
        <v>20200111145928150</v>
      </c>
      <c r="B807" t="str">
        <f>"1578725968146580"</f>
        <v>1578725968146580</v>
      </c>
      <c r="C807" t="s">
        <v>40</v>
      </c>
      <c r="D807">
        <v>4.2012580000000002</v>
      </c>
      <c r="E807">
        <v>0.56554700000000002</v>
      </c>
      <c r="F807" t="s">
        <v>42</v>
      </c>
      <c r="G807">
        <v>-367.87</v>
      </c>
      <c r="H807" s="1">
        <v>-1.9922379999999999E-6</v>
      </c>
      <c r="I807">
        <v>364.80070000000001</v>
      </c>
      <c r="J807">
        <v>-407.26650000000001</v>
      </c>
      <c r="K807">
        <v>1.0544560000000001</v>
      </c>
      <c r="L807">
        <v>367.2758</v>
      </c>
      <c r="M807">
        <v>0.9999403</v>
      </c>
      <c r="N807">
        <v>0</v>
      </c>
      <c r="O807">
        <v>1.611667E-3</v>
      </c>
      <c r="P807">
        <v>0.99360130000000002</v>
      </c>
      <c r="Q807">
        <v>3.0338070000000002E-2</v>
      </c>
      <c r="R807">
        <v>0.10879460000000001</v>
      </c>
      <c r="S807">
        <v>3.0430600000000001</v>
      </c>
      <c r="T807">
        <v>-8.1149940000000004E-2</v>
      </c>
      <c r="U807">
        <v>-0.1904602</v>
      </c>
      <c r="V807">
        <v>-0.10718809999999999</v>
      </c>
      <c r="W807">
        <v>4.1093520000000001E-2</v>
      </c>
      <c r="X807">
        <v>0.99338919999999997</v>
      </c>
      <c r="Y807">
        <v>6.4051440000000001E-2</v>
      </c>
      <c r="Z807">
        <v>-8.9598289999999903E-4</v>
      </c>
      <c r="AA807">
        <v>0.99794620000000001</v>
      </c>
      <c r="AB807">
        <v>20</v>
      </c>
      <c r="AC807">
        <v>39.396500000000003</v>
      </c>
      <c r="AD807">
        <v>-1.054457992238</v>
      </c>
      <c r="AE807">
        <v>-2.4750999999999901</v>
      </c>
      <c r="AF807">
        <v>2.5367843762816298</v>
      </c>
      <c r="AG807">
        <v>-1.054457992238</v>
      </c>
      <c r="AH807">
        <v>39.364370589463903</v>
      </c>
      <c r="AI807">
        <v>91.5312469870548</v>
      </c>
      <c r="AJ807">
        <v>86.312748611796394</v>
      </c>
      <c r="AK807">
        <v>39.460116935125697</v>
      </c>
      <c r="AL807">
        <v>87.644851654709598</v>
      </c>
      <c r="AM807">
        <v>96.158468985633306</v>
      </c>
      <c r="AN807">
        <v>1.0000000344221101</v>
      </c>
    </row>
    <row r="808" spans="1:40" x14ac:dyDescent="0.3">
      <c r="A808" t="str">
        <f>"20200111145928162"</f>
        <v>20200111145928162</v>
      </c>
      <c r="B808" t="str">
        <f>"1578725968156339"</f>
        <v>1578725968156339</v>
      </c>
      <c r="C808" t="s">
        <v>40</v>
      </c>
      <c r="D808">
        <v>4.2645470000000003</v>
      </c>
      <c r="E808">
        <v>0.56549609999999995</v>
      </c>
      <c r="F808" t="s">
        <v>42</v>
      </c>
      <c r="G808">
        <v>-368.62360000000001</v>
      </c>
      <c r="H808" s="1">
        <v>-1.7298440000000001E-6</v>
      </c>
      <c r="I808">
        <v>364.82299999999998</v>
      </c>
      <c r="J808">
        <v>-407.16390000000001</v>
      </c>
      <c r="K808">
        <v>1.0544530000000001</v>
      </c>
      <c r="L808">
        <v>367.27589999999998</v>
      </c>
      <c r="M808">
        <v>0.99994050000000001</v>
      </c>
      <c r="N808">
        <v>0</v>
      </c>
      <c r="O808">
        <v>1.5838810000000001E-3</v>
      </c>
      <c r="P808">
        <v>0.99363400000000002</v>
      </c>
      <c r="Q808">
        <v>3.0050339999999998E-2</v>
      </c>
      <c r="R808">
        <v>0.10857650000000001</v>
      </c>
      <c r="S808">
        <v>3.042999</v>
      </c>
      <c r="T808">
        <v>-8.3034750000000004E-2</v>
      </c>
      <c r="U808">
        <v>-0.19314580000000001</v>
      </c>
      <c r="V808">
        <v>-0.106998</v>
      </c>
      <c r="W808">
        <v>4.0807660000000003E-2</v>
      </c>
      <c r="X808">
        <v>0.99342140000000001</v>
      </c>
      <c r="Y808">
        <v>6.4900760000000002E-2</v>
      </c>
      <c r="Z808">
        <v>-9.2759519999999999E-4</v>
      </c>
      <c r="AA808">
        <v>0.99789130000000004</v>
      </c>
      <c r="AB808">
        <v>20</v>
      </c>
      <c r="AC808">
        <v>38.540300000000002</v>
      </c>
      <c r="AD808">
        <v>-1.0544547298439999</v>
      </c>
      <c r="AE808">
        <v>-2.4528999999999401</v>
      </c>
      <c r="AF808">
        <v>2.5120708820098798</v>
      </c>
      <c r="AG808">
        <v>-1.0544547298439999</v>
      </c>
      <c r="AH808">
        <v>38.507657383898099</v>
      </c>
      <c r="AI808">
        <v>91.565212361242899</v>
      </c>
      <c r="AJ808">
        <v>86.267563031057193</v>
      </c>
      <c r="AK808">
        <v>38.603912393554197</v>
      </c>
      <c r="AL808">
        <v>87.661243796169103</v>
      </c>
      <c r="AM808">
        <v>96.147432800872494</v>
      </c>
      <c r="AN808">
        <v>0.99999995754831605</v>
      </c>
    </row>
    <row r="809" spans="1:40" x14ac:dyDescent="0.3">
      <c r="A809" t="str">
        <f>"20200111145928172"</f>
        <v>20200111145928172</v>
      </c>
      <c r="B809" t="str">
        <f>"1578725968166099"</f>
        <v>1578725968166099</v>
      </c>
      <c r="C809" t="s">
        <v>40</v>
      </c>
      <c r="D809">
        <v>4.2325780000000002</v>
      </c>
      <c r="E809">
        <v>0.56542899999999996</v>
      </c>
      <c r="F809" t="s">
        <v>42</v>
      </c>
      <c r="G809">
        <v>-369.12150000000003</v>
      </c>
      <c r="H809" s="1">
        <v>-1.5511869999999999E-6</v>
      </c>
      <c r="I809">
        <v>364.85770000000002</v>
      </c>
      <c r="J809">
        <v>-407.05630000000002</v>
      </c>
      <c r="K809">
        <v>1.0544519999999999</v>
      </c>
      <c r="L809">
        <v>367.27609999999999</v>
      </c>
      <c r="M809">
        <v>0.99994039999999995</v>
      </c>
      <c r="N809">
        <v>0</v>
      </c>
      <c r="O809">
        <v>1.55437E-3</v>
      </c>
      <c r="P809">
        <v>0.9936661</v>
      </c>
      <c r="Q809">
        <v>2.9803280000000001E-2</v>
      </c>
      <c r="R809">
        <v>0.1083501</v>
      </c>
      <c r="S809">
        <v>3.0428769999999998</v>
      </c>
      <c r="T809">
        <v>-8.4341760000000002E-2</v>
      </c>
      <c r="U809">
        <v>-0.19342039999999999</v>
      </c>
      <c r="V809">
        <v>-0.1068006</v>
      </c>
      <c r="W809">
        <v>4.0562290000000001E-2</v>
      </c>
      <c r="X809">
        <v>0.99345269999999997</v>
      </c>
      <c r="Y809">
        <v>6.4962740000000005E-2</v>
      </c>
      <c r="Z809">
        <v>-9.4226640000000001E-4</v>
      </c>
      <c r="AA809">
        <v>0.99788730000000003</v>
      </c>
      <c r="AB809">
        <v>20</v>
      </c>
      <c r="AC809">
        <v>37.934800000000003</v>
      </c>
      <c r="AD809">
        <v>-1.0544535511869999</v>
      </c>
      <c r="AE809">
        <v>-2.4183999999999601</v>
      </c>
      <c r="AF809">
        <v>2.4754603294966802</v>
      </c>
      <c r="AG809">
        <v>-1.0544535511869999</v>
      </c>
      <c r="AH809">
        <v>37.901828786408601</v>
      </c>
      <c r="AI809">
        <v>91.590208497527101</v>
      </c>
      <c r="AJ809">
        <v>86.263181096773096</v>
      </c>
      <c r="AK809">
        <v>37.9972157070588</v>
      </c>
      <c r="AL809">
        <v>87.6753141348714</v>
      </c>
      <c r="AM809">
        <v>96.135986185167397</v>
      </c>
      <c r="AN809">
        <v>0.999999967333846</v>
      </c>
    </row>
    <row r="810" spans="1:40" x14ac:dyDescent="0.3">
      <c r="A810" t="str">
        <f>"20200111145928184"</f>
        <v>20200111145928184</v>
      </c>
      <c r="B810" t="str">
        <f>"1578725968176835"</f>
        <v>1578725968176835</v>
      </c>
      <c r="C810" t="s">
        <v>40</v>
      </c>
      <c r="D810">
        <v>4.2731329999999996</v>
      </c>
      <c r="E810">
        <v>0.56532590000000005</v>
      </c>
      <c r="F810" t="s">
        <v>42</v>
      </c>
      <c r="G810">
        <v>-369.29309999999998</v>
      </c>
      <c r="H810" s="1">
        <v>-1.488452E-6</v>
      </c>
      <c r="I810">
        <v>364.87400000000002</v>
      </c>
      <c r="J810">
        <v>-406.95150000000001</v>
      </c>
      <c r="K810">
        <v>1.054446</v>
      </c>
      <c r="L810">
        <v>367.27620000000002</v>
      </c>
      <c r="M810">
        <v>0.99994050000000001</v>
      </c>
      <c r="N810">
        <v>0</v>
      </c>
      <c r="O810">
        <v>1.525752E-3</v>
      </c>
      <c r="P810">
        <v>0.99368970000000001</v>
      </c>
      <c r="Q810">
        <v>2.9567739999999999E-2</v>
      </c>
      <c r="R810">
        <v>0.1081976</v>
      </c>
      <c r="S810">
        <v>3.042786</v>
      </c>
      <c r="T810">
        <v>-8.4962789999999996E-2</v>
      </c>
      <c r="U810">
        <v>-0.19354250000000001</v>
      </c>
      <c r="V810">
        <v>-0.1066766</v>
      </c>
      <c r="W810">
        <v>4.0328349999999999E-2</v>
      </c>
      <c r="X810">
        <v>0.99347560000000001</v>
      </c>
      <c r="Y810">
        <v>6.4975599999999994E-2</v>
      </c>
      <c r="Z810">
        <v>-9.4861019999999997E-4</v>
      </c>
      <c r="AA810">
        <v>0.99788639999999995</v>
      </c>
      <c r="AB810">
        <v>20</v>
      </c>
      <c r="AC810">
        <v>37.6584</v>
      </c>
      <c r="AD810">
        <v>-1.0544474884520001</v>
      </c>
      <c r="AE810">
        <v>-2.4021999999999899</v>
      </c>
      <c r="AF810">
        <v>2.4577388315520601</v>
      </c>
      <c r="AG810">
        <v>-1.0544474884520001</v>
      </c>
      <c r="AH810">
        <v>37.6253114016544</v>
      </c>
      <c r="AI810">
        <v>91.601879109592403</v>
      </c>
      <c r="AJ810">
        <v>86.262667784509901</v>
      </c>
      <c r="AK810">
        <v>37.720238569519701</v>
      </c>
      <c r="AL810">
        <v>87.688729009058306</v>
      </c>
      <c r="AM810">
        <v>96.128776100099401</v>
      </c>
      <c r="AN810">
        <v>1.0000000202983199</v>
      </c>
    </row>
    <row r="811" spans="1:40" x14ac:dyDescent="0.3">
      <c r="A811" t="str">
        <f>"20200111145928196"</f>
        <v>20200111145928196</v>
      </c>
      <c r="B811" t="str">
        <f>"1578725968186595"</f>
        <v>1578725968186595</v>
      </c>
      <c r="C811" t="s">
        <v>40</v>
      </c>
      <c r="D811">
        <v>4.2099900000000003</v>
      </c>
      <c r="E811">
        <v>0.56528159999999905</v>
      </c>
      <c r="F811" t="s">
        <v>42</v>
      </c>
      <c r="G811">
        <v>-369.64139999999998</v>
      </c>
      <c r="H811" s="1">
        <v>-1.361154E-6</v>
      </c>
      <c r="I811">
        <v>364.90690000000001</v>
      </c>
      <c r="J811">
        <v>-406.84719999999999</v>
      </c>
      <c r="K811">
        <v>1.054446</v>
      </c>
      <c r="L811">
        <v>367.27629999999999</v>
      </c>
      <c r="M811">
        <v>0.99994039999999995</v>
      </c>
      <c r="N811">
        <v>0</v>
      </c>
      <c r="O811">
        <v>1.497431E-3</v>
      </c>
      <c r="P811">
        <v>0.9937397</v>
      </c>
      <c r="Q811">
        <v>2.9207609999999998E-2</v>
      </c>
      <c r="R811">
        <v>0.1078363</v>
      </c>
      <c r="S811">
        <v>3.0426329999999999</v>
      </c>
      <c r="T811">
        <v>-8.5989830000000003E-2</v>
      </c>
      <c r="U811">
        <v>-0.19320680000000001</v>
      </c>
      <c r="V811">
        <v>-0.1063432</v>
      </c>
      <c r="W811">
        <v>3.9970539999999999E-2</v>
      </c>
      <c r="X811">
        <v>0.99352580000000001</v>
      </c>
      <c r="Y811">
        <v>6.4840289999999995E-2</v>
      </c>
      <c r="Z811">
        <v>-9.5741459999999995E-4</v>
      </c>
      <c r="AA811">
        <v>0.99789519999999998</v>
      </c>
      <c r="AB811">
        <v>20</v>
      </c>
      <c r="AC811">
        <v>37.205800000000004</v>
      </c>
      <c r="AD811">
        <v>-1.054447361154</v>
      </c>
      <c r="AE811">
        <v>-2.3693999999999802</v>
      </c>
      <c r="AF811">
        <v>2.4231752654140002</v>
      </c>
      <c r="AG811">
        <v>-1.054447361154</v>
      </c>
      <c r="AH811">
        <v>37.1724733998009</v>
      </c>
      <c r="AI811">
        <v>91.621396894649806</v>
      </c>
      <c r="AJ811">
        <v>86.270316598808506</v>
      </c>
      <c r="AK811">
        <v>37.266290615826797</v>
      </c>
      <c r="AL811">
        <v>87.709246549386606</v>
      </c>
      <c r="AM811">
        <v>96.109460353813802</v>
      </c>
      <c r="AN811">
        <v>1.00000001775988</v>
      </c>
    </row>
    <row r="812" spans="1:40" x14ac:dyDescent="0.3">
      <c r="A812" t="str">
        <f>"20200111145928208"</f>
        <v>20200111145928208</v>
      </c>
      <c r="B812" t="str">
        <f>"1578725968196355"</f>
        <v>1578725968196355</v>
      </c>
      <c r="C812" t="s">
        <v>40</v>
      </c>
      <c r="D812">
        <v>4.2248590000000004</v>
      </c>
      <c r="E812">
        <v>0.56526269999999901</v>
      </c>
      <c r="F812" t="s">
        <v>42</v>
      </c>
      <c r="G812">
        <v>-370.05250000000001</v>
      </c>
      <c r="H812" s="1">
        <v>-5.0806290000000003E-6</v>
      </c>
      <c r="I812">
        <v>364.9323</v>
      </c>
      <c r="J812">
        <v>-406.74520000000001</v>
      </c>
      <c r="K812">
        <v>1.0544450000000001</v>
      </c>
      <c r="L812">
        <v>367.2765</v>
      </c>
      <c r="M812">
        <v>0.99994039999999995</v>
      </c>
      <c r="N812">
        <v>0</v>
      </c>
      <c r="O812">
        <v>1.469588E-3</v>
      </c>
      <c r="P812">
        <v>0.99377320000000002</v>
      </c>
      <c r="Q812">
        <v>2.8948600000000001E-2</v>
      </c>
      <c r="R812">
        <v>0.1075956</v>
      </c>
      <c r="S812">
        <v>3.0424799999999999</v>
      </c>
      <c r="T812">
        <v>-8.719027E-2</v>
      </c>
      <c r="U812">
        <v>-0.19381709999999999</v>
      </c>
      <c r="V812">
        <v>-0.10613060000000001</v>
      </c>
      <c r="W812">
        <v>3.9713249999999999E-2</v>
      </c>
      <c r="X812">
        <v>0.99355879999999996</v>
      </c>
      <c r="Y812">
        <v>6.5014240000000001E-2</v>
      </c>
      <c r="Z812">
        <v>-9.7251E-4</v>
      </c>
      <c r="AA812">
        <v>0.99788390000000005</v>
      </c>
      <c r="AB812">
        <v>20</v>
      </c>
      <c r="AC812">
        <v>36.692700000000002</v>
      </c>
      <c r="AD812">
        <v>-1.054450080629</v>
      </c>
      <c r="AE812">
        <v>-2.3441999999999998</v>
      </c>
      <c r="AF812">
        <v>2.39615299525759</v>
      </c>
      <c r="AG812">
        <v>-1.054450080629</v>
      </c>
      <c r="AH812">
        <v>36.659063930390801</v>
      </c>
      <c r="AI812">
        <v>91.644077608595495</v>
      </c>
      <c r="AJ812">
        <v>86.260285378953697</v>
      </c>
      <c r="AK812">
        <v>36.752420089045899</v>
      </c>
      <c r="AL812">
        <v>87.723999780646494</v>
      </c>
      <c r="AM812">
        <v>96.0971375028263</v>
      </c>
      <c r="AN812">
        <v>0.99999996776968003</v>
      </c>
    </row>
    <row r="813" spans="1:40" x14ac:dyDescent="0.3">
      <c r="A813" t="str">
        <f>"20200111145928219"</f>
        <v>20200111145928219</v>
      </c>
      <c r="B813" t="str">
        <f>"1578725968216852"</f>
        <v>1578725968216852</v>
      </c>
      <c r="C813" t="s">
        <v>40</v>
      </c>
      <c r="D813">
        <v>4.2146559999999997</v>
      </c>
      <c r="E813">
        <v>0.56519710000000001</v>
      </c>
      <c r="F813" t="s">
        <v>42</v>
      </c>
      <c r="G813">
        <v>-370.52499999999998</v>
      </c>
      <c r="H813" s="1">
        <v>-4.8725219999999997E-6</v>
      </c>
      <c r="I813">
        <v>364.96280000000002</v>
      </c>
      <c r="J813">
        <v>-406.62939999999998</v>
      </c>
      <c r="K813">
        <v>1.0544480000000001</v>
      </c>
      <c r="L813">
        <v>367.27659999999997</v>
      </c>
      <c r="M813">
        <v>0.99994050000000001</v>
      </c>
      <c r="N813">
        <v>0</v>
      </c>
      <c r="O813">
        <v>1.43793E-3</v>
      </c>
      <c r="P813">
        <v>0.99381180000000002</v>
      </c>
      <c r="Q813">
        <v>2.8527919999999998E-2</v>
      </c>
      <c r="R813">
        <v>0.1073519</v>
      </c>
      <c r="S813">
        <v>3.0424500000000001</v>
      </c>
      <c r="T813">
        <v>-8.8572139999999994E-2</v>
      </c>
      <c r="U813">
        <v>-0.19433590000000001</v>
      </c>
      <c r="V813">
        <v>-0.1059182</v>
      </c>
      <c r="W813">
        <v>3.929444E-2</v>
      </c>
      <c r="X813">
        <v>0.99359819999999999</v>
      </c>
      <c r="Y813">
        <v>6.5151840000000003E-2</v>
      </c>
      <c r="Z813">
        <v>-9.8900099999999999E-4</v>
      </c>
      <c r="AA813">
        <v>0.99787490000000001</v>
      </c>
      <c r="AB813">
        <v>20</v>
      </c>
      <c r="AC813">
        <v>36.104399999999998</v>
      </c>
      <c r="AD813">
        <v>-1.0544528725219999</v>
      </c>
      <c r="AE813">
        <v>-2.3137999999999499</v>
      </c>
      <c r="AF813">
        <v>2.3637083159165102</v>
      </c>
      <c r="AG813">
        <v>-1.0544528725219999</v>
      </c>
      <c r="AH813">
        <v>36.070394250861902</v>
      </c>
      <c r="AI813">
        <v>91.670880126432195</v>
      </c>
      <c r="AJ813">
        <v>86.250743736772407</v>
      </c>
      <c r="AK813">
        <v>36.163134948116898</v>
      </c>
      <c r="AL813">
        <v>87.748014759090395</v>
      </c>
      <c r="AM813">
        <v>96.084787407920601</v>
      </c>
      <c r="AN813">
        <v>1.00000005057469</v>
      </c>
    </row>
    <row r="814" spans="1:40" x14ac:dyDescent="0.3">
      <c r="A814" t="str">
        <f>"20200111145928232"</f>
        <v>20200111145928232</v>
      </c>
      <c r="B814" t="str">
        <f>"1578725968226611"</f>
        <v>1578725968226611</v>
      </c>
      <c r="C814" t="s">
        <v>40</v>
      </c>
      <c r="D814">
        <v>4.2823799999999999</v>
      </c>
      <c r="E814">
        <v>0.5652064</v>
      </c>
      <c r="F814" t="s">
        <v>42</v>
      </c>
      <c r="G814">
        <v>-370.1234</v>
      </c>
      <c r="H814" s="1">
        <v>-5.0489559999999999E-6</v>
      </c>
      <c r="I814">
        <v>364.9393</v>
      </c>
      <c r="J814">
        <v>-406.52120000000002</v>
      </c>
      <c r="K814">
        <v>1.0544469999999999</v>
      </c>
      <c r="L814">
        <v>367.27670000000001</v>
      </c>
      <c r="M814">
        <v>0.99994059999999996</v>
      </c>
      <c r="N814">
        <v>0</v>
      </c>
      <c r="O814">
        <v>1.4084779999999999E-3</v>
      </c>
      <c r="P814">
        <v>0.99383489999999997</v>
      </c>
      <c r="Q814">
        <v>2.8242280000000002E-2</v>
      </c>
      <c r="R814">
        <v>0.107214</v>
      </c>
      <c r="S814">
        <v>3.0422060000000002</v>
      </c>
      <c r="T814">
        <v>-8.7872149999999996E-2</v>
      </c>
      <c r="U814">
        <v>-0.1947632</v>
      </c>
      <c r="V814">
        <v>-0.1058099</v>
      </c>
      <c r="W814">
        <v>3.9010950000000003E-2</v>
      </c>
      <c r="X814">
        <v>0.99362090000000003</v>
      </c>
      <c r="Y814">
        <v>6.5267510000000001E-2</v>
      </c>
      <c r="Z814">
        <v>-9.8208109999999992E-4</v>
      </c>
      <c r="AA814">
        <v>0.99786730000000001</v>
      </c>
      <c r="AB814">
        <v>20</v>
      </c>
      <c r="AC814">
        <v>36.397799999999997</v>
      </c>
      <c r="AD814">
        <v>-1.0544520489560001</v>
      </c>
      <c r="AE814">
        <v>-2.3374000000000001</v>
      </c>
      <c r="AF814">
        <v>2.3866713334666301</v>
      </c>
      <c r="AG814">
        <v>-1.0544520489560001</v>
      </c>
      <c r="AH814">
        <v>36.364077469168699</v>
      </c>
      <c r="AI814">
        <v>91.657380984518994</v>
      </c>
      <c r="AJ814">
        <v>86.244910953546395</v>
      </c>
      <c r="AK814">
        <v>36.457567106997701</v>
      </c>
      <c r="AL814">
        <v>87.764269981405207</v>
      </c>
      <c r="AM814">
        <v>96.078474563572499</v>
      </c>
      <c r="AN814">
        <v>1.00000004103736</v>
      </c>
    </row>
    <row r="815" spans="1:40" x14ac:dyDescent="0.3">
      <c r="A815" t="str">
        <f>"20200111145928244"</f>
        <v>20200111145928244</v>
      </c>
      <c r="B815" t="str">
        <f>"1578725968236371"</f>
        <v>1578725968236371</v>
      </c>
      <c r="C815" t="s">
        <v>40</v>
      </c>
      <c r="D815">
        <v>4.1734920000000004</v>
      </c>
      <c r="E815">
        <v>0.5651484</v>
      </c>
      <c r="F815" t="s">
        <v>42</v>
      </c>
      <c r="G815">
        <v>-370.57859999999999</v>
      </c>
      <c r="H815" s="1">
        <v>-4.8476839999999997E-6</v>
      </c>
      <c r="I815">
        <v>364.97300000000001</v>
      </c>
      <c r="J815">
        <v>-406.41050000000001</v>
      </c>
      <c r="K815">
        <v>1.0544469999999999</v>
      </c>
      <c r="L815">
        <v>367.27679999999998</v>
      </c>
      <c r="M815">
        <v>0.99994059999999996</v>
      </c>
      <c r="N815">
        <v>0</v>
      </c>
      <c r="O815">
        <v>1.3783059999999999E-3</v>
      </c>
      <c r="P815">
        <v>0.99388529999999997</v>
      </c>
      <c r="Q815">
        <v>2.78581E-2</v>
      </c>
      <c r="R815">
        <v>0.106847</v>
      </c>
      <c r="S815">
        <v>3.0421749999999999</v>
      </c>
      <c r="T815">
        <v>-8.9248540000000001E-2</v>
      </c>
      <c r="U815">
        <v>-0.19497680000000001</v>
      </c>
      <c r="V815">
        <v>-0.1054727</v>
      </c>
      <c r="W815">
        <v>3.8629280000000002E-2</v>
      </c>
      <c r="X815">
        <v>0.99367159999999999</v>
      </c>
      <c r="Y815">
        <v>6.5306950000000002E-2</v>
      </c>
      <c r="Z815">
        <v>-9.9715890000000003E-4</v>
      </c>
      <c r="AA815">
        <v>0.99786470000000005</v>
      </c>
      <c r="AB815">
        <v>20</v>
      </c>
      <c r="AC815">
        <v>35.831899999999997</v>
      </c>
      <c r="AD815">
        <v>-1.0544518476839999</v>
      </c>
      <c r="AE815">
        <v>-2.3037999999999599</v>
      </c>
      <c r="AF815">
        <v>2.3511603174108999</v>
      </c>
      <c r="AG815">
        <v>-1.0544518476839999</v>
      </c>
      <c r="AH815">
        <v>35.797817436617002</v>
      </c>
      <c r="AI815">
        <v>91.683577532275294</v>
      </c>
      <c r="AJ815">
        <v>86.242274803832899</v>
      </c>
      <c r="AK815">
        <v>35.8904382358674</v>
      </c>
      <c r="AL815">
        <v>87.786154422276198</v>
      </c>
      <c r="AM815">
        <v>96.058940867064706</v>
      </c>
      <c r="AN815">
        <v>0.99999998018258396</v>
      </c>
    </row>
    <row r="816" spans="1:40" x14ac:dyDescent="0.3">
      <c r="A816" t="str">
        <f>"20200111145928255"</f>
        <v>20200111145928255</v>
      </c>
      <c r="B816" t="str">
        <f>"1578725968246132"</f>
        <v>1578725968246132</v>
      </c>
      <c r="C816" t="s">
        <v>40</v>
      </c>
      <c r="D816">
        <v>4.2265920000000001</v>
      </c>
      <c r="E816">
        <v>0.56517059999999997</v>
      </c>
      <c r="F816" t="s">
        <v>42</v>
      </c>
      <c r="G816">
        <v>-370.93799999999999</v>
      </c>
      <c r="H816" s="1">
        <v>-4.6890490000000002E-6</v>
      </c>
      <c r="I816">
        <v>364.9982</v>
      </c>
      <c r="J816">
        <v>-406.29880000000003</v>
      </c>
      <c r="K816">
        <v>1.0544469999999999</v>
      </c>
      <c r="L816">
        <v>367.27690000000001</v>
      </c>
      <c r="M816">
        <v>0.99994050000000001</v>
      </c>
      <c r="N816">
        <v>0</v>
      </c>
      <c r="O816">
        <v>1.347769E-3</v>
      </c>
      <c r="P816">
        <v>0.99389959999999999</v>
      </c>
      <c r="Q816">
        <v>2.7783019999999999E-2</v>
      </c>
      <c r="R816">
        <v>0.1067326</v>
      </c>
      <c r="S816">
        <v>3.0420229999999999</v>
      </c>
      <c r="T816">
        <v>-9.0426859999999998E-2</v>
      </c>
      <c r="U816">
        <v>-0.1954041</v>
      </c>
      <c r="V816">
        <v>-0.1053882</v>
      </c>
      <c r="W816">
        <v>3.8557809999999998E-2</v>
      </c>
      <c r="X816">
        <v>0.99368330000000005</v>
      </c>
      <c r="Y816">
        <v>6.5418439999999994E-2</v>
      </c>
      <c r="Z816">
        <v>-1.0111129999999999E-3</v>
      </c>
      <c r="AA816">
        <v>0.99785740000000001</v>
      </c>
      <c r="AB816">
        <v>20</v>
      </c>
      <c r="AC816">
        <v>35.360799999999898</v>
      </c>
      <c r="AD816">
        <v>-1.0544516890490001</v>
      </c>
      <c r="AE816">
        <v>-2.2787000000000099</v>
      </c>
      <c r="AF816">
        <v>2.3243006455385</v>
      </c>
      <c r="AG816">
        <v>-1.0544516890490001</v>
      </c>
      <c r="AH816">
        <v>35.326413495380997</v>
      </c>
      <c r="AI816">
        <v>91.706017182227697</v>
      </c>
      <c r="AJ816">
        <v>86.235651044717201</v>
      </c>
      <c r="AK816">
        <v>35.418494212798301</v>
      </c>
      <c r="AL816">
        <v>87.790252313824894</v>
      </c>
      <c r="AM816">
        <v>96.054052025708799</v>
      </c>
      <c r="AN816">
        <v>0.99999993905506102</v>
      </c>
    </row>
    <row r="817" spans="1:40" x14ac:dyDescent="0.3">
      <c r="A817" t="str">
        <f>"20200111145928274"</f>
        <v>20200111145928274</v>
      </c>
      <c r="B817" t="str">
        <f>"1578725968266627"</f>
        <v>1578725968266627</v>
      </c>
      <c r="C817" t="s">
        <v>40</v>
      </c>
      <c r="D817">
        <v>4.1601809999999997</v>
      </c>
      <c r="E817">
        <v>0.56519940000000002</v>
      </c>
      <c r="F817" t="s">
        <v>42</v>
      </c>
      <c r="G817">
        <v>-370.97199999999998</v>
      </c>
      <c r="H817" s="1">
        <v>-4.6739509999999998E-6</v>
      </c>
      <c r="I817">
        <v>365.00119999999998</v>
      </c>
      <c r="J817">
        <v>-406.13869999999997</v>
      </c>
      <c r="K817">
        <v>1.0544480000000001</v>
      </c>
      <c r="L817">
        <v>367.27710000000002</v>
      </c>
      <c r="M817">
        <v>0.99994050000000001</v>
      </c>
      <c r="N817">
        <v>0</v>
      </c>
      <c r="O817">
        <v>1.3037369999999999E-3</v>
      </c>
      <c r="P817">
        <v>0.9939462</v>
      </c>
      <c r="Q817">
        <v>2.7449790000000002E-2</v>
      </c>
      <c r="R817">
        <v>0.1063844</v>
      </c>
      <c r="S817">
        <v>3.041992</v>
      </c>
      <c r="T817">
        <v>-9.0798740000000003E-2</v>
      </c>
      <c r="U817">
        <v>-0.1959534</v>
      </c>
      <c r="V817">
        <v>-0.10508389999999999</v>
      </c>
      <c r="W817">
        <v>3.8233799999999998E-2</v>
      </c>
      <c r="X817">
        <v>0.9937281</v>
      </c>
      <c r="Y817">
        <v>6.5554310000000005E-2</v>
      </c>
      <c r="Z817">
        <v>-1.015986E-3</v>
      </c>
      <c r="AA817">
        <v>0.99784850000000003</v>
      </c>
      <c r="AB817">
        <v>20</v>
      </c>
      <c r="AC817">
        <v>35.166699999999899</v>
      </c>
      <c r="AD817">
        <v>-1.0544526739510001</v>
      </c>
      <c r="AE817">
        <v>-2.2759000000000298</v>
      </c>
      <c r="AF817">
        <v>2.3196720459203202</v>
      </c>
      <c r="AG817">
        <v>-1.0544526739510001</v>
      </c>
      <c r="AH817">
        <v>35.132248337920899</v>
      </c>
      <c r="AI817">
        <v>91.715415710259606</v>
      </c>
      <c r="AJ817">
        <v>86.222422722262394</v>
      </c>
      <c r="AK817">
        <v>35.224531538681603</v>
      </c>
      <c r="AL817">
        <v>87.8088305383977</v>
      </c>
      <c r="AM817">
        <v>96.036430556363399</v>
      </c>
      <c r="AN817">
        <v>0.99999999311562904</v>
      </c>
    </row>
    <row r="818" spans="1:40" x14ac:dyDescent="0.3">
      <c r="A818" t="str">
        <f>"20200111145928287"</f>
        <v>20200111145928287</v>
      </c>
      <c r="B818" t="str">
        <f>"1578725968276387"</f>
        <v>1578725968276387</v>
      </c>
      <c r="C818" t="s">
        <v>40</v>
      </c>
      <c r="D818">
        <v>4.1692669999999996</v>
      </c>
      <c r="E818">
        <v>0.56523809999999997</v>
      </c>
      <c r="F818" t="s">
        <v>42</v>
      </c>
      <c r="G818">
        <v>-370.84910000000002</v>
      </c>
      <c r="H818" s="1">
        <v>-4.7292759999999999E-6</v>
      </c>
      <c r="I818">
        <v>364.9864</v>
      </c>
      <c r="J818">
        <v>-406.0249</v>
      </c>
      <c r="K818">
        <v>1.0544469999999999</v>
      </c>
      <c r="L818">
        <v>367.27719999999999</v>
      </c>
      <c r="M818">
        <v>0.99994039999999995</v>
      </c>
      <c r="N818">
        <v>0</v>
      </c>
      <c r="O818">
        <v>1.272881E-3</v>
      </c>
      <c r="P818">
        <v>0.99396099999999998</v>
      </c>
      <c r="Q818">
        <v>2.7467370000000001E-2</v>
      </c>
      <c r="R818">
        <v>0.10624169999999999</v>
      </c>
      <c r="S818">
        <v>3.0419619999999998</v>
      </c>
      <c r="T818">
        <v>-9.0893630000000003E-2</v>
      </c>
      <c r="U818">
        <v>-0.1974487</v>
      </c>
      <c r="V818">
        <v>-0.104972</v>
      </c>
      <c r="W818">
        <v>3.825858E-2</v>
      </c>
      <c r="X818">
        <v>0.99373900000000004</v>
      </c>
      <c r="Y818">
        <v>6.6012399999999902E-2</v>
      </c>
      <c r="Z818">
        <v>-1.0229550000000001E-3</v>
      </c>
      <c r="AA818">
        <v>0.99781830000000005</v>
      </c>
      <c r="AB818">
        <v>20</v>
      </c>
      <c r="AC818">
        <v>35.175799999999903</v>
      </c>
      <c r="AD818">
        <v>-1.0544517292759901</v>
      </c>
      <c r="AE818">
        <v>-2.2907999999999902</v>
      </c>
      <c r="AF818">
        <v>2.3334873724769198</v>
      </c>
      <c r="AG818">
        <v>-1.0544517292759901</v>
      </c>
      <c r="AH818">
        <v>35.141410774416997</v>
      </c>
      <c r="AI818">
        <v>91.714924704923007</v>
      </c>
      <c r="AJ818">
        <v>86.200978114043394</v>
      </c>
      <c r="AK818">
        <v>35.234582202478201</v>
      </c>
      <c r="AL818">
        <v>87.807409768226705</v>
      </c>
      <c r="AM818">
        <v>96.029984313556199</v>
      </c>
      <c r="AN818">
        <v>1.0000000199243</v>
      </c>
    </row>
    <row r="819" spans="1:40" x14ac:dyDescent="0.3">
      <c r="A819" t="str">
        <f>"20200111145928299"</f>
        <v>20200111145928299</v>
      </c>
      <c r="B819" t="str">
        <f>"1578725968296884"</f>
        <v>1578725968296884</v>
      </c>
      <c r="C819" t="s">
        <v>40</v>
      </c>
      <c r="D819">
        <v>4.1640370000000004</v>
      </c>
      <c r="E819">
        <v>0.5652741</v>
      </c>
      <c r="F819" t="s">
        <v>42</v>
      </c>
      <c r="G819">
        <v>-370.73660000000001</v>
      </c>
      <c r="H819" s="1">
        <v>-4.7794660000000001E-6</v>
      </c>
      <c r="I819">
        <v>364.97559999999999</v>
      </c>
      <c r="J819">
        <v>-405.90589999999997</v>
      </c>
      <c r="K819">
        <v>1.0544500000000001</v>
      </c>
      <c r="L819">
        <v>367.27730000000003</v>
      </c>
      <c r="M819">
        <v>0.99994039999999995</v>
      </c>
      <c r="N819">
        <v>0</v>
      </c>
      <c r="O819">
        <v>1.2406439999999999E-3</v>
      </c>
      <c r="P819">
        <v>0.99394990000000005</v>
      </c>
      <c r="Q819">
        <v>2.734781E-2</v>
      </c>
      <c r="R819">
        <v>0.1063766</v>
      </c>
      <c r="S819">
        <v>3.0419309999999999</v>
      </c>
      <c r="T819">
        <v>-9.0896009999999999E-2</v>
      </c>
      <c r="U819">
        <v>-0.19839480000000001</v>
      </c>
      <c r="V819">
        <v>-0.1051387</v>
      </c>
      <c r="W819">
        <v>3.8147559999999997E-2</v>
      </c>
      <c r="X819">
        <v>0.99372559999999999</v>
      </c>
      <c r="Y819">
        <v>6.6289760000000003E-2</v>
      </c>
      <c r="Z819">
        <v>-1.026159E-3</v>
      </c>
      <c r="AA819">
        <v>0.99779989999999996</v>
      </c>
      <c r="AB819">
        <v>20</v>
      </c>
      <c r="AC819">
        <v>35.1692999999999</v>
      </c>
      <c r="AD819">
        <v>-1.054454779466</v>
      </c>
      <c r="AE819">
        <v>-2.3017000000000301</v>
      </c>
      <c r="AF819">
        <v>2.34323594259032</v>
      </c>
      <c r="AG819">
        <v>-1.054454779466</v>
      </c>
      <c r="AH819">
        <v>35.134967811235903</v>
      </c>
      <c r="AI819">
        <v>91.715211059367903</v>
      </c>
      <c r="AJ819">
        <v>86.184456281762294</v>
      </c>
      <c r="AK819">
        <v>35.228803452021602</v>
      </c>
      <c r="AL819">
        <v>87.813775294941195</v>
      </c>
      <c r="AM819">
        <v>96.039570304191102</v>
      </c>
      <c r="AN819">
        <v>0.99999997533350105</v>
      </c>
    </row>
    <row r="820" spans="1:40" x14ac:dyDescent="0.3">
      <c r="A820" t="str">
        <f>"20200111145928312"</f>
        <v>20200111145928312</v>
      </c>
      <c r="B820" t="str">
        <f>"1578725968306642"</f>
        <v>1578725968306642</v>
      </c>
      <c r="C820" t="s">
        <v>40</v>
      </c>
      <c r="D820">
        <v>4.1862180000000002</v>
      </c>
      <c r="E820">
        <v>0.56532700000000002</v>
      </c>
      <c r="F820" t="s">
        <v>42</v>
      </c>
      <c r="G820">
        <v>-370.9316</v>
      </c>
      <c r="H820" s="1">
        <v>-4.6918980000000003E-6</v>
      </c>
      <c r="I820">
        <v>364.99770000000001</v>
      </c>
      <c r="J820">
        <v>-405.79669999999999</v>
      </c>
      <c r="K820">
        <v>1.054451</v>
      </c>
      <c r="L820">
        <v>367.2774</v>
      </c>
      <c r="M820">
        <v>0.9999403</v>
      </c>
      <c r="N820">
        <v>0</v>
      </c>
      <c r="O820">
        <v>1.2109759999999999E-3</v>
      </c>
      <c r="P820">
        <v>0.99393399999999998</v>
      </c>
      <c r="Q820">
        <v>2.768027E-2</v>
      </c>
      <c r="R820">
        <v>0.106437</v>
      </c>
      <c r="S820">
        <v>3.0420229999999999</v>
      </c>
      <c r="T820">
        <v>-9.1715099999999994E-2</v>
      </c>
      <c r="U820">
        <v>-0.1982727</v>
      </c>
      <c r="V820">
        <v>-0.1052288</v>
      </c>
      <c r="W820">
        <v>3.848824E-2</v>
      </c>
      <c r="X820">
        <v>0.99370289999999994</v>
      </c>
      <c r="Y820">
        <v>6.6217860000000003E-2</v>
      </c>
      <c r="Z820">
        <v>-1.033396E-3</v>
      </c>
      <c r="AA820">
        <v>0.99780460000000004</v>
      </c>
      <c r="AB820">
        <v>20</v>
      </c>
      <c r="AC820">
        <v>34.865099999999899</v>
      </c>
      <c r="AD820">
        <v>-1.0544556918979999</v>
      </c>
      <c r="AE820">
        <v>-2.2796999999999898</v>
      </c>
      <c r="AF820">
        <v>2.3198087403890599</v>
      </c>
      <c r="AG820">
        <v>-1.0544556918979999</v>
      </c>
      <c r="AH820">
        <v>34.830589979149799</v>
      </c>
      <c r="AI820">
        <v>91.730202686523896</v>
      </c>
      <c r="AJ820">
        <v>86.189578233902793</v>
      </c>
      <c r="AK820">
        <v>34.923679469577898</v>
      </c>
      <c r="AL820">
        <v>87.794241364882893</v>
      </c>
      <c r="AM820">
        <v>96.044844752992503</v>
      </c>
      <c r="AN820">
        <v>0.999999949218072</v>
      </c>
    </row>
    <row r="821" spans="1:40" x14ac:dyDescent="0.3">
      <c r="A821" t="str">
        <f>"20200111145928329"</f>
        <v>20200111145928329</v>
      </c>
      <c r="B821" t="str">
        <f>"1578725968326163"</f>
        <v>1578725968326163</v>
      </c>
      <c r="C821" t="s">
        <v>40</v>
      </c>
      <c r="D821">
        <v>4.1707450000000001</v>
      </c>
      <c r="E821">
        <v>0.5653068</v>
      </c>
      <c r="F821" t="s">
        <v>42</v>
      </c>
      <c r="G821">
        <v>-370.66520000000003</v>
      </c>
      <c r="H821" s="1">
        <v>-4.8087110000000003E-6</v>
      </c>
      <c r="I821">
        <v>364.98329999999999</v>
      </c>
      <c r="J821">
        <v>-405.64139999999998</v>
      </c>
      <c r="K821">
        <v>1.054451</v>
      </c>
      <c r="L821">
        <v>367.27749999999997</v>
      </c>
      <c r="M821">
        <v>0.99994019999999995</v>
      </c>
      <c r="N821">
        <v>0</v>
      </c>
      <c r="O821">
        <v>1.1687749999999999E-3</v>
      </c>
      <c r="P821">
        <v>0.99389950000000005</v>
      </c>
      <c r="Q821">
        <v>2.7541309999999999E-2</v>
      </c>
      <c r="R821">
        <v>0.106795</v>
      </c>
      <c r="S821">
        <v>3.042084</v>
      </c>
      <c r="T821">
        <v>-9.1306689999999996E-2</v>
      </c>
      <c r="U821">
        <v>-0.19863890000000001</v>
      </c>
      <c r="V821">
        <v>-0.10562879999999999</v>
      </c>
      <c r="W821">
        <v>3.8360070000000003E-2</v>
      </c>
      <c r="X821">
        <v>0.99366549999999998</v>
      </c>
      <c r="Y821">
        <v>6.62943E-2</v>
      </c>
      <c r="Z821">
        <v>-1.0286519999999999E-3</v>
      </c>
      <c r="AA821">
        <v>0.99779960000000001</v>
      </c>
      <c r="AB821">
        <v>20</v>
      </c>
      <c r="AC821">
        <v>34.976199999999899</v>
      </c>
      <c r="AD821">
        <v>-1.0544558087109901</v>
      </c>
      <c r="AE821">
        <v>-2.29419999999998</v>
      </c>
      <c r="AF821">
        <v>2.3329688287222399</v>
      </c>
      <c r="AG821">
        <v>-1.0544558087109901</v>
      </c>
      <c r="AH821">
        <v>34.941872266892602</v>
      </c>
      <c r="AI821">
        <v>91.724677064765999</v>
      </c>
      <c r="AJ821">
        <v>86.180194057746306</v>
      </c>
      <c r="AK821">
        <v>35.035539929108403</v>
      </c>
      <c r="AL821">
        <v>87.801590574788307</v>
      </c>
      <c r="AM821">
        <v>96.0678782448623</v>
      </c>
      <c r="AN821">
        <v>1.00000003212504</v>
      </c>
    </row>
    <row r="822" spans="1:40" x14ac:dyDescent="0.3">
      <c r="A822" t="str">
        <f>"20200111145928339"</f>
        <v>20200111145928339</v>
      </c>
      <c r="B822" t="str">
        <f>"1578725968336900"</f>
        <v>1578725968336900</v>
      </c>
      <c r="C822" t="s">
        <v>40</v>
      </c>
      <c r="D822">
        <v>4.1711140000000002</v>
      </c>
      <c r="E822">
        <v>0.56528809999999996</v>
      </c>
      <c r="F822" t="s">
        <v>42</v>
      </c>
      <c r="G822">
        <v>-370.47390000000001</v>
      </c>
      <c r="H822" s="1">
        <v>-4.8887119999999998E-6</v>
      </c>
      <c r="I822">
        <v>364.99489999999997</v>
      </c>
      <c r="J822">
        <v>-405.53550000000001</v>
      </c>
      <c r="K822">
        <v>1.054451</v>
      </c>
      <c r="L822">
        <v>367.27760000000001</v>
      </c>
      <c r="M822">
        <v>0.9999403</v>
      </c>
      <c r="N822">
        <v>0</v>
      </c>
      <c r="O822">
        <v>1.139946E-3</v>
      </c>
      <c r="P822">
        <v>0.99388410000000005</v>
      </c>
      <c r="Q822">
        <v>2.7480259999999999E-2</v>
      </c>
      <c r="R822">
        <v>0.1069563</v>
      </c>
      <c r="S822">
        <v>3.0421749999999999</v>
      </c>
      <c r="T822">
        <v>-9.1215969999999993E-2</v>
      </c>
      <c r="U822">
        <v>-0.1974487</v>
      </c>
      <c r="V822">
        <v>-0.105819</v>
      </c>
      <c r="W822">
        <v>3.830575E-2</v>
      </c>
      <c r="X822">
        <v>0.99364730000000001</v>
      </c>
      <c r="Y822">
        <v>6.5875110000000001E-2</v>
      </c>
      <c r="Z822">
        <v>-1.020473E-3</v>
      </c>
      <c r="AA822">
        <v>0.99782740000000003</v>
      </c>
      <c r="AB822">
        <v>20</v>
      </c>
      <c r="AC822">
        <v>35.061599999999999</v>
      </c>
      <c r="AD822">
        <v>-1.0544558887119999</v>
      </c>
      <c r="AE822">
        <v>-2.2827000000000299</v>
      </c>
      <c r="AF822">
        <v>2.3205791762602899</v>
      </c>
      <c r="AG822">
        <v>-1.0544558887119999</v>
      </c>
      <c r="AH822">
        <v>35.027427429511903</v>
      </c>
      <c r="AI822">
        <v>91.720526013098905</v>
      </c>
      <c r="AJ822">
        <v>86.209673708591197</v>
      </c>
      <c r="AK822">
        <v>35.120046088583898</v>
      </c>
      <c r="AL822">
        <v>87.804705042966503</v>
      </c>
      <c r="AM822">
        <v>96.078833116078997</v>
      </c>
      <c r="AN822">
        <v>0.99999997402067597</v>
      </c>
    </row>
    <row r="823" spans="1:40" x14ac:dyDescent="0.3">
      <c r="A823" t="str">
        <f>"20200111145928352"</f>
        <v>20200111145928352</v>
      </c>
      <c r="B823" t="str">
        <f>"1578725968346659"</f>
        <v>1578725968346659</v>
      </c>
      <c r="C823" t="s">
        <v>40</v>
      </c>
      <c r="D823">
        <v>4.1864059999999998</v>
      </c>
      <c r="E823">
        <v>0.56528429999999996</v>
      </c>
      <c r="F823" t="s">
        <v>42</v>
      </c>
      <c r="G823">
        <v>-370.3777</v>
      </c>
      <c r="H823" s="1">
        <v>-4.9283809999999998E-6</v>
      </c>
      <c r="I823">
        <v>365.00409999999999</v>
      </c>
      <c r="J823">
        <v>-405.43220000000002</v>
      </c>
      <c r="K823">
        <v>1.054454</v>
      </c>
      <c r="L823">
        <v>367.27769999999998</v>
      </c>
      <c r="M823">
        <v>0.99994019999999995</v>
      </c>
      <c r="N823">
        <v>0</v>
      </c>
      <c r="O823">
        <v>1.1117670000000001E-3</v>
      </c>
      <c r="P823">
        <v>0.99386660000000004</v>
      </c>
      <c r="Q823">
        <v>2.7381280000000001E-2</v>
      </c>
      <c r="R823">
        <v>0.10714269999999999</v>
      </c>
      <c r="S823">
        <v>3.0421450000000001</v>
      </c>
      <c r="T823">
        <v>-9.1240169999999995E-2</v>
      </c>
      <c r="U823">
        <v>-0.19671630000000001</v>
      </c>
      <c r="V823">
        <v>-0.106033</v>
      </c>
      <c r="W823">
        <v>3.8215220000000001E-2</v>
      </c>
      <c r="X823">
        <v>0.99362799999999996</v>
      </c>
      <c r="Y823">
        <v>6.5608529999999998E-2</v>
      </c>
      <c r="Z823">
        <v>-1.015925E-3</v>
      </c>
      <c r="AA823">
        <v>0.99784490000000003</v>
      </c>
      <c r="AB823">
        <v>20</v>
      </c>
      <c r="AC823">
        <v>35.054499999999997</v>
      </c>
      <c r="AD823">
        <v>-1.054458928381</v>
      </c>
      <c r="AE823">
        <v>-2.2735999999999801</v>
      </c>
      <c r="AF823">
        <v>2.3104914703299499</v>
      </c>
      <c r="AG823">
        <v>-1.054458928381</v>
      </c>
      <c r="AH823">
        <v>35.020395358877998</v>
      </c>
      <c r="AI823">
        <v>91.720907347922605</v>
      </c>
      <c r="AJ823">
        <v>86.225347175784094</v>
      </c>
      <c r="AK823">
        <v>35.112367416029301</v>
      </c>
      <c r="AL823">
        <v>87.809895890397499</v>
      </c>
      <c r="AM823">
        <v>96.0911515690822</v>
      </c>
      <c r="AN823">
        <v>1.0000000012563199</v>
      </c>
    </row>
    <row r="824" spans="1:40" x14ac:dyDescent="0.3">
      <c r="A824" t="str">
        <f>"20200111145928364"</f>
        <v>20200111145928364</v>
      </c>
      <c r="B824" t="str">
        <f>"1578725968356419"</f>
        <v>1578725968356419</v>
      </c>
      <c r="C824" t="s">
        <v>40</v>
      </c>
      <c r="D824">
        <v>4.222156</v>
      </c>
      <c r="E824">
        <v>0.56534229999999996</v>
      </c>
      <c r="F824" t="s">
        <v>42</v>
      </c>
      <c r="G824">
        <v>-370.4341</v>
      </c>
      <c r="H824" s="1">
        <v>-4.9008609999999999E-6</v>
      </c>
      <c r="I824">
        <v>365.02289999999999</v>
      </c>
      <c r="J824">
        <v>-405.31880000000001</v>
      </c>
      <c r="K824">
        <v>1.0544560000000001</v>
      </c>
      <c r="L824">
        <v>367.27780000000001</v>
      </c>
      <c r="M824">
        <v>0.99994019999999995</v>
      </c>
      <c r="N824">
        <v>0</v>
      </c>
      <c r="O824">
        <v>1.080658E-3</v>
      </c>
      <c r="P824">
        <v>0.99386189999999996</v>
      </c>
      <c r="Q824">
        <v>2.7159519999999999E-2</v>
      </c>
      <c r="R824">
        <v>0.10724309999999999</v>
      </c>
      <c r="S824">
        <v>3.0421749999999999</v>
      </c>
      <c r="T824">
        <v>-9.1657580000000002E-2</v>
      </c>
      <c r="U824">
        <v>-0.19598389999999999</v>
      </c>
      <c r="V824">
        <v>-0.1061646</v>
      </c>
      <c r="W824">
        <v>3.8003179999999998E-2</v>
      </c>
      <c r="X824">
        <v>0.99362209999999995</v>
      </c>
      <c r="Y824">
        <v>6.533746E-2</v>
      </c>
      <c r="Z824">
        <v>-1.0155539999999999E-3</v>
      </c>
      <c r="AA824">
        <v>0.99786269999999999</v>
      </c>
      <c r="AB824">
        <v>20</v>
      </c>
      <c r="AC824">
        <v>34.884700000000002</v>
      </c>
      <c r="AD824">
        <v>-1.054460900861</v>
      </c>
      <c r="AE824">
        <v>-2.2549000000000201</v>
      </c>
      <c r="AF824">
        <v>2.29051527053808</v>
      </c>
      <c r="AG824">
        <v>-1.054460900861</v>
      </c>
      <c r="AH824">
        <v>34.850533190480697</v>
      </c>
      <c r="AI824">
        <v>91.729321748922004</v>
      </c>
      <c r="AJ824">
        <v>86.239702269951096</v>
      </c>
      <c r="AK824">
        <v>34.941637220611298</v>
      </c>
      <c r="AL824">
        <v>87.822053761752301</v>
      </c>
      <c r="AM824">
        <v>96.098690440655801</v>
      </c>
      <c r="AN824">
        <v>1.0000000207958399</v>
      </c>
    </row>
    <row r="825" spans="1:40" x14ac:dyDescent="0.3">
      <c r="A825" t="str">
        <f>"20200111145928375"</f>
        <v>20200111145928375</v>
      </c>
      <c r="B825" t="str">
        <f>"1578725968366179"</f>
        <v>1578725968366179</v>
      </c>
      <c r="C825" t="s">
        <v>40</v>
      </c>
      <c r="D825">
        <v>4.2165350000000004</v>
      </c>
      <c r="E825">
        <v>0.5653281</v>
      </c>
      <c r="F825" t="s">
        <v>42</v>
      </c>
      <c r="G825">
        <v>-370.51659999999998</v>
      </c>
      <c r="H825" s="1">
        <v>-4.8632490000000002E-6</v>
      </c>
      <c r="I825">
        <v>365.03530000000001</v>
      </c>
      <c r="J825">
        <v>-405.20729999999998</v>
      </c>
      <c r="K825">
        <v>1.054459</v>
      </c>
      <c r="L825">
        <v>367.27789999999999</v>
      </c>
      <c r="M825">
        <v>0.99994000000000005</v>
      </c>
      <c r="N825">
        <v>0</v>
      </c>
      <c r="O825">
        <v>1.050315E-3</v>
      </c>
      <c r="P825">
        <v>0.99385480000000004</v>
      </c>
      <c r="Q825">
        <v>2.7129770000000001E-2</v>
      </c>
      <c r="R825">
        <v>0.1073168</v>
      </c>
      <c r="S825">
        <v>3.0422060000000002</v>
      </c>
      <c r="T825">
        <v>-9.2174710000000007E-2</v>
      </c>
      <c r="U825">
        <v>-0.19601440000000001</v>
      </c>
      <c r="V825">
        <v>-0.1062685</v>
      </c>
      <c r="W825">
        <v>3.7985070000000003E-2</v>
      </c>
      <c r="X825">
        <v>0.99361169999999999</v>
      </c>
      <c r="Y825">
        <v>6.5316189999999996E-2</v>
      </c>
      <c r="Z825">
        <v>-1.0200299999999999E-3</v>
      </c>
      <c r="AA825">
        <v>0.99786410000000003</v>
      </c>
      <c r="AB825">
        <v>20</v>
      </c>
      <c r="AC825">
        <v>34.6906999999999</v>
      </c>
      <c r="AD825">
        <v>-1.054463863249</v>
      </c>
      <c r="AE825">
        <v>-2.2425999999999799</v>
      </c>
      <c r="AF825">
        <v>2.2769421201917801</v>
      </c>
      <c r="AG825">
        <v>-1.054463863249</v>
      </c>
      <c r="AH825">
        <v>34.656438551744898</v>
      </c>
      <c r="AI825">
        <v>91.739008509171498</v>
      </c>
      <c r="AJ825">
        <v>86.241046313728901</v>
      </c>
      <c r="AK825">
        <v>34.747159488920403</v>
      </c>
      <c r="AL825">
        <v>87.823092168993398</v>
      </c>
      <c r="AM825">
        <v>96.104677407440505</v>
      </c>
      <c r="AN825">
        <v>1.0000000350060201</v>
      </c>
    </row>
    <row r="826" spans="1:40" x14ac:dyDescent="0.3">
      <c r="A826" t="str">
        <f>"20200111145928387"</f>
        <v>20200111145928387</v>
      </c>
      <c r="B826" t="str">
        <f>"1578725968376915"</f>
        <v>1578725968376915</v>
      </c>
      <c r="C826" t="s">
        <v>40</v>
      </c>
      <c r="D826">
        <v>4.176374</v>
      </c>
      <c r="E826">
        <v>0.56524410000000003</v>
      </c>
      <c r="F826" t="s">
        <v>42</v>
      </c>
      <c r="G826">
        <v>-370.64429999999999</v>
      </c>
      <c r="H826" s="1">
        <v>-4.8054230000000002E-6</v>
      </c>
      <c r="I826">
        <v>365.05259999999998</v>
      </c>
      <c r="J826">
        <v>-405.10550000000001</v>
      </c>
      <c r="K826">
        <v>1.0544629999999999</v>
      </c>
      <c r="L826">
        <v>367.27800000000002</v>
      </c>
      <c r="M826">
        <v>0.99993989999999999</v>
      </c>
      <c r="N826">
        <v>0</v>
      </c>
      <c r="O826">
        <v>1.02224E-3</v>
      </c>
      <c r="P826">
        <v>0.99386269999999999</v>
      </c>
      <c r="Q826">
        <v>2.7239920000000001E-2</v>
      </c>
      <c r="R826">
        <v>0.1072142</v>
      </c>
      <c r="S826">
        <v>3.0422669999999998</v>
      </c>
      <c r="T826">
        <v>-9.2814510000000003E-2</v>
      </c>
      <c r="U826">
        <v>-0.1958618</v>
      </c>
      <c r="V826">
        <v>-0.1061941</v>
      </c>
      <c r="W826">
        <v>3.8106580000000001E-2</v>
      </c>
      <c r="X826">
        <v>0.99361500000000003</v>
      </c>
      <c r="Y826">
        <v>6.5236669999999997E-2</v>
      </c>
      <c r="Z826">
        <v>-1.0250210000000001E-3</v>
      </c>
      <c r="AA826">
        <v>0.99786929999999996</v>
      </c>
      <c r="AB826">
        <v>20</v>
      </c>
      <c r="AC826">
        <v>34.461199999999998</v>
      </c>
      <c r="AD826">
        <v>-1.0544678054229999</v>
      </c>
      <c r="AE826">
        <v>-2.2254000000000298</v>
      </c>
      <c r="AF826">
        <v>2.2585227246062902</v>
      </c>
      <c r="AG826">
        <v>-1.0544678054229999</v>
      </c>
      <c r="AH826">
        <v>34.426807684151903</v>
      </c>
      <c r="AI826">
        <v>91.750618318817004</v>
      </c>
      <c r="AJ826">
        <v>86.246568807324806</v>
      </c>
      <c r="AK826">
        <v>34.516922148010501</v>
      </c>
      <c r="AL826">
        <v>87.816125111092006</v>
      </c>
      <c r="AM826">
        <v>96.100415572027003</v>
      </c>
      <c r="AN826">
        <v>1.00000003326955</v>
      </c>
    </row>
    <row r="827" spans="1:40" x14ac:dyDescent="0.3">
      <c r="A827" t="str">
        <f>"20200111145928399"</f>
        <v>20200111145928399</v>
      </c>
      <c r="B827" t="str">
        <f>"1578725968396435"</f>
        <v>1578725968396435</v>
      </c>
      <c r="C827" t="s">
        <v>40</v>
      </c>
      <c r="D827">
        <v>4.2810790000000001</v>
      </c>
      <c r="E827">
        <v>0.56504929999999998</v>
      </c>
      <c r="F827" t="s">
        <v>42</v>
      </c>
      <c r="G827">
        <v>-370.53070000000002</v>
      </c>
      <c r="H827" s="1">
        <v>-4.8539079999999996E-6</v>
      </c>
      <c r="I827">
        <v>365.0539</v>
      </c>
      <c r="J827">
        <v>-404.99310000000003</v>
      </c>
      <c r="K827">
        <v>1.054468</v>
      </c>
      <c r="L827">
        <v>367.27809999999999</v>
      </c>
      <c r="M827">
        <v>0.99993969999999999</v>
      </c>
      <c r="N827">
        <v>0</v>
      </c>
      <c r="O827">
        <v>9.9135520000000004E-4</v>
      </c>
      <c r="P827">
        <v>0.99387380000000003</v>
      </c>
      <c r="Q827">
        <v>2.7274840000000002E-2</v>
      </c>
      <c r="R827">
        <v>0.107103</v>
      </c>
      <c r="S827">
        <v>3.0421749999999999</v>
      </c>
      <c r="T827">
        <v>-9.2780589999999996E-2</v>
      </c>
      <c r="U827">
        <v>-0.19567870000000001</v>
      </c>
      <c r="V827">
        <v>-0.10611329999999999</v>
      </c>
      <c r="W827">
        <v>3.8154229999999997E-2</v>
      </c>
      <c r="X827">
        <v>0.9936218</v>
      </c>
      <c r="Y827">
        <v>6.5148059999999994E-2</v>
      </c>
      <c r="Z827">
        <v>-1.0223889999999901E-3</v>
      </c>
      <c r="AA827">
        <v>0.99787510000000001</v>
      </c>
      <c r="AB827">
        <v>20</v>
      </c>
      <c r="AC827">
        <v>34.462400000000002</v>
      </c>
      <c r="AD827">
        <v>-1.0544728539079999</v>
      </c>
      <c r="AE827">
        <v>-2.22419999999999</v>
      </c>
      <c r="AF827">
        <v>2.2562618256896001</v>
      </c>
      <c r="AG827">
        <v>-1.0544728539079999</v>
      </c>
      <c r="AH827">
        <v>34.428079269069698</v>
      </c>
      <c r="AI827">
        <v>91.750569854412007</v>
      </c>
      <c r="AJ827">
        <v>86.250453560621693</v>
      </c>
      <c r="AK827">
        <v>34.518042710777202</v>
      </c>
      <c r="AL827">
        <v>87.813392972311604</v>
      </c>
      <c r="AM827">
        <v>96.095767500295594</v>
      </c>
      <c r="AN827">
        <v>1.00000002956951</v>
      </c>
    </row>
    <row r="828" spans="1:40" x14ac:dyDescent="0.3">
      <c r="A828" t="str">
        <f>"20200111145928412"</f>
        <v>20200111145928412</v>
      </c>
      <c r="B828" t="str">
        <f>"1578725968406195"</f>
        <v>1578725968406195</v>
      </c>
      <c r="C828" t="s">
        <v>40</v>
      </c>
      <c r="D828">
        <v>4.3040070000000004</v>
      </c>
      <c r="E828">
        <v>0.56513939999999996</v>
      </c>
      <c r="F828" t="s">
        <v>42</v>
      </c>
      <c r="G828">
        <v>-370.15309999999999</v>
      </c>
      <c r="H828" s="1">
        <v>-5.0163690000000002E-6</v>
      </c>
      <c r="I828">
        <v>365.05110000000002</v>
      </c>
      <c r="J828">
        <v>-404.88780000000003</v>
      </c>
      <c r="K828">
        <v>1.0544709999999999</v>
      </c>
      <c r="L828">
        <v>367.27809999999999</v>
      </c>
      <c r="M828">
        <v>0.99993969999999999</v>
      </c>
      <c r="N828">
        <v>0</v>
      </c>
      <c r="O828">
        <v>9.6232109999999996E-4</v>
      </c>
      <c r="P828">
        <v>0.99389680000000002</v>
      </c>
      <c r="Q828">
        <v>2.7724039999999998E-2</v>
      </c>
      <c r="R828">
        <v>0.1067748</v>
      </c>
      <c r="S828">
        <v>3.0419309999999999</v>
      </c>
      <c r="T828">
        <v>-9.2067540000000003E-2</v>
      </c>
      <c r="U828">
        <v>-0.1944275</v>
      </c>
      <c r="V828">
        <v>-0.1058135</v>
      </c>
      <c r="W828">
        <v>3.8615950000000003E-2</v>
      </c>
      <c r="X828">
        <v>0.99363590000000002</v>
      </c>
      <c r="Y828">
        <v>6.4716090000000004E-2</v>
      </c>
      <c r="Z828">
        <v>-1.007223E-3</v>
      </c>
      <c r="AA828">
        <v>0.99790319999999999</v>
      </c>
      <c r="AB828">
        <v>20</v>
      </c>
      <c r="AC828">
        <v>34.734699999999997</v>
      </c>
      <c r="AD828">
        <v>-1.0544760163689999</v>
      </c>
      <c r="AE828">
        <v>-2.2269999999999701</v>
      </c>
      <c r="AF828">
        <v>2.2583541066849402</v>
      </c>
      <c r="AG828">
        <v>-1.0544760163689999</v>
      </c>
      <c r="AH828">
        <v>34.700691180655603</v>
      </c>
      <c r="AI828">
        <v>91.736882184971293</v>
      </c>
      <c r="AJ828">
        <v>86.276387209789704</v>
      </c>
      <c r="AK828">
        <v>34.790085532454597</v>
      </c>
      <c r="AL828">
        <v>87.786918778287301</v>
      </c>
      <c r="AM828">
        <v>96.078588747701303</v>
      </c>
      <c r="AN828">
        <v>0.99999999507273096</v>
      </c>
    </row>
    <row r="829" spans="1:40" x14ac:dyDescent="0.3">
      <c r="A829" t="str">
        <f>"20200111145928429"</f>
        <v>20200111145928429</v>
      </c>
      <c r="B829" t="str">
        <f>"1578725968426691"</f>
        <v>1578725968426691</v>
      </c>
      <c r="C829" t="s">
        <v>40</v>
      </c>
      <c r="D829">
        <v>4.1542940000000002</v>
      </c>
      <c r="E829">
        <v>0.56499709999999903</v>
      </c>
      <c r="F829" t="s">
        <v>42</v>
      </c>
      <c r="G829">
        <v>-369.81240000000003</v>
      </c>
      <c r="H829" s="1">
        <v>-1.273018E-6</v>
      </c>
      <c r="I829">
        <v>365.01929999999999</v>
      </c>
      <c r="J829">
        <v>-404.72629999999998</v>
      </c>
      <c r="K829">
        <v>1.0544709999999999</v>
      </c>
      <c r="L829">
        <v>367.27820000000003</v>
      </c>
      <c r="M829">
        <v>0.99993960000000004</v>
      </c>
      <c r="N829">
        <v>0</v>
      </c>
      <c r="O829">
        <v>9.1853189999999997E-4</v>
      </c>
      <c r="P829">
        <v>0.99394459999999996</v>
      </c>
      <c r="Q829">
        <v>2.8416799999999999E-2</v>
      </c>
      <c r="R829">
        <v>0.1061435</v>
      </c>
      <c r="S829">
        <v>3.0420229999999999</v>
      </c>
      <c r="T829">
        <v>-9.1452359999999996E-2</v>
      </c>
      <c r="U829">
        <v>-0.19589229999999999</v>
      </c>
      <c r="V829">
        <v>-0.10522579999999999</v>
      </c>
      <c r="W829">
        <v>3.9326359999999998E-2</v>
      </c>
      <c r="X829">
        <v>0.99367050000000001</v>
      </c>
      <c r="Y829">
        <v>6.5149239999999997E-2</v>
      </c>
      <c r="Z829">
        <v>-1.005639E-3</v>
      </c>
      <c r="AA829">
        <v>0.99787499999999996</v>
      </c>
      <c r="AB829">
        <v>20</v>
      </c>
      <c r="AC829">
        <v>34.913899999999899</v>
      </c>
      <c r="AD829">
        <v>-1.0544722730179901</v>
      </c>
      <c r="AE829">
        <v>-2.2589000000000401</v>
      </c>
      <c r="AF829">
        <v>2.28889135718088</v>
      </c>
      <c r="AG829">
        <v>-1.0544722730179901</v>
      </c>
      <c r="AH829">
        <v>34.880126456462598</v>
      </c>
      <c r="AI829">
        <v>91.727885611228501</v>
      </c>
      <c r="AJ829">
        <v>86.245539541984201</v>
      </c>
      <c r="AK829">
        <v>34.971047411228099</v>
      </c>
      <c r="AL829">
        <v>87.746184455273706</v>
      </c>
      <c r="AM829">
        <v>96.044869330237006</v>
      </c>
      <c r="AN829">
        <v>1.0000000470733601</v>
      </c>
    </row>
    <row r="830" spans="1:40" x14ac:dyDescent="0.3">
      <c r="A830" t="str">
        <f>"20200111145928441"</f>
        <v>20200111145928441</v>
      </c>
      <c r="B830" t="str">
        <f>"1578725968436452"</f>
        <v>1578725968436452</v>
      </c>
      <c r="C830" t="s">
        <v>40</v>
      </c>
      <c r="D830">
        <v>4.198855</v>
      </c>
      <c r="E830">
        <v>0.56489219999999996</v>
      </c>
      <c r="F830" t="s">
        <v>42</v>
      </c>
      <c r="G830">
        <v>-369.20780000000002</v>
      </c>
      <c r="H830" s="1">
        <v>-1.4897990000000001E-6</v>
      </c>
      <c r="I830">
        <v>364.97800000000001</v>
      </c>
      <c r="J830">
        <v>-404.61630000000002</v>
      </c>
      <c r="K830">
        <v>1.0544709999999999</v>
      </c>
      <c r="L830">
        <v>367.2783</v>
      </c>
      <c r="M830">
        <v>0.99993949999999998</v>
      </c>
      <c r="N830">
        <v>0</v>
      </c>
      <c r="O830">
        <v>8.8884289999999905E-4</v>
      </c>
      <c r="P830">
        <v>0.99393929999999997</v>
      </c>
      <c r="Q830">
        <v>2.8722259999999999E-2</v>
      </c>
      <c r="R830">
        <v>0.10611230000000001</v>
      </c>
      <c r="S830">
        <v>3.0419309999999999</v>
      </c>
      <c r="T830">
        <v>-9.0308310000000003E-2</v>
      </c>
      <c r="U830">
        <v>-0.196991</v>
      </c>
      <c r="V830">
        <v>-0.105224499999999</v>
      </c>
      <c r="W830">
        <v>3.9643209999999998E-2</v>
      </c>
      <c r="X830">
        <v>0.99365800000000004</v>
      </c>
      <c r="Y830">
        <v>6.5481059999999994E-2</v>
      </c>
      <c r="Z830">
        <v>-9.971209999999999E-4</v>
      </c>
      <c r="AA830">
        <v>0.99785330000000005</v>
      </c>
      <c r="AB830">
        <v>20</v>
      </c>
      <c r="AC830">
        <v>35.408499999999997</v>
      </c>
      <c r="AD830">
        <v>-1.0544724897990001</v>
      </c>
      <c r="AE830">
        <v>-2.3002999999999898</v>
      </c>
      <c r="AF830">
        <v>2.32971612623101</v>
      </c>
      <c r="AG830">
        <v>-1.0544724897990001</v>
      </c>
      <c r="AH830">
        <v>35.375200255035203</v>
      </c>
      <c r="AI830">
        <v>91.703692391730996</v>
      </c>
      <c r="AJ830">
        <v>86.232094205668503</v>
      </c>
      <c r="AK830">
        <v>35.467510238870801</v>
      </c>
      <c r="AL830">
        <v>87.728016013655207</v>
      </c>
      <c r="AM830">
        <v>96.044870681708304</v>
      </c>
      <c r="AN830">
        <v>1.00000000023167</v>
      </c>
    </row>
    <row r="831" spans="1:40" x14ac:dyDescent="0.3">
      <c r="A831" t="str">
        <f>"20200111145928452"</f>
        <v>20200111145928452</v>
      </c>
      <c r="B831" t="str">
        <f>"1578725968446212"</f>
        <v>1578725968446212</v>
      </c>
      <c r="C831" t="s">
        <v>40</v>
      </c>
      <c r="D831">
        <v>4.110506</v>
      </c>
      <c r="E831">
        <v>0.56470169999999997</v>
      </c>
      <c r="F831" t="s">
        <v>42</v>
      </c>
      <c r="G831">
        <v>-368.8938</v>
      </c>
      <c r="H831" s="1">
        <v>-1.5979720000000001E-6</v>
      </c>
      <c r="I831">
        <v>364.97300000000001</v>
      </c>
      <c r="J831">
        <v>-404.51089999999999</v>
      </c>
      <c r="K831">
        <v>1.054467</v>
      </c>
      <c r="L831">
        <v>367.27839999999998</v>
      </c>
      <c r="M831">
        <v>0.99993940000000003</v>
      </c>
      <c r="N831">
        <v>0</v>
      </c>
      <c r="O831">
        <v>8.6011759999999997E-4</v>
      </c>
      <c r="P831">
        <v>0.99393299999999996</v>
      </c>
      <c r="Q831">
        <v>2.8393990000000001E-2</v>
      </c>
      <c r="R831">
        <v>0.1062604</v>
      </c>
      <c r="S831">
        <v>3.0418090000000002</v>
      </c>
      <c r="T831">
        <v>-8.9789149999999998E-2</v>
      </c>
      <c r="U831">
        <v>-0.19628909999999999</v>
      </c>
      <c r="V831">
        <v>-0.1054007</v>
      </c>
      <c r="W831">
        <v>3.9324940000000003E-2</v>
      </c>
      <c r="X831">
        <v>0.99365199999999998</v>
      </c>
      <c r="Y831">
        <v>6.5226119999999999E-2</v>
      </c>
      <c r="Z831">
        <v>-9.8683350000000006E-4</v>
      </c>
      <c r="AA831">
        <v>0.99787000000000003</v>
      </c>
      <c r="AB831">
        <v>20</v>
      </c>
      <c r="AC831">
        <v>35.617099999999901</v>
      </c>
      <c r="AD831">
        <v>-1.0544685979719901</v>
      </c>
      <c r="AE831">
        <v>-2.3053999999999601</v>
      </c>
      <c r="AF831">
        <v>2.3339986803931798</v>
      </c>
      <c r="AG831">
        <v>-1.0544685979719901</v>
      </c>
      <c r="AH831">
        <v>35.584044624504003</v>
      </c>
      <c r="AI831">
        <v>91.693722422345601</v>
      </c>
      <c r="AJ831">
        <v>86.247278985740394</v>
      </c>
      <c r="AK831">
        <v>35.676094036523601</v>
      </c>
      <c r="AL831">
        <v>87.746265834769005</v>
      </c>
      <c r="AM831">
        <v>96.054954065754799</v>
      </c>
      <c r="AN831">
        <v>1.0000000277852401</v>
      </c>
    </row>
    <row r="832" spans="1:40" x14ac:dyDescent="0.3">
      <c r="A832" t="str">
        <f>"20200111145928463"</f>
        <v>20200111145928463</v>
      </c>
      <c r="B832" t="str">
        <f>"1578725968455971"</f>
        <v>1578725968455971</v>
      </c>
      <c r="C832" t="s">
        <v>40</v>
      </c>
      <c r="D832">
        <v>4.0926439999999999</v>
      </c>
      <c r="E832">
        <v>0.56470169999999997</v>
      </c>
      <c r="F832" t="s">
        <v>42</v>
      </c>
      <c r="G832">
        <v>-369.26369999999997</v>
      </c>
      <c r="H832" s="1">
        <v>-1.4578109999999999E-6</v>
      </c>
      <c r="I832">
        <v>365.02670000000001</v>
      </c>
      <c r="J832">
        <v>-404.40559999999999</v>
      </c>
      <c r="K832">
        <v>1.054468</v>
      </c>
      <c r="L832">
        <v>367.27839999999998</v>
      </c>
      <c r="M832">
        <v>0.99993940000000003</v>
      </c>
      <c r="N832">
        <v>0</v>
      </c>
      <c r="O832">
        <v>8.3127419999999997E-4</v>
      </c>
      <c r="P832">
        <v>0.99393909999999996</v>
      </c>
      <c r="Q832">
        <v>2.8037690000000001E-2</v>
      </c>
      <c r="R832">
        <v>0.1062985</v>
      </c>
      <c r="S832">
        <v>3.041687</v>
      </c>
      <c r="T832">
        <v>-9.0996030000000006E-2</v>
      </c>
      <c r="U832">
        <v>-0.19430539999999999</v>
      </c>
      <c r="V832">
        <v>-0.10546750000000001</v>
      </c>
      <c r="W832">
        <v>3.8978539999999999E-2</v>
      </c>
      <c r="X832">
        <v>0.9936585</v>
      </c>
      <c r="Y832">
        <v>6.4551339999999999E-2</v>
      </c>
      <c r="Z832">
        <v>-9.8920999999999992E-4</v>
      </c>
      <c r="AA832">
        <v>0.99791390000000002</v>
      </c>
      <c r="AB832">
        <v>20</v>
      </c>
      <c r="AC832">
        <v>35.1419</v>
      </c>
      <c r="AD832">
        <v>-1.0544694578110001</v>
      </c>
      <c r="AE832">
        <v>-2.2516999999999698</v>
      </c>
      <c r="AF832">
        <v>2.27887011654528</v>
      </c>
      <c r="AG832">
        <v>-1.0544694578110001</v>
      </c>
      <c r="AH832">
        <v>35.108534793136101</v>
      </c>
      <c r="AI832">
        <v>91.716725965140895</v>
      </c>
      <c r="AJ832">
        <v>86.286181409613604</v>
      </c>
      <c r="AK832">
        <v>35.198215440081498</v>
      </c>
      <c r="AL832">
        <v>87.766128186364199</v>
      </c>
      <c r="AM832">
        <v>96.058723652536401</v>
      </c>
      <c r="AN832">
        <v>0.99999996737951502</v>
      </c>
    </row>
    <row r="833" spans="1:40" x14ac:dyDescent="0.3">
      <c r="A833" t="str">
        <f>"20200111145928474"</f>
        <v>20200111145928474</v>
      </c>
      <c r="B833" t="str">
        <f>"1578725968466707"</f>
        <v>1578725968466707</v>
      </c>
      <c r="C833" t="s">
        <v>40</v>
      </c>
      <c r="D833">
        <v>4.180606</v>
      </c>
      <c r="E833">
        <v>0.56446890000000005</v>
      </c>
      <c r="F833" t="s">
        <v>42</v>
      </c>
      <c r="G833">
        <v>-369.5292</v>
      </c>
      <c r="H833" s="1">
        <v>-1.3606890000000001E-6</v>
      </c>
      <c r="I833">
        <v>365.0521</v>
      </c>
      <c r="J833">
        <v>-404.30180000000001</v>
      </c>
      <c r="K833">
        <v>1.054467</v>
      </c>
      <c r="L833">
        <v>367.27850000000001</v>
      </c>
      <c r="M833">
        <v>0.99993909999999997</v>
      </c>
      <c r="N833">
        <v>0</v>
      </c>
      <c r="O833">
        <v>8.0326889999999998E-4</v>
      </c>
      <c r="P833">
        <v>0.99396329999999999</v>
      </c>
      <c r="Q833">
        <v>2.7649050000000001E-2</v>
      </c>
      <c r="R833">
        <v>0.1061724</v>
      </c>
      <c r="S833">
        <v>3.0416259999999999</v>
      </c>
      <c r="T833">
        <v>-9.196174E-2</v>
      </c>
      <c r="U833">
        <v>-0.19415279999999999</v>
      </c>
      <c r="V833">
        <v>-0.10536959999999999</v>
      </c>
      <c r="W833">
        <v>3.8599260000000003E-2</v>
      </c>
      <c r="X833">
        <v>0.99368380000000001</v>
      </c>
      <c r="Y833">
        <v>6.4474229999999993E-2</v>
      </c>
      <c r="Z833">
        <v>-9.977148999999999E-4</v>
      </c>
      <c r="AA833">
        <v>0.99791879999999999</v>
      </c>
      <c r="AB833">
        <v>21</v>
      </c>
      <c r="AC833">
        <v>34.772599999999997</v>
      </c>
      <c r="AD833">
        <v>-1.054468360689</v>
      </c>
      <c r="AE833">
        <v>-2.2264000000000101</v>
      </c>
      <c r="AF833">
        <v>2.2522700199751</v>
      </c>
      <c r="AG833">
        <v>-1.054468360689</v>
      </c>
      <c r="AH833">
        <v>34.738985184594902</v>
      </c>
      <c r="AI833">
        <v>91.734983830223598</v>
      </c>
      <c r="AJ833">
        <v>86.290472852761198</v>
      </c>
      <c r="AK833">
        <v>34.827887036426397</v>
      </c>
      <c r="AL833">
        <v>87.787875935071099</v>
      </c>
      <c r="AM833">
        <v>96.052988453873795</v>
      </c>
      <c r="AN833">
        <v>1.0000000749295701</v>
      </c>
    </row>
    <row r="834" spans="1:40" x14ac:dyDescent="0.3">
      <c r="A834" t="str">
        <f>"20200111145928486"</f>
        <v>20200111145928486</v>
      </c>
      <c r="B834" t="str">
        <f>"1578725968476468"</f>
        <v>1578725968476468</v>
      </c>
      <c r="C834" t="s">
        <v>40</v>
      </c>
      <c r="D834">
        <v>4.2148640000000004</v>
      </c>
      <c r="E834">
        <v>0.56438580000000005</v>
      </c>
      <c r="F834" t="s">
        <v>42</v>
      </c>
      <c r="G834">
        <v>-369.85250000000002</v>
      </c>
      <c r="H834" s="1">
        <v>-1.238651E-6</v>
      </c>
      <c r="I834">
        <v>365.09719999999999</v>
      </c>
      <c r="J834">
        <v>-404.19760000000002</v>
      </c>
      <c r="K834">
        <v>1.05447</v>
      </c>
      <c r="L834">
        <v>367.27859999999998</v>
      </c>
      <c r="M834">
        <v>0.99993909999999997</v>
      </c>
      <c r="N834">
        <v>0</v>
      </c>
      <c r="O834">
        <v>7.7472929999999895E-4</v>
      </c>
      <c r="P834">
        <v>0.99401070000000002</v>
      </c>
      <c r="Q834">
        <v>2.761102E-2</v>
      </c>
      <c r="R834">
        <v>0.1057394</v>
      </c>
      <c r="S834">
        <v>3.0414119999999998</v>
      </c>
      <c r="T834">
        <v>-9.309518E-2</v>
      </c>
      <c r="U834">
        <v>-0.19256590000000001</v>
      </c>
      <c r="V834">
        <v>-0.1049645</v>
      </c>
      <c r="W834">
        <v>3.8570680000000003E-2</v>
      </c>
      <c r="X834">
        <v>0.99372769999999999</v>
      </c>
      <c r="Y834">
        <v>6.3931130000000003E-2</v>
      </c>
      <c r="Z834">
        <v>-1.00092E-3</v>
      </c>
      <c r="AA834">
        <v>0.9979538</v>
      </c>
      <c r="AB834">
        <v>21</v>
      </c>
      <c r="AC834">
        <v>34.345100000000002</v>
      </c>
      <c r="AD834">
        <v>-1.054471238651</v>
      </c>
      <c r="AE834">
        <v>-2.1813999999999898</v>
      </c>
      <c r="AF834">
        <v>2.2059380907544002</v>
      </c>
      <c r="AG834">
        <v>-1.054471238651</v>
      </c>
      <c r="AH834">
        <v>34.311186888864398</v>
      </c>
      <c r="AI834">
        <v>91.756668429767203</v>
      </c>
      <c r="AJ834">
        <v>86.321397188578999</v>
      </c>
      <c r="AK834">
        <v>34.398192077142099</v>
      </c>
      <c r="AL834">
        <v>87.789514486756204</v>
      </c>
      <c r="AM834">
        <v>96.029624718337402</v>
      </c>
      <c r="AN834">
        <v>0.999999992681601</v>
      </c>
    </row>
    <row r="835" spans="1:40" x14ac:dyDescent="0.3">
      <c r="A835" t="str">
        <f>"20200111145928497"</f>
        <v>20200111145928497</v>
      </c>
      <c r="B835" t="str">
        <f>"1578725968486227"</f>
        <v>1578725968486227</v>
      </c>
      <c r="C835" t="s">
        <v>40</v>
      </c>
      <c r="D835">
        <v>4.2724539999999998</v>
      </c>
      <c r="E835">
        <v>0.56433909999999998</v>
      </c>
      <c r="F835" t="s">
        <v>42</v>
      </c>
      <c r="G835">
        <v>-369.80040000000002</v>
      </c>
      <c r="H835" s="1">
        <v>-1.2566449999999999E-6</v>
      </c>
      <c r="I835">
        <v>365.09629999999999</v>
      </c>
      <c r="J835">
        <v>-404.08609999999999</v>
      </c>
      <c r="K835">
        <v>1.0544709999999999</v>
      </c>
      <c r="L835">
        <v>367.27859999999998</v>
      </c>
      <c r="M835">
        <v>0.99993909999999997</v>
      </c>
      <c r="N835">
        <v>0</v>
      </c>
      <c r="O835">
        <v>7.4434079999999997E-4</v>
      </c>
      <c r="P835">
        <v>0.99403430000000004</v>
      </c>
      <c r="Q835">
        <v>2.756579E-2</v>
      </c>
      <c r="R835">
        <v>0.105529399999999</v>
      </c>
      <c r="S835">
        <v>3.0411990000000002</v>
      </c>
      <c r="T835">
        <v>-9.3229889999999996E-2</v>
      </c>
      <c r="U835">
        <v>-0.1929321</v>
      </c>
      <c r="V835">
        <v>-0.10478510000000001</v>
      </c>
      <c r="W835">
        <v>3.8534470000000001E-2</v>
      </c>
      <c r="X835">
        <v>0.99374810000000002</v>
      </c>
      <c r="Y835">
        <v>6.4024800000000007E-2</v>
      </c>
      <c r="Z835">
        <v>-1.002937E-3</v>
      </c>
      <c r="AA835">
        <v>0.99794780000000005</v>
      </c>
      <c r="AB835">
        <v>21</v>
      </c>
      <c r="AC835">
        <v>34.285699999999899</v>
      </c>
      <c r="AD835">
        <v>-1.054472256645</v>
      </c>
      <c r="AE835">
        <v>-2.1822999999999899</v>
      </c>
      <c r="AF835">
        <v>2.2057431987553202</v>
      </c>
      <c r="AG835">
        <v>-1.054472256645</v>
      </c>
      <c r="AH835">
        <v>34.251798052537197</v>
      </c>
      <c r="AI835">
        <v>91.759702162251102</v>
      </c>
      <c r="AJ835">
        <v>86.315361121690799</v>
      </c>
      <c r="AK835">
        <v>34.338941227572498</v>
      </c>
      <c r="AL835">
        <v>87.791590846850397</v>
      </c>
      <c r="AM835">
        <v>96.019272255089007</v>
      </c>
      <c r="AN835">
        <v>1.0000000544068901</v>
      </c>
    </row>
    <row r="836" spans="1:40" x14ac:dyDescent="0.3">
      <c r="A836" t="str">
        <f>"20200111145928510"</f>
        <v>20200111145928510</v>
      </c>
      <c r="B836" t="str">
        <f>"1578725968506724"</f>
        <v>1578725968506724</v>
      </c>
      <c r="C836" t="s">
        <v>40</v>
      </c>
      <c r="D836">
        <v>4.1136010000000001</v>
      </c>
      <c r="E836">
        <v>0.56445190000000001</v>
      </c>
      <c r="F836" t="s">
        <v>42</v>
      </c>
      <c r="G836">
        <v>-369.88889999999998</v>
      </c>
      <c r="H836" s="1">
        <v>-1.2236090000000001E-6</v>
      </c>
      <c r="I836">
        <v>365.10730000000001</v>
      </c>
      <c r="J836">
        <v>-403.98160000000001</v>
      </c>
      <c r="K836">
        <v>1.054473</v>
      </c>
      <c r="L836">
        <v>367.27859999999998</v>
      </c>
      <c r="M836">
        <v>0.99993900000000002</v>
      </c>
      <c r="N836">
        <v>0</v>
      </c>
      <c r="O836">
        <v>7.1580649999999999E-4</v>
      </c>
      <c r="P836">
        <v>0.99406680000000003</v>
      </c>
      <c r="Q836">
        <v>2.7721269999999999E-2</v>
      </c>
      <c r="R836">
        <v>0.1051796</v>
      </c>
      <c r="S836">
        <v>3.0411679999999999</v>
      </c>
      <c r="T836">
        <v>-9.3774319999999994E-2</v>
      </c>
      <c r="U836">
        <v>-0.1930847</v>
      </c>
      <c r="V836">
        <v>-0.1044636</v>
      </c>
      <c r="W836">
        <v>3.8697889999999999E-2</v>
      </c>
      <c r="X836">
        <v>0.99377550000000003</v>
      </c>
      <c r="Y836">
        <v>6.404646E-2</v>
      </c>
      <c r="Z836">
        <v>-1.0082540000000001E-3</v>
      </c>
      <c r="AA836">
        <v>0.99794640000000001</v>
      </c>
      <c r="AB836">
        <v>21</v>
      </c>
      <c r="AC836">
        <v>34.092700000000001</v>
      </c>
      <c r="AD836">
        <v>-1.0544742236089999</v>
      </c>
      <c r="AE836">
        <v>-2.1712999999999698</v>
      </c>
      <c r="AF836">
        <v>2.1936146774358898</v>
      </c>
      <c r="AG836">
        <v>-1.0544742236089999</v>
      </c>
      <c r="AH836">
        <v>34.058686616491499</v>
      </c>
      <c r="AI836">
        <v>91.769675554050295</v>
      </c>
      <c r="AJ836">
        <v>86.314846052217803</v>
      </c>
      <c r="AK836">
        <v>34.145541367529901</v>
      </c>
      <c r="AL836">
        <v>87.782220366712096</v>
      </c>
      <c r="AM836">
        <v>96.000774739201404</v>
      </c>
      <c r="AN836">
        <v>0.99999995740782999</v>
      </c>
    </row>
    <row r="837" spans="1:40" x14ac:dyDescent="0.3">
      <c r="A837" t="str">
        <f>"20200111145928522"</f>
        <v>20200111145928522</v>
      </c>
      <c r="B837" t="str">
        <f>"1578725968516483"</f>
        <v>1578725968516483</v>
      </c>
      <c r="C837" t="s">
        <v>40</v>
      </c>
      <c r="D837">
        <v>4.2150740000000004</v>
      </c>
      <c r="E837">
        <v>0.56467679999999998</v>
      </c>
      <c r="F837" t="s">
        <v>42</v>
      </c>
      <c r="G837">
        <v>-370.27519999999998</v>
      </c>
      <c r="H837" s="1">
        <v>-4.952452E-6</v>
      </c>
      <c r="I837">
        <v>365.11619999999999</v>
      </c>
      <c r="J837">
        <v>-403.8664</v>
      </c>
      <c r="K837">
        <v>1.0544770000000001</v>
      </c>
      <c r="L837">
        <v>367.27870000000001</v>
      </c>
      <c r="M837">
        <v>0.99993900000000002</v>
      </c>
      <c r="N837">
        <v>0</v>
      </c>
      <c r="O837">
        <v>6.8440809999999999E-4</v>
      </c>
      <c r="P837">
        <v>0.99408189999999996</v>
      </c>
      <c r="Q837">
        <v>2.8099699999999998E-2</v>
      </c>
      <c r="R837">
        <v>0.10493760000000001</v>
      </c>
      <c r="S837">
        <v>3.0411990000000002</v>
      </c>
      <c r="T837">
        <v>-9.5141290000000003E-2</v>
      </c>
      <c r="U837">
        <v>-0.19509889999999999</v>
      </c>
      <c r="V837">
        <v>-0.1042526</v>
      </c>
      <c r="W837">
        <v>3.9084800000000003E-2</v>
      </c>
      <c r="X837">
        <v>0.99378259999999996</v>
      </c>
      <c r="Y837">
        <v>6.4671549999999994E-2</v>
      </c>
      <c r="Z837">
        <v>-1.031697E-3</v>
      </c>
      <c r="AA837">
        <v>0.99790610000000002</v>
      </c>
      <c r="AB837">
        <v>21</v>
      </c>
      <c r="AC837">
        <v>33.591200000000001</v>
      </c>
      <c r="AD837">
        <v>-1.0544819524519999</v>
      </c>
      <c r="AE837">
        <v>-2.1625000000000201</v>
      </c>
      <c r="AF837">
        <v>2.18334831568861</v>
      </c>
      <c r="AG837">
        <v>-1.0544819524519999</v>
      </c>
      <c r="AH837">
        <v>33.556780519084597</v>
      </c>
      <c r="AI837">
        <v>91.796064329901796</v>
      </c>
      <c r="AJ837">
        <v>86.277337625800897</v>
      </c>
      <c r="AK837">
        <v>33.6442634168395</v>
      </c>
      <c r="AL837">
        <v>87.760035458972197</v>
      </c>
      <c r="AM837">
        <v>95.988699820138805</v>
      </c>
      <c r="AN837">
        <v>1.0000000411302701</v>
      </c>
    </row>
    <row r="838" spans="1:40" x14ac:dyDescent="0.3">
      <c r="A838" t="str">
        <f>"20200111145928534"</f>
        <v>20200111145928534</v>
      </c>
      <c r="B838" t="str">
        <f>"1578725968526244"</f>
        <v>1578725968526244</v>
      </c>
      <c r="C838" t="s">
        <v>40</v>
      </c>
      <c r="D838">
        <v>4.0423049999999998</v>
      </c>
      <c r="E838">
        <v>0.56467679999999998</v>
      </c>
      <c r="F838" t="s">
        <v>42</v>
      </c>
      <c r="G838">
        <v>-369.971</v>
      </c>
      <c r="H838" s="1">
        <v>-5.090554E-6</v>
      </c>
      <c r="I838">
        <v>365.07330000000002</v>
      </c>
      <c r="J838">
        <v>-403.75369999999998</v>
      </c>
      <c r="K838">
        <v>1.0544800000000001</v>
      </c>
      <c r="L838">
        <v>367.27870000000001</v>
      </c>
      <c r="M838">
        <v>0.99993880000000002</v>
      </c>
      <c r="N838">
        <v>0</v>
      </c>
      <c r="O838">
        <v>6.5372970000000005E-4</v>
      </c>
      <c r="P838">
        <v>0.99407889999999999</v>
      </c>
      <c r="Q838">
        <v>2.8342920000000001E-2</v>
      </c>
      <c r="R838">
        <v>0.1049003</v>
      </c>
      <c r="S838">
        <v>3.0414119999999998</v>
      </c>
      <c r="T838">
        <v>-9.4617960000000001E-2</v>
      </c>
      <c r="U838">
        <v>-0.197876</v>
      </c>
      <c r="V838">
        <v>-0.1042459</v>
      </c>
      <c r="W838">
        <v>3.9335420000000003E-2</v>
      </c>
      <c r="X838">
        <v>0.99377340000000003</v>
      </c>
      <c r="Y838">
        <v>6.5543790000000005E-2</v>
      </c>
      <c r="Z838">
        <v>-1.03852E-3</v>
      </c>
      <c r="AA838">
        <v>0.99784919999999999</v>
      </c>
      <c r="AB838">
        <v>21</v>
      </c>
      <c r="AC838">
        <v>33.782699999999899</v>
      </c>
      <c r="AD838">
        <v>-1.054485090554</v>
      </c>
      <c r="AE838">
        <v>-2.2053999999999898</v>
      </c>
      <c r="AF838">
        <v>2.2253266976013801</v>
      </c>
      <c r="AG838">
        <v>-1.054485090554</v>
      </c>
      <c r="AH838">
        <v>33.748509360193701</v>
      </c>
      <c r="AI838">
        <v>91.785770878286002</v>
      </c>
      <c r="AJ838">
        <v>86.227462400632504</v>
      </c>
      <c r="AK838">
        <v>33.838231362651698</v>
      </c>
      <c r="AL838">
        <v>87.745664907705901</v>
      </c>
      <c r="AM838">
        <v>95.988372776123796</v>
      </c>
      <c r="AN838">
        <v>1.0000000267404701</v>
      </c>
    </row>
    <row r="839" spans="1:40" x14ac:dyDescent="0.3">
      <c r="A839" t="str">
        <f>"20200111145928545"</f>
        <v>20200111145928545</v>
      </c>
      <c r="B839" t="str">
        <f>"1578725968536004"</f>
        <v>1578725968536004</v>
      </c>
      <c r="C839" t="s">
        <v>40</v>
      </c>
      <c r="D839">
        <v>4.0634350000000001</v>
      </c>
      <c r="E839">
        <v>0.55608930000000001</v>
      </c>
      <c r="F839" t="s">
        <v>42</v>
      </c>
      <c r="G839">
        <v>-369.49860000000001</v>
      </c>
      <c r="H839" s="1">
        <v>-1.3725730000000001E-6</v>
      </c>
      <c r="I839">
        <v>365.04660000000001</v>
      </c>
      <c r="J839">
        <v>-403.65159999999997</v>
      </c>
      <c r="K839">
        <v>1.0544819999999999</v>
      </c>
      <c r="L839">
        <v>367.27879999999999</v>
      </c>
      <c r="M839">
        <v>0.99993869999999896</v>
      </c>
      <c r="N839">
        <v>0</v>
      </c>
      <c r="O839">
        <v>6.2585850000000003E-4</v>
      </c>
      <c r="P839">
        <v>0.99409170000000002</v>
      </c>
      <c r="Q839">
        <v>2.8595789999999999E-2</v>
      </c>
      <c r="R839">
        <v>0.1047096</v>
      </c>
      <c r="S839">
        <v>3.0415040000000002</v>
      </c>
      <c r="T839">
        <v>-9.3627100000000005E-2</v>
      </c>
      <c r="U839">
        <v>-0.1981812</v>
      </c>
      <c r="V839">
        <v>-0.1040827</v>
      </c>
      <c r="W839">
        <v>3.9595089999999999E-2</v>
      </c>
      <c r="X839">
        <v>0.99378010000000006</v>
      </c>
      <c r="Y839">
        <v>6.5614370000000005E-2</v>
      </c>
      <c r="Z839">
        <v>-1.0278430000000001E-3</v>
      </c>
      <c r="AA839">
        <v>0.99784450000000002</v>
      </c>
      <c r="AB839">
        <v>21</v>
      </c>
      <c r="AC839">
        <v>34.152999999999899</v>
      </c>
      <c r="AD839">
        <v>-1.0544833725729901</v>
      </c>
      <c r="AE839">
        <v>-2.23219999999997</v>
      </c>
      <c r="AF839">
        <v>2.2514386858658</v>
      </c>
      <c r="AG839">
        <v>-1.0544833725729901</v>
      </c>
      <c r="AH839">
        <v>34.119209277980403</v>
      </c>
      <c r="AI839">
        <v>91.766372567549396</v>
      </c>
      <c r="AJ839">
        <v>86.224672514716701</v>
      </c>
      <c r="AK839">
        <v>34.2096675384878</v>
      </c>
      <c r="AL839">
        <v>87.730775101177599</v>
      </c>
      <c r="AM839">
        <v>95.979025751077799</v>
      </c>
      <c r="AN839">
        <v>0.99999993337370097</v>
      </c>
    </row>
    <row r="840" spans="1:40" x14ac:dyDescent="0.3">
      <c r="A840" t="str">
        <f>"20200111145928558"</f>
        <v>20200111145928558</v>
      </c>
      <c r="B840" t="str">
        <f>"1578725968546739"</f>
        <v>1578725968546739</v>
      </c>
      <c r="C840" t="s">
        <v>40</v>
      </c>
      <c r="D840">
        <v>4.2578149999999999</v>
      </c>
      <c r="E840">
        <v>0.55608930000000001</v>
      </c>
      <c r="F840" t="s">
        <v>41</v>
      </c>
      <c r="G840">
        <v>-402.80430000000001</v>
      </c>
      <c r="H840">
        <v>0.96941949999999999</v>
      </c>
      <c r="I840">
        <v>367.24209999999999</v>
      </c>
      <c r="J840">
        <v>-403.53699999999998</v>
      </c>
      <c r="K840">
        <v>1.054481</v>
      </c>
      <c r="L840">
        <v>367.27879999999999</v>
      </c>
      <c r="M840">
        <v>0.99993880000000002</v>
      </c>
      <c r="N840">
        <v>0</v>
      </c>
      <c r="O840">
        <v>5.9446879999999996E-4</v>
      </c>
      <c r="P840">
        <v>0.99411000000000005</v>
      </c>
      <c r="Q840">
        <v>2.9060840000000001E-2</v>
      </c>
      <c r="R840">
        <v>0.10440729999999999</v>
      </c>
      <c r="S840">
        <v>3.0403440000000002</v>
      </c>
      <c r="T840">
        <v>-0.305477</v>
      </c>
      <c r="U840">
        <v>-0.1303406</v>
      </c>
      <c r="V840">
        <v>-0.1038116</v>
      </c>
      <c r="W840">
        <v>4.006726E-2</v>
      </c>
      <c r="X840">
        <v>0.99378960000000005</v>
      </c>
      <c r="Y840">
        <v>4.320483E-2</v>
      </c>
      <c r="Z840">
        <v>-2.22361E-3</v>
      </c>
      <c r="AA840">
        <v>0.99906379999999995</v>
      </c>
      <c r="AB840">
        <v>21</v>
      </c>
      <c r="AC840">
        <v>0.73269999999996505</v>
      </c>
      <c r="AD840">
        <v>-8.5061499999999998E-2</v>
      </c>
      <c r="AE840">
        <v>-3.6699999999996097E-2</v>
      </c>
      <c r="AF840">
        <v>3.6642962842406701E-2</v>
      </c>
      <c r="AG840">
        <v>-8.5061499999999998E-2</v>
      </c>
      <c r="AH840">
        <v>0.72295866395773101</v>
      </c>
      <c r="AI840">
        <v>96.701901700534606</v>
      </c>
      <c r="AJ840">
        <v>87.098461958624796</v>
      </c>
      <c r="AK840">
        <v>0.72886720004378502</v>
      </c>
      <c r="AL840">
        <v>87.703700421125106</v>
      </c>
      <c r="AM840">
        <v>95.963508203996099</v>
      </c>
      <c r="AN840">
        <v>1.0000000013433099</v>
      </c>
    </row>
    <row r="841" spans="1:40" x14ac:dyDescent="0.3">
      <c r="A841" t="str">
        <f>"20200111145928575"</f>
        <v>20200111145928575</v>
      </c>
      <c r="B841" t="str">
        <f>"1578725968566262"</f>
        <v>1578725968566262</v>
      </c>
      <c r="C841" t="s">
        <v>40</v>
      </c>
      <c r="D841">
        <v>4.2464940000000002</v>
      </c>
      <c r="E841">
        <v>0.58398879999999997</v>
      </c>
      <c r="F841" t="s">
        <v>41</v>
      </c>
      <c r="G841">
        <v>-402.7987</v>
      </c>
      <c r="H841">
        <v>0.98066350000000002</v>
      </c>
      <c r="I841">
        <v>367.2466</v>
      </c>
      <c r="J841">
        <v>-403.38299999999998</v>
      </c>
      <c r="K841">
        <v>1.054486</v>
      </c>
      <c r="L841">
        <v>367.27879999999999</v>
      </c>
      <c r="M841">
        <v>0.99993849999999995</v>
      </c>
      <c r="N841">
        <v>0</v>
      </c>
      <c r="O841">
        <v>5.5263939999999998E-4</v>
      </c>
      <c r="P841">
        <v>0.99413430000000003</v>
      </c>
      <c r="Q841">
        <v>2.920327E-2</v>
      </c>
      <c r="R841">
        <v>0.1041367</v>
      </c>
      <c r="S841">
        <v>3.0404049999999998</v>
      </c>
      <c r="T841">
        <v>-0.3042841</v>
      </c>
      <c r="U841">
        <v>-0.130889899999999</v>
      </c>
      <c r="V841">
        <v>-0.1035826</v>
      </c>
      <c r="W841">
        <v>4.0218299999999998E-2</v>
      </c>
      <c r="X841">
        <v>0.99380740000000001</v>
      </c>
      <c r="Y841">
        <v>4.334358E-2</v>
      </c>
      <c r="Z841">
        <v>-2.2176660000000001E-3</v>
      </c>
      <c r="AA841">
        <v>0.9990578</v>
      </c>
      <c r="AB841">
        <v>21</v>
      </c>
      <c r="AC841">
        <v>0.58430000000004101</v>
      </c>
      <c r="AD841">
        <v>-7.3822499999999999E-2</v>
      </c>
      <c r="AE841">
        <v>-3.2199999999988897E-2</v>
      </c>
      <c r="AF841">
        <v>3.2013449002723501E-2</v>
      </c>
      <c r="AG841">
        <v>-7.3822499999999999E-2</v>
      </c>
      <c r="AH841">
        <v>0.57512930810213903</v>
      </c>
      <c r="AI841">
        <v>97.303198823511593</v>
      </c>
      <c r="AJ841">
        <v>86.814030130825103</v>
      </c>
      <c r="AK841">
        <v>0.58073087007782298</v>
      </c>
      <c r="AL841">
        <v>87.695039499642903</v>
      </c>
      <c r="AM841">
        <v>95.950341864809403</v>
      </c>
      <c r="AN841">
        <v>1.0000000074862001</v>
      </c>
    </row>
    <row r="842" spans="1:40" x14ac:dyDescent="0.3">
      <c r="A842" t="str">
        <f>"20200111145928587"</f>
        <v>20200111145928587</v>
      </c>
      <c r="B842" t="str">
        <f>"1578725968576020"</f>
        <v>1578725968576020</v>
      </c>
      <c r="C842" t="s">
        <v>40</v>
      </c>
      <c r="D842">
        <v>4.2835869999999998</v>
      </c>
      <c r="E842">
        <v>0.58282509999999998</v>
      </c>
      <c r="F842" t="s">
        <v>42</v>
      </c>
      <c r="G842">
        <v>-371.03910000000002</v>
      </c>
      <c r="H842" s="1">
        <v>-4.9042070000000004E-6</v>
      </c>
      <c r="I842">
        <v>363.54079999999999</v>
      </c>
      <c r="J842">
        <v>-403.2724</v>
      </c>
      <c r="K842">
        <v>1.054486</v>
      </c>
      <c r="L842">
        <v>367.27879999999999</v>
      </c>
      <c r="M842">
        <v>0.99993860000000001</v>
      </c>
      <c r="N842">
        <v>0</v>
      </c>
      <c r="O842">
        <v>5.2244819999999997E-4</v>
      </c>
      <c r="P842">
        <v>0.99411369999999999</v>
      </c>
      <c r="Q842">
        <v>2.9182240000000002E-2</v>
      </c>
      <c r="R842">
        <v>0.1043398</v>
      </c>
      <c r="S842">
        <v>3.0576479999999999</v>
      </c>
      <c r="T842">
        <v>-9.9686620000000004E-2</v>
      </c>
      <c r="U842">
        <v>-0.35336299999999998</v>
      </c>
      <c r="V842">
        <v>-0.1038158</v>
      </c>
      <c r="W842">
        <v>4.020257E-2</v>
      </c>
      <c r="X842">
        <v>0.99378370000000005</v>
      </c>
      <c r="Y842">
        <v>0.11526119999999999</v>
      </c>
      <c r="Z842">
        <v>-1.889143E-3</v>
      </c>
      <c r="AA842">
        <v>0.99333340000000003</v>
      </c>
      <c r="AB842">
        <v>21</v>
      </c>
      <c r="AC842">
        <v>32.2332999999999</v>
      </c>
      <c r="AD842">
        <v>-1.0544909042070001</v>
      </c>
      <c r="AE842">
        <v>-3.738</v>
      </c>
      <c r="AF842">
        <v>3.7508797254733199</v>
      </c>
      <c r="AG842">
        <v>-1.0544909042070001</v>
      </c>
      <c r="AH842">
        <v>32.1973413472952</v>
      </c>
      <c r="AI842">
        <v>91.863224326487696</v>
      </c>
      <c r="AJ842">
        <v>83.355190276748601</v>
      </c>
      <c r="AK842">
        <v>32.432234576363498</v>
      </c>
      <c r="AL842">
        <v>87.695941485268193</v>
      </c>
      <c r="AM842">
        <v>95.963782887250403</v>
      </c>
      <c r="AN842">
        <v>1.00000000467496</v>
      </c>
    </row>
    <row r="843" spans="1:40" x14ac:dyDescent="0.3">
      <c r="A843" t="str">
        <f>"20200111145928598"</f>
        <v>20200111145928598</v>
      </c>
      <c r="B843" t="str">
        <f>"1578725968596515"</f>
        <v>1578725968596515</v>
      </c>
      <c r="C843" t="s">
        <v>40</v>
      </c>
      <c r="D843">
        <v>4.2768519999999999</v>
      </c>
      <c r="E843">
        <v>0.58244010000000002</v>
      </c>
      <c r="F843" t="s">
        <v>42</v>
      </c>
      <c r="G843">
        <v>-372.12729999999999</v>
      </c>
      <c r="H843" s="1">
        <v>-4.3953390000000001E-6</v>
      </c>
      <c r="I843">
        <v>363.77769999999998</v>
      </c>
      <c r="J843">
        <v>-403.16250000000002</v>
      </c>
      <c r="K843">
        <v>1.054486</v>
      </c>
      <c r="L843">
        <v>367.27890000000002</v>
      </c>
      <c r="M843">
        <v>0.99993860000000001</v>
      </c>
      <c r="N843">
        <v>0</v>
      </c>
      <c r="O843">
        <v>4.9237769999999905E-4</v>
      </c>
      <c r="P843">
        <v>0.99408600000000003</v>
      </c>
      <c r="Q843">
        <v>2.9266230000000001E-2</v>
      </c>
      <c r="R843">
        <v>0.10457900000000001</v>
      </c>
      <c r="S843">
        <v>3.0568849999999999</v>
      </c>
      <c r="T843">
        <v>-0.10349800000000001</v>
      </c>
      <c r="U843">
        <v>-0.34362789999999999</v>
      </c>
      <c r="V843">
        <v>-0.1040846</v>
      </c>
      <c r="W843">
        <v>4.0291670000000002E-2</v>
      </c>
      <c r="X843">
        <v>0.99375190000000002</v>
      </c>
      <c r="Y843">
        <v>0.1121332</v>
      </c>
      <c r="Z843">
        <v>-1.9083839999999999E-3</v>
      </c>
      <c r="AA843">
        <v>0.9936914</v>
      </c>
      <c r="AB843">
        <v>21</v>
      </c>
      <c r="AC843">
        <v>31.0352</v>
      </c>
      <c r="AD843">
        <v>-1.0544903953389999</v>
      </c>
      <c r="AE843">
        <v>-3.5012000000000398</v>
      </c>
      <c r="AF843">
        <v>3.5124775222256202</v>
      </c>
      <c r="AG843">
        <v>-1.0544903953389999</v>
      </c>
      <c r="AH843">
        <v>30.998136057851902</v>
      </c>
      <c r="AI843">
        <v>91.935949379647198</v>
      </c>
      <c r="AJ843">
        <v>83.535244183412004</v>
      </c>
      <c r="AK843">
        <v>31.214321831478301</v>
      </c>
      <c r="AL843">
        <v>87.690832120710695</v>
      </c>
      <c r="AM843">
        <v>95.979302548326203</v>
      </c>
      <c r="AN843">
        <v>0.99999993069107695</v>
      </c>
    </row>
    <row r="844" spans="1:40" x14ac:dyDescent="0.3">
      <c r="A844" t="str">
        <f>"20200111145928610"</f>
        <v>20200111145928610</v>
      </c>
      <c r="B844" t="str">
        <f>"1578725968606275"</f>
        <v>1578725968606275</v>
      </c>
      <c r="C844" t="s">
        <v>40</v>
      </c>
      <c r="D844">
        <v>4.2631249999999996</v>
      </c>
      <c r="E844">
        <v>0.58249069999999903</v>
      </c>
      <c r="F844" t="s">
        <v>42</v>
      </c>
      <c r="G844">
        <v>-374.12270000000001</v>
      </c>
      <c r="H844" s="1">
        <v>-3.4906609999999999E-6</v>
      </c>
      <c r="I844">
        <v>364.05200000000002</v>
      </c>
      <c r="J844">
        <v>-403.06130000000002</v>
      </c>
      <c r="K844">
        <v>1.054484</v>
      </c>
      <c r="L844">
        <v>367.27890000000002</v>
      </c>
      <c r="M844">
        <v>0.99993849999999995</v>
      </c>
      <c r="N844">
        <v>0</v>
      </c>
      <c r="O844">
        <v>4.6475729999999999E-4</v>
      </c>
      <c r="P844">
        <v>0.99403540000000001</v>
      </c>
      <c r="Q844">
        <v>2.9683629999999999E-2</v>
      </c>
      <c r="R844">
        <v>0.1049419</v>
      </c>
      <c r="S844">
        <v>3.0568240000000002</v>
      </c>
      <c r="T844">
        <v>-0.110999</v>
      </c>
      <c r="U844">
        <v>-0.33966059999999998</v>
      </c>
      <c r="V844">
        <v>-0.1044751</v>
      </c>
      <c r="W844">
        <v>4.0713319999999997E-2</v>
      </c>
      <c r="X844">
        <v>0.99369379999999996</v>
      </c>
      <c r="Y844">
        <v>0.1108254</v>
      </c>
      <c r="Z844">
        <v>-2.0221309999999999E-3</v>
      </c>
      <c r="AA844">
        <v>0.99383779999999999</v>
      </c>
      <c r="AB844">
        <v>21</v>
      </c>
      <c r="AC844">
        <v>28.938600000000001</v>
      </c>
      <c r="AD844">
        <v>-1.054487490661</v>
      </c>
      <c r="AE844">
        <v>-3.2269000000000498</v>
      </c>
      <c r="AF844">
        <v>3.2361058208463298</v>
      </c>
      <c r="AG844">
        <v>-1.054487490661</v>
      </c>
      <c r="AH844">
        <v>28.899196393376599</v>
      </c>
      <c r="AI844">
        <v>92.076739886706306</v>
      </c>
      <c r="AJ844">
        <v>83.610687691139006</v>
      </c>
      <c r="AK844">
        <v>29.0989325738011</v>
      </c>
      <c r="AL844">
        <v>87.666653662450003</v>
      </c>
      <c r="AM844">
        <v>96.001920347568799</v>
      </c>
      <c r="AN844">
        <v>0.999999994551936</v>
      </c>
    </row>
    <row r="845" spans="1:40" x14ac:dyDescent="0.3">
      <c r="A845" t="str">
        <f>"20200111145928622"</f>
        <v>20200111145928622</v>
      </c>
      <c r="B845" t="str">
        <f>"1578725968616035"</f>
        <v>1578725968616035</v>
      </c>
      <c r="C845" t="s">
        <v>40</v>
      </c>
      <c r="D845">
        <v>4.2483300000000002</v>
      </c>
      <c r="E845">
        <v>0.5824338</v>
      </c>
      <c r="F845" t="s">
        <v>42</v>
      </c>
      <c r="G845">
        <v>-373.39179999999999</v>
      </c>
      <c r="H845" s="1">
        <v>-3.8152710000000004E-6</v>
      </c>
      <c r="I845">
        <v>363.98970000000003</v>
      </c>
      <c r="J845">
        <v>-402.95080000000002</v>
      </c>
      <c r="K845">
        <v>1.0544849999999999</v>
      </c>
      <c r="L845">
        <v>367.27890000000002</v>
      </c>
      <c r="M845">
        <v>0.99993840000000001</v>
      </c>
      <c r="N845">
        <v>0</v>
      </c>
      <c r="O845">
        <v>4.3469130000000001E-4</v>
      </c>
      <c r="P845">
        <v>0.99398969999999998</v>
      </c>
      <c r="Q845">
        <v>2.9533799999999898E-2</v>
      </c>
      <c r="R845">
        <v>0.10541639999999999</v>
      </c>
      <c r="S845">
        <v>3.0570369999999998</v>
      </c>
      <c r="T845">
        <v>-0.1086506</v>
      </c>
      <c r="U845">
        <v>-0.33889770000000002</v>
      </c>
      <c r="V845">
        <v>-0.1049794</v>
      </c>
      <c r="W845">
        <v>4.0567539999999999E-2</v>
      </c>
      <c r="X845">
        <v>0.99364660000000005</v>
      </c>
      <c r="Y845">
        <v>0.11054609999999999</v>
      </c>
      <c r="Z845">
        <v>-1.9732539999999998E-3</v>
      </c>
      <c r="AA845">
        <v>0.99386909999999895</v>
      </c>
      <c r="AB845">
        <v>21</v>
      </c>
      <c r="AC845">
        <v>29.559000000000001</v>
      </c>
      <c r="AD845">
        <v>-1.0544888152709999</v>
      </c>
      <c r="AE845">
        <v>-3.2891999999999899</v>
      </c>
      <c r="AF845">
        <v>3.2979038191640599</v>
      </c>
      <c r="AG845">
        <v>-1.0544888152709999</v>
      </c>
      <c r="AH845">
        <v>29.520458009454501</v>
      </c>
      <c r="AI845">
        <v>92.033133332465596</v>
      </c>
      <c r="AJ845">
        <v>83.625582634951598</v>
      </c>
      <c r="AK845">
        <v>29.722812070023799</v>
      </c>
      <c r="AL845">
        <v>87.675013119992002</v>
      </c>
      <c r="AM845">
        <v>96.030962904586801</v>
      </c>
      <c r="AN845">
        <v>0.99999998270878498</v>
      </c>
    </row>
    <row r="846" spans="1:40" x14ac:dyDescent="0.3">
      <c r="A846" t="str">
        <f>"20200111145928633"</f>
        <v>20200111145928633</v>
      </c>
      <c r="B846" t="str">
        <f>"1578725968626771"</f>
        <v>1578725968626771</v>
      </c>
      <c r="C846" t="s">
        <v>40</v>
      </c>
      <c r="D846">
        <v>4.2666649999999997</v>
      </c>
      <c r="E846">
        <v>0.58252720000000002</v>
      </c>
      <c r="F846" t="s">
        <v>42</v>
      </c>
      <c r="G846">
        <v>-372.69189999999998</v>
      </c>
      <c r="H846" s="1">
        <v>-4.1236319999999998E-6</v>
      </c>
      <c r="I846">
        <v>363.94389999999999</v>
      </c>
      <c r="J846">
        <v>-402.83580000000001</v>
      </c>
      <c r="K846">
        <v>1.0544849999999999</v>
      </c>
      <c r="L846">
        <v>367.27890000000002</v>
      </c>
      <c r="M846">
        <v>0.99993840000000001</v>
      </c>
      <c r="N846">
        <v>0</v>
      </c>
      <c r="O846">
        <v>4.0366890000000002E-4</v>
      </c>
      <c r="P846">
        <v>0.99396110000000004</v>
      </c>
      <c r="Q846">
        <v>2.9364129999999999E-2</v>
      </c>
      <c r="R846">
        <v>0.1057316</v>
      </c>
      <c r="S846">
        <v>3.057007</v>
      </c>
      <c r="T846">
        <v>-0.10653310000000001</v>
      </c>
      <c r="U846">
        <v>-0.33691409999999899</v>
      </c>
      <c r="V846">
        <v>-0.1053255</v>
      </c>
      <c r="W846">
        <v>4.0402680000000003E-2</v>
      </c>
      <c r="X846">
        <v>0.99361670000000002</v>
      </c>
      <c r="Y846">
        <v>0.1098823</v>
      </c>
      <c r="Z846">
        <v>-1.9223020000000001E-3</v>
      </c>
      <c r="AA846">
        <v>0.99394269999999996</v>
      </c>
      <c r="AB846">
        <v>21</v>
      </c>
      <c r="AC846">
        <v>30.143899999999999</v>
      </c>
      <c r="AD846">
        <v>-1.054489123632</v>
      </c>
      <c r="AE846">
        <v>-3.3350000000000302</v>
      </c>
      <c r="AF846">
        <v>3.3431270202341001</v>
      </c>
      <c r="AG846">
        <v>-1.054489123632</v>
      </c>
      <c r="AH846">
        <v>30.106154945900599</v>
      </c>
      <c r="AI846">
        <v>91.993759884065597</v>
      </c>
      <c r="AJ846">
        <v>83.663570571289995</v>
      </c>
      <c r="AK846">
        <v>30.309553134479799</v>
      </c>
      <c r="AL846">
        <v>87.684466674482294</v>
      </c>
      <c r="AM846">
        <v>96.050879475501503</v>
      </c>
      <c r="AN846">
        <v>0.99999999201016099</v>
      </c>
    </row>
    <row r="847" spans="1:40" x14ac:dyDescent="0.3">
      <c r="A847" t="str">
        <f>"20200111145928645"</f>
        <v>20200111145928645</v>
      </c>
      <c r="B847" t="str">
        <f>"1578725968636532"</f>
        <v>1578725968636532</v>
      </c>
      <c r="C847" t="s">
        <v>40</v>
      </c>
      <c r="D847">
        <v>4.2689399999999997</v>
      </c>
      <c r="E847">
        <v>0.58268109999999995</v>
      </c>
      <c r="F847" t="s">
        <v>42</v>
      </c>
      <c r="G847">
        <v>-372.93090000000001</v>
      </c>
      <c r="H847" s="1">
        <v>-4.01381999999999E-6</v>
      </c>
      <c r="I847">
        <v>363.98500000000001</v>
      </c>
      <c r="J847">
        <v>-402.73630000000003</v>
      </c>
      <c r="K847">
        <v>1.0544830000000001</v>
      </c>
      <c r="L847">
        <v>367.27890000000002</v>
      </c>
      <c r="M847">
        <v>0.99993840000000001</v>
      </c>
      <c r="N847">
        <v>0</v>
      </c>
      <c r="O847">
        <v>3.7652630000000001E-4</v>
      </c>
      <c r="P847">
        <v>0.99396530000000005</v>
      </c>
      <c r="Q847">
        <v>2.912787E-2</v>
      </c>
      <c r="R847">
        <v>0.105757</v>
      </c>
      <c r="S847">
        <v>3.057159</v>
      </c>
      <c r="T847">
        <v>-0.1077996</v>
      </c>
      <c r="U847">
        <v>-0.336731</v>
      </c>
      <c r="V847">
        <v>-0.1053777</v>
      </c>
      <c r="W847">
        <v>4.0170169999999998E-2</v>
      </c>
      <c r="X847">
        <v>0.99362059999999996</v>
      </c>
      <c r="Y847">
        <v>0.1097896</v>
      </c>
      <c r="Z847">
        <v>-1.9424690000000001E-3</v>
      </c>
      <c r="AA847">
        <v>0.99395290000000003</v>
      </c>
      <c r="AB847">
        <v>21</v>
      </c>
      <c r="AC847">
        <v>29.805399999999999</v>
      </c>
      <c r="AD847">
        <v>-1.05448701382</v>
      </c>
      <c r="AE847">
        <v>-3.2938999999999998</v>
      </c>
      <c r="AF847">
        <v>3.3010409884452598</v>
      </c>
      <c r="AG847">
        <v>-1.05448701382</v>
      </c>
      <c r="AH847">
        <v>29.7673480049929</v>
      </c>
      <c r="AI847">
        <v>92.016462980207606</v>
      </c>
      <c r="AJ847">
        <v>83.672057038504704</v>
      </c>
      <c r="AK847">
        <v>29.9683803653128</v>
      </c>
      <c r="AL847">
        <v>87.697799357344806</v>
      </c>
      <c r="AM847">
        <v>96.053832481192202</v>
      </c>
      <c r="AN847">
        <v>0.99999999947973905</v>
      </c>
    </row>
    <row r="848" spans="1:40" x14ac:dyDescent="0.3">
      <c r="A848" t="str">
        <f>"20200111145928657"</f>
        <v>20200111145928657</v>
      </c>
      <c r="B848" t="str">
        <f>"1578725968646291"</f>
        <v>1578725968646291</v>
      </c>
      <c r="C848" t="s">
        <v>40</v>
      </c>
      <c r="D848">
        <v>4.2482379999999997</v>
      </c>
      <c r="E848">
        <v>0.58332709999999999</v>
      </c>
      <c r="F848" t="s">
        <v>42</v>
      </c>
      <c r="G848">
        <v>-372.84519999999998</v>
      </c>
      <c r="H848" s="1">
        <v>-4.0528420000000003E-6</v>
      </c>
      <c r="I848">
        <v>363.97239999999999</v>
      </c>
      <c r="J848">
        <v>-402.62799999999999</v>
      </c>
      <c r="K848">
        <v>1.0544830000000001</v>
      </c>
      <c r="L848">
        <v>367.27890000000002</v>
      </c>
      <c r="M848">
        <v>0.99993840000000001</v>
      </c>
      <c r="N848">
        <v>0</v>
      </c>
      <c r="O848">
        <v>3.4699980000000002E-4</v>
      </c>
      <c r="P848">
        <v>0.9939559</v>
      </c>
      <c r="Q848">
        <v>2.8959120000000001E-2</v>
      </c>
      <c r="R848">
        <v>0.1058925</v>
      </c>
      <c r="S848">
        <v>3.057404</v>
      </c>
      <c r="T848">
        <v>-0.1078577</v>
      </c>
      <c r="U848">
        <v>-0.33819579999999999</v>
      </c>
      <c r="V848">
        <v>-0.10554330000000001</v>
      </c>
      <c r="W848">
        <v>4.000484E-2</v>
      </c>
      <c r="X848">
        <v>0.99360970000000004</v>
      </c>
      <c r="Y848">
        <v>0.11022170000000001</v>
      </c>
      <c r="Z848">
        <v>-1.9498689999999999E-3</v>
      </c>
      <c r="AA848">
        <v>0.99390509999999999</v>
      </c>
      <c r="AB848">
        <v>21</v>
      </c>
      <c r="AC848">
        <v>29.782800000000002</v>
      </c>
      <c r="AD848">
        <v>-1.0544870528420001</v>
      </c>
      <c r="AE848">
        <v>-3.3065000000000202</v>
      </c>
      <c r="AF848">
        <v>3.31273285461464</v>
      </c>
      <c r="AG848">
        <v>-1.0544870528420001</v>
      </c>
      <c r="AH848">
        <v>29.7448173171903</v>
      </c>
      <c r="AI848">
        <v>92.017883599315496</v>
      </c>
      <c r="AJ848">
        <v>83.645056339243396</v>
      </c>
      <c r="AK848">
        <v>29.947292016869898</v>
      </c>
      <c r="AL848">
        <v>87.707279703326407</v>
      </c>
      <c r="AM848">
        <v>96.063341224967303</v>
      </c>
      <c r="AN848">
        <v>1.0000000056662</v>
      </c>
    </row>
    <row r="849" spans="1:40" x14ac:dyDescent="0.3">
      <c r="A849" t="str">
        <f>"20200111145928668"</f>
        <v>20200111145928668</v>
      </c>
      <c r="B849" t="str">
        <f>"1578725968666787"</f>
        <v>1578725968666787</v>
      </c>
      <c r="C849" t="s">
        <v>40</v>
      </c>
      <c r="D849">
        <v>4.2616480000000001</v>
      </c>
      <c r="E849">
        <v>0.58442190000000005</v>
      </c>
      <c r="F849" t="s">
        <v>42</v>
      </c>
      <c r="G849">
        <v>-373.5093</v>
      </c>
      <c r="H849" s="1">
        <v>-3.760414E-6</v>
      </c>
      <c r="I849">
        <v>364.01490000000001</v>
      </c>
      <c r="J849">
        <v>-402.52679999999998</v>
      </c>
      <c r="K849">
        <v>1.0544830000000001</v>
      </c>
      <c r="L849">
        <v>367.27890000000002</v>
      </c>
      <c r="M849">
        <v>0.99993840000000001</v>
      </c>
      <c r="N849">
        <v>0</v>
      </c>
      <c r="O849">
        <v>3.1968190000000003E-4</v>
      </c>
      <c r="P849">
        <v>0.99395789999999995</v>
      </c>
      <c r="Q849">
        <v>2.8936920000000001E-2</v>
      </c>
      <c r="R849">
        <v>0.1058803</v>
      </c>
      <c r="S849">
        <v>3.0579830000000001</v>
      </c>
      <c r="T849">
        <v>-0.11073959999999999</v>
      </c>
      <c r="U849">
        <v>-0.34277340000000001</v>
      </c>
      <c r="V849">
        <v>-0.1055581</v>
      </c>
      <c r="W849">
        <v>3.9986260000000003E-2</v>
      </c>
      <c r="X849">
        <v>0.99360890000000002</v>
      </c>
      <c r="Y849">
        <v>0.1116389</v>
      </c>
      <c r="Z849">
        <v>-2.025981E-3</v>
      </c>
      <c r="AA849">
        <v>0.99374680000000004</v>
      </c>
      <c r="AB849">
        <v>21</v>
      </c>
      <c r="AC849">
        <v>29.017499999999899</v>
      </c>
      <c r="AD849">
        <v>-1.054486760414</v>
      </c>
      <c r="AE849">
        <v>-3.2639999999999998</v>
      </c>
      <c r="AF849">
        <v>3.2690137422898999</v>
      </c>
      <c r="AG849">
        <v>-1.054486760414</v>
      </c>
      <c r="AH849">
        <v>28.978664726934799</v>
      </c>
      <c r="AI849">
        <v>92.070858092304803</v>
      </c>
      <c r="AJ849">
        <v>83.563809710909098</v>
      </c>
      <c r="AK849">
        <v>29.181525020657499</v>
      </c>
      <c r="AL849">
        <v>87.708345166744493</v>
      </c>
      <c r="AM849">
        <v>96.064189979096199</v>
      </c>
      <c r="AN849">
        <v>1.0000000298117999</v>
      </c>
    </row>
    <row r="850" spans="1:40" x14ac:dyDescent="0.3">
      <c r="A850" t="str">
        <f>"20200111145928681"</f>
        <v>20200111145928681</v>
      </c>
      <c r="B850" t="str">
        <f>"1578725968676549"</f>
        <v>1578725968676549</v>
      </c>
      <c r="C850" t="s">
        <v>40</v>
      </c>
      <c r="D850">
        <v>4.2455790000000002</v>
      </c>
      <c r="E850">
        <v>0.58495839999999999</v>
      </c>
      <c r="F850" t="s">
        <v>42</v>
      </c>
      <c r="G850">
        <v>-375.03890000000001</v>
      </c>
      <c r="H850" s="1">
        <v>-3.136801E-6</v>
      </c>
      <c r="I850">
        <v>364.1198</v>
      </c>
      <c r="J850">
        <v>-402.40839999999997</v>
      </c>
      <c r="K850">
        <v>1.0544849999999999</v>
      </c>
      <c r="L850">
        <v>367.279</v>
      </c>
      <c r="M850">
        <v>0.99993840000000001</v>
      </c>
      <c r="N850">
        <v>0</v>
      </c>
      <c r="O850">
        <v>2.8759320000000001E-4</v>
      </c>
      <c r="P850">
        <v>0.9939557</v>
      </c>
      <c r="Q850">
        <v>2.902391E-2</v>
      </c>
      <c r="R850">
        <v>0.1058767</v>
      </c>
      <c r="S850">
        <v>3.059113</v>
      </c>
      <c r="T850">
        <v>-0.1173532</v>
      </c>
      <c r="U850">
        <v>-0.3515625</v>
      </c>
      <c r="V850">
        <v>-0.1055861</v>
      </c>
      <c r="W850">
        <v>4.0077269999999998E-2</v>
      </c>
      <c r="X850">
        <v>0.99360219999999999</v>
      </c>
      <c r="Y850">
        <v>0.114374</v>
      </c>
      <c r="Z850">
        <v>-2.196801E-3</v>
      </c>
      <c r="AA850">
        <v>0.99343530000000002</v>
      </c>
      <c r="AB850">
        <v>21</v>
      </c>
      <c r="AC850">
        <v>27.369499999999899</v>
      </c>
      <c r="AD850">
        <v>-1.054488136801</v>
      </c>
      <c r="AE850">
        <v>-3.15919999999999</v>
      </c>
      <c r="AF850">
        <v>3.1624390478710702</v>
      </c>
      <c r="AG850">
        <v>-1.054488136801</v>
      </c>
      <c r="AH850">
        <v>27.328557238964802</v>
      </c>
      <c r="AI850">
        <v>92.195060876056402</v>
      </c>
      <c r="AJ850">
        <v>83.399137099840303</v>
      </c>
      <c r="AK850">
        <v>27.531127959557601</v>
      </c>
      <c r="AL850">
        <v>87.703126361817695</v>
      </c>
      <c r="AM850">
        <v>96.065827153263697</v>
      </c>
      <c r="AN850">
        <v>0.99999997196435098</v>
      </c>
    </row>
    <row r="851" spans="1:40" x14ac:dyDescent="0.3">
      <c r="A851" t="str">
        <f>"20200111145928697"</f>
        <v>20200111145928697</v>
      </c>
      <c r="B851" t="str">
        <f>"1578725968686307"</f>
        <v>1578725968686307</v>
      </c>
      <c r="C851" t="s">
        <v>40</v>
      </c>
      <c r="D851">
        <v>4.2490930000000002</v>
      </c>
      <c r="E851">
        <v>0.58519980000000005</v>
      </c>
      <c r="F851" t="s">
        <v>42</v>
      </c>
      <c r="G851">
        <v>-374.84780000000001</v>
      </c>
      <c r="H851" s="1">
        <v>-3.214389E-6</v>
      </c>
      <c r="I851">
        <v>364.0727</v>
      </c>
      <c r="J851">
        <v>-402.25360000000001</v>
      </c>
      <c r="K851">
        <v>1.054487</v>
      </c>
      <c r="L851">
        <v>367.27890000000002</v>
      </c>
      <c r="M851">
        <v>0.99993829999999995</v>
      </c>
      <c r="N851">
        <v>0</v>
      </c>
      <c r="O851">
        <v>2.4596060000000002E-4</v>
      </c>
      <c r="P851">
        <v>0.99391479999999999</v>
      </c>
      <c r="Q851">
        <v>2.927416E-2</v>
      </c>
      <c r="R851">
        <v>0.10619149999999999</v>
      </c>
      <c r="S851">
        <v>3.0595699999999999</v>
      </c>
      <c r="T851">
        <v>-0.1170614</v>
      </c>
      <c r="U851">
        <v>-0.35592649999999998</v>
      </c>
      <c r="V851">
        <v>-0.1059422</v>
      </c>
      <c r="W851">
        <v>4.0331699999999998E-2</v>
      </c>
      <c r="X851">
        <v>0.99355400000000005</v>
      </c>
      <c r="Y851">
        <v>0.1157135</v>
      </c>
      <c r="Z851">
        <v>-2.21478E-3</v>
      </c>
      <c r="AA851">
        <v>0.99328019999999995</v>
      </c>
      <c r="AB851">
        <v>21</v>
      </c>
      <c r="AC851">
        <v>27.405799999999999</v>
      </c>
      <c r="AD851">
        <v>-1.054490214389</v>
      </c>
      <c r="AE851">
        <v>-3.2062000000000199</v>
      </c>
      <c r="AF851">
        <v>3.2082554640544299</v>
      </c>
      <c r="AG851">
        <v>-1.054490214389</v>
      </c>
      <c r="AH851">
        <v>27.365044348814301</v>
      </c>
      <c r="AI851">
        <v>92.191758763299902</v>
      </c>
      <c r="AJ851">
        <v>83.313214761777601</v>
      </c>
      <c r="AK851">
        <v>27.572640514601702</v>
      </c>
      <c r="AL851">
        <v>87.688536803313895</v>
      </c>
      <c r="AM851">
        <v>96.086424533931293</v>
      </c>
      <c r="AN851">
        <v>0.99999997334086399</v>
      </c>
    </row>
    <row r="852" spans="1:40" x14ac:dyDescent="0.3">
      <c r="A852" t="str">
        <f>"20200111145928708"</f>
        <v>20200111145928708</v>
      </c>
      <c r="B852" t="str">
        <f>"1578725968706803"</f>
        <v>1578725968706803</v>
      </c>
      <c r="C852" t="s">
        <v>40</v>
      </c>
      <c r="D852">
        <v>4.2755679999999998</v>
      </c>
      <c r="E852">
        <v>0.58566419999999997</v>
      </c>
      <c r="F852" t="s">
        <v>42</v>
      </c>
      <c r="G852">
        <v>-374.70609999999999</v>
      </c>
      <c r="H852" s="1">
        <v>-3.2643670000000002E-6</v>
      </c>
      <c r="I852">
        <v>364.06599999999997</v>
      </c>
      <c r="J852">
        <v>-402.15100000000001</v>
      </c>
      <c r="K852">
        <v>1.0544880000000001</v>
      </c>
      <c r="L852">
        <v>367.27890000000002</v>
      </c>
      <c r="M852">
        <v>0.9999382</v>
      </c>
      <c r="N852">
        <v>0</v>
      </c>
      <c r="O852">
        <v>2.1811089999999999E-4</v>
      </c>
      <c r="P852">
        <v>0.99390000000000001</v>
      </c>
      <c r="Q852">
        <v>2.9319399999999999E-2</v>
      </c>
      <c r="R852">
        <v>0.1063163</v>
      </c>
      <c r="S852">
        <v>3.0599370000000001</v>
      </c>
      <c r="T852">
        <v>-0.1171312</v>
      </c>
      <c r="U852">
        <v>-0.35687259999999998</v>
      </c>
      <c r="V852">
        <v>-0.1060946</v>
      </c>
      <c r="W852">
        <v>4.0379810000000002E-2</v>
      </c>
      <c r="X852">
        <v>0.99353579999999997</v>
      </c>
      <c r="Y852">
        <v>0.11597499999999999</v>
      </c>
      <c r="Z852">
        <v>-2.2197200000000001E-3</v>
      </c>
      <c r="AA852">
        <v>0.99324970000000001</v>
      </c>
      <c r="AB852">
        <v>21</v>
      </c>
      <c r="AC852">
        <v>27.444900000000001</v>
      </c>
      <c r="AD852">
        <v>-1.0544912643669999</v>
      </c>
      <c r="AE852">
        <v>-3.2129000000000398</v>
      </c>
      <c r="AF852">
        <v>3.2142054741682702</v>
      </c>
      <c r="AG852">
        <v>-1.0544912643669999</v>
      </c>
      <c r="AH852">
        <v>27.404289637406102</v>
      </c>
      <c r="AI852">
        <v>92.188612759421403</v>
      </c>
      <c r="AJ852">
        <v>83.310432740029199</v>
      </c>
      <c r="AK852">
        <v>27.612282759446799</v>
      </c>
      <c r="AL852">
        <v>87.685778093458495</v>
      </c>
      <c r="AM852">
        <v>96.095224932376695</v>
      </c>
      <c r="AN852">
        <v>0.999999989543218</v>
      </c>
    </row>
    <row r="853" spans="1:40" x14ac:dyDescent="0.3">
      <c r="A853" t="str">
        <f>"20200111145928754"</f>
        <v>20200111145928754</v>
      </c>
      <c r="B853" t="str">
        <f>"1578725968746819"</f>
        <v>1578725968746819</v>
      </c>
      <c r="C853" t="s">
        <v>40</v>
      </c>
      <c r="D853">
        <v>4.3131170000000001</v>
      </c>
      <c r="E853">
        <v>0.5850708</v>
      </c>
      <c r="F853" t="s">
        <v>42</v>
      </c>
      <c r="G853">
        <v>-375.101</v>
      </c>
      <c r="H853" s="1">
        <v>-3.1215909999999999E-6</v>
      </c>
      <c r="I853">
        <v>364.0976</v>
      </c>
      <c r="J853">
        <v>-401.72370000000001</v>
      </c>
      <c r="K853">
        <v>1.0544990000000001</v>
      </c>
      <c r="L853">
        <v>367.27879999999999</v>
      </c>
      <c r="M853">
        <v>0.9999382</v>
      </c>
      <c r="N853">
        <v>0</v>
      </c>
      <c r="O853">
        <v>1.015889E-4</v>
      </c>
      <c r="P853">
        <v>0.9939173</v>
      </c>
      <c r="Q853">
        <v>3.0048200000000001E-2</v>
      </c>
      <c r="R853">
        <v>0.105952</v>
      </c>
      <c r="S853">
        <v>3.0603940000000001</v>
      </c>
      <c r="T853">
        <v>-0.11930350000000001</v>
      </c>
      <c r="U853">
        <v>-0.35992429999999997</v>
      </c>
      <c r="V853">
        <v>-0.10584639999999999</v>
      </c>
      <c r="W853">
        <v>4.1119250000000003E-2</v>
      </c>
      <c r="X853">
        <v>0.99353190000000002</v>
      </c>
      <c r="Y853">
        <v>0.1168155</v>
      </c>
      <c r="Z853">
        <v>-2.272184E-3</v>
      </c>
      <c r="AA853">
        <v>0.99315100000000001</v>
      </c>
      <c r="AB853">
        <v>21</v>
      </c>
      <c r="AC853">
        <v>26.622699999999998</v>
      </c>
      <c r="AD853">
        <v>-1.054502121591</v>
      </c>
      <c r="AE853">
        <v>-3.1811999999999898</v>
      </c>
      <c r="AF853">
        <v>3.1789874704576602</v>
      </c>
      <c r="AG853">
        <v>-1.054502121591</v>
      </c>
      <c r="AH853">
        <v>26.581260830193699</v>
      </c>
      <c r="AI853">
        <v>92.255725237778506</v>
      </c>
      <c r="AJ853">
        <v>83.1800997065411</v>
      </c>
      <c r="AK853">
        <v>26.791441980314499</v>
      </c>
      <c r="AL853">
        <v>87.643375975728205</v>
      </c>
      <c r="AM853">
        <v>96.0810962893283</v>
      </c>
      <c r="AN853">
        <v>0.99999994471556397</v>
      </c>
    </row>
    <row r="854" spans="1:40" x14ac:dyDescent="0.3">
      <c r="A854" t="str">
        <f>"20200111145928765"</f>
        <v>20200111145928765</v>
      </c>
      <c r="B854" t="str">
        <f>"1578725968756579"</f>
        <v>1578725968756579</v>
      </c>
      <c r="C854" t="s">
        <v>40</v>
      </c>
      <c r="D854">
        <v>4.2829499999999996</v>
      </c>
      <c r="E854">
        <v>0.58471039999999996</v>
      </c>
      <c r="F854" t="s">
        <v>42</v>
      </c>
      <c r="G854">
        <v>-372.94900000000001</v>
      </c>
      <c r="H854" s="1">
        <v>-4.01647E-6</v>
      </c>
      <c r="I854">
        <v>363.9264</v>
      </c>
      <c r="J854">
        <v>-401.62630000000001</v>
      </c>
      <c r="K854">
        <v>1.0545</v>
      </c>
      <c r="L854">
        <v>367.27879999999999</v>
      </c>
      <c r="M854">
        <v>0.9999382</v>
      </c>
      <c r="N854">
        <v>0</v>
      </c>
      <c r="O854" s="1">
        <v>7.5112720000000005E-5</v>
      </c>
      <c r="P854">
        <v>0.99392769999999997</v>
      </c>
      <c r="Q854">
        <v>2.9960779999999999E-2</v>
      </c>
      <c r="R854">
        <v>0.1058796</v>
      </c>
      <c r="S854">
        <v>3.0597530000000002</v>
      </c>
      <c r="T854">
        <v>-0.1121301</v>
      </c>
      <c r="U854">
        <v>-0.35647579999999901</v>
      </c>
      <c r="V854">
        <v>-0.1057999</v>
      </c>
      <c r="W854">
        <v>4.103445E-2</v>
      </c>
      <c r="X854">
        <v>0.99354039999999999</v>
      </c>
      <c r="Y854">
        <v>0.11572</v>
      </c>
      <c r="Z854">
        <v>-2.1152760000000001E-3</v>
      </c>
      <c r="AA854">
        <v>0.99327960000000004</v>
      </c>
      <c r="AB854">
        <v>21</v>
      </c>
      <c r="AC854">
        <v>28.677299999999999</v>
      </c>
      <c r="AD854">
        <v>-1.0545040164699999</v>
      </c>
      <c r="AE854">
        <v>-3.3523999999999798</v>
      </c>
      <c r="AF854">
        <v>3.3500854552375898</v>
      </c>
      <c r="AG854">
        <v>-1.0545040164699999</v>
      </c>
      <c r="AH854">
        <v>28.638846572002301</v>
      </c>
      <c r="AI854">
        <v>92.094453049026697</v>
      </c>
      <c r="AJ854">
        <v>83.328035333990101</v>
      </c>
      <c r="AK854">
        <v>28.853398140476099</v>
      </c>
      <c r="AL854">
        <v>87.648238858733393</v>
      </c>
      <c r="AM854">
        <v>96.0783931583412</v>
      </c>
      <c r="AN854">
        <v>0.999999985679486</v>
      </c>
    </row>
    <row r="855" spans="1:40" x14ac:dyDescent="0.3">
      <c r="A855" t="str">
        <f>"20200111145928777"</f>
        <v>20200111145928777</v>
      </c>
      <c r="B855" t="str">
        <f>"1578725968766339"</f>
        <v>1578725968766339</v>
      </c>
      <c r="C855" t="s">
        <v>40</v>
      </c>
      <c r="D855">
        <v>4.2901480000000003</v>
      </c>
      <c r="E855">
        <v>0.58426239999999996</v>
      </c>
      <c r="F855" t="s">
        <v>42</v>
      </c>
      <c r="G855">
        <v>-371.26560000000001</v>
      </c>
      <c r="H855" s="1">
        <v>-4.7667389999999996E-6</v>
      </c>
      <c r="I855">
        <v>363.7679</v>
      </c>
      <c r="J855">
        <v>-401.51389999999998</v>
      </c>
      <c r="K855">
        <v>1.054497</v>
      </c>
      <c r="L855">
        <v>367.27879999999999</v>
      </c>
      <c r="M855">
        <v>0.99993799999999999</v>
      </c>
      <c r="N855">
        <v>0</v>
      </c>
      <c r="O855" s="1">
        <v>4.4581859999999998E-5</v>
      </c>
      <c r="P855">
        <v>0.99394700000000002</v>
      </c>
      <c r="Q855">
        <v>3.0043549999999999E-2</v>
      </c>
      <c r="R855">
        <v>0.105673</v>
      </c>
      <c r="S855">
        <v>3.0592039999999998</v>
      </c>
      <c r="T855">
        <v>-0.10625370000000001</v>
      </c>
      <c r="U855">
        <v>-0.35375980000000001</v>
      </c>
      <c r="V855">
        <v>-0.1056238</v>
      </c>
      <c r="W855">
        <v>4.1119250000000003E-2</v>
      </c>
      <c r="X855">
        <v>0.99355570000000004</v>
      </c>
      <c r="Y855">
        <v>0.1148483</v>
      </c>
      <c r="Z855">
        <v>-1.9888089999999998E-3</v>
      </c>
      <c r="AA855">
        <v>0.99338110000000002</v>
      </c>
      <c r="AB855">
        <v>21</v>
      </c>
      <c r="AC855">
        <v>30.248299999999901</v>
      </c>
      <c r="AD855">
        <v>-1.054501766739</v>
      </c>
      <c r="AE855">
        <v>-3.5108999999999901</v>
      </c>
      <c r="AF855">
        <v>3.5080418657579902</v>
      </c>
      <c r="AG855">
        <v>-1.054501766739</v>
      </c>
      <c r="AH855">
        <v>30.211914205626599</v>
      </c>
      <c r="AI855">
        <v>91.985681699221004</v>
      </c>
      <c r="AJ855">
        <v>83.3767878882622</v>
      </c>
      <c r="AK855">
        <v>30.433174196526199</v>
      </c>
      <c r="AL855">
        <v>87.643376234417403</v>
      </c>
      <c r="AM855">
        <v>96.068258701061595</v>
      </c>
      <c r="AN855">
        <v>1.00000005442474</v>
      </c>
    </row>
    <row r="856" spans="1:40" x14ac:dyDescent="0.3">
      <c r="A856" t="str">
        <f>"20200111145928789"</f>
        <v>20200111145928789</v>
      </c>
      <c r="B856" t="str">
        <f>"1578725968786835"</f>
        <v>1578725968786835</v>
      </c>
      <c r="C856" t="s">
        <v>40</v>
      </c>
      <c r="D856">
        <v>4.3145249999999997</v>
      </c>
      <c r="E856">
        <v>0.58363710000000002</v>
      </c>
      <c r="F856" t="s">
        <v>42</v>
      </c>
      <c r="G856">
        <v>-370.03910000000002</v>
      </c>
      <c r="H856" s="1">
        <v>-5.3111319999999999E-6</v>
      </c>
      <c r="I856">
        <v>363.66520000000003</v>
      </c>
      <c r="J856">
        <v>-401.40359999999998</v>
      </c>
      <c r="K856">
        <v>1.054497</v>
      </c>
      <c r="L856">
        <v>367.27879999999999</v>
      </c>
      <c r="M856">
        <v>0.99993799999999999</v>
      </c>
      <c r="N856">
        <v>0</v>
      </c>
      <c r="O856" s="1">
        <v>1.4588300000000001E-5</v>
      </c>
      <c r="P856">
        <v>0.99395670000000003</v>
      </c>
      <c r="Q856">
        <v>2.9946009999999999E-2</v>
      </c>
      <c r="R856">
        <v>0.1056092</v>
      </c>
      <c r="S856">
        <v>3.058716</v>
      </c>
      <c r="T856">
        <v>-0.1024764</v>
      </c>
      <c r="U856">
        <v>-0.35116579999999997</v>
      </c>
      <c r="V856">
        <v>-0.10559010000000001</v>
      </c>
      <c r="W856">
        <v>4.102397E-2</v>
      </c>
      <c r="X856">
        <v>0.99356319999999998</v>
      </c>
      <c r="Y856">
        <v>0.11401029999999999</v>
      </c>
      <c r="Z856">
        <v>-1.9035549999999999E-3</v>
      </c>
      <c r="AA856">
        <v>0.99347779999999997</v>
      </c>
      <c r="AB856">
        <v>21</v>
      </c>
      <c r="AC856">
        <v>31.3644999999999</v>
      </c>
      <c r="AD856">
        <v>-1.054502311132</v>
      </c>
      <c r="AE856">
        <v>-3.61359999999996</v>
      </c>
      <c r="AF856">
        <v>3.6100303913036198</v>
      </c>
      <c r="AG856">
        <v>-1.054502311132</v>
      </c>
      <c r="AH856">
        <v>31.3294974651659</v>
      </c>
      <c r="AI856">
        <v>91.915096991773694</v>
      </c>
      <c r="AJ856">
        <v>83.426919925199599</v>
      </c>
      <c r="AK856">
        <v>31.5544245070347</v>
      </c>
      <c r="AL856">
        <v>87.648839937907795</v>
      </c>
      <c r="AM856">
        <v>96.066291569758505</v>
      </c>
      <c r="AN856">
        <v>1.0000000338634001</v>
      </c>
    </row>
    <row r="857" spans="1:40" x14ac:dyDescent="0.3">
      <c r="A857" t="str">
        <f>"20200111145928801"</f>
        <v>20200111145928801</v>
      </c>
      <c r="B857" t="str">
        <f>"1578725968796595"</f>
        <v>1578725968796595</v>
      </c>
      <c r="C857" t="s">
        <v>40</v>
      </c>
      <c r="D857">
        <v>4.2548789999999999</v>
      </c>
      <c r="E857">
        <v>0.5831404</v>
      </c>
      <c r="F857" t="s">
        <v>42</v>
      </c>
      <c r="G857">
        <v>-368.14949999999999</v>
      </c>
      <c r="H857" s="1">
        <v>-2.2386090000000001E-6</v>
      </c>
      <c r="I857">
        <v>363.5172</v>
      </c>
      <c r="J857">
        <v>-401.29790000000003</v>
      </c>
      <c r="K857">
        <v>1.0545009999999999</v>
      </c>
      <c r="L857">
        <v>367.27870000000001</v>
      </c>
      <c r="M857">
        <v>0.99993779999999999</v>
      </c>
      <c r="N857">
        <v>0</v>
      </c>
      <c r="O857" s="1">
        <v>-1.402587E-5</v>
      </c>
      <c r="P857">
        <v>0.9939829</v>
      </c>
      <c r="Q857">
        <v>2.9890239999999998E-2</v>
      </c>
      <c r="R857">
        <v>0.10537970000000001</v>
      </c>
      <c r="S857">
        <v>3.057922</v>
      </c>
      <c r="T857">
        <v>-9.6967399999999995E-2</v>
      </c>
      <c r="U857">
        <v>-0.34588619999999998</v>
      </c>
      <c r="V857">
        <v>-0.10538889999999999</v>
      </c>
      <c r="W857">
        <v>4.0990609999999997E-2</v>
      </c>
      <c r="X857">
        <v>0.99358590000000002</v>
      </c>
      <c r="Y857">
        <v>0.1123251</v>
      </c>
      <c r="Z857">
        <v>-1.7743819999999999E-3</v>
      </c>
      <c r="AA857">
        <v>0.99366989999999999</v>
      </c>
      <c r="AB857">
        <v>21</v>
      </c>
      <c r="AC857">
        <v>33.148400000000002</v>
      </c>
      <c r="AD857">
        <v>-1.0545032386090001</v>
      </c>
      <c r="AE857">
        <v>-3.7615000000000101</v>
      </c>
      <c r="AF857">
        <v>3.7572810906359502</v>
      </c>
      <c r="AG857">
        <v>-1.0545032386090001</v>
      </c>
      <c r="AH857">
        <v>33.1153667953444</v>
      </c>
      <c r="AI857">
        <v>91.812251913274906</v>
      </c>
      <c r="AJ857">
        <v>83.526882802476095</v>
      </c>
      <c r="AK857">
        <v>33.344514635311299</v>
      </c>
      <c r="AL857">
        <v>87.650752844029398</v>
      </c>
      <c r="AM857">
        <v>96.054681005753295</v>
      </c>
      <c r="AN857">
        <v>0.999999995515096</v>
      </c>
    </row>
    <row r="858" spans="1:40" x14ac:dyDescent="0.3">
      <c r="A858" t="str">
        <f>"20200111145928812"</f>
        <v>20200111145928812</v>
      </c>
      <c r="B858" t="str">
        <f>"1578725968806355"</f>
        <v>1578725968806355</v>
      </c>
      <c r="C858" t="s">
        <v>40</v>
      </c>
      <c r="D858">
        <v>4.3065350000000002</v>
      </c>
      <c r="E858">
        <v>0.58268149999999996</v>
      </c>
      <c r="F858" t="s">
        <v>42</v>
      </c>
      <c r="G858">
        <v>-367.8519</v>
      </c>
      <c r="H858" s="1">
        <v>-2.3371009999999999E-6</v>
      </c>
      <c r="I858">
        <v>363.52760000000001</v>
      </c>
      <c r="J858">
        <v>-401.1927</v>
      </c>
      <c r="K858">
        <v>1.0546530000000001</v>
      </c>
      <c r="L858">
        <v>367.27870000000001</v>
      </c>
      <c r="M858">
        <v>0.99993140000000003</v>
      </c>
      <c r="N858">
        <v>0</v>
      </c>
      <c r="O858" s="1">
        <v>-4.0281070000000001E-5</v>
      </c>
      <c r="P858">
        <v>0.99400679999999997</v>
      </c>
      <c r="Q858">
        <v>2.93986E-2</v>
      </c>
      <c r="R858">
        <v>0.10529280000000001</v>
      </c>
      <c r="S858">
        <v>3.057404</v>
      </c>
      <c r="T858">
        <v>-9.6395369999999994E-2</v>
      </c>
      <c r="U858">
        <v>-0.34289550000000002</v>
      </c>
      <c r="V858">
        <v>-0.1053279</v>
      </c>
      <c r="W858">
        <v>4.106017E-2</v>
      </c>
      <c r="X858">
        <v>0.99358950000000001</v>
      </c>
      <c r="Y858">
        <v>0.1113591</v>
      </c>
      <c r="Z858">
        <v>-1.748311E-3</v>
      </c>
      <c r="AA858">
        <v>0.99377870000000001</v>
      </c>
      <c r="AB858">
        <v>21</v>
      </c>
      <c r="AC858">
        <v>33.340800000000002</v>
      </c>
      <c r="AD858">
        <v>-1.0546553371009999</v>
      </c>
      <c r="AE858">
        <v>-3.7511000000000001</v>
      </c>
      <c r="AF858">
        <v>3.7460553785702202</v>
      </c>
      <c r="AG858">
        <v>-1.0546553371009999</v>
      </c>
      <c r="AH858">
        <v>33.308039000777001</v>
      </c>
      <c r="AI858">
        <v>91.802235024003394</v>
      </c>
      <c r="AJ858">
        <v>83.5830801410129</v>
      </c>
      <c r="AK858">
        <v>33.534619288977702</v>
      </c>
      <c r="AL858">
        <v>87.646764000288798</v>
      </c>
      <c r="AM858">
        <v>96.051180751492694</v>
      </c>
      <c r="AN858">
        <v>0.99999999929454397</v>
      </c>
    </row>
    <row r="859" spans="1:40" x14ac:dyDescent="0.3">
      <c r="A859" t="str">
        <f>"20200111145928823"</f>
        <v>20200111145928823</v>
      </c>
      <c r="B859" t="str">
        <f>"1578725968816115"</f>
        <v>1578725968816115</v>
      </c>
      <c r="C859" t="s">
        <v>40</v>
      </c>
      <c r="D859">
        <v>4.2922399999999996</v>
      </c>
      <c r="E859">
        <v>0.58268149999999996</v>
      </c>
      <c r="F859" t="s">
        <v>42</v>
      </c>
      <c r="G859">
        <v>-368.04989999999998</v>
      </c>
      <c r="H859" s="1">
        <v>-2.2514190000000001E-6</v>
      </c>
      <c r="I859">
        <v>363.59640000000002</v>
      </c>
      <c r="J859">
        <v>-401.0874</v>
      </c>
      <c r="K859">
        <v>1.05487</v>
      </c>
      <c r="L859">
        <v>367.27870000000001</v>
      </c>
      <c r="M859">
        <v>0.99992389999999998</v>
      </c>
      <c r="N859">
        <v>0</v>
      </c>
      <c r="O859" s="1">
        <v>-6.6158480000000006E-5</v>
      </c>
      <c r="P859">
        <v>0.99402250000000003</v>
      </c>
      <c r="Q859">
        <v>2.8842139999999999E-2</v>
      </c>
      <c r="R859">
        <v>0.10529620000000001</v>
      </c>
      <c r="S859">
        <v>3.0569459999999999</v>
      </c>
      <c r="T859">
        <v>-9.7276689999999999E-2</v>
      </c>
      <c r="U859">
        <v>-0.33963009999999999</v>
      </c>
      <c r="V859">
        <v>-0.1053571</v>
      </c>
      <c r="W859">
        <v>4.1113539999999997E-2</v>
      </c>
      <c r="X859">
        <v>0.99358420000000003</v>
      </c>
      <c r="Y859">
        <v>0.1103008</v>
      </c>
      <c r="Z859">
        <v>-1.7470509999999999E-3</v>
      </c>
      <c r="AA859">
        <v>0.99389669999999997</v>
      </c>
      <c r="AB859">
        <v>21</v>
      </c>
      <c r="AC859">
        <v>33.037500000000001</v>
      </c>
      <c r="AD859">
        <v>-1.0548722514190001</v>
      </c>
      <c r="AE859">
        <v>-3.6822999999999899</v>
      </c>
      <c r="AF859">
        <v>3.6764120195571102</v>
      </c>
      <c r="AG859">
        <v>-1.0548722514190001</v>
      </c>
      <c r="AH859">
        <v>33.004508485181901</v>
      </c>
      <c r="AI859">
        <v>91.819388481397695</v>
      </c>
      <c r="AJ859">
        <v>83.643956169891496</v>
      </c>
      <c r="AK859">
        <v>33.225386997788299</v>
      </c>
      <c r="AL859">
        <v>87.643703546808098</v>
      </c>
      <c r="AM859">
        <v>96.052877912953903</v>
      </c>
      <c r="AN859">
        <v>1.0000000020906901</v>
      </c>
    </row>
    <row r="860" spans="1:40" x14ac:dyDescent="0.3">
      <c r="A860" t="str">
        <f>"20200111145928835"</f>
        <v>20200111145928835</v>
      </c>
      <c r="B860" t="str">
        <f>"1578725968826851"</f>
        <v>1578725968826851</v>
      </c>
      <c r="C860" t="s">
        <v>40</v>
      </c>
      <c r="D860">
        <v>4.2905899999999999</v>
      </c>
      <c r="E860">
        <v>0.58200649999999998</v>
      </c>
      <c r="F860" t="s">
        <v>42</v>
      </c>
      <c r="G860">
        <v>-368.52179999999998</v>
      </c>
      <c r="H860" s="1">
        <v>-2.0736349999999998E-6</v>
      </c>
      <c r="I860">
        <v>363.66109999999998</v>
      </c>
      <c r="J860">
        <v>-400.9785</v>
      </c>
      <c r="K860">
        <v>1.055245</v>
      </c>
      <c r="L860">
        <v>367.27870000000001</v>
      </c>
      <c r="M860">
        <v>0.99991439999999998</v>
      </c>
      <c r="N860">
        <v>0</v>
      </c>
      <c r="O860" s="1">
        <v>-9.2860459999999994E-5</v>
      </c>
      <c r="P860">
        <v>0.99408160000000001</v>
      </c>
      <c r="Q860">
        <v>2.8088950000000001E-2</v>
      </c>
      <c r="R860">
        <v>0.1049418</v>
      </c>
      <c r="S860">
        <v>3.0568849999999999</v>
      </c>
      <c r="T860">
        <v>-9.9018809999999999E-2</v>
      </c>
      <c r="U860">
        <v>-0.33956910000000001</v>
      </c>
      <c r="V860">
        <v>-0.1050297</v>
      </c>
      <c r="W860">
        <v>4.1104000000000002E-2</v>
      </c>
      <c r="X860">
        <v>0.99361929999999998</v>
      </c>
      <c r="Y860">
        <v>0.1102549</v>
      </c>
      <c r="Z860">
        <v>-1.7767569999999999E-3</v>
      </c>
      <c r="AA860">
        <v>0.9939017</v>
      </c>
      <c r="AB860">
        <v>20</v>
      </c>
      <c r="AC860">
        <v>32.456699999999998</v>
      </c>
      <c r="AD860">
        <v>-1.0552470736349999</v>
      </c>
      <c r="AE860">
        <v>-3.6176000000000301</v>
      </c>
      <c r="AF860">
        <v>3.6108157693224401</v>
      </c>
      <c r="AG860">
        <v>-1.0552470736349999</v>
      </c>
      <c r="AH860">
        <v>32.4231831323278</v>
      </c>
      <c r="AI860">
        <v>91.852649233451999</v>
      </c>
      <c r="AJ860">
        <v>83.645425363996196</v>
      </c>
      <c r="AK860">
        <v>32.640685368706102</v>
      </c>
      <c r="AL860">
        <v>87.644250712165899</v>
      </c>
      <c r="AM860">
        <v>96.033995835800496</v>
      </c>
      <c r="AN860">
        <v>1.0000000450152799</v>
      </c>
    </row>
    <row r="861" spans="1:40" x14ac:dyDescent="0.3">
      <c r="A861" t="str">
        <f>"20200111145928849"</f>
        <v>20200111145928849</v>
      </c>
      <c r="B861" t="str">
        <f>"1578725968846371"</f>
        <v>1578725968846371</v>
      </c>
      <c r="C861" t="s">
        <v>40</v>
      </c>
      <c r="D861">
        <v>4.3241639999999997</v>
      </c>
      <c r="E861">
        <v>0.58064099999999996</v>
      </c>
      <c r="F861" t="s">
        <v>42</v>
      </c>
      <c r="G861">
        <v>-368.73570000000001</v>
      </c>
      <c r="H861" s="1">
        <v>-1.9791420000000001E-6</v>
      </c>
      <c r="I861">
        <v>363.74259999999998</v>
      </c>
      <c r="J861">
        <v>-400.86869999999999</v>
      </c>
      <c r="K861">
        <v>1.055679</v>
      </c>
      <c r="L861">
        <v>367.27859999999998</v>
      </c>
      <c r="M861">
        <v>0.99990919999999905</v>
      </c>
      <c r="N861">
        <v>0</v>
      </c>
      <c r="O861">
        <v>-1.203403E-4</v>
      </c>
      <c r="P861">
        <v>0.99410410000000005</v>
      </c>
      <c r="Q861">
        <v>2.7723769999999998E-2</v>
      </c>
      <c r="R861">
        <v>0.1048277</v>
      </c>
      <c r="S861">
        <v>3.0560610000000001</v>
      </c>
      <c r="T861">
        <v>-0.100019</v>
      </c>
      <c r="U861">
        <v>-0.335144</v>
      </c>
      <c r="V861">
        <v>-0.10494290000000001</v>
      </c>
      <c r="W861">
        <v>4.1137840000000002E-2</v>
      </c>
      <c r="X861">
        <v>0.99362700000000004</v>
      </c>
      <c r="Y861">
        <v>0.10883470000000001</v>
      </c>
      <c r="Z861">
        <v>-1.7712540000000001E-3</v>
      </c>
      <c r="AA861">
        <v>0.99405829999999995</v>
      </c>
      <c r="AB861">
        <v>20</v>
      </c>
      <c r="AC861">
        <v>32.132999999999903</v>
      </c>
      <c r="AD861">
        <v>-1.0556809791419901</v>
      </c>
      <c r="AE861">
        <v>-3.536</v>
      </c>
      <c r="AF861">
        <v>3.5283699425086898</v>
      </c>
      <c r="AG861">
        <v>-1.0556809791419901</v>
      </c>
      <c r="AH861">
        <v>32.099193546557999</v>
      </c>
      <c r="AI861">
        <v>91.872399818844499</v>
      </c>
      <c r="AJ861">
        <v>83.727183521168499</v>
      </c>
      <c r="AK861">
        <v>32.3097830868657</v>
      </c>
      <c r="AL861">
        <v>87.642310015700303</v>
      </c>
      <c r="AM861">
        <v>96.028999510018295</v>
      </c>
      <c r="AN861">
        <v>0.99999997463463697</v>
      </c>
    </row>
    <row r="862" spans="1:40" x14ac:dyDescent="0.3">
      <c r="A862" t="str">
        <f>"20200111145928865"</f>
        <v>20200111145928865</v>
      </c>
      <c r="B862" t="str">
        <f>"1578725968856133"</f>
        <v>1578725968856133</v>
      </c>
      <c r="C862" t="s">
        <v>40</v>
      </c>
      <c r="D862">
        <v>4.2683739999999997</v>
      </c>
      <c r="E862">
        <v>0.58010949999999994</v>
      </c>
      <c r="F862" t="s">
        <v>42</v>
      </c>
      <c r="G862">
        <v>-368.19580000000002</v>
      </c>
      <c r="H862" s="1">
        <v>-2.1461309999999999E-6</v>
      </c>
      <c r="I862">
        <v>363.80560000000003</v>
      </c>
      <c r="J862">
        <v>-400.71730000000002</v>
      </c>
      <c r="K862">
        <v>1.056281</v>
      </c>
      <c r="L862">
        <v>367.27859999999998</v>
      </c>
      <c r="M862">
        <v>0.99991099999999999</v>
      </c>
      <c r="N862">
        <v>0</v>
      </c>
      <c r="O862">
        <v>-1.5922040000000001E-4</v>
      </c>
      <c r="P862">
        <v>0.99413609999999997</v>
      </c>
      <c r="Q862">
        <v>2.7456999999999999E-2</v>
      </c>
      <c r="R862">
        <v>0.10459209999999999</v>
      </c>
      <c r="S862">
        <v>3.0547789999999999</v>
      </c>
      <c r="T862">
        <v>-9.8701419999999998E-2</v>
      </c>
      <c r="U862">
        <v>-0.32470700000000002</v>
      </c>
      <c r="V862">
        <v>-0.10474609999999999</v>
      </c>
      <c r="W862">
        <v>4.0731429999999999E-2</v>
      </c>
      <c r="X862">
        <v>0.99366449999999995</v>
      </c>
      <c r="Y862">
        <v>0.1054866</v>
      </c>
      <c r="Z862">
        <v>-1.6938070000000001E-3</v>
      </c>
      <c r="AA862">
        <v>0.99441930000000001</v>
      </c>
      <c r="AB862">
        <v>20</v>
      </c>
      <c r="AC862">
        <v>32.521500000000003</v>
      </c>
      <c r="AD862">
        <v>-1.0562831461310001</v>
      </c>
      <c r="AE862">
        <v>-3.4729999999999501</v>
      </c>
      <c r="AF862">
        <v>3.4642081527634598</v>
      </c>
      <c r="AG862">
        <v>-1.0562831461310001</v>
      </c>
      <c r="AH862">
        <v>32.488166635282198</v>
      </c>
      <c r="AI862">
        <v>91.851703815734098</v>
      </c>
      <c r="AJ862">
        <v>83.9135578807293</v>
      </c>
      <c r="AK862">
        <v>32.689408736352703</v>
      </c>
      <c r="AL862">
        <v>87.665615109416393</v>
      </c>
      <c r="AM862">
        <v>96.017550896870404</v>
      </c>
      <c r="AN862">
        <v>0.99999996670765101</v>
      </c>
    </row>
    <row r="863" spans="1:40" x14ac:dyDescent="0.3">
      <c r="A863" t="str">
        <f>"20200111145928876"</f>
        <v>20200111145928876</v>
      </c>
      <c r="B863" t="str">
        <f>"1578725968866867"</f>
        <v>1578725968866867</v>
      </c>
      <c r="C863" t="s">
        <v>40</v>
      </c>
      <c r="D863">
        <v>4.2692920000000001</v>
      </c>
      <c r="E863">
        <v>0.57965959999999905</v>
      </c>
      <c r="F863" t="s">
        <v>42</v>
      </c>
      <c r="G863">
        <v>-368.06900000000002</v>
      </c>
      <c r="H863" s="1">
        <v>-2.1794729999999999E-6</v>
      </c>
      <c r="I863">
        <v>363.8424</v>
      </c>
      <c r="J863">
        <v>-400.61270000000002</v>
      </c>
      <c r="K863">
        <v>1.056654</v>
      </c>
      <c r="L863">
        <v>367.27850000000001</v>
      </c>
      <c r="M863">
        <v>0.99992110000000001</v>
      </c>
      <c r="N863">
        <v>0</v>
      </c>
      <c r="O863">
        <v>-1.8703219999999999E-4</v>
      </c>
      <c r="P863">
        <v>0.99414599999999997</v>
      </c>
      <c r="Q863">
        <v>2.786717E-2</v>
      </c>
      <c r="R863">
        <v>0.1043906</v>
      </c>
      <c r="S863">
        <v>3.05423</v>
      </c>
      <c r="T863">
        <v>-9.8814550000000001E-2</v>
      </c>
      <c r="U863">
        <v>-0.3214417</v>
      </c>
      <c r="V863">
        <v>-0.1045719</v>
      </c>
      <c r="W863">
        <v>4.0363620000000003E-2</v>
      </c>
      <c r="X863">
        <v>0.99369790000000002</v>
      </c>
      <c r="Y863">
        <v>0.1044267</v>
      </c>
      <c r="Z863">
        <v>-1.6781539999999901E-3</v>
      </c>
      <c r="AA863">
        <v>0.99453119999999995</v>
      </c>
      <c r="AB863">
        <v>20</v>
      </c>
      <c r="AC863">
        <v>32.543700000000001</v>
      </c>
      <c r="AD863">
        <v>-1.0566561794730001</v>
      </c>
      <c r="AE863">
        <v>-3.4361000000000099</v>
      </c>
      <c r="AF863">
        <v>3.4264403243236701</v>
      </c>
      <c r="AG863">
        <v>-1.0566561794730001</v>
      </c>
      <c r="AH863">
        <v>32.510446666560803</v>
      </c>
      <c r="AI863">
        <v>91.851328197953094</v>
      </c>
      <c r="AJ863">
        <v>83.983519798646398</v>
      </c>
      <c r="AK863">
        <v>32.707585634483401</v>
      </c>
      <c r="AL863">
        <v>87.686706517004097</v>
      </c>
      <c r="AM863">
        <v>96.007416092532793</v>
      </c>
      <c r="AN863">
        <v>1.0000000102767601</v>
      </c>
    </row>
    <row r="864" spans="1:40" x14ac:dyDescent="0.3">
      <c r="A864" t="str">
        <f>"20200111145928888"</f>
        <v>20200111145928888</v>
      </c>
      <c r="B864" t="str">
        <f>"1578725968886387"</f>
        <v>1578725968886387</v>
      </c>
      <c r="C864" t="s">
        <v>40</v>
      </c>
      <c r="D864">
        <v>4.3455339999999998</v>
      </c>
      <c r="E864">
        <v>0.57896429999999999</v>
      </c>
      <c r="F864" t="s">
        <v>42</v>
      </c>
      <c r="G864">
        <v>-367.26979999999998</v>
      </c>
      <c r="H864" s="1">
        <v>-2.4619699999999999E-6</v>
      </c>
      <c r="I864">
        <v>363.80279999999999</v>
      </c>
      <c r="J864">
        <v>-400.51260000000002</v>
      </c>
      <c r="K864">
        <v>1.057059</v>
      </c>
      <c r="L864">
        <v>367.27839999999998</v>
      </c>
      <c r="M864">
        <v>0.99993379999999998</v>
      </c>
      <c r="N864">
        <v>0</v>
      </c>
      <c r="O864">
        <v>-2.1259299999999999E-4</v>
      </c>
      <c r="P864">
        <v>0.99414219999999998</v>
      </c>
      <c r="Q864">
        <v>2.8672840000000002E-2</v>
      </c>
      <c r="R864">
        <v>0.1042081</v>
      </c>
      <c r="S864">
        <v>3.053833</v>
      </c>
      <c r="T864">
        <v>-9.6777680000000005E-2</v>
      </c>
      <c r="U864">
        <v>-0.31832890000000003</v>
      </c>
      <c r="V864">
        <v>-0.1044146</v>
      </c>
      <c r="W864">
        <v>4.0120620000000003E-2</v>
      </c>
      <c r="X864">
        <v>0.9937243</v>
      </c>
      <c r="Y864">
        <v>0.1034147</v>
      </c>
      <c r="Z864">
        <v>-1.6270830000000001E-3</v>
      </c>
      <c r="AA864">
        <v>0.99463699999999999</v>
      </c>
      <c r="AB864">
        <v>20</v>
      </c>
      <c r="AC864">
        <v>33.242800000000003</v>
      </c>
      <c r="AD864">
        <v>-1.0570614619700001</v>
      </c>
      <c r="AE864">
        <v>-3.47559999999998</v>
      </c>
      <c r="AF864">
        <v>3.46506653255762</v>
      </c>
      <c r="AG864">
        <v>-1.0570614619700001</v>
      </c>
      <c r="AH864">
        <v>33.210321461461596</v>
      </c>
      <c r="AI864">
        <v>91.813233088251806</v>
      </c>
      <c r="AJ864">
        <v>84.043480407881205</v>
      </c>
      <c r="AK864">
        <v>33.4073272888307</v>
      </c>
      <c r="AL864">
        <v>87.700640720790901</v>
      </c>
      <c r="AM864">
        <v>95.998287305299002</v>
      </c>
      <c r="AN864">
        <v>1.0000000286264099</v>
      </c>
    </row>
    <row r="865" spans="1:40" x14ac:dyDescent="0.3">
      <c r="A865" t="str">
        <f>"20200111145928900"</f>
        <v>20200111145928900</v>
      </c>
      <c r="B865" t="str">
        <f>"1578725968896147"</f>
        <v>1578725968896147</v>
      </c>
      <c r="C865" t="s">
        <v>40</v>
      </c>
      <c r="D865">
        <v>4.2890879999999996</v>
      </c>
      <c r="E865">
        <v>0.578596</v>
      </c>
      <c r="F865" t="s">
        <v>42</v>
      </c>
      <c r="G865">
        <v>-365.77749999999997</v>
      </c>
      <c r="H865" s="1">
        <v>-2.9931479999999998E-6</v>
      </c>
      <c r="I865">
        <v>363.71510000000001</v>
      </c>
      <c r="J865">
        <v>-400.40170000000001</v>
      </c>
      <c r="K865">
        <v>1.0575270000000001</v>
      </c>
      <c r="L865">
        <v>367.27839999999998</v>
      </c>
      <c r="M865">
        <v>0.99994810000000001</v>
      </c>
      <c r="N865">
        <v>0</v>
      </c>
      <c r="O865">
        <v>-2.4074050000000001E-4</v>
      </c>
      <c r="P865">
        <v>0.99412080000000003</v>
      </c>
      <c r="Q865">
        <v>2.980002E-2</v>
      </c>
      <c r="R865">
        <v>0.1040962</v>
      </c>
      <c r="S865">
        <v>3.0531920000000001</v>
      </c>
      <c r="T865">
        <v>-9.2914700000000003E-2</v>
      </c>
      <c r="U865">
        <v>-0.31320189999999998</v>
      </c>
      <c r="V865">
        <v>-0.10433050000000001</v>
      </c>
      <c r="W865">
        <v>3.9950060000000003E-2</v>
      </c>
      <c r="X865">
        <v>0.99373999999999996</v>
      </c>
      <c r="Y865">
        <v>0.1017603</v>
      </c>
      <c r="Z865">
        <v>-1.5366710000000001E-3</v>
      </c>
      <c r="AA865">
        <v>0.99480780000000002</v>
      </c>
      <c r="AB865">
        <v>20</v>
      </c>
      <c r="AC865">
        <v>34.624200000000002</v>
      </c>
      <c r="AD865">
        <v>-1.057529993148</v>
      </c>
      <c r="AE865">
        <v>-3.5632999999999599</v>
      </c>
      <c r="AF865">
        <v>3.5516854440039398</v>
      </c>
      <c r="AG865">
        <v>-1.057529993148</v>
      </c>
      <c r="AH865">
        <v>34.593123839417302</v>
      </c>
      <c r="AI865">
        <v>91.741865867921604</v>
      </c>
      <c r="AJ865">
        <v>84.137966726334597</v>
      </c>
      <c r="AK865">
        <v>34.791048506028403</v>
      </c>
      <c r="AL865">
        <v>87.710420919362406</v>
      </c>
      <c r="AM865">
        <v>95.993397206901093</v>
      </c>
      <c r="AN865">
        <v>1.0000000240621201</v>
      </c>
    </row>
    <row r="866" spans="1:40" x14ac:dyDescent="0.3">
      <c r="A866" t="str">
        <f>"20200111145928912"</f>
        <v>20200111145928912</v>
      </c>
      <c r="B866" t="str">
        <f>"1578725968906883"</f>
        <v>1578725968906883</v>
      </c>
      <c r="C866" t="s">
        <v>40</v>
      </c>
      <c r="D866">
        <v>4.2530429999999999</v>
      </c>
      <c r="E866">
        <v>0.57813009999999998</v>
      </c>
      <c r="F866" t="s">
        <v>42</v>
      </c>
      <c r="G866">
        <v>-364.22519999999997</v>
      </c>
      <c r="H866" s="1">
        <v>-3.552451E-6</v>
      </c>
      <c r="I866">
        <v>363.59840000000003</v>
      </c>
      <c r="J866">
        <v>-400.29169999999999</v>
      </c>
      <c r="K866">
        <v>1.0581689999999999</v>
      </c>
      <c r="L866">
        <v>367.27839999999998</v>
      </c>
      <c r="M866">
        <v>0.99995990000000001</v>
      </c>
      <c r="N866">
        <v>0</v>
      </c>
      <c r="O866">
        <v>-2.7020279999999999E-4</v>
      </c>
      <c r="P866">
        <v>0.99413450000000003</v>
      </c>
      <c r="Q866">
        <v>3.0866970000000001E-2</v>
      </c>
      <c r="R866">
        <v>0.10365249999999999</v>
      </c>
      <c r="S866">
        <v>3.0529790000000001</v>
      </c>
      <c r="T866">
        <v>-8.9246030000000004E-2</v>
      </c>
      <c r="U866">
        <v>-0.31054690000000001</v>
      </c>
      <c r="V866">
        <v>-0.1039166</v>
      </c>
      <c r="W866">
        <v>3.9775199999999997E-2</v>
      </c>
      <c r="X866">
        <v>0.99379030000000002</v>
      </c>
      <c r="Y866">
        <v>0.1008858</v>
      </c>
      <c r="Z866">
        <v>-1.4625860000000001E-3</v>
      </c>
      <c r="AA866">
        <v>0.99489689999999997</v>
      </c>
      <c r="AB866">
        <v>20</v>
      </c>
      <c r="AC866">
        <v>36.066499999999998</v>
      </c>
      <c r="AD866">
        <v>-1.0581725524509999</v>
      </c>
      <c r="AE866">
        <v>-3.67999999999995</v>
      </c>
      <c r="AF866">
        <v>3.6671300458185301</v>
      </c>
      <c r="AG866">
        <v>-1.0581725524509999</v>
      </c>
      <c r="AH866">
        <v>36.036792028993602</v>
      </c>
      <c r="AI866">
        <v>91.673294779992403</v>
      </c>
      <c r="AJ866">
        <v>84.189541153938706</v>
      </c>
      <c r="AK866">
        <v>36.238349185147001</v>
      </c>
      <c r="AL866">
        <v>87.720447444548995</v>
      </c>
      <c r="AM866">
        <v>95.969492272456307</v>
      </c>
      <c r="AN866">
        <v>0.99999994333234299</v>
      </c>
    </row>
    <row r="867" spans="1:40" x14ac:dyDescent="0.3">
      <c r="A867" t="str">
        <f>"20200111145928924"</f>
        <v>20200111145928924</v>
      </c>
      <c r="B867" t="str">
        <f>"1578725968916643"</f>
        <v>1578725968916643</v>
      </c>
      <c r="C867" t="s">
        <v>40</v>
      </c>
      <c r="D867">
        <v>6.4752929999999997</v>
      </c>
      <c r="E867">
        <v>0.57774190000000003</v>
      </c>
      <c r="F867" t="s">
        <v>42</v>
      </c>
      <c r="G867">
        <v>-362.68099999999998</v>
      </c>
      <c r="H867" s="1">
        <v>-4.2107269999999999E-6</v>
      </c>
      <c r="I867">
        <v>363.4794</v>
      </c>
      <c r="J867">
        <v>-400.18060000000003</v>
      </c>
      <c r="K867">
        <v>1.0588679999999999</v>
      </c>
      <c r="L867">
        <v>367.2783</v>
      </c>
      <c r="M867">
        <v>0.99996989999999997</v>
      </c>
      <c r="N867">
        <v>0</v>
      </c>
      <c r="O867">
        <v>-3.0016420000000002E-4</v>
      </c>
      <c r="P867">
        <v>0.99412100000000003</v>
      </c>
      <c r="Q867">
        <v>3.1832640000000002E-2</v>
      </c>
      <c r="R867">
        <v>0.103490899999999</v>
      </c>
      <c r="S867">
        <v>3.0525509999999998</v>
      </c>
      <c r="T867">
        <v>-8.5882840000000002E-2</v>
      </c>
      <c r="U867">
        <v>-0.30831910000000001</v>
      </c>
      <c r="V867">
        <v>-0.1037844</v>
      </c>
      <c r="W867">
        <v>3.9548409999999999E-2</v>
      </c>
      <c r="X867">
        <v>0.99381319999999995</v>
      </c>
      <c r="Y867">
        <v>0.1001547</v>
      </c>
      <c r="Z867">
        <v>-1.3966409999999999E-3</v>
      </c>
      <c r="AA867">
        <v>0.99497089999999999</v>
      </c>
      <c r="AB867">
        <v>21</v>
      </c>
      <c r="AC867">
        <v>37.499600000000001</v>
      </c>
      <c r="AD867">
        <v>-1.0588722107270001</v>
      </c>
      <c r="AE867">
        <v>-3.7989000000000002</v>
      </c>
      <c r="AF867">
        <v>3.7846565167141302</v>
      </c>
      <c r="AG867">
        <v>-1.0588722107270001</v>
      </c>
      <c r="AH867">
        <v>37.471165548539702</v>
      </c>
      <c r="AI867">
        <v>91.610462480450394</v>
      </c>
      <c r="AJ867">
        <v>84.232579870950104</v>
      </c>
      <c r="AK867">
        <v>37.676691506476899</v>
      </c>
      <c r="AL867">
        <v>87.733451864856093</v>
      </c>
      <c r="AM867">
        <v>95.961816384235206</v>
      </c>
      <c r="AN867">
        <v>0.99999997745556302</v>
      </c>
    </row>
    <row r="868" spans="1:40" x14ac:dyDescent="0.3">
      <c r="A868" t="str">
        <f>"20200111145928936"</f>
        <v>20200111145928936</v>
      </c>
      <c r="B868" t="str">
        <f>"1578725968926402"</f>
        <v>1578725968926402</v>
      </c>
      <c r="C868" t="s">
        <v>40</v>
      </c>
      <c r="D868">
        <v>4.3259540000000003</v>
      </c>
      <c r="E868">
        <v>0.5773682</v>
      </c>
      <c r="F868" t="s">
        <v>42</v>
      </c>
      <c r="G868">
        <v>-360.2602</v>
      </c>
      <c r="H868" s="1">
        <v>-5.2852499999999999E-6</v>
      </c>
      <c r="I868">
        <v>363.27629999999999</v>
      </c>
      <c r="J868">
        <v>-400.06819999999999</v>
      </c>
      <c r="K868">
        <v>1.0596840000000001</v>
      </c>
      <c r="L868">
        <v>367.27820000000003</v>
      </c>
      <c r="M868">
        <v>0.99997769999999997</v>
      </c>
      <c r="N868">
        <v>0</v>
      </c>
      <c r="O868">
        <v>-3.3111399999999997E-4</v>
      </c>
      <c r="P868">
        <v>0.99411559999999999</v>
      </c>
      <c r="Q868">
        <v>3.2774440000000002E-2</v>
      </c>
      <c r="R868">
        <v>0.1032472</v>
      </c>
      <c r="S868">
        <v>3.0521850000000001</v>
      </c>
      <c r="T868">
        <v>-8.0957890000000005E-2</v>
      </c>
      <c r="U868">
        <v>-0.3059692</v>
      </c>
      <c r="V868">
        <v>-0.1035717</v>
      </c>
      <c r="W868">
        <v>3.9413080000000003E-2</v>
      </c>
      <c r="X868">
        <v>0.99384079999999997</v>
      </c>
      <c r="Y868">
        <v>9.9382070000000003E-2</v>
      </c>
      <c r="Z868">
        <v>-1.3057500000000001E-3</v>
      </c>
      <c r="AA868">
        <v>0.9950485</v>
      </c>
      <c r="AB868">
        <v>21</v>
      </c>
      <c r="AC868">
        <v>39.8079999999999</v>
      </c>
      <c r="AD868">
        <v>-1.0596892852499999</v>
      </c>
      <c r="AE868">
        <v>-4.0019000000000302</v>
      </c>
      <c r="AF868">
        <v>3.9859222376439001</v>
      </c>
      <c r="AG868">
        <v>-1.0596892852499999</v>
      </c>
      <c r="AH868">
        <v>39.781414880594497</v>
      </c>
      <c r="AI868">
        <v>91.518274073292005</v>
      </c>
      <c r="AJ868">
        <v>84.278311690070197</v>
      </c>
      <c r="AK868">
        <v>39.994643233410699</v>
      </c>
      <c r="AL868">
        <v>87.741211830704898</v>
      </c>
      <c r="AM868">
        <v>95.949521684048705</v>
      </c>
      <c r="AN868">
        <v>1.0000000118303001</v>
      </c>
    </row>
    <row r="869" spans="1:40" x14ac:dyDescent="0.3">
      <c r="A869" t="str">
        <f>"20200111145928948"</f>
        <v>20200111145928948</v>
      </c>
      <c r="B869" t="str">
        <f>"1578725968946899"</f>
        <v>1578725968946899</v>
      </c>
      <c r="C869" t="s">
        <v>40</v>
      </c>
      <c r="D869">
        <v>4.3522660000000002</v>
      </c>
      <c r="E869">
        <v>0.57674230000000004</v>
      </c>
      <c r="F869" t="s">
        <v>42</v>
      </c>
      <c r="G869">
        <v>-357.55759999999998</v>
      </c>
      <c r="H869" s="1">
        <v>-2.5633429999999998E-6</v>
      </c>
      <c r="I869">
        <v>363.0539</v>
      </c>
      <c r="J869">
        <v>-399.959</v>
      </c>
      <c r="K869">
        <v>1.0605290000000001</v>
      </c>
      <c r="L869">
        <v>367.27809999999999</v>
      </c>
      <c r="M869">
        <v>0.99998370000000003</v>
      </c>
      <c r="N869">
        <v>0</v>
      </c>
      <c r="O869">
        <v>-3.6182329999999999E-4</v>
      </c>
      <c r="P869">
        <v>0.99409150000000002</v>
      </c>
      <c r="Q869">
        <v>3.3764339999999997E-2</v>
      </c>
      <c r="R869">
        <v>0.1031622</v>
      </c>
      <c r="S869">
        <v>3.051758</v>
      </c>
      <c r="T869">
        <v>-7.6072689999999998E-2</v>
      </c>
      <c r="U869">
        <v>-0.3032532</v>
      </c>
      <c r="V869">
        <v>-0.1035175</v>
      </c>
      <c r="W869">
        <v>3.945216E-2</v>
      </c>
      <c r="X869">
        <v>0.99384490000000003</v>
      </c>
      <c r="Y869">
        <v>9.8492759999999999E-2</v>
      </c>
      <c r="Z869">
        <v>-1.2153890000000001E-3</v>
      </c>
      <c r="AA869">
        <v>0.99513700000000005</v>
      </c>
      <c r="AB869">
        <v>21</v>
      </c>
      <c r="AC869">
        <v>42.401400000000002</v>
      </c>
      <c r="AD869">
        <v>-1.0605315633429999</v>
      </c>
      <c r="AE869">
        <v>-4.22419999999999</v>
      </c>
      <c r="AF869">
        <v>4.2062521483811501</v>
      </c>
      <c r="AG869">
        <v>-1.0605315633429999</v>
      </c>
      <c r="AH869">
        <v>42.376675948465298</v>
      </c>
      <c r="AI869">
        <v>91.426594870233799</v>
      </c>
      <c r="AJ869">
        <v>84.331464939102503</v>
      </c>
      <c r="AK869">
        <v>42.598121423061002</v>
      </c>
      <c r="AL869">
        <v>87.738970977088101</v>
      </c>
      <c r="AM869">
        <v>95.946406205190101</v>
      </c>
      <c r="AN869">
        <v>1.00000001549546</v>
      </c>
    </row>
    <row r="870" spans="1:40" x14ac:dyDescent="0.3">
      <c r="A870" t="str">
        <f>"20200111145928967"</f>
        <v>20200111145928967</v>
      </c>
      <c r="B870" t="str">
        <f>"1578725968956659"</f>
        <v>1578725968956659</v>
      </c>
      <c r="C870" t="s">
        <v>40</v>
      </c>
      <c r="D870">
        <v>4.313345</v>
      </c>
      <c r="E870">
        <v>0.57642789999999999</v>
      </c>
      <c r="F870" t="s">
        <v>42</v>
      </c>
      <c r="G870">
        <v>-353.28440000000001</v>
      </c>
      <c r="H870" s="1">
        <v>-4.1105970000000002E-6</v>
      </c>
      <c r="I870">
        <v>362.70409999999998</v>
      </c>
      <c r="J870">
        <v>-399.7903</v>
      </c>
      <c r="K870">
        <v>1.061882</v>
      </c>
      <c r="L870">
        <v>367.27800000000002</v>
      </c>
      <c r="M870">
        <v>0.99999070000000001</v>
      </c>
      <c r="N870">
        <v>0</v>
      </c>
      <c r="O870">
        <v>-4.0975890000000001E-4</v>
      </c>
      <c r="P870">
        <v>0.99407230000000002</v>
      </c>
      <c r="Q870">
        <v>3.4976460000000001E-2</v>
      </c>
      <c r="R870">
        <v>0.10294300000000001</v>
      </c>
      <c r="S870">
        <v>3.0512389999999998</v>
      </c>
      <c r="T870">
        <v>-6.9329500000000002E-2</v>
      </c>
      <c r="U870">
        <v>-0.29901119999999998</v>
      </c>
      <c r="V870">
        <v>-0.103345699999999</v>
      </c>
      <c r="W870">
        <v>3.9288249999999997E-2</v>
      </c>
      <c r="X870">
        <v>0.99386920000000001</v>
      </c>
      <c r="Y870">
        <v>9.7096959999999996E-2</v>
      </c>
      <c r="Z870">
        <v>-1.0910430000000001E-3</v>
      </c>
      <c r="AA870">
        <v>0.99527429999999995</v>
      </c>
      <c r="AB870">
        <v>21</v>
      </c>
      <c r="AC870">
        <v>46.505899999999997</v>
      </c>
      <c r="AD870">
        <v>-1.0618861105970001</v>
      </c>
      <c r="AE870">
        <v>-4.5739000000000303</v>
      </c>
      <c r="AF870">
        <v>4.55249247388537</v>
      </c>
      <c r="AG870">
        <v>-1.0618861105970001</v>
      </c>
      <c r="AH870">
        <v>46.483767593015997</v>
      </c>
      <c r="AI870">
        <v>91.302421486418396</v>
      </c>
      <c r="AJ870">
        <v>84.406447175748198</v>
      </c>
      <c r="AK870">
        <v>46.718234550100298</v>
      </c>
      <c r="AL870">
        <v>87.748369452818494</v>
      </c>
      <c r="AM870">
        <v>95.936463840037504</v>
      </c>
      <c r="AN870">
        <v>0.99999994350259402</v>
      </c>
    </row>
    <row r="871" spans="1:40" x14ac:dyDescent="0.3">
      <c r="A871" t="str">
        <f>"20200111145928980"</f>
        <v>20200111145928980</v>
      </c>
      <c r="B871" t="str">
        <f>"1578725968976180"</f>
        <v>1578725968976180</v>
      </c>
      <c r="C871" t="s">
        <v>40</v>
      </c>
      <c r="D871">
        <v>4.3435240000000004</v>
      </c>
      <c r="E871">
        <v>0.57590280000000005</v>
      </c>
      <c r="F871" t="s">
        <v>42</v>
      </c>
      <c r="G871">
        <v>-348.92720000000003</v>
      </c>
      <c r="H871" s="1">
        <v>-2.336491E-6</v>
      </c>
      <c r="I871">
        <v>362.32409999999999</v>
      </c>
      <c r="J871">
        <v>-399.66680000000002</v>
      </c>
      <c r="K871">
        <v>1.062873</v>
      </c>
      <c r="L871">
        <v>367.27789999999999</v>
      </c>
      <c r="M871">
        <v>0.99999439999999995</v>
      </c>
      <c r="N871">
        <v>0</v>
      </c>
      <c r="O871">
        <v>-4.450174E-4</v>
      </c>
      <c r="P871">
        <v>0.99403030000000003</v>
      </c>
      <c r="Q871">
        <v>3.5889860000000003E-2</v>
      </c>
      <c r="R871">
        <v>0.10303370000000001</v>
      </c>
      <c r="S871">
        <v>3.0509029999999999</v>
      </c>
      <c r="T871">
        <v>-6.3694600000000004E-2</v>
      </c>
      <c r="U871">
        <v>-0.29714970000000002</v>
      </c>
      <c r="V871">
        <v>-0.10347199999999999</v>
      </c>
      <c r="W871">
        <v>3.9229640000000003E-2</v>
      </c>
      <c r="X871">
        <v>0.99385849999999998</v>
      </c>
      <c r="Y871">
        <v>9.6474920000000006E-2</v>
      </c>
      <c r="Z871">
        <v>-9.9531399999999996E-4</v>
      </c>
      <c r="AA871">
        <v>0.99533490000000002</v>
      </c>
      <c r="AB871">
        <v>21</v>
      </c>
      <c r="AC871">
        <v>50.739600000000003</v>
      </c>
      <c r="AD871">
        <v>-1.062875336491</v>
      </c>
      <c r="AE871">
        <v>-4.9538000000000002</v>
      </c>
      <c r="AF871">
        <v>4.92907690374195</v>
      </c>
      <c r="AG871">
        <v>-1.062875336491</v>
      </c>
      <c r="AH871">
        <v>50.7197536249544</v>
      </c>
      <c r="AI871">
        <v>91.194878225131603</v>
      </c>
      <c r="AJ871">
        <v>84.449278603721396</v>
      </c>
      <c r="AK871">
        <v>50.9697842930495</v>
      </c>
      <c r="AL871">
        <v>87.751730431197103</v>
      </c>
      <c r="AM871">
        <v>95.943730489101796</v>
      </c>
      <c r="AN871">
        <v>1.0000000687303801</v>
      </c>
    </row>
    <row r="872" spans="1:40" x14ac:dyDescent="0.3">
      <c r="A872" t="str">
        <f>"20200111145928993"</f>
        <v>20200111145928993</v>
      </c>
      <c r="B872" t="str">
        <f>"1578725968986915"</f>
        <v>1578725968986915</v>
      </c>
      <c r="C872" t="s">
        <v>40</v>
      </c>
      <c r="D872">
        <v>4.245749</v>
      </c>
      <c r="E872">
        <v>0.57590280000000005</v>
      </c>
      <c r="F872" t="s">
        <v>42</v>
      </c>
      <c r="G872">
        <v>-342.61799999999999</v>
      </c>
      <c r="H872" s="1">
        <v>-4.8978389999999999E-6</v>
      </c>
      <c r="I872">
        <v>361.80340000000001</v>
      </c>
      <c r="J872">
        <v>-399.54750000000001</v>
      </c>
      <c r="K872">
        <v>1.063806</v>
      </c>
      <c r="L872">
        <v>367.27789999999999</v>
      </c>
      <c r="M872">
        <v>0.99999700000000002</v>
      </c>
      <c r="N872">
        <v>0</v>
      </c>
      <c r="O872">
        <v>-4.7940949999999998E-4</v>
      </c>
      <c r="P872">
        <v>0.99399300000000002</v>
      </c>
      <c r="Q872">
        <v>3.6787210000000001E-2</v>
      </c>
      <c r="R872">
        <v>0.10307520000000001</v>
      </c>
      <c r="S872">
        <v>3.0504150000000001</v>
      </c>
      <c r="T872">
        <v>-5.6832430000000003E-2</v>
      </c>
      <c r="U872">
        <v>-0.292724599999999</v>
      </c>
      <c r="V872">
        <v>-0.1035478</v>
      </c>
      <c r="W872">
        <v>3.9220110000000002E-2</v>
      </c>
      <c r="X872">
        <v>0.99385089999999998</v>
      </c>
      <c r="Y872">
        <v>9.5029939999999993E-2</v>
      </c>
      <c r="Z872">
        <v>-8.7423839999999997E-4</v>
      </c>
      <c r="AA872">
        <v>0.99547399999999997</v>
      </c>
      <c r="AB872">
        <v>21</v>
      </c>
      <c r="AC872">
        <v>56.929499999999898</v>
      </c>
      <c r="AD872">
        <v>-1.063810897839</v>
      </c>
      <c r="AE872">
        <v>-5.4744999999999697</v>
      </c>
      <c r="AF872">
        <v>5.4453227521823102</v>
      </c>
      <c r="AG872">
        <v>-1.063810897839</v>
      </c>
      <c r="AH872">
        <v>56.912427179617602</v>
      </c>
      <c r="AI872">
        <v>91.065984826542106</v>
      </c>
      <c r="AJ872">
        <v>84.534635468963003</v>
      </c>
      <c r="AK872">
        <v>57.182231514492997</v>
      </c>
      <c r="AL872">
        <v>87.752276698190698</v>
      </c>
      <c r="AM872">
        <v>95.9480986137131</v>
      </c>
      <c r="AN872">
        <v>0.99999998767203002</v>
      </c>
    </row>
    <row r="873" spans="1:40" x14ac:dyDescent="0.3">
      <c r="A873" t="str">
        <f>"20200111145929006"</f>
        <v>20200111145929006</v>
      </c>
      <c r="B873" t="str">
        <f>"1578725968996675"</f>
        <v>1578725968996675</v>
      </c>
      <c r="C873" t="s">
        <v>40</v>
      </c>
      <c r="D873">
        <v>4.3468629999999999</v>
      </c>
      <c r="E873">
        <v>0.57564259999999901</v>
      </c>
      <c r="F873" t="s">
        <v>42</v>
      </c>
      <c r="G873">
        <v>-339.42320000000001</v>
      </c>
      <c r="H873" s="1">
        <v>-2.3395729999999999E-6</v>
      </c>
      <c r="I873">
        <v>361.50889999999998</v>
      </c>
      <c r="J873">
        <v>-399.42610000000002</v>
      </c>
      <c r="K873">
        <v>1.064738</v>
      </c>
      <c r="L873">
        <v>367.27780000000001</v>
      </c>
      <c r="M873">
        <v>0.99999870000000002</v>
      </c>
      <c r="N873">
        <v>0</v>
      </c>
      <c r="O873">
        <v>-5.1458980000000003E-4</v>
      </c>
      <c r="P873">
        <v>0.99393830000000005</v>
      </c>
      <c r="Q873">
        <v>3.7633590000000001E-2</v>
      </c>
      <c r="R873">
        <v>0.1032984</v>
      </c>
      <c r="S873">
        <v>3.0504760000000002</v>
      </c>
      <c r="T873">
        <v>-5.3973439999999998E-2</v>
      </c>
      <c r="U873">
        <v>-0.29269410000000001</v>
      </c>
      <c r="V873">
        <v>-0.1038058</v>
      </c>
      <c r="W873">
        <v>3.9174849999999997E-2</v>
      </c>
      <c r="X873">
        <v>0.99382579999999998</v>
      </c>
      <c r="Y873">
        <v>9.4984739999999998E-2</v>
      </c>
      <c r="Z873">
        <v>-8.2923009999999995E-4</v>
      </c>
      <c r="AA873">
        <v>0.99547839999999999</v>
      </c>
      <c r="AB873">
        <v>21</v>
      </c>
      <c r="AC873">
        <v>60.002899999999997</v>
      </c>
      <c r="AD873">
        <v>-1.064740339573</v>
      </c>
      <c r="AE873">
        <v>-5.7689000000000297</v>
      </c>
      <c r="AF873">
        <v>5.7362326468329403</v>
      </c>
      <c r="AG873">
        <v>-1.064740339573</v>
      </c>
      <c r="AH873">
        <v>59.987145017220101</v>
      </c>
      <c r="AI873">
        <v>91.012246735010805</v>
      </c>
      <c r="AJ873">
        <v>84.537736081907099</v>
      </c>
      <c r="AK873">
        <v>60.270188354494898</v>
      </c>
      <c r="AL873">
        <v>87.754871965236504</v>
      </c>
      <c r="AM873">
        <v>95.962961778004299</v>
      </c>
      <c r="AN873">
        <v>1.0000000168659</v>
      </c>
    </row>
    <row r="874" spans="1:40" x14ac:dyDescent="0.3">
      <c r="A874" t="str">
        <f>"20200111145929022"</f>
        <v>20200111145929022</v>
      </c>
      <c r="B874" t="str">
        <f>"1578725969016195"</f>
        <v>1578725969016195</v>
      </c>
      <c r="C874" t="s">
        <v>40</v>
      </c>
      <c r="D874">
        <v>4.4009369999999999</v>
      </c>
      <c r="E874">
        <v>0.57520019999999905</v>
      </c>
      <c r="F874" t="s">
        <v>42</v>
      </c>
      <c r="G874">
        <v>-336.51170000000002</v>
      </c>
      <c r="H874" s="1">
        <v>-3.3857769999999998E-6</v>
      </c>
      <c r="I874">
        <v>361.3005</v>
      </c>
      <c r="J874">
        <v>-399.27940000000001</v>
      </c>
      <c r="K874">
        <v>1.0658339999999999</v>
      </c>
      <c r="L874">
        <v>367.27769999999998</v>
      </c>
      <c r="M874">
        <v>0.99999979999999999</v>
      </c>
      <c r="N874">
        <v>0</v>
      </c>
      <c r="O874">
        <v>-5.5668649999999998E-4</v>
      </c>
      <c r="P874">
        <v>0.99386580000000002</v>
      </c>
      <c r="Q874">
        <v>3.8637690000000002E-2</v>
      </c>
      <c r="R874">
        <v>0.1036238</v>
      </c>
      <c r="S874">
        <v>3.0503230000000001</v>
      </c>
      <c r="T874">
        <v>-5.1622630000000003E-2</v>
      </c>
      <c r="U874">
        <v>-0.28979490000000002</v>
      </c>
      <c r="V874">
        <v>-0.10417269999999999</v>
      </c>
      <c r="W874">
        <v>3.9162929999999999E-2</v>
      </c>
      <c r="X874">
        <v>0.99378789999999995</v>
      </c>
      <c r="Y874">
        <v>9.4011319999999995E-2</v>
      </c>
      <c r="Z874">
        <v>-7.8426500000000003E-4</v>
      </c>
      <c r="AA874">
        <v>0.99557079999999998</v>
      </c>
      <c r="AB874">
        <v>21</v>
      </c>
      <c r="AC874">
        <v>62.767699999999898</v>
      </c>
      <c r="AD874">
        <v>-1.065837385777</v>
      </c>
      <c r="AE874">
        <v>-5.9771999999999803</v>
      </c>
      <c r="AF874">
        <v>5.9405596156016003</v>
      </c>
      <c r="AG874">
        <v>-1.065837385777</v>
      </c>
      <c r="AH874">
        <v>62.7530858954105</v>
      </c>
      <c r="AI874">
        <v>90.968723410514897</v>
      </c>
      <c r="AJ874">
        <v>84.592175453416004</v>
      </c>
      <c r="AK874">
        <v>63.042652603425601</v>
      </c>
      <c r="AL874">
        <v>87.755555503666201</v>
      </c>
      <c r="AM874">
        <v>95.984111669431698</v>
      </c>
      <c r="AN874">
        <v>1.00000003834894</v>
      </c>
    </row>
    <row r="875" spans="1:40" x14ac:dyDescent="0.3">
      <c r="A875" t="str">
        <f>"20200111145929034"</f>
        <v>20200111145929034</v>
      </c>
      <c r="B875" t="str">
        <f>"1578725969026463"</f>
        <v>1578725969026463</v>
      </c>
      <c r="C875" t="s">
        <v>40</v>
      </c>
      <c r="D875">
        <v>4.2697240000000001</v>
      </c>
      <c r="E875">
        <v>0.57495459999999998</v>
      </c>
      <c r="F875" t="s">
        <v>42</v>
      </c>
      <c r="G875">
        <v>-333.2</v>
      </c>
      <c r="H875" s="1">
        <v>-4.5672339999999997E-6</v>
      </c>
      <c r="I875">
        <v>361.09589999999997</v>
      </c>
      <c r="J875">
        <v>-399.17</v>
      </c>
      <c r="K875">
        <v>1.066614</v>
      </c>
      <c r="L875">
        <v>367.27760000000001</v>
      </c>
      <c r="M875">
        <v>0.99999990000000005</v>
      </c>
      <c r="N875">
        <v>0</v>
      </c>
      <c r="O875">
        <v>-5.8686800000000005E-4</v>
      </c>
      <c r="P875">
        <v>0.99381419999999998</v>
      </c>
      <c r="Q875">
        <v>3.9429779999999998E-2</v>
      </c>
      <c r="R875">
        <v>0.1038221</v>
      </c>
      <c r="S875">
        <v>3.0501710000000002</v>
      </c>
      <c r="T875">
        <v>-4.9198150000000003E-2</v>
      </c>
      <c r="U875">
        <v>-0.28533940000000002</v>
      </c>
      <c r="V875">
        <v>-0.1044011</v>
      </c>
      <c r="W875">
        <v>3.9279670000000003E-2</v>
      </c>
      <c r="X875">
        <v>0.99375930000000001</v>
      </c>
      <c r="Y875">
        <v>9.2545799999999998E-2</v>
      </c>
      <c r="Z875">
        <v>-7.3524649999999903E-4</v>
      </c>
      <c r="AA875">
        <v>0.99570820000000004</v>
      </c>
      <c r="AB875">
        <v>21</v>
      </c>
      <c r="AC875">
        <v>65.97</v>
      </c>
      <c r="AD875">
        <v>-1.0666185672340001</v>
      </c>
      <c r="AE875">
        <v>-6.1817000000000304</v>
      </c>
      <c r="AF875">
        <v>6.1413917974850003</v>
      </c>
      <c r="AG875">
        <v>-1.0666185672340001</v>
      </c>
      <c r="AH875">
        <v>65.956524737723001</v>
      </c>
      <c r="AI875">
        <v>90.922490559738407</v>
      </c>
      <c r="AJ875">
        <v>84.680372102411297</v>
      </c>
      <c r="AK875">
        <v>66.250415273083703</v>
      </c>
      <c r="AL875">
        <v>87.748861589734602</v>
      </c>
      <c r="AM875">
        <v>95.997307734394298</v>
      </c>
      <c r="AN875">
        <v>1.0000000142465</v>
      </c>
    </row>
    <row r="876" spans="1:40" x14ac:dyDescent="0.3">
      <c r="A876" t="str">
        <f>"20200111145929045"</f>
        <v>20200111145929045</v>
      </c>
      <c r="B876" t="str">
        <f>"1578725969036223"</f>
        <v>1578725969036223</v>
      </c>
      <c r="C876" t="s">
        <v>40</v>
      </c>
      <c r="D876">
        <v>4.2298229999999997</v>
      </c>
      <c r="E876">
        <v>0.57495459999999998</v>
      </c>
      <c r="F876" t="s">
        <v>42</v>
      </c>
      <c r="G876">
        <v>-327.3836</v>
      </c>
      <c r="H876" s="1">
        <v>-3.269232E-6</v>
      </c>
      <c r="I876">
        <v>360.62349999999998</v>
      </c>
      <c r="J876">
        <v>-399.06060000000002</v>
      </c>
      <c r="K876">
        <v>1.0673709999999901</v>
      </c>
      <c r="L876">
        <v>367.27749999999997</v>
      </c>
      <c r="M876">
        <v>0.99999959999999999</v>
      </c>
      <c r="N876">
        <v>0</v>
      </c>
      <c r="O876">
        <v>-6.1702610000000005E-4</v>
      </c>
      <c r="P876">
        <v>0.99376540000000002</v>
      </c>
      <c r="Q876">
        <v>3.9921129999999999E-2</v>
      </c>
      <c r="R876">
        <v>0.1041009</v>
      </c>
      <c r="S876">
        <v>3.050049</v>
      </c>
      <c r="T876">
        <v>-4.5318249999999997E-2</v>
      </c>
      <c r="U876">
        <v>-0.28271479999999999</v>
      </c>
      <c r="V876">
        <v>-0.1047101</v>
      </c>
      <c r="W876">
        <v>3.9135299999999998E-2</v>
      </c>
      <c r="X876">
        <v>0.99373250000000002</v>
      </c>
      <c r="Y876">
        <v>9.1671879999999997E-2</v>
      </c>
      <c r="Z876">
        <v>-6.7039819999999996E-4</v>
      </c>
      <c r="AA876">
        <v>0.99578909999999998</v>
      </c>
      <c r="AB876">
        <v>21</v>
      </c>
      <c r="AC876">
        <v>71.677000000000007</v>
      </c>
      <c r="AD876">
        <v>-1.0673742692320001</v>
      </c>
      <c r="AE876">
        <v>-6.6539999999999901</v>
      </c>
      <c r="AF876">
        <v>6.6083192362697503</v>
      </c>
      <c r="AG876">
        <v>-1.0673742692320001</v>
      </c>
      <c r="AH876">
        <v>71.665335675227794</v>
      </c>
      <c r="AI876">
        <v>90.849688658702604</v>
      </c>
      <c r="AJ876">
        <v>84.731607676824694</v>
      </c>
      <c r="AK876">
        <v>71.977284669554905</v>
      </c>
      <c r="AL876">
        <v>87.757139779910204</v>
      </c>
      <c r="AM876">
        <v>96.015089287023997</v>
      </c>
      <c r="AN876">
        <v>1.00000002915217</v>
      </c>
    </row>
    <row r="877" spans="1:40" x14ac:dyDescent="0.3">
      <c r="A877" t="str">
        <f>"20200111145929057"</f>
        <v>20200111145929057</v>
      </c>
      <c r="B877" t="str">
        <f>"1578725969046959"</f>
        <v>1578725969046959</v>
      </c>
      <c r="C877" t="s">
        <v>40</v>
      </c>
      <c r="D877">
        <v>4.5555089999999998</v>
      </c>
      <c r="E877">
        <v>0.57505240000000002</v>
      </c>
      <c r="F877" t="s">
        <v>42</v>
      </c>
      <c r="G877">
        <v>-324.92020000000002</v>
      </c>
      <c r="H877" s="1">
        <v>-4.1608250000000001E-6</v>
      </c>
      <c r="I877">
        <v>360.42320000000001</v>
      </c>
      <c r="J877">
        <v>-398.94589999999999</v>
      </c>
      <c r="K877">
        <v>1.068136</v>
      </c>
      <c r="L877">
        <v>367.2774</v>
      </c>
      <c r="M877">
        <v>0.99999890000000002</v>
      </c>
      <c r="N877">
        <v>0</v>
      </c>
      <c r="O877">
        <v>-6.480902E-4</v>
      </c>
      <c r="P877">
        <v>0.99368460000000003</v>
      </c>
      <c r="Q877">
        <v>4.0963970000000002E-2</v>
      </c>
      <c r="R877">
        <v>0.1044663</v>
      </c>
      <c r="S877">
        <v>3.0501399999999999</v>
      </c>
      <c r="T877">
        <v>-4.3911810000000003E-2</v>
      </c>
      <c r="U877">
        <v>-0.28198240000000002</v>
      </c>
      <c r="V877">
        <v>-0.1051054</v>
      </c>
      <c r="W877">
        <v>3.9563170000000002E-2</v>
      </c>
      <c r="X877">
        <v>0.99367380000000005</v>
      </c>
      <c r="Y877">
        <v>9.1401769999999993E-2</v>
      </c>
      <c r="Z877">
        <v>-6.4719629999999897E-4</v>
      </c>
      <c r="AA877">
        <v>0.99581390000000003</v>
      </c>
      <c r="AB877">
        <v>21</v>
      </c>
      <c r="AC877">
        <v>74.025699999999901</v>
      </c>
      <c r="AD877">
        <v>-1.0681401608249901</v>
      </c>
      <c r="AE877">
        <v>-6.8541999999999899</v>
      </c>
      <c r="AF877">
        <v>6.8048184323633203</v>
      </c>
      <c r="AG877">
        <v>-1.0681401608249901</v>
      </c>
      <c r="AH877">
        <v>74.014847320064106</v>
      </c>
      <c r="AI877">
        <v>90.823330812145699</v>
      </c>
      <c r="AJ877">
        <v>84.747075822970999</v>
      </c>
      <c r="AK877">
        <v>74.334676303277206</v>
      </c>
      <c r="AL877">
        <v>87.732605579616305</v>
      </c>
      <c r="AM877">
        <v>96.037983973592802</v>
      </c>
      <c r="AN877">
        <v>1.00000000516802</v>
      </c>
    </row>
    <row r="878" spans="1:40" x14ac:dyDescent="0.3">
      <c r="A878" t="str">
        <f>"20200111145929070"</f>
        <v>20200111145929070</v>
      </c>
      <c r="B878" t="str">
        <f>"1578725969066478"</f>
        <v>1578725969066478</v>
      </c>
      <c r="C878" t="s">
        <v>40</v>
      </c>
      <c r="D878">
        <v>4.3278019999999904</v>
      </c>
      <c r="E878">
        <v>0.5750653</v>
      </c>
      <c r="F878" t="s">
        <v>42</v>
      </c>
      <c r="G878">
        <v>-323.79020000000003</v>
      </c>
      <c r="H878" s="1">
        <v>-4.56738099999999E-6</v>
      </c>
      <c r="I878">
        <v>360.34050000000002</v>
      </c>
      <c r="J878">
        <v>-398.83730000000003</v>
      </c>
      <c r="K878">
        <v>1.06881</v>
      </c>
      <c r="L878">
        <v>367.27730000000003</v>
      </c>
      <c r="M878">
        <v>0.99999800000000005</v>
      </c>
      <c r="N878">
        <v>0</v>
      </c>
      <c r="O878">
        <v>-6.7723640000000003E-4</v>
      </c>
      <c r="P878">
        <v>0.99360649999999995</v>
      </c>
      <c r="Q878">
        <v>4.1793740000000003E-2</v>
      </c>
      <c r="R878">
        <v>0.1048785</v>
      </c>
      <c r="S878">
        <v>3.050446</v>
      </c>
      <c r="T878">
        <v>-4.3354030000000002E-2</v>
      </c>
      <c r="U878">
        <v>-0.28155520000000001</v>
      </c>
      <c r="V878">
        <v>-0.10554669999999999</v>
      </c>
      <c r="W878">
        <v>3.986572E-2</v>
      </c>
      <c r="X878">
        <v>0.99361489999999997</v>
      </c>
      <c r="Y878">
        <v>9.1225580000000001E-2</v>
      </c>
      <c r="Z878">
        <v>-6.3725399999999997E-4</v>
      </c>
      <c r="AA878">
        <v>0.99583010000000005</v>
      </c>
      <c r="AB878">
        <v>21</v>
      </c>
      <c r="AC878">
        <v>75.0471</v>
      </c>
      <c r="AD878">
        <v>-1.0688145673809999</v>
      </c>
      <c r="AE878">
        <v>-6.9367999999999999</v>
      </c>
      <c r="AF878">
        <v>6.8845891046558902</v>
      </c>
      <c r="AG878">
        <v>-1.0688145673809999</v>
      </c>
      <c r="AH878">
        <v>75.036689728443207</v>
      </c>
      <c r="AI878">
        <v>90.812646956059893</v>
      </c>
      <c r="AJ878">
        <v>84.757809685789994</v>
      </c>
      <c r="AK878">
        <v>75.359436948016295</v>
      </c>
      <c r="AL878">
        <v>87.7152569869763</v>
      </c>
      <c r="AM878">
        <v>96.063503599348493</v>
      </c>
      <c r="AN878">
        <v>0.99999997550700803</v>
      </c>
    </row>
    <row r="879" spans="1:40" x14ac:dyDescent="0.3">
      <c r="A879" t="str">
        <f>"20200111145929082"</f>
        <v>20200111145929082</v>
      </c>
      <c r="B879" t="str">
        <f>"1578725969076239"</f>
        <v>1578725969076239</v>
      </c>
      <c r="C879" t="s">
        <v>40</v>
      </c>
      <c r="D879">
        <v>4.3127060000000004</v>
      </c>
      <c r="E879">
        <v>0.57484259999999998</v>
      </c>
      <c r="F879" t="s">
        <v>42</v>
      </c>
      <c r="G879">
        <v>-322.00740000000002</v>
      </c>
      <c r="H879" s="1">
        <v>-5.2075569999999998E-6</v>
      </c>
      <c r="I879">
        <v>360.21469999999999</v>
      </c>
      <c r="J879">
        <v>-398.73090000000002</v>
      </c>
      <c r="K879">
        <v>1.069464</v>
      </c>
      <c r="L879">
        <v>367.27719999999999</v>
      </c>
      <c r="M879">
        <v>0.99999669999999896</v>
      </c>
      <c r="N879">
        <v>0</v>
      </c>
      <c r="O879">
        <v>-7.0598570000000003E-4</v>
      </c>
      <c r="P879">
        <v>0.99354050000000005</v>
      </c>
      <c r="Q879">
        <v>4.1978370000000001E-2</v>
      </c>
      <c r="R879">
        <v>0.1054279</v>
      </c>
      <c r="S879">
        <v>3.0506289999999998</v>
      </c>
      <c r="T879">
        <v>-4.2438629999999998E-2</v>
      </c>
      <c r="U879">
        <v>-0.28042600000000001</v>
      </c>
      <c r="V879">
        <v>-0.106125</v>
      </c>
      <c r="W879">
        <v>3.9574600000000001E-2</v>
      </c>
      <c r="X879">
        <v>0.99356500000000003</v>
      </c>
      <c r="Y879">
        <v>9.0826379999999998E-2</v>
      </c>
      <c r="Z879">
        <v>-6.2060329999999995E-4</v>
      </c>
      <c r="AA879">
        <v>0.99586649999999999</v>
      </c>
      <c r="AB879">
        <v>21</v>
      </c>
      <c r="AC879">
        <v>76.723500000000001</v>
      </c>
      <c r="AD879">
        <v>-1.069469207557</v>
      </c>
      <c r="AE879">
        <v>-7.0625</v>
      </c>
      <c r="AF879">
        <v>7.0069823418634902</v>
      </c>
      <c r="AG879">
        <v>-1.069469207557</v>
      </c>
      <c r="AH879">
        <v>76.713686452472402</v>
      </c>
      <c r="AI879">
        <v>90.795400838106204</v>
      </c>
      <c r="AJ879">
        <v>84.781119052138806</v>
      </c>
      <c r="AK879">
        <v>77.040452069372904</v>
      </c>
      <c r="AL879">
        <v>87.731950247601404</v>
      </c>
      <c r="AM879">
        <v>96.096780450823601</v>
      </c>
      <c r="AN879">
        <v>1.0000000369075699</v>
      </c>
    </row>
    <row r="880" spans="1:40" x14ac:dyDescent="0.3">
      <c r="A880" t="str">
        <f>"20200111145929092"</f>
        <v>20200111145929092</v>
      </c>
      <c r="B880" t="str">
        <f>"1578725969085998"</f>
        <v>1578725969085998</v>
      </c>
      <c r="C880" t="s">
        <v>40</v>
      </c>
      <c r="D880">
        <v>4.3791479999999998</v>
      </c>
      <c r="E880">
        <v>0.57469999999999999</v>
      </c>
      <c r="F880" t="s">
        <v>42</v>
      </c>
      <c r="G880">
        <v>-327.1268</v>
      </c>
      <c r="H880" s="1">
        <v>-3.318213E-6</v>
      </c>
      <c r="I880">
        <v>360.7679</v>
      </c>
      <c r="J880">
        <v>-398.62259999999998</v>
      </c>
      <c r="K880">
        <v>1.070174</v>
      </c>
      <c r="L880">
        <v>367.27699999999999</v>
      </c>
      <c r="M880">
        <v>0.99999680000000002</v>
      </c>
      <c r="N880">
        <v>0</v>
      </c>
      <c r="O880">
        <v>-7.3612389999999997E-4</v>
      </c>
      <c r="P880">
        <v>0.99351970000000001</v>
      </c>
      <c r="Q880">
        <v>4.1837810000000003E-2</v>
      </c>
      <c r="R880">
        <v>0.1056803</v>
      </c>
      <c r="S880">
        <v>3.0508730000000002</v>
      </c>
      <c r="T880">
        <v>-4.556727E-2</v>
      </c>
      <c r="U880">
        <v>-0.27734379999999997</v>
      </c>
      <c r="V880">
        <v>-0.1064069</v>
      </c>
      <c r="W880">
        <v>3.9353050000000001E-2</v>
      </c>
      <c r="X880">
        <v>0.99354359999999997</v>
      </c>
      <c r="Y880">
        <v>8.9790079999999994E-2</v>
      </c>
      <c r="Z880">
        <v>-6.5815600000000002E-4</v>
      </c>
      <c r="AA880">
        <v>0.99596050000000003</v>
      </c>
      <c r="AB880">
        <v>21</v>
      </c>
      <c r="AC880">
        <v>71.495799999999903</v>
      </c>
      <c r="AD880">
        <v>-1.0701773182130001</v>
      </c>
      <c r="AE880">
        <v>-6.5090999999999797</v>
      </c>
      <c r="AF880">
        <v>6.4550339355336099</v>
      </c>
      <c r="AG880">
        <v>-1.0701773182130001</v>
      </c>
      <c r="AH880">
        <v>71.484687462499593</v>
      </c>
      <c r="AI880">
        <v>90.854219993688204</v>
      </c>
      <c r="AJ880">
        <v>84.840211783577004</v>
      </c>
      <c r="AK880">
        <v>71.783516800255498</v>
      </c>
      <c r="AL880">
        <v>87.7446539130069</v>
      </c>
      <c r="AM880">
        <v>96.112983552635001</v>
      </c>
      <c r="AN880">
        <v>0.99999998800643597</v>
      </c>
    </row>
    <row r="881" spans="1:40" x14ac:dyDescent="0.3">
      <c r="A881" t="str">
        <f>"20200111145929105"</f>
        <v>20200111145929105</v>
      </c>
      <c r="B881" t="str">
        <f>"1578725969096735"</f>
        <v>1578725969096735</v>
      </c>
      <c r="C881" t="s">
        <v>40</v>
      </c>
      <c r="D881">
        <v>4.3543250000000002</v>
      </c>
      <c r="E881">
        <v>0.574577</v>
      </c>
      <c r="F881" t="s">
        <v>42</v>
      </c>
      <c r="G881">
        <v>-327.99560000000002</v>
      </c>
      <c r="H881" s="1">
        <v>-2.9862209999999998E-6</v>
      </c>
      <c r="I881">
        <v>360.90440000000001</v>
      </c>
      <c r="J881">
        <v>-398.512</v>
      </c>
      <c r="K881">
        <v>1.0709900000000001</v>
      </c>
      <c r="L881">
        <v>367.27690000000001</v>
      </c>
      <c r="M881">
        <v>0.99999689999999997</v>
      </c>
      <c r="N881">
        <v>0</v>
      </c>
      <c r="O881">
        <v>-7.674922E-4</v>
      </c>
      <c r="P881">
        <v>0.99353530000000001</v>
      </c>
      <c r="Q881">
        <v>4.1576290000000002E-2</v>
      </c>
      <c r="R881">
        <v>0.1056386</v>
      </c>
      <c r="S881">
        <v>3.0507810000000002</v>
      </c>
      <c r="T881">
        <v>-4.6226980000000001E-2</v>
      </c>
      <c r="U881">
        <v>-0.27526859999999997</v>
      </c>
      <c r="V881">
        <v>-0.1063972</v>
      </c>
      <c r="W881">
        <v>3.9179609999999997E-2</v>
      </c>
      <c r="X881">
        <v>0.99355150000000003</v>
      </c>
      <c r="Y881">
        <v>8.9089329999999994E-2</v>
      </c>
      <c r="Z881">
        <v>-6.6195149999999999E-4</v>
      </c>
      <c r="AA881">
        <v>0.9960234</v>
      </c>
      <c r="AB881">
        <v>21</v>
      </c>
      <c r="AC881">
        <v>70.516399999999905</v>
      </c>
      <c r="AD881">
        <v>-1.0709929862209999</v>
      </c>
      <c r="AE881">
        <v>-6.3724999999999996</v>
      </c>
      <c r="AF881">
        <v>6.3169318547639399</v>
      </c>
      <c r="AG881">
        <v>-1.0709929862209999</v>
      </c>
      <c r="AH881">
        <v>70.505138339600293</v>
      </c>
      <c r="AI881">
        <v>90.866800599873002</v>
      </c>
      <c r="AJ881">
        <v>84.8802352790143</v>
      </c>
      <c r="AK881">
        <v>70.795657962338694</v>
      </c>
      <c r="AL881">
        <v>87.754598977723901</v>
      </c>
      <c r="AM881">
        <v>96.112382281095194</v>
      </c>
      <c r="AN881">
        <v>0.99999999457992095</v>
      </c>
    </row>
    <row r="882" spans="1:40" x14ac:dyDescent="0.3">
      <c r="A882" t="str">
        <f>"20200111145929118"</f>
        <v>20200111145929118</v>
      </c>
      <c r="B882" t="str">
        <f>"1578725969106494"</f>
        <v>1578725969106494</v>
      </c>
      <c r="C882" t="s">
        <v>40</v>
      </c>
      <c r="D882">
        <v>4.3453720000000002</v>
      </c>
      <c r="E882">
        <v>0.57440880000000005</v>
      </c>
      <c r="F882" t="s">
        <v>42</v>
      </c>
      <c r="G882">
        <v>-330.00880000000001</v>
      </c>
      <c r="H882" s="1">
        <v>-5.7767650000000004E-6</v>
      </c>
      <c r="I882">
        <v>361.11360000000002</v>
      </c>
      <c r="J882">
        <v>-398.39569999999998</v>
      </c>
      <c r="K882">
        <v>1.071998</v>
      </c>
      <c r="L882">
        <v>367.27679999999998</v>
      </c>
      <c r="M882">
        <v>0.99999760000000004</v>
      </c>
      <c r="N882">
        <v>0</v>
      </c>
      <c r="O882">
        <v>-8.0094029999999998E-4</v>
      </c>
      <c r="P882">
        <v>0.99357600000000001</v>
      </c>
      <c r="Q882">
        <v>4.1071570000000002E-2</v>
      </c>
      <c r="R882">
        <v>0.1054496</v>
      </c>
      <c r="S882">
        <v>3.0507200000000001</v>
      </c>
      <c r="T882">
        <v>-4.7695639999999997E-2</v>
      </c>
      <c r="U882">
        <v>-0.27447510000000003</v>
      </c>
      <c r="V882">
        <v>-0.1062413</v>
      </c>
      <c r="W882">
        <v>3.9058589999999997E-2</v>
      </c>
      <c r="X882">
        <v>0.99357300000000004</v>
      </c>
      <c r="Y882">
        <v>8.8800229999999994E-2</v>
      </c>
      <c r="Z882">
        <v>-6.8022399999999902E-4</v>
      </c>
      <c r="AA882">
        <v>0.99604919999999997</v>
      </c>
      <c r="AB882">
        <v>21</v>
      </c>
      <c r="AC882">
        <v>68.386899999999898</v>
      </c>
      <c r="AD882">
        <v>-1.0720037767649999</v>
      </c>
      <c r="AE882">
        <v>-6.1631999999999598</v>
      </c>
      <c r="AF882">
        <v>6.1069355570292903</v>
      </c>
      <c r="AG882">
        <v>-1.0720037767649999</v>
      </c>
      <c r="AH882">
        <v>68.375148407955905</v>
      </c>
      <c r="AI882">
        <v>90.894664106428607</v>
      </c>
      <c r="AJ882">
        <v>84.896162445739904</v>
      </c>
      <c r="AK882">
        <v>68.6556973149724</v>
      </c>
      <c r="AL882">
        <v>87.761538341574393</v>
      </c>
      <c r="AM882">
        <v>96.103362600802299</v>
      </c>
      <c r="AN882">
        <v>1.00000004680373</v>
      </c>
    </row>
    <row r="883" spans="1:40" x14ac:dyDescent="0.3">
      <c r="A883" t="str">
        <f>"20200111145929133"</f>
        <v>20200111145929133</v>
      </c>
      <c r="B883" t="str">
        <f>"1578725969126991"</f>
        <v>1578725969126991</v>
      </c>
      <c r="C883" t="s">
        <v>40</v>
      </c>
      <c r="D883">
        <v>4.3532339999999996</v>
      </c>
      <c r="E883">
        <v>0.57419580000000003</v>
      </c>
      <c r="F883" t="s">
        <v>42</v>
      </c>
      <c r="G883">
        <v>-332.70639999999997</v>
      </c>
      <c r="H883" s="1">
        <v>-4.6570139999999996E-6</v>
      </c>
      <c r="I883">
        <v>361.3897</v>
      </c>
      <c r="J883">
        <v>-398.2491</v>
      </c>
      <c r="K883">
        <v>1.0734250000000001</v>
      </c>
      <c r="L883">
        <v>367.27659999999997</v>
      </c>
      <c r="M883">
        <v>0.99999850000000001</v>
      </c>
      <c r="N883">
        <v>0</v>
      </c>
      <c r="O883">
        <v>-8.4474820000000005E-4</v>
      </c>
      <c r="P883">
        <v>0.99366480000000001</v>
      </c>
      <c r="Q883">
        <v>4.0288549999999999E-2</v>
      </c>
      <c r="R883">
        <v>0.1049158</v>
      </c>
      <c r="S883">
        <v>3.050446</v>
      </c>
      <c r="T883">
        <v>-4.9781079999999998E-2</v>
      </c>
      <c r="U883">
        <v>-0.27337650000000002</v>
      </c>
      <c r="V883">
        <v>-0.1057507</v>
      </c>
      <c r="W883">
        <v>3.8772229999999998E-2</v>
      </c>
      <c r="X883">
        <v>0.99363650000000003</v>
      </c>
      <c r="Y883">
        <v>8.8407840000000001E-2</v>
      </c>
      <c r="Z883">
        <v>-7.0612899999999903E-4</v>
      </c>
      <c r="AA883">
        <v>0.99608410000000003</v>
      </c>
      <c r="AB883">
        <v>21</v>
      </c>
      <c r="AC883">
        <v>65.542699999999996</v>
      </c>
      <c r="AD883">
        <v>-1.0734296570140001</v>
      </c>
      <c r="AE883">
        <v>-5.8868999999999598</v>
      </c>
      <c r="AF883">
        <v>5.82997952890749</v>
      </c>
      <c r="AG883">
        <v>-1.0734296570140001</v>
      </c>
      <c r="AH883">
        <v>65.530213417746793</v>
      </c>
      <c r="AI883">
        <v>90.934768676463705</v>
      </c>
      <c r="AJ883">
        <v>84.915992561629807</v>
      </c>
      <c r="AK883">
        <v>65.7977946675379</v>
      </c>
      <c r="AL883">
        <v>87.7779578834228</v>
      </c>
      <c r="AM883">
        <v>96.075004467733095</v>
      </c>
      <c r="AN883">
        <v>0.99999999525095595</v>
      </c>
    </row>
    <row r="884" spans="1:40" x14ac:dyDescent="0.3">
      <c r="A884" t="str">
        <f>"20200111145929145"</f>
        <v>20200111145929145</v>
      </c>
      <c r="B884" t="str">
        <f>"1578725969136750"</f>
        <v>1578725969136750</v>
      </c>
      <c r="C884" t="s">
        <v>40</v>
      </c>
      <c r="D884">
        <v>4.343235</v>
      </c>
      <c r="E884">
        <v>0.57414750000000003</v>
      </c>
      <c r="F884" t="s">
        <v>42</v>
      </c>
      <c r="G884">
        <v>-335.86509999999998</v>
      </c>
      <c r="H884" s="1">
        <v>-3.503316E-6</v>
      </c>
      <c r="I884">
        <v>361.68579999999997</v>
      </c>
      <c r="J884">
        <v>-398.1447</v>
      </c>
      <c r="K884">
        <v>1.074473</v>
      </c>
      <c r="L884">
        <v>367.2765</v>
      </c>
      <c r="M884">
        <v>0.99999890000000002</v>
      </c>
      <c r="N884">
        <v>0</v>
      </c>
      <c r="O884">
        <v>-8.7582449999999896E-4</v>
      </c>
      <c r="P884">
        <v>0.99368529999999999</v>
      </c>
      <c r="Q884">
        <v>4.0037799999999998E-2</v>
      </c>
      <c r="R884">
        <v>0.1048166</v>
      </c>
      <c r="S884">
        <v>3.0501100000000001</v>
      </c>
      <c r="T884">
        <v>-5.2482599999999997E-2</v>
      </c>
      <c r="U884">
        <v>-0.27334589999999998</v>
      </c>
      <c r="V884">
        <v>-0.1056826</v>
      </c>
      <c r="W884">
        <v>3.875936E-2</v>
      </c>
      <c r="X884">
        <v>0.99364419999999998</v>
      </c>
      <c r="Y884">
        <v>8.8375460000000003E-2</v>
      </c>
      <c r="Z884">
        <v>-7.4371399999999905E-4</v>
      </c>
      <c r="AA884">
        <v>0.99608699999999994</v>
      </c>
      <c r="AB884">
        <v>20</v>
      </c>
      <c r="AC884">
        <v>62.279600000000002</v>
      </c>
      <c r="AD884">
        <v>-1.074476503316</v>
      </c>
      <c r="AE884">
        <v>-5.5907000000000204</v>
      </c>
      <c r="AF884">
        <v>5.5345176504294704</v>
      </c>
      <c r="AG884">
        <v>-1.074476503316</v>
      </c>
      <c r="AH884">
        <v>62.266087397340499</v>
      </c>
      <c r="AI884">
        <v>90.984728203316394</v>
      </c>
      <c r="AJ884">
        <v>84.920616431082394</v>
      </c>
      <c r="AK884">
        <v>62.520804738521598</v>
      </c>
      <c r="AL884">
        <v>87.778695729935393</v>
      </c>
      <c r="AM884">
        <v>96.071074894156396</v>
      </c>
      <c r="AN884">
        <v>0.99999994806200299</v>
      </c>
    </row>
    <row r="885" spans="1:40" x14ac:dyDescent="0.3">
      <c r="A885" t="str">
        <f>"20200111145929157"</f>
        <v>20200111145929157</v>
      </c>
      <c r="B885" t="str">
        <f>"1578725969146511"</f>
        <v>1578725969146511</v>
      </c>
      <c r="C885" t="s">
        <v>40</v>
      </c>
      <c r="D885">
        <v>4.314692</v>
      </c>
      <c r="E885">
        <v>0.57403490000000001</v>
      </c>
      <c r="F885" t="s">
        <v>42</v>
      </c>
      <c r="G885">
        <v>-336.22390000000001</v>
      </c>
      <c r="H885" s="1">
        <v>-3.3699320000000002E-6</v>
      </c>
      <c r="I885">
        <v>361.72829999999999</v>
      </c>
      <c r="J885">
        <v>-398.03</v>
      </c>
      <c r="K885">
        <v>1.075642</v>
      </c>
      <c r="L885">
        <v>367.27640000000002</v>
      </c>
      <c r="M885">
        <v>0.99999890000000002</v>
      </c>
      <c r="N885">
        <v>0</v>
      </c>
      <c r="O885">
        <v>-9.0986500000000004E-4</v>
      </c>
      <c r="P885">
        <v>0.99369969999999996</v>
      </c>
      <c r="Q885">
        <v>4.0230790000000002E-2</v>
      </c>
      <c r="R885">
        <v>0.104606</v>
      </c>
      <c r="S885">
        <v>3.0500180000000001</v>
      </c>
      <c r="T885">
        <v>-5.2925109999999997E-2</v>
      </c>
      <c r="U885">
        <v>-0.2732849</v>
      </c>
      <c r="V885">
        <v>-0.1055056</v>
      </c>
      <c r="W885">
        <v>3.9045249999999997E-2</v>
      </c>
      <c r="X885">
        <v>0.99365190000000003</v>
      </c>
      <c r="Y885">
        <v>8.8324230000000004E-2</v>
      </c>
      <c r="Z885">
        <v>-7.4897389999999998E-4</v>
      </c>
      <c r="AA885">
        <v>0.99609150000000002</v>
      </c>
      <c r="AB885">
        <v>20</v>
      </c>
      <c r="AC885">
        <v>61.806099999999901</v>
      </c>
      <c r="AD885">
        <v>-1.0756453699320001</v>
      </c>
      <c r="AE885">
        <v>-5.54810000000003</v>
      </c>
      <c r="AF885">
        <v>5.4902128555686902</v>
      </c>
      <c r="AG885">
        <v>-1.0756453699320001</v>
      </c>
      <c r="AH885">
        <v>61.792556106667199</v>
      </c>
      <c r="AI885">
        <v>90.993355274824495</v>
      </c>
      <c r="AJ885">
        <v>84.922654141715597</v>
      </c>
      <c r="AK885">
        <v>62.045301517173101</v>
      </c>
      <c r="AL885">
        <v>87.762303214840301</v>
      </c>
      <c r="AM885">
        <v>96.060936028281603</v>
      </c>
      <c r="AN885">
        <v>1.00000003077626</v>
      </c>
    </row>
    <row r="886" spans="1:40" x14ac:dyDescent="0.3">
      <c r="A886" t="str">
        <f>"20200111145929169"</f>
        <v>20200111145929169</v>
      </c>
      <c r="B886" t="str">
        <f>"1578725969167007"</f>
        <v>1578725969167007</v>
      </c>
      <c r="C886" t="s">
        <v>40</v>
      </c>
      <c r="D886">
        <v>4.243995</v>
      </c>
      <c r="E886">
        <v>0.57374820000000004</v>
      </c>
      <c r="F886" t="s">
        <v>42</v>
      </c>
      <c r="G886">
        <v>-335.2079</v>
      </c>
      <c r="H886" s="1">
        <v>-3.7362860000000002E-6</v>
      </c>
      <c r="I886">
        <v>361.6508</v>
      </c>
      <c r="J886">
        <v>-397.92329999999998</v>
      </c>
      <c r="K886">
        <v>1.0767789999999999</v>
      </c>
      <c r="L886">
        <v>367.27620000000002</v>
      </c>
      <c r="M886">
        <v>0.99999899999999997</v>
      </c>
      <c r="N886">
        <v>0</v>
      </c>
      <c r="O886">
        <v>-9.407199E-4</v>
      </c>
      <c r="P886">
        <v>0.9937494</v>
      </c>
      <c r="Q886">
        <v>3.9960530000000001E-2</v>
      </c>
      <c r="R886">
        <v>0.10423880000000001</v>
      </c>
      <c r="S886">
        <v>3.0498349999999999</v>
      </c>
      <c r="T886">
        <v>-5.2219509999999997E-2</v>
      </c>
      <c r="U886">
        <v>-0.27310180000000001</v>
      </c>
      <c r="V886">
        <v>-0.1051697</v>
      </c>
      <c r="W886">
        <v>3.881225E-2</v>
      </c>
      <c r="X886">
        <v>0.99369660000000004</v>
      </c>
      <c r="Y886">
        <v>8.8239860000000003E-2</v>
      </c>
      <c r="Z886">
        <v>-7.377881E-4</v>
      </c>
      <c r="AA886">
        <v>0.99609899999999996</v>
      </c>
      <c r="AB886">
        <v>20</v>
      </c>
      <c r="AC886">
        <v>62.715399999999903</v>
      </c>
      <c r="AD886">
        <v>-1.0767827362860001</v>
      </c>
      <c r="AE886">
        <v>-5.6254000000000097</v>
      </c>
      <c r="AF886">
        <v>5.5647725254931597</v>
      </c>
      <c r="AG886">
        <v>-1.0767827362860001</v>
      </c>
      <c r="AH886">
        <v>62.702327897276597</v>
      </c>
      <c r="AI886">
        <v>90.979988684423802</v>
      </c>
      <c r="AJ886">
        <v>84.928341160392307</v>
      </c>
      <c r="AK886">
        <v>62.957986610590098</v>
      </c>
      <c r="AL886">
        <v>87.775663177860096</v>
      </c>
      <c r="AM886">
        <v>96.041512901753606</v>
      </c>
      <c r="AN886">
        <v>0.99999999469985601</v>
      </c>
    </row>
    <row r="887" spans="1:40" x14ac:dyDescent="0.3">
      <c r="A887" t="str">
        <f>"20200111145929181"</f>
        <v>20200111145929181</v>
      </c>
      <c r="B887" t="str">
        <f>"1578725969176766"</f>
        <v>1578725969176766</v>
      </c>
      <c r="C887" t="s">
        <v>40</v>
      </c>
      <c r="D887">
        <v>4.2195710000000002</v>
      </c>
      <c r="E887">
        <v>0.57364780000000004</v>
      </c>
      <c r="F887" t="s">
        <v>42</v>
      </c>
      <c r="G887">
        <v>-336.22629999999998</v>
      </c>
      <c r="H887" s="1">
        <v>-3.3570129999999999E-6</v>
      </c>
      <c r="I887">
        <v>361.77379999999999</v>
      </c>
      <c r="J887">
        <v>-397.80700000000002</v>
      </c>
      <c r="K887">
        <v>1.0780459999999901</v>
      </c>
      <c r="L887">
        <v>367.27609999999999</v>
      </c>
      <c r="M887">
        <v>0.99999890000000002</v>
      </c>
      <c r="N887">
        <v>0</v>
      </c>
      <c r="O887">
        <v>-9.7371890000000003E-4</v>
      </c>
      <c r="P887">
        <v>0.99379890000000004</v>
      </c>
      <c r="Q887">
        <v>3.9942770000000002E-2</v>
      </c>
      <c r="R887">
        <v>0.103771</v>
      </c>
      <c r="S887">
        <v>3.0495610000000002</v>
      </c>
      <c r="T887">
        <v>-5.322313E-2</v>
      </c>
      <c r="U887">
        <v>-0.27197270000000001</v>
      </c>
      <c r="V887">
        <v>-0.1047346</v>
      </c>
      <c r="W887">
        <v>3.883607E-2</v>
      </c>
      <c r="X887">
        <v>0.9937416</v>
      </c>
      <c r="Y887">
        <v>8.7848599999999999E-2</v>
      </c>
      <c r="Z887">
        <v>-7.4806329999999998E-4</v>
      </c>
      <c r="AA887">
        <v>0.99613359999999995</v>
      </c>
      <c r="AB887">
        <v>21</v>
      </c>
      <c r="AC887">
        <v>61.580699999999901</v>
      </c>
      <c r="AD887">
        <v>-1.0780493570130001</v>
      </c>
      <c r="AE887">
        <v>-5.5022999999999902</v>
      </c>
      <c r="AF887">
        <v>5.44068086326907</v>
      </c>
      <c r="AG887">
        <v>-1.0780493570130001</v>
      </c>
      <c r="AH887">
        <v>61.567309412777597</v>
      </c>
      <c r="AI887">
        <v>90.999258633473204</v>
      </c>
      <c r="AJ887">
        <v>84.949911131196998</v>
      </c>
      <c r="AK887">
        <v>61.816638431742497</v>
      </c>
      <c r="AL887">
        <v>87.774297312470395</v>
      </c>
      <c r="AM887">
        <v>96.016431680985406</v>
      </c>
      <c r="AN887">
        <v>0.99999997217038195</v>
      </c>
    </row>
    <row r="888" spans="1:40" x14ac:dyDescent="0.3">
      <c r="A888" t="str">
        <f>"20200111145929193"</f>
        <v>20200111145929193</v>
      </c>
      <c r="B888" t="str">
        <f>"1578725969186526"</f>
        <v>1578725969186526</v>
      </c>
      <c r="C888" t="s">
        <v>40</v>
      </c>
      <c r="D888">
        <v>4.1717629999999897</v>
      </c>
      <c r="E888">
        <v>0.57357449999999999</v>
      </c>
      <c r="F888" t="s">
        <v>42</v>
      </c>
      <c r="G888">
        <v>-336.33170000000001</v>
      </c>
      <c r="H888" s="1">
        <v>-3.3196119999999999E-6</v>
      </c>
      <c r="I888">
        <v>361.77940000000001</v>
      </c>
      <c r="J888">
        <v>-397.6952</v>
      </c>
      <c r="K888">
        <v>1.07935</v>
      </c>
      <c r="L888">
        <v>367.27600000000001</v>
      </c>
      <c r="M888">
        <v>0.99999899999999997</v>
      </c>
      <c r="N888">
        <v>0</v>
      </c>
      <c r="O888">
        <v>-1.0033100000000001E-3</v>
      </c>
      <c r="P888">
        <v>0.9938418</v>
      </c>
      <c r="Q888">
        <v>3.957596E-2</v>
      </c>
      <c r="R888">
        <v>0.10349990000000001</v>
      </c>
      <c r="S888">
        <v>3.0493160000000001</v>
      </c>
      <c r="T888">
        <v>-5.3473710000000001E-2</v>
      </c>
      <c r="U888">
        <v>-0.272644</v>
      </c>
      <c r="V888">
        <v>-0.1044926</v>
      </c>
      <c r="W888">
        <v>3.8670259999999998E-2</v>
      </c>
      <c r="X888">
        <v>0.99377360000000003</v>
      </c>
      <c r="Y888">
        <v>8.8043640000000006E-2</v>
      </c>
      <c r="Z888">
        <v>-7.5282630000000005E-4</v>
      </c>
      <c r="AA888">
        <v>0.99611629999999995</v>
      </c>
      <c r="AB888">
        <v>21</v>
      </c>
      <c r="AC888">
        <v>61.363499999999902</v>
      </c>
      <c r="AD888">
        <v>-1.079353319612</v>
      </c>
      <c r="AE888">
        <v>-5.4965999999999999</v>
      </c>
      <c r="AF888">
        <v>5.4333629391854199</v>
      </c>
      <c r="AG888">
        <v>-1.079353319612</v>
      </c>
      <c r="AH888">
        <v>61.350153839100997</v>
      </c>
      <c r="AI888">
        <v>91.003990536618502</v>
      </c>
      <c r="AJ888">
        <v>84.938909768832403</v>
      </c>
      <c r="AK888">
        <v>61.599738737261099</v>
      </c>
      <c r="AL888">
        <v>87.7838047965421</v>
      </c>
      <c r="AM888">
        <v>96.002439838203202</v>
      </c>
      <c r="AN888">
        <v>1.00000003026009</v>
      </c>
    </row>
    <row r="889" spans="1:40" x14ac:dyDescent="0.3">
      <c r="A889" t="str">
        <f>"20200111145929205"</f>
        <v>20200111145929205</v>
      </c>
      <c r="B889" t="str">
        <f>"1578725969196287"</f>
        <v>1578725969196287</v>
      </c>
      <c r="C889" t="s">
        <v>40</v>
      </c>
      <c r="D889">
        <v>4.2349399999999999</v>
      </c>
      <c r="E889">
        <v>0.57353880000000002</v>
      </c>
      <c r="F889" t="s">
        <v>42</v>
      </c>
      <c r="G889">
        <v>-337.50020000000001</v>
      </c>
      <c r="H889" s="1">
        <v>-2.8932270000000002E-6</v>
      </c>
      <c r="I889">
        <v>361.88749999999999</v>
      </c>
      <c r="J889">
        <v>-397.58760000000001</v>
      </c>
      <c r="K889">
        <v>1.080635</v>
      </c>
      <c r="L889">
        <v>367.2758</v>
      </c>
      <c r="M889">
        <v>0.99999939999999998</v>
      </c>
      <c r="N889">
        <v>0</v>
      </c>
      <c r="O889">
        <v>-1.0312260000000001E-3</v>
      </c>
      <c r="P889">
        <v>0.99386379999999996</v>
      </c>
      <c r="Q889">
        <v>3.9224420000000003E-2</v>
      </c>
      <c r="R889">
        <v>0.1034249</v>
      </c>
      <c r="S889">
        <v>3.0491640000000002</v>
      </c>
      <c r="T889">
        <v>-5.4674390000000003E-2</v>
      </c>
      <c r="U889">
        <v>-0.2729492</v>
      </c>
      <c r="V889">
        <v>-0.1044455</v>
      </c>
      <c r="W889">
        <v>3.8614509999999998E-2</v>
      </c>
      <c r="X889">
        <v>0.99378069999999996</v>
      </c>
      <c r="Y889">
        <v>8.8118550000000004E-2</v>
      </c>
      <c r="Z889">
        <v>-7.6993289999999995E-4</v>
      </c>
      <c r="AA889">
        <v>0.99610969999999999</v>
      </c>
      <c r="AB889">
        <v>21</v>
      </c>
      <c r="AC889">
        <v>60.087400000000002</v>
      </c>
      <c r="AD889">
        <v>-1.080637893227</v>
      </c>
      <c r="AE889">
        <v>-5.3883000000000099</v>
      </c>
      <c r="AF889">
        <v>5.3246249840961797</v>
      </c>
      <c r="AG889">
        <v>-1.080637893227</v>
      </c>
      <c r="AH889">
        <v>60.073649394009301</v>
      </c>
      <c r="AI889">
        <v>91.026533343335601</v>
      </c>
      <c r="AJ889">
        <v>84.934827960975298</v>
      </c>
      <c r="AK889">
        <v>60.318842503747497</v>
      </c>
      <c r="AL889">
        <v>87.787001381661099</v>
      </c>
      <c r="AM889">
        <v>95.999711428107901</v>
      </c>
      <c r="AN889">
        <v>1.0000000112726399</v>
      </c>
    </row>
    <row r="890" spans="1:40" x14ac:dyDescent="0.3">
      <c r="A890" t="str">
        <f>"20200111145929217"</f>
        <v>20200111145929217</v>
      </c>
      <c r="B890" t="str">
        <f>"1578725969207024"</f>
        <v>1578725969207024</v>
      </c>
      <c r="C890" t="s">
        <v>40</v>
      </c>
      <c r="D890">
        <v>4.163252</v>
      </c>
      <c r="E890">
        <v>0.57346390000000003</v>
      </c>
      <c r="F890" t="s">
        <v>42</v>
      </c>
      <c r="G890">
        <v>-339.50470000000001</v>
      </c>
      <c r="H890" s="1">
        <v>-2.159122E-6</v>
      </c>
      <c r="I890">
        <v>362.08280000000002</v>
      </c>
      <c r="J890">
        <v>-397.46879999999999</v>
      </c>
      <c r="K890">
        <v>1.082101</v>
      </c>
      <c r="L890">
        <v>367.27569999999997</v>
      </c>
      <c r="M890">
        <v>0.99999950000000004</v>
      </c>
      <c r="N890">
        <v>0</v>
      </c>
      <c r="O890">
        <v>-1.0606050000000001E-3</v>
      </c>
      <c r="P890">
        <v>0.99388920000000003</v>
      </c>
      <c r="Q890">
        <v>3.8836509999999998E-2</v>
      </c>
      <c r="R890">
        <v>0.10332570000000001</v>
      </c>
      <c r="S890">
        <v>3.0491640000000002</v>
      </c>
      <c r="T890">
        <v>-5.6729910000000001E-2</v>
      </c>
      <c r="U890">
        <v>-0.27261350000000001</v>
      </c>
      <c r="V890">
        <v>-0.10437539999999999</v>
      </c>
      <c r="W890">
        <v>3.8722680000000002E-2</v>
      </c>
      <c r="X890">
        <v>0.99378379999999999</v>
      </c>
      <c r="Y890">
        <v>8.7979450000000001E-2</v>
      </c>
      <c r="Z890">
        <v>-7.9704159999999995E-4</v>
      </c>
      <c r="AA890">
        <v>0.9961219</v>
      </c>
      <c r="AB890">
        <v>21</v>
      </c>
      <c r="AC890">
        <v>57.964099999999902</v>
      </c>
      <c r="AD890">
        <v>-1.0821031591220001</v>
      </c>
      <c r="AE890">
        <v>-5.1928999999999501</v>
      </c>
      <c r="AF890">
        <v>5.1296465540289802</v>
      </c>
      <c r="AG890">
        <v>-1.0821031591220001</v>
      </c>
      <c r="AH890">
        <v>57.949539643734497</v>
      </c>
      <c r="AI890">
        <v>91.065605299035795</v>
      </c>
      <c r="AJ890">
        <v>84.941408717649793</v>
      </c>
      <c r="AK890">
        <v>58.186195664753697</v>
      </c>
      <c r="AL890">
        <v>87.7807989348847</v>
      </c>
      <c r="AM890">
        <v>95.9956954169554</v>
      </c>
      <c r="AN890">
        <v>0.99999995560698995</v>
      </c>
    </row>
    <row r="891" spans="1:40" x14ac:dyDescent="0.3">
      <c r="A891" t="str">
        <f>"20200111145929235"</f>
        <v>20200111145929235</v>
      </c>
      <c r="B891" t="str">
        <f>"1578725969226351"</f>
        <v>1578725969226351</v>
      </c>
      <c r="C891" t="s">
        <v>40</v>
      </c>
      <c r="D891">
        <v>4.1009169999999999</v>
      </c>
      <c r="E891">
        <v>0.57328459999999903</v>
      </c>
      <c r="F891" t="s">
        <v>42</v>
      </c>
      <c r="G891">
        <v>-340.10570000000001</v>
      </c>
      <c r="H891" s="1">
        <v>-5.9829739999999999E-6</v>
      </c>
      <c r="I891">
        <v>362.14449999999999</v>
      </c>
      <c r="J891">
        <v>-397.30900000000003</v>
      </c>
      <c r="K891">
        <v>1.084079</v>
      </c>
      <c r="L891">
        <v>367.27550000000002</v>
      </c>
      <c r="M891">
        <v>0.99999919999999998</v>
      </c>
      <c r="N891">
        <v>0</v>
      </c>
      <c r="O891">
        <v>-1.10012E-3</v>
      </c>
      <c r="P891">
        <v>0.99387400000000004</v>
      </c>
      <c r="Q891">
        <v>3.8081450000000003E-2</v>
      </c>
      <c r="R891">
        <v>0.103753</v>
      </c>
      <c r="S891">
        <v>3.049042</v>
      </c>
      <c r="T891">
        <v>-5.7517529999999997E-2</v>
      </c>
      <c r="U891">
        <v>-0.27273560000000002</v>
      </c>
      <c r="V891">
        <v>-0.1048418</v>
      </c>
      <c r="W891">
        <v>3.8812729999999997E-2</v>
      </c>
      <c r="X891">
        <v>0.99373129999999998</v>
      </c>
      <c r="Y891">
        <v>8.7982759999999993E-2</v>
      </c>
      <c r="Z891">
        <v>-8.0742330000000003E-4</v>
      </c>
      <c r="AA891">
        <v>0.99612160000000005</v>
      </c>
      <c r="AB891">
        <v>21</v>
      </c>
      <c r="AC891">
        <v>57.203299999999999</v>
      </c>
      <c r="AD891">
        <v>-1.084084982974</v>
      </c>
      <c r="AE891">
        <v>-5.1310000000000198</v>
      </c>
      <c r="AF891">
        <v>5.0662613274517403</v>
      </c>
      <c r="AG891">
        <v>-1.084084982974</v>
      </c>
      <c r="AH891">
        <v>57.188534367789003</v>
      </c>
      <c r="AI891">
        <v>91.081752418641599</v>
      </c>
      <c r="AJ891">
        <v>84.937453922593306</v>
      </c>
      <c r="AK891">
        <v>57.4227368489532</v>
      </c>
      <c r="AL891">
        <v>87.775635808970094</v>
      </c>
      <c r="AM891">
        <v>96.022606464796297</v>
      </c>
      <c r="AN891">
        <v>1.0000000638184801</v>
      </c>
    </row>
    <row r="892" spans="1:40" x14ac:dyDescent="0.3">
      <c r="A892" t="str">
        <f>"20200111145929248"</f>
        <v>20200111145929248</v>
      </c>
      <c r="B892" t="str">
        <f>"1578725969236112"</f>
        <v>1578725969236112</v>
      </c>
      <c r="C892" t="s">
        <v>40</v>
      </c>
      <c r="D892">
        <v>4.0208190000000004</v>
      </c>
      <c r="E892">
        <v>0.5731733</v>
      </c>
      <c r="F892" t="s">
        <v>42</v>
      </c>
      <c r="G892">
        <v>-340.53710000000001</v>
      </c>
      <c r="H892" s="1">
        <v>-5.7604719999999901E-6</v>
      </c>
      <c r="I892">
        <v>362.24919999999997</v>
      </c>
      <c r="J892">
        <v>-397.18560000000002</v>
      </c>
      <c r="K892">
        <v>1.0855549999999901</v>
      </c>
      <c r="L892">
        <v>367.27530000000002</v>
      </c>
      <c r="M892">
        <v>0.99999859999999896</v>
      </c>
      <c r="N892">
        <v>0</v>
      </c>
      <c r="O892">
        <v>-1.131033E-3</v>
      </c>
      <c r="P892">
        <v>0.99384709999999998</v>
      </c>
      <c r="Q892">
        <v>3.744509E-2</v>
      </c>
      <c r="R892">
        <v>0.1042406</v>
      </c>
      <c r="S892">
        <v>3.0488279999999999</v>
      </c>
      <c r="T892">
        <v>-5.8218720000000002E-2</v>
      </c>
      <c r="U892">
        <v>-0.269928</v>
      </c>
      <c r="V892">
        <v>-0.1053605</v>
      </c>
      <c r="W892">
        <v>3.8845610000000003E-2</v>
      </c>
      <c r="X892">
        <v>0.99367510000000003</v>
      </c>
      <c r="Y892">
        <v>8.7047819999999998E-2</v>
      </c>
      <c r="Z892">
        <v>-8.0785749999999999E-4</v>
      </c>
      <c r="AA892">
        <v>0.99620379999999997</v>
      </c>
      <c r="AB892">
        <v>21</v>
      </c>
      <c r="AC892">
        <v>56.648499999999999</v>
      </c>
      <c r="AD892">
        <v>-1.0855607604719999</v>
      </c>
      <c r="AE892">
        <v>-5.0261000000000404</v>
      </c>
      <c r="AF892">
        <v>4.9602181277915101</v>
      </c>
      <c r="AG892">
        <v>-1.0855607604719999</v>
      </c>
      <c r="AH892">
        <v>56.633513688872398</v>
      </c>
      <c r="AI892">
        <v>91.093933937906201</v>
      </c>
      <c r="AJ892">
        <v>84.994550581679306</v>
      </c>
      <c r="AK892">
        <v>56.860681307804001</v>
      </c>
      <c r="AL892">
        <v>87.773750383027604</v>
      </c>
      <c r="AM892">
        <v>96.052522180313701</v>
      </c>
      <c r="AN892">
        <v>1.00000001036826</v>
      </c>
    </row>
    <row r="893" spans="1:40" x14ac:dyDescent="0.3">
      <c r="A893" t="str">
        <f>"20200111145929262"</f>
        <v>20200111145929262</v>
      </c>
      <c r="B893" t="str">
        <f>"1578725969256610"</f>
        <v>1578725969256610</v>
      </c>
      <c r="C893" t="s">
        <v>40</v>
      </c>
      <c r="D893">
        <v>4.1298729999999999</v>
      </c>
      <c r="E893">
        <v>0.57316919999999905</v>
      </c>
      <c r="F893" t="s">
        <v>42</v>
      </c>
      <c r="G893">
        <v>-341.49590000000001</v>
      </c>
      <c r="H893" s="1">
        <v>-5.2830679999999901E-6</v>
      </c>
      <c r="I893">
        <v>362.38549999999998</v>
      </c>
      <c r="J893">
        <v>-397.05540000000002</v>
      </c>
      <c r="K893">
        <v>1.0870679999999999</v>
      </c>
      <c r="L893">
        <v>367.27510000000001</v>
      </c>
      <c r="M893">
        <v>0.99999729999999998</v>
      </c>
      <c r="N893">
        <v>0</v>
      </c>
      <c r="O893">
        <v>-1.1636249999999999E-3</v>
      </c>
      <c r="P893">
        <v>0.99385849999999998</v>
      </c>
      <c r="Q893">
        <v>3.6561530000000002E-2</v>
      </c>
      <c r="R893">
        <v>0.1044452</v>
      </c>
      <c r="S893">
        <v>3.0488590000000002</v>
      </c>
      <c r="T893">
        <v>-5.943143E-2</v>
      </c>
      <c r="U893">
        <v>-0.2677002</v>
      </c>
      <c r="V893">
        <v>-0.10559730000000001</v>
      </c>
      <c r="W893">
        <v>3.8650249999999997E-2</v>
      </c>
      <c r="X893">
        <v>0.99365760000000003</v>
      </c>
      <c r="Y893">
        <v>8.6291640000000003E-2</v>
      </c>
      <c r="Z893">
        <v>-8.1671149999999997E-4</v>
      </c>
      <c r="AA893">
        <v>0.99626959999999998</v>
      </c>
      <c r="AB893">
        <v>21</v>
      </c>
      <c r="AC893">
        <v>55.5595</v>
      </c>
      <c r="AD893">
        <v>-1.0870732830680001</v>
      </c>
      <c r="AE893">
        <v>-4.8896000000000299</v>
      </c>
      <c r="AF893">
        <v>4.8231139149819402</v>
      </c>
      <c r="AG893">
        <v>-1.0870732830680001</v>
      </c>
      <c r="AH893">
        <v>55.544051796772401</v>
      </c>
      <c r="AI893">
        <v>91.117011618386201</v>
      </c>
      <c r="AJ893">
        <v>85.037224879056097</v>
      </c>
      <c r="AK893">
        <v>55.763660623762703</v>
      </c>
      <c r="AL893">
        <v>87.784952139594196</v>
      </c>
      <c r="AM893">
        <v>96.066130080045795</v>
      </c>
      <c r="AN893">
        <v>1.0000000288150499</v>
      </c>
    </row>
    <row r="894" spans="1:40" x14ac:dyDescent="0.3">
      <c r="A894" t="str">
        <f>"20200111145929278"</f>
        <v>20200111145929278</v>
      </c>
      <c r="B894" t="str">
        <f>"1578725969266368"</f>
        <v>1578725969266368</v>
      </c>
      <c r="C894" t="s">
        <v>40</v>
      </c>
      <c r="D894">
        <v>4.0857939999999999</v>
      </c>
      <c r="E894">
        <v>0.57319739999999997</v>
      </c>
      <c r="F894" t="s">
        <v>42</v>
      </c>
      <c r="G894">
        <v>-343.12049999999999</v>
      </c>
      <c r="H894" s="1">
        <v>-4.5053379999999997E-6</v>
      </c>
      <c r="I894">
        <v>362.55340000000001</v>
      </c>
      <c r="J894">
        <v>-396.904</v>
      </c>
      <c r="K894">
        <v>1.0887009999999999</v>
      </c>
      <c r="L894">
        <v>367.2749</v>
      </c>
      <c r="M894">
        <v>0.99999550000000004</v>
      </c>
      <c r="N894">
        <v>0</v>
      </c>
      <c r="O894">
        <v>-1.201714E-3</v>
      </c>
      <c r="P894">
        <v>0.99381719999999896</v>
      </c>
      <c r="Q894">
        <v>3.5879300000000003E-2</v>
      </c>
      <c r="R894">
        <v>0.1050743</v>
      </c>
      <c r="S894">
        <v>3.0488590000000002</v>
      </c>
      <c r="T894">
        <v>-6.1450480000000002E-2</v>
      </c>
      <c r="U894">
        <v>-0.2669067</v>
      </c>
      <c r="V894">
        <v>-0.10626430000000001</v>
      </c>
      <c r="W894">
        <v>3.8667399999999998E-2</v>
      </c>
      <c r="X894">
        <v>0.99358579999999996</v>
      </c>
      <c r="Y894">
        <v>8.5995340000000003E-2</v>
      </c>
      <c r="Z894">
        <v>-8.4071500000000002E-4</v>
      </c>
      <c r="AA894">
        <v>0.99629520000000005</v>
      </c>
      <c r="AB894">
        <v>21</v>
      </c>
      <c r="AC894">
        <v>53.783499999999997</v>
      </c>
      <c r="AD894">
        <v>-1.0887055053379999</v>
      </c>
      <c r="AE894">
        <v>-4.72149999999999</v>
      </c>
      <c r="AF894">
        <v>4.6549711578080704</v>
      </c>
      <c r="AG894">
        <v>-1.0887055053379999</v>
      </c>
      <c r="AH894">
        <v>53.7672722365255</v>
      </c>
      <c r="AI894">
        <v>91.155672017902205</v>
      </c>
      <c r="AJ894">
        <v>85.051881943650997</v>
      </c>
      <c r="AK894">
        <v>53.979381247973102</v>
      </c>
      <c r="AL894">
        <v>87.783968730485</v>
      </c>
      <c r="AM894">
        <v>96.104595880977698</v>
      </c>
      <c r="AN894">
        <v>1.00000000561944</v>
      </c>
    </row>
    <row r="895" spans="1:40" x14ac:dyDescent="0.3">
      <c r="A895" t="str">
        <f>"20200111145929290"</f>
        <v>20200111145929290</v>
      </c>
      <c r="B895" t="str">
        <f>"1578725969286864"</f>
        <v>1578725969286864</v>
      </c>
      <c r="C895" t="s">
        <v>40</v>
      </c>
      <c r="D895">
        <v>4.0883830000000003</v>
      </c>
      <c r="E895">
        <v>0.57332359999999905</v>
      </c>
      <c r="F895" t="s">
        <v>42</v>
      </c>
      <c r="G895">
        <v>-344.64690000000002</v>
      </c>
      <c r="H895" s="1">
        <v>-3.872384E-6</v>
      </c>
      <c r="I895">
        <v>362.72919999999999</v>
      </c>
      <c r="J895">
        <v>-396.7921</v>
      </c>
      <c r="K895">
        <v>1.089818</v>
      </c>
      <c r="L895">
        <v>367.2747</v>
      </c>
      <c r="M895">
        <v>0.99999400000000005</v>
      </c>
      <c r="N895">
        <v>0</v>
      </c>
      <c r="O895">
        <v>-1.2283120000000001E-3</v>
      </c>
      <c r="P895">
        <v>0.99380199999999996</v>
      </c>
      <c r="Q895">
        <v>3.5495539999999999E-2</v>
      </c>
      <c r="R895">
        <v>0.10534689999999999</v>
      </c>
      <c r="S895">
        <v>3.049042</v>
      </c>
      <c r="T895">
        <v>-6.3522700000000001E-2</v>
      </c>
      <c r="U895">
        <v>-0.26522829999999997</v>
      </c>
      <c r="V895">
        <v>-0.1065634</v>
      </c>
      <c r="W895">
        <v>3.874793E-2</v>
      </c>
      <c r="X895">
        <v>0.99355059999999995</v>
      </c>
      <c r="Y895">
        <v>8.5418279999999999E-2</v>
      </c>
      <c r="Z895">
        <v>-8.6247600000000004E-4</v>
      </c>
      <c r="AA895">
        <v>0.99634480000000003</v>
      </c>
      <c r="AB895">
        <v>21</v>
      </c>
      <c r="AC895">
        <v>52.145199999999903</v>
      </c>
      <c r="AD895">
        <v>-1.0898218723840001</v>
      </c>
      <c r="AE895">
        <v>-4.5454999999999997</v>
      </c>
      <c r="AF895">
        <v>4.4795037696932596</v>
      </c>
      <c r="AG895">
        <v>-1.0898218723840001</v>
      </c>
      <c r="AH895">
        <v>52.128146136106501</v>
      </c>
      <c r="AI895">
        <v>91.193288519465497</v>
      </c>
      <c r="AJ895">
        <v>85.088494185791802</v>
      </c>
      <c r="AK895">
        <v>52.331608854720798</v>
      </c>
      <c r="AL895">
        <v>87.779351178526099</v>
      </c>
      <c r="AM895">
        <v>96.121863314552996</v>
      </c>
      <c r="AN895">
        <v>0.99999997752960201</v>
      </c>
    </row>
    <row r="896" spans="1:40" x14ac:dyDescent="0.3">
      <c r="A896" t="str">
        <f>"20200111145929303"</f>
        <v>20200111145929303</v>
      </c>
      <c r="B896" t="str">
        <f>"1578725969296623"</f>
        <v>1578725969296623</v>
      </c>
      <c r="C896" t="s">
        <v>40</v>
      </c>
      <c r="D896">
        <v>4.1161219999999998</v>
      </c>
      <c r="E896">
        <v>0.57341839999999999</v>
      </c>
      <c r="F896" t="s">
        <v>42</v>
      </c>
      <c r="G896">
        <v>-346.00240000000002</v>
      </c>
      <c r="H896" s="1">
        <v>-3.3176050000000001E-6</v>
      </c>
      <c r="I896">
        <v>362.85789999999997</v>
      </c>
      <c r="J896">
        <v>-396.66719999999998</v>
      </c>
      <c r="K896">
        <v>1.091021</v>
      </c>
      <c r="L896">
        <v>367.27449999999999</v>
      </c>
      <c r="M896">
        <v>0.99999229999999995</v>
      </c>
      <c r="N896">
        <v>0</v>
      </c>
      <c r="O896">
        <v>-1.257226E-3</v>
      </c>
      <c r="P896">
        <v>0.99378840000000002</v>
      </c>
      <c r="Q896">
        <v>3.489826E-2</v>
      </c>
      <c r="R896">
        <v>0.10567360000000001</v>
      </c>
      <c r="S896">
        <v>3.0491640000000002</v>
      </c>
      <c r="T896">
        <v>-6.5427540000000006E-2</v>
      </c>
      <c r="U896">
        <v>-0.26516719999999999</v>
      </c>
      <c r="V896">
        <v>-0.1069186</v>
      </c>
      <c r="W896">
        <v>3.8647870000000001E-2</v>
      </c>
      <c r="X896">
        <v>0.99351639999999997</v>
      </c>
      <c r="Y896">
        <v>8.5365159999999995E-2</v>
      </c>
      <c r="Z896">
        <v>-8.8711050000000004E-4</v>
      </c>
      <c r="AA896">
        <v>0.99634929999999999</v>
      </c>
      <c r="AB896">
        <v>21</v>
      </c>
      <c r="AC896">
        <v>50.6647999999999</v>
      </c>
      <c r="AD896">
        <v>-1.0910243176050001</v>
      </c>
      <c r="AE896">
        <v>-4.4166000000000096</v>
      </c>
      <c r="AF896">
        <v>4.3508965823777102</v>
      </c>
      <c r="AG896">
        <v>-1.0910243176050001</v>
      </c>
      <c r="AH896">
        <v>50.647003740162603</v>
      </c>
      <c r="AI896">
        <v>91.229532447257199</v>
      </c>
      <c r="AJ896">
        <v>85.089986484407007</v>
      </c>
      <c r="AK896">
        <v>50.845251725094201</v>
      </c>
      <c r="AL896">
        <v>87.785088632453693</v>
      </c>
      <c r="AM896">
        <v>96.142322972381706</v>
      </c>
      <c r="AN896">
        <v>1.0000000409752201</v>
      </c>
    </row>
    <row r="897" spans="1:40" x14ac:dyDescent="0.3">
      <c r="A897" t="str">
        <f>"20200111145929317"</f>
        <v>20200111145929317</v>
      </c>
      <c r="B897" t="str">
        <f>"1578725969306383"</f>
        <v>1578725969306383</v>
      </c>
      <c r="C897" t="s">
        <v>40</v>
      </c>
      <c r="D897">
        <v>4.0752459999999999</v>
      </c>
      <c r="E897">
        <v>0.5734726</v>
      </c>
      <c r="F897" t="s">
        <v>42</v>
      </c>
      <c r="G897">
        <v>-347.00130000000001</v>
      </c>
      <c r="H897" s="1">
        <v>-2.9071399999999999E-6</v>
      </c>
      <c r="I897">
        <v>362.959</v>
      </c>
      <c r="J897">
        <v>-396.53649999999999</v>
      </c>
      <c r="K897">
        <v>1.0921909999999999</v>
      </c>
      <c r="L897">
        <v>367.27440000000001</v>
      </c>
      <c r="M897">
        <v>0.99999009999999999</v>
      </c>
      <c r="N897">
        <v>0</v>
      </c>
      <c r="O897">
        <v>-1.2858940000000001E-3</v>
      </c>
      <c r="P897">
        <v>0.9937724</v>
      </c>
      <c r="Q897">
        <v>3.4655409999999998E-2</v>
      </c>
      <c r="R897">
        <v>0.1059031</v>
      </c>
      <c r="S897">
        <v>3.0492859999999999</v>
      </c>
      <c r="T897">
        <v>-6.6984420000000003E-2</v>
      </c>
      <c r="U897">
        <v>-0.26495360000000001</v>
      </c>
      <c r="V897">
        <v>-0.1071772</v>
      </c>
      <c r="W897">
        <v>3.8898490000000001E-2</v>
      </c>
      <c r="X897">
        <v>0.99347870000000005</v>
      </c>
      <c r="Y897">
        <v>8.5262950000000004E-2</v>
      </c>
      <c r="Z897">
        <v>-9.0643220000000005E-4</v>
      </c>
      <c r="AA897">
        <v>0.99635810000000002</v>
      </c>
      <c r="AB897">
        <v>21</v>
      </c>
      <c r="AC897">
        <v>49.535199999999897</v>
      </c>
      <c r="AD897">
        <v>-1.09219390714</v>
      </c>
      <c r="AE897">
        <v>-4.3154000000000101</v>
      </c>
      <c r="AF897">
        <v>4.2496484262655496</v>
      </c>
      <c r="AG897">
        <v>-1.09219390714</v>
      </c>
      <c r="AH897">
        <v>49.516816890316498</v>
      </c>
      <c r="AI897">
        <v>91.258943477394297</v>
      </c>
      <c r="AJ897">
        <v>85.094762469764305</v>
      </c>
      <c r="AK897">
        <v>49.7108394037637</v>
      </c>
      <c r="AL897">
        <v>87.770718236306806</v>
      </c>
      <c r="AM897">
        <v>96.157297056531505</v>
      </c>
      <c r="AN897">
        <v>0.99999998603890505</v>
      </c>
    </row>
    <row r="898" spans="1:40" x14ac:dyDescent="0.3">
      <c r="A898" t="str">
        <f>"20200111145929329"</f>
        <v>20200111145929329</v>
      </c>
      <c r="B898" t="str">
        <f>"1578725969326880"</f>
        <v>1578725969326880</v>
      </c>
      <c r="C898" t="s">
        <v>40</v>
      </c>
      <c r="D898">
        <v>4.1093029999999997</v>
      </c>
      <c r="E898">
        <v>0.57363160000000002</v>
      </c>
      <c r="F898" t="s">
        <v>42</v>
      </c>
      <c r="G898">
        <v>-347.40210000000002</v>
      </c>
      <c r="H898" s="1">
        <v>-2.7399900000000002E-6</v>
      </c>
      <c r="I898">
        <v>363.00869999999998</v>
      </c>
      <c r="J898">
        <v>-396.42579999999998</v>
      </c>
      <c r="K898">
        <v>1.0931169999999999</v>
      </c>
      <c r="L898">
        <v>367.27420000000001</v>
      </c>
      <c r="M898">
        <v>0.99998830000000005</v>
      </c>
      <c r="N898">
        <v>0</v>
      </c>
      <c r="O898">
        <v>-1.308511E-3</v>
      </c>
      <c r="P898">
        <v>0.9937781</v>
      </c>
      <c r="Q898">
        <v>3.4316199999999998E-2</v>
      </c>
      <c r="R898">
        <v>0.1059607</v>
      </c>
      <c r="S898">
        <v>3.0494080000000001</v>
      </c>
      <c r="T898">
        <v>-6.7784430000000007E-2</v>
      </c>
      <c r="U898">
        <v>-0.26473999999999998</v>
      </c>
      <c r="V898">
        <v>-0.1072574</v>
      </c>
      <c r="W898">
        <v>3.8965680000000003E-2</v>
      </c>
      <c r="X898">
        <v>0.99346749999999995</v>
      </c>
      <c r="Y898">
        <v>8.516725E-2</v>
      </c>
      <c r="Z898">
        <v>-9.156581E-4</v>
      </c>
      <c r="AA898">
        <v>0.99636630000000004</v>
      </c>
      <c r="AB898">
        <v>21</v>
      </c>
      <c r="AC898">
        <v>49.023699999999899</v>
      </c>
      <c r="AD898">
        <v>-1.0931197399899999</v>
      </c>
      <c r="AE898">
        <v>-4.2655000000000296</v>
      </c>
      <c r="AF898">
        <v>4.1992754470835996</v>
      </c>
      <c r="AG898">
        <v>-1.0931197399899999</v>
      </c>
      <c r="AH898">
        <v>49.005057737642801</v>
      </c>
      <c r="AI898">
        <v>91.273178545628497</v>
      </c>
      <c r="AJ898">
        <v>85.102251670946302</v>
      </c>
      <c r="AK898">
        <v>49.196793685322</v>
      </c>
      <c r="AL898">
        <v>87.766865808108193</v>
      </c>
      <c r="AM898">
        <v>96.161938022935104</v>
      </c>
      <c r="AN898">
        <v>1.0000000738144299</v>
      </c>
    </row>
    <row r="899" spans="1:40" x14ac:dyDescent="0.3">
      <c r="A899" t="str">
        <f>"20200111145929346"</f>
        <v>20200111145929346</v>
      </c>
      <c r="B899" t="str">
        <f>"1578725969336639"</f>
        <v>1578725969336639</v>
      </c>
      <c r="C899" t="s">
        <v>40</v>
      </c>
      <c r="D899">
        <v>4.0680290000000001</v>
      </c>
      <c r="E899">
        <v>0.5736753</v>
      </c>
      <c r="F899" t="s">
        <v>42</v>
      </c>
      <c r="G899">
        <v>-348.37360000000001</v>
      </c>
      <c r="H899" s="1">
        <v>-2.3476589999999999E-6</v>
      </c>
      <c r="I899">
        <v>363.08100000000002</v>
      </c>
      <c r="J899">
        <v>-396.2672</v>
      </c>
      <c r="K899">
        <v>1.09436</v>
      </c>
      <c r="L899">
        <v>367.27390000000003</v>
      </c>
      <c r="M899">
        <v>0.99998549999999997</v>
      </c>
      <c r="N899">
        <v>0</v>
      </c>
      <c r="O899">
        <v>-1.3391290000000001E-3</v>
      </c>
      <c r="P899">
        <v>0.99382000000000004</v>
      </c>
      <c r="Q899">
        <v>3.3764780000000001E-2</v>
      </c>
      <c r="R899">
        <v>0.10574450000000001</v>
      </c>
      <c r="S899">
        <v>3.0495610000000002</v>
      </c>
      <c r="T899">
        <v>-6.9373249999999997E-2</v>
      </c>
      <c r="U899">
        <v>-0.2661133</v>
      </c>
      <c r="V899">
        <v>-0.10707220000000001</v>
      </c>
      <c r="W899">
        <v>3.8978539999999999E-2</v>
      </c>
      <c r="X899">
        <v>0.99348689999999995</v>
      </c>
      <c r="Y899">
        <v>8.5576689999999997E-2</v>
      </c>
      <c r="Z899">
        <v>-9.4100270000000005E-4</v>
      </c>
      <c r="AA899">
        <v>0.99633119999999997</v>
      </c>
      <c r="AB899">
        <v>21</v>
      </c>
      <c r="AC899">
        <v>47.8935999999999</v>
      </c>
      <c r="AD899">
        <v>-1.0943623476590001</v>
      </c>
      <c r="AE899">
        <v>-4.1929000000000602</v>
      </c>
      <c r="AF899">
        <v>4.1266214703656798</v>
      </c>
      <c r="AG899">
        <v>-1.0943623476590001</v>
      </c>
      <c r="AH899">
        <v>47.874366095708801</v>
      </c>
      <c r="AI899">
        <v>91.304662709116499</v>
      </c>
      <c r="AJ899">
        <v>85.0734591540445</v>
      </c>
      <c r="AK899">
        <v>48.064348146766797</v>
      </c>
      <c r="AL899">
        <v>87.766128262696199</v>
      </c>
      <c r="AM899">
        <v>96.151260725194703</v>
      </c>
      <c r="AN899">
        <v>1.0000000015324899</v>
      </c>
    </row>
    <row r="900" spans="1:40" x14ac:dyDescent="0.3">
      <c r="A900" t="str">
        <f>"20200111145929358"</f>
        <v>20200111145929358</v>
      </c>
      <c r="B900" t="str">
        <f>"1578725969346401"</f>
        <v>1578725969346401</v>
      </c>
      <c r="C900" t="s">
        <v>40</v>
      </c>
      <c r="D900">
        <v>4.0867829999999996</v>
      </c>
      <c r="E900">
        <v>0.573754599999999</v>
      </c>
      <c r="F900" t="s">
        <v>42</v>
      </c>
      <c r="G900">
        <v>-349.51179999999999</v>
      </c>
      <c r="H900" s="1">
        <v>-1.8834419999999999E-6</v>
      </c>
      <c r="I900">
        <v>363.18299999999999</v>
      </c>
      <c r="J900">
        <v>-396.15460000000002</v>
      </c>
      <c r="K900">
        <v>1.095181</v>
      </c>
      <c r="L900">
        <v>367.27370000000002</v>
      </c>
      <c r="M900">
        <v>0.99998330000000002</v>
      </c>
      <c r="N900">
        <v>0</v>
      </c>
      <c r="O900">
        <v>-1.3594879999999901E-3</v>
      </c>
      <c r="P900">
        <v>0.9938304</v>
      </c>
      <c r="Q900">
        <v>3.3665499999999897E-2</v>
      </c>
      <c r="R900">
        <v>0.1056782</v>
      </c>
      <c r="S900">
        <v>3.0494690000000002</v>
      </c>
      <c r="T900">
        <v>-7.1376200000000001E-2</v>
      </c>
      <c r="U900">
        <v>-0.26681519999999997</v>
      </c>
      <c r="V900">
        <v>-0.10702639999999999</v>
      </c>
      <c r="W900">
        <v>3.9262989999999998E-2</v>
      </c>
      <c r="X900">
        <v>0.99348060000000005</v>
      </c>
      <c r="Y900">
        <v>8.5785280000000005E-2</v>
      </c>
      <c r="Z900">
        <v>-9.7014400000000004E-4</v>
      </c>
      <c r="AA900">
        <v>0.99631320000000001</v>
      </c>
      <c r="AB900">
        <v>21</v>
      </c>
      <c r="AC900">
        <v>46.642800000000001</v>
      </c>
      <c r="AD900">
        <v>-1.0951828834420001</v>
      </c>
      <c r="AE900">
        <v>-4.0906999999999698</v>
      </c>
      <c r="AF900">
        <v>4.0250827207353197</v>
      </c>
      <c r="AG900">
        <v>-1.0951828834420001</v>
      </c>
      <c r="AH900">
        <v>46.622810335184703</v>
      </c>
      <c r="AI900">
        <v>91.340661333731205</v>
      </c>
      <c r="AJ900">
        <v>85.065723556538202</v>
      </c>
      <c r="AK900">
        <v>46.809049979758797</v>
      </c>
      <c r="AL900">
        <v>87.749817916177093</v>
      </c>
      <c r="AM900">
        <v>96.148688382035004</v>
      </c>
      <c r="AN900">
        <v>0.99999996762852905</v>
      </c>
    </row>
    <row r="901" spans="1:40" x14ac:dyDescent="0.3">
      <c r="A901" t="str">
        <f>"20200111145929369"</f>
        <v>20200111145929369</v>
      </c>
      <c r="B901" t="str">
        <f>"1578725969366896"</f>
        <v>1578725969366896</v>
      </c>
      <c r="C901" t="s">
        <v>40</v>
      </c>
      <c r="D901">
        <v>4.0702720000000001</v>
      </c>
      <c r="E901">
        <v>0.57388059999999996</v>
      </c>
      <c r="F901" t="s">
        <v>42</v>
      </c>
      <c r="G901">
        <v>-349.6635</v>
      </c>
      <c r="H901" s="1">
        <v>-1.8232669999999999E-6</v>
      </c>
      <c r="I901">
        <v>363.1902</v>
      </c>
      <c r="J901">
        <v>-396.04919999999998</v>
      </c>
      <c r="K901">
        <v>1.095882</v>
      </c>
      <c r="L901">
        <v>367.27359999999999</v>
      </c>
      <c r="M901">
        <v>0.99998129999999996</v>
      </c>
      <c r="N901">
        <v>0</v>
      </c>
      <c r="O901">
        <v>-1.3763099999999999E-3</v>
      </c>
      <c r="P901">
        <v>0.99385449999999997</v>
      </c>
      <c r="Q901">
        <v>3.3488879999999999E-2</v>
      </c>
      <c r="R901">
        <v>0.1055073</v>
      </c>
      <c r="S901">
        <v>3.0495299999999999</v>
      </c>
      <c r="T901">
        <v>-7.1837310000000001E-2</v>
      </c>
      <c r="U901">
        <v>-0.2678528</v>
      </c>
      <c r="V901">
        <v>-0.1068718</v>
      </c>
      <c r="W901">
        <v>3.9418790000000002E-2</v>
      </c>
      <c r="X901">
        <v>0.99349109999999996</v>
      </c>
      <c r="Y901">
        <v>8.6102810000000002E-2</v>
      </c>
      <c r="Z901">
        <v>-9.7971230000000009E-4</v>
      </c>
      <c r="AA901">
        <v>0.9962858</v>
      </c>
      <c r="AB901">
        <v>21</v>
      </c>
      <c r="AC901">
        <v>46.3856999999999</v>
      </c>
      <c r="AD901">
        <v>-1.0958838232670001</v>
      </c>
      <c r="AE901">
        <v>-4.0833999999999797</v>
      </c>
      <c r="AF901">
        <v>4.0173288165382601</v>
      </c>
      <c r="AG901">
        <v>-1.0958838232670001</v>
      </c>
      <c r="AH901">
        <v>46.365595656477502</v>
      </c>
      <c r="AI901">
        <v>91.348922368447703</v>
      </c>
      <c r="AJ901">
        <v>85.047997024481404</v>
      </c>
      <c r="AK901">
        <v>46.552211040446302</v>
      </c>
      <c r="AL901">
        <v>87.740884377544106</v>
      </c>
      <c r="AM901">
        <v>96.139810073768203</v>
      </c>
      <c r="AN901">
        <v>0.99999999420975605</v>
      </c>
    </row>
    <row r="902" spans="1:40" x14ac:dyDescent="0.3">
      <c r="A902" t="str">
        <f>"20200111145929381"</f>
        <v>20200111145929381</v>
      </c>
      <c r="B902" t="str">
        <f>"1578725969376655"</f>
        <v>1578725969376655</v>
      </c>
      <c r="C902" t="s">
        <v>40</v>
      </c>
      <c r="D902">
        <v>4.0710490000000004</v>
      </c>
      <c r="E902">
        <v>0.57397330000000002</v>
      </c>
      <c r="F902" t="s">
        <v>42</v>
      </c>
      <c r="G902">
        <v>-350.09100000000001</v>
      </c>
      <c r="H902" s="1">
        <v>-5.3687540000000002E-6</v>
      </c>
      <c r="I902">
        <v>363.21480000000003</v>
      </c>
      <c r="J902">
        <v>-395.94139999999999</v>
      </c>
      <c r="K902">
        <v>1.0965830000000001</v>
      </c>
      <c r="L902">
        <v>367.27339999999998</v>
      </c>
      <c r="M902">
        <v>0.99997919999999996</v>
      </c>
      <c r="N902">
        <v>0</v>
      </c>
      <c r="O902">
        <v>-1.392948E-3</v>
      </c>
      <c r="P902">
        <v>0.9938536</v>
      </c>
      <c r="Q902">
        <v>3.330259E-2</v>
      </c>
      <c r="R902">
        <v>0.10557569999999999</v>
      </c>
      <c r="S902">
        <v>3.0495610000000002</v>
      </c>
      <c r="T902">
        <v>-7.2717669999999998E-2</v>
      </c>
      <c r="U902">
        <v>-0.26931759999999999</v>
      </c>
      <c r="V902">
        <v>-0.10695739999999899</v>
      </c>
      <c r="W902">
        <v>3.9564120000000001E-2</v>
      </c>
      <c r="X902">
        <v>0.99347609999999997</v>
      </c>
      <c r="Y902">
        <v>8.6559529999999996E-2</v>
      </c>
      <c r="Z902">
        <v>-9.967226E-4</v>
      </c>
      <c r="AA902">
        <v>0.99624619999999997</v>
      </c>
      <c r="AB902">
        <v>21</v>
      </c>
      <c r="AC902">
        <v>45.850399999999901</v>
      </c>
      <c r="AD902">
        <v>-1.0965883687539999</v>
      </c>
      <c r="AE902">
        <v>-4.0585999999999496</v>
      </c>
      <c r="AF902">
        <v>3.9924616135576798</v>
      </c>
      <c r="AG902">
        <v>-1.0965883687539999</v>
      </c>
      <c r="AH902">
        <v>45.829997798559901</v>
      </c>
      <c r="AI902">
        <v>91.365502491600594</v>
      </c>
      <c r="AJ902">
        <v>85.021270536973901</v>
      </c>
      <c r="AK902">
        <v>46.016637795499797</v>
      </c>
      <c r="AL902">
        <v>87.732551055999593</v>
      </c>
      <c r="AM902">
        <v>96.144782273682907</v>
      </c>
      <c r="AN902">
        <v>0.999999983138672</v>
      </c>
    </row>
    <row r="903" spans="1:40" x14ac:dyDescent="0.3">
      <c r="A903" t="str">
        <f>"20200111145929392"</f>
        <v>20200111145929392</v>
      </c>
      <c r="B903" t="str">
        <f>"1578725969386415"</f>
        <v>1578725969386415</v>
      </c>
      <c r="C903" t="s">
        <v>40</v>
      </c>
      <c r="D903">
        <v>4.0596839999999998</v>
      </c>
      <c r="E903">
        <v>0.57408239999999999</v>
      </c>
      <c r="F903" t="s">
        <v>42</v>
      </c>
      <c r="G903">
        <v>-350.66269999999997</v>
      </c>
      <c r="H903" s="1">
        <v>-5.1138449999999998E-6</v>
      </c>
      <c r="I903">
        <v>363.26929999999999</v>
      </c>
      <c r="J903">
        <v>-395.83260000000001</v>
      </c>
      <c r="K903">
        <v>1.0972029999999999</v>
      </c>
      <c r="L903">
        <v>367.27319999999997</v>
      </c>
      <c r="M903">
        <v>0.99997740000000002</v>
      </c>
      <c r="N903">
        <v>0</v>
      </c>
      <c r="O903">
        <v>-1.407146E-3</v>
      </c>
      <c r="P903">
        <v>0.99385420000000002</v>
      </c>
      <c r="Q903">
        <v>3.294147E-2</v>
      </c>
      <c r="R903">
        <v>0.10568180000000001</v>
      </c>
      <c r="S903">
        <v>3.049652</v>
      </c>
      <c r="T903">
        <v>-7.3858259999999995E-2</v>
      </c>
      <c r="U903">
        <v>-0.26968379999999997</v>
      </c>
      <c r="V903">
        <v>-0.10707750000000001</v>
      </c>
      <c r="W903">
        <v>3.9502179999999998E-2</v>
      </c>
      <c r="X903">
        <v>0.99346570000000001</v>
      </c>
      <c r="Y903">
        <v>8.6660680000000004E-2</v>
      </c>
      <c r="Z903">
        <v>-1.0131949999999999E-3</v>
      </c>
      <c r="AA903">
        <v>0.99623740000000005</v>
      </c>
      <c r="AB903">
        <v>21</v>
      </c>
      <c r="AC903">
        <v>45.169899999999998</v>
      </c>
      <c r="AD903">
        <v>-1.0972081138450001</v>
      </c>
      <c r="AE903">
        <v>-4.0038999999999803</v>
      </c>
      <c r="AF903">
        <v>3.9380285474145902</v>
      </c>
      <c r="AG903">
        <v>-1.0972081138450001</v>
      </c>
      <c r="AH903">
        <v>45.1490575073909</v>
      </c>
      <c r="AI903">
        <v>91.386859163880999</v>
      </c>
      <c r="AJ903">
        <v>85.015115815465293</v>
      </c>
      <c r="AK903">
        <v>45.333754844387599</v>
      </c>
      <c r="AL903">
        <v>87.736102896252703</v>
      </c>
      <c r="AM903">
        <v>96.151693138291407</v>
      </c>
      <c r="AN903">
        <v>1.00000005515374</v>
      </c>
    </row>
    <row r="904" spans="1:40" x14ac:dyDescent="0.3">
      <c r="A904" t="str">
        <f>"20200111145929403"</f>
        <v>20200111145929403</v>
      </c>
      <c r="B904" t="str">
        <f>"1578725969396176"</f>
        <v>1578725969396176</v>
      </c>
      <c r="C904" t="s">
        <v>40</v>
      </c>
      <c r="D904">
        <v>4.0601159999999998</v>
      </c>
      <c r="E904">
        <v>0.57415709999999998</v>
      </c>
      <c r="F904" t="s">
        <v>42</v>
      </c>
      <c r="G904">
        <v>-351.22309999999999</v>
      </c>
      <c r="H904" s="1">
        <v>-4.8648969999999999E-6</v>
      </c>
      <c r="I904">
        <v>363.31740000000002</v>
      </c>
      <c r="J904">
        <v>-395.72309999999999</v>
      </c>
      <c r="K904">
        <v>1.0978000000000001</v>
      </c>
      <c r="L904">
        <v>367.27300000000002</v>
      </c>
      <c r="M904">
        <v>0.99997530000000001</v>
      </c>
      <c r="N904">
        <v>0</v>
      </c>
      <c r="O904">
        <v>-1.4202900000000001E-3</v>
      </c>
      <c r="P904">
        <v>0.99387590000000003</v>
      </c>
      <c r="Q904">
        <v>3.2667130000000003E-2</v>
      </c>
      <c r="R904">
        <v>0.1055633</v>
      </c>
      <c r="S904">
        <v>3.0498349999999999</v>
      </c>
      <c r="T904">
        <v>-7.5013159999999995E-2</v>
      </c>
      <c r="U904">
        <v>-0.27044679999999999</v>
      </c>
      <c r="V904">
        <v>-0.10697230000000001</v>
      </c>
      <c r="W904">
        <v>3.9519810000000002E-2</v>
      </c>
      <c r="X904">
        <v>0.99347629999999998</v>
      </c>
      <c r="Y904">
        <v>8.6888750000000001E-2</v>
      </c>
      <c r="Z904">
        <v>-1.0314370000000001E-3</v>
      </c>
      <c r="AA904">
        <v>0.99621749999999998</v>
      </c>
      <c r="AB904">
        <v>21</v>
      </c>
      <c r="AC904">
        <v>44.5</v>
      </c>
      <c r="AD904">
        <v>-1.097804864897</v>
      </c>
      <c r="AE904">
        <v>-3.9556</v>
      </c>
      <c r="AF904">
        <v>3.8900426965681101</v>
      </c>
      <c r="AG904">
        <v>-1.097804864897</v>
      </c>
      <c r="AH904">
        <v>44.478715915938899</v>
      </c>
      <c r="AI904">
        <v>91.408488837526605</v>
      </c>
      <c r="AJ904">
        <v>85.001713942353504</v>
      </c>
      <c r="AK904">
        <v>44.661994774453497</v>
      </c>
      <c r="AL904">
        <v>87.735091910611899</v>
      </c>
      <c r="AM904">
        <v>96.145630511928402</v>
      </c>
      <c r="AN904">
        <v>1.0000000235057001</v>
      </c>
    </row>
    <row r="905" spans="1:40" x14ac:dyDescent="0.3">
      <c r="A905" t="str">
        <f>"20200111145929415"</f>
        <v>20200111145929415</v>
      </c>
      <c r="B905" t="str">
        <f>"1578725969406912"</f>
        <v>1578725969406912</v>
      </c>
      <c r="C905" t="s">
        <v>40</v>
      </c>
      <c r="D905">
        <v>6.1591630000000004</v>
      </c>
      <c r="E905">
        <v>0.57416160000000005</v>
      </c>
      <c r="F905" t="s">
        <v>42</v>
      </c>
      <c r="G905">
        <v>-351.67809999999997</v>
      </c>
      <c r="H905" s="1">
        <v>-4.6634790000000004E-6</v>
      </c>
      <c r="I905">
        <v>363.3526</v>
      </c>
      <c r="J905">
        <v>-395.60759999999999</v>
      </c>
      <c r="K905">
        <v>1.0983769999999999</v>
      </c>
      <c r="L905">
        <v>367.27289999999999</v>
      </c>
      <c r="M905">
        <v>0.99997340000000001</v>
      </c>
      <c r="N905">
        <v>0</v>
      </c>
      <c r="O905">
        <v>-1.4327369999999999E-3</v>
      </c>
      <c r="P905">
        <v>0.99388799999999999</v>
      </c>
      <c r="Q905">
        <v>3.2257389999999997E-2</v>
      </c>
      <c r="R905">
        <v>0.10557569999999999</v>
      </c>
      <c r="S905">
        <v>3.0497740000000002</v>
      </c>
      <c r="T905">
        <v>-7.6014159999999997E-2</v>
      </c>
      <c r="U905">
        <v>-0.27145390000000003</v>
      </c>
      <c r="V905">
        <v>-0.10699699999999999</v>
      </c>
      <c r="W905">
        <v>3.9394020000000002E-2</v>
      </c>
      <c r="X905">
        <v>0.99347859999999999</v>
      </c>
      <c r="Y905">
        <v>8.7203699999999995E-2</v>
      </c>
      <c r="Z905">
        <v>-1.0488089999999999E-3</v>
      </c>
      <c r="AA905">
        <v>0.99619000000000002</v>
      </c>
      <c r="AB905">
        <v>21</v>
      </c>
      <c r="AC905">
        <v>43.929499999999997</v>
      </c>
      <c r="AD905">
        <v>-1.098381663479</v>
      </c>
      <c r="AE905">
        <v>-3.9202999999999899</v>
      </c>
      <c r="AF905">
        <v>3.8549640026175198</v>
      </c>
      <c r="AG905">
        <v>-1.098381663479</v>
      </c>
      <c r="AH905">
        <v>43.907839086683602</v>
      </c>
      <c r="AI905">
        <v>91.427501452406702</v>
      </c>
      <c r="AJ905">
        <v>84.982484533000004</v>
      </c>
      <c r="AK905">
        <v>44.090424391269401</v>
      </c>
      <c r="AL905">
        <v>87.742304682605806</v>
      </c>
      <c r="AM905">
        <v>96.147024558772799</v>
      </c>
      <c r="AN905">
        <v>0.99999998773936005</v>
      </c>
    </row>
    <row r="906" spans="1:40" x14ac:dyDescent="0.3">
      <c r="A906" t="str">
        <f>"20200111145929427"</f>
        <v>20200111145929427</v>
      </c>
      <c r="B906" t="str">
        <f>"1578725969416671"</f>
        <v>1578725969416671</v>
      </c>
      <c r="C906" t="s">
        <v>40</v>
      </c>
      <c r="D906">
        <v>4.0840449999999997</v>
      </c>
      <c r="E906">
        <v>0.57417669999999998</v>
      </c>
      <c r="F906" t="s">
        <v>42</v>
      </c>
      <c r="G906">
        <v>-351.47160000000002</v>
      </c>
      <c r="H906" s="1">
        <v>-4.7531409999999999E-6</v>
      </c>
      <c r="I906">
        <v>363.34649999999999</v>
      </c>
      <c r="J906">
        <v>-395.50279999999998</v>
      </c>
      <c r="K906">
        <v>1.0988599999999999</v>
      </c>
      <c r="L906">
        <v>367.27269999999999</v>
      </c>
      <c r="M906">
        <v>0.99997139999999995</v>
      </c>
      <c r="N906">
        <v>0</v>
      </c>
      <c r="O906">
        <v>-1.4425620000000001E-3</v>
      </c>
      <c r="P906">
        <v>0.99390429999999996</v>
      </c>
      <c r="Q906">
        <v>3.1744040000000001E-2</v>
      </c>
      <c r="R906">
        <v>0.1055788</v>
      </c>
      <c r="S906">
        <v>3.049744</v>
      </c>
      <c r="T906">
        <v>-7.5896619999999998E-2</v>
      </c>
      <c r="U906">
        <v>-0.27130130000000002</v>
      </c>
      <c r="V906">
        <v>-0.10701040000000001</v>
      </c>
      <c r="W906">
        <v>3.912243E-2</v>
      </c>
      <c r="X906">
        <v>0.99348789999999998</v>
      </c>
      <c r="Y906">
        <v>8.7145459999999994E-2</v>
      </c>
      <c r="Z906">
        <v>-1.0462329999999999E-3</v>
      </c>
      <c r="AA906">
        <v>0.9961951</v>
      </c>
      <c r="AB906">
        <v>21</v>
      </c>
      <c r="AC906">
        <v>44.031199999999899</v>
      </c>
      <c r="AD906">
        <v>-1.0988647531410001</v>
      </c>
      <c r="AE906">
        <v>-3.9261999999999899</v>
      </c>
      <c r="AF906">
        <v>3.8602911003305902</v>
      </c>
      <c r="AG906">
        <v>-1.0988647531410001</v>
      </c>
      <c r="AH906">
        <v>44.009623965296697</v>
      </c>
      <c r="AI906">
        <v>91.424837612410101</v>
      </c>
      <c r="AJ906">
        <v>84.987147516246907</v>
      </c>
      <c r="AK906">
        <v>44.192265756485099</v>
      </c>
      <c r="AL906">
        <v>87.757877673728103</v>
      </c>
      <c r="AM906">
        <v>96.147731391292794</v>
      </c>
      <c r="AN906">
        <v>0.99999999884183699</v>
      </c>
    </row>
    <row r="907" spans="1:40" x14ac:dyDescent="0.3">
      <c r="A907" t="str">
        <f>"20200111145929439"</f>
        <v>20200111145929439</v>
      </c>
      <c r="B907" t="str">
        <f>"1578725969436192"</f>
        <v>1578725969436192</v>
      </c>
      <c r="C907" t="s">
        <v>40</v>
      </c>
      <c r="D907">
        <v>4.067253</v>
      </c>
      <c r="E907">
        <v>0.5743123</v>
      </c>
      <c r="F907" t="s">
        <v>42</v>
      </c>
      <c r="G907">
        <v>-351.60469999999998</v>
      </c>
      <c r="H907" s="1">
        <v>-4.6931089999999996E-6</v>
      </c>
      <c r="I907">
        <v>363.363</v>
      </c>
      <c r="J907">
        <v>-395.38720000000001</v>
      </c>
      <c r="K907">
        <v>1.099364</v>
      </c>
      <c r="L907">
        <v>367.27249999999998</v>
      </c>
      <c r="M907">
        <v>0.99996960000000001</v>
      </c>
      <c r="N907">
        <v>0</v>
      </c>
      <c r="O907">
        <v>-1.4533059999999999E-3</v>
      </c>
      <c r="P907">
        <v>0.99390509999999999</v>
      </c>
      <c r="Q907">
        <v>3.1411479999999999E-2</v>
      </c>
      <c r="R907">
        <v>0.10567070000000001</v>
      </c>
      <c r="S907">
        <v>3.0496829999999999</v>
      </c>
      <c r="T907">
        <v>-7.6339959999999998E-2</v>
      </c>
      <c r="U907">
        <v>-0.27160640000000003</v>
      </c>
      <c r="V907">
        <v>-0.1071131</v>
      </c>
      <c r="W907">
        <v>3.9045719999999999E-2</v>
      </c>
      <c r="X907">
        <v>0.99347980000000002</v>
      </c>
      <c r="Y907">
        <v>8.7235090000000001E-2</v>
      </c>
      <c r="Z907">
        <v>-1.05321E-3</v>
      </c>
      <c r="AA907">
        <v>0.99618720000000005</v>
      </c>
      <c r="AB907">
        <v>21</v>
      </c>
      <c r="AC907">
        <v>43.782499999999999</v>
      </c>
      <c r="AD907">
        <v>-1.0993686931090001</v>
      </c>
      <c r="AE907">
        <v>-3.90949999999992</v>
      </c>
      <c r="AF907">
        <v>3.8434604982487701</v>
      </c>
      <c r="AG907">
        <v>-1.0993686931090001</v>
      </c>
      <c r="AH907">
        <v>43.760762687244998</v>
      </c>
      <c r="AI907">
        <v>91.433579709646907</v>
      </c>
      <c r="AJ907">
        <v>84.9806534357798</v>
      </c>
      <c r="AK907">
        <v>43.942976129233202</v>
      </c>
      <c r="AL907">
        <v>87.762276081572395</v>
      </c>
      <c r="AM907">
        <v>96.153636031980895</v>
      </c>
      <c r="AN907">
        <v>0.99999994872498299</v>
      </c>
    </row>
    <row r="908" spans="1:40" x14ac:dyDescent="0.3">
      <c r="A908" t="str">
        <f>"20200111145929451"</f>
        <v>20200111145929451</v>
      </c>
      <c r="B908" t="str">
        <f>"1578725969446927"</f>
        <v>1578725969446927</v>
      </c>
      <c r="C908" t="s">
        <v>40</v>
      </c>
      <c r="D908">
        <v>4.0442429999999998</v>
      </c>
      <c r="E908">
        <v>0.57437780000000005</v>
      </c>
      <c r="F908" t="s">
        <v>42</v>
      </c>
      <c r="G908">
        <v>-351.97019999999998</v>
      </c>
      <c r="H908" s="1">
        <v>-4.5305239999999999E-6</v>
      </c>
      <c r="I908">
        <v>363.39580000000001</v>
      </c>
      <c r="J908">
        <v>-395.27940000000001</v>
      </c>
      <c r="K908">
        <v>1.0997749999999999</v>
      </c>
      <c r="L908">
        <v>367.27229999999997</v>
      </c>
      <c r="M908">
        <v>0.99996790000000002</v>
      </c>
      <c r="N908">
        <v>0</v>
      </c>
      <c r="O908">
        <v>-1.461544E-3</v>
      </c>
      <c r="P908">
        <v>0.99389209999999995</v>
      </c>
      <c r="Q908">
        <v>3.0952810000000001E-2</v>
      </c>
      <c r="R908">
        <v>0.10592890000000001</v>
      </c>
      <c r="S908">
        <v>3.0497130000000001</v>
      </c>
      <c r="T908">
        <v>-7.7221990000000004E-2</v>
      </c>
      <c r="U908">
        <v>-0.2723083</v>
      </c>
      <c r="V908">
        <v>-0.1073794</v>
      </c>
      <c r="W908">
        <v>3.880463E-2</v>
      </c>
      <c r="X908">
        <v>0.99346049999999997</v>
      </c>
      <c r="Y908">
        <v>8.7452769999999999E-2</v>
      </c>
      <c r="Z908">
        <v>-1.067896E-3</v>
      </c>
      <c r="AA908">
        <v>0.9961681</v>
      </c>
      <c r="AB908">
        <v>21</v>
      </c>
      <c r="AC908">
        <v>43.309199999999997</v>
      </c>
      <c r="AD908">
        <v>-1.0997795305239999</v>
      </c>
      <c r="AE908">
        <v>-3.8764999999999601</v>
      </c>
      <c r="AF908">
        <v>3.81075780106698</v>
      </c>
      <c r="AG908">
        <v>-1.0997795305239999</v>
      </c>
      <c r="AH908">
        <v>43.287128237970101</v>
      </c>
      <c r="AI908">
        <v>91.449774218654198</v>
      </c>
      <c r="AJ908">
        <v>84.968968705283103</v>
      </c>
      <c r="AK908">
        <v>43.468458232661298</v>
      </c>
      <c r="AL908">
        <v>87.776100001296498</v>
      </c>
      <c r="AM908">
        <v>96.168936044370994</v>
      </c>
      <c r="AN908">
        <v>0.99999994995702202</v>
      </c>
    </row>
    <row r="909" spans="1:40" x14ac:dyDescent="0.3">
      <c r="A909" t="str">
        <f>"20200111145929469"</f>
        <v>20200111145929469</v>
      </c>
      <c r="B909" t="str">
        <f>"1578725969456687"</f>
        <v>1578725969456687</v>
      </c>
      <c r="C909" t="s">
        <v>40</v>
      </c>
      <c r="D909">
        <v>4.0586310000000001</v>
      </c>
      <c r="E909">
        <v>0.57446629999999999</v>
      </c>
      <c r="F909" t="s">
        <v>42</v>
      </c>
      <c r="G909">
        <v>-352.70420000000001</v>
      </c>
      <c r="H909" s="1">
        <v>-4.2017529999999999E-6</v>
      </c>
      <c r="I909">
        <v>363.47399999999999</v>
      </c>
      <c r="J909">
        <v>-395.11610000000002</v>
      </c>
      <c r="K909">
        <v>1.1003579999999999</v>
      </c>
      <c r="L909">
        <v>367.27210000000002</v>
      </c>
      <c r="M909">
        <v>0.9999652</v>
      </c>
      <c r="N909">
        <v>0</v>
      </c>
      <c r="O909">
        <v>-1.4725719999999999E-3</v>
      </c>
      <c r="P909">
        <v>0.99391609999999997</v>
      </c>
      <c r="Q909">
        <v>3.0041269999999998E-2</v>
      </c>
      <c r="R909">
        <v>0.10596510000000001</v>
      </c>
      <c r="S909">
        <v>3.0499269999999998</v>
      </c>
      <c r="T909">
        <v>-7.878375E-2</v>
      </c>
      <c r="U909">
        <v>-0.27209470000000002</v>
      </c>
      <c r="V909">
        <v>-0.10742690000000001</v>
      </c>
      <c r="W909">
        <v>3.8205210000000003E-2</v>
      </c>
      <c r="X909">
        <v>0.99347870000000005</v>
      </c>
      <c r="Y909">
        <v>8.7365300000000007E-2</v>
      </c>
      <c r="Z909">
        <v>-1.088002E-3</v>
      </c>
      <c r="AA909">
        <v>0.99617579999999994</v>
      </c>
      <c r="AB909">
        <v>21</v>
      </c>
      <c r="AC909">
        <v>42.411900000000003</v>
      </c>
      <c r="AD909">
        <v>-1.1003622017529999</v>
      </c>
      <c r="AE909">
        <v>-3.79810000000003</v>
      </c>
      <c r="AF909">
        <v>3.7331463166697798</v>
      </c>
      <c r="AG909">
        <v>-1.1003622017529999</v>
      </c>
      <c r="AH909">
        <v>42.389140983178699</v>
      </c>
      <c r="AI909">
        <v>91.481252859970098</v>
      </c>
      <c r="AJ909">
        <v>84.967034182258701</v>
      </c>
      <c r="AK909">
        <v>42.567434168487402</v>
      </c>
      <c r="AL909">
        <v>87.810469951745006</v>
      </c>
      <c r="AM909">
        <v>96.171531671472707</v>
      </c>
      <c r="AN909">
        <v>1.0000000521342201</v>
      </c>
    </row>
    <row r="910" spans="1:40" x14ac:dyDescent="0.3">
      <c r="A910" t="str">
        <f>"20200111145929481"</f>
        <v>20200111145929481</v>
      </c>
      <c r="B910" t="str">
        <f>"1578725969477184"</f>
        <v>1578725969477184</v>
      </c>
      <c r="C910" t="s">
        <v>40</v>
      </c>
      <c r="D910">
        <v>4.0472250000000001</v>
      </c>
      <c r="E910">
        <v>0.57467729999999995</v>
      </c>
      <c r="F910" t="s">
        <v>42</v>
      </c>
      <c r="G910">
        <v>-354.1583</v>
      </c>
      <c r="H910" s="1">
        <v>-3.5718869999999999E-6</v>
      </c>
      <c r="I910">
        <v>363.61099999999999</v>
      </c>
      <c r="J910">
        <v>-395.00080000000003</v>
      </c>
      <c r="K910">
        <v>1.100735</v>
      </c>
      <c r="L910">
        <v>367.27190000000002</v>
      </c>
      <c r="M910">
        <v>0.99996350000000001</v>
      </c>
      <c r="N910">
        <v>0</v>
      </c>
      <c r="O910">
        <v>-1.4797479999999999E-3</v>
      </c>
      <c r="P910">
        <v>0.99391379999999996</v>
      </c>
      <c r="Q910">
        <v>2.9695920000000001E-2</v>
      </c>
      <c r="R910">
        <v>0.10608289999999999</v>
      </c>
      <c r="S910">
        <v>3.0499269999999998</v>
      </c>
      <c r="T910">
        <v>-8.1938269999999994E-2</v>
      </c>
      <c r="U910">
        <v>-0.27261350000000001</v>
      </c>
      <c r="V910">
        <v>-0.10755199999999999</v>
      </c>
      <c r="W910">
        <v>3.8066080000000002E-2</v>
      </c>
      <c r="X910">
        <v>0.99347039999999998</v>
      </c>
      <c r="Y910">
        <v>8.7523879999999998E-2</v>
      </c>
      <c r="Z910">
        <v>-1.1334750000000001E-3</v>
      </c>
      <c r="AA910">
        <v>0.99616179999999999</v>
      </c>
      <c r="AB910">
        <v>21</v>
      </c>
      <c r="AC910">
        <v>40.842500000000001</v>
      </c>
      <c r="AD910">
        <v>-1.100738571887</v>
      </c>
      <c r="AE910">
        <v>-3.6609000000000198</v>
      </c>
      <c r="AF910">
        <v>3.5978647771263601</v>
      </c>
      <c r="AG910">
        <v>-1.100738571887</v>
      </c>
      <c r="AH910">
        <v>40.8184606510343</v>
      </c>
      <c r="AI910">
        <v>91.538739934299002</v>
      </c>
      <c r="AJ910">
        <v>84.962791727565403</v>
      </c>
      <c r="AK910">
        <v>40.991498951345498</v>
      </c>
      <c r="AL910">
        <v>87.818447087534807</v>
      </c>
      <c r="AM910">
        <v>96.178714163903393</v>
      </c>
      <c r="AN910">
        <v>0.99999994741336096</v>
      </c>
    </row>
    <row r="911" spans="1:40" x14ac:dyDescent="0.3">
      <c r="A911" t="str">
        <f>"20200111145929491"</f>
        <v>20200111145929491</v>
      </c>
      <c r="B911" t="str">
        <f>"1578725969486944"</f>
        <v>1578725969486944</v>
      </c>
      <c r="C911" t="s">
        <v>40</v>
      </c>
      <c r="D911">
        <v>4.0277339999999997</v>
      </c>
      <c r="E911">
        <v>0.57474320000000001</v>
      </c>
      <c r="F911" t="s">
        <v>42</v>
      </c>
      <c r="G911">
        <v>-355.09309999999999</v>
      </c>
      <c r="H911" s="1">
        <v>-3.2328460000000002E-6</v>
      </c>
      <c r="I911">
        <v>363.68970000000002</v>
      </c>
      <c r="J911">
        <v>-394.89879999999999</v>
      </c>
      <c r="K911">
        <v>1.101024</v>
      </c>
      <c r="L911">
        <v>367.27170000000001</v>
      </c>
      <c r="M911">
        <v>0.99996220000000002</v>
      </c>
      <c r="N911">
        <v>0</v>
      </c>
      <c r="O911">
        <v>-1.485091E-3</v>
      </c>
      <c r="P911">
        <v>0.99394119999999997</v>
      </c>
      <c r="Q911">
        <v>2.9327450000000001E-2</v>
      </c>
      <c r="R911">
        <v>0.10593039999999899</v>
      </c>
      <c r="S911">
        <v>3.0500790000000002</v>
      </c>
      <c r="T911">
        <v>-8.4127430000000003E-2</v>
      </c>
      <c r="U911">
        <v>-0.27377319999999999</v>
      </c>
      <c r="V911">
        <v>-0.1074051</v>
      </c>
      <c r="W911">
        <v>3.7861659999999998E-2</v>
      </c>
      <c r="X911">
        <v>0.99349419999999999</v>
      </c>
      <c r="Y911">
        <v>8.7888060000000004E-2</v>
      </c>
      <c r="Z911">
        <v>-1.168533E-3</v>
      </c>
      <c r="AA911">
        <v>0.99612970000000001</v>
      </c>
      <c r="AB911">
        <v>21</v>
      </c>
      <c r="AC911">
        <v>39.805700000000002</v>
      </c>
      <c r="AD911">
        <v>-1.101027232846</v>
      </c>
      <c r="AE911">
        <v>-3.5819999999999901</v>
      </c>
      <c r="AF911">
        <v>3.5202071948434002</v>
      </c>
      <c r="AG911">
        <v>-1.101027232846</v>
      </c>
      <c r="AH911">
        <v>39.780784973926302</v>
      </c>
      <c r="AI911">
        <v>91.579223499436495</v>
      </c>
      <c r="AJ911">
        <v>84.943060515543095</v>
      </c>
      <c r="AK911">
        <v>39.951407644835903</v>
      </c>
      <c r="AL911">
        <v>87.830168148601501</v>
      </c>
      <c r="AM911">
        <v>96.170193428985897</v>
      </c>
      <c r="AN911">
        <v>1.0000000431188001</v>
      </c>
    </row>
    <row r="912" spans="1:40" x14ac:dyDescent="0.3">
      <c r="A912" t="str">
        <f>"20200111145929502"</f>
        <v>20200111145929502</v>
      </c>
      <c r="B912" t="str">
        <f>"1578725969496705"</f>
        <v>1578725969496705</v>
      </c>
      <c r="C912" t="s">
        <v>40</v>
      </c>
      <c r="D912">
        <v>4.0463889999999996</v>
      </c>
      <c r="E912">
        <v>0.57479959999999997</v>
      </c>
      <c r="F912" t="s">
        <v>42</v>
      </c>
      <c r="G912">
        <v>-355.63350000000003</v>
      </c>
      <c r="H912" s="1">
        <v>-3.037296E-6</v>
      </c>
      <c r="I912">
        <v>363.73349999999999</v>
      </c>
      <c r="J912">
        <v>-394.7962</v>
      </c>
      <c r="K912">
        <v>1.10131</v>
      </c>
      <c r="L912">
        <v>367.2715</v>
      </c>
      <c r="M912">
        <v>0.99996070000000004</v>
      </c>
      <c r="N912">
        <v>0</v>
      </c>
      <c r="O912">
        <v>-1.49031799999999E-3</v>
      </c>
      <c r="P912">
        <v>0.99396669999999998</v>
      </c>
      <c r="Q912">
        <v>2.8799370000000001E-2</v>
      </c>
      <c r="R912">
        <v>0.10583430000000001</v>
      </c>
      <c r="S912">
        <v>3.0500790000000002</v>
      </c>
      <c r="T912">
        <v>-8.5526229999999995E-2</v>
      </c>
      <c r="U912">
        <v>-0.27484130000000001</v>
      </c>
      <c r="V912">
        <v>-0.1073142</v>
      </c>
      <c r="W912">
        <v>3.7494760000000002E-2</v>
      </c>
      <c r="X912">
        <v>0.99351789999999995</v>
      </c>
      <c r="Y912">
        <v>8.8227659999999999E-2</v>
      </c>
      <c r="Z912">
        <v>-1.1925410000000001E-3</v>
      </c>
      <c r="AA912">
        <v>0.99609970000000003</v>
      </c>
      <c r="AB912">
        <v>21</v>
      </c>
      <c r="AC912">
        <v>39.162699999999901</v>
      </c>
      <c r="AD912">
        <v>-1.1013130372960001</v>
      </c>
      <c r="AE912">
        <v>-3.53800000000001</v>
      </c>
      <c r="AF912">
        <v>3.4769016291963801</v>
      </c>
      <c r="AG912">
        <v>-1.1013130372960001</v>
      </c>
      <c r="AH912">
        <v>39.137229600300998</v>
      </c>
      <c r="AI912">
        <v>91.605545322332901</v>
      </c>
      <c r="AJ912">
        <v>84.923243725414295</v>
      </c>
      <c r="AK912">
        <v>39.306799362602703</v>
      </c>
      <c r="AL912">
        <v>87.851204827394099</v>
      </c>
      <c r="AM912">
        <v>96.164865716190903</v>
      </c>
      <c r="AN912">
        <v>1.00000000608475</v>
      </c>
    </row>
    <row r="913" spans="1:40" x14ac:dyDescent="0.3">
      <c r="A913" t="str">
        <f>"20200111145929513"</f>
        <v>20200111145929513</v>
      </c>
      <c r="B913" t="str">
        <f>"1578725969506463"</f>
        <v>1578725969506463</v>
      </c>
      <c r="C913" t="s">
        <v>40</v>
      </c>
      <c r="D913">
        <v>3.9749210000000001</v>
      </c>
      <c r="E913">
        <v>0.57480369999999903</v>
      </c>
      <c r="F913" t="s">
        <v>42</v>
      </c>
      <c r="G913">
        <v>-356.41919999999999</v>
      </c>
      <c r="H913" s="1">
        <v>-2.7509179999999999E-6</v>
      </c>
      <c r="I913">
        <v>363.80489999999998</v>
      </c>
      <c r="J913">
        <v>-394.68970000000002</v>
      </c>
      <c r="K913">
        <v>1.1015729999999999</v>
      </c>
      <c r="L913">
        <v>367.27140000000003</v>
      </c>
      <c r="M913">
        <v>0.9999593</v>
      </c>
      <c r="N913">
        <v>0</v>
      </c>
      <c r="O913">
        <v>-1.4945640000000001E-3</v>
      </c>
      <c r="P913">
        <v>0.9940097</v>
      </c>
      <c r="Q913">
        <v>2.8365649999999999E-2</v>
      </c>
      <c r="R913">
        <v>0.1055463</v>
      </c>
      <c r="S913">
        <v>3.0500790000000002</v>
      </c>
      <c r="T913">
        <v>-8.7528590000000003E-2</v>
      </c>
      <c r="U913">
        <v>-0.2755127</v>
      </c>
      <c r="V913">
        <v>-0.1070306</v>
      </c>
      <c r="W913">
        <v>3.7214099999999903E-2</v>
      </c>
      <c r="X913">
        <v>0.99355910000000003</v>
      </c>
      <c r="Y913">
        <v>8.8439240000000002E-2</v>
      </c>
      <c r="Z913">
        <v>-1.223345E-3</v>
      </c>
      <c r="AA913">
        <v>0.99608079999999999</v>
      </c>
      <c r="AB913">
        <v>21</v>
      </c>
      <c r="AC913">
        <v>38.270499999999998</v>
      </c>
      <c r="AD913">
        <v>-1.101575750918</v>
      </c>
      <c r="AE913">
        <v>-3.4665000000000501</v>
      </c>
      <c r="AF913">
        <v>3.4064967856456301</v>
      </c>
      <c r="AG913">
        <v>-1.101575750918</v>
      </c>
      <c r="AH913">
        <v>38.244210309444099</v>
      </c>
      <c r="AI913">
        <v>91.643373075285993</v>
      </c>
      <c r="AJ913">
        <v>84.909970448521193</v>
      </c>
      <c r="AK913">
        <v>38.411421630533503</v>
      </c>
      <c r="AL913">
        <v>87.867296810723701</v>
      </c>
      <c r="AM913">
        <v>96.148445725768994</v>
      </c>
      <c r="AN913">
        <v>1.0000000618839799</v>
      </c>
    </row>
    <row r="914" spans="1:40" x14ac:dyDescent="0.3">
      <c r="A914" t="str">
        <f>"20200111145929525"</f>
        <v>20200111145929525</v>
      </c>
      <c r="B914" t="str">
        <f>"1578725969516223"</f>
        <v>1578725969516223</v>
      </c>
      <c r="C914" t="s">
        <v>40</v>
      </c>
      <c r="D914">
        <v>3.9811299999999998</v>
      </c>
      <c r="E914">
        <v>0.57483980000000001</v>
      </c>
      <c r="F914" t="s">
        <v>42</v>
      </c>
      <c r="G914">
        <v>-356.96409999999997</v>
      </c>
      <c r="H914" s="1">
        <v>-2.5535300000000002E-6</v>
      </c>
      <c r="I914">
        <v>363.84989999999999</v>
      </c>
      <c r="J914">
        <v>-394.5829</v>
      </c>
      <c r="K914">
        <v>1.1018220000000001</v>
      </c>
      <c r="L914">
        <v>367.27120000000002</v>
      </c>
      <c r="M914">
        <v>0.99995800000000001</v>
      </c>
      <c r="N914">
        <v>0</v>
      </c>
      <c r="O914">
        <v>-1.4980779999999999E-3</v>
      </c>
      <c r="P914">
        <v>0.99406649999999996</v>
      </c>
      <c r="Q914">
        <v>2.777847E-2</v>
      </c>
      <c r="R914">
        <v>0.1051684</v>
      </c>
      <c r="S914">
        <v>3.049957</v>
      </c>
      <c r="T914">
        <v>-8.9057449999999996E-2</v>
      </c>
      <c r="U914">
        <v>-0.2766113</v>
      </c>
      <c r="V914">
        <v>-0.1066566</v>
      </c>
      <c r="W914">
        <v>3.6772840000000001E-2</v>
      </c>
      <c r="X914">
        <v>0.99361569999999999</v>
      </c>
      <c r="Y914">
        <v>8.8793810000000001E-2</v>
      </c>
      <c r="Z914">
        <v>-1.2497960000000001E-3</v>
      </c>
      <c r="AA914">
        <v>0.99604919999999997</v>
      </c>
      <c r="AB914">
        <v>21</v>
      </c>
      <c r="AC914">
        <v>37.6188</v>
      </c>
      <c r="AD914">
        <v>-1.10182455352999</v>
      </c>
      <c r="AE914">
        <v>-3.42130000000002</v>
      </c>
      <c r="AF914">
        <v>3.36207743783417</v>
      </c>
      <c r="AG914">
        <v>-1.10182455352999</v>
      </c>
      <c r="AH914">
        <v>37.5918994326858</v>
      </c>
      <c r="AI914">
        <v>91.672197076387505</v>
      </c>
      <c r="AJ914">
        <v>84.889279645064804</v>
      </c>
      <c r="AK914">
        <v>37.758025438334599</v>
      </c>
      <c r="AL914">
        <v>87.892596365055496</v>
      </c>
      <c r="AM914">
        <v>96.126778377882999</v>
      </c>
      <c r="AN914">
        <v>1.00000001568585</v>
      </c>
    </row>
    <row r="915" spans="1:40" x14ac:dyDescent="0.3">
      <c r="A915" t="str">
        <f>"20200111145929535"</f>
        <v>20200111145929535</v>
      </c>
      <c r="B915" t="str">
        <f>"1578725969526962"</f>
        <v>1578725969526962</v>
      </c>
      <c r="C915" t="s">
        <v>40</v>
      </c>
      <c r="D915">
        <v>4.0860609999999999</v>
      </c>
      <c r="E915">
        <v>0.57489840000000003</v>
      </c>
      <c r="F915" t="s">
        <v>42</v>
      </c>
      <c r="G915">
        <v>-357.61349999999999</v>
      </c>
      <c r="H915" s="1">
        <v>-2.3183010000000001E-6</v>
      </c>
      <c r="I915">
        <v>363.90339999999998</v>
      </c>
      <c r="J915">
        <v>-394.47739999999999</v>
      </c>
      <c r="K915">
        <v>1.1020460000000001</v>
      </c>
      <c r="L915">
        <v>367.27109999999999</v>
      </c>
      <c r="M915">
        <v>0.99995670000000003</v>
      </c>
      <c r="N915">
        <v>0</v>
      </c>
      <c r="O915">
        <v>-1.500597E-3</v>
      </c>
      <c r="P915">
        <v>0.99410860000000001</v>
      </c>
      <c r="Q915">
        <v>2.738877E-2</v>
      </c>
      <c r="R915">
        <v>0.1048731</v>
      </c>
      <c r="S915">
        <v>3.0498660000000002</v>
      </c>
      <c r="T915">
        <v>-9.0896959999999999E-2</v>
      </c>
      <c r="U915">
        <v>-0.27783200000000002</v>
      </c>
      <c r="V915">
        <v>-0.10636379999999999</v>
      </c>
      <c r="W915">
        <v>3.6518389999999998E-2</v>
      </c>
      <c r="X915">
        <v>0.99365650000000005</v>
      </c>
      <c r="Y915">
        <v>8.9187639999999999E-2</v>
      </c>
      <c r="Z915">
        <v>-1.281396E-3</v>
      </c>
      <c r="AA915">
        <v>0.99601399999999995</v>
      </c>
      <c r="AB915">
        <v>21</v>
      </c>
      <c r="AC915">
        <v>36.863900000000001</v>
      </c>
      <c r="AD915">
        <v>-1.1020483183009999</v>
      </c>
      <c r="AE915">
        <v>-3.3677000000000099</v>
      </c>
      <c r="AF915">
        <v>3.3094428006002299</v>
      </c>
      <c r="AG915">
        <v>-1.1020483183009999</v>
      </c>
      <c r="AH915">
        <v>36.8362636456378</v>
      </c>
      <c r="AI915">
        <v>91.706764198673795</v>
      </c>
      <c r="AJ915">
        <v>84.866216794970697</v>
      </c>
      <c r="AK915">
        <v>37.0010437895642</v>
      </c>
      <c r="AL915">
        <v>87.907185137013599</v>
      </c>
      <c r="AM915">
        <v>96.109837200449604</v>
      </c>
      <c r="AN915">
        <v>1.0000000453754401</v>
      </c>
    </row>
    <row r="916" spans="1:40" x14ac:dyDescent="0.3">
      <c r="A916" t="str">
        <f>"20200111145929547"</f>
        <v>20200111145929547</v>
      </c>
      <c r="B916" t="str">
        <f>"1578725969536719"</f>
        <v>1578725969536719</v>
      </c>
      <c r="C916" t="s">
        <v>40</v>
      </c>
      <c r="D916">
        <v>4.0470709999999999</v>
      </c>
      <c r="E916">
        <v>0.57493930000000004</v>
      </c>
      <c r="F916" t="s">
        <v>42</v>
      </c>
      <c r="G916">
        <v>-357.97820000000002</v>
      </c>
      <c r="H916" s="1">
        <v>-2.1880719999999999E-6</v>
      </c>
      <c r="I916">
        <v>363.92630000000003</v>
      </c>
      <c r="J916">
        <v>-394.37490000000003</v>
      </c>
      <c r="K916">
        <v>1.102249</v>
      </c>
      <c r="L916">
        <v>367.27089999999998</v>
      </c>
      <c r="M916">
        <v>0.99995560000000006</v>
      </c>
      <c r="N916">
        <v>0</v>
      </c>
      <c r="O916">
        <v>-1.502115E-3</v>
      </c>
      <c r="P916">
        <v>0.99412319999999998</v>
      </c>
      <c r="Q916">
        <v>2.7208220000000002E-2</v>
      </c>
      <c r="R916">
        <v>0.10477980000000001</v>
      </c>
      <c r="S916">
        <v>3.0498050000000001</v>
      </c>
      <c r="T916">
        <v>-9.2085E-2</v>
      </c>
      <c r="U916">
        <v>-0.27948000000000001</v>
      </c>
      <c r="V916">
        <v>-0.106271699999999</v>
      </c>
      <c r="W916">
        <v>3.646025E-2</v>
      </c>
      <c r="X916">
        <v>0.99366840000000001</v>
      </c>
      <c r="Y916">
        <v>8.972041E-2</v>
      </c>
      <c r="Z916">
        <v>-1.306109E-3</v>
      </c>
      <c r="AA916">
        <v>0.99596609999999997</v>
      </c>
      <c r="AB916">
        <v>21</v>
      </c>
      <c r="AC916">
        <v>36.396700000000003</v>
      </c>
      <c r="AD916">
        <v>-1.1022511880720001</v>
      </c>
      <c r="AE916">
        <v>-3.3445999999999501</v>
      </c>
      <c r="AF916">
        <v>3.2869324868037899</v>
      </c>
      <c r="AG916">
        <v>-1.1022511880720001</v>
      </c>
      <c r="AH916">
        <v>36.368607209754202</v>
      </c>
      <c r="AI916">
        <v>91.728933096136799</v>
      </c>
      <c r="AJ916">
        <v>84.835735967365594</v>
      </c>
      <c r="AK916">
        <v>36.5334705883769</v>
      </c>
      <c r="AL916">
        <v>87.910518347815298</v>
      </c>
      <c r="AM916">
        <v>96.104514124971701</v>
      </c>
      <c r="AN916">
        <v>0.99999995660475505</v>
      </c>
    </row>
    <row r="917" spans="1:40" x14ac:dyDescent="0.3">
      <c r="A917" t="str">
        <f>"20200111145929559"</f>
        <v>20200111145929559</v>
      </c>
      <c r="B917" t="str">
        <f>"1578725969556239"</f>
        <v>1578725969556239</v>
      </c>
      <c r="C917" t="s">
        <v>40</v>
      </c>
      <c r="D917">
        <v>4.0669709999999997</v>
      </c>
      <c r="E917">
        <v>0.57497679999999995</v>
      </c>
      <c r="F917" t="s">
        <v>42</v>
      </c>
      <c r="G917">
        <v>-358.17450000000002</v>
      </c>
      <c r="H917" s="1">
        <v>-2.11607E-6</v>
      </c>
      <c r="I917">
        <v>363.94589999999999</v>
      </c>
      <c r="J917">
        <v>-394.26319999999998</v>
      </c>
      <c r="K917">
        <v>1.102454</v>
      </c>
      <c r="L917">
        <v>367.27080000000001</v>
      </c>
      <c r="M917">
        <v>0.99995440000000002</v>
      </c>
      <c r="N917">
        <v>0</v>
      </c>
      <c r="O917">
        <v>-1.5035459999999999E-3</v>
      </c>
      <c r="P917">
        <v>0.99417330000000004</v>
      </c>
      <c r="Q917">
        <v>2.6895570000000001E-2</v>
      </c>
      <c r="R917">
        <v>0.10438459999999999</v>
      </c>
      <c r="S917">
        <v>3.0497740000000002</v>
      </c>
      <c r="T917">
        <v>-9.2861059999999995E-2</v>
      </c>
      <c r="U917">
        <v>-0.2801208</v>
      </c>
      <c r="V917">
        <v>-0.10587820000000001</v>
      </c>
      <c r="W917">
        <v>3.627536E-2</v>
      </c>
      <c r="X917">
        <v>0.99371719999999997</v>
      </c>
      <c r="Y917">
        <v>8.9926660000000005E-2</v>
      </c>
      <c r="Z917">
        <v>-1.320201E-3</v>
      </c>
      <c r="AA917">
        <v>0.99594749999999999</v>
      </c>
      <c r="AB917">
        <v>21</v>
      </c>
      <c r="AC917">
        <v>36.088699999999903</v>
      </c>
      <c r="AD917">
        <v>-1.1024561160699999</v>
      </c>
      <c r="AE917">
        <v>-3.3249000000000102</v>
      </c>
      <c r="AF917">
        <v>3.2676091027573499</v>
      </c>
      <c r="AG917">
        <v>-1.1024561160699999</v>
      </c>
      <c r="AH917">
        <v>36.060289923694199</v>
      </c>
      <c r="AI917">
        <v>91.743993400302202</v>
      </c>
      <c r="AJ917">
        <v>84.822274239244095</v>
      </c>
      <c r="AK917">
        <v>36.224814535303899</v>
      </c>
      <c r="AL917">
        <v>87.921118834992697</v>
      </c>
      <c r="AM917">
        <v>96.081783782317899</v>
      </c>
      <c r="AN917">
        <v>0.99999998427710401</v>
      </c>
    </row>
    <row r="918" spans="1:40" x14ac:dyDescent="0.3">
      <c r="A918" t="str">
        <f>"20200111145929570"</f>
        <v>20200111145929570</v>
      </c>
      <c r="B918" t="str">
        <f>"1578725969566976"</f>
        <v>1578725969566976</v>
      </c>
      <c r="C918" t="s">
        <v>40</v>
      </c>
      <c r="D918">
        <v>4.0998260000000002</v>
      </c>
      <c r="E918">
        <v>0.57494540000000005</v>
      </c>
      <c r="F918" t="s">
        <v>42</v>
      </c>
      <c r="G918">
        <v>-358.60289999999998</v>
      </c>
      <c r="H918" s="1">
        <v>-1.961717E-6</v>
      </c>
      <c r="I918">
        <v>363.97809999999998</v>
      </c>
      <c r="J918">
        <v>-394.15870000000001</v>
      </c>
      <c r="K918">
        <v>1.102619</v>
      </c>
      <c r="L918">
        <v>367.2706</v>
      </c>
      <c r="M918">
        <v>0.99995339999999999</v>
      </c>
      <c r="N918">
        <v>0</v>
      </c>
      <c r="O918">
        <v>-1.5034650000000001E-3</v>
      </c>
      <c r="P918">
        <v>0.99419930000000001</v>
      </c>
      <c r="Q918">
        <v>2.6763619999999998E-2</v>
      </c>
      <c r="R918">
        <v>0.104169899999999</v>
      </c>
      <c r="S918">
        <v>3.049652</v>
      </c>
      <c r="T918">
        <v>-9.4281320000000002E-2</v>
      </c>
      <c r="U918">
        <v>-0.28158569999999999</v>
      </c>
      <c r="V918">
        <v>-0.1056636</v>
      </c>
      <c r="W918">
        <v>3.6252489999999998E-2</v>
      </c>
      <c r="X918">
        <v>0.99374090000000004</v>
      </c>
      <c r="Y918">
        <v>9.0403230000000001E-2</v>
      </c>
      <c r="Z918">
        <v>-1.347759E-3</v>
      </c>
      <c r="AA918">
        <v>0.99590429999999996</v>
      </c>
      <c r="AB918">
        <v>21</v>
      </c>
      <c r="AC918">
        <v>35.555799999999998</v>
      </c>
      <c r="AD918">
        <v>-1.102620961717</v>
      </c>
      <c r="AE918">
        <v>-3.2925000000000102</v>
      </c>
      <c r="AF918">
        <v>3.2359514478553102</v>
      </c>
      <c r="AG918">
        <v>-1.102620961717</v>
      </c>
      <c r="AH918">
        <v>35.526835145716298</v>
      </c>
      <c r="AI918">
        <v>91.770353534537193</v>
      </c>
      <c r="AJ918">
        <v>84.795591540755495</v>
      </c>
      <c r="AK918">
        <v>35.6909396097805</v>
      </c>
      <c r="AL918">
        <v>87.922430100972903</v>
      </c>
      <c r="AM918">
        <v>96.069405307448903</v>
      </c>
      <c r="AN918">
        <v>1.00000000786448</v>
      </c>
    </row>
    <row r="919" spans="1:40" x14ac:dyDescent="0.3">
      <c r="A919" t="str">
        <f>"20200111145929582"</f>
        <v>20200111145929582</v>
      </c>
      <c r="B919" t="str">
        <f>"1578725969576735"</f>
        <v>1578725969576735</v>
      </c>
      <c r="C919" t="s">
        <v>40</v>
      </c>
      <c r="D919">
        <v>4.1605829999999999</v>
      </c>
      <c r="E919">
        <v>0.57495050000000003</v>
      </c>
      <c r="F919" t="s">
        <v>42</v>
      </c>
      <c r="G919">
        <v>-358.69630000000001</v>
      </c>
      <c r="H919" s="1">
        <v>-1.9253149999999998E-6</v>
      </c>
      <c r="I919">
        <v>363.99529999999999</v>
      </c>
      <c r="J919">
        <v>-394.04430000000002</v>
      </c>
      <c r="K919">
        <v>1.1027929999999999</v>
      </c>
      <c r="L919">
        <v>367.2704</v>
      </c>
      <c r="M919">
        <v>0.99995230000000002</v>
      </c>
      <c r="N919">
        <v>0</v>
      </c>
      <c r="O919">
        <v>-1.503304E-3</v>
      </c>
      <c r="P919">
        <v>0.99422169999999999</v>
      </c>
      <c r="Q919">
        <v>2.6497980000000001E-2</v>
      </c>
      <c r="R919">
        <v>0.10402400000000001</v>
      </c>
      <c r="S919">
        <v>3.0495610000000002</v>
      </c>
      <c r="T919">
        <v>-9.4818830000000007E-2</v>
      </c>
      <c r="U919">
        <v>-0.28164670000000003</v>
      </c>
      <c r="V919">
        <v>-0.10551729999999999</v>
      </c>
      <c r="W919">
        <v>3.6102380000000003E-2</v>
      </c>
      <c r="X919">
        <v>0.99376189999999998</v>
      </c>
      <c r="Y919">
        <v>9.0425409999999998E-2</v>
      </c>
      <c r="Z919">
        <v>-1.355827E-3</v>
      </c>
      <c r="AA919">
        <v>0.99590230000000002</v>
      </c>
      <c r="AB919">
        <v>21</v>
      </c>
      <c r="AC919">
        <v>35.347999999999999</v>
      </c>
      <c r="AD919">
        <v>-1.102794925315</v>
      </c>
      <c r="AE919">
        <v>-3.2751000000000001</v>
      </c>
      <c r="AF919">
        <v>3.21884870097107</v>
      </c>
      <c r="AG919">
        <v>-1.102794925315</v>
      </c>
      <c r="AH919">
        <v>35.318799528972697</v>
      </c>
      <c r="AI919">
        <v>91.781046987811195</v>
      </c>
      <c r="AJ919">
        <v>84.792621341479901</v>
      </c>
      <c r="AK919">
        <v>35.482315930260299</v>
      </c>
      <c r="AL919">
        <v>87.9310363841401</v>
      </c>
      <c r="AM919">
        <v>96.060937182201798</v>
      </c>
      <c r="AN919">
        <v>0.99999999816628204</v>
      </c>
    </row>
    <row r="920" spans="1:40" x14ac:dyDescent="0.3">
      <c r="A920" t="str">
        <f>"20200111145929593"</f>
        <v>20200111145929593</v>
      </c>
      <c r="B920" t="str">
        <f>"1578725969586495"</f>
        <v>1578725969586495</v>
      </c>
      <c r="C920" t="s">
        <v>40</v>
      </c>
      <c r="D920">
        <v>4.0767129999999998</v>
      </c>
      <c r="E920">
        <v>0.57489809999999997</v>
      </c>
      <c r="F920" t="s">
        <v>42</v>
      </c>
      <c r="G920">
        <v>-359.0016</v>
      </c>
      <c r="H920" s="1">
        <v>-1.8134259999999999E-6</v>
      </c>
      <c r="I920">
        <v>364.02550000000002</v>
      </c>
      <c r="J920">
        <v>-393.9332</v>
      </c>
      <c r="K920">
        <v>1.102943</v>
      </c>
      <c r="L920">
        <v>367.27030000000002</v>
      </c>
      <c r="M920">
        <v>0.99995129999999999</v>
      </c>
      <c r="N920">
        <v>0</v>
      </c>
      <c r="O920">
        <v>-1.5028540000000001E-3</v>
      </c>
      <c r="P920">
        <v>0.99421530000000002</v>
      </c>
      <c r="Q920">
        <v>2.63047E-2</v>
      </c>
      <c r="R920">
        <v>0.1041362</v>
      </c>
      <c r="S920">
        <v>3.0495000000000001</v>
      </c>
      <c r="T920">
        <v>-9.5967529999999995E-2</v>
      </c>
      <c r="U920">
        <v>-0.2823792</v>
      </c>
      <c r="V920">
        <v>-0.1056295</v>
      </c>
      <c r="W920">
        <v>3.601327E-2</v>
      </c>
      <c r="X920">
        <v>0.9937532</v>
      </c>
      <c r="Y920">
        <v>9.0663679999999996E-2</v>
      </c>
      <c r="Z920">
        <v>-1.3760109999999999E-3</v>
      </c>
      <c r="AA920">
        <v>0.9958806</v>
      </c>
      <c r="AB920">
        <v>21</v>
      </c>
      <c r="AC920">
        <v>34.931600000000003</v>
      </c>
      <c r="AD920">
        <v>-1.102944813426</v>
      </c>
      <c r="AE920">
        <v>-3.2447999999999899</v>
      </c>
      <c r="AF920">
        <v>3.1891445447059898</v>
      </c>
      <c r="AG920">
        <v>-1.102944813426</v>
      </c>
      <c r="AH920">
        <v>34.901939639294298</v>
      </c>
      <c r="AI920">
        <v>91.802511505515099</v>
      </c>
      <c r="AJ920">
        <v>84.779129259785705</v>
      </c>
      <c r="AK920">
        <v>35.064690513013701</v>
      </c>
      <c r="AL920">
        <v>87.936145305578805</v>
      </c>
      <c r="AM920">
        <v>96.067386649572697</v>
      </c>
      <c r="AN920">
        <v>0.99999998469829099</v>
      </c>
    </row>
    <row r="921" spans="1:40" x14ac:dyDescent="0.3">
      <c r="A921" t="str">
        <f>"20200111145929605"</f>
        <v>20200111145929605</v>
      </c>
      <c r="B921" t="str">
        <f>"1578725969596255"</f>
        <v>1578725969596255</v>
      </c>
      <c r="C921" t="s">
        <v>40</v>
      </c>
      <c r="D921">
        <v>4.1076360000000003</v>
      </c>
      <c r="E921">
        <v>0.57490790000000003</v>
      </c>
      <c r="F921" t="s">
        <v>42</v>
      </c>
      <c r="G921">
        <v>-359.03410000000002</v>
      </c>
      <c r="H921" s="1">
        <v>-1.796459E-6</v>
      </c>
      <c r="I921">
        <v>364.04770000000002</v>
      </c>
      <c r="J921">
        <v>-393.82619999999997</v>
      </c>
      <c r="K921">
        <v>1.103078</v>
      </c>
      <c r="L921">
        <v>367.27010000000001</v>
      </c>
      <c r="M921">
        <v>0.99995020000000001</v>
      </c>
      <c r="N921">
        <v>0</v>
      </c>
      <c r="O921">
        <v>-1.5018970000000001E-3</v>
      </c>
      <c r="P921">
        <v>0.99423229999999996</v>
      </c>
      <c r="Q921">
        <v>2.5979599999999999E-2</v>
      </c>
      <c r="R921">
        <v>0.10405440000000001</v>
      </c>
      <c r="S921">
        <v>3.0495000000000001</v>
      </c>
      <c r="T921">
        <v>-9.6375470000000005E-2</v>
      </c>
      <c r="U921">
        <v>-0.28158569999999999</v>
      </c>
      <c r="V921">
        <v>-0.1055469</v>
      </c>
      <c r="W921">
        <v>3.5784049999999998E-2</v>
      </c>
      <c r="X921">
        <v>0.99377020000000005</v>
      </c>
      <c r="Y921">
        <v>9.040745E-2</v>
      </c>
      <c r="Z921">
        <v>-1.377865E-3</v>
      </c>
      <c r="AA921">
        <v>0.99590389999999995</v>
      </c>
      <c r="AB921">
        <v>21</v>
      </c>
      <c r="AC921">
        <v>34.792099999999898</v>
      </c>
      <c r="AD921">
        <v>-1.103079796459</v>
      </c>
      <c r="AE921">
        <v>-3.2223999999999902</v>
      </c>
      <c r="AF921">
        <v>3.16698329502512</v>
      </c>
      <c r="AG921">
        <v>-1.103079796459</v>
      </c>
      <c r="AH921">
        <v>34.762254878025303</v>
      </c>
      <c r="AI921">
        <v>91.810015293567403</v>
      </c>
      <c r="AJ921">
        <v>84.794490734841006</v>
      </c>
      <c r="AK921">
        <v>34.923644317755802</v>
      </c>
      <c r="AL921">
        <v>87.949286999574099</v>
      </c>
      <c r="AM921">
        <v>96.062574493890693</v>
      </c>
      <c r="AN921">
        <v>0.99999992837102303</v>
      </c>
    </row>
    <row r="922" spans="1:40" x14ac:dyDescent="0.3">
      <c r="A922" t="str">
        <f>"20200111145929616"</f>
        <v>20200111145929616</v>
      </c>
      <c r="B922" t="str">
        <f>"1578725969606991"</f>
        <v>1578725969606991</v>
      </c>
      <c r="C922" t="s">
        <v>40</v>
      </c>
      <c r="D922">
        <v>4.0417230000000002</v>
      </c>
      <c r="E922">
        <v>0.57490869999999905</v>
      </c>
      <c r="F922" t="s">
        <v>42</v>
      </c>
      <c r="G922">
        <v>-359.34530000000001</v>
      </c>
      <c r="H922" s="1">
        <v>-1.681956E-6</v>
      </c>
      <c r="I922">
        <v>364.07990000000001</v>
      </c>
      <c r="J922">
        <v>-393.71629999999999</v>
      </c>
      <c r="K922">
        <v>1.1032059999999999</v>
      </c>
      <c r="L922">
        <v>367.27</v>
      </c>
      <c r="M922">
        <v>0.99994939999999999</v>
      </c>
      <c r="N922">
        <v>0</v>
      </c>
      <c r="O922">
        <v>-1.5010570000000001E-3</v>
      </c>
      <c r="P922">
        <v>0.99419550000000001</v>
      </c>
      <c r="Q922">
        <v>2.590021E-2</v>
      </c>
      <c r="R922">
        <v>0.10442559999999999</v>
      </c>
      <c r="S922">
        <v>3.0494690000000002</v>
      </c>
      <c r="T922">
        <v>-9.7555520000000007E-2</v>
      </c>
      <c r="U922">
        <v>-0.28213500000000002</v>
      </c>
      <c r="V922">
        <v>-0.105917</v>
      </c>
      <c r="W922">
        <v>3.5799310000000001E-2</v>
      </c>
      <c r="X922">
        <v>0.99373040000000001</v>
      </c>
      <c r="Y922">
        <v>9.0585890000000002E-2</v>
      </c>
      <c r="Z922">
        <v>-1.397604E-3</v>
      </c>
      <c r="AA922">
        <v>0.99588759999999998</v>
      </c>
      <c r="AB922">
        <v>21</v>
      </c>
      <c r="AC922">
        <v>34.370999999999903</v>
      </c>
      <c r="AD922">
        <v>-1.1032076819559999</v>
      </c>
      <c r="AE922">
        <v>-3.19009999999997</v>
      </c>
      <c r="AF922">
        <v>3.13529856112909</v>
      </c>
      <c r="AG922">
        <v>-1.1032076819559999</v>
      </c>
      <c r="AH922">
        <v>34.340673725296597</v>
      </c>
      <c r="AI922">
        <v>91.832400628118407</v>
      </c>
      <c r="AJ922">
        <v>84.783366211347797</v>
      </c>
      <c r="AK922">
        <v>34.501145432640698</v>
      </c>
      <c r="AL922">
        <v>87.948412364601893</v>
      </c>
      <c r="AM922">
        <v>96.083915583869597</v>
      </c>
      <c r="AN922">
        <v>1.00000005468481</v>
      </c>
    </row>
    <row r="923" spans="1:40" x14ac:dyDescent="0.3">
      <c r="A923" t="str">
        <f>"20200111145929629"</f>
        <v>20200111145929629</v>
      </c>
      <c r="B923" t="str">
        <f>"1578725969616752"</f>
        <v>1578725969616752</v>
      </c>
      <c r="C923" t="s">
        <v>40</v>
      </c>
      <c r="D923">
        <v>4.0758239999999999</v>
      </c>
      <c r="E923">
        <v>0.57490450000000004</v>
      </c>
      <c r="F923" t="s">
        <v>42</v>
      </c>
      <c r="G923">
        <v>-359.47379999999998</v>
      </c>
      <c r="H923" s="1">
        <v>-1.628577E-6</v>
      </c>
      <c r="I923">
        <v>364.11619999999999</v>
      </c>
      <c r="J923">
        <v>-393.60849999999999</v>
      </c>
      <c r="K923">
        <v>1.103321</v>
      </c>
      <c r="L923">
        <v>367.26979999999998</v>
      </c>
      <c r="M923">
        <v>0.99994839999999996</v>
      </c>
      <c r="N923">
        <v>0</v>
      </c>
      <c r="O923">
        <v>-1.499946E-3</v>
      </c>
      <c r="P923">
        <v>0.99419579999999996</v>
      </c>
      <c r="Q923">
        <v>2.5492130000000002E-2</v>
      </c>
      <c r="R923">
        <v>0.1045228</v>
      </c>
      <c r="S923">
        <v>3.0495299999999999</v>
      </c>
      <c r="T923">
        <v>-9.8248000000000002E-2</v>
      </c>
      <c r="U923">
        <v>-0.28085329999999997</v>
      </c>
      <c r="V923">
        <v>-0.10601289999999999</v>
      </c>
      <c r="W923">
        <v>3.5478129999999997E-2</v>
      </c>
      <c r="X923">
        <v>0.99373160000000005</v>
      </c>
      <c r="Y923">
        <v>9.0169700000000005E-2</v>
      </c>
      <c r="Z923">
        <v>-1.400866E-3</v>
      </c>
      <c r="AA923">
        <v>0.99592539999999996</v>
      </c>
      <c r="AB923">
        <v>21</v>
      </c>
      <c r="AC923">
        <v>34.134700000000002</v>
      </c>
      <c r="AD923">
        <v>-1.1033226285769999</v>
      </c>
      <c r="AE923">
        <v>-3.15359999999998</v>
      </c>
      <c r="AF923">
        <v>3.0991831881050298</v>
      </c>
      <c r="AG923">
        <v>-1.1033226285769999</v>
      </c>
      <c r="AH923">
        <v>34.104063348149801</v>
      </c>
      <c r="AI923">
        <v>91.845367877363103</v>
      </c>
      <c r="AJ923">
        <v>84.807547624749901</v>
      </c>
      <c r="AK923">
        <v>34.262361187034003</v>
      </c>
      <c r="AL923">
        <v>87.966826132820202</v>
      </c>
      <c r="AM923">
        <v>96.089375452188307</v>
      </c>
      <c r="AN923">
        <v>0.99999996275663205</v>
      </c>
    </row>
    <row r="924" spans="1:40" x14ac:dyDescent="0.3">
      <c r="A924" t="str">
        <f>"20200111145929641"</f>
        <v>20200111145929641</v>
      </c>
      <c r="B924" t="str">
        <f>"1578725969637018"</f>
        <v>1578725969637018</v>
      </c>
      <c r="C924" t="s">
        <v>40</v>
      </c>
      <c r="D924">
        <v>4.0691139999999999</v>
      </c>
      <c r="E924">
        <v>0.57490169999999996</v>
      </c>
      <c r="F924" t="s">
        <v>42</v>
      </c>
      <c r="G924">
        <v>-359.93329999999997</v>
      </c>
      <c r="H924" s="1">
        <v>-1.4579700000000001E-6</v>
      </c>
      <c r="I924">
        <v>364.16969999999998</v>
      </c>
      <c r="J924">
        <v>-393.48910000000001</v>
      </c>
      <c r="K924">
        <v>1.1034360000000001</v>
      </c>
      <c r="L924">
        <v>367.2697</v>
      </c>
      <c r="M924">
        <v>0.99994760000000005</v>
      </c>
      <c r="N924">
        <v>0</v>
      </c>
      <c r="O924">
        <v>-1.498873E-3</v>
      </c>
      <c r="P924">
        <v>0.99417630000000001</v>
      </c>
      <c r="Q924">
        <v>2.5544549999999999E-2</v>
      </c>
      <c r="R924">
        <v>0.1046948</v>
      </c>
      <c r="S924">
        <v>3.0495610000000002</v>
      </c>
      <c r="T924">
        <v>-9.9914429999999999E-2</v>
      </c>
      <c r="U924">
        <v>-0.28073120000000001</v>
      </c>
      <c r="V924">
        <v>-0.1061839</v>
      </c>
      <c r="W924">
        <v>3.5623460000000003E-2</v>
      </c>
      <c r="X924">
        <v>0.99370820000000004</v>
      </c>
      <c r="Y924">
        <v>9.012879E-2</v>
      </c>
      <c r="Z924">
        <v>-1.423969E-3</v>
      </c>
      <c r="AA924">
        <v>0.99592910000000001</v>
      </c>
      <c r="AB924">
        <v>21</v>
      </c>
      <c r="AC924">
        <v>33.555799999999998</v>
      </c>
      <c r="AD924">
        <v>-1.1034374579699999</v>
      </c>
      <c r="AE924">
        <v>-3.1000000000000201</v>
      </c>
      <c r="AF924">
        <v>3.0464317196506299</v>
      </c>
      <c r="AG924">
        <v>-1.1034374579699999</v>
      </c>
      <c r="AH924">
        <v>33.524464645546097</v>
      </c>
      <c r="AI924">
        <v>91.877445135703496</v>
      </c>
      <c r="AJ924">
        <v>84.8076846494356</v>
      </c>
      <c r="AK924">
        <v>33.680677698297799</v>
      </c>
      <c r="AL924">
        <v>87.958494185068801</v>
      </c>
      <c r="AM924">
        <v>96.099266249946595</v>
      </c>
      <c r="AN924">
        <v>1.0000000191344101</v>
      </c>
    </row>
    <row r="925" spans="1:40" x14ac:dyDescent="0.3">
      <c r="A925" t="str">
        <f>"20200111145929657"</f>
        <v>20200111145929657</v>
      </c>
      <c r="B925" t="str">
        <f>"1578725969646776"</f>
        <v>1578725969646776</v>
      </c>
      <c r="C925" t="s">
        <v>40</v>
      </c>
      <c r="D925">
        <v>4.0551409999999999</v>
      </c>
      <c r="E925">
        <v>0.57487500000000002</v>
      </c>
      <c r="F925" t="s">
        <v>42</v>
      </c>
      <c r="G925">
        <v>-360.07650000000001</v>
      </c>
      <c r="H925" s="1">
        <v>-5.1995029999999998E-6</v>
      </c>
      <c r="I925">
        <v>364.20409999999998</v>
      </c>
      <c r="J925">
        <v>-393.33240000000001</v>
      </c>
      <c r="K925">
        <v>1.103566</v>
      </c>
      <c r="L925">
        <v>367.26940000000002</v>
      </c>
      <c r="M925">
        <v>0.99994640000000001</v>
      </c>
      <c r="N925">
        <v>0</v>
      </c>
      <c r="O925">
        <v>-1.497778E-3</v>
      </c>
      <c r="P925">
        <v>0.99415109999999995</v>
      </c>
      <c r="Q925">
        <v>2.483434E-2</v>
      </c>
      <c r="R925">
        <v>0.1051045</v>
      </c>
      <c r="S925">
        <v>3.0496219999999998</v>
      </c>
      <c r="T925">
        <v>-0.1007125</v>
      </c>
      <c r="U925">
        <v>-0.27978520000000001</v>
      </c>
      <c r="V925">
        <v>-0.1065922</v>
      </c>
      <c r="W925">
        <v>3.5023980000000003E-2</v>
      </c>
      <c r="X925">
        <v>0.99368579999999995</v>
      </c>
      <c r="Y925">
        <v>8.9821090000000006E-2</v>
      </c>
      <c r="Z925">
        <v>-1.430296E-3</v>
      </c>
      <c r="AA925">
        <v>0.99595690000000003</v>
      </c>
      <c r="AB925">
        <v>21</v>
      </c>
      <c r="AC925">
        <v>33.255899999999997</v>
      </c>
      <c r="AD925">
        <v>-1.103571199503</v>
      </c>
      <c r="AE925">
        <v>-3.0653000000000299</v>
      </c>
      <c r="AF925">
        <v>3.0121949284953602</v>
      </c>
      <c r="AG925">
        <v>-1.103571199503</v>
      </c>
      <c r="AH925">
        <v>33.224176068948204</v>
      </c>
      <c r="AI925">
        <v>91.894666746296807</v>
      </c>
      <c r="AJ925">
        <v>84.819570417586206</v>
      </c>
      <c r="AK925">
        <v>33.378691752974603</v>
      </c>
      <c r="AL925">
        <v>87.992863314977797</v>
      </c>
      <c r="AM925">
        <v>96.122678420983704</v>
      </c>
      <c r="AN925">
        <v>1.00000002269875</v>
      </c>
    </row>
    <row r="926" spans="1:40" x14ac:dyDescent="0.3">
      <c r="A926" t="str">
        <f>"20200111145929669"</f>
        <v>20200111145929669</v>
      </c>
      <c r="B926" t="str">
        <f>"1578725969656538"</f>
        <v>1578725969656538</v>
      </c>
      <c r="C926" t="s">
        <v>40</v>
      </c>
      <c r="D926">
        <v>4.0453340000000004</v>
      </c>
      <c r="E926">
        <v>0.57488409999999901</v>
      </c>
      <c r="F926" t="s">
        <v>42</v>
      </c>
      <c r="G926">
        <v>-360.80130000000003</v>
      </c>
      <c r="H926" s="1">
        <v>-4.8721600000000003E-6</v>
      </c>
      <c r="I926">
        <v>364.29660000000001</v>
      </c>
      <c r="J926">
        <v>-393.22550000000001</v>
      </c>
      <c r="K926">
        <v>1.1036440000000001</v>
      </c>
      <c r="L926">
        <v>367.26929999999999</v>
      </c>
      <c r="M926">
        <v>0.99994570000000005</v>
      </c>
      <c r="N926">
        <v>0</v>
      </c>
      <c r="O926">
        <v>-1.4969510000000001E-3</v>
      </c>
      <c r="P926">
        <v>0.99413110000000005</v>
      </c>
      <c r="Q926">
        <v>2.4916170000000001E-2</v>
      </c>
      <c r="R926">
        <v>0.1052742</v>
      </c>
      <c r="S926">
        <v>3.0496829999999999</v>
      </c>
      <c r="T926">
        <v>-0.1034559</v>
      </c>
      <c r="U926">
        <v>-0.2786865</v>
      </c>
      <c r="V926">
        <v>-0.1067613</v>
      </c>
      <c r="W926">
        <v>3.5175999999999999E-2</v>
      </c>
      <c r="X926">
        <v>0.99366220000000005</v>
      </c>
      <c r="Y926">
        <v>8.9461860000000004E-2</v>
      </c>
      <c r="Z926">
        <v>-1.463179E-3</v>
      </c>
      <c r="AA926">
        <v>0.99598920000000002</v>
      </c>
      <c r="AB926">
        <v>21</v>
      </c>
      <c r="AC926">
        <v>32.4241999999999</v>
      </c>
      <c r="AD926">
        <v>-1.10364887216</v>
      </c>
      <c r="AE926">
        <v>-2.9726999999999699</v>
      </c>
      <c r="AF926">
        <v>2.9208008954632398</v>
      </c>
      <c r="AG926">
        <v>-1.10364887216</v>
      </c>
      <c r="AH926">
        <v>32.3913989084921</v>
      </c>
      <c r="AI926">
        <v>91.943563537872805</v>
      </c>
      <c r="AJ926">
        <v>84.847453456574996</v>
      </c>
      <c r="AK926">
        <v>32.541540251700098</v>
      </c>
      <c r="AL926">
        <v>87.984147687539107</v>
      </c>
      <c r="AM926">
        <v>96.132462146732493</v>
      </c>
      <c r="AN926">
        <v>0.99999994693126304</v>
      </c>
    </row>
    <row r="927" spans="1:40" x14ac:dyDescent="0.3">
      <c r="A927" t="str">
        <f>"20200111145929688"</f>
        <v>20200111145929688</v>
      </c>
      <c r="B927" t="str">
        <f>"1578725969677032"</f>
        <v>1578725969677032</v>
      </c>
      <c r="C927" t="s">
        <v>40</v>
      </c>
      <c r="D927">
        <v>4.0957530000000002</v>
      </c>
      <c r="E927">
        <v>0.57491719999999902</v>
      </c>
      <c r="F927" t="s">
        <v>42</v>
      </c>
      <c r="G927">
        <v>-360.67759999999998</v>
      </c>
      <c r="H927" s="1">
        <v>-4.9243109999999997E-6</v>
      </c>
      <c r="I927">
        <v>364.30180000000001</v>
      </c>
      <c r="J927">
        <v>-393.04410000000001</v>
      </c>
      <c r="K927">
        <v>1.1037680000000001</v>
      </c>
      <c r="L927">
        <v>367.26900000000001</v>
      </c>
      <c r="M927">
        <v>0.99994459999999996</v>
      </c>
      <c r="N927">
        <v>0</v>
      </c>
      <c r="O927">
        <v>-1.49551E-3</v>
      </c>
      <c r="P927">
        <v>0.99409950000000002</v>
      </c>
      <c r="Q927">
        <v>2.4503489999999999E-2</v>
      </c>
      <c r="R927">
        <v>0.1056685</v>
      </c>
      <c r="S927">
        <v>3.049744</v>
      </c>
      <c r="T927">
        <v>-0.1034119</v>
      </c>
      <c r="U927">
        <v>-0.27804570000000001</v>
      </c>
      <c r="V927">
        <v>-0.10715379999999999</v>
      </c>
      <c r="W927">
        <v>3.487291E-2</v>
      </c>
      <c r="X927">
        <v>0.99363069999999998</v>
      </c>
      <c r="Y927">
        <v>8.9254070000000005E-2</v>
      </c>
      <c r="Z927">
        <v>-1.4590759999999999E-3</v>
      </c>
      <c r="AA927">
        <v>0.9960078</v>
      </c>
      <c r="AB927">
        <v>21</v>
      </c>
      <c r="AC927">
        <v>32.366500000000002</v>
      </c>
      <c r="AD927">
        <v>-1.1037729243109999</v>
      </c>
      <c r="AE927">
        <v>-2.9671999999999898</v>
      </c>
      <c r="AF927">
        <v>2.91542733672045</v>
      </c>
      <c r="AG927">
        <v>-1.1037729243109999</v>
      </c>
      <c r="AH927">
        <v>32.333611936879997</v>
      </c>
      <c r="AI927">
        <v>91.9472539818738</v>
      </c>
      <c r="AJ927">
        <v>84.847739588980104</v>
      </c>
      <c r="AK927">
        <v>32.483541865210597</v>
      </c>
      <c r="AL927">
        <v>88.001524258339003</v>
      </c>
      <c r="AM927">
        <v>96.155028581145999</v>
      </c>
      <c r="AN927">
        <v>1.00000001234439</v>
      </c>
    </row>
    <row r="928" spans="1:40" x14ac:dyDescent="0.3">
      <c r="A928" t="str">
        <f>"20200111145929703"</f>
        <v>20200111145929703</v>
      </c>
      <c r="B928" t="str">
        <f>"1578725969696552"</f>
        <v>1578725969696552</v>
      </c>
      <c r="C928" t="s">
        <v>40</v>
      </c>
      <c r="D928">
        <v>4.1746629999999998</v>
      </c>
      <c r="E928">
        <v>0.57494709999999905</v>
      </c>
      <c r="F928" t="s">
        <v>42</v>
      </c>
      <c r="G928">
        <v>-361.0043</v>
      </c>
      <c r="H928" s="1">
        <v>-4.774476E-6</v>
      </c>
      <c r="I928">
        <v>364.35629999999998</v>
      </c>
      <c r="J928">
        <v>-392.90289999999999</v>
      </c>
      <c r="K928">
        <v>1.1038490000000001</v>
      </c>
      <c r="L928">
        <v>367.2688</v>
      </c>
      <c r="M928">
        <v>0.99994369999999999</v>
      </c>
      <c r="N928">
        <v>0</v>
      </c>
      <c r="O928">
        <v>-1.494621E-3</v>
      </c>
      <c r="P928">
        <v>0.99409780000000003</v>
      </c>
      <c r="Q928">
        <v>2.4208770000000001E-2</v>
      </c>
      <c r="R928">
        <v>0.10575229999999999</v>
      </c>
      <c r="S928">
        <v>3.0498959999999999</v>
      </c>
      <c r="T928">
        <v>-0.1050687</v>
      </c>
      <c r="U928">
        <v>-0.2772522</v>
      </c>
      <c r="V928">
        <v>-0.107237</v>
      </c>
      <c r="W928">
        <v>3.4657510000000002E-2</v>
      </c>
      <c r="X928">
        <v>0.99362919999999999</v>
      </c>
      <c r="Y928">
        <v>8.8992009999999996E-2</v>
      </c>
      <c r="Z928">
        <v>-1.4779089999999999E-3</v>
      </c>
      <c r="AA928">
        <v>0.99603120000000001</v>
      </c>
      <c r="AB928">
        <v>21</v>
      </c>
      <c r="AC928">
        <v>31.898599999999899</v>
      </c>
      <c r="AD928">
        <v>-1.103853774476</v>
      </c>
      <c r="AE928">
        <v>-2.9125000000000201</v>
      </c>
      <c r="AF928">
        <v>2.86141954386007</v>
      </c>
      <c r="AG928">
        <v>-1.103853774476</v>
      </c>
      <c r="AH928">
        <v>31.865074368620501</v>
      </c>
      <c r="AI928">
        <v>91.976073141793194</v>
      </c>
      <c r="AJ928">
        <v>84.868717123502805</v>
      </c>
      <c r="AK928">
        <v>32.012328554466698</v>
      </c>
      <c r="AL928">
        <v>88.013873114341905</v>
      </c>
      <c r="AM928">
        <v>96.159780179788598</v>
      </c>
      <c r="AN928">
        <v>0.99999995213051895</v>
      </c>
    </row>
    <row r="929" spans="1:40" x14ac:dyDescent="0.3">
      <c r="A929" t="str">
        <f>"20200111145929714"</f>
        <v>20200111145929714</v>
      </c>
      <c r="B929" t="str">
        <f>"1578725969706313"</f>
        <v>1578725969706313</v>
      </c>
      <c r="C929" t="s">
        <v>40</v>
      </c>
      <c r="D929">
        <v>4.2175690000000001</v>
      </c>
      <c r="E929">
        <v>0.5750054</v>
      </c>
      <c r="F929" t="s">
        <v>42</v>
      </c>
      <c r="G929">
        <v>-361.37220000000002</v>
      </c>
      <c r="H929" s="1">
        <v>-4.608369E-6</v>
      </c>
      <c r="I929">
        <v>364.40300000000002</v>
      </c>
      <c r="J929">
        <v>-392.79239999999999</v>
      </c>
      <c r="K929">
        <v>1.103907</v>
      </c>
      <c r="L929">
        <v>367.26859999999999</v>
      </c>
      <c r="M929">
        <v>0.99994309999999997</v>
      </c>
      <c r="N929">
        <v>0</v>
      </c>
      <c r="O929">
        <v>-1.4940890000000001E-3</v>
      </c>
      <c r="P929">
        <v>0.99413560000000001</v>
      </c>
      <c r="Q929">
        <v>2.4338539999999999E-2</v>
      </c>
      <c r="R929">
        <v>0.1053679</v>
      </c>
      <c r="S929">
        <v>3.0499269999999998</v>
      </c>
      <c r="T929">
        <v>-0.10677399999999999</v>
      </c>
      <c r="U929">
        <v>-0.27719120000000003</v>
      </c>
      <c r="V929">
        <v>-0.10685210000000001</v>
      </c>
      <c r="W929">
        <v>3.4843850000000003E-2</v>
      </c>
      <c r="X929">
        <v>0.9936642</v>
      </c>
      <c r="Y929">
        <v>8.8970209999999994E-2</v>
      </c>
      <c r="Z929">
        <v>-1.501505E-3</v>
      </c>
      <c r="AA929">
        <v>0.9960331</v>
      </c>
      <c r="AB929">
        <v>21</v>
      </c>
      <c r="AC929">
        <v>31.420199999999902</v>
      </c>
      <c r="AD929">
        <v>-1.1039116083689999</v>
      </c>
      <c r="AE929">
        <v>-2.8655999999999699</v>
      </c>
      <c r="AF929">
        <v>2.8152032284780399</v>
      </c>
      <c r="AG929">
        <v>-1.1039116083689999</v>
      </c>
      <c r="AH929">
        <v>31.3860237801137</v>
      </c>
      <c r="AI929">
        <v>92.0063330572724</v>
      </c>
      <c r="AJ929">
        <v>84.874509458178395</v>
      </c>
      <c r="AK929">
        <v>31.531357071692799</v>
      </c>
      <c r="AL929">
        <v>88.0031902690301</v>
      </c>
      <c r="AM929">
        <v>96.137625726815799</v>
      </c>
      <c r="AN929">
        <v>1.0000000037594301</v>
      </c>
    </row>
    <row r="930" spans="1:40" x14ac:dyDescent="0.3">
      <c r="A930" t="str">
        <f>"20200111145929725"</f>
        <v>20200111145929725</v>
      </c>
      <c r="B930" t="str">
        <f>"1578725969716074"</f>
        <v>1578725969716074</v>
      </c>
      <c r="C930" t="s">
        <v>40</v>
      </c>
      <c r="D930">
        <v>4.1525460000000001</v>
      </c>
      <c r="E930">
        <v>0.57504369999999905</v>
      </c>
      <c r="F930" t="s">
        <v>42</v>
      </c>
      <c r="G930">
        <v>-361.4051</v>
      </c>
      <c r="H930" s="1">
        <v>-4.5949709999999999E-6</v>
      </c>
      <c r="I930">
        <v>364.39890000000003</v>
      </c>
      <c r="J930">
        <v>-392.69080000000002</v>
      </c>
      <c r="K930">
        <v>1.1039570000000001</v>
      </c>
      <c r="L930">
        <v>367.26850000000002</v>
      </c>
      <c r="M930">
        <v>0.99994269999999996</v>
      </c>
      <c r="N930">
        <v>0</v>
      </c>
      <c r="O930">
        <v>-1.4936400000000001E-3</v>
      </c>
      <c r="P930">
        <v>0.99418479999999998</v>
      </c>
      <c r="Q930">
        <v>2.4362749999999999E-2</v>
      </c>
      <c r="R930">
        <v>0.10489660000000001</v>
      </c>
      <c r="S930">
        <v>3.0499269999999998</v>
      </c>
      <c r="T930">
        <v>-0.1072676</v>
      </c>
      <c r="U930">
        <v>-0.27883909999999901</v>
      </c>
      <c r="V930">
        <v>-0.1063804</v>
      </c>
      <c r="W930">
        <v>3.4917709999999998E-2</v>
      </c>
      <c r="X930">
        <v>0.99371220000000005</v>
      </c>
      <c r="Y930">
        <v>8.9503559999999996E-2</v>
      </c>
      <c r="Z930">
        <v>-1.5177789999999999E-3</v>
      </c>
      <c r="AA930">
        <v>0.99598529999999996</v>
      </c>
      <c r="AB930">
        <v>21</v>
      </c>
      <c r="AC930">
        <v>31.285699999999999</v>
      </c>
      <c r="AD930">
        <v>-1.103961594971</v>
      </c>
      <c r="AE930">
        <v>-2.8695999999999899</v>
      </c>
      <c r="AF930">
        <v>2.8193833768318601</v>
      </c>
      <c r="AG930">
        <v>-1.103961594971</v>
      </c>
      <c r="AH930">
        <v>31.251363980934698</v>
      </c>
      <c r="AI930">
        <v>92.014968782745399</v>
      </c>
      <c r="AJ930">
        <v>84.844940454973397</v>
      </c>
      <c r="AK930">
        <v>31.397697439423599</v>
      </c>
      <c r="AL930">
        <v>87.998955790881993</v>
      </c>
      <c r="AM930">
        <v>96.110443604267601</v>
      </c>
      <c r="AN930">
        <v>0.999999986202322</v>
      </c>
    </row>
    <row r="931" spans="1:40" x14ac:dyDescent="0.3">
      <c r="A931" t="str">
        <f>"20200111145929736"</f>
        <v>20200111145929736</v>
      </c>
      <c r="B931" t="str">
        <f>"1578725969726808"</f>
        <v>1578725969726808</v>
      </c>
      <c r="C931" t="s">
        <v>40</v>
      </c>
      <c r="D931">
        <v>4.2172229999999997</v>
      </c>
      <c r="E931">
        <v>0.57509330000000003</v>
      </c>
      <c r="F931" t="s">
        <v>42</v>
      </c>
      <c r="G931">
        <v>-361.54579999999999</v>
      </c>
      <c r="H931" s="1">
        <v>-4.533235E-6</v>
      </c>
      <c r="I931">
        <v>364.40679999999998</v>
      </c>
      <c r="J931">
        <v>-392.58069999999998</v>
      </c>
      <c r="K931">
        <v>1.104007</v>
      </c>
      <c r="L931">
        <v>367.26830000000001</v>
      </c>
      <c r="M931">
        <v>0.99994209999999994</v>
      </c>
      <c r="N931">
        <v>0</v>
      </c>
      <c r="O931">
        <v>-1.493435E-3</v>
      </c>
      <c r="P931">
        <v>0.99423899999999998</v>
      </c>
      <c r="Q931">
        <v>2.4272769999999999E-2</v>
      </c>
      <c r="R931">
        <v>0.1044022</v>
      </c>
      <c r="S931">
        <v>3.0497740000000002</v>
      </c>
      <c r="T931">
        <v>-0.1081015</v>
      </c>
      <c r="U931">
        <v>-0.28021239999999997</v>
      </c>
      <c r="V931">
        <v>-0.1058858</v>
      </c>
      <c r="W931">
        <v>3.4878149999999997E-2</v>
      </c>
      <c r="X931">
        <v>0.99376640000000005</v>
      </c>
      <c r="Y931">
        <v>8.9951899999999904E-2</v>
      </c>
      <c r="Z931">
        <v>-1.537549E-3</v>
      </c>
      <c r="AA931">
        <v>0.99594490000000002</v>
      </c>
      <c r="AB931">
        <v>21</v>
      </c>
      <c r="AC931">
        <v>31.0349</v>
      </c>
      <c r="AD931">
        <v>-1.104011533235</v>
      </c>
      <c r="AE931">
        <v>-2.8615000000000301</v>
      </c>
      <c r="AF931">
        <v>2.8116175891579198</v>
      </c>
      <c r="AG931">
        <v>-1.104011533235</v>
      </c>
      <c r="AH931">
        <v>31.000240391918801</v>
      </c>
      <c r="AI931">
        <v>92.031282161384397</v>
      </c>
      <c r="AJ931">
        <v>84.817644187095794</v>
      </c>
      <c r="AK931">
        <v>31.147053460799899</v>
      </c>
      <c r="AL931">
        <v>88.001223766791597</v>
      </c>
      <c r="AM931">
        <v>96.081918199012506</v>
      </c>
      <c r="AN931">
        <v>0.99999997287900999</v>
      </c>
    </row>
    <row r="932" spans="1:40" x14ac:dyDescent="0.3">
      <c r="A932" t="str">
        <f>"20200111145929748"</f>
        <v>20200111145929748</v>
      </c>
      <c r="B932" t="str">
        <f>"1578725969736569"</f>
        <v>1578725969736569</v>
      </c>
      <c r="C932" t="s">
        <v>40</v>
      </c>
      <c r="D932">
        <v>4.1426540000000003</v>
      </c>
      <c r="E932">
        <v>0.57510890000000003</v>
      </c>
      <c r="F932" t="s">
        <v>42</v>
      </c>
      <c r="G932">
        <v>-361.61040000000003</v>
      </c>
      <c r="H932" s="1">
        <v>-4.5059810000000003E-6</v>
      </c>
      <c r="I932">
        <v>364.404</v>
      </c>
      <c r="J932">
        <v>-392.47800000000001</v>
      </c>
      <c r="K932">
        <v>1.1040460000000001</v>
      </c>
      <c r="L932">
        <v>367.26819999999998</v>
      </c>
      <c r="M932">
        <v>0.99994159999999999</v>
      </c>
      <c r="N932">
        <v>0</v>
      </c>
      <c r="O932">
        <v>-1.4933119999999999E-3</v>
      </c>
      <c r="P932">
        <v>0.99427469999999996</v>
      </c>
      <c r="Q932">
        <v>2.4331800000000001E-2</v>
      </c>
      <c r="R932">
        <v>0.104047</v>
      </c>
      <c r="S932">
        <v>3.0496829999999999</v>
      </c>
      <c r="T932">
        <v>-0.1087133</v>
      </c>
      <c r="U932">
        <v>-0.2820435</v>
      </c>
      <c r="V932">
        <v>-0.1055305</v>
      </c>
      <c r="W932">
        <v>3.4981089999999999E-2</v>
      </c>
      <c r="X932">
        <v>0.99380060000000003</v>
      </c>
      <c r="Y932">
        <v>9.0546669999999996E-2</v>
      </c>
      <c r="Z932">
        <v>-1.556829E-3</v>
      </c>
      <c r="AA932">
        <v>0.99589099999999997</v>
      </c>
      <c r="AB932">
        <v>21</v>
      </c>
      <c r="AC932">
        <v>30.8675999999999</v>
      </c>
      <c r="AD932">
        <v>-1.104050505981</v>
      </c>
      <c r="AE932">
        <v>-2.8641999999999799</v>
      </c>
      <c r="AF932">
        <v>2.8145293191487402</v>
      </c>
      <c r="AG932">
        <v>-1.104050505981</v>
      </c>
      <c r="AH932">
        <v>30.832735386684501</v>
      </c>
      <c r="AI932">
        <v>92.0422720968497</v>
      </c>
      <c r="AJ932">
        <v>84.784278414089002</v>
      </c>
      <c r="AK932">
        <v>30.980608035243801</v>
      </c>
      <c r="AL932">
        <v>87.995322187789398</v>
      </c>
      <c r="AM932">
        <v>96.061455455011398</v>
      </c>
      <c r="AN932">
        <v>0.99999999782409899</v>
      </c>
    </row>
    <row r="933" spans="1:40" x14ac:dyDescent="0.3">
      <c r="A933" t="str">
        <f>"20200111145929759"</f>
        <v>20200111145929759</v>
      </c>
      <c r="B933" t="str">
        <f>"1578725969756088"</f>
        <v>1578725969756088</v>
      </c>
      <c r="C933" t="s">
        <v>40</v>
      </c>
      <c r="D933">
        <v>4.1207250000000002</v>
      </c>
      <c r="E933">
        <v>0.5751503</v>
      </c>
      <c r="F933" t="s">
        <v>42</v>
      </c>
      <c r="G933">
        <v>-361.49029999999999</v>
      </c>
      <c r="H933" s="1">
        <v>-4.5601260000000001E-6</v>
      </c>
      <c r="I933">
        <v>364.38940000000002</v>
      </c>
      <c r="J933">
        <v>-392.36470000000003</v>
      </c>
      <c r="K933">
        <v>1.1040859999999999</v>
      </c>
      <c r="L933">
        <v>367.26799999999997</v>
      </c>
      <c r="M933">
        <v>0.99994110000000003</v>
      </c>
      <c r="N933">
        <v>0</v>
      </c>
      <c r="O933">
        <v>-1.493206E-3</v>
      </c>
      <c r="P933">
        <v>0.99430949999999996</v>
      </c>
      <c r="Q933">
        <v>2.407521E-2</v>
      </c>
      <c r="R933">
        <v>0.10377400000000001</v>
      </c>
      <c r="S933">
        <v>3.0495299999999999</v>
      </c>
      <c r="T933">
        <v>-0.1086502</v>
      </c>
      <c r="U933">
        <v>-0.28329470000000001</v>
      </c>
      <c r="V933">
        <v>-0.1052573</v>
      </c>
      <c r="W933">
        <v>3.4770929999999999E-2</v>
      </c>
      <c r="X933">
        <v>0.99383690000000002</v>
      </c>
      <c r="Y933">
        <v>9.0956270000000006E-2</v>
      </c>
      <c r="Z933">
        <v>-1.5632560000000001E-3</v>
      </c>
      <c r="AA933">
        <v>0.99585369999999995</v>
      </c>
      <c r="AB933">
        <v>21</v>
      </c>
      <c r="AC933">
        <v>30.874400000000001</v>
      </c>
      <c r="AD933">
        <v>-1.104090560126</v>
      </c>
      <c r="AE933">
        <v>-2.8786</v>
      </c>
      <c r="AF933">
        <v>2.8289057785979002</v>
      </c>
      <c r="AG933">
        <v>-1.104090560126</v>
      </c>
      <c r="AH933">
        <v>30.839565530242599</v>
      </c>
      <c r="AI933">
        <v>92.041811622431496</v>
      </c>
      <c r="AJ933">
        <v>84.758939400634304</v>
      </c>
      <c r="AK933">
        <v>30.988716107048901</v>
      </c>
      <c r="AL933">
        <v>88.007370703911803</v>
      </c>
      <c r="AM933">
        <v>96.045660589263505</v>
      </c>
      <c r="AN933">
        <v>0.99999995028898103</v>
      </c>
    </row>
    <row r="934" spans="1:40" x14ac:dyDescent="0.3">
      <c r="A934" t="str">
        <f>"20200111145929771"</f>
        <v>20200111145929771</v>
      </c>
      <c r="B934" t="str">
        <f>"1578725969766824"</f>
        <v>1578725969766824</v>
      </c>
      <c r="C934" t="s">
        <v>40</v>
      </c>
      <c r="D934">
        <v>4.1367279999999997</v>
      </c>
      <c r="E934">
        <v>0.57518539999999996</v>
      </c>
      <c r="F934" t="s">
        <v>42</v>
      </c>
      <c r="G934">
        <v>-361.58190000000002</v>
      </c>
      <c r="H934" s="1">
        <v>-4.5195910000000003E-6</v>
      </c>
      <c r="I934">
        <v>364.39620000000002</v>
      </c>
      <c r="J934">
        <v>-392.25979999999998</v>
      </c>
      <c r="K934">
        <v>1.1041179999999999</v>
      </c>
      <c r="L934">
        <v>367.2679</v>
      </c>
      <c r="M934">
        <v>0.99994059999999996</v>
      </c>
      <c r="N934">
        <v>0</v>
      </c>
      <c r="O934">
        <v>-1.493175E-3</v>
      </c>
      <c r="P934">
        <v>0.99435200000000001</v>
      </c>
      <c r="Q934">
        <v>2.3724189999999999E-2</v>
      </c>
      <c r="R934">
        <v>0.1034472</v>
      </c>
      <c r="S934">
        <v>3.0495000000000001</v>
      </c>
      <c r="T934">
        <v>-0.10937669999999999</v>
      </c>
      <c r="U934">
        <v>-0.28448489999999999</v>
      </c>
      <c r="V934">
        <v>-0.1049306</v>
      </c>
      <c r="W934">
        <v>3.4458799999999998E-2</v>
      </c>
      <c r="X934">
        <v>0.99388240000000005</v>
      </c>
      <c r="Y934">
        <v>9.1341560000000002E-2</v>
      </c>
      <c r="Z934">
        <v>-1.580583E-3</v>
      </c>
      <c r="AA934">
        <v>0.99581839999999999</v>
      </c>
      <c r="AB934">
        <v>21</v>
      </c>
      <c r="AC934">
        <v>30.677899999999902</v>
      </c>
      <c r="AD934">
        <v>-1.1041225195909901</v>
      </c>
      <c r="AE934">
        <v>-2.8716999999999699</v>
      </c>
      <c r="AF934">
        <v>2.8222626248968199</v>
      </c>
      <c r="AG934">
        <v>-1.1041225195909901</v>
      </c>
      <c r="AH934">
        <v>30.642805976452799</v>
      </c>
      <c r="AI934">
        <v>92.054900807161104</v>
      </c>
      <c r="AJ934">
        <v>84.737792015940599</v>
      </c>
      <c r="AK934">
        <v>30.792301163971</v>
      </c>
      <c r="AL934">
        <v>88.025265322372704</v>
      </c>
      <c r="AM934">
        <v>96.026760373759501</v>
      </c>
      <c r="AN934">
        <v>1.0000000323717699</v>
      </c>
    </row>
    <row r="935" spans="1:40" x14ac:dyDescent="0.3">
      <c r="A935" t="str">
        <f>"20200111145929785"</f>
        <v>20200111145929785</v>
      </c>
      <c r="B935" t="str">
        <f>"1578725969776584"</f>
        <v>1578725969776584</v>
      </c>
      <c r="C935" t="s">
        <v>40</v>
      </c>
      <c r="D935">
        <v>4.1137930000000003</v>
      </c>
      <c r="E935">
        <v>0.57519569999999998</v>
      </c>
      <c r="F935" t="s">
        <v>42</v>
      </c>
      <c r="G935">
        <v>-361.76510000000002</v>
      </c>
      <c r="H935" s="1">
        <v>-4.4391649999999999E-6</v>
      </c>
      <c r="I935">
        <v>364.4067</v>
      </c>
      <c r="J935">
        <v>-392.12849999999997</v>
      </c>
      <c r="K935">
        <v>1.1041540000000001</v>
      </c>
      <c r="L935">
        <v>367.26760000000002</v>
      </c>
      <c r="M935">
        <v>0.99994019999999995</v>
      </c>
      <c r="N935">
        <v>0</v>
      </c>
      <c r="O935">
        <v>-1.4934270000000001E-3</v>
      </c>
      <c r="P935">
        <v>0.99438139999999997</v>
      </c>
      <c r="Q935">
        <v>2.3338319999999999E-2</v>
      </c>
      <c r="R935">
        <v>0.10325280000000001</v>
      </c>
      <c r="S935">
        <v>3.0494379999999999</v>
      </c>
      <c r="T935">
        <v>-0.1104107</v>
      </c>
      <c r="U935">
        <v>-0.28610229999999998</v>
      </c>
      <c r="V935">
        <v>-0.1047365</v>
      </c>
      <c r="W935">
        <v>3.4118530000000001E-2</v>
      </c>
      <c r="X935">
        <v>0.99391459999999998</v>
      </c>
      <c r="Y935">
        <v>9.1865310000000006E-2</v>
      </c>
      <c r="Z935">
        <v>-1.604957E-3</v>
      </c>
      <c r="AA935">
        <v>0.99577020000000005</v>
      </c>
      <c r="AB935">
        <v>21</v>
      </c>
      <c r="AC935">
        <v>30.363399999999899</v>
      </c>
      <c r="AD935">
        <v>-1.1041584391649999</v>
      </c>
      <c r="AE935">
        <v>-2.8609000000000102</v>
      </c>
      <c r="AF935">
        <v>2.8118629470201402</v>
      </c>
      <c r="AG935">
        <v>-1.1041584391649999</v>
      </c>
      <c r="AH935">
        <v>30.327886328576501</v>
      </c>
      <c r="AI935">
        <v>92.076170855136098</v>
      </c>
      <c r="AJ935">
        <v>84.702940775831095</v>
      </c>
      <c r="AK935">
        <v>30.477966274846199</v>
      </c>
      <c r="AL935">
        <v>88.044772804114501</v>
      </c>
      <c r="AM935">
        <v>96.015500470254906</v>
      </c>
      <c r="AN935">
        <v>1.00000002030738</v>
      </c>
    </row>
    <row r="936" spans="1:40" x14ac:dyDescent="0.3">
      <c r="A936" t="str">
        <f>"20200111145929797"</f>
        <v>20200111145929797</v>
      </c>
      <c r="B936" t="str">
        <f>"1578725969786344"</f>
        <v>1578725969786344</v>
      </c>
      <c r="C936" t="s">
        <v>40</v>
      </c>
      <c r="D936">
        <v>4.1292790000000004</v>
      </c>
      <c r="E936">
        <v>0.57521290000000003</v>
      </c>
      <c r="F936" t="s">
        <v>42</v>
      </c>
      <c r="G936">
        <v>-361.98200000000003</v>
      </c>
      <c r="H936" s="1">
        <v>-4.3409960000000003E-6</v>
      </c>
      <c r="I936">
        <v>364.43540000000002</v>
      </c>
      <c r="J936">
        <v>-392.01159999999999</v>
      </c>
      <c r="K936">
        <v>1.1041829999999999</v>
      </c>
      <c r="L936">
        <v>367.26749999999998</v>
      </c>
      <c r="M936">
        <v>0.99993989999999999</v>
      </c>
      <c r="N936">
        <v>0</v>
      </c>
      <c r="O936">
        <v>-1.4933959999999999E-3</v>
      </c>
      <c r="P936">
        <v>0.99441749999999995</v>
      </c>
      <c r="Q936">
        <v>2.3251810000000001E-2</v>
      </c>
      <c r="R936">
        <v>0.1029249</v>
      </c>
      <c r="S936">
        <v>3.0493160000000001</v>
      </c>
      <c r="T936">
        <v>-0.1116853</v>
      </c>
      <c r="U936">
        <v>-0.28646850000000001</v>
      </c>
      <c r="V936">
        <v>-0.10440869999999999</v>
      </c>
      <c r="W936">
        <v>3.4070879999999998E-2</v>
      </c>
      <c r="X936">
        <v>0.99395069999999996</v>
      </c>
      <c r="Y936">
        <v>9.1986129999999999E-2</v>
      </c>
      <c r="Z936">
        <v>-1.6257369999999999E-3</v>
      </c>
      <c r="AA936">
        <v>0.99575899999999995</v>
      </c>
      <c r="AB936">
        <v>21</v>
      </c>
      <c r="AC936">
        <v>30.029599999999999</v>
      </c>
      <c r="AD936">
        <v>-1.1041873409959999</v>
      </c>
      <c r="AE936">
        <v>-2.8320999999999601</v>
      </c>
      <c r="AF936">
        <v>2.7835178891890702</v>
      </c>
      <c r="AG936">
        <v>-1.1041873409959999</v>
      </c>
      <c r="AH936">
        <v>29.9936014564333</v>
      </c>
      <c r="AI936">
        <v>92.099327486311495</v>
      </c>
      <c r="AJ936">
        <v>84.697924960793699</v>
      </c>
      <c r="AK936">
        <v>30.1427160330785</v>
      </c>
      <c r="AL936">
        <v>88.047504492133399</v>
      </c>
      <c r="AM936">
        <v>95.996594595254393</v>
      </c>
      <c r="AN936">
        <v>0.99999999776507698</v>
      </c>
    </row>
    <row r="937" spans="1:40" x14ac:dyDescent="0.3">
      <c r="A937" t="str">
        <f>"20200111145929809"</f>
        <v>20200111145929809</v>
      </c>
      <c r="B937" t="str">
        <f>"1578725969806841"</f>
        <v>1578725969806841</v>
      </c>
      <c r="C937" t="s">
        <v>40</v>
      </c>
      <c r="D937">
        <v>4.1098759999999999</v>
      </c>
      <c r="E937">
        <v>0.57513930000000002</v>
      </c>
      <c r="F937" t="s">
        <v>42</v>
      </c>
      <c r="G937">
        <v>-362.02260000000001</v>
      </c>
      <c r="H937" s="1">
        <v>-4.3231579999999996E-6</v>
      </c>
      <c r="I937">
        <v>364.43799999999999</v>
      </c>
      <c r="J937">
        <v>-391.89580000000001</v>
      </c>
      <c r="K937">
        <v>1.1042099999999999</v>
      </c>
      <c r="L937">
        <v>367.26729999999998</v>
      </c>
      <c r="M937">
        <v>0.99993949999999998</v>
      </c>
      <c r="N937">
        <v>0</v>
      </c>
      <c r="O937">
        <v>-1.493585E-3</v>
      </c>
      <c r="P937">
        <v>0.99444569999999999</v>
      </c>
      <c r="Q937">
        <v>2.303229E-2</v>
      </c>
      <c r="R937">
        <v>0.1027019</v>
      </c>
      <c r="S937">
        <v>3.049255</v>
      </c>
      <c r="T937">
        <v>-0.1122725</v>
      </c>
      <c r="U937">
        <v>-0.28768919999999998</v>
      </c>
      <c r="V937">
        <v>-0.10418570000000001</v>
      </c>
      <c r="W937">
        <v>3.3885489999999997E-2</v>
      </c>
      <c r="X937">
        <v>0.99398050000000004</v>
      </c>
      <c r="Y937">
        <v>9.2382019999999995E-2</v>
      </c>
      <c r="Z937">
        <v>-1.6415430000000001E-3</v>
      </c>
      <c r="AA937">
        <v>0.99572229999999995</v>
      </c>
      <c r="AB937">
        <v>21</v>
      </c>
      <c r="AC937">
        <v>29.873200000000001</v>
      </c>
      <c r="AD937">
        <v>-1.1042143231579999</v>
      </c>
      <c r="AE937">
        <v>-2.8292999999999302</v>
      </c>
      <c r="AF937">
        <v>2.7809102764575999</v>
      </c>
      <c r="AG937">
        <v>-1.1042143231579999</v>
      </c>
      <c r="AH937">
        <v>29.836989133867299</v>
      </c>
      <c r="AI937">
        <v>92.110310587017395</v>
      </c>
      <c r="AJ937">
        <v>84.675218799764806</v>
      </c>
      <c r="AK937">
        <v>29.986641556061102</v>
      </c>
      <c r="AL937">
        <v>88.058132815497999</v>
      </c>
      <c r="AM937">
        <v>95.983701774729596</v>
      </c>
      <c r="AN937">
        <v>1.0000000604486301</v>
      </c>
    </row>
    <row r="938" spans="1:40" x14ac:dyDescent="0.3">
      <c r="A938" t="str">
        <f>"20200111145929826"</f>
        <v>20200111145929826</v>
      </c>
      <c r="B938" t="str">
        <f>"1578725969816600"</f>
        <v>1578725969816600</v>
      </c>
      <c r="C938" t="s">
        <v>40</v>
      </c>
      <c r="D938">
        <v>4.1711489999999998</v>
      </c>
      <c r="E938">
        <v>0.51592150000000003</v>
      </c>
      <c r="F938" t="s">
        <v>42</v>
      </c>
      <c r="G938">
        <v>-362.22579999999999</v>
      </c>
      <c r="H938" s="1">
        <v>-4.2312299999999998E-6</v>
      </c>
      <c r="I938">
        <v>364.46480000000003</v>
      </c>
      <c r="J938">
        <v>-391.74310000000003</v>
      </c>
      <c r="K938">
        <v>1.104244</v>
      </c>
      <c r="L938">
        <v>367.26710000000003</v>
      </c>
      <c r="M938">
        <v>0.99993889999999996</v>
      </c>
      <c r="N938">
        <v>0</v>
      </c>
      <c r="O938">
        <v>-1.493341E-3</v>
      </c>
      <c r="P938">
        <v>0.9944132</v>
      </c>
      <c r="Q938">
        <v>2.2805249999999999E-2</v>
      </c>
      <c r="R938">
        <v>0.10306419999999999</v>
      </c>
      <c r="S938">
        <v>3.0491329999999999</v>
      </c>
      <c r="T938">
        <v>-0.1134775</v>
      </c>
      <c r="U938">
        <v>-0.28799439999999998</v>
      </c>
      <c r="V938">
        <v>-0.104548</v>
      </c>
      <c r="W938">
        <v>3.370012E-2</v>
      </c>
      <c r="X938">
        <v>0.99394870000000002</v>
      </c>
      <c r="Y938">
        <v>9.2483380000000004E-2</v>
      </c>
      <c r="Z938">
        <v>-1.6610970000000001E-3</v>
      </c>
      <c r="AA938">
        <v>0.99571279999999995</v>
      </c>
      <c r="AB938">
        <v>21</v>
      </c>
      <c r="AC938">
        <v>29.517299999999999</v>
      </c>
      <c r="AD938">
        <v>-1.1042482312299999</v>
      </c>
      <c r="AE938">
        <v>-2.8022999999999998</v>
      </c>
      <c r="AF938">
        <v>2.7543944307754602</v>
      </c>
      <c r="AG938">
        <v>-1.1042482312299999</v>
      </c>
      <c r="AH938">
        <v>29.480561936212901</v>
      </c>
      <c r="AI938">
        <v>92.135821900864499</v>
      </c>
      <c r="AJ938">
        <v>84.662301219419604</v>
      </c>
      <c r="AK938">
        <v>29.6295390600554</v>
      </c>
      <c r="AL938">
        <v>88.068759686833303</v>
      </c>
      <c r="AM938">
        <v>96.004548713854902</v>
      </c>
      <c r="AN938">
        <v>1.0000000003118501</v>
      </c>
    </row>
    <row r="939" spans="1:40" x14ac:dyDescent="0.3">
      <c r="A939" t="str">
        <f>"20200111145929838"</f>
        <v>20200111145929838</v>
      </c>
      <c r="B939" t="str">
        <f>"1578725969826360"</f>
        <v>1578725969826360</v>
      </c>
      <c r="C939" t="s">
        <v>40</v>
      </c>
      <c r="D939">
        <v>4.1844979999999996</v>
      </c>
      <c r="E939">
        <v>0.50564030000000004</v>
      </c>
      <c r="F939" t="s">
        <v>42</v>
      </c>
      <c r="G939">
        <v>-376.79939999999999</v>
      </c>
      <c r="H939" s="1">
        <v>-1.610719E-6</v>
      </c>
      <c r="I939">
        <v>368.17669999999998</v>
      </c>
      <c r="J939">
        <v>-391.62389999999999</v>
      </c>
      <c r="K939">
        <v>1.104266</v>
      </c>
      <c r="L939">
        <v>367.26690000000002</v>
      </c>
      <c r="M939">
        <v>0.99993849999999995</v>
      </c>
      <c r="N939">
        <v>0</v>
      </c>
      <c r="O939">
        <v>-1.4933909999999999E-3</v>
      </c>
      <c r="P939">
        <v>0.99437169999999997</v>
      </c>
      <c r="Q939">
        <v>2.2860559999999999E-2</v>
      </c>
      <c r="R939">
        <v>0.103453</v>
      </c>
      <c r="S939">
        <v>3.0029910000000002</v>
      </c>
      <c r="T939">
        <v>-0.2219013</v>
      </c>
      <c r="U939">
        <v>0.1828003</v>
      </c>
      <c r="V939">
        <v>-0.1049368</v>
      </c>
      <c r="W939">
        <v>3.3785889999999999E-2</v>
      </c>
      <c r="X939">
        <v>0.99390480000000003</v>
      </c>
      <c r="Y939">
        <v>-6.2078250000000001E-2</v>
      </c>
      <c r="Z939">
        <v>2.398463E-3</v>
      </c>
      <c r="AA939">
        <v>0.99806839999999997</v>
      </c>
      <c r="AB939">
        <v>21</v>
      </c>
      <c r="AC939">
        <v>14.8245</v>
      </c>
      <c r="AD939">
        <v>-1.1042676107189999</v>
      </c>
      <c r="AE939">
        <v>0.90979999999996097</v>
      </c>
      <c r="AF939">
        <v>-0.92681580272264996</v>
      </c>
      <c r="AG939">
        <v>-1.1042676107189999</v>
      </c>
      <c r="AH939">
        <v>14.741635218047</v>
      </c>
      <c r="AI939">
        <v>94.275506002456694</v>
      </c>
      <c r="AJ939">
        <v>93.597486441179896</v>
      </c>
      <c r="AK939">
        <v>14.811961497054501</v>
      </c>
      <c r="AL939">
        <v>88.063842597937693</v>
      </c>
      <c r="AM939">
        <v>96.026979018406806</v>
      </c>
      <c r="AN939">
        <v>0.99999998491018505</v>
      </c>
    </row>
    <row r="940" spans="1:40" x14ac:dyDescent="0.3">
      <c r="A940" t="str">
        <f>"20200111145929850"</f>
        <v>20200111145929850</v>
      </c>
      <c r="B940" t="str">
        <f>"1578725969846858"</f>
        <v>1578725969846858</v>
      </c>
      <c r="C940" t="s">
        <v>40</v>
      </c>
      <c r="D940">
        <v>4.2029209999999999</v>
      </c>
      <c r="E940">
        <v>0.49622889999999997</v>
      </c>
      <c r="F940" t="s">
        <v>42</v>
      </c>
      <c r="G940">
        <v>-377.4821</v>
      </c>
      <c r="H940" s="1">
        <v>-1.256915E-6</v>
      </c>
      <c r="I940">
        <v>368.52010000000001</v>
      </c>
      <c r="J940">
        <v>-391.50799999999998</v>
      </c>
      <c r="K940">
        <v>1.104284</v>
      </c>
      <c r="L940">
        <v>367.26670000000001</v>
      </c>
      <c r="M940">
        <v>0.99993829999999995</v>
      </c>
      <c r="N940">
        <v>0</v>
      </c>
      <c r="O940">
        <v>-1.493302E-3</v>
      </c>
      <c r="P940">
        <v>0.99434239999999996</v>
      </c>
      <c r="Q940">
        <v>2.2896699999999999E-2</v>
      </c>
      <c r="R940">
        <v>0.10372720000000001</v>
      </c>
      <c r="S940">
        <v>2.9947509999999999</v>
      </c>
      <c r="T940">
        <v>-0.23384540000000001</v>
      </c>
      <c r="U940">
        <v>0.26541140000000002</v>
      </c>
      <c r="V940">
        <v>-0.1052109</v>
      </c>
      <c r="W940">
        <v>3.3848799999999998E-2</v>
      </c>
      <c r="X940">
        <v>0.99387369999999997</v>
      </c>
      <c r="Y940">
        <v>-8.9492169999999996E-2</v>
      </c>
      <c r="Z940">
        <v>3.5981110000000002E-3</v>
      </c>
      <c r="AA940">
        <v>0.99598100000000001</v>
      </c>
      <c r="AB940">
        <v>21</v>
      </c>
      <c r="AC940">
        <v>14.0259</v>
      </c>
      <c r="AD940">
        <v>-1.1042852569149999</v>
      </c>
      <c r="AE940">
        <v>1.2533999999999901</v>
      </c>
      <c r="AF940">
        <v>-1.2665559669892099</v>
      </c>
      <c r="AG940">
        <v>-1.1042852569149999</v>
      </c>
      <c r="AH940">
        <v>13.938297627054901</v>
      </c>
      <c r="AI940">
        <v>94.511383165339495</v>
      </c>
      <c r="AJ940">
        <v>95.192137641041498</v>
      </c>
      <c r="AK940">
        <v>14.039221868982599</v>
      </c>
      <c r="AL940">
        <v>88.060236092947306</v>
      </c>
      <c r="AM940">
        <v>96.042793140227602</v>
      </c>
      <c r="AN940">
        <v>1.0000000031459699</v>
      </c>
    </row>
    <row r="941" spans="1:40" x14ac:dyDescent="0.3">
      <c r="A941" t="str">
        <f>"20200111145929863"</f>
        <v>20200111145929863</v>
      </c>
      <c r="B941" t="str">
        <f>"1578725969856616"</f>
        <v>1578725969856616</v>
      </c>
      <c r="C941" t="s">
        <v>40</v>
      </c>
      <c r="D941">
        <v>4.1851599999999998</v>
      </c>
      <c r="E941">
        <v>0.49390299999999998</v>
      </c>
      <c r="F941" t="s">
        <v>42</v>
      </c>
      <c r="G941">
        <v>-378.61860000000001</v>
      </c>
      <c r="H941" s="1">
        <v>-7.3067849999999999E-7</v>
      </c>
      <c r="I941">
        <v>368.73829999999998</v>
      </c>
      <c r="J941">
        <v>-391.38380000000001</v>
      </c>
      <c r="K941">
        <v>1.1043050000000001</v>
      </c>
      <c r="L941">
        <v>367.26659999999998</v>
      </c>
      <c r="M941">
        <v>0.99993810000000005</v>
      </c>
      <c r="N941">
        <v>0</v>
      </c>
      <c r="O941">
        <v>-1.4933349999999999E-3</v>
      </c>
      <c r="P941">
        <v>0.99431590000000003</v>
      </c>
      <c r="Q941">
        <v>2.285856E-2</v>
      </c>
      <c r="R941">
        <v>0.10398880000000001</v>
      </c>
      <c r="S941">
        <v>2.9873959999999999</v>
      </c>
      <c r="T941">
        <v>-0.25594129999999998</v>
      </c>
      <c r="U941">
        <v>0.34109499999999998</v>
      </c>
      <c r="V941">
        <v>-0.1054726</v>
      </c>
      <c r="W941">
        <v>3.3837359999999997E-2</v>
      </c>
      <c r="X941">
        <v>0.99384640000000002</v>
      </c>
      <c r="Y941">
        <v>-0.1145051</v>
      </c>
      <c r="Z941">
        <v>5.0076089999999997E-3</v>
      </c>
      <c r="AA941">
        <v>0.99341009999999996</v>
      </c>
      <c r="AB941">
        <v>21</v>
      </c>
      <c r="AC941">
        <v>12.765199999999901</v>
      </c>
      <c r="AD941">
        <v>-1.10430573067849</v>
      </c>
      <c r="AE941">
        <v>1.47169999999999</v>
      </c>
      <c r="AF941">
        <v>-1.4798327071033499</v>
      </c>
      <c r="AG941">
        <v>-1.10430573067849</v>
      </c>
      <c r="AH941">
        <v>12.6694159834625</v>
      </c>
      <c r="AI941">
        <v>94.948018431559802</v>
      </c>
      <c r="AJ941">
        <v>96.662162194382105</v>
      </c>
      <c r="AK941">
        <v>12.803261199781801</v>
      </c>
      <c r="AL941">
        <v>88.060892026227293</v>
      </c>
      <c r="AM941">
        <v>96.057877430551798</v>
      </c>
      <c r="AN941">
        <v>1.0000000515377401</v>
      </c>
    </row>
    <row r="942" spans="1:40" x14ac:dyDescent="0.3">
      <c r="A942" t="str">
        <f>"20200111145929875"</f>
        <v>20200111145929875</v>
      </c>
      <c r="B942" t="str">
        <f>"1578725969866376"</f>
        <v>1578725969866376</v>
      </c>
      <c r="C942" t="s">
        <v>40</v>
      </c>
      <c r="D942">
        <v>4.2620209999999998</v>
      </c>
      <c r="E942">
        <v>0.492145</v>
      </c>
      <c r="F942" t="s">
        <v>42</v>
      </c>
      <c r="G942">
        <v>-378.85309999999998</v>
      </c>
      <c r="H942" s="1">
        <v>-6.2297369999999905E-7</v>
      </c>
      <c r="I942">
        <v>368.7783</v>
      </c>
      <c r="J942">
        <v>-391.27289999999999</v>
      </c>
      <c r="K942">
        <v>1.10432</v>
      </c>
      <c r="L942">
        <v>367.26639999999998</v>
      </c>
      <c r="M942">
        <v>0.99993779999999999</v>
      </c>
      <c r="N942">
        <v>0</v>
      </c>
      <c r="O942">
        <v>-1.493222E-3</v>
      </c>
      <c r="P942">
        <v>0.99430359999999995</v>
      </c>
      <c r="Q942">
        <v>2.2799409999999999E-2</v>
      </c>
      <c r="R942">
        <v>0.1041204</v>
      </c>
      <c r="S942">
        <v>2.985535</v>
      </c>
      <c r="T942">
        <v>-0.26310869999999997</v>
      </c>
      <c r="U942">
        <v>0.36019899999999999</v>
      </c>
      <c r="V942">
        <v>-0.1056045</v>
      </c>
      <c r="W942">
        <v>3.3800669999999998E-2</v>
      </c>
      <c r="X942">
        <v>0.99383359999999998</v>
      </c>
      <c r="Y942">
        <v>-0.1207947</v>
      </c>
      <c r="Z942">
        <v>5.4241890000000003E-3</v>
      </c>
      <c r="AA942">
        <v>0.99266270000000001</v>
      </c>
      <c r="AB942">
        <v>21</v>
      </c>
      <c r="AC942">
        <v>12.4198</v>
      </c>
      <c r="AD942">
        <v>-1.1043206229736999</v>
      </c>
      <c r="AE942">
        <v>1.51190000000002</v>
      </c>
      <c r="AF942">
        <v>-1.5186140053692201</v>
      </c>
      <c r="AG942">
        <v>-1.1043206229736999</v>
      </c>
      <c r="AH942">
        <v>12.3215358801087</v>
      </c>
      <c r="AI942">
        <v>95.083205959482896</v>
      </c>
      <c r="AJ942">
        <v>97.026200098848506</v>
      </c>
      <c r="AK942">
        <v>12.463785900778101</v>
      </c>
      <c r="AL942">
        <v>88.062995331167301</v>
      </c>
      <c r="AM942">
        <v>96.065474279580798</v>
      </c>
      <c r="AN942">
        <v>1.00000001010082</v>
      </c>
    </row>
    <row r="943" spans="1:40" x14ac:dyDescent="0.3">
      <c r="A943" t="str">
        <f>"20200111145929887"</f>
        <v>20200111145929887</v>
      </c>
      <c r="B943" t="str">
        <f>"1578725969876136"</f>
        <v>1578725969876136</v>
      </c>
      <c r="C943" t="s">
        <v>40</v>
      </c>
      <c r="D943">
        <v>4.1504960000000004</v>
      </c>
      <c r="E943">
        <v>0.49135200000000001</v>
      </c>
      <c r="F943" t="s">
        <v>42</v>
      </c>
      <c r="G943">
        <v>-378.66899999999998</v>
      </c>
      <c r="H943" s="1">
        <v>-6.8960160000000001E-7</v>
      </c>
      <c r="I943">
        <v>368.84800000000001</v>
      </c>
      <c r="J943">
        <v>-391.1617</v>
      </c>
      <c r="K943">
        <v>1.1043320000000001</v>
      </c>
      <c r="L943">
        <v>367.2663</v>
      </c>
      <c r="M943">
        <v>0.99993750000000003</v>
      </c>
      <c r="N943">
        <v>0</v>
      </c>
      <c r="O943">
        <v>-1.4929819999999999E-3</v>
      </c>
      <c r="P943">
        <v>0.99428570000000005</v>
      </c>
      <c r="Q943">
        <v>2.25455E-2</v>
      </c>
      <c r="R943">
        <v>0.1043451</v>
      </c>
      <c r="S943">
        <v>2.983978</v>
      </c>
      <c r="T943">
        <v>-0.26144650000000003</v>
      </c>
      <c r="U943">
        <v>0.37445070000000003</v>
      </c>
      <c r="V943">
        <v>-0.10582850000000001</v>
      </c>
      <c r="W943">
        <v>3.3567630000000001E-2</v>
      </c>
      <c r="X943">
        <v>0.99381770000000003</v>
      </c>
      <c r="Y943">
        <v>-0.12551279999999901</v>
      </c>
      <c r="Z943">
        <v>5.5967500000000002E-3</v>
      </c>
      <c r="AA943">
        <v>0.99207619999999996</v>
      </c>
      <c r="AB943">
        <v>21</v>
      </c>
      <c r="AC943">
        <v>12.4926999999999</v>
      </c>
      <c r="AD943">
        <v>-1.1043326896015999</v>
      </c>
      <c r="AE943">
        <v>1.5817000000000101</v>
      </c>
      <c r="AF943">
        <v>-1.5881364609150399</v>
      </c>
      <c r="AG943">
        <v>-1.1043326896015999</v>
      </c>
      <c r="AH943">
        <v>12.394995043797101</v>
      </c>
      <c r="AI943">
        <v>95.050258008746098</v>
      </c>
      <c r="AJ943">
        <v>97.301368789994697</v>
      </c>
      <c r="AK943">
        <v>12.545024122876899</v>
      </c>
      <c r="AL943">
        <v>88.0763551764677</v>
      </c>
      <c r="AM943">
        <v>96.078340196652405</v>
      </c>
      <c r="AN943">
        <v>1.0000000390146699</v>
      </c>
    </row>
    <row r="944" spans="1:40" x14ac:dyDescent="0.3">
      <c r="A944" t="str">
        <f>"20200111145929904"</f>
        <v>20200111145929904</v>
      </c>
      <c r="B944" t="str">
        <f>"1578725969896632"</f>
        <v>1578725969896632</v>
      </c>
      <c r="C944" t="s">
        <v>40</v>
      </c>
      <c r="D944">
        <v>4.196529</v>
      </c>
      <c r="E944">
        <v>0.49006420000000001</v>
      </c>
      <c r="F944" t="s">
        <v>42</v>
      </c>
      <c r="G944">
        <v>-378.41500000000002</v>
      </c>
      <c r="H944" s="1">
        <v>-7.8973319999999998E-7</v>
      </c>
      <c r="I944">
        <v>368.89780000000002</v>
      </c>
      <c r="J944">
        <v>-391.00130000000001</v>
      </c>
      <c r="K944">
        <v>1.1043499999999999</v>
      </c>
      <c r="L944">
        <v>367.26600000000002</v>
      </c>
      <c r="M944">
        <v>0.99993710000000002</v>
      </c>
      <c r="N944">
        <v>0</v>
      </c>
      <c r="O944">
        <v>-1.4926570000000001E-3</v>
      </c>
      <c r="P944">
        <v>0.99426190000000003</v>
      </c>
      <c r="Q944">
        <v>2.2515940000000002E-2</v>
      </c>
      <c r="R944">
        <v>0.1045773</v>
      </c>
      <c r="S944">
        <v>2.983063</v>
      </c>
      <c r="T944">
        <v>-0.25844089999999997</v>
      </c>
      <c r="U944">
        <v>0.38183590000000001</v>
      </c>
      <c r="V944">
        <v>-0.10606019999999899</v>
      </c>
      <c r="W944">
        <v>3.3565249999999998E-2</v>
      </c>
      <c r="X944">
        <v>0.99379300000000004</v>
      </c>
      <c r="Y944">
        <v>-0.12796879999999999</v>
      </c>
      <c r="Z944">
        <v>5.6392040000000001E-3</v>
      </c>
      <c r="AA944">
        <v>0.99176220000000004</v>
      </c>
      <c r="AB944">
        <v>21</v>
      </c>
      <c r="AC944">
        <v>12.5862999999999</v>
      </c>
      <c r="AD944">
        <v>-1.1043507897331999</v>
      </c>
      <c r="AE944">
        <v>1.6318000000000501</v>
      </c>
      <c r="AF944">
        <v>-1.6381829636643099</v>
      </c>
      <c r="AG944">
        <v>-1.1043507897331999</v>
      </c>
      <c r="AH944">
        <v>12.4892881829864</v>
      </c>
      <c r="AI944">
        <v>95.010473190198596</v>
      </c>
      <c r="AJ944">
        <v>97.472657498902706</v>
      </c>
      <c r="AK944">
        <v>12.6445859326001</v>
      </c>
      <c r="AL944">
        <v>88.076491464184102</v>
      </c>
      <c r="AM944">
        <v>96.091698376044803</v>
      </c>
      <c r="AN944">
        <v>0.99999995944029996</v>
      </c>
    </row>
    <row r="945" spans="1:40" x14ac:dyDescent="0.3">
      <c r="A945" t="str">
        <f>"20200111145929916"</f>
        <v>20200111145929916</v>
      </c>
      <c r="B945" t="str">
        <f>"1578725969906392"</f>
        <v>1578725969906392</v>
      </c>
      <c r="C945" t="s">
        <v>40</v>
      </c>
      <c r="D945">
        <v>4.2400310000000001</v>
      </c>
      <c r="E945">
        <v>0.48966860000000001</v>
      </c>
      <c r="F945" t="s">
        <v>42</v>
      </c>
      <c r="G945">
        <v>-378.1567</v>
      </c>
      <c r="H945" s="1">
        <v>-8.9006829999999995E-7</v>
      </c>
      <c r="I945">
        <v>368.95670000000001</v>
      </c>
      <c r="J945">
        <v>-390.8836</v>
      </c>
      <c r="K945">
        <v>1.10436</v>
      </c>
      <c r="L945">
        <v>367.26589999999999</v>
      </c>
      <c r="M945">
        <v>0.99993710000000002</v>
      </c>
      <c r="N945">
        <v>0</v>
      </c>
      <c r="O945">
        <v>-1.4929769999999999E-3</v>
      </c>
      <c r="P945">
        <v>0.99425490000000005</v>
      </c>
      <c r="Q945">
        <v>2.2423680000000001E-2</v>
      </c>
      <c r="R945">
        <v>0.10466449999999999</v>
      </c>
      <c r="S945">
        <v>2.9818419999999999</v>
      </c>
      <c r="T945">
        <v>-0.2563725</v>
      </c>
      <c r="U945">
        <v>0.39251710000000001</v>
      </c>
      <c r="V945">
        <v>-0.1061482</v>
      </c>
      <c r="W945">
        <v>3.3487080000000002E-2</v>
      </c>
      <c r="X945">
        <v>0.99378630000000001</v>
      </c>
      <c r="Y945">
        <v>-0.13150770000000001</v>
      </c>
      <c r="Z945">
        <v>5.7464559999999996E-3</v>
      </c>
      <c r="AA945">
        <v>0.99129849999999997</v>
      </c>
      <c r="AB945">
        <v>21</v>
      </c>
      <c r="AC945">
        <v>12.726900000000001</v>
      </c>
      <c r="AD945">
        <v>-1.1043608900683</v>
      </c>
      <c r="AE945">
        <v>1.6908000000000201</v>
      </c>
      <c r="AF945">
        <v>-1.6972422070772599</v>
      </c>
      <c r="AG945">
        <v>-1.1043608900683</v>
      </c>
      <c r="AH945">
        <v>12.6309041103758</v>
      </c>
      <c r="AI945">
        <v>94.952561603632404</v>
      </c>
      <c r="AJ945">
        <v>97.653117627516494</v>
      </c>
      <c r="AK945">
        <v>12.792184439356101</v>
      </c>
      <c r="AL945">
        <v>88.080972906095298</v>
      </c>
      <c r="AM945">
        <v>96.096755507708707</v>
      </c>
      <c r="AN945">
        <v>1.0000000174789201</v>
      </c>
    </row>
    <row r="946" spans="1:40" x14ac:dyDescent="0.3">
      <c r="A946" t="str">
        <f>"20200111145929927"</f>
        <v>20200111145929927</v>
      </c>
      <c r="B946" t="str">
        <f>"1578725969916152"</f>
        <v>1578725969916152</v>
      </c>
      <c r="C946" t="s">
        <v>40</v>
      </c>
      <c r="D946">
        <v>4.4118529999999998</v>
      </c>
      <c r="E946">
        <v>0.48864469999999999</v>
      </c>
      <c r="F946" t="s">
        <v>42</v>
      </c>
      <c r="G946">
        <v>-377.99970000000002</v>
      </c>
      <c r="H946" s="1">
        <v>-9.5393140000000007E-7</v>
      </c>
      <c r="I946">
        <v>368.97649999999999</v>
      </c>
      <c r="J946">
        <v>-390.78039999999999</v>
      </c>
      <c r="K946">
        <v>1.1043670000000001</v>
      </c>
      <c r="L946">
        <v>367.26569999999998</v>
      </c>
      <c r="M946">
        <v>0.99993699999999996</v>
      </c>
      <c r="N946">
        <v>0</v>
      </c>
      <c r="O946">
        <v>-1.49266E-3</v>
      </c>
      <c r="P946">
        <v>0.99419880000000005</v>
      </c>
      <c r="Q946">
        <v>2.2376730000000001E-2</v>
      </c>
      <c r="R946">
        <v>0.1052059</v>
      </c>
      <c r="S946">
        <v>2.9814449999999999</v>
      </c>
      <c r="T946">
        <v>-0.25555689999999998</v>
      </c>
      <c r="U946">
        <v>0.395874</v>
      </c>
      <c r="V946">
        <v>-0.10668850000000001</v>
      </c>
      <c r="W946">
        <v>3.3447060000000001E-2</v>
      </c>
      <c r="X946">
        <v>0.9937298</v>
      </c>
      <c r="Y946">
        <v>-0.1326204</v>
      </c>
      <c r="Z946">
        <v>5.7759400000000002E-3</v>
      </c>
      <c r="AA946">
        <v>0.99115010000000003</v>
      </c>
      <c r="AB946">
        <v>21</v>
      </c>
      <c r="AC946">
        <v>12.7806999999999</v>
      </c>
      <c r="AD946">
        <v>-1.1043679539314</v>
      </c>
      <c r="AE946">
        <v>1.7108000000000001</v>
      </c>
      <c r="AF946">
        <v>-1.7172801079250799</v>
      </c>
      <c r="AG946">
        <v>-1.1043679539314</v>
      </c>
      <c r="AH946">
        <v>12.685085698195801</v>
      </c>
      <c r="AI946">
        <v>94.930890043184206</v>
      </c>
      <c r="AJ946">
        <v>97.709710544129294</v>
      </c>
      <c r="AK946">
        <v>12.848349260403699</v>
      </c>
      <c r="AL946">
        <v>88.083267189734002</v>
      </c>
      <c r="AM946">
        <v>96.127898566336597</v>
      </c>
      <c r="AN946">
        <v>1.0000000286314601</v>
      </c>
    </row>
    <row r="947" spans="1:40" x14ac:dyDescent="0.3">
      <c r="A947" t="str">
        <f>"20200111145929941"</f>
        <v>20200111145929941</v>
      </c>
      <c r="B947" t="str">
        <f>"1578725969936649"</f>
        <v>1578725969936649</v>
      </c>
      <c r="C947" t="s">
        <v>40</v>
      </c>
      <c r="D947">
        <v>4.2676069999999999</v>
      </c>
      <c r="E947">
        <v>0.4880294</v>
      </c>
      <c r="F947" t="s">
        <v>42</v>
      </c>
      <c r="G947">
        <v>-378.21210000000002</v>
      </c>
      <c r="H947" s="1">
        <v>-8.6286349999999998E-7</v>
      </c>
      <c r="I947">
        <v>368.97629999999998</v>
      </c>
      <c r="J947">
        <v>-390.64870000000002</v>
      </c>
      <c r="K947">
        <v>1.1043750000000001</v>
      </c>
      <c r="L947">
        <v>367.26549999999997</v>
      </c>
      <c r="M947">
        <v>0.99993690000000002</v>
      </c>
      <c r="N947">
        <v>0</v>
      </c>
      <c r="O947">
        <v>-1.4923289999999999E-3</v>
      </c>
      <c r="P947">
        <v>0.99419120000000005</v>
      </c>
      <c r="Q947">
        <v>2.247563E-2</v>
      </c>
      <c r="R947">
        <v>0.10525669999999999</v>
      </c>
      <c r="S947">
        <v>2.9804689999999998</v>
      </c>
      <c r="T947">
        <v>-0.26189059999999997</v>
      </c>
      <c r="U947">
        <v>0.40567019999999998</v>
      </c>
      <c r="V947">
        <v>-0.10673879999999999</v>
      </c>
      <c r="W947">
        <v>3.3550469999999999E-2</v>
      </c>
      <c r="X947">
        <v>0.99372090000000002</v>
      </c>
      <c r="Y947">
        <v>-0.1358251</v>
      </c>
      <c r="Z947">
        <v>6.0590469999999997E-3</v>
      </c>
      <c r="AA947">
        <v>0.99071430000000005</v>
      </c>
      <c r="AB947">
        <v>21</v>
      </c>
      <c r="AC947">
        <v>12.4366</v>
      </c>
      <c r="AD947">
        <v>-1.1043758628634901</v>
      </c>
      <c r="AE947">
        <v>1.7108000000000001</v>
      </c>
      <c r="AF947">
        <v>-1.7160778897388</v>
      </c>
      <c r="AG947">
        <v>-1.1043758628634901</v>
      </c>
      <c r="AH947">
        <v>12.3385440058345</v>
      </c>
      <c r="AI947">
        <v>95.066188473199205</v>
      </c>
      <c r="AJ947">
        <v>97.918056251514699</v>
      </c>
      <c r="AK947">
        <v>12.506167980402299</v>
      </c>
      <c r="AL947">
        <v>88.077338882388105</v>
      </c>
      <c r="AM947">
        <v>96.130820155786196</v>
      </c>
      <c r="AN947">
        <v>1.00000001627973</v>
      </c>
    </row>
    <row r="948" spans="1:40" x14ac:dyDescent="0.3">
      <c r="A948" t="str">
        <f>"20200111145929953"</f>
        <v>20200111145929953</v>
      </c>
      <c r="B948" t="str">
        <f>"1578725969946409"</f>
        <v>1578725969946409</v>
      </c>
      <c r="C948" t="s">
        <v>40</v>
      </c>
      <c r="D948">
        <v>4.2762460000000004</v>
      </c>
      <c r="E948">
        <v>0.48785119999999998</v>
      </c>
      <c r="F948" t="s">
        <v>42</v>
      </c>
      <c r="G948">
        <v>-378.4171</v>
      </c>
      <c r="H948" s="1">
        <v>-7.7959130000000001E-7</v>
      </c>
      <c r="I948">
        <v>368.95</v>
      </c>
      <c r="J948">
        <v>-390.52730000000003</v>
      </c>
      <c r="K948">
        <v>1.1043769999999999</v>
      </c>
      <c r="L948">
        <v>367.2654</v>
      </c>
      <c r="M948">
        <v>0.99993699999999996</v>
      </c>
      <c r="N948">
        <v>0</v>
      </c>
      <c r="O948">
        <v>-1.492298E-3</v>
      </c>
      <c r="P948">
        <v>0.99415989999999999</v>
      </c>
      <c r="Q948">
        <v>2.2578560000000001E-2</v>
      </c>
      <c r="R948">
        <v>0.10553029999999999</v>
      </c>
      <c r="S948">
        <v>2.9801639999999998</v>
      </c>
      <c r="T948">
        <v>-0.26907249999999999</v>
      </c>
      <c r="U948">
        <v>0.41043089999999999</v>
      </c>
      <c r="V948">
        <v>-0.10701289999999999</v>
      </c>
      <c r="W948">
        <v>3.3647690000000001E-2</v>
      </c>
      <c r="X948">
        <v>0.99368809999999996</v>
      </c>
      <c r="Y948">
        <v>-0.13735710000000001</v>
      </c>
      <c r="Z948">
        <v>6.2932049999999996E-3</v>
      </c>
      <c r="AA948">
        <v>0.99050159999999998</v>
      </c>
      <c r="AB948">
        <v>21</v>
      </c>
      <c r="AC948">
        <v>12.110200000000001</v>
      </c>
      <c r="AD948">
        <v>-1.1043777795912999</v>
      </c>
      <c r="AE948">
        <v>1.6845999999999799</v>
      </c>
      <c r="AF948">
        <v>-1.6888924768171301</v>
      </c>
      <c r="AG948">
        <v>-1.1043777795912999</v>
      </c>
      <c r="AH948">
        <v>12.009691622572401</v>
      </c>
      <c r="AI948">
        <v>95.203072842888304</v>
      </c>
      <c r="AJ948">
        <v>98.004867298757702</v>
      </c>
      <c r="AK948">
        <v>12.1780417534015</v>
      </c>
      <c r="AL948">
        <v>88.071765377607406</v>
      </c>
      <c r="AM948">
        <v>96.146644776123694</v>
      </c>
      <c r="AN948">
        <v>0.99999998394517697</v>
      </c>
    </row>
    <row r="949" spans="1:40" x14ac:dyDescent="0.3">
      <c r="A949" t="str">
        <f>"20200111145929966"</f>
        <v>20200111145929966</v>
      </c>
      <c r="B949" t="str">
        <f>"1578725969956169"</f>
        <v>1578725969956169</v>
      </c>
      <c r="C949" t="s">
        <v>40</v>
      </c>
      <c r="D949">
        <v>4.2640479999999998</v>
      </c>
      <c r="E949">
        <v>0.48774220000000001</v>
      </c>
      <c r="F949" t="s">
        <v>42</v>
      </c>
      <c r="G949">
        <v>-378.42930000000001</v>
      </c>
      <c r="H949" s="1">
        <v>-7.7616639999999996E-7</v>
      </c>
      <c r="I949">
        <v>368.93979999999999</v>
      </c>
      <c r="J949">
        <v>-390.40449999999998</v>
      </c>
      <c r="K949">
        <v>1.1043780000000001</v>
      </c>
      <c r="L949">
        <v>367.26519999999999</v>
      </c>
      <c r="M949">
        <v>0.99993710000000002</v>
      </c>
      <c r="N949">
        <v>0</v>
      </c>
      <c r="O949">
        <v>-1.492129E-3</v>
      </c>
      <c r="P949">
        <v>0.99414000000000002</v>
      </c>
      <c r="Q949">
        <v>2.2813670000000001E-2</v>
      </c>
      <c r="R949">
        <v>0.105667</v>
      </c>
      <c r="S949">
        <v>2.9800420000000001</v>
      </c>
      <c r="T949">
        <v>-0.27203500000000003</v>
      </c>
      <c r="U949">
        <v>0.4124756</v>
      </c>
      <c r="V949">
        <v>-0.10714899999999999</v>
      </c>
      <c r="W949">
        <v>3.387358E-2</v>
      </c>
      <c r="X949">
        <v>0.99366580000000004</v>
      </c>
      <c r="Y949">
        <v>-0.13801440000000001</v>
      </c>
      <c r="Z949">
        <v>6.3919550000000004E-3</v>
      </c>
      <c r="AA949">
        <v>0.9904096</v>
      </c>
      <c r="AB949">
        <v>21</v>
      </c>
      <c r="AC949">
        <v>11.9751999999999</v>
      </c>
      <c r="AD949">
        <v>-1.1043787761663999</v>
      </c>
      <c r="AE949">
        <v>1.6745999999999901</v>
      </c>
      <c r="AF949">
        <v>-1.6784663476522399</v>
      </c>
      <c r="AG949">
        <v>-1.1043787761663999</v>
      </c>
      <c r="AH949">
        <v>11.873640228760101</v>
      </c>
      <c r="AI949">
        <v>95.261832530758298</v>
      </c>
      <c r="AJ949">
        <v>98.046060943183605</v>
      </c>
      <c r="AK949">
        <v>12.0424347224088</v>
      </c>
      <c r="AL949">
        <v>88.058815531043507</v>
      </c>
      <c r="AM949">
        <v>96.154539239753205</v>
      </c>
      <c r="AN949">
        <v>1.0000000248563199</v>
      </c>
    </row>
    <row r="950" spans="1:40" x14ac:dyDescent="0.3">
      <c r="A950" t="str">
        <f>"20200111145929983"</f>
        <v>20200111145929983</v>
      </c>
      <c r="B950" t="str">
        <f>"1578725969976664"</f>
        <v>1578725969976664</v>
      </c>
      <c r="C950" t="s">
        <v>40</v>
      </c>
      <c r="D950">
        <v>4.3763629999999996</v>
      </c>
      <c r="E950">
        <v>0.48720720000000001</v>
      </c>
      <c r="F950" t="s">
        <v>42</v>
      </c>
      <c r="G950">
        <v>-378.40820000000002</v>
      </c>
      <c r="H950" s="1">
        <v>-7.8651089999999995E-7</v>
      </c>
      <c r="I950">
        <v>368.93239999999997</v>
      </c>
      <c r="J950">
        <v>-390.24959999999999</v>
      </c>
      <c r="K950">
        <v>1.104385</v>
      </c>
      <c r="L950">
        <v>367.26499999999999</v>
      </c>
      <c r="M950">
        <v>0.99993719999999997</v>
      </c>
      <c r="N950">
        <v>0</v>
      </c>
      <c r="O950">
        <v>-1.491799E-3</v>
      </c>
      <c r="P950">
        <v>0.99410719999999997</v>
      </c>
      <c r="Q950">
        <v>2.3311370000000001E-2</v>
      </c>
      <c r="R950">
        <v>0.1058654</v>
      </c>
      <c r="S950">
        <v>2.979889</v>
      </c>
      <c r="T950">
        <v>-0.27432659999999998</v>
      </c>
      <c r="U950">
        <v>0.41415410000000002</v>
      </c>
      <c r="V950">
        <v>-0.1073471</v>
      </c>
      <c r="W950">
        <v>3.4354900000000001E-2</v>
      </c>
      <c r="X950">
        <v>0.99362779999999995</v>
      </c>
      <c r="Y950">
        <v>-0.1385564</v>
      </c>
      <c r="Z950">
        <v>6.4704019999999897E-3</v>
      </c>
      <c r="AA950">
        <v>0.99033340000000003</v>
      </c>
      <c r="AB950">
        <v>21</v>
      </c>
      <c r="AC950">
        <v>11.841399999999901</v>
      </c>
      <c r="AD950">
        <v>-1.1043857865108999</v>
      </c>
      <c r="AE950">
        <v>1.66739999999998</v>
      </c>
      <c r="AF950">
        <v>-1.6708135075085899</v>
      </c>
      <c r="AG950">
        <v>-1.1043857865108999</v>
      </c>
      <c r="AH950">
        <v>11.7387767783173</v>
      </c>
      <c r="AI950">
        <v>95.321257447430995</v>
      </c>
      <c r="AJ950">
        <v>98.1006609989618</v>
      </c>
      <c r="AK950">
        <v>11.9084073659529</v>
      </c>
      <c r="AL950">
        <v>88.031221682776206</v>
      </c>
      <c r="AM950">
        <v>96.166064341634197</v>
      </c>
      <c r="AN950">
        <v>0.99999993198262704</v>
      </c>
    </row>
    <row r="951" spans="1:40" x14ac:dyDescent="0.3">
      <c r="A951" t="str">
        <f>"20200111145929996"</f>
        <v>20200111145929996</v>
      </c>
      <c r="B951" t="str">
        <f>"1578725969986425"</f>
        <v>1578725969986425</v>
      </c>
      <c r="C951" t="s">
        <v>40</v>
      </c>
      <c r="D951">
        <v>4.3055009999999996</v>
      </c>
      <c r="E951">
        <v>0.48709829999999998</v>
      </c>
      <c r="F951" t="s">
        <v>42</v>
      </c>
      <c r="G951">
        <v>-378.41989999999998</v>
      </c>
      <c r="H951" s="1">
        <v>-7.8216639999999999E-7</v>
      </c>
      <c r="I951">
        <v>368.92849999999999</v>
      </c>
      <c r="J951">
        <v>-390.12299999999999</v>
      </c>
      <c r="K951">
        <v>1.1043909999999999</v>
      </c>
      <c r="L951">
        <v>367.26479999999998</v>
      </c>
      <c r="M951">
        <v>0.99993739999999998</v>
      </c>
      <c r="N951">
        <v>0</v>
      </c>
      <c r="O951">
        <v>-1.491701E-3</v>
      </c>
      <c r="P951">
        <v>0.99410030000000005</v>
      </c>
      <c r="Q951">
        <v>2.3315579999999999E-2</v>
      </c>
      <c r="R951">
        <v>0.10592890000000001</v>
      </c>
      <c r="S951">
        <v>2.9796450000000001</v>
      </c>
      <c r="T951">
        <v>-0.2781709</v>
      </c>
      <c r="U951">
        <v>0.41903689999999999</v>
      </c>
      <c r="V951">
        <v>-0.107410199999999</v>
      </c>
      <c r="W951">
        <v>3.434156E-2</v>
      </c>
      <c r="X951">
        <v>0.99362150000000005</v>
      </c>
      <c r="Y951">
        <v>-0.14013589999999901</v>
      </c>
      <c r="Z951">
        <v>6.6336900000000002E-3</v>
      </c>
      <c r="AA951">
        <v>0.99011000000000005</v>
      </c>
      <c r="AB951">
        <v>21</v>
      </c>
      <c r="AC951">
        <v>11.703099999999999</v>
      </c>
      <c r="AD951">
        <v>-1.1043917821664</v>
      </c>
      <c r="AE951">
        <v>1.6637</v>
      </c>
      <c r="AF951">
        <v>-1.66660922480634</v>
      </c>
      <c r="AG951">
        <v>-1.1043917821664</v>
      </c>
      <c r="AH951">
        <v>11.5993564468983</v>
      </c>
      <c r="AI951">
        <v>95.383861032184697</v>
      </c>
      <c r="AJ951">
        <v>98.176366596108807</v>
      </c>
      <c r="AK951">
        <v>11.770400906465699</v>
      </c>
      <c r="AL951">
        <v>88.031986573110402</v>
      </c>
      <c r="AM951">
        <v>96.169699705169506</v>
      </c>
      <c r="AN951">
        <v>0.99999998953476099</v>
      </c>
    </row>
    <row r="952" spans="1:40" x14ac:dyDescent="0.3">
      <c r="A952" t="str">
        <f>"20200111145930008"</f>
        <v>20200111145930008</v>
      </c>
      <c r="B952" t="str">
        <f>"1578725970006921"</f>
        <v>1578725970006921</v>
      </c>
      <c r="C952" t="s">
        <v>40</v>
      </c>
      <c r="D952">
        <v>4.289053</v>
      </c>
      <c r="E952">
        <v>0.4867435</v>
      </c>
      <c r="F952" t="s">
        <v>42</v>
      </c>
      <c r="G952">
        <v>-378.38549999999998</v>
      </c>
      <c r="H952" s="1">
        <v>-7.9859439999999998E-7</v>
      </c>
      <c r="I952">
        <v>368.91910000000001</v>
      </c>
      <c r="J952">
        <v>-390.00740000000002</v>
      </c>
      <c r="K952">
        <v>1.104393</v>
      </c>
      <c r="L952">
        <v>367.26459999999997</v>
      </c>
      <c r="M952">
        <v>0.99993770000000004</v>
      </c>
      <c r="N952">
        <v>0</v>
      </c>
      <c r="O952">
        <v>-1.4914829999999901E-3</v>
      </c>
      <c r="P952">
        <v>0.99406709999999998</v>
      </c>
      <c r="Q952">
        <v>2.3704989999999999E-2</v>
      </c>
      <c r="R952">
        <v>0.1061547</v>
      </c>
      <c r="S952">
        <v>2.9796140000000002</v>
      </c>
      <c r="T952">
        <v>-0.28035280000000001</v>
      </c>
      <c r="U952">
        <v>0.41998289999999999</v>
      </c>
      <c r="V952">
        <v>-0.1076363</v>
      </c>
      <c r="W952">
        <v>3.4712800000000002E-2</v>
      </c>
      <c r="X952">
        <v>0.99358420000000003</v>
      </c>
      <c r="Y952">
        <v>-0.14043459999999999</v>
      </c>
      <c r="Z952">
        <v>6.6993529999999999E-3</v>
      </c>
      <c r="AA952">
        <v>0.99006729999999998</v>
      </c>
      <c r="AB952">
        <v>21</v>
      </c>
      <c r="AC952">
        <v>11.6219</v>
      </c>
      <c r="AD952">
        <v>-1.1043937985943999</v>
      </c>
      <c r="AE952">
        <v>1.65450000000004</v>
      </c>
      <c r="AF952">
        <v>-1.6571659272297801</v>
      </c>
      <c r="AG952">
        <v>-1.1043937985943999</v>
      </c>
      <c r="AH952">
        <v>11.5174809321637</v>
      </c>
      <c r="AI952">
        <v>95.421763430093804</v>
      </c>
      <c r="AJ952">
        <v>98.187677370821206</v>
      </c>
      <c r="AK952">
        <v>11.688381051090801</v>
      </c>
      <c r="AL952">
        <v>88.0107035319934</v>
      </c>
      <c r="AM952">
        <v>96.182816837226298</v>
      </c>
      <c r="AN952">
        <v>1.00000005702558</v>
      </c>
    </row>
    <row r="953" spans="1:40" x14ac:dyDescent="0.3">
      <c r="A953" t="str">
        <f>"20200111145930020"</f>
        <v>20200111145930020</v>
      </c>
      <c r="B953" t="str">
        <f>"1578725970016680"</f>
        <v>1578725970016680</v>
      </c>
      <c r="C953" t="s">
        <v>40</v>
      </c>
      <c r="D953">
        <v>4.2820989999999997</v>
      </c>
      <c r="E953">
        <v>0.48658079999999998</v>
      </c>
      <c r="F953" t="s">
        <v>42</v>
      </c>
      <c r="G953">
        <v>-378.39510000000001</v>
      </c>
      <c r="H953" s="1">
        <v>-7.9527499999999998E-7</v>
      </c>
      <c r="I953">
        <v>368.91460000000001</v>
      </c>
      <c r="J953">
        <v>-389.89429999999999</v>
      </c>
      <c r="K953">
        <v>1.1043940000000001</v>
      </c>
      <c r="L953">
        <v>367.26440000000002</v>
      </c>
      <c r="M953">
        <v>0.99993790000000005</v>
      </c>
      <c r="N953">
        <v>0</v>
      </c>
      <c r="O953">
        <v>-1.491381E-3</v>
      </c>
      <c r="P953">
        <v>0.99403039999999998</v>
      </c>
      <c r="Q953">
        <v>2.4019180000000001E-2</v>
      </c>
      <c r="R953">
        <v>0.1064293</v>
      </c>
      <c r="S953">
        <v>2.9794619999999998</v>
      </c>
      <c r="T953">
        <v>-0.28336169999999999</v>
      </c>
      <c r="U953">
        <v>0.42337039999999998</v>
      </c>
      <c r="V953">
        <v>-0.1079109</v>
      </c>
      <c r="W953">
        <v>3.5008249999999998E-2</v>
      </c>
      <c r="X953">
        <v>0.99354399999999998</v>
      </c>
      <c r="Y953">
        <v>-0.14152690000000001</v>
      </c>
      <c r="Z953">
        <v>6.8223059999999898E-3</v>
      </c>
      <c r="AA953">
        <v>0.98991090000000004</v>
      </c>
      <c r="AB953">
        <v>21</v>
      </c>
      <c r="AC953">
        <v>11.499199999999901</v>
      </c>
      <c r="AD953">
        <v>-1.104394795275</v>
      </c>
      <c r="AE953">
        <v>1.6501999999999799</v>
      </c>
      <c r="AF953">
        <v>-1.65241478144152</v>
      </c>
      <c r="AG953">
        <v>-1.104394795275</v>
      </c>
      <c r="AH953">
        <v>11.3937520602154</v>
      </c>
      <c r="AI953">
        <v>95.479405887124301</v>
      </c>
      <c r="AJ953">
        <v>98.251966879407306</v>
      </c>
      <c r="AK953">
        <v>11.5658008146181</v>
      </c>
      <c r="AL953">
        <v>87.993765104964595</v>
      </c>
      <c r="AM953">
        <v>96.198716555165504</v>
      </c>
      <c r="AN953">
        <v>1.0000000099214299</v>
      </c>
    </row>
    <row r="954" spans="1:40" x14ac:dyDescent="0.3">
      <c r="A954" t="str">
        <f>"20200111145930032"</f>
        <v>20200111145930032</v>
      </c>
      <c r="B954" t="str">
        <f>"1578725970026440"</f>
        <v>1578725970026440</v>
      </c>
      <c r="C954" t="s">
        <v>40</v>
      </c>
      <c r="D954">
        <v>4.2964190000000002</v>
      </c>
      <c r="E954">
        <v>0.48643110000000001</v>
      </c>
      <c r="F954" t="s">
        <v>42</v>
      </c>
      <c r="G954">
        <v>-378.32799999999997</v>
      </c>
      <c r="H954" s="1">
        <v>-8.2388099999999996E-7</v>
      </c>
      <c r="I954">
        <v>368.91559999999998</v>
      </c>
      <c r="J954">
        <v>-389.78059999999999</v>
      </c>
      <c r="K954">
        <v>1.1043970000000001</v>
      </c>
      <c r="L954">
        <v>367.26429999999999</v>
      </c>
      <c r="M954">
        <v>0.99993810000000005</v>
      </c>
      <c r="N954">
        <v>0</v>
      </c>
      <c r="O954">
        <v>-1.4910349999999999E-3</v>
      </c>
      <c r="P954">
        <v>0.99400140000000003</v>
      </c>
      <c r="Q954">
        <v>2.3993339999999998E-2</v>
      </c>
      <c r="R954">
        <v>0.1067052</v>
      </c>
      <c r="S954">
        <v>2.9793400000000001</v>
      </c>
      <c r="T954">
        <v>-0.28447830000000002</v>
      </c>
      <c r="U954">
        <v>0.42535400000000001</v>
      </c>
      <c r="V954">
        <v>-0.1081858</v>
      </c>
      <c r="W954">
        <v>3.4962989999999999E-2</v>
      </c>
      <c r="X954">
        <v>0.9935157</v>
      </c>
      <c r="Y954">
        <v>-0.1421704</v>
      </c>
      <c r="Z954">
        <v>6.8794889999999999E-3</v>
      </c>
      <c r="AA954">
        <v>0.98981830000000004</v>
      </c>
      <c r="AB954">
        <v>21</v>
      </c>
      <c r="AC954">
        <v>11.452599999999901</v>
      </c>
      <c r="AD954">
        <v>-1.1043978238809999</v>
      </c>
      <c r="AE954">
        <v>1.65129999999999</v>
      </c>
      <c r="AF954">
        <v>-1.6533141424984501</v>
      </c>
      <c r="AG954">
        <v>-1.1043978238809999</v>
      </c>
      <c r="AH954">
        <v>11.3467587763375</v>
      </c>
      <c r="AI954">
        <v>95.501445957377499</v>
      </c>
      <c r="AJ954">
        <v>98.290116354553106</v>
      </c>
      <c r="AK954">
        <v>11.51963875022</v>
      </c>
      <c r="AL954">
        <v>87.996359904717195</v>
      </c>
      <c r="AM954">
        <v>96.214559845311598</v>
      </c>
      <c r="AN954">
        <v>1.0000000120689301</v>
      </c>
    </row>
    <row r="955" spans="1:40" x14ac:dyDescent="0.3">
      <c r="A955" t="str">
        <f>"20200111145930048"</f>
        <v>20200111145930048</v>
      </c>
      <c r="B955" t="str">
        <f>"1578725970036200"</f>
        <v>1578725970036200</v>
      </c>
      <c r="C955" t="s">
        <v>40</v>
      </c>
      <c r="D955">
        <v>4.3234760000000003</v>
      </c>
      <c r="E955">
        <v>0.48640699999999998</v>
      </c>
      <c r="F955" t="s">
        <v>42</v>
      </c>
      <c r="G955">
        <v>-378.27769999999998</v>
      </c>
      <c r="H955" s="1">
        <v>-8.4589709999999999E-7</v>
      </c>
      <c r="I955">
        <v>368.91309999999999</v>
      </c>
      <c r="J955">
        <v>-389.6284</v>
      </c>
      <c r="K955">
        <v>1.1043940000000001</v>
      </c>
      <c r="L955">
        <v>367.26409999999998</v>
      </c>
      <c r="M955">
        <v>0.99993840000000001</v>
      </c>
      <c r="N955">
        <v>0</v>
      </c>
      <c r="O955">
        <v>-1.4907729999999999E-3</v>
      </c>
      <c r="P955">
        <v>0.99393480000000001</v>
      </c>
      <c r="Q955">
        <v>2.3854960000000001E-2</v>
      </c>
      <c r="R955">
        <v>0.1073533</v>
      </c>
      <c r="S955">
        <v>2.9791259999999999</v>
      </c>
      <c r="T955">
        <v>-0.28602699999999998</v>
      </c>
      <c r="U955">
        <v>0.42706300000000003</v>
      </c>
      <c r="V955">
        <v>-0.108834</v>
      </c>
      <c r="W955">
        <v>3.4798099999999998E-2</v>
      </c>
      <c r="X955">
        <v>0.99345070000000002</v>
      </c>
      <c r="Y955">
        <v>-0.14272689999999999</v>
      </c>
      <c r="Z955">
        <v>6.9434789999999998E-3</v>
      </c>
      <c r="AA955">
        <v>0.98973770000000005</v>
      </c>
      <c r="AB955">
        <v>21</v>
      </c>
      <c r="AC955">
        <v>11.3507</v>
      </c>
      <c r="AD955">
        <v>-1.1043948458971</v>
      </c>
      <c r="AE955">
        <v>1.649</v>
      </c>
      <c r="AF955">
        <v>-1.65061741393091</v>
      </c>
      <c r="AG955">
        <v>-1.1043948458971</v>
      </c>
      <c r="AH955">
        <v>11.243984472582101</v>
      </c>
      <c r="AI955">
        <v>95.550541135161495</v>
      </c>
      <c r="AJ955">
        <v>98.351372466801607</v>
      </c>
      <c r="AK955">
        <v>11.4180301559632</v>
      </c>
      <c r="AL955">
        <v>88.005813174580595</v>
      </c>
      <c r="AM955">
        <v>96.251906496280995</v>
      </c>
      <c r="AN955">
        <v>1.0000000203250401</v>
      </c>
    </row>
    <row r="956" spans="1:40" x14ac:dyDescent="0.3">
      <c r="A956" t="str">
        <f>"20200111145930059"</f>
        <v>20200111145930059</v>
      </c>
      <c r="B956" t="str">
        <f>"1578725970046936"</f>
        <v>1578725970046936</v>
      </c>
      <c r="C956" t="s">
        <v>40</v>
      </c>
      <c r="D956">
        <v>4.3151469999999996</v>
      </c>
      <c r="E956">
        <v>0.48624729999999999</v>
      </c>
      <c r="F956" t="s">
        <v>42</v>
      </c>
      <c r="G956">
        <v>-378.1961</v>
      </c>
      <c r="H956" s="1">
        <v>-8.810638E-7</v>
      </c>
      <c r="I956">
        <v>368.91230000000002</v>
      </c>
      <c r="J956">
        <v>-389.52319999999997</v>
      </c>
      <c r="K956">
        <v>1.104395</v>
      </c>
      <c r="L956">
        <v>367.26389999999998</v>
      </c>
      <c r="M956">
        <v>0.99993860000000001</v>
      </c>
      <c r="N956">
        <v>0</v>
      </c>
      <c r="O956">
        <v>-1.490676E-3</v>
      </c>
      <c r="P956">
        <v>0.99392009999999997</v>
      </c>
      <c r="Q956">
        <v>2.3555710000000001E-2</v>
      </c>
      <c r="R956">
        <v>0.107555</v>
      </c>
      <c r="S956">
        <v>2.9788209999999999</v>
      </c>
      <c r="T956">
        <v>-0.28776119999999999</v>
      </c>
      <c r="U956">
        <v>0.42947390000000002</v>
      </c>
      <c r="V956">
        <v>-0.1090351</v>
      </c>
      <c r="W956">
        <v>3.4481190000000002E-2</v>
      </c>
      <c r="X956">
        <v>0.99343970000000004</v>
      </c>
      <c r="Y956">
        <v>-0.14351429999999901</v>
      </c>
      <c r="Z956">
        <v>7.0234360000000001E-3</v>
      </c>
      <c r="AA956">
        <v>0.98962329999999998</v>
      </c>
      <c r="AB956">
        <v>21</v>
      </c>
      <c r="AC956">
        <v>11.3270999999999</v>
      </c>
      <c r="AD956">
        <v>-1.1043958810637999</v>
      </c>
      <c r="AE956">
        <v>1.6484000000000301</v>
      </c>
      <c r="AF956">
        <v>-1.6499248054817199</v>
      </c>
      <c r="AG956">
        <v>-1.1043958810637999</v>
      </c>
      <c r="AH956">
        <v>11.2201795678008</v>
      </c>
      <c r="AI956">
        <v>95.562050142865701</v>
      </c>
      <c r="AJ956">
        <v>98.365378278482197</v>
      </c>
      <c r="AK956">
        <v>11.394488652833401</v>
      </c>
      <c r="AL956">
        <v>88.023981685641203</v>
      </c>
      <c r="AM956">
        <v>96.263435642102195</v>
      </c>
      <c r="AN956">
        <v>1.0000000215159499</v>
      </c>
    </row>
    <row r="957" spans="1:40" x14ac:dyDescent="0.3">
      <c r="A957" t="str">
        <f>"20200111145930071"</f>
        <v>20200111145930071</v>
      </c>
      <c r="B957" t="str">
        <f>"1578725970066458"</f>
        <v>1578725970066458</v>
      </c>
      <c r="C957" t="s">
        <v>40</v>
      </c>
      <c r="D957">
        <v>4.3174999999999999</v>
      </c>
      <c r="E957">
        <v>0.48601820000000001</v>
      </c>
      <c r="F957" t="s">
        <v>42</v>
      </c>
      <c r="G957">
        <v>-378.1585</v>
      </c>
      <c r="H957" s="1">
        <v>-8.9782739999999998E-7</v>
      </c>
      <c r="I957">
        <v>368.90879999999999</v>
      </c>
      <c r="J957">
        <v>-389.4085</v>
      </c>
      <c r="K957">
        <v>1.104393</v>
      </c>
      <c r="L957">
        <v>367.2638</v>
      </c>
      <c r="M957">
        <v>0.99993869999999896</v>
      </c>
      <c r="N957">
        <v>0</v>
      </c>
      <c r="O957">
        <v>-1.49035799999999E-3</v>
      </c>
      <c r="P957">
        <v>0.99388460000000001</v>
      </c>
      <c r="Q957">
        <v>2.3681339999999999E-2</v>
      </c>
      <c r="R957">
        <v>0.10785450000000001</v>
      </c>
      <c r="S957">
        <v>2.978577</v>
      </c>
      <c r="T957">
        <v>-0.28944969999999998</v>
      </c>
      <c r="U957">
        <v>0.4311218</v>
      </c>
      <c r="V957">
        <v>-0.1093346</v>
      </c>
      <c r="W957">
        <v>3.4591749999999998E-2</v>
      </c>
      <c r="X957">
        <v>0.99340289999999998</v>
      </c>
      <c r="Y957">
        <v>-0.1440515</v>
      </c>
      <c r="Z957">
        <v>7.090626E-3</v>
      </c>
      <c r="AA957">
        <v>0.9895448</v>
      </c>
      <c r="AB957">
        <v>21</v>
      </c>
      <c r="AC957">
        <v>11.25</v>
      </c>
      <c r="AD957">
        <v>-1.1043938978273999</v>
      </c>
      <c r="AE957">
        <v>1.64499999999998</v>
      </c>
      <c r="AF957">
        <v>-1.64623302537327</v>
      </c>
      <c r="AG957">
        <v>-1.1043938978273999</v>
      </c>
      <c r="AH957">
        <v>11.142403917723</v>
      </c>
      <c r="AI957">
        <v>95.600060086943003</v>
      </c>
      <c r="AJ957">
        <v>98.404357839599598</v>
      </c>
      <c r="AK957">
        <v>11.317373110447299</v>
      </c>
      <c r="AL957">
        <v>88.017643206416196</v>
      </c>
      <c r="AM957">
        <v>96.280733684380493</v>
      </c>
      <c r="AN957">
        <v>0.99999998282681601</v>
      </c>
    </row>
    <row r="958" spans="1:40" x14ac:dyDescent="0.3">
      <c r="A958" t="str">
        <f>"20200111145930083"</f>
        <v>20200111145930083</v>
      </c>
      <c r="B958" t="str">
        <f>"1578725970076216"</f>
        <v>1578725970076216</v>
      </c>
      <c r="C958" t="s">
        <v>40</v>
      </c>
      <c r="D958">
        <v>4.2800940000000001</v>
      </c>
      <c r="E958">
        <v>0.48596339999999999</v>
      </c>
      <c r="F958" t="s">
        <v>42</v>
      </c>
      <c r="G958">
        <v>-378.14139999999998</v>
      </c>
      <c r="H958" s="1">
        <v>-9.0565519999999998E-7</v>
      </c>
      <c r="I958">
        <v>368.90609999999998</v>
      </c>
      <c r="J958">
        <v>-389.29680000000002</v>
      </c>
      <c r="K958">
        <v>1.1043940000000001</v>
      </c>
      <c r="L958">
        <v>367.2636</v>
      </c>
      <c r="M958">
        <v>0.99993880000000002</v>
      </c>
      <c r="N958">
        <v>0</v>
      </c>
      <c r="O958">
        <v>-1.4901719999999999E-3</v>
      </c>
      <c r="P958">
        <v>0.99386319999999995</v>
      </c>
      <c r="Q958">
        <v>2.336709E-2</v>
      </c>
      <c r="R958">
        <v>0.1081213</v>
      </c>
      <c r="S958">
        <v>2.9783019999999998</v>
      </c>
      <c r="T958">
        <v>-0.2919292</v>
      </c>
      <c r="U958">
        <v>0.4341431</v>
      </c>
      <c r="V958">
        <v>-0.10960110000000001</v>
      </c>
      <c r="W958">
        <v>3.4265789999999997E-2</v>
      </c>
      <c r="X958">
        <v>0.99338479999999996</v>
      </c>
      <c r="Y958">
        <v>-0.1450311</v>
      </c>
      <c r="Z958">
        <v>7.1988470000000004E-3</v>
      </c>
      <c r="AA958">
        <v>0.98940090000000003</v>
      </c>
      <c r="AB958">
        <v>21</v>
      </c>
      <c r="AC958">
        <v>11.1554</v>
      </c>
      <c r="AD958">
        <v>-1.1043949056551901</v>
      </c>
      <c r="AE958">
        <v>1.6424999999999801</v>
      </c>
      <c r="AF958">
        <v>-1.6433575637461399</v>
      </c>
      <c r="AG958">
        <v>-1.1043949056551901</v>
      </c>
      <c r="AH958">
        <v>11.0469640001941</v>
      </c>
      <c r="AI958">
        <v>95.647308128859294</v>
      </c>
      <c r="AJ958">
        <v>98.461326439051305</v>
      </c>
      <c r="AK958">
        <v>11.222999857949899</v>
      </c>
      <c r="AL958">
        <v>88.036330359503097</v>
      </c>
      <c r="AM958">
        <v>96.296033799606505</v>
      </c>
      <c r="AN958">
        <v>0.99999995317828505</v>
      </c>
    </row>
    <row r="959" spans="1:40" x14ac:dyDescent="0.3">
      <c r="A959" t="str">
        <f>"20200111145930094"</f>
        <v>20200111145930094</v>
      </c>
      <c r="B959" t="str">
        <f>"1578725970086952"</f>
        <v>1578725970086952</v>
      </c>
      <c r="C959" t="s">
        <v>40</v>
      </c>
      <c r="D959">
        <v>4.3080350000000003</v>
      </c>
      <c r="E959">
        <v>0.48588819999999999</v>
      </c>
      <c r="F959" t="s">
        <v>42</v>
      </c>
      <c r="G959">
        <v>-378.11360000000002</v>
      </c>
      <c r="H959" s="1">
        <v>-9.1900760000000005E-7</v>
      </c>
      <c r="I959">
        <v>368.89789999999999</v>
      </c>
      <c r="J959">
        <v>-389.18560000000002</v>
      </c>
      <c r="K959">
        <v>1.1043940000000001</v>
      </c>
      <c r="L959">
        <v>367.26339999999999</v>
      </c>
      <c r="M959">
        <v>0.99993900000000002</v>
      </c>
      <c r="N959">
        <v>0</v>
      </c>
      <c r="O959">
        <v>-1.4901350000000001E-3</v>
      </c>
      <c r="P959">
        <v>0.99384969999999995</v>
      </c>
      <c r="Q959">
        <v>2.3308189999999999E-2</v>
      </c>
      <c r="R959">
        <v>0.1082573</v>
      </c>
      <c r="S959">
        <v>2.9780579999999999</v>
      </c>
      <c r="T959">
        <v>-0.29409679999999999</v>
      </c>
      <c r="U959">
        <v>0.43524170000000001</v>
      </c>
      <c r="V959">
        <v>-0.1097373</v>
      </c>
      <c r="W959">
        <v>3.419954E-2</v>
      </c>
      <c r="X959">
        <v>0.99337209999999998</v>
      </c>
      <c r="Y959">
        <v>-0.14538799999999999</v>
      </c>
      <c r="Z959">
        <v>7.2699259999999899E-3</v>
      </c>
      <c r="AA959">
        <v>0.98934800000000001</v>
      </c>
      <c r="AB959">
        <v>21</v>
      </c>
      <c r="AC959">
        <v>11.071999999999999</v>
      </c>
      <c r="AD959">
        <v>-1.1043949190075999</v>
      </c>
      <c r="AE959">
        <v>1.6345000000000001</v>
      </c>
      <c r="AF959">
        <v>-1.63507689127392</v>
      </c>
      <c r="AG959">
        <v>-1.1043949190075999</v>
      </c>
      <c r="AH959">
        <v>10.962805003392999</v>
      </c>
      <c r="AI959">
        <v>95.690059359928796</v>
      </c>
      <c r="AJ959">
        <v>98.482999693076295</v>
      </c>
      <c r="AK959">
        <v>11.1389522900462</v>
      </c>
      <c r="AL959">
        <v>88.040128535318303</v>
      </c>
      <c r="AM959">
        <v>96.303874802809105</v>
      </c>
      <c r="AN959">
        <v>1.0000000063029499</v>
      </c>
    </row>
    <row r="960" spans="1:40" x14ac:dyDescent="0.3">
      <c r="A960" t="str">
        <f>"20200111145930106"</f>
        <v>20200111145930106</v>
      </c>
      <c r="B960" t="str">
        <f>"1578725970096713"</f>
        <v>1578725970096713</v>
      </c>
      <c r="C960" t="s">
        <v>40</v>
      </c>
      <c r="D960">
        <v>4.2997009999999998</v>
      </c>
      <c r="E960">
        <v>0.48580430000000002</v>
      </c>
      <c r="F960" t="s">
        <v>42</v>
      </c>
      <c r="G960">
        <v>-378.03739999999999</v>
      </c>
      <c r="H960" s="1">
        <v>-9.5181800000000001E-7</v>
      </c>
      <c r="I960">
        <v>368.8972</v>
      </c>
      <c r="J960">
        <v>-389.07839999999999</v>
      </c>
      <c r="K960">
        <v>1.104395</v>
      </c>
      <c r="L960">
        <v>367.26330000000002</v>
      </c>
      <c r="M960">
        <v>0.99993889999999996</v>
      </c>
      <c r="N960">
        <v>0</v>
      </c>
      <c r="O960">
        <v>-1.4899920000000001E-3</v>
      </c>
      <c r="P960">
        <v>0.99386390000000002</v>
      </c>
      <c r="Q960">
        <v>2.299118E-2</v>
      </c>
      <c r="R960">
        <v>0.1081932</v>
      </c>
      <c r="S960">
        <v>2.9779659999999999</v>
      </c>
      <c r="T960">
        <v>-0.2950122</v>
      </c>
      <c r="U960">
        <v>0.43643189999999998</v>
      </c>
      <c r="V960">
        <v>-0.1096726</v>
      </c>
      <c r="W960">
        <v>3.3878350000000002E-2</v>
      </c>
      <c r="X960">
        <v>0.99339029999999995</v>
      </c>
      <c r="Y960">
        <v>-0.14577319999999999</v>
      </c>
      <c r="Z960">
        <v>7.3113730000000004E-3</v>
      </c>
      <c r="AA960">
        <v>0.98929100000000003</v>
      </c>
      <c r="AB960">
        <v>21</v>
      </c>
      <c r="AC960">
        <v>11.040999999999899</v>
      </c>
      <c r="AD960">
        <v>-1.104395951818</v>
      </c>
      <c r="AE960">
        <v>1.6338999999999799</v>
      </c>
      <c r="AF960">
        <v>-1.6343483599477899</v>
      </c>
      <c r="AG960">
        <v>-1.104395951818</v>
      </c>
      <c r="AH960">
        <v>10.931523157515301</v>
      </c>
      <c r="AI960">
        <v>95.705941926171604</v>
      </c>
      <c r="AJ960">
        <v>98.5031851558347</v>
      </c>
      <c r="AK960">
        <v>11.1080593950226</v>
      </c>
      <c r="AL960">
        <v>88.058542131700307</v>
      </c>
      <c r="AM960">
        <v>96.300073499285602</v>
      </c>
      <c r="AN960">
        <v>1.00000005496178</v>
      </c>
    </row>
    <row r="961" spans="1:40" x14ac:dyDescent="0.3">
      <c r="A961" t="str">
        <f>"20200111145930117"</f>
        <v>20200111145930117</v>
      </c>
      <c r="B961" t="str">
        <f>"1578725970106473"</f>
        <v>1578725970106473</v>
      </c>
      <c r="C961" t="s">
        <v>40</v>
      </c>
      <c r="D961">
        <v>4.3176969999999999</v>
      </c>
      <c r="E961">
        <v>0.48575620000000003</v>
      </c>
      <c r="F961" t="s">
        <v>42</v>
      </c>
      <c r="G961">
        <v>-377.99930000000001</v>
      </c>
      <c r="H961" s="1">
        <v>-9.6972279999999992E-7</v>
      </c>
      <c r="I961">
        <v>368.88839999999999</v>
      </c>
      <c r="J961">
        <v>-388.9667</v>
      </c>
      <c r="K961">
        <v>1.104392</v>
      </c>
      <c r="L961">
        <v>367.26310000000001</v>
      </c>
      <c r="M961">
        <v>0.99993900000000002</v>
      </c>
      <c r="N961">
        <v>0</v>
      </c>
      <c r="O961">
        <v>-1.489981E-3</v>
      </c>
      <c r="P961">
        <v>0.99388259999999995</v>
      </c>
      <c r="Q961">
        <v>2.2592580000000001E-2</v>
      </c>
      <c r="R961">
        <v>0.1081072</v>
      </c>
      <c r="S961">
        <v>2.9778440000000002</v>
      </c>
      <c r="T961">
        <v>-0.29683799999999999</v>
      </c>
      <c r="U961">
        <v>0.43682860000000001</v>
      </c>
      <c r="V961">
        <v>-0.1095869</v>
      </c>
      <c r="W961">
        <v>3.3478019999999997E-2</v>
      </c>
      <c r="X961">
        <v>0.99341330000000005</v>
      </c>
      <c r="Y961">
        <v>-0.14589859999999999</v>
      </c>
      <c r="Z961">
        <v>7.3628309999999898E-3</v>
      </c>
      <c r="AA961">
        <v>0.98927220000000005</v>
      </c>
      <c r="AB961">
        <v>21</v>
      </c>
      <c r="AC961">
        <v>10.9673999999999</v>
      </c>
      <c r="AD961">
        <v>-1.1043929697228001</v>
      </c>
      <c r="AE961">
        <v>1.62529999999998</v>
      </c>
      <c r="AF961">
        <v>-1.6255118336564101</v>
      </c>
      <c r="AG961">
        <v>-1.1043929697228001</v>
      </c>
      <c r="AH961">
        <v>10.857238952556999</v>
      </c>
      <c r="AI961">
        <v>95.744531246979093</v>
      </c>
      <c r="AJ961">
        <v>98.514899768350602</v>
      </c>
      <c r="AK961">
        <v>11.033658061851099</v>
      </c>
      <c r="AL961">
        <v>88.081492312552101</v>
      </c>
      <c r="AM961">
        <v>96.295045476688003</v>
      </c>
      <c r="AN961">
        <v>1.0000000255458099</v>
      </c>
    </row>
    <row r="962" spans="1:40" x14ac:dyDescent="0.3">
      <c r="A962" t="str">
        <f>"20200111145930130"</f>
        <v>20200111145930130</v>
      </c>
      <c r="B962" t="str">
        <f>"1578725970126968"</f>
        <v>1578725970126968</v>
      </c>
      <c r="C962" t="s">
        <v>40</v>
      </c>
      <c r="D962">
        <v>4.2900429999999998</v>
      </c>
      <c r="E962">
        <v>0.4857979</v>
      </c>
      <c r="F962" t="s">
        <v>42</v>
      </c>
      <c r="G962">
        <v>-377.96409999999997</v>
      </c>
      <c r="H962" s="1">
        <v>-9.8669939999999996E-7</v>
      </c>
      <c r="I962">
        <v>368.87799999999999</v>
      </c>
      <c r="J962">
        <v>-388.84070000000003</v>
      </c>
      <c r="K962">
        <v>1.1043909999999999</v>
      </c>
      <c r="L962">
        <v>367.2629</v>
      </c>
      <c r="M962">
        <v>0.99993909999999997</v>
      </c>
      <c r="N962">
        <v>0</v>
      </c>
      <c r="O962">
        <v>-1.4897389999999999E-3</v>
      </c>
      <c r="P962">
        <v>0.9939308</v>
      </c>
      <c r="Q962">
        <v>2.2184590000000001E-2</v>
      </c>
      <c r="R962">
        <v>0.1077475</v>
      </c>
      <c r="S962">
        <v>2.9776919999999998</v>
      </c>
      <c r="T962">
        <v>-0.29888550000000003</v>
      </c>
      <c r="U962">
        <v>0.43707279999999998</v>
      </c>
      <c r="V962">
        <v>-0.109227</v>
      </c>
      <c r="W962">
        <v>3.3070080000000002E-2</v>
      </c>
      <c r="X962">
        <v>0.99346659999999998</v>
      </c>
      <c r="Y962">
        <v>-0.14597479999999999</v>
      </c>
      <c r="Z962">
        <v>7.417468E-3</v>
      </c>
      <c r="AA962">
        <v>0.98926049999999999</v>
      </c>
      <c r="AB962">
        <v>21</v>
      </c>
      <c r="AC962">
        <v>10.8766</v>
      </c>
      <c r="AD962">
        <v>-1.1043919866994001</v>
      </c>
      <c r="AE962">
        <v>1.6151000000000399</v>
      </c>
      <c r="AF962">
        <v>-1.6150108841234001</v>
      </c>
      <c r="AG962">
        <v>-1.1043919866994001</v>
      </c>
      <c r="AH962">
        <v>10.765582790146301</v>
      </c>
      <c r="AI962">
        <v>95.792850379313606</v>
      </c>
      <c r="AJ962">
        <v>98.531668498424693</v>
      </c>
      <c r="AK962">
        <v>10.941924630869</v>
      </c>
      <c r="AL962">
        <v>88.104878503994897</v>
      </c>
      <c r="AM962">
        <v>96.274202808276598</v>
      </c>
      <c r="AN962">
        <v>1.0000000265178799</v>
      </c>
    </row>
    <row r="963" spans="1:40" x14ac:dyDescent="0.3">
      <c r="A963" t="str">
        <f>"20200111145930143"</f>
        <v>20200111145930143</v>
      </c>
      <c r="B963" t="str">
        <f>"1578725970136728"</f>
        <v>1578725970136728</v>
      </c>
      <c r="C963" t="s">
        <v>40</v>
      </c>
      <c r="D963">
        <v>4.3392330000000001</v>
      </c>
      <c r="E963">
        <v>0.4858016</v>
      </c>
      <c r="F963" t="s">
        <v>42</v>
      </c>
      <c r="G963">
        <v>-377.95400000000001</v>
      </c>
      <c r="H963" s="1">
        <v>-9.9483249999999993E-7</v>
      </c>
      <c r="I963">
        <v>368.85640000000001</v>
      </c>
      <c r="J963">
        <v>-388.72059999999999</v>
      </c>
      <c r="K963">
        <v>1.1043909999999999</v>
      </c>
      <c r="L963">
        <v>367.26280000000003</v>
      </c>
      <c r="M963">
        <v>0.99993889999999996</v>
      </c>
      <c r="N963">
        <v>0</v>
      </c>
      <c r="O963">
        <v>-1.489382E-3</v>
      </c>
      <c r="P963">
        <v>0.99401399999999995</v>
      </c>
      <c r="Q963">
        <v>2.1936460000000001E-2</v>
      </c>
      <c r="R963">
        <v>0.1070281</v>
      </c>
      <c r="S963">
        <v>2.9777830000000001</v>
      </c>
      <c r="T963">
        <v>-0.30207889999999998</v>
      </c>
      <c r="U963">
        <v>0.43588260000000001</v>
      </c>
      <c r="V963">
        <v>-0.1085078</v>
      </c>
      <c r="W963">
        <v>3.2822740000000003E-2</v>
      </c>
      <c r="X963">
        <v>0.99355360000000004</v>
      </c>
      <c r="Y963">
        <v>-0.14556939999999999</v>
      </c>
      <c r="Z963">
        <v>7.4758730000000001E-3</v>
      </c>
      <c r="AA963">
        <v>0.98931979999999997</v>
      </c>
      <c r="AB963">
        <v>21</v>
      </c>
      <c r="AC963">
        <v>10.766599999999899</v>
      </c>
      <c r="AD963">
        <v>-1.1043919948324901</v>
      </c>
      <c r="AE963">
        <v>1.5935999999999799</v>
      </c>
      <c r="AF963">
        <v>-1.5932305316723101</v>
      </c>
      <c r="AG963">
        <v>-1.1043919948324901</v>
      </c>
      <c r="AH963">
        <v>10.6545132840322</v>
      </c>
      <c r="AI963">
        <v>95.853230759688302</v>
      </c>
      <c r="AJ963">
        <v>98.504749052270697</v>
      </c>
      <c r="AK963">
        <v>10.829437590425499</v>
      </c>
      <c r="AL963">
        <v>88.119057718651405</v>
      </c>
      <c r="AM963">
        <v>96.232675359712999</v>
      </c>
      <c r="AN963">
        <v>1.00000001549745</v>
      </c>
    </row>
    <row r="964" spans="1:40" x14ac:dyDescent="0.3">
      <c r="A964" t="str">
        <f>"20200111145930155"</f>
        <v>20200111145930155</v>
      </c>
      <c r="B964" t="str">
        <f>"1578725970146489"</f>
        <v>1578725970146489</v>
      </c>
      <c r="C964" t="s">
        <v>40</v>
      </c>
      <c r="D964">
        <v>4.3126309999999997</v>
      </c>
      <c r="E964">
        <v>0.48584189999999999</v>
      </c>
      <c r="F964" t="s">
        <v>42</v>
      </c>
      <c r="G964">
        <v>-377.88290000000001</v>
      </c>
      <c r="H964" s="1">
        <v>-1.0282369999999999E-6</v>
      </c>
      <c r="I964">
        <v>368.84010000000001</v>
      </c>
      <c r="J964">
        <v>-388.60379999999998</v>
      </c>
      <c r="K964">
        <v>1.1043889999999901</v>
      </c>
      <c r="L964">
        <v>367.26260000000002</v>
      </c>
      <c r="M964">
        <v>0.99993900000000002</v>
      </c>
      <c r="N964">
        <v>0</v>
      </c>
      <c r="O964">
        <v>-1.489385E-3</v>
      </c>
      <c r="P964">
        <v>0.99408090000000005</v>
      </c>
      <c r="Q964">
        <v>2.1525699999999998E-2</v>
      </c>
      <c r="R964">
        <v>0.1064893</v>
      </c>
      <c r="S964">
        <v>2.978119</v>
      </c>
      <c r="T964">
        <v>-0.3034772</v>
      </c>
      <c r="U964">
        <v>0.43347170000000002</v>
      </c>
      <c r="V964">
        <v>-0.1079687</v>
      </c>
      <c r="W964">
        <v>3.241335E-2</v>
      </c>
      <c r="X964">
        <v>0.9936258</v>
      </c>
      <c r="Y964">
        <v>-0.14476649999999999</v>
      </c>
      <c r="Z964">
        <v>7.469313E-3</v>
      </c>
      <c r="AA964">
        <v>0.98943760000000003</v>
      </c>
      <c r="AB964">
        <v>21</v>
      </c>
      <c r="AC964">
        <v>10.720899999999901</v>
      </c>
      <c r="AD964">
        <v>-1.1043900282369901</v>
      </c>
      <c r="AE964">
        <v>1.5774999999999799</v>
      </c>
      <c r="AF964">
        <v>-1.57708594701587</v>
      </c>
      <c r="AG964">
        <v>-1.1043900282369901</v>
      </c>
      <c r="AH964">
        <v>10.6083520959334</v>
      </c>
      <c r="AI964">
        <v>95.879253924282096</v>
      </c>
      <c r="AJ964">
        <v>98.455919357243602</v>
      </c>
      <c r="AK964">
        <v>10.781651617912701</v>
      </c>
      <c r="AL964">
        <v>88.142526585880702</v>
      </c>
      <c r="AM964">
        <v>96.201504287242898</v>
      </c>
      <c r="AN964">
        <v>1.0000000479317701</v>
      </c>
    </row>
    <row r="965" spans="1:40" x14ac:dyDescent="0.3">
      <c r="A965" t="str">
        <f>"20200111145930171"</f>
        <v>20200111145930171</v>
      </c>
      <c r="B965" t="str">
        <f>"1578725970166984"</f>
        <v>1578725970166984</v>
      </c>
      <c r="C965" t="s">
        <v>40</v>
      </c>
      <c r="D965">
        <v>4.200539</v>
      </c>
      <c r="E965">
        <v>0.48619230000000002</v>
      </c>
      <c r="F965" t="s">
        <v>42</v>
      </c>
      <c r="G965">
        <v>-377.82080000000002</v>
      </c>
      <c r="H965" s="1">
        <v>-1.0574860000000001E-6</v>
      </c>
      <c r="I965">
        <v>368.8254</v>
      </c>
      <c r="J965">
        <v>-388.4443</v>
      </c>
      <c r="K965">
        <v>1.104393</v>
      </c>
      <c r="L965">
        <v>367.26229999999998</v>
      </c>
      <c r="M965">
        <v>0.99993900000000002</v>
      </c>
      <c r="N965">
        <v>0</v>
      </c>
      <c r="O965">
        <v>-1.489155E-3</v>
      </c>
      <c r="P965">
        <v>0.99423499999999998</v>
      </c>
      <c r="Q965">
        <v>2.0499460000000001E-2</v>
      </c>
      <c r="R965">
        <v>0.1052458</v>
      </c>
      <c r="S965">
        <v>2.9782099999999998</v>
      </c>
      <c r="T965">
        <v>-0.30502509999999999</v>
      </c>
      <c r="U965">
        <v>0.43167109999999898</v>
      </c>
      <c r="V965">
        <v>-0.1067255</v>
      </c>
      <c r="W965">
        <v>3.1390580000000001E-2</v>
      </c>
      <c r="X965">
        <v>0.99379289999999998</v>
      </c>
      <c r="Y965">
        <v>-0.14417149999999901</v>
      </c>
      <c r="Z965">
        <v>7.4770560000000002E-3</v>
      </c>
      <c r="AA965">
        <v>0.98952450000000003</v>
      </c>
      <c r="AB965">
        <v>21</v>
      </c>
      <c r="AC965">
        <v>10.6234999999999</v>
      </c>
      <c r="AD965">
        <v>-1.1043940574860001</v>
      </c>
      <c r="AE965">
        <v>1.5631000000000199</v>
      </c>
      <c r="AF965">
        <v>-1.5623919810479401</v>
      </c>
      <c r="AG965">
        <v>-1.1043940574860001</v>
      </c>
      <c r="AH965">
        <v>10.509983829433599</v>
      </c>
      <c r="AI965">
        <v>95.933917219175598</v>
      </c>
      <c r="AJ965">
        <v>98.455545512150294</v>
      </c>
      <c r="AK965">
        <v>10.6827203947126</v>
      </c>
      <c r="AL965">
        <v>88.201156772478896</v>
      </c>
      <c r="AM965">
        <v>96.1296213123005</v>
      </c>
      <c r="AN965">
        <v>1.0000000144766901</v>
      </c>
    </row>
    <row r="966" spans="1:40" x14ac:dyDescent="0.3">
      <c r="A966" t="str">
        <f>"20200111145930184"</f>
        <v>20200111145930184</v>
      </c>
      <c r="B966" t="str">
        <f>"1578725970176744"</f>
        <v>1578725970176744</v>
      </c>
      <c r="C966" t="s">
        <v>40</v>
      </c>
      <c r="D966">
        <v>4.268643</v>
      </c>
      <c r="E966">
        <v>0.48619230000000002</v>
      </c>
      <c r="F966" t="s">
        <v>42</v>
      </c>
      <c r="G966">
        <v>-377.73540000000003</v>
      </c>
      <c r="H966" s="1">
        <v>-1.100106E-6</v>
      </c>
      <c r="I966">
        <v>368.79169999999999</v>
      </c>
      <c r="J966">
        <v>-388.32960000000003</v>
      </c>
      <c r="K966">
        <v>1.1044</v>
      </c>
      <c r="L966">
        <v>367.26220000000001</v>
      </c>
      <c r="M966">
        <v>0.99993900000000002</v>
      </c>
      <c r="N966">
        <v>0</v>
      </c>
      <c r="O966">
        <v>-1.4889230000000001E-3</v>
      </c>
      <c r="P966">
        <v>0.99429630000000002</v>
      </c>
      <c r="Q966">
        <v>2.0306210000000002E-2</v>
      </c>
      <c r="R966">
        <v>0.1047035</v>
      </c>
      <c r="S966">
        <v>2.9786990000000002</v>
      </c>
      <c r="T966">
        <v>-0.30718790000000001</v>
      </c>
      <c r="U966">
        <v>0.42541499999999999</v>
      </c>
      <c r="V966">
        <v>-0.106183</v>
      </c>
      <c r="W966">
        <v>3.1199459999999998E-2</v>
      </c>
      <c r="X966">
        <v>0.99385699999999999</v>
      </c>
      <c r="Y966">
        <v>-0.14211190000000001</v>
      </c>
      <c r="Z966">
        <v>7.4242750000000001E-3</v>
      </c>
      <c r="AA966">
        <v>0.98982270000000006</v>
      </c>
      <c r="AB966">
        <v>21</v>
      </c>
      <c r="AC966">
        <v>10.594200000000001</v>
      </c>
      <c r="AD966">
        <v>-1.1044011001059999</v>
      </c>
      <c r="AE966">
        <v>1.5294999999999801</v>
      </c>
      <c r="AF966">
        <v>-1.5289965545967099</v>
      </c>
      <c r="AG966">
        <v>-1.1044011001059999</v>
      </c>
      <c r="AH966">
        <v>10.480344295055</v>
      </c>
      <c r="AI966">
        <v>95.952972476299394</v>
      </c>
      <c r="AJ966">
        <v>98.300426471826995</v>
      </c>
      <c r="AK966">
        <v>10.6487158285296</v>
      </c>
      <c r="AL966">
        <v>88.212112457223299</v>
      </c>
      <c r="AM966">
        <v>96.098308651775696</v>
      </c>
      <c r="AN966">
        <v>0.99999998612114505</v>
      </c>
    </row>
    <row r="967" spans="1:40" x14ac:dyDescent="0.3">
      <c r="A967" t="str">
        <f>"20200111145930195"</f>
        <v>20200111145930195</v>
      </c>
      <c r="B967" t="str">
        <f>"1578725970186505"</f>
        <v>1578725970186505</v>
      </c>
      <c r="C967" t="s">
        <v>40</v>
      </c>
      <c r="D967">
        <v>4.2105379999999997</v>
      </c>
      <c r="E967">
        <v>0.4955214</v>
      </c>
      <c r="F967" t="s">
        <v>42</v>
      </c>
      <c r="G967">
        <v>-377.63940000000002</v>
      </c>
      <c r="H967" s="1">
        <v>-1.142857E-6</v>
      </c>
      <c r="I967">
        <v>368.78289999999998</v>
      </c>
      <c r="J967">
        <v>-388.21839999999997</v>
      </c>
      <c r="K967">
        <v>1.104401</v>
      </c>
      <c r="L967">
        <v>367.262</v>
      </c>
      <c r="M967">
        <v>0.99993909999999997</v>
      </c>
      <c r="N967">
        <v>0</v>
      </c>
      <c r="O967">
        <v>-1.4889320000000001E-3</v>
      </c>
      <c r="P967">
        <v>0.99432980000000004</v>
      </c>
      <c r="Q967">
        <v>2.019549E-2</v>
      </c>
      <c r="R967">
        <v>0.1044075</v>
      </c>
      <c r="S967">
        <v>2.978882</v>
      </c>
      <c r="T967">
        <v>-0.30774459999999998</v>
      </c>
      <c r="U967">
        <v>0.42376710000000001</v>
      </c>
      <c r="V967">
        <v>-0.1058867</v>
      </c>
      <c r="W967">
        <v>3.1090320000000001E-2</v>
      </c>
      <c r="X967">
        <v>0.993892</v>
      </c>
      <c r="Y967">
        <v>-0.14156679999999999</v>
      </c>
      <c r="Z967">
        <v>7.4095589999999996E-3</v>
      </c>
      <c r="AA967">
        <v>0.98990089999999997</v>
      </c>
      <c r="AB967">
        <v>21</v>
      </c>
      <c r="AC967">
        <v>10.578999999999899</v>
      </c>
      <c r="AD967">
        <v>-1.1044021428569999</v>
      </c>
      <c r="AE967">
        <v>1.5209000000000299</v>
      </c>
      <c r="AF967">
        <v>-1.52041601824108</v>
      </c>
      <c r="AG967">
        <v>-1.1044021428569999</v>
      </c>
      <c r="AH967">
        <v>10.4649809832614</v>
      </c>
      <c r="AI967">
        <v>95.962165703370502</v>
      </c>
      <c r="AJ967">
        <v>98.266439977799706</v>
      </c>
      <c r="AK967">
        <v>10.632365491351999</v>
      </c>
      <c r="AL967">
        <v>88.218368697296697</v>
      </c>
      <c r="AM967">
        <v>96.081206675785893</v>
      </c>
      <c r="AN967">
        <v>0.99999995444929501</v>
      </c>
    </row>
    <row r="968" spans="1:40" x14ac:dyDescent="0.3">
      <c r="A968" t="str">
        <f>"20200111145930207"</f>
        <v>20200111145930207</v>
      </c>
      <c r="B968" t="str">
        <f>"1578725970196264"</f>
        <v>1578725970196264</v>
      </c>
      <c r="C968" t="s">
        <v>40</v>
      </c>
      <c r="D968">
        <v>5.0185680000000001</v>
      </c>
      <c r="E968">
        <v>0.4955214</v>
      </c>
      <c r="F968" t="s">
        <v>42</v>
      </c>
      <c r="G968">
        <v>-368.9787</v>
      </c>
      <c r="H968" s="1">
        <v>-4.3910699999999999E-7</v>
      </c>
      <c r="I968">
        <v>369.51119999999997</v>
      </c>
      <c r="J968">
        <v>-388.11450000000002</v>
      </c>
      <c r="K968">
        <v>1.1044020000000001</v>
      </c>
      <c r="L968">
        <v>367.26179999999999</v>
      </c>
      <c r="M968">
        <v>0.99993900000000002</v>
      </c>
      <c r="N968">
        <v>0</v>
      </c>
      <c r="O968">
        <v>-1.488589E-3</v>
      </c>
      <c r="P968">
        <v>0.99436089999999999</v>
      </c>
      <c r="Q968">
        <v>2.0147269999999998E-2</v>
      </c>
      <c r="R968">
        <v>0.1041192</v>
      </c>
      <c r="S968">
        <v>2.9839479999999998</v>
      </c>
      <c r="T968">
        <v>-0.17128399999999999</v>
      </c>
      <c r="U968">
        <v>0.3488464</v>
      </c>
      <c r="V968">
        <v>-0.10559830000000001</v>
      </c>
      <c r="W968">
        <v>3.104552E-2</v>
      </c>
      <c r="X968">
        <v>0.99392409999999998</v>
      </c>
      <c r="Y968">
        <v>-0.1174023</v>
      </c>
      <c r="Z968">
        <v>3.4404790000000002E-3</v>
      </c>
      <c r="AA968">
        <v>0.99307849999999998</v>
      </c>
      <c r="AB968">
        <v>21</v>
      </c>
      <c r="AC968">
        <v>19.1358</v>
      </c>
      <c r="AD968">
        <v>-1.104402439107</v>
      </c>
      <c r="AE968">
        <v>2.2493999999999801</v>
      </c>
      <c r="AF968">
        <v>-2.2704250722802799</v>
      </c>
      <c r="AG968">
        <v>-1.104402439107</v>
      </c>
      <c r="AH968">
        <v>19.069776403220299</v>
      </c>
      <c r="AI968">
        <v>93.291318167808001</v>
      </c>
      <c r="AJ968">
        <v>96.789607360959096</v>
      </c>
      <c r="AK968">
        <v>19.236187429560001</v>
      </c>
      <c r="AL968">
        <v>88.220936817324102</v>
      </c>
      <c r="AM968">
        <v>96.064572699097795</v>
      </c>
      <c r="AN968">
        <v>0.99999997091788395</v>
      </c>
    </row>
    <row r="969" spans="1:40" x14ac:dyDescent="0.3">
      <c r="A969" t="str">
        <f>"20200111145930217"</f>
        <v>20200111145930217</v>
      </c>
      <c r="B969" t="str">
        <f>"1578725970207001"</f>
        <v>1578725970207001</v>
      </c>
      <c r="C969" t="s">
        <v>40</v>
      </c>
      <c r="D969">
        <v>4.4406379999999999</v>
      </c>
      <c r="E969">
        <v>0.50975630000000005</v>
      </c>
      <c r="F969" t="s">
        <v>42</v>
      </c>
      <c r="G969">
        <v>-368.88979999999998</v>
      </c>
      <c r="H969" s="1">
        <v>-4.7861849999999899E-7</v>
      </c>
      <c r="I969">
        <v>369.50349999999997</v>
      </c>
      <c r="J969">
        <v>-388.0025</v>
      </c>
      <c r="K969">
        <v>1.1044080000000001</v>
      </c>
      <c r="L969">
        <v>367.26170000000002</v>
      </c>
      <c r="M969">
        <v>0.99993880000000002</v>
      </c>
      <c r="N969">
        <v>0</v>
      </c>
      <c r="O969">
        <v>-1.4884919999999999E-3</v>
      </c>
      <c r="P969">
        <v>0.99437330000000002</v>
      </c>
      <c r="Q969">
        <v>2.01818E-2</v>
      </c>
      <c r="R969">
        <v>0.1039928</v>
      </c>
      <c r="S969">
        <v>2.9840390000000001</v>
      </c>
      <c r="T969">
        <v>-0.17142309999999999</v>
      </c>
      <c r="U969">
        <v>0.34796139999999998</v>
      </c>
      <c r="V969">
        <v>-0.1054716</v>
      </c>
      <c r="W969">
        <v>3.1083650000000001E-2</v>
      </c>
      <c r="X969">
        <v>0.99393640000000005</v>
      </c>
      <c r="Y969">
        <v>-0.117108199999999</v>
      </c>
      <c r="Z969">
        <v>3.4348069999999998E-3</v>
      </c>
      <c r="AA969">
        <v>0.99311320000000003</v>
      </c>
      <c r="AB969">
        <v>21</v>
      </c>
      <c r="AC969">
        <v>19.1127</v>
      </c>
      <c r="AD969">
        <v>-1.1044084786185</v>
      </c>
      <c r="AE969">
        <v>2.2417999999999498</v>
      </c>
      <c r="AF969">
        <v>-2.2627954071211702</v>
      </c>
      <c r="AG969">
        <v>-1.1044084786185</v>
      </c>
      <c r="AH969">
        <v>19.046608324481699</v>
      </c>
      <c r="AI969">
        <v>93.295429474415997</v>
      </c>
      <c r="AJ969">
        <v>96.775157952102603</v>
      </c>
      <c r="AK969">
        <v>19.212320260925001</v>
      </c>
      <c r="AL969">
        <v>88.218751143003701</v>
      </c>
      <c r="AM969">
        <v>96.057275970357296</v>
      </c>
      <c r="AN969">
        <v>1.0000000094744199</v>
      </c>
    </row>
    <row r="970" spans="1:40" x14ac:dyDescent="0.3">
      <c r="A970" t="str">
        <f>"20200111145930229"</f>
        <v>20200111145930229</v>
      </c>
      <c r="B970" t="str">
        <f>"1578725970226520"</f>
        <v>1578725970226520</v>
      </c>
      <c r="C970" t="s">
        <v>40</v>
      </c>
      <c r="D970">
        <v>6.29284</v>
      </c>
      <c r="E970">
        <v>0.50535209999999997</v>
      </c>
      <c r="F970" t="s">
        <v>41</v>
      </c>
      <c r="G970">
        <v>-387.28620000000001</v>
      </c>
      <c r="H970">
        <v>0.97359419999999997</v>
      </c>
      <c r="I970">
        <v>367.31729999999999</v>
      </c>
      <c r="J970">
        <v>-387.89580000000001</v>
      </c>
      <c r="K970">
        <v>1.1044130000000001</v>
      </c>
      <c r="L970">
        <v>367.26150000000001</v>
      </c>
      <c r="M970">
        <v>0.99993880000000002</v>
      </c>
      <c r="N970">
        <v>0</v>
      </c>
      <c r="O970">
        <v>-1.488285E-3</v>
      </c>
      <c r="P970">
        <v>0.99437799999999998</v>
      </c>
      <c r="Q970">
        <v>1.9834939999999999E-2</v>
      </c>
      <c r="R970">
        <v>0.10401539999999999</v>
      </c>
      <c r="S970">
        <v>3.0036010000000002</v>
      </c>
      <c r="T970">
        <v>-0.54869990000000002</v>
      </c>
      <c r="U970">
        <v>0.23434450000000001</v>
      </c>
      <c r="V970">
        <v>-0.1054945</v>
      </c>
      <c r="W970">
        <v>3.0742869999999999E-2</v>
      </c>
      <c r="X970">
        <v>0.99394459999999996</v>
      </c>
      <c r="Y970">
        <v>-7.7961600000000006E-2</v>
      </c>
      <c r="Z970">
        <v>7.3214150000000004E-3</v>
      </c>
      <c r="AA970">
        <v>0.99692950000000002</v>
      </c>
      <c r="AB970">
        <v>21</v>
      </c>
      <c r="AC970">
        <v>0.60960000000000003</v>
      </c>
      <c r="AD970">
        <v>-0.13081879999999901</v>
      </c>
      <c r="AE970">
        <v>5.57999999999765E-2</v>
      </c>
      <c r="AF970">
        <v>-5.4230565751468097E-2</v>
      </c>
      <c r="AG970">
        <v>-0.13081879999999901</v>
      </c>
      <c r="AH970">
        <v>0.582895689987874</v>
      </c>
      <c r="AI970">
        <v>102.59659750222301</v>
      </c>
      <c r="AJ970">
        <v>95.315297107076006</v>
      </c>
      <c r="AK970">
        <v>0.599851563390147</v>
      </c>
      <c r="AL970">
        <v>88.238285789880905</v>
      </c>
      <c r="AM970">
        <v>96.058531734603505</v>
      </c>
      <c r="AN970">
        <v>1.0000000407276199</v>
      </c>
    </row>
    <row r="971" spans="1:40" x14ac:dyDescent="0.3">
      <c r="A971" t="str">
        <f>"20200111145930242"</f>
        <v>20200111145930242</v>
      </c>
      <c r="B971" t="str">
        <f>"1578725970236280"</f>
        <v>1578725970236280</v>
      </c>
      <c r="C971" t="s">
        <v>40</v>
      </c>
      <c r="D971">
        <v>4.0893600000000001</v>
      </c>
      <c r="E971">
        <v>0.50680859999999905</v>
      </c>
      <c r="F971" t="s">
        <v>41</v>
      </c>
      <c r="G971">
        <v>-387.10930000000002</v>
      </c>
      <c r="H971">
        <v>0.93733979999999995</v>
      </c>
      <c r="I971">
        <v>367.33179999999999</v>
      </c>
      <c r="J971">
        <v>-387.77</v>
      </c>
      <c r="K971">
        <v>1.1044160000000001</v>
      </c>
      <c r="L971">
        <v>367.26139999999998</v>
      </c>
      <c r="M971">
        <v>0.99993860000000001</v>
      </c>
      <c r="N971">
        <v>0</v>
      </c>
      <c r="O971">
        <v>-1.4880900000000001E-3</v>
      </c>
      <c r="P971">
        <v>0.99437949999999997</v>
      </c>
      <c r="Q971">
        <v>2.0181399999999999E-2</v>
      </c>
      <c r="R971">
        <v>0.103932399999999</v>
      </c>
      <c r="S971">
        <v>3.001404</v>
      </c>
      <c r="T971">
        <v>-0.63775029999999999</v>
      </c>
      <c r="U971">
        <v>0.269928</v>
      </c>
      <c r="V971">
        <v>-0.1054109</v>
      </c>
      <c r="W971">
        <v>3.1096990000000001E-2</v>
      </c>
      <c r="X971">
        <v>0.9939424</v>
      </c>
      <c r="Y971">
        <v>-8.904919E-2</v>
      </c>
      <c r="Z971">
        <v>9.6502099999999993E-3</v>
      </c>
      <c r="AA971">
        <v>0.99598050000000005</v>
      </c>
      <c r="AB971">
        <v>21</v>
      </c>
      <c r="AC971">
        <v>0.66069999999996298</v>
      </c>
      <c r="AD971">
        <v>-0.16707620000000001</v>
      </c>
      <c r="AE971">
        <v>7.0400000000006402E-2</v>
      </c>
      <c r="AF971">
        <v>-6.7138077254726203E-2</v>
      </c>
      <c r="AG971">
        <v>-0.16707620000000001</v>
      </c>
      <c r="AH971">
        <v>0.62130960756668097</v>
      </c>
      <c r="AI971">
        <v>104.96814311657801</v>
      </c>
      <c r="AJ971">
        <v>96.167392290821397</v>
      </c>
      <c r="AK971">
        <v>0.64687526346163904</v>
      </c>
      <c r="AL971">
        <v>88.217986408599202</v>
      </c>
      <c r="AM971">
        <v>96.053779566725694</v>
      </c>
      <c r="AN971">
        <v>0.99999998757181396</v>
      </c>
    </row>
    <row r="972" spans="1:40" x14ac:dyDescent="0.3">
      <c r="A972" t="str">
        <f>"20200111145930474"</f>
        <v>20200111145930474</v>
      </c>
      <c r="B972" t="str">
        <f>"1578725970466616"</f>
        <v>1578725970466616</v>
      </c>
      <c r="C972" t="s">
        <v>40</v>
      </c>
      <c r="D972">
        <v>4.1455830000000002</v>
      </c>
      <c r="E972">
        <v>0.50680859999999905</v>
      </c>
      <c r="F972" t="s">
        <v>41</v>
      </c>
      <c r="G972">
        <v>-384.80689999999998</v>
      </c>
      <c r="H972">
        <v>0.90857860000000001</v>
      </c>
      <c r="I972">
        <v>367.33089999999999</v>
      </c>
      <c r="J972">
        <v>-385.52820000000003</v>
      </c>
      <c r="K972">
        <v>1.104438</v>
      </c>
      <c r="L972">
        <v>367.25819999999999</v>
      </c>
      <c r="M972">
        <v>0.99993739999999998</v>
      </c>
      <c r="N972">
        <v>0</v>
      </c>
      <c r="O972">
        <v>-1.485217E-3</v>
      </c>
      <c r="P972">
        <v>0.99424389999999996</v>
      </c>
      <c r="Q972">
        <v>2.2637069999999999E-2</v>
      </c>
      <c r="R972">
        <v>0.10472380000000001</v>
      </c>
      <c r="S972">
        <v>3.005646</v>
      </c>
      <c r="T972">
        <v>-0.70163929999999997</v>
      </c>
      <c r="U972">
        <v>0.26065060000000001</v>
      </c>
      <c r="V972">
        <v>-0.1061991</v>
      </c>
      <c r="W972">
        <v>3.3677239999999997E-2</v>
      </c>
      <c r="X972">
        <v>0.99377439999999995</v>
      </c>
      <c r="Y972">
        <v>-8.5552829999999996E-2</v>
      </c>
      <c r="Z972">
        <v>1.017707E-2</v>
      </c>
      <c r="AA972">
        <v>0.99628170000000005</v>
      </c>
      <c r="AB972">
        <v>22</v>
      </c>
      <c r="AC972">
        <v>0.72130000000004202</v>
      </c>
      <c r="AD972">
        <v>-0.19585939999999999</v>
      </c>
      <c r="AE972">
        <v>7.2699999999997503E-2</v>
      </c>
      <c r="AF972">
        <v>-6.8752948604487205E-2</v>
      </c>
      <c r="AG972">
        <v>-0.19585939999999999</v>
      </c>
      <c r="AH972">
        <v>0.67213186415623305</v>
      </c>
      <c r="AI972">
        <v>106.166218315018</v>
      </c>
      <c r="AJ972">
        <v>95.840520668429406</v>
      </c>
      <c r="AK972">
        <v>0.70345512673112598</v>
      </c>
      <c r="AL972">
        <v>88.070071322901498</v>
      </c>
      <c r="AM972">
        <v>96.099729469421803</v>
      </c>
      <c r="AN972">
        <v>0.99999998171509297</v>
      </c>
    </row>
    <row r="973" spans="1:40" x14ac:dyDescent="0.3">
      <c r="A973" t="str">
        <f>"20200111145930488"</f>
        <v>20200111145930488</v>
      </c>
      <c r="B973" t="str">
        <f>"1578725970476377"</f>
        <v>1578725970476377</v>
      </c>
      <c r="C973" t="s">
        <v>40</v>
      </c>
      <c r="D973">
        <v>3.9898250000000002</v>
      </c>
      <c r="E973">
        <v>0.55640710000000004</v>
      </c>
      <c r="F973" t="s">
        <v>41</v>
      </c>
      <c r="G973">
        <v>-384.79649999999998</v>
      </c>
      <c r="H973">
        <v>0.9338959</v>
      </c>
      <c r="I973">
        <v>367.32159999999999</v>
      </c>
      <c r="J973">
        <v>-385.40750000000003</v>
      </c>
      <c r="K973">
        <v>1.1044430000000001</v>
      </c>
      <c r="L973">
        <v>367.25799999999998</v>
      </c>
      <c r="M973">
        <v>0.99993739999999998</v>
      </c>
      <c r="N973">
        <v>0</v>
      </c>
      <c r="O973">
        <v>-1.4848820000000001E-3</v>
      </c>
      <c r="P973">
        <v>0.99422600000000005</v>
      </c>
      <c r="Q973">
        <v>2.2781530000000001E-2</v>
      </c>
      <c r="R973">
        <v>0.1048622</v>
      </c>
      <c r="S973">
        <v>3.0057680000000002</v>
      </c>
      <c r="T973">
        <v>-0.70063969999999998</v>
      </c>
      <c r="U973">
        <v>0.26144410000000001</v>
      </c>
      <c r="V973">
        <v>-0.1063375</v>
      </c>
      <c r="W973">
        <v>3.382545E-2</v>
      </c>
      <c r="X973">
        <v>0.99375460000000004</v>
      </c>
      <c r="Y973">
        <v>-8.5809969999999999E-2</v>
      </c>
      <c r="Z973">
        <v>1.019188E-2</v>
      </c>
      <c r="AA973">
        <v>0.99625940000000002</v>
      </c>
      <c r="AB973">
        <v>22</v>
      </c>
      <c r="AC973">
        <v>0.61100000000004595</v>
      </c>
      <c r="AD973">
        <v>-0.17054709999999901</v>
      </c>
      <c r="AE973">
        <v>6.3599999999951196E-2</v>
      </c>
      <c r="AF973">
        <v>-5.9891016446131103E-2</v>
      </c>
      <c r="AG973">
        <v>-0.17054709999999901</v>
      </c>
      <c r="AH973">
        <v>0.56718764393085697</v>
      </c>
      <c r="AI973">
        <v>106.648063448212</v>
      </c>
      <c r="AJ973">
        <v>96.027693926819495</v>
      </c>
      <c r="AK973">
        <v>0.59529410428560203</v>
      </c>
      <c r="AL973">
        <v>88.061574738925302</v>
      </c>
      <c r="AM973">
        <v>96.107739440876799</v>
      </c>
      <c r="AN973">
        <v>1.0000000149975501</v>
      </c>
    </row>
    <row r="974" spans="1:40" x14ac:dyDescent="0.3">
      <c r="A974" t="str">
        <f>"20200111145930500"</f>
        <v>20200111145930500</v>
      </c>
      <c r="B974" t="str">
        <f>"1578725970496872"</f>
        <v>1578725970496872</v>
      </c>
      <c r="C974" t="s">
        <v>40</v>
      </c>
      <c r="D974">
        <v>3.9572240000000001</v>
      </c>
      <c r="E974">
        <v>0.5565563</v>
      </c>
      <c r="F974" t="s">
        <v>44</v>
      </c>
      <c r="G974">
        <v>-158.19499999999999</v>
      </c>
      <c r="H974">
        <v>1.848943</v>
      </c>
      <c r="I974">
        <v>357.3073</v>
      </c>
      <c r="J974">
        <v>-385.27780000000001</v>
      </c>
      <c r="K974">
        <v>1.10444599999999</v>
      </c>
      <c r="L974">
        <v>367.25779999999997</v>
      </c>
      <c r="M974">
        <v>0.99993719999999997</v>
      </c>
      <c r="N974">
        <v>0</v>
      </c>
      <c r="O974">
        <v>-1.4845469999999999E-3</v>
      </c>
      <c r="P974">
        <v>0.99422480000000002</v>
      </c>
      <c r="Q974">
        <v>2.3023459999999999E-2</v>
      </c>
      <c r="R974">
        <v>0.1048181</v>
      </c>
      <c r="S974">
        <v>3.0312190000000001</v>
      </c>
      <c r="T974">
        <v>9.9334720000000005E-3</v>
      </c>
      <c r="U974">
        <v>-0.13275149999999999</v>
      </c>
      <c r="V974">
        <v>-0.106293</v>
      </c>
      <c r="W974">
        <v>3.4071829999999997E-2</v>
      </c>
      <c r="X974">
        <v>0.99375089999999999</v>
      </c>
      <c r="Y974">
        <v>4.2269319999999999E-2</v>
      </c>
      <c r="Z974" s="1">
        <v>6.4363199999999994E-5</v>
      </c>
      <c r="AA974">
        <v>0.99910620000000006</v>
      </c>
      <c r="AB974">
        <v>22</v>
      </c>
      <c r="AC974">
        <v>227.08279999999999</v>
      </c>
      <c r="AD974">
        <v>0.74449699999999996</v>
      </c>
      <c r="AE974">
        <v>-9.9504999999999697</v>
      </c>
      <c r="AF974">
        <v>9.6132500114192396</v>
      </c>
      <c r="AG974">
        <v>0.74449699999999996</v>
      </c>
      <c r="AH974">
        <v>227.094886328558</v>
      </c>
      <c r="AI974">
        <v>89.812333001631004</v>
      </c>
      <c r="AJ974">
        <v>87.576035224237401</v>
      </c>
      <c r="AK974">
        <v>227.299485807042</v>
      </c>
      <c r="AL974">
        <v>88.0474499779246</v>
      </c>
      <c r="AM974">
        <v>96.105225347710203</v>
      </c>
      <c r="AN974">
        <v>0.999999971349679</v>
      </c>
    </row>
    <row r="975" spans="1:40" x14ac:dyDescent="0.3">
      <c r="A975" t="str">
        <f>"20200111145930512"</f>
        <v>20200111145930512</v>
      </c>
      <c r="B975" t="str">
        <f>"1578725970506633"</f>
        <v>1578725970506633</v>
      </c>
      <c r="C975" t="s">
        <v>40</v>
      </c>
      <c r="D975">
        <v>4.0200339999999999</v>
      </c>
      <c r="E975">
        <v>0.55683229999999995</v>
      </c>
      <c r="F975" t="s">
        <v>43</v>
      </c>
      <c r="G975">
        <v>-277.99700000000001</v>
      </c>
      <c r="H975">
        <v>-0.05</v>
      </c>
      <c r="I975">
        <v>362.51900000000001</v>
      </c>
      <c r="J975">
        <v>-385.15530000000001</v>
      </c>
      <c r="K975">
        <v>1.1044480000000001</v>
      </c>
      <c r="L975">
        <v>367.25760000000002</v>
      </c>
      <c r="M975">
        <v>0.99993730000000003</v>
      </c>
      <c r="N975">
        <v>0</v>
      </c>
      <c r="O975">
        <v>-1.484567E-3</v>
      </c>
      <c r="P975">
        <v>0.99419650000000004</v>
      </c>
      <c r="Q975">
        <v>2.3224140000000001E-2</v>
      </c>
      <c r="R975">
        <v>0.1050434</v>
      </c>
      <c r="S975">
        <v>3.0323180000000001</v>
      </c>
      <c r="T975">
        <v>-3.2630680000000002E-2</v>
      </c>
      <c r="U975">
        <v>-0.1339417</v>
      </c>
      <c r="V975">
        <v>-0.10651819999999999</v>
      </c>
      <c r="W975">
        <v>3.4275800000000002E-2</v>
      </c>
      <c r="X975">
        <v>0.99371980000000004</v>
      </c>
      <c r="Y975">
        <v>4.264271E-2</v>
      </c>
      <c r="Z975">
        <v>-2.1335200000000001E-4</v>
      </c>
      <c r="AA975">
        <v>0.99909040000000005</v>
      </c>
      <c r="AB975">
        <v>22</v>
      </c>
      <c r="AC975">
        <v>107.1583</v>
      </c>
      <c r="AD975">
        <v>-1.1544479999999999</v>
      </c>
      <c r="AE975">
        <v>-4.7386000000000204</v>
      </c>
      <c r="AF975">
        <v>4.5789708858051501</v>
      </c>
      <c r="AG975">
        <v>-1.1544479999999999</v>
      </c>
      <c r="AH975">
        <v>107.152804803154</v>
      </c>
      <c r="AI975">
        <v>90.616709328409797</v>
      </c>
      <c r="AJ975">
        <v>87.553062805348802</v>
      </c>
      <c r="AK975">
        <v>107.256810048316</v>
      </c>
      <c r="AL975">
        <v>88.035756581967803</v>
      </c>
      <c r="AM975">
        <v>96.118252342626107</v>
      </c>
      <c r="AN975">
        <v>0.99999999915446003</v>
      </c>
    </row>
    <row r="976" spans="1:40" x14ac:dyDescent="0.3">
      <c r="A976" t="str">
        <f>"20200111145930529"</f>
        <v>20200111145930529</v>
      </c>
      <c r="B976" t="str">
        <f>"1578725970526154"</f>
        <v>1578725970526154</v>
      </c>
      <c r="C976" t="s">
        <v>40</v>
      </c>
      <c r="D976">
        <v>3.9999899999999999</v>
      </c>
      <c r="E976">
        <v>0.55633909999999998</v>
      </c>
      <c r="F976" t="s">
        <v>42</v>
      </c>
      <c r="G976">
        <v>-320.26029999999997</v>
      </c>
      <c r="H976" s="1">
        <v>-5.0930579999999997E-6</v>
      </c>
      <c r="I976">
        <v>364.35969999999998</v>
      </c>
      <c r="J976">
        <v>-385.00170000000003</v>
      </c>
      <c r="K976">
        <v>1.104457</v>
      </c>
      <c r="L976">
        <v>367.25740000000002</v>
      </c>
      <c r="M976">
        <v>0.99993710000000002</v>
      </c>
      <c r="N976">
        <v>0</v>
      </c>
      <c r="O976">
        <v>-1.4842329999999999E-3</v>
      </c>
      <c r="P976">
        <v>0.99415569999999998</v>
      </c>
      <c r="Q976">
        <v>2.3795739999999999E-2</v>
      </c>
      <c r="R976">
        <v>0.10530100000000001</v>
      </c>
      <c r="S976">
        <v>3.03302</v>
      </c>
      <c r="T976">
        <v>-5.1619169999999999E-2</v>
      </c>
      <c r="U976">
        <v>-0.135437</v>
      </c>
      <c r="V976">
        <v>-0.1067753</v>
      </c>
      <c r="W976">
        <v>3.4850520000000003E-2</v>
      </c>
      <c r="X976">
        <v>0.99367220000000001</v>
      </c>
      <c r="Y976">
        <v>4.3120819999999997E-2</v>
      </c>
      <c r="Z976">
        <v>-3.4148160000000002E-4</v>
      </c>
      <c r="AA976">
        <v>0.99906980000000001</v>
      </c>
      <c r="AB976">
        <v>22</v>
      </c>
      <c r="AC976">
        <v>64.741399999999999</v>
      </c>
      <c r="AD976">
        <v>-1.104462093058</v>
      </c>
      <c r="AE976">
        <v>-2.8977000000000399</v>
      </c>
      <c r="AF976">
        <v>2.8007860642917901</v>
      </c>
      <c r="AG976">
        <v>-1.104462093058</v>
      </c>
      <c r="AH976">
        <v>64.726830033052195</v>
      </c>
      <c r="AI976">
        <v>90.976654249057404</v>
      </c>
      <c r="AJ976">
        <v>87.522307548269595</v>
      </c>
      <c r="AK976">
        <v>64.796811381583893</v>
      </c>
      <c r="AL976">
        <v>88.002807830946793</v>
      </c>
      <c r="AM976">
        <v>96.133198937442302</v>
      </c>
      <c r="AN976">
        <v>0.99999998224359998</v>
      </c>
    </row>
    <row r="977" spans="1:40" x14ac:dyDescent="0.3">
      <c r="A977" t="str">
        <f>"20200111145930542"</f>
        <v>20200111145930542</v>
      </c>
      <c r="B977" t="str">
        <f>"1578725970536889"</f>
        <v>1578725970536889</v>
      </c>
      <c r="C977" t="s">
        <v>40</v>
      </c>
      <c r="D977">
        <v>4.1216860000000004</v>
      </c>
      <c r="E977">
        <v>0.55663379999999996</v>
      </c>
      <c r="F977" t="s">
        <v>42</v>
      </c>
      <c r="G977">
        <v>-330.01139999999998</v>
      </c>
      <c r="H977" s="1">
        <v>-5.1060169999999997E-6</v>
      </c>
      <c r="I977">
        <v>364.8886</v>
      </c>
      <c r="J977">
        <v>-384.87389999999999</v>
      </c>
      <c r="K977">
        <v>1.10446</v>
      </c>
      <c r="L977">
        <v>367.25720000000001</v>
      </c>
      <c r="M977">
        <v>0.99993710000000002</v>
      </c>
      <c r="N977">
        <v>0</v>
      </c>
      <c r="O977">
        <v>-1.484132E-3</v>
      </c>
      <c r="P977">
        <v>0.99412069999999997</v>
      </c>
      <c r="Q977">
        <v>2.4210289999999999E-2</v>
      </c>
      <c r="R977">
        <v>0.1055367</v>
      </c>
      <c r="S977">
        <v>3.0329280000000001</v>
      </c>
      <c r="T977">
        <v>-6.091535E-2</v>
      </c>
      <c r="U977">
        <v>-0.13064580000000001</v>
      </c>
      <c r="V977">
        <v>-0.1070111</v>
      </c>
      <c r="W977">
        <v>3.526845E-2</v>
      </c>
      <c r="X977">
        <v>0.99363210000000002</v>
      </c>
      <c r="Y977">
        <v>4.1544919999999999E-2</v>
      </c>
      <c r="Z977">
        <v>-3.871794E-4</v>
      </c>
      <c r="AA977">
        <v>0.99913660000000004</v>
      </c>
      <c r="AB977">
        <v>22</v>
      </c>
      <c r="AC977">
        <v>54.862499999999997</v>
      </c>
      <c r="AD977">
        <v>-1.1044651060169901</v>
      </c>
      <c r="AE977">
        <v>-2.36860000000001</v>
      </c>
      <c r="AF977">
        <v>2.2862443268641499</v>
      </c>
      <c r="AG977">
        <v>-1.1044651060169901</v>
      </c>
      <c r="AH977">
        <v>54.843769494043201</v>
      </c>
      <c r="AI977">
        <v>91.152687846314706</v>
      </c>
      <c r="AJ977">
        <v>87.612922064009595</v>
      </c>
      <c r="AK977">
        <v>54.902511860645099</v>
      </c>
      <c r="AL977">
        <v>87.978847500064902</v>
      </c>
      <c r="AM977">
        <v>96.146885938893902</v>
      </c>
      <c r="AN977">
        <v>0.99999999461951095</v>
      </c>
    </row>
    <row r="978" spans="1:40" x14ac:dyDescent="0.3">
      <c r="A978" t="str">
        <f>"20200111145930555"</f>
        <v>20200111145930555</v>
      </c>
      <c r="B978" t="str">
        <f>"1578725970546649"</f>
        <v>1578725970546649</v>
      </c>
      <c r="C978" t="s">
        <v>40</v>
      </c>
      <c r="D978">
        <v>4.2213820000000002</v>
      </c>
      <c r="E978">
        <v>0.55605509999999903</v>
      </c>
      <c r="F978" t="s">
        <v>42</v>
      </c>
      <c r="G978">
        <v>-331.95319999999998</v>
      </c>
      <c r="H978" s="1">
        <v>-4.2624400000000003E-6</v>
      </c>
      <c r="I978">
        <v>364.94810000000001</v>
      </c>
      <c r="J978">
        <v>-384.74450000000002</v>
      </c>
      <c r="K978">
        <v>1.104463</v>
      </c>
      <c r="L978">
        <v>367.25700000000001</v>
      </c>
      <c r="M978">
        <v>0.99993719999999997</v>
      </c>
      <c r="N978">
        <v>0</v>
      </c>
      <c r="O978">
        <v>-1.4842690000000001E-3</v>
      </c>
      <c r="P978">
        <v>0.99409639999999999</v>
      </c>
      <c r="Q978">
        <v>2.462319E-2</v>
      </c>
      <c r="R978">
        <v>0.10567029999999999</v>
      </c>
      <c r="S978">
        <v>3.0333559999999999</v>
      </c>
      <c r="T978">
        <v>-6.3306570000000006E-2</v>
      </c>
      <c r="U978">
        <v>-0.13235469999999999</v>
      </c>
      <c r="V978">
        <v>-0.10714460000000001</v>
      </c>
      <c r="W978">
        <v>3.5683989999999999E-2</v>
      </c>
      <c r="X978">
        <v>0.99360289999999996</v>
      </c>
      <c r="Y978">
        <v>4.2099810000000001E-2</v>
      </c>
      <c r="Z978">
        <v>-4.0809750000000001E-4</v>
      </c>
      <c r="AA978">
        <v>0.99911329999999998</v>
      </c>
      <c r="AB978">
        <v>22</v>
      </c>
      <c r="AC978">
        <v>52.7913</v>
      </c>
      <c r="AD978">
        <v>-1.10446726244</v>
      </c>
      <c r="AE978">
        <v>-2.3088999999999298</v>
      </c>
      <c r="AF978">
        <v>2.2295621054269201</v>
      </c>
      <c r="AG978">
        <v>-1.10446726244</v>
      </c>
      <c r="AH978">
        <v>52.771614810049101</v>
      </c>
      <c r="AI978">
        <v>91.197910984067605</v>
      </c>
      <c r="AJ978">
        <v>87.580734026069393</v>
      </c>
      <c r="AK978">
        <v>52.830238734799899</v>
      </c>
      <c r="AL978">
        <v>87.955023862188696</v>
      </c>
      <c r="AM978">
        <v>96.154675054333097</v>
      </c>
      <c r="AN978">
        <v>1.00000001766994</v>
      </c>
    </row>
    <row r="979" spans="1:40" x14ac:dyDescent="0.3">
      <c r="A979" t="str">
        <f>"20200111145930568"</f>
        <v>20200111145930568</v>
      </c>
      <c r="B979" t="str">
        <f>"1578725970556408"</f>
        <v>1578725970556408</v>
      </c>
      <c r="C979" t="s">
        <v>40</v>
      </c>
      <c r="D979">
        <v>4.2332780000000003</v>
      </c>
      <c r="E979">
        <v>0.55617299999999903</v>
      </c>
      <c r="F979" t="s">
        <v>42</v>
      </c>
      <c r="G979">
        <v>-326.5419</v>
      </c>
      <c r="H979" s="1">
        <v>-2.4403140000000001E-6</v>
      </c>
      <c r="I979">
        <v>364.81540000000001</v>
      </c>
      <c r="J979">
        <v>-384.62819999999999</v>
      </c>
      <c r="K979">
        <v>1.1044639999999999</v>
      </c>
      <c r="L979">
        <v>367.25689999999997</v>
      </c>
      <c r="M979">
        <v>0.99993710000000002</v>
      </c>
      <c r="N979">
        <v>0</v>
      </c>
      <c r="O979">
        <v>-1.4838080000000001E-3</v>
      </c>
      <c r="P979">
        <v>0.99406919999999999</v>
      </c>
      <c r="Q979">
        <v>2.5137429999999999E-2</v>
      </c>
      <c r="R979">
        <v>0.10580539999999899</v>
      </c>
      <c r="S979">
        <v>3.0328059999999999</v>
      </c>
      <c r="T979">
        <v>-5.7551150000000002E-2</v>
      </c>
      <c r="U979">
        <v>-0.1272278</v>
      </c>
      <c r="V979">
        <v>-0.107279</v>
      </c>
      <c r="W979">
        <v>3.6200549999999998E-2</v>
      </c>
      <c r="X979">
        <v>0.9935697</v>
      </c>
      <c r="Y979">
        <v>4.0424010000000003E-2</v>
      </c>
      <c r="Z979">
        <v>-3.5520039999999999E-4</v>
      </c>
      <c r="AA979">
        <v>0.99918260000000003</v>
      </c>
      <c r="AB979">
        <v>22</v>
      </c>
      <c r="AC979">
        <v>58.086300000000001</v>
      </c>
      <c r="AD979">
        <v>-1.1044664403140001</v>
      </c>
      <c r="AE979">
        <v>-2.44149999999996</v>
      </c>
      <c r="AF979">
        <v>2.3544533382869601</v>
      </c>
      <c r="AG979">
        <v>-1.1044664403140001</v>
      </c>
      <c r="AH979">
        <v>58.068901722755101</v>
      </c>
      <c r="AI979">
        <v>91.088735989053902</v>
      </c>
      <c r="AJ979">
        <v>87.678165345768093</v>
      </c>
      <c r="AK979">
        <v>58.127107651481701</v>
      </c>
      <c r="AL979">
        <v>87.925407994982606</v>
      </c>
      <c r="AM979">
        <v>96.162540319561998</v>
      </c>
      <c r="AN979">
        <v>1.0000000062096901</v>
      </c>
    </row>
    <row r="980" spans="1:40" x14ac:dyDescent="0.3">
      <c r="A980" t="str">
        <f>"20200111145930580"</f>
        <v>20200111145930580</v>
      </c>
      <c r="B980" t="str">
        <f>"1578725970576904"</f>
        <v>1578725970576904</v>
      </c>
      <c r="C980" t="s">
        <v>40</v>
      </c>
      <c r="D980">
        <v>4.1907940000000004</v>
      </c>
      <c r="E980">
        <v>0.55570830000000004</v>
      </c>
      <c r="F980" t="s">
        <v>42</v>
      </c>
      <c r="G980">
        <v>-327.96170000000001</v>
      </c>
      <c r="H980" s="1">
        <v>-1.9424280000000002E-6</v>
      </c>
      <c r="I980">
        <v>364.87060000000002</v>
      </c>
      <c r="J980">
        <v>-384.5052</v>
      </c>
      <c r="K980">
        <v>1.1044659999999999</v>
      </c>
      <c r="L980">
        <v>367.25670000000002</v>
      </c>
      <c r="M980">
        <v>0.99993699999999996</v>
      </c>
      <c r="N980">
        <v>0</v>
      </c>
      <c r="O980">
        <v>-1.48382299999999E-3</v>
      </c>
      <c r="P980">
        <v>0.99407650000000003</v>
      </c>
      <c r="Q980">
        <v>2.53922E-2</v>
      </c>
      <c r="R980">
        <v>0.1056761</v>
      </c>
      <c r="S980">
        <v>3.0329899999999999</v>
      </c>
      <c r="T980">
        <v>-5.9114809999999997E-2</v>
      </c>
      <c r="U980">
        <v>-0.1277161</v>
      </c>
      <c r="V980">
        <v>-0.1071501</v>
      </c>
      <c r="W980">
        <v>3.6457870000000003E-2</v>
      </c>
      <c r="X980">
        <v>0.99357419999999996</v>
      </c>
      <c r="Y980">
        <v>4.058163E-2</v>
      </c>
      <c r="Z980">
        <v>-3.6636109999999998E-4</v>
      </c>
      <c r="AA980">
        <v>0.99917610000000001</v>
      </c>
      <c r="AB980">
        <v>22</v>
      </c>
      <c r="AC980">
        <v>56.543500000000002</v>
      </c>
      <c r="AD980">
        <v>-1.1044679424279999</v>
      </c>
      <c r="AE980">
        <v>-2.3860999999999901</v>
      </c>
      <c r="AF980">
        <v>2.3013151488855699</v>
      </c>
      <c r="AG980">
        <v>-1.1044679424279999</v>
      </c>
      <c r="AH980">
        <v>56.525450093306503</v>
      </c>
      <c r="AI980">
        <v>91.118450884570507</v>
      </c>
      <c r="AJ980">
        <v>87.668610059913405</v>
      </c>
      <c r="AK980">
        <v>56.583057615343002</v>
      </c>
      <c r="AL980">
        <v>87.910654904829101</v>
      </c>
      <c r="AM980">
        <v>96.155164990134296</v>
      </c>
      <c r="AN980">
        <v>1.00000000556029</v>
      </c>
    </row>
    <row r="981" spans="1:40" x14ac:dyDescent="0.3">
      <c r="A981" t="str">
        <f>"20200111145930596"</f>
        <v>20200111145930596</v>
      </c>
      <c r="B981" t="str">
        <f>"1578725970586664"</f>
        <v>1578725970586664</v>
      </c>
      <c r="C981" t="s">
        <v>40</v>
      </c>
      <c r="D981">
        <v>4.3304609999999997</v>
      </c>
      <c r="E981">
        <v>0.55569169999999901</v>
      </c>
      <c r="F981" t="s">
        <v>42</v>
      </c>
      <c r="G981">
        <v>-333.9862</v>
      </c>
      <c r="H981" s="1">
        <v>-3.3484290000000002E-6</v>
      </c>
      <c r="I981">
        <v>365.1841</v>
      </c>
      <c r="J981">
        <v>-384.35199999999998</v>
      </c>
      <c r="K981">
        <v>1.1044689999999999</v>
      </c>
      <c r="L981">
        <v>367.25650000000002</v>
      </c>
      <c r="M981">
        <v>0.99993699999999996</v>
      </c>
      <c r="N981">
        <v>0</v>
      </c>
      <c r="O981">
        <v>-1.4837229999999999E-3</v>
      </c>
      <c r="P981">
        <v>0.99406119999999998</v>
      </c>
      <c r="Q981">
        <v>2.6141040000000001E-2</v>
      </c>
      <c r="R981">
        <v>0.1056367</v>
      </c>
      <c r="S981">
        <v>3.0328059999999999</v>
      </c>
      <c r="T981">
        <v>-6.6304559999999998E-2</v>
      </c>
      <c r="U981">
        <v>-0.12442019999999999</v>
      </c>
      <c r="V981">
        <v>-0.1071106</v>
      </c>
      <c r="W981">
        <v>3.7210279999999998E-2</v>
      </c>
      <c r="X981">
        <v>0.9935505</v>
      </c>
      <c r="Y981">
        <v>3.9498600000000002E-2</v>
      </c>
      <c r="Z981">
        <v>-3.9911299999999999E-4</v>
      </c>
      <c r="AA981">
        <v>0.99921950000000004</v>
      </c>
      <c r="AB981">
        <v>22</v>
      </c>
      <c r="AC981">
        <v>50.365799999999901</v>
      </c>
      <c r="AD981">
        <v>-1.104472348429</v>
      </c>
      <c r="AE981">
        <v>-2.0724000000000098</v>
      </c>
      <c r="AF981">
        <v>1.9967056405372501</v>
      </c>
      <c r="AG981">
        <v>-1.104472348429</v>
      </c>
      <c r="AH981">
        <v>50.344650712598501</v>
      </c>
      <c r="AI981">
        <v>91.255779241670595</v>
      </c>
      <c r="AJ981">
        <v>87.728797859035296</v>
      </c>
      <c r="AK981">
        <v>50.396334667879799</v>
      </c>
      <c r="AL981">
        <v>87.867515573977798</v>
      </c>
      <c r="AM981">
        <v>96.153058992072999</v>
      </c>
      <c r="AN981">
        <v>0.99999994081014199</v>
      </c>
    </row>
    <row r="982" spans="1:40" x14ac:dyDescent="0.3">
      <c r="A982" t="str">
        <f>"20200111145930608"</f>
        <v>20200111145930608</v>
      </c>
      <c r="B982" t="str">
        <f>"1578725970596425"</f>
        <v>1578725970596425</v>
      </c>
      <c r="C982" t="s">
        <v>40</v>
      </c>
      <c r="D982">
        <v>4.1340700000000004</v>
      </c>
      <c r="E982">
        <v>0.55537269999999905</v>
      </c>
      <c r="F982" t="s">
        <v>42</v>
      </c>
      <c r="G982">
        <v>-336.61509999999998</v>
      </c>
      <c r="H982" s="1">
        <v>-2.2865590000000002E-6</v>
      </c>
      <c r="I982">
        <v>365.2996</v>
      </c>
      <c r="J982">
        <v>-384.23770000000002</v>
      </c>
      <c r="K982">
        <v>1.1044700000000001</v>
      </c>
      <c r="L982">
        <v>367.25630000000001</v>
      </c>
      <c r="M982">
        <v>0.99993690000000002</v>
      </c>
      <c r="N982">
        <v>0</v>
      </c>
      <c r="O982">
        <v>-1.4832669999999999E-3</v>
      </c>
      <c r="P982">
        <v>0.99408700000000005</v>
      </c>
      <c r="Q982">
        <v>2.6355489999999999E-2</v>
      </c>
      <c r="R982">
        <v>0.1053414</v>
      </c>
      <c r="S982">
        <v>3.032959</v>
      </c>
      <c r="T982">
        <v>-7.0172429999999994E-2</v>
      </c>
      <c r="U982">
        <v>-0.1243286</v>
      </c>
      <c r="V982">
        <v>-0.1068146</v>
      </c>
      <c r="W982">
        <v>3.742852E-2</v>
      </c>
      <c r="X982">
        <v>0.99357419999999996</v>
      </c>
      <c r="Y982">
        <v>3.9465809999999997E-2</v>
      </c>
      <c r="Z982">
        <v>-4.219995E-4</v>
      </c>
      <c r="AA982">
        <v>0.99922080000000002</v>
      </c>
      <c r="AB982">
        <v>22</v>
      </c>
      <c r="AC982">
        <v>47.622599999999998</v>
      </c>
      <c r="AD982">
        <v>-1.104472286559</v>
      </c>
      <c r="AE982">
        <v>-1.9567000000000101</v>
      </c>
      <c r="AF982">
        <v>1.8850442222804</v>
      </c>
      <c r="AG982">
        <v>-1.104472286559</v>
      </c>
      <c r="AH982">
        <v>47.599890331255303</v>
      </c>
      <c r="AI982">
        <v>91.328169235902493</v>
      </c>
      <c r="AJ982">
        <v>87.732165584178702</v>
      </c>
      <c r="AK982">
        <v>47.650003256025698</v>
      </c>
      <c r="AL982">
        <v>87.855002692333898</v>
      </c>
      <c r="AM982">
        <v>96.136039670018604</v>
      </c>
      <c r="AN982">
        <v>0.99999997189409395</v>
      </c>
    </row>
    <row r="983" spans="1:40" x14ac:dyDescent="0.3">
      <c r="A983" t="str">
        <f>"20200111145930619"</f>
        <v>20200111145930619</v>
      </c>
      <c r="B983" t="str">
        <f>"1578725970616922"</f>
        <v>1578725970616922</v>
      </c>
      <c r="C983" t="s">
        <v>40</v>
      </c>
      <c r="D983">
        <v>4.3586269999999896</v>
      </c>
      <c r="E983">
        <v>0.55508970000000002</v>
      </c>
      <c r="F983" t="s">
        <v>42</v>
      </c>
      <c r="G983">
        <v>-338.39429999999999</v>
      </c>
      <c r="H983" s="1">
        <v>-1.6542519999999999E-6</v>
      </c>
      <c r="I983">
        <v>365.40050000000002</v>
      </c>
      <c r="J983">
        <v>-384.1155</v>
      </c>
      <c r="K983">
        <v>1.1044719999999999</v>
      </c>
      <c r="L983">
        <v>367.2561</v>
      </c>
      <c r="M983">
        <v>0.99993679999999996</v>
      </c>
      <c r="N983">
        <v>0</v>
      </c>
      <c r="O983">
        <v>-1.4832929999999999E-3</v>
      </c>
      <c r="P983">
        <v>0.99409020000000003</v>
      </c>
      <c r="Q983">
        <v>2.668514E-2</v>
      </c>
      <c r="R983">
        <v>0.105227399999999</v>
      </c>
      <c r="S983">
        <v>3.0328059999999999</v>
      </c>
      <c r="T983">
        <v>-7.3067190000000004E-2</v>
      </c>
      <c r="U983">
        <v>-0.1227722</v>
      </c>
      <c r="V983">
        <v>-0.1067005</v>
      </c>
      <c r="W983">
        <v>3.7762549999999999E-2</v>
      </c>
      <c r="X983">
        <v>0.99357379999999995</v>
      </c>
      <c r="Y983">
        <v>3.8955200000000002E-2</v>
      </c>
      <c r="Z983">
        <v>-4.332815E-4</v>
      </c>
      <c r="AA983">
        <v>0.99924089999999999</v>
      </c>
      <c r="AB983">
        <v>22</v>
      </c>
      <c r="AC983">
        <v>45.721200000000003</v>
      </c>
      <c r="AD983">
        <v>-1.1044736542519999</v>
      </c>
      <c r="AE983">
        <v>-1.8555999999999799</v>
      </c>
      <c r="AF983">
        <v>1.7867348824315601</v>
      </c>
      <c r="AG983">
        <v>-1.1044736542519999</v>
      </c>
      <c r="AH983">
        <v>45.6972796293838</v>
      </c>
      <c r="AI983">
        <v>91.383475645499303</v>
      </c>
      <c r="AJ983">
        <v>87.760911614873294</v>
      </c>
      <c r="AK983">
        <v>45.7455314661348</v>
      </c>
      <c r="AL983">
        <v>87.835850598469705</v>
      </c>
      <c r="AM983">
        <v>96.129537486885198</v>
      </c>
      <c r="AN983">
        <v>0.99999995146459497</v>
      </c>
    </row>
    <row r="984" spans="1:40" x14ac:dyDescent="0.3">
      <c r="A984" t="str">
        <f>"20200111145930632"</f>
        <v>20200111145930632</v>
      </c>
      <c r="B984" t="str">
        <f>"1578725970626681"</f>
        <v>1578725970626681</v>
      </c>
      <c r="C984" t="s">
        <v>40</v>
      </c>
      <c r="D984">
        <v>4.2493379999999998</v>
      </c>
      <c r="E984">
        <v>0.55489339999999998</v>
      </c>
      <c r="F984" t="s">
        <v>42</v>
      </c>
      <c r="G984">
        <v>-342.74290000000002</v>
      </c>
      <c r="H984" s="1">
        <v>-4.1222140000000001E-6</v>
      </c>
      <c r="I984">
        <v>365.60669999999999</v>
      </c>
      <c r="J984">
        <v>-384.00700000000001</v>
      </c>
      <c r="K984">
        <v>1.104473</v>
      </c>
      <c r="L984">
        <v>367.25599999999997</v>
      </c>
      <c r="M984">
        <v>0.99993679999999996</v>
      </c>
      <c r="N984">
        <v>0</v>
      </c>
      <c r="O984">
        <v>-1.483091E-3</v>
      </c>
      <c r="P984">
        <v>0.99410030000000005</v>
      </c>
      <c r="Q984">
        <v>2.7038909999999999E-2</v>
      </c>
      <c r="R984">
        <v>0.1050412</v>
      </c>
      <c r="S984">
        <v>3.0328059999999999</v>
      </c>
      <c r="T984">
        <v>-8.096325E-2</v>
      </c>
      <c r="U984">
        <v>-0.12091059999999999</v>
      </c>
      <c r="V984">
        <v>-0.10651380000000001</v>
      </c>
      <c r="W984">
        <v>3.8122780000000002E-2</v>
      </c>
      <c r="X984">
        <v>0.99358009999999997</v>
      </c>
      <c r="Y984">
        <v>3.8340779999999998E-2</v>
      </c>
      <c r="Z984">
        <v>-4.7190330000000002E-4</v>
      </c>
      <c r="AA984">
        <v>0.99926459999999995</v>
      </c>
      <c r="AB984">
        <v>22</v>
      </c>
      <c r="AC984">
        <v>41.2640999999999</v>
      </c>
      <c r="AD984">
        <v>-1.104477122214</v>
      </c>
      <c r="AE984">
        <v>-1.64929999999998</v>
      </c>
      <c r="AF984">
        <v>1.5869608502263699</v>
      </c>
      <c r="AG984">
        <v>-1.104477122214</v>
      </c>
      <c r="AH984">
        <v>41.237004865532903</v>
      </c>
      <c r="AI984">
        <v>91.533088479639801</v>
      </c>
      <c r="AJ984">
        <v>87.796122400893907</v>
      </c>
      <c r="AK984">
        <v>41.2823071634039</v>
      </c>
      <c r="AL984">
        <v>87.815196118344701</v>
      </c>
      <c r="AM984">
        <v>96.118855211837399</v>
      </c>
      <c r="AN984">
        <v>0.99999997553068798</v>
      </c>
    </row>
    <row r="985" spans="1:40" x14ac:dyDescent="0.3">
      <c r="A985" t="str">
        <f>"20200111145930643"</f>
        <v>20200111145930643</v>
      </c>
      <c r="B985" t="str">
        <f>"1578725970636440"</f>
        <v>1578725970636440</v>
      </c>
      <c r="C985" t="s">
        <v>40</v>
      </c>
      <c r="D985">
        <v>4.259512</v>
      </c>
      <c r="E985">
        <v>0.55464579999999997</v>
      </c>
      <c r="F985" t="s">
        <v>42</v>
      </c>
      <c r="G985">
        <v>-343.71910000000003</v>
      </c>
      <c r="H985" s="1">
        <v>-3.650454E-6</v>
      </c>
      <c r="I985">
        <v>365.66469999999998</v>
      </c>
      <c r="J985">
        <v>-383.89060000000001</v>
      </c>
      <c r="K985">
        <v>1.104474</v>
      </c>
      <c r="L985">
        <v>367.25580000000002</v>
      </c>
      <c r="M985">
        <v>0.99993659999999995</v>
      </c>
      <c r="N985">
        <v>0</v>
      </c>
      <c r="O985">
        <v>-1.4826539999999999E-3</v>
      </c>
      <c r="P985">
        <v>0.99412199999999995</v>
      </c>
      <c r="Q985">
        <v>2.7325039999999998E-2</v>
      </c>
      <c r="R985">
        <v>0.10475959999999999</v>
      </c>
      <c r="S985">
        <v>3.032654</v>
      </c>
      <c r="T985">
        <v>-8.3138939999999995E-2</v>
      </c>
      <c r="U985">
        <v>-0.1197815</v>
      </c>
      <c r="V985">
        <v>-0.1062317</v>
      </c>
      <c r="W985">
        <v>3.8416289999999999E-2</v>
      </c>
      <c r="X985">
        <v>0.99359900000000001</v>
      </c>
      <c r="Y985">
        <v>3.7971159999999997E-2</v>
      </c>
      <c r="Z985">
        <v>-4.7955619999999997E-4</v>
      </c>
      <c r="AA985">
        <v>0.99927869999999996</v>
      </c>
      <c r="AB985">
        <v>22</v>
      </c>
      <c r="AC985">
        <v>40.171499999999902</v>
      </c>
      <c r="AD985">
        <v>-1.1044776504539999</v>
      </c>
      <c r="AE985">
        <v>-1.5911000000000399</v>
      </c>
      <c r="AF985">
        <v>1.5303790675951301</v>
      </c>
      <c r="AG985">
        <v>-1.1044776504539999</v>
      </c>
      <c r="AH985">
        <v>40.143517146427698</v>
      </c>
      <c r="AI985">
        <v>91.574850729105407</v>
      </c>
      <c r="AJ985">
        <v>87.816787702816896</v>
      </c>
      <c r="AK985">
        <v>40.187857617151302</v>
      </c>
      <c r="AL985">
        <v>87.798366913325907</v>
      </c>
      <c r="AM985">
        <v>96.102656770576104</v>
      </c>
      <c r="AN985">
        <v>0.99999997911162597</v>
      </c>
    </row>
    <row r="986" spans="1:40" x14ac:dyDescent="0.3">
      <c r="A986" t="str">
        <f>"20200111145930654"</f>
        <v>20200111145930654</v>
      </c>
      <c r="B986" t="str">
        <f>"1578725970646200"</f>
        <v>1578725970646200</v>
      </c>
      <c r="C986" t="s">
        <v>40</v>
      </c>
      <c r="D986">
        <v>4.2385120000000001</v>
      </c>
      <c r="E986">
        <v>0.55459209999999903</v>
      </c>
      <c r="F986" t="s">
        <v>42</v>
      </c>
      <c r="G986">
        <v>-343.98880000000003</v>
      </c>
      <c r="H986" s="1">
        <v>-3.5182320000000001E-6</v>
      </c>
      <c r="I986">
        <v>365.69139999999999</v>
      </c>
      <c r="J986">
        <v>-383.774</v>
      </c>
      <c r="K986">
        <v>1.104476</v>
      </c>
      <c r="L986">
        <v>367.25560000000002</v>
      </c>
      <c r="M986">
        <v>0.99993659999999995</v>
      </c>
      <c r="N986">
        <v>0</v>
      </c>
      <c r="O986">
        <v>-1.4827009999999999E-3</v>
      </c>
      <c r="P986">
        <v>0.99415589999999998</v>
      </c>
      <c r="Q986">
        <v>2.740683E-2</v>
      </c>
      <c r="R986">
        <v>0.1044176</v>
      </c>
      <c r="S986">
        <v>3.032562</v>
      </c>
      <c r="T986">
        <v>-8.3940979999999998E-2</v>
      </c>
      <c r="U986">
        <v>-0.1188965</v>
      </c>
      <c r="V986">
        <v>-0.1058902</v>
      </c>
      <c r="W986">
        <v>3.8506819999999997E-2</v>
      </c>
      <c r="X986">
        <v>0.99363199999999996</v>
      </c>
      <c r="Y986">
        <v>3.7680980000000003E-2</v>
      </c>
      <c r="Z986">
        <v>-4.801831E-4</v>
      </c>
      <c r="AA986">
        <v>0.99928969999999995</v>
      </c>
      <c r="AB986">
        <v>22</v>
      </c>
      <c r="AC986">
        <v>39.785199999999897</v>
      </c>
      <c r="AD986">
        <v>-1.104479518232</v>
      </c>
      <c r="AE986">
        <v>-1.56420000000002</v>
      </c>
      <c r="AF986">
        <v>1.5040477036884901</v>
      </c>
      <c r="AG986">
        <v>-1.104479518232</v>
      </c>
      <c r="AH986">
        <v>39.756883231977802</v>
      </c>
      <c r="AI986">
        <v>91.590178517742999</v>
      </c>
      <c r="AJ986">
        <v>87.833469262671898</v>
      </c>
      <c r="AK986">
        <v>39.800650733653598</v>
      </c>
      <c r="AL986">
        <v>87.793176199037006</v>
      </c>
      <c r="AM986">
        <v>96.082985548666301</v>
      </c>
      <c r="AN986">
        <v>1.0000000305332699</v>
      </c>
    </row>
    <row r="987" spans="1:40" x14ac:dyDescent="0.3">
      <c r="A987" t="str">
        <f>"20200111145930667"</f>
        <v>20200111145930667</v>
      </c>
      <c r="B987" t="str">
        <f>"1578725970656936"</f>
        <v>1578725970656936</v>
      </c>
      <c r="C987" t="s">
        <v>40</v>
      </c>
      <c r="D987">
        <v>4.3057889999999999</v>
      </c>
      <c r="E987">
        <v>0.55448790000000003</v>
      </c>
      <c r="F987" t="s">
        <v>42</v>
      </c>
      <c r="G987">
        <v>-344.72359999999998</v>
      </c>
      <c r="H987" s="1">
        <v>-3.166052E-6</v>
      </c>
      <c r="I987">
        <v>365.71870000000001</v>
      </c>
      <c r="J987">
        <v>-383.65940000000001</v>
      </c>
      <c r="K987">
        <v>1.1044780000000001</v>
      </c>
      <c r="L987">
        <v>367.25549999999998</v>
      </c>
      <c r="M987">
        <v>0.99993659999999995</v>
      </c>
      <c r="N987">
        <v>0</v>
      </c>
      <c r="O987">
        <v>-1.48250799999999E-3</v>
      </c>
      <c r="P987">
        <v>0.99419170000000001</v>
      </c>
      <c r="Q987">
        <v>2.742818E-2</v>
      </c>
      <c r="R987">
        <v>0.10407130000000001</v>
      </c>
      <c r="S987">
        <v>3.032562</v>
      </c>
      <c r="T987">
        <v>-8.5771200000000006E-2</v>
      </c>
      <c r="U987">
        <v>-0.11935419999999999</v>
      </c>
      <c r="V987">
        <v>-0.1055437</v>
      </c>
      <c r="W987">
        <v>3.853637E-2</v>
      </c>
      <c r="X987">
        <v>0.99366770000000004</v>
      </c>
      <c r="Y987">
        <v>3.7831110000000001E-2</v>
      </c>
      <c r="Z987">
        <v>-4.9277449999999895E-4</v>
      </c>
      <c r="AA987">
        <v>0.99928399999999995</v>
      </c>
      <c r="AB987">
        <v>22</v>
      </c>
      <c r="AC987">
        <v>38.9358</v>
      </c>
      <c r="AD987">
        <v>-1.104481166052</v>
      </c>
      <c r="AE987">
        <v>-1.53679999999997</v>
      </c>
      <c r="AF987">
        <v>1.4778847181860799</v>
      </c>
      <c r="AG987">
        <v>-1.104481166052</v>
      </c>
      <c r="AH987">
        <v>38.906777204284303</v>
      </c>
      <c r="AI987">
        <v>91.624898148466102</v>
      </c>
      <c r="AJ987">
        <v>87.824649786260807</v>
      </c>
      <c r="AK987">
        <v>38.9504985117036</v>
      </c>
      <c r="AL987">
        <v>87.791481808536304</v>
      </c>
      <c r="AM987">
        <v>96.063012753322099</v>
      </c>
      <c r="AN987">
        <v>1.00000001122287</v>
      </c>
    </row>
    <row r="988" spans="1:40" x14ac:dyDescent="0.3">
      <c r="A988" t="str">
        <f>"20200111145930678"</f>
        <v>20200111145930678</v>
      </c>
      <c r="B988" t="str">
        <f>"1578725970666696"</f>
        <v>1578725970666696</v>
      </c>
      <c r="C988" t="s">
        <v>40</v>
      </c>
      <c r="D988">
        <v>4.2691369999999997</v>
      </c>
      <c r="E988">
        <v>0.55436649999999998</v>
      </c>
      <c r="F988" t="s">
        <v>42</v>
      </c>
      <c r="G988">
        <v>-344.72859999999997</v>
      </c>
      <c r="H988" s="1">
        <v>-3.162975E-6</v>
      </c>
      <c r="I988">
        <v>365.72280000000001</v>
      </c>
      <c r="J988">
        <v>-383.548</v>
      </c>
      <c r="K988">
        <v>1.104479</v>
      </c>
      <c r="L988">
        <v>367.25529999999998</v>
      </c>
      <c r="M988">
        <v>0.99993650000000001</v>
      </c>
      <c r="N988">
        <v>0</v>
      </c>
      <c r="O988">
        <v>-1.4824339999999999E-3</v>
      </c>
      <c r="P988">
        <v>0.99420280000000005</v>
      </c>
      <c r="Q988">
        <v>2.7609450000000001E-2</v>
      </c>
      <c r="R988">
        <v>0.1039167</v>
      </c>
      <c r="S988">
        <v>3.0323790000000002</v>
      </c>
      <c r="T988">
        <v>-8.6029649999999999E-2</v>
      </c>
      <c r="U988">
        <v>-0.1193848</v>
      </c>
      <c r="V988">
        <v>-0.10538889999999999</v>
      </c>
      <c r="W988">
        <v>3.8725530000000001E-2</v>
      </c>
      <c r="X988">
        <v>0.99367680000000003</v>
      </c>
      <c r="Y988">
        <v>3.7843500000000002E-2</v>
      </c>
      <c r="Z988">
        <v>-4.9446629999999896E-4</v>
      </c>
      <c r="AA988">
        <v>0.99928360000000005</v>
      </c>
      <c r="AB988">
        <v>22</v>
      </c>
      <c r="AC988">
        <v>38.819400000000002</v>
      </c>
      <c r="AD988">
        <v>-1.1044821629749999</v>
      </c>
      <c r="AE988">
        <v>-1.53249999999997</v>
      </c>
      <c r="AF988">
        <v>1.4737563688103501</v>
      </c>
      <c r="AG988">
        <v>-1.1044821629749999</v>
      </c>
      <c r="AH988">
        <v>38.7902772326402</v>
      </c>
      <c r="AI988">
        <v>91.629776621746601</v>
      </c>
      <c r="AJ988">
        <v>87.824211826841307</v>
      </c>
      <c r="AK988">
        <v>38.833972839100902</v>
      </c>
      <c r="AL988">
        <v>87.780635695375096</v>
      </c>
      <c r="AM988">
        <v>96.054131246647898</v>
      </c>
      <c r="AN988">
        <v>1.0000000348876099</v>
      </c>
    </row>
    <row r="989" spans="1:40" x14ac:dyDescent="0.3">
      <c r="A989" t="str">
        <f>"20200111145930692"</f>
        <v>20200111145930692</v>
      </c>
      <c r="B989" t="str">
        <f>"1578725970686216"</f>
        <v>1578725970686216</v>
      </c>
      <c r="C989" t="s">
        <v>40</v>
      </c>
      <c r="D989">
        <v>4.2360930000000003</v>
      </c>
      <c r="E989">
        <v>0.55409560000000002</v>
      </c>
      <c r="F989" t="s">
        <v>42</v>
      </c>
      <c r="G989">
        <v>-345.41460000000001</v>
      </c>
      <c r="H989" s="1">
        <v>-2.8317560000000002E-6</v>
      </c>
      <c r="I989">
        <v>365.76170000000002</v>
      </c>
      <c r="J989">
        <v>-383.4237</v>
      </c>
      <c r="K989">
        <v>1.104481</v>
      </c>
      <c r="L989">
        <v>367.2552</v>
      </c>
      <c r="M989">
        <v>0.9999363</v>
      </c>
      <c r="N989">
        <v>0</v>
      </c>
      <c r="O989">
        <v>-1.4821229999999999E-3</v>
      </c>
      <c r="P989">
        <v>0.99421579999999998</v>
      </c>
      <c r="Q989">
        <v>2.7416989999999999E-2</v>
      </c>
      <c r="R989">
        <v>0.1038427</v>
      </c>
      <c r="S989">
        <v>3.0323790000000002</v>
      </c>
      <c r="T989">
        <v>-8.7828760000000006E-2</v>
      </c>
      <c r="U989">
        <v>-0.1187744</v>
      </c>
      <c r="V989">
        <v>-0.1053153</v>
      </c>
      <c r="W989">
        <v>3.8542079999999999E-2</v>
      </c>
      <c r="X989">
        <v>0.99369169999999996</v>
      </c>
      <c r="Y989">
        <v>3.7642450000000001E-2</v>
      </c>
      <c r="Z989">
        <v>-5.0190360000000004E-4</v>
      </c>
      <c r="AA989">
        <v>0.99929109999999999</v>
      </c>
      <c r="AB989">
        <v>22</v>
      </c>
      <c r="AC989">
        <v>38.009099999999897</v>
      </c>
      <c r="AD989">
        <v>-1.104483831756</v>
      </c>
      <c r="AE989">
        <v>-1.4934999999999801</v>
      </c>
      <c r="AF989">
        <v>1.4359500372672001</v>
      </c>
      <c r="AG989">
        <v>-1.104483831756</v>
      </c>
      <c r="AH989">
        <v>37.979252038857197</v>
      </c>
      <c r="AI989">
        <v>91.664574300600904</v>
      </c>
      <c r="AJ989">
        <v>87.834746545838101</v>
      </c>
      <c r="AK989">
        <v>38.022433147750803</v>
      </c>
      <c r="AL989">
        <v>87.791154380494206</v>
      </c>
      <c r="AM989">
        <v>96.049844572705297</v>
      </c>
      <c r="AN989">
        <v>0.99999999949685303</v>
      </c>
    </row>
    <row r="990" spans="1:40" x14ac:dyDescent="0.3">
      <c r="A990" t="str">
        <f>"20200111145930707"</f>
        <v>20200111145930707</v>
      </c>
      <c r="B990" t="str">
        <f>"1578725970696952"</f>
        <v>1578725970696952</v>
      </c>
      <c r="C990" t="s">
        <v>40</v>
      </c>
      <c r="D990">
        <v>4.2906700000000004</v>
      </c>
      <c r="E990">
        <v>0.55394359999999998</v>
      </c>
      <c r="F990" t="s">
        <v>42</v>
      </c>
      <c r="G990">
        <v>-347.33690000000001</v>
      </c>
      <c r="H990" s="1">
        <v>-2.0057670000000001E-6</v>
      </c>
      <c r="I990">
        <v>365.8623</v>
      </c>
      <c r="J990">
        <v>-383.26940000000002</v>
      </c>
      <c r="K990">
        <v>1.1044830000000001</v>
      </c>
      <c r="L990">
        <v>367.25490000000002</v>
      </c>
      <c r="M990">
        <v>0.99993620000000005</v>
      </c>
      <c r="N990">
        <v>0</v>
      </c>
      <c r="O990">
        <v>-1.481822E-3</v>
      </c>
      <c r="P990">
        <v>0.99426979999999998</v>
      </c>
      <c r="Q990">
        <v>2.7515999999999999E-2</v>
      </c>
      <c r="R990">
        <v>0.1032966</v>
      </c>
      <c r="S990">
        <v>3.0322269999999998</v>
      </c>
      <c r="T990">
        <v>-9.2805150000000003E-2</v>
      </c>
      <c r="U990">
        <v>-0.1170349</v>
      </c>
      <c r="V990">
        <v>-0.1047685</v>
      </c>
      <c r="W990">
        <v>3.8651669999999999E-2</v>
      </c>
      <c r="X990">
        <v>0.99374530000000005</v>
      </c>
      <c r="Y990">
        <v>3.7070800000000001E-2</v>
      </c>
      <c r="Z990">
        <v>-5.2162770000000001E-4</v>
      </c>
      <c r="AA990">
        <v>0.99931250000000005</v>
      </c>
      <c r="AB990">
        <v>22</v>
      </c>
      <c r="AC990">
        <v>35.932499999999997</v>
      </c>
      <c r="AD990">
        <v>-1.1044850057669999</v>
      </c>
      <c r="AE990">
        <v>-1.3926000000000101</v>
      </c>
      <c r="AF990">
        <v>1.33808722006193</v>
      </c>
      <c r="AG990">
        <v>-1.1044850057669999</v>
      </c>
      <c r="AH990">
        <v>35.900655808901803</v>
      </c>
      <c r="AI990">
        <v>91.7609290237653</v>
      </c>
      <c r="AJ990">
        <v>87.865463000452294</v>
      </c>
      <c r="AK990">
        <v>35.9425576725654</v>
      </c>
      <c r="AL990">
        <v>87.784870778397504</v>
      </c>
      <c r="AM990">
        <v>96.018342517200693</v>
      </c>
      <c r="AN990">
        <v>1.00000005572906</v>
      </c>
    </row>
    <row r="991" spans="1:40" x14ac:dyDescent="0.3">
      <c r="A991" t="str">
        <f>"20200111145930718"</f>
        <v>20200111145930718</v>
      </c>
      <c r="B991" t="str">
        <f>"1578725970706712"</f>
        <v>1578725970706712</v>
      </c>
      <c r="C991" t="s">
        <v>40</v>
      </c>
      <c r="D991">
        <v>4.2767369999999998</v>
      </c>
      <c r="E991">
        <v>0.55381179999999997</v>
      </c>
      <c r="F991" t="s">
        <v>42</v>
      </c>
      <c r="G991">
        <v>-348.01979999999998</v>
      </c>
      <c r="H991" s="1">
        <v>-1.7354430000000001E-6</v>
      </c>
      <c r="I991">
        <v>365.89260000000002</v>
      </c>
      <c r="J991">
        <v>-383.15910000000002</v>
      </c>
      <c r="K991">
        <v>1.1044849999999999</v>
      </c>
      <c r="L991">
        <v>367.25479999999999</v>
      </c>
      <c r="M991">
        <v>0.99993620000000005</v>
      </c>
      <c r="N991">
        <v>0</v>
      </c>
      <c r="O991">
        <v>-1.481862E-3</v>
      </c>
      <c r="P991">
        <v>0.99429900000000004</v>
      </c>
      <c r="Q991">
        <v>2.7145209999999999E-2</v>
      </c>
      <c r="R991">
        <v>0.1031156</v>
      </c>
      <c r="S991">
        <v>3.0320740000000002</v>
      </c>
      <c r="T991">
        <v>-9.50048E-2</v>
      </c>
      <c r="U991">
        <v>-0.1171875</v>
      </c>
      <c r="V991">
        <v>-0.1045875</v>
      </c>
      <c r="W991">
        <v>3.8288120000000002E-2</v>
      </c>
      <c r="X991">
        <v>0.99377839999999995</v>
      </c>
      <c r="Y991">
        <v>3.7122099999999998E-2</v>
      </c>
      <c r="Z991">
        <v>-5.348134E-4</v>
      </c>
      <c r="AA991">
        <v>0.99931060000000005</v>
      </c>
      <c r="AB991">
        <v>22</v>
      </c>
      <c r="AC991">
        <v>35.139299999999999</v>
      </c>
      <c r="AD991">
        <v>-1.1044867354429999</v>
      </c>
      <c r="AE991">
        <v>-1.3621999999999701</v>
      </c>
      <c r="AF991">
        <v>1.3088325252786199</v>
      </c>
      <c r="AG991">
        <v>-1.1044867354429999</v>
      </c>
      <c r="AH991">
        <v>35.106648576271503</v>
      </c>
      <c r="AI991">
        <v>91.8007322024839</v>
      </c>
      <c r="AJ991">
        <v>87.864909691779204</v>
      </c>
      <c r="AK991">
        <v>35.148395522211501</v>
      </c>
      <c r="AL991">
        <v>87.8057160030652</v>
      </c>
      <c r="AM991">
        <v>96.007822584818896</v>
      </c>
      <c r="AN991">
        <v>1.0000000167979699</v>
      </c>
    </row>
    <row r="992" spans="1:40" x14ac:dyDescent="0.3">
      <c r="A992" t="str">
        <f>"20200111145930730"</f>
        <v>20200111145930730</v>
      </c>
      <c r="B992" t="str">
        <f>"1578725970726234"</f>
        <v>1578725970726234</v>
      </c>
      <c r="C992" t="s">
        <v>40</v>
      </c>
      <c r="D992">
        <v>4.2966920000000002</v>
      </c>
      <c r="E992">
        <v>0.55346439999999997</v>
      </c>
      <c r="F992" t="s">
        <v>42</v>
      </c>
      <c r="G992">
        <v>-348.98050000000001</v>
      </c>
      <c r="H992" s="1">
        <v>-1.3548419999999901E-6</v>
      </c>
      <c r="I992">
        <v>365.93650000000002</v>
      </c>
      <c r="J992">
        <v>-383.053</v>
      </c>
      <c r="K992">
        <v>1.104484</v>
      </c>
      <c r="L992">
        <v>367.25459999999998</v>
      </c>
      <c r="M992">
        <v>0.99993620000000005</v>
      </c>
      <c r="N992">
        <v>0</v>
      </c>
      <c r="O992">
        <v>-1.48177799999999E-3</v>
      </c>
      <c r="P992">
        <v>0.99436369999999996</v>
      </c>
      <c r="Q992">
        <v>2.6925810000000001E-2</v>
      </c>
      <c r="R992">
        <v>0.10254820000000001</v>
      </c>
      <c r="S992">
        <v>3.0319820000000002</v>
      </c>
      <c r="T992">
        <v>-9.7978709999999997E-2</v>
      </c>
      <c r="U992">
        <v>-0.1169434</v>
      </c>
      <c r="V992">
        <v>-0.10402019999999999</v>
      </c>
      <c r="W992">
        <v>3.8075119999999997E-2</v>
      </c>
      <c r="X992">
        <v>0.99384609999999995</v>
      </c>
      <c r="Y992">
        <v>3.7041930000000001E-2</v>
      </c>
      <c r="Z992">
        <v>-5.5027180000000002E-4</v>
      </c>
      <c r="AA992">
        <v>0.99931349999999997</v>
      </c>
      <c r="AB992">
        <v>22</v>
      </c>
      <c r="AC992">
        <v>34.072499999999998</v>
      </c>
      <c r="AD992">
        <v>-1.1044853548419999</v>
      </c>
      <c r="AE992">
        <v>-1.3180999999999501</v>
      </c>
      <c r="AF992">
        <v>1.2662789133194099</v>
      </c>
      <c r="AG992">
        <v>-1.1044853548419999</v>
      </c>
      <c r="AH992">
        <v>34.038702092869997</v>
      </c>
      <c r="AI992">
        <v>91.857193503823595</v>
      </c>
      <c r="AJ992">
        <v>87.869513475417605</v>
      </c>
      <c r="AK992">
        <v>34.080149506017896</v>
      </c>
      <c r="AL992">
        <v>87.817928858791404</v>
      </c>
      <c r="AM992">
        <v>95.9750674749518</v>
      </c>
      <c r="AN992">
        <v>0.99999999362813197</v>
      </c>
    </row>
    <row r="993" spans="1:40" x14ac:dyDescent="0.3">
      <c r="A993" t="str">
        <f>"20200111145930741"</f>
        <v>20200111145930741</v>
      </c>
      <c r="B993" t="str">
        <f>"1578725970736968"</f>
        <v>1578725970736968</v>
      </c>
      <c r="C993" t="s">
        <v>40</v>
      </c>
      <c r="D993">
        <v>4.3185219999999997</v>
      </c>
      <c r="E993">
        <v>0.5533498</v>
      </c>
      <c r="F993" t="s">
        <v>42</v>
      </c>
      <c r="G993">
        <v>-350.66930000000002</v>
      </c>
      <c r="H993" s="1">
        <v>-4.6241780000000004E-6</v>
      </c>
      <c r="I993">
        <v>366.01389999999998</v>
      </c>
      <c r="J993">
        <v>-382.93959999999998</v>
      </c>
      <c r="K993">
        <v>1.1044830000000001</v>
      </c>
      <c r="L993">
        <v>367.25450000000001</v>
      </c>
      <c r="M993">
        <v>0.99993589999999999</v>
      </c>
      <c r="N993">
        <v>0</v>
      </c>
      <c r="O993">
        <v>-1.481457E-3</v>
      </c>
      <c r="P993">
        <v>0.99442620000000004</v>
      </c>
      <c r="Q993">
        <v>2.6605520000000001E-2</v>
      </c>
      <c r="R993">
        <v>0.1020228</v>
      </c>
      <c r="S993">
        <v>3.0317989999999999</v>
      </c>
      <c r="T993">
        <v>-0.1034031</v>
      </c>
      <c r="U993">
        <v>-0.1161499</v>
      </c>
      <c r="V993">
        <v>-0.1034949</v>
      </c>
      <c r="W993">
        <v>3.7762070000000002E-2</v>
      </c>
      <c r="X993">
        <v>0.99391289999999999</v>
      </c>
      <c r="Y993">
        <v>3.6781469999999997E-2</v>
      </c>
      <c r="Z993">
        <v>-5.7632910000000002E-4</v>
      </c>
      <c r="AA993">
        <v>0.99932319999999997</v>
      </c>
      <c r="AB993">
        <v>22</v>
      </c>
      <c r="AC993">
        <v>32.270299999999899</v>
      </c>
      <c r="AD993">
        <v>-1.1044876241779999</v>
      </c>
      <c r="AE993">
        <v>-1.2406000000000199</v>
      </c>
      <c r="AF993">
        <v>1.1913949903062599</v>
      </c>
      <c r="AG993">
        <v>-1.1044876241779999</v>
      </c>
      <c r="AH993">
        <v>32.234398034726198</v>
      </c>
      <c r="AI993">
        <v>91.961091444133899</v>
      </c>
      <c r="AJ993">
        <v>87.883290806856294</v>
      </c>
      <c r="AK993">
        <v>32.2753114872041</v>
      </c>
      <c r="AL993">
        <v>87.835878247942304</v>
      </c>
      <c r="AM993">
        <v>95.944713450604098</v>
      </c>
      <c r="AN993">
        <v>1.0000000105215501</v>
      </c>
    </row>
    <row r="994" spans="1:40" x14ac:dyDescent="0.3">
      <c r="A994" t="str">
        <f>"20200111145930752"</f>
        <v>20200111145930752</v>
      </c>
      <c r="B994" t="str">
        <f>"1578725970746728"</f>
        <v>1578725970746728</v>
      </c>
      <c r="C994" t="s">
        <v>40</v>
      </c>
      <c r="D994">
        <v>4.3152280000000003</v>
      </c>
      <c r="E994">
        <v>0.55325279999999999</v>
      </c>
      <c r="F994" t="s">
        <v>42</v>
      </c>
      <c r="G994">
        <v>-351.46789999999999</v>
      </c>
      <c r="H994" s="1">
        <v>-4.2763610000000002E-6</v>
      </c>
      <c r="I994">
        <v>366.04320000000001</v>
      </c>
      <c r="J994">
        <v>-382.82780000000002</v>
      </c>
      <c r="K994">
        <v>1.1044799999999999</v>
      </c>
      <c r="L994">
        <v>367.2543</v>
      </c>
      <c r="M994">
        <v>0.99993600000000005</v>
      </c>
      <c r="N994">
        <v>0</v>
      </c>
      <c r="O994">
        <v>-1.4814920000000001E-3</v>
      </c>
      <c r="P994">
        <v>0.99449310000000002</v>
      </c>
      <c r="Q994">
        <v>2.6605699999999999E-2</v>
      </c>
      <c r="R994">
        <v>0.1013699</v>
      </c>
      <c r="S994">
        <v>3.0315859999999999</v>
      </c>
      <c r="T994">
        <v>-0.1063921</v>
      </c>
      <c r="U994">
        <v>-0.1166687</v>
      </c>
      <c r="V994">
        <v>-0.1028418</v>
      </c>
      <c r="W994">
        <v>3.7769219999999999E-2</v>
      </c>
      <c r="X994">
        <v>0.99398039999999999</v>
      </c>
      <c r="Y994">
        <v>3.695358E-2</v>
      </c>
      <c r="Z994">
        <v>-5.9603559999999996E-4</v>
      </c>
      <c r="AA994">
        <v>0.99931680000000001</v>
      </c>
      <c r="AB994">
        <v>22</v>
      </c>
      <c r="AC994">
        <v>31.3599</v>
      </c>
      <c r="AD994">
        <v>-1.1044842763610001</v>
      </c>
      <c r="AE994">
        <v>-1.2110999999999801</v>
      </c>
      <c r="AF994">
        <v>1.1631956016057099</v>
      </c>
      <c r="AG994">
        <v>-1.1044842763610001</v>
      </c>
      <c r="AH994">
        <v>31.322864196397099</v>
      </c>
      <c r="AI994">
        <v>92.018095899967804</v>
      </c>
      <c r="AJ994">
        <v>87.873260015427903</v>
      </c>
      <c r="AK994">
        <v>31.363908094978498</v>
      </c>
      <c r="AL994">
        <v>87.835468252065596</v>
      </c>
      <c r="AM994">
        <v>95.907067397561804</v>
      </c>
      <c r="AN994">
        <v>0.99999999269540396</v>
      </c>
    </row>
    <row r="995" spans="1:40" x14ac:dyDescent="0.3">
      <c r="A995" t="str">
        <f>"20200111145930765"</f>
        <v>20200111145930765</v>
      </c>
      <c r="B995" t="str">
        <f>"1578725970756488"</f>
        <v>1578725970756488</v>
      </c>
      <c r="C995" t="s">
        <v>40</v>
      </c>
      <c r="D995">
        <v>4.4750719999999999</v>
      </c>
      <c r="E995">
        <v>0.55325279999999999</v>
      </c>
      <c r="F995" t="s">
        <v>42</v>
      </c>
      <c r="G995">
        <v>-351.92149999999998</v>
      </c>
      <c r="H995" s="1">
        <v>-4.0798999999999997E-6</v>
      </c>
      <c r="I995">
        <v>366.0539</v>
      </c>
      <c r="J995">
        <v>-382.71069999999997</v>
      </c>
      <c r="K995">
        <v>1.104481</v>
      </c>
      <c r="L995">
        <v>367.25409999999999</v>
      </c>
      <c r="M995">
        <v>0.99993589999999999</v>
      </c>
      <c r="N995">
        <v>0</v>
      </c>
      <c r="O995">
        <v>-1.4811689999999901E-3</v>
      </c>
      <c r="P995">
        <v>0.99456549999999999</v>
      </c>
      <c r="Q995">
        <v>2.6142019999999998E-2</v>
      </c>
      <c r="R995">
        <v>0.1007786</v>
      </c>
      <c r="S995">
        <v>3.0314939999999999</v>
      </c>
      <c r="T995">
        <v>-0.10833479999999999</v>
      </c>
      <c r="U995">
        <v>-0.1177368</v>
      </c>
      <c r="V995">
        <v>-0.1022501</v>
      </c>
      <c r="W995">
        <v>3.7312249999999998E-2</v>
      </c>
      <c r="X995">
        <v>0.99405869999999996</v>
      </c>
      <c r="Y995">
        <v>3.7305600000000001E-2</v>
      </c>
      <c r="Z995">
        <v>-6.1322320000000005E-4</v>
      </c>
      <c r="AA995">
        <v>0.99930370000000002</v>
      </c>
      <c r="AB995">
        <v>22</v>
      </c>
      <c r="AC995">
        <v>30.789199999999902</v>
      </c>
      <c r="AD995">
        <v>-1.1044850798999899</v>
      </c>
      <c r="AE995">
        <v>-1.2001999999999899</v>
      </c>
      <c r="AF995">
        <v>1.1531101900463701</v>
      </c>
      <c r="AG995">
        <v>-1.1044850798999899</v>
      </c>
      <c r="AH995">
        <v>30.751432050872999</v>
      </c>
      <c r="AI995">
        <v>92.055538654832802</v>
      </c>
      <c r="AJ995">
        <v>87.852542043112393</v>
      </c>
      <c r="AK995">
        <v>30.7928583210713</v>
      </c>
      <c r="AL995">
        <v>87.861669174575297</v>
      </c>
      <c r="AM995">
        <v>95.872859972706493</v>
      </c>
      <c r="AN995">
        <v>0.999999992997881</v>
      </c>
    </row>
    <row r="996" spans="1:40" x14ac:dyDescent="0.3">
      <c r="A996" t="str">
        <f>"20200111145930776"</f>
        <v>20200111145930776</v>
      </c>
      <c r="B996" t="str">
        <f>"1578725970766249"</f>
        <v>1578725970766249</v>
      </c>
      <c r="C996" t="s">
        <v>40</v>
      </c>
      <c r="D996">
        <v>4.4899440000000004</v>
      </c>
      <c r="E996">
        <v>0.55109129999999995</v>
      </c>
      <c r="F996" t="s">
        <v>42</v>
      </c>
      <c r="G996">
        <v>-352.20519999999999</v>
      </c>
      <c r="H996" s="1">
        <v>-3.9586310000000003E-6</v>
      </c>
      <c r="I996">
        <v>366.0514</v>
      </c>
      <c r="J996">
        <v>-382.59960000000001</v>
      </c>
      <c r="K996">
        <v>1.104481</v>
      </c>
      <c r="L996">
        <v>367.25400000000002</v>
      </c>
      <c r="M996">
        <v>0.99993580000000004</v>
      </c>
      <c r="N996">
        <v>0</v>
      </c>
      <c r="O996">
        <v>-1.481081E-3</v>
      </c>
      <c r="P996">
        <v>0.99465040000000005</v>
      </c>
      <c r="Q996">
        <v>2.5837289999999999E-2</v>
      </c>
      <c r="R996">
        <v>0.1000154</v>
      </c>
      <c r="S996">
        <v>3.0314030000000001</v>
      </c>
      <c r="T996">
        <v>-0.1097549</v>
      </c>
      <c r="U996">
        <v>-0.1195068</v>
      </c>
      <c r="V996">
        <v>-0.1014866</v>
      </c>
      <c r="W996">
        <v>3.7014440000000003E-2</v>
      </c>
      <c r="X996">
        <v>0.99414809999999998</v>
      </c>
      <c r="Y996">
        <v>3.788847E-2</v>
      </c>
      <c r="Z996">
        <v>-6.3181559999999997E-4</v>
      </c>
      <c r="AA996">
        <v>0.9992818</v>
      </c>
      <c r="AB996">
        <v>22</v>
      </c>
      <c r="AC996">
        <v>30.394400000000001</v>
      </c>
      <c r="AD996">
        <v>-1.1044849586309999</v>
      </c>
      <c r="AE996">
        <v>-1.2026000000000101</v>
      </c>
      <c r="AF996">
        <v>1.1560551078193499</v>
      </c>
      <c r="AG996">
        <v>-1.1044849586309999</v>
      </c>
      <c r="AH996">
        <v>30.356125858794901</v>
      </c>
      <c r="AI996">
        <v>92.082236876690004</v>
      </c>
      <c r="AJ996">
        <v>87.819053557325205</v>
      </c>
      <c r="AK996">
        <v>30.398202703303902</v>
      </c>
      <c r="AL996">
        <v>87.878744287226596</v>
      </c>
      <c r="AM996">
        <v>95.828789928902694</v>
      </c>
      <c r="AN996">
        <v>1.00000002174084</v>
      </c>
    </row>
    <row r="997" spans="1:40" x14ac:dyDescent="0.3">
      <c r="A997" t="str">
        <f>"20200111145930787"</f>
        <v>20200111145930787</v>
      </c>
      <c r="B997" t="str">
        <f>"1578725970776985"</f>
        <v>1578725970776985</v>
      </c>
      <c r="C997" t="s">
        <v>40</v>
      </c>
      <c r="D997">
        <v>4.4573720000000003</v>
      </c>
      <c r="E997">
        <v>0.54953750000000001</v>
      </c>
      <c r="F997" t="s">
        <v>42</v>
      </c>
      <c r="G997">
        <v>-354.6515</v>
      </c>
      <c r="H997" s="1">
        <v>-2.8671099999999999E-6</v>
      </c>
      <c r="I997">
        <v>366.28859999999997</v>
      </c>
      <c r="J997">
        <v>-382.49200000000002</v>
      </c>
      <c r="K997">
        <v>1.104481</v>
      </c>
      <c r="L997">
        <v>367.25380000000001</v>
      </c>
      <c r="M997">
        <v>0.99993569999999998</v>
      </c>
      <c r="N997">
        <v>0</v>
      </c>
      <c r="O997">
        <v>-1.480632E-3</v>
      </c>
      <c r="P997">
        <v>0.99471989999999999</v>
      </c>
      <c r="Q997">
        <v>2.552192E-2</v>
      </c>
      <c r="R997">
        <v>9.9403599999999995E-2</v>
      </c>
      <c r="S997">
        <v>3.0298159999999998</v>
      </c>
      <c r="T997">
        <v>-0.1197348</v>
      </c>
      <c r="U997">
        <v>-0.1046448</v>
      </c>
      <c r="V997">
        <v>-0.1008753</v>
      </c>
      <c r="W997">
        <v>3.67047E-2</v>
      </c>
      <c r="X997">
        <v>0.99422169999999999</v>
      </c>
      <c r="Y997">
        <v>3.3013279999999999E-2</v>
      </c>
      <c r="Z997">
        <v>-5.9339889999999995E-4</v>
      </c>
      <c r="AA997">
        <v>0.99945470000000003</v>
      </c>
      <c r="AB997">
        <v>22</v>
      </c>
      <c r="AC997">
        <v>27.840499999999899</v>
      </c>
      <c r="AD997">
        <v>-1.1044838671099999</v>
      </c>
      <c r="AE997">
        <v>-0.96520000000003803</v>
      </c>
      <c r="AF997">
        <v>0.92252462426941695</v>
      </c>
      <c r="AG997">
        <v>-1.1044838671099999</v>
      </c>
      <c r="AH997">
        <v>27.7982008626051</v>
      </c>
      <c r="AI997">
        <v>92.274040383790506</v>
      </c>
      <c r="AJ997">
        <v>88.099251960011102</v>
      </c>
      <c r="AK997">
        <v>27.835425405278599</v>
      </c>
      <c r="AL997">
        <v>87.896502945913696</v>
      </c>
      <c r="AM997">
        <v>95.793494056356494</v>
      </c>
      <c r="AN997">
        <v>0.999999924951532</v>
      </c>
    </row>
    <row r="998" spans="1:40" x14ac:dyDescent="0.3">
      <c r="A998" t="str">
        <f>"20200111145930798"</f>
        <v>20200111145930798</v>
      </c>
      <c r="B998" t="str">
        <f>"1578725970796506"</f>
        <v>1578725970796506</v>
      </c>
      <c r="C998" t="s">
        <v>40</v>
      </c>
      <c r="D998">
        <v>4.4277699999999998</v>
      </c>
      <c r="E998">
        <v>0.54648980000000003</v>
      </c>
      <c r="F998" t="s">
        <v>42</v>
      </c>
      <c r="G998">
        <v>-355.75259999999997</v>
      </c>
      <c r="H998" s="1">
        <v>-2.3712939999999999E-6</v>
      </c>
      <c r="I998">
        <v>366.42070000000001</v>
      </c>
      <c r="J998">
        <v>-382.37569999999999</v>
      </c>
      <c r="K998">
        <v>1.104479</v>
      </c>
      <c r="L998">
        <v>367.25369999999998</v>
      </c>
      <c r="M998">
        <v>0.99993569999999998</v>
      </c>
      <c r="N998">
        <v>0</v>
      </c>
      <c r="O998">
        <v>-1.480302E-3</v>
      </c>
      <c r="P998">
        <v>0.99475849999999999</v>
      </c>
      <c r="Q998">
        <v>2.541235E-2</v>
      </c>
      <c r="R998">
        <v>9.9045530000000007E-2</v>
      </c>
      <c r="S998">
        <v>3.0285639999999998</v>
      </c>
      <c r="T998">
        <v>-0.12509600000000001</v>
      </c>
      <c r="U998">
        <v>-9.4360349999999996E-2</v>
      </c>
      <c r="V998">
        <v>-0.1005168</v>
      </c>
      <c r="W998">
        <v>3.6600819999999999E-2</v>
      </c>
      <c r="X998">
        <v>0.99426190000000003</v>
      </c>
      <c r="Y998">
        <v>2.9637980000000001E-2</v>
      </c>
      <c r="Z998">
        <v>-5.5058780000000001E-4</v>
      </c>
      <c r="AA998">
        <v>0.99956049999999996</v>
      </c>
      <c r="AB998">
        <v>22</v>
      </c>
      <c r="AC998">
        <v>26.623100000000001</v>
      </c>
      <c r="AD998">
        <v>-1.104481371294</v>
      </c>
      <c r="AE998">
        <v>-0.83299999999996899</v>
      </c>
      <c r="AF998">
        <v>0.79222422497360301</v>
      </c>
      <c r="AG998">
        <v>-1.104481371294</v>
      </c>
      <c r="AH998">
        <v>26.578604988607498</v>
      </c>
      <c r="AI998">
        <v>92.3785179276516</v>
      </c>
      <c r="AJ998">
        <v>88.292699366321401</v>
      </c>
      <c r="AK998">
        <v>26.613337661078901</v>
      </c>
      <c r="AL998">
        <v>87.902458962979594</v>
      </c>
      <c r="AM998">
        <v>95.772812076660401</v>
      </c>
      <c r="AN998">
        <v>0.99999998644926102</v>
      </c>
    </row>
    <row r="999" spans="1:40" x14ac:dyDescent="0.3">
      <c r="A999" t="str">
        <f>"20200111145930811"</f>
        <v>20200111145930811</v>
      </c>
      <c r="B999" t="str">
        <f>"1578725970806264"</f>
        <v>1578725970806264</v>
      </c>
      <c r="C999" t="s">
        <v>40</v>
      </c>
      <c r="D999">
        <v>4.3441919999999996</v>
      </c>
      <c r="E999">
        <v>0.54509249999999998</v>
      </c>
      <c r="F999" t="s">
        <v>42</v>
      </c>
      <c r="G999">
        <v>-357.02359999999999</v>
      </c>
      <c r="H999" s="1">
        <v>-1.7859839999999999E-6</v>
      </c>
      <c r="I999">
        <v>366.65839999999997</v>
      </c>
      <c r="J999">
        <v>-382.25700000000001</v>
      </c>
      <c r="K999">
        <v>1.104471</v>
      </c>
      <c r="L999">
        <v>367.25349999999997</v>
      </c>
      <c r="M999">
        <v>0.99993569999999998</v>
      </c>
      <c r="N999">
        <v>0</v>
      </c>
      <c r="O999">
        <v>-1.478292E-3</v>
      </c>
      <c r="P999">
        <v>0.99479340000000005</v>
      </c>
      <c r="Q999">
        <v>2.5161800000000002E-2</v>
      </c>
      <c r="R999">
        <v>9.8756999999999998E-2</v>
      </c>
      <c r="S999">
        <v>3.0262449999999999</v>
      </c>
      <c r="T999">
        <v>-0.13183979999999901</v>
      </c>
      <c r="U999">
        <v>-7.1044919999999998E-2</v>
      </c>
      <c r="V999">
        <v>-0.1002261</v>
      </c>
      <c r="W999">
        <v>3.6354940000000002E-2</v>
      </c>
      <c r="X999">
        <v>0.99430030000000003</v>
      </c>
      <c r="Y999">
        <v>2.197236E-2</v>
      </c>
      <c r="Z999">
        <v>-4.1395849999999998E-4</v>
      </c>
      <c r="AA999">
        <v>0.99975849999999999</v>
      </c>
      <c r="AB999">
        <v>22</v>
      </c>
      <c r="AC999">
        <v>25.2333999999999</v>
      </c>
      <c r="AD999">
        <v>-1.104472785984</v>
      </c>
      <c r="AE999">
        <v>-0.59510000000000196</v>
      </c>
      <c r="AF999">
        <v>0.556728650102991</v>
      </c>
      <c r="AG999">
        <v>-1.104472785984</v>
      </c>
      <c r="AH999">
        <v>25.186026719677301</v>
      </c>
      <c r="AI999">
        <v>92.510347788532997</v>
      </c>
      <c r="AJ999">
        <v>88.733702281155601</v>
      </c>
      <c r="AK999">
        <v>25.2163785831575</v>
      </c>
      <c r="AL999">
        <v>87.916556301028805</v>
      </c>
      <c r="AM999">
        <v>95.756008253684399</v>
      </c>
      <c r="AN999">
        <v>1.0000000196818499</v>
      </c>
    </row>
    <row r="1000" spans="1:40" x14ac:dyDescent="0.3">
      <c r="A1000" t="str">
        <f>"20200111145930822"</f>
        <v>20200111145930822</v>
      </c>
      <c r="B1000" t="str">
        <f>"1578725970817000"</f>
        <v>1578725970817000</v>
      </c>
      <c r="C1000" t="s">
        <v>40</v>
      </c>
      <c r="D1000">
        <v>4.3330310000000001</v>
      </c>
      <c r="E1000">
        <v>0.54379769999999905</v>
      </c>
      <c r="F1000" t="s">
        <v>42</v>
      </c>
      <c r="G1000">
        <v>-358.37939999999998</v>
      </c>
      <c r="H1000" s="1">
        <v>-1.294259E-6</v>
      </c>
      <c r="I1000">
        <v>366.7724</v>
      </c>
      <c r="J1000">
        <v>-382.13940000000002</v>
      </c>
      <c r="K1000">
        <v>1.1044719999999999</v>
      </c>
      <c r="L1000">
        <v>367.25330000000002</v>
      </c>
      <c r="M1000">
        <v>0.99993560000000004</v>
      </c>
      <c r="N1000">
        <v>0</v>
      </c>
      <c r="O1000">
        <v>-1.4752039999999999E-3</v>
      </c>
      <c r="P1000">
        <v>0.99481379999999997</v>
      </c>
      <c r="Q1000">
        <v>2.4894099999999999E-2</v>
      </c>
      <c r="R1000">
        <v>9.8619070000000003E-2</v>
      </c>
      <c r="S1000">
        <v>3.025299</v>
      </c>
      <c r="T1000">
        <v>-0.13993610000000001</v>
      </c>
      <c r="U1000">
        <v>-6.0943600000000001E-2</v>
      </c>
      <c r="V1000">
        <v>-0.1000858</v>
      </c>
      <c r="W1000">
        <v>3.6091890000000001E-2</v>
      </c>
      <c r="X1000">
        <v>0.99432399999999999</v>
      </c>
      <c r="Y1000">
        <v>1.8647199999999999E-2</v>
      </c>
      <c r="Z1000">
        <v>-3.6279500000000001E-4</v>
      </c>
      <c r="AA1000">
        <v>0.99982610000000005</v>
      </c>
      <c r="AB1000">
        <v>22</v>
      </c>
      <c r="AC1000">
        <v>23.76</v>
      </c>
      <c r="AD1000">
        <v>-1.1044732942590001</v>
      </c>
      <c r="AE1000">
        <v>-0.48090000000001898</v>
      </c>
      <c r="AF1000">
        <v>0.444885488798267</v>
      </c>
      <c r="AG1000">
        <v>-1.1044732942590001</v>
      </c>
      <c r="AH1000">
        <v>23.709472810222799</v>
      </c>
      <c r="AI1000">
        <v>92.666648497720203</v>
      </c>
      <c r="AJ1000">
        <v>88.925025869659905</v>
      </c>
      <c r="AK1000">
        <v>23.739353093430498</v>
      </c>
      <c r="AL1000">
        <v>87.931637821787902</v>
      </c>
      <c r="AM1000">
        <v>95.7478686952158</v>
      </c>
      <c r="AN1000">
        <v>1.0000000044307</v>
      </c>
    </row>
    <row r="1001" spans="1:40" x14ac:dyDescent="0.3">
      <c r="A1001" t="str">
        <f>"20200111145930835"</f>
        <v>20200111145930835</v>
      </c>
      <c r="B1001" t="str">
        <f>"1578725970826774"</f>
        <v>1578725970826774</v>
      </c>
      <c r="C1001" t="s">
        <v>40</v>
      </c>
      <c r="D1001">
        <v>4.4062769999999896</v>
      </c>
      <c r="E1001">
        <v>0.54255120000000001</v>
      </c>
      <c r="F1001" t="s">
        <v>42</v>
      </c>
      <c r="G1001">
        <v>-359.55590000000001</v>
      </c>
      <c r="H1001" s="1">
        <v>-8.6769669999999901E-7</v>
      </c>
      <c r="I1001">
        <v>366.87090000000001</v>
      </c>
      <c r="J1001">
        <v>-382.01960000000003</v>
      </c>
      <c r="K1001">
        <v>1.104474</v>
      </c>
      <c r="L1001">
        <v>367.25310000000002</v>
      </c>
      <c r="M1001">
        <v>0.99993549999999998</v>
      </c>
      <c r="N1001">
        <v>0</v>
      </c>
      <c r="O1001">
        <v>-1.470315E-3</v>
      </c>
      <c r="P1001">
        <v>0.99481790000000003</v>
      </c>
      <c r="Q1001">
        <v>2.47806E-2</v>
      </c>
      <c r="R1001">
        <v>9.8607349999999996E-2</v>
      </c>
      <c r="S1001">
        <v>3.024384</v>
      </c>
      <c r="T1001">
        <v>-0.14791000000000001</v>
      </c>
      <c r="U1001">
        <v>-5.1208499999999997E-2</v>
      </c>
      <c r="V1001">
        <v>-0.10006909999999999</v>
      </c>
      <c r="W1001">
        <v>3.5982300000000002E-2</v>
      </c>
      <c r="X1001">
        <v>0.99432960000000004</v>
      </c>
      <c r="Y1001">
        <v>1.5442539999999999E-2</v>
      </c>
      <c r="Z1001">
        <v>-3.0549940000000001E-4</v>
      </c>
      <c r="AA1001">
        <v>0.99988069999999896</v>
      </c>
      <c r="AB1001">
        <v>22</v>
      </c>
      <c r="AC1001">
        <v>22.463699999999999</v>
      </c>
      <c r="AD1001">
        <v>-1.1044748676967</v>
      </c>
      <c r="AE1001">
        <v>-0.38220000000001098</v>
      </c>
      <c r="AF1001">
        <v>0.34832697391504502</v>
      </c>
      <c r="AG1001">
        <v>-1.1044748676967</v>
      </c>
      <c r="AH1001">
        <v>22.410079186041099</v>
      </c>
      <c r="AI1001">
        <v>92.821184224121197</v>
      </c>
      <c r="AJ1001">
        <v>89.109505221244902</v>
      </c>
      <c r="AK1001">
        <v>22.439983189360099</v>
      </c>
      <c r="AL1001">
        <v>87.937920839391097</v>
      </c>
      <c r="AM1001">
        <v>95.746883894573898</v>
      </c>
      <c r="AN1001">
        <v>0.99999995206212799</v>
      </c>
    </row>
    <row r="1002" spans="1:40" x14ac:dyDescent="0.3">
      <c r="A1002" t="str">
        <f>"20200111145930847"</f>
        <v>20200111145930847</v>
      </c>
      <c r="B1002" t="str">
        <f>"1578725970836520"</f>
        <v>1578725970836520</v>
      </c>
      <c r="C1002" t="s">
        <v>40</v>
      </c>
      <c r="D1002">
        <v>4.374161</v>
      </c>
      <c r="E1002">
        <v>0.54133310000000001</v>
      </c>
      <c r="F1002" t="s">
        <v>42</v>
      </c>
      <c r="G1002">
        <v>-360.00990000000002</v>
      </c>
      <c r="H1002" s="1">
        <v>-4.7405240000000004E-6</v>
      </c>
      <c r="I1002">
        <v>366.95269999999999</v>
      </c>
      <c r="J1002">
        <v>-381.90989999999999</v>
      </c>
      <c r="K1002">
        <v>1.104476</v>
      </c>
      <c r="L1002">
        <v>367.25299999999999</v>
      </c>
      <c r="M1002">
        <v>0.99993549999999998</v>
      </c>
      <c r="N1002">
        <v>0</v>
      </c>
      <c r="O1002">
        <v>-1.46446799999999E-3</v>
      </c>
      <c r="P1002">
        <v>0.99481980000000003</v>
      </c>
      <c r="Q1002">
        <v>2.460998E-2</v>
      </c>
      <c r="R1002">
        <v>9.8630129999999996E-2</v>
      </c>
      <c r="S1002">
        <v>3.0234679999999998</v>
      </c>
      <c r="T1002">
        <v>-0.15172089999999999</v>
      </c>
      <c r="U1002">
        <v>-4.1259770000000001E-2</v>
      </c>
      <c r="V1002">
        <v>-0.1000863</v>
      </c>
      <c r="W1002">
        <v>3.5815029999999998E-2</v>
      </c>
      <c r="X1002">
        <v>0.99433400000000005</v>
      </c>
      <c r="Y1002">
        <v>1.2167330000000001E-2</v>
      </c>
      <c r="Z1002">
        <v>-2.3163529999999999E-4</v>
      </c>
      <c r="AA1002">
        <v>0.99992599999999998</v>
      </c>
      <c r="AB1002">
        <v>22</v>
      </c>
      <c r="AC1002">
        <v>21.899999999999899</v>
      </c>
      <c r="AD1002">
        <v>-1.104480740524</v>
      </c>
      <c r="AE1002">
        <v>-0.30030000000004903</v>
      </c>
      <c r="AF1002">
        <v>0.26754542626628403</v>
      </c>
      <c r="AG1002">
        <v>-1.104480740524</v>
      </c>
      <c r="AH1002">
        <v>21.844864822552399</v>
      </c>
      <c r="AI1002">
        <v>92.894204706646207</v>
      </c>
      <c r="AJ1002">
        <v>89.298303858759198</v>
      </c>
      <c r="AK1002">
        <v>21.874404617655198</v>
      </c>
      <c r="AL1002">
        <v>87.947511074451398</v>
      </c>
      <c r="AM1002">
        <v>95.747839798207906</v>
      </c>
      <c r="AN1002">
        <v>1.0000000436887899</v>
      </c>
    </row>
    <row r="1003" spans="1:40" x14ac:dyDescent="0.3">
      <c r="A1003" t="str">
        <f>"20200111145930859"</f>
        <v>20200111145930859</v>
      </c>
      <c r="B1003" t="str">
        <f>"1578725970857016"</f>
        <v>1578725970857016</v>
      </c>
      <c r="C1003" t="s">
        <v>40</v>
      </c>
      <c r="D1003">
        <v>4.3911340000000001</v>
      </c>
      <c r="E1003">
        <v>0.53915380000000002</v>
      </c>
      <c r="F1003" t="s">
        <v>42</v>
      </c>
      <c r="G1003">
        <v>-360.9708</v>
      </c>
      <c r="H1003" s="1">
        <v>-4.3138640000000002E-6</v>
      </c>
      <c r="I1003">
        <v>367.03410000000002</v>
      </c>
      <c r="J1003">
        <v>-381.78359999999998</v>
      </c>
      <c r="K1003">
        <v>1.1044780000000001</v>
      </c>
      <c r="L1003">
        <v>367.25279999999998</v>
      </c>
      <c r="M1003">
        <v>0.99993560000000004</v>
      </c>
      <c r="N1003">
        <v>0</v>
      </c>
      <c r="O1003">
        <v>-1.456946E-3</v>
      </c>
      <c r="P1003">
        <v>0.9947781</v>
      </c>
      <c r="Q1003">
        <v>2.4468799999999999E-2</v>
      </c>
      <c r="R1003">
        <v>9.9086629999999995E-2</v>
      </c>
      <c r="S1003">
        <v>3.0227050000000002</v>
      </c>
      <c r="T1003">
        <v>-0.15943860000000001</v>
      </c>
      <c r="U1003">
        <v>-3.158569E-2</v>
      </c>
      <c r="V1003">
        <v>-0.10053529999999999</v>
      </c>
      <c r="W1003">
        <v>3.5677309999999997E-2</v>
      </c>
      <c r="X1003">
        <v>0.9942936</v>
      </c>
      <c r="Y1003">
        <v>8.9814819999999903E-3</v>
      </c>
      <c r="Z1003">
        <v>-1.599033E-4</v>
      </c>
      <c r="AA1003">
        <v>0.99995959999999995</v>
      </c>
      <c r="AB1003">
        <v>22</v>
      </c>
      <c r="AC1003">
        <v>20.8127999999999</v>
      </c>
      <c r="AD1003">
        <v>-1.1044823138640001</v>
      </c>
      <c r="AE1003">
        <v>-0.21869999999995501</v>
      </c>
      <c r="AF1003">
        <v>0.18784577703430799</v>
      </c>
      <c r="AG1003">
        <v>-1.1044823138640001</v>
      </c>
      <c r="AH1003">
        <v>20.7546546962704</v>
      </c>
      <c r="AI1003">
        <v>93.046061495984901</v>
      </c>
      <c r="AJ1003">
        <v>89.481442764901004</v>
      </c>
      <c r="AK1003">
        <v>20.7848709108093</v>
      </c>
      <c r="AL1003">
        <v>87.955406785252094</v>
      </c>
      <c r="AM1003">
        <v>95.773684539755706</v>
      </c>
      <c r="AN1003">
        <v>0.99999998999794304</v>
      </c>
    </row>
    <row r="1004" spans="1:40" x14ac:dyDescent="0.3">
      <c r="A1004" t="str">
        <f>"20200111145930876"</f>
        <v>20200111145930876</v>
      </c>
      <c r="B1004" t="str">
        <f>"1578725970866776"</f>
        <v>1578725970866776</v>
      </c>
      <c r="C1004" t="s">
        <v>40</v>
      </c>
      <c r="D1004">
        <v>4.3160210000000001</v>
      </c>
      <c r="E1004">
        <v>0.53818350000000004</v>
      </c>
      <c r="F1004" t="s">
        <v>42</v>
      </c>
      <c r="G1004">
        <v>-361.52710000000002</v>
      </c>
      <c r="H1004" s="1">
        <v>-4.0520289999999997E-6</v>
      </c>
      <c r="I1004">
        <v>367.16469999999998</v>
      </c>
      <c r="J1004">
        <v>-381.62470000000002</v>
      </c>
      <c r="K1004">
        <v>1.1044799999999999</v>
      </c>
      <c r="L1004">
        <v>367.25259999999997</v>
      </c>
      <c r="M1004">
        <v>0.99993540000000003</v>
      </c>
      <c r="N1004">
        <v>0</v>
      </c>
      <c r="O1004">
        <v>-1.444891E-3</v>
      </c>
      <c r="P1004">
        <v>0.99468970000000001</v>
      </c>
      <c r="Q1004">
        <v>2.4453610000000001E-2</v>
      </c>
      <c r="R1004">
        <v>9.9973419999999993E-2</v>
      </c>
      <c r="S1004">
        <v>3.021118</v>
      </c>
      <c r="T1004">
        <v>-0.16472479999999901</v>
      </c>
      <c r="U1004">
        <v>-1.312256E-2</v>
      </c>
      <c r="V1004">
        <v>-0.1014101</v>
      </c>
      <c r="W1004">
        <v>3.5664929999999997E-2</v>
      </c>
      <c r="X1004">
        <v>0.99420520000000001</v>
      </c>
      <c r="Y1004">
        <v>2.8964400000000001E-3</v>
      </c>
      <c r="Z1004" s="1">
        <v>-1.764347E-7</v>
      </c>
      <c r="AA1004">
        <v>0.99999579999999999</v>
      </c>
      <c r="AB1004">
        <v>22</v>
      </c>
      <c r="AC1004">
        <v>20.0976</v>
      </c>
      <c r="AD1004">
        <v>-1.10448405202899</v>
      </c>
      <c r="AE1004">
        <v>-8.78999999999905E-2</v>
      </c>
      <c r="AF1004">
        <v>5.8681995310036102E-2</v>
      </c>
      <c r="AG1004">
        <v>-1.10448405202899</v>
      </c>
      <c r="AH1004">
        <v>20.037191588603701</v>
      </c>
      <c r="AI1004">
        <v>93.155034384128598</v>
      </c>
      <c r="AJ1004">
        <v>89.8322009829959</v>
      </c>
      <c r="AK1004">
        <v>20.067694819190699</v>
      </c>
      <c r="AL1004">
        <v>87.956116553941797</v>
      </c>
      <c r="AM1004">
        <v>95.824094225824396</v>
      </c>
      <c r="AN1004">
        <v>0.99999998766047704</v>
      </c>
    </row>
    <row r="1005" spans="1:40" x14ac:dyDescent="0.3">
      <c r="A1005" t="str">
        <f>"20200111145930890"</f>
        <v>20200111145930890</v>
      </c>
      <c r="B1005" t="str">
        <f>"1578725970886297"</f>
        <v>1578725970886297</v>
      </c>
      <c r="C1005" t="s">
        <v>40</v>
      </c>
      <c r="D1005">
        <v>4.2791269999999999</v>
      </c>
      <c r="E1005">
        <v>0.53639669999999995</v>
      </c>
      <c r="F1005" t="s">
        <v>42</v>
      </c>
      <c r="G1005">
        <v>-361.67059999999998</v>
      </c>
      <c r="H1005" s="1">
        <v>-3.9778180000000003E-6</v>
      </c>
      <c r="I1005">
        <v>367.2362</v>
      </c>
      <c r="J1005">
        <v>-381.49250000000001</v>
      </c>
      <c r="K1005">
        <v>1.104481</v>
      </c>
      <c r="L1005">
        <v>367.25240000000002</v>
      </c>
      <c r="M1005">
        <v>0.99993549999999998</v>
      </c>
      <c r="N1005">
        <v>0</v>
      </c>
      <c r="O1005">
        <v>-1.4336780000000001E-3</v>
      </c>
      <c r="P1005">
        <v>0.99461350000000004</v>
      </c>
      <c r="Q1005">
        <v>2.4461190000000001E-2</v>
      </c>
      <c r="R1005">
        <v>0.100725</v>
      </c>
      <c r="S1005">
        <v>3.0203859999999998</v>
      </c>
      <c r="T1005">
        <v>-0.16718069999999999</v>
      </c>
      <c r="U1005">
        <v>-2.4719239999999999E-3</v>
      </c>
      <c r="V1005">
        <v>-0.10215100000000001</v>
      </c>
      <c r="W1005">
        <v>3.5674940000000002E-2</v>
      </c>
      <c r="X1005">
        <v>0.99412900000000004</v>
      </c>
      <c r="Y1005">
        <v>-6.1222459999999996E-4</v>
      </c>
      <c r="Z1005" s="1">
        <v>9.6230059999999996E-5</v>
      </c>
      <c r="AA1005">
        <v>0.99999979999999999</v>
      </c>
      <c r="AB1005">
        <v>22</v>
      </c>
      <c r="AC1005">
        <v>19.821899999999999</v>
      </c>
      <c r="AD1005">
        <v>-1.1044849778179999</v>
      </c>
      <c r="AE1005">
        <v>-1.62000000000261E-2</v>
      </c>
      <c r="AF1005">
        <v>-1.2182219548919499E-2</v>
      </c>
      <c r="AG1005">
        <v>-1.1044849778179999</v>
      </c>
      <c r="AH1005">
        <v>19.760550980306299</v>
      </c>
      <c r="AI1005">
        <v>93.199128379505396</v>
      </c>
      <c r="AJ1005">
        <v>90.035322379296204</v>
      </c>
      <c r="AK1005">
        <v>19.791397386692601</v>
      </c>
      <c r="AL1005">
        <v>87.955542679920498</v>
      </c>
      <c r="AM1005">
        <v>95.866795762888302</v>
      </c>
      <c r="AN1005">
        <v>0.99999999839300102</v>
      </c>
    </row>
    <row r="1006" spans="1:40" x14ac:dyDescent="0.3">
      <c r="A1006" t="str">
        <f>"20200111145930901"</f>
        <v>20200111145930901</v>
      </c>
      <c r="B1006" t="str">
        <f>"1578725970897032"</f>
        <v>1578725970897032</v>
      </c>
      <c r="C1006" t="s">
        <v>40</v>
      </c>
      <c r="D1006">
        <v>4.2653589999999904</v>
      </c>
      <c r="E1006">
        <v>0.53554279999999999</v>
      </c>
      <c r="F1006" t="s">
        <v>42</v>
      </c>
      <c r="G1006">
        <v>-361.6234</v>
      </c>
      <c r="H1006" s="1">
        <v>-3.9786149999999997E-6</v>
      </c>
      <c r="I1006">
        <v>367.34570000000002</v>
      </c>
      <c r="J1006">
        <v>-381.37479999999999</v>
      </c>
      <c r="K1006">
        <v>1.1044830000000001</v>
      </c>
      <c r="L1006">
        <v>367.25220000000002</v>
      </c>
      <c r="M1006">
        <v>0.99993529999999997</v>
      </c>
      <c r="N1006">
        <v>0</v>
      </c>
      <c r="O1006">
        <v>-1.422946E-3</v>
      </c>
      <c r="P1006">
        <v>0.99453619999999998</v>
      </c>
      <c r="Q1006">
        <v>2.4607190000000001E-2</v>
      </c>
      <c r="R1006">
        <v>0.1014521</v>
      </c>
      <c r="S1006">
        <v>3.0189819999999998</v>
      </c>
      <c r="T1006">
        <v>-0.16781849999999901</v>
      </c>
      <c r="U1006">
        <v>1.4190670000000001E-2</v>
      </c>
      <c r="V1006">
        <v>-0.1028671</v>
      </c>
      <c r="W1006">
        <v>3.5823130000000002E-2</v>
      </c>
      <c r="X1006">
        <v>0.99404979999999998</v>
      </c>
      <c r="Y1006">
        <v>-6.1118149999999996E-3</v>
      </c>
      <c r="Z1006">
        <v>2.487813E-4</v>
      </c>
      <c r="AA1006">
        <v>0.99998129999999996</v>
      </c>
      <c r="AB1006">
        <v>22</v>
      </c>
      <c r="AC1006">
        <v>19.751399999999901</v>
      </c>
      <c r="AD1006">
        <v>-1.104486978615</v>
      </c>
      <c r="AE1006">
        <v>9.3500000000005898E-2</v>
      </c>
      <c r="AF1006">
        <v>-0.12122780231276201</v>
      </c>
      <c r="AG1006">
        <v>-1.104486978615</v>
      </c>
      <c r="AH1006">
        <v>19.689679048033302</v>
      </c>
      <c r="AI1006">
        <v>93.210565109908401</v>
      </c>
      <c r="AJ1006">
        <v>90.352761142033401</v>
      </c>
      <c r="AK1006">
        <v>19.7210052654662</v>
      </c>
      <c r="AL1006">
        <v>87.947046531140998</v>
      </c>
      <c r="AM1006">
        <v>95.908100722333799</v>
      </c>
      <c r="AN1006">
        <v>0.99999997089272297</v>
      </c>
    </row>
    <row r="1007" spans="1:40" x14ac:dyDescent="0.3">
      <c r="A1007" t="str">
        <f>"20200111145930913"</f>
        <v>20200111145930913</v>
      </c>
      <c r="B1007" t="str">
        <f>"1578725970906792"</f>
        <v>1578725970906792</v>
      </c>
      <c r="C1007" t="s">
        <v>40</v>
      </c>
      <c r="D1007">
        <v>4.3014830000000002</v>
      </c>
      <c r="E1007">
        <v>0.53471420000000003</v>
      </c>
      <c r="F1007" t="s">
        <v>42</v>
      </c>
      <c r="G1007">
        <v>-361.52789999999999</v>
      </c>
      <c r="H1007" s="1">
        <v>-4.0090449999999998E-6</v>
      </c>
      <c r="I1007">
        <v>367.4051</v>
      </c>
      <c r="J1007">
        <v>-381.25639999999999</v>
      </c>
      <c r="K1007">
        <v>1.104481</v>
      </c>
      <c r="L1007">
        <v>367.25209999999998</v>
      </c>
      <c r="M1007">
        <v>0.99993540000000003</v>
      </c>
      <c r="N1007">
        <v>0</v>
      </c>
      <c r="O1007">
        <v>-1.4112689999999999E-3</v>
      </c>
      <c r="P1007">
        <v>0.99444410000000005</v>
      </c>
      <c r="Q1007">
        <v>2.4699459999999999E-2</v>
      </c>
      <c r="R1007">
        <v>0.1023299</v>
      </c>
      <c r="S1007">
        <v>3.0182799999999999</v>
      </c>
      <c r="T1007">
        <v>-0.1679677</v>
      </c>
      <c r="U1007">
        <v>2.325439E-2</v>
      </c>
      <c r="V1007">
        <v>-0.1037337</v>
      </c>
      <c r="W1007">
        <v>3.5916539999999997E-2</v>
      </c>
      <c r="X1007">
        <v>0.99395639999999996</v>
      </c>
      <c r="Y1007">
        <v>-9.0993370000000007E-3</v>
      </c>
      <c r="Z1007">
        <v>3.3147059999999998E-4</v>
      </c>
      <c r="AA1007">
        <v>0.99995860000000003</v>
      </c>
      <c r="AB1007">
        <v>22</v>
      </c>
      <c r="AC1007">
        <v>19.7285</v>
      </c>
      <c r="AD1007">
        <v>-1.104485009045</v>
      </c>
      <c r="AE1007">
        <v>0.15300000000001901</v>
      </c>
      <c r="AF1007">
        <v>-0.180278836865121</v>
      </c>
      <c r="AG1007">
        <v>-1.104485009045</v>
      </c>
      <c r="AH1007">
        <v>19.666628290776099</v>
      </c>
      <c r="AI1007">
        <v>93.214240562625307</v>
      </c>
      <c r="AJ1007">
        <v>90.525200712167702</v>
      </c>
      <c r="AK1007">
        <v>19.6984429821695</v>
      </c>
      <c r="AL1007">
        <v>87.941691149333394</v>
      </c>
      <c r="AM1007">
        <v>95.958072591937807</v>
      </c>
      <c r="AN1007">
        <v>1.0000000017311099</v>
      </c>
    </row>
    <row r="1008" spans="1:40" x14ac:dyDescent="0.3">
      <c r="A1008" t="str">
        <f>"20200111145930925"</f>
        <v>20200111145930925</v>
      </c>
      <c r="B1008" t="str">
        <f>"1578725970916552"</f>
        <v>1578725970916552</v>
      </c>
      <c r="C1008" t="s">
        <v>40</v>
      </c>
      <c r="D1008">
        <v>4.280786</v>
      </c>
      <c r="E1008">
        <v>0.53392850000000003</v>
      </c>
      <c r="F1008" t="s">
        <v>42</v>
      </c>
      <c r="G1008">
        <v>-361.41660000000002</v>
      </c>
      <c r="H1008" s="1">
        <v>-4.0463300000000001E-6</v>
      </c>
      <c r="I1008">
        <v>367.46409999999997</v>
      </c>
      <c r="J1008">
        <v>-381.14330000000001</v>
      </c>
      <c r="K1008">
        <v>1.104481</v>
      </c>
      <c r="L1008">
        <v>367.25200000000001</v>
      </c>
      <c r="M1008">
        <v>0.99993540000000003</v>
      </c>
      <c r="N1008">
        <v>0</v>
      </c>
      <c r="O1008">
        <v>-1.399476E-3</v>
      </c>
      <c r="P1008">
        <v>0.99436880000000005</v>
      </c>
      <c r="Q1008">
        <v>2.4500439999999998E-2</v>
      </c>
      <c r="R1008">
        <v>0.10310560000000001</v>
      </c>
      <c r="S1008">
        <v>3.0176090000000002</v>
      </c>
      <c r="T1008">
        <v>-0.1679901</v>
      </c>
      <c r="U1008">
        <v>3.225708E-2</v>
      </c>
      <c r="V1008">
        <v>-0.10449749999999999</v>
      </c>
      <c r="W1008">
        <v>3.5719729999999998E-2</v>
      </c>
      <c r="X1008">
        <v>0.99388350000000003</v>
      </c>
      <c r="Y1008">
        <v>-1.2067629999999999E-2</v>
      </c>
      <c r="Z1008">
        <v>4.1348410000000002E-4</v>
      </c>
      <c r="AA1008">
        <v>0.99992709999999996</v>
      </c>
      <c r="AB1008">
        <v>22</v>
      </c>
      <c r="AC1008">
        <v>19.726699999999902</v>
      </c>
      <c r="AD1008">
        <v>-1.10448504632999</v>
      </c>
      <c r="AE1008">
        <v>0.21210000000001999</v>
      </c>
      <c r="AF1008">
        <v>-0.23895958638679199</v>
      </c>
      <c r="AG1008">
        <v>-1.10448504632999</v>
      </c>
      <c r="AH1008">
        <v>19.664745775993101</v>
      </c>
      <c r="AI1008">
        <v>93.214445676823203</v>
      </c>
      <c r="AJ1008">
        <v>90.696205386316194</v>
      </c>
      <c r="AK1008">
        <v>19.697188005802499</v>
      </c>
      <c r="AL1008">
        <v>87.952974807679098</v>
      </c>
      <c r="AM1008">
        <v>96.002060343989498</v>
      </c>
      <c r="AN1008">
        <v>1.0000000190948799</v>
      </c>
    </row>
    <row r="1009" spans="1:40" x14ac:dyDescent="0.3">
      <c r="A1009" t="str">
        <f>"20200111145930937"</f>
        <v>20200111145930937</v>
      </c>
      <c r="B1009" t="str">
        <f>"1578725970926313"</f>
        <v>1578725970926313</v>
      </c>
      <c r="C1009" t="s">
        <v>40</v>
      </c>
      <c r="D1009">
        <v>4.2143160000000002</v>
      </c>
      <c r="E1009">
        <v>0.53314759999999894</v>
      </c>
      <c r="F1009" t="s">
        <v>42</v>
      </c>
      <c r="G1009">
        <v>-361.4042</v>
      </c>
      <c r="H1009" s="1">
        <v>-4.0420499999999997E-6</v>
      </c>
      <c r="I1009">
        <v>367.51819999999998</v>
      </c>
      <c r="J1009">
        <v>-381.0256</v>
      </c>
      <c r="K1009">
        <v>1.104481</v>
      </c>
      <c r="L1009">
        <v>367.2518</v>
      </c>
      <c r="M1009">
        <v>0.99993540000000003</v>
      </c>
      <c r="N1009">
        <v>0</v>
      </c>
      <c r="O1009">
        <v>-1.386616E-3</v>
      </c>
      <c r="P1009">
        <v>0.99433930000000004</v>
      </c>
      <c r="Q1009">
        <v>2.4363929999999999E-2</v>
      </c>
      <c r="R1009">
        <v>0.1034202</v>
      </c>
      <c r="S1009">
        <v>3.0169069999999998</v>
      </c>
      <c r="T1009">
        <v>-0.16880780000000001</v>
      </c>
      <c r="U1009">
        <v>4.0710450000000002E-2</v>
      </c>
      <c r="V1009">
        <v>-0.1047989</v>
      </c>
      <c r="W1009">
        <v>3.5585819999999997E-2</v>
      </c>
      <c r="X1009">
        <v>0.99385650000000003</v>
      </c>
      <c r="Y1009">
        <v>-1.4854040000000001E-2</v>
      </c>
      <c r="Z1009">
        <v>4.9275489999999996E-4</v>
      </c>
      <c r="AA1009">
        <v>0.99988960000000005</v>
      </c>
      <c r="AB1009">
        <v>22</v>
      </c>
      <c r="AC1009">
        <v>19.621399999999898</v>
      </c>
      <c r="AD1009">
        <v>-1.1044850420500001</v>
      </c>
      <c r="AE1009">
        <v>0.26639999999997599</v>
      </c>
      <c r="AF1009">
        <v>-0.292681619023267</v>
      </c>
      <c r="AG1009">
        <v>-1.1044850420500001</v>
      </c>
      <c r="AH1009">
        <v>19.559049436420299</v>
      </c>
      <c r="AI1009">
        <v>93.231656743115494</v>
      </c>
      <c r="AJ1009">
        <v>90.857310067998995</v>
      </c>
      <c r="AK1009">
        <v>19.592395580800201</v>
      </c>
      <c r="AL1009">
        <v>87.960652028050902</v>
      </c>
      <c r="AM1009">
        <v>96.019407373607805</v>
      </c>
      <c r="AN1009">
        <v>0.999999951309265</v>
      </c>
    </row>
    <row r="1010" spans="1:40" x14ac:dyDescent="0.3">
      <c r="A1010" t="str">
        <f>"20200111145930955"</f>
        <v>20200111145930955</v>
      </c>
      <c r="B1010" t="str">
        <f>"1578725970946807"</f>
        <v>1578725970946807</v>
      </c>
      <c r="C1010" t="s">
        <v>40</v>
      </c>
      <c r="D1010">
        <v>4.1715980000000004</v>
      </c>
      <c r="E1010">
        <v>0.53175539999999999</v>
      </c>
      <c r="F1010" t="s">
        <v>42</v>
      </c>
      <c r="G1010">
        <v>-361.32080000000002</v>
      </c>
      <c r="H1010" s="1">
        <v>-4.0696220000000001E-6</v>
      </c>
      <c r="I1010">
        <v>367.56450000000001</v>
      </c>
      <c r="J1010">
        <v>-380.85669999999999</v>
      </c>
      <c r="K1010">
        <v>1.1044860000000001</v>
      </c>
      <c r="L1010">
        <v>367.2516</v>
      </c>
      <c r="M1010">
        <v>0.99993540000000003</v>
      </c>
      <c r="N1010">
        <v>0</v>
      </c>
      <c r="O1010">
        <v>-1.3673310000000001E-3</v>
      </c>
      <c r="P1010">
        <v>0.99436659999999999</v>
      </c>
      <c r="Q1010">
        <v>2.4364830000000001E-2</v>
      </c>
      <c r="R1010">
        <v>0.1031585</v>
      </c>
      <c r="S1010">
        <v>3.016235</v>
      </c>
      <c r="T1010">
        <v>-0.16906360000000001</v>
      </c>
      <c r="U1010">
        <v>4.788208E-2</v>
      </c>
      <c r="V1010">
        <v>-0.1045184</v>
      </c>
      <c r="W1010">
        <v>3.5591070000000002E-2</v>
      </c>
      <c r="X1010">
        <v>0.99388589999999999</v>
      </c>
      <c r="Y1010">
        <v>-1.721087E-2</v>
      </c>
      <c r="Z1010">
        <v>5.5851689999999999E-4</v>
      </c>
      <c r="AA1010">
        <v>0.99985170000000001</v>
      </c>
      <c r="AB1010">
        <v>22</v>
      </c>
      <c r="AC1010">
        <v>19.535899999999899</v>
      </c>
      <c r="AD1010">
        <v>-1.1044900696219999</v>
      </c>
      <c r="AE1010">
        <v>0.312900000000013</v>
      </c>
      <c r="AF1010">
        <v>-0.33853165562290599</v>
      </c>
      <c r="AG1010">
        <v>-1.1044900696219999</v>
      </c>
      <c r="AH1010">
        <v>19.473226235333801</v>
      </c>
      <c r="AI1010">
        <v>93.245757023463298</v>
      </c>
      <c r="AJ1010">
        <v>90.995956254181095</v>
      </c>
      <c r="AK1010">
        <v>19.507461188177299</v>
      </c>
      <c r="AL1010">
        <v>87.960351136347796</v>
      </c>
      <c r="AM1010">
        <v>96.003237628618194</v>
      </c>
      <c r="AN1010">
        <v>1.0000000012105501</v>
      </c>
    </row>
    <row r="1011" spans="1:40" x14ac:dyDescent="0.3">
      <c r="A1011" t="str">
        <f>"20200111145930967"</f>
        <v>20200111145930967</v>
      </c>
      <c r="B1011" t="str">
        <f>"1578725970956568"</f>
        <v>1578725970956568</v>
      </c>
      <c r="C1011" t="s">
        <v>40</v>
      </c>
      <c r="D1011">
        <v>4.1612929999999997</v>
      </c>
      <c r="E1011">
        <v>0.53108269999999902</v>
      </c>
      <c r="F1011" t="s">
        <v>42</v>
      </c>
      <c r="G1011">
        <v>-361.47640000000001</v>
      </c>
      <c r="H1011" s="1">
        <v>-3.9912970000000004E-6</v>
      </c>
      <c r="I1011">
        <v>367.62970000000001</v>
      </c>
      <c r="J1011">
        <v>-380.73779999999999</v>
      </c>
      <c r="K1011">
        <v>1.104487</v>
      </c>
      <c r="L1011">
        <v>367.25139999999999</v>
      </c>
      <c r="M1011">
        <v>0.99993540000000003</v>
      </c>
      <c r="N1011">
        <v>0</v>
      </c>
      <c r="O1011">
        <v>-1.353641E-3</v>
      </c>
      <c r="P1011">
        <v>0.99442370000000002</v>
      </c>
      <c r="Q1011">
        <v>2.4694049999999999E-2</v>
      </c>
      <c r="R1011">
        <v>0.10252749999999999</v>
      </c>
      <c r="S1011">
        <v>3.0151059999999998</v>
      </c>
      <c r="T1011">
        <v>-0.17183109999999999</v>
      </c>
      <c r="U1011">
        <v>5.8837889999999997E-2</v>
      </c>
      <c r="V1011">
        <v>-0.10387349999999999</v>
      </c>
      <c r="W1011">
        <v>3.5923209999999997E-2</v>
      </c>
      <c r="X1011">
        <v>0.99394150000000003</v>
      </c>
      <c r="Y1011">
        <v>-2.082813E-2</v>
      </c>
      <c r="Z1011">
        <v>6.7003989999999997E-4</v>
      </c>
      <c r="AA1011">
        <v>0.99978290000000003</v>
      </c>
      <c r="AB1011">
        <v>22</v>
      </c>
      <c r="AC1011">
        <v>19.261399999999899</v>
      </c>
      <c r="AD1011">
        <v>-1.104490991297</v>
      </c>
      <c r="AE1011">
        <v>0.37830000000002401</v>
      </c>
      <c r="AF1011">
        <v>-0.40304956729354902</v>
      </c>
      <c r="AG1011">
        <v>-1.104490991297</v>
      </c>
      <c r="AH1011">
        <v>19.1977698605745</v>
      </c>
      <c r="AI1011">
        <v>93.292001831263207</v>
      </c>
      <c r="AJ1011">
        <v>91.202725487018398</v>
      </c>
      <c r="AK1011">
        <v>19.2337390260743</v>
      </c>
      <c r="AL1011">
        <v>87.941308619198594</v>
      </c>
      <c r="AM1011">
        <v>95.966133091606494</v>
      </c>
      <c r="AN1011">
        <v>0.99999994322060004</v>
      </c>
    </row>
    <row r="1012" spans="1:40" x14ac:dyDescent="0.3">
      <c r="A1012" t="str">
        <f>"20200111145930979"</f>
        <v>20200111145930979</v>
      </c>
      <c r="B1012" t="str">
        <f>"1578725970977068"</f>
        <v>1578725970977068</v>
      </c>
      <c r="C1012" t="s">
        <v>40</v>
      </c>
      <c r="D1012">
        <v>4.1293739999999897</v>
      </c>
      <c r="E1012">
        <v>0.5297982</v>
      </c>
      <c r="F1012" t="s">
        <v>42</v>
      </c>
      <c r="G1012">
        <v>-361.39080000000001</v>
      </c>
      <c r="H1012" s="1">
        <v>-4.0242060000000001E-6</v>
      </c>
      <c r="I1012">
        <v>367.65129999999999</v>
      </c>
      <c r="J1012">
        <v>-380.61250000000001</v>
      </c>
      <c r="K1012">
        <v>1.104487</v>
      </c>
      <c r="L1012">
        <v>367.25130000000001</v>
      </c>
      <c r="M1012">
        <v>0.99993529999999997</v>
      </c>
      <c r="N1012">
        <v>0</v>
      </c>
      <c r="O1012">
        <v>-1.3397109999999999E-3</v>
      </c>
      <c r="P1012">
        <v>0.99445539999999999</v>
      </c>
      <c r="Q1012">
        <v>2.4973539999999999E-2</v>
      </c>
      <c r="R1012">
        <v>0.1021524</v>
      </c>
      <c r="S1012">
        <v>3.0146480000000002</v>
      </c>
      <c r="T1012">
        <v>-0.17210059999999999</v>
      </c>
      <c r="U1012">
        <v>6.231689E-2</v>
      </c>
      <c r="V1012">
        <v>-0.1034847</v>
      </c>
      <c r="W1012">
        <v>3.6205309999999997E-2</v>
      </c>
      <c r="X1012">
        <v>0.99397190000000002</v>
      </c>
      <c r="Y1012">
        <v>-2.196851E-2</v>
      </c>
      <c r="Z1012">
        <v>7.0290979999999999E-4</v>
      </c>
      <c r="AA1012">
        <v>0.99975840000000005</v>
      </c>
      <c r="AB1012">
        <v>22</v>
      </c>
      <c r="AC1012">
        <v>19.221699999999998</v>
      </c>
      <c r="AD1012">
        <v>-1.104491024206</v>
      </c>
      <c r="AE1012">
        <v>0.39999999999997699</v>
      </c>
      <c r="AF1012">
        <v>-0.42435231919440303</v>
      </c>
      <c r="AG1012">
        <v>-1.104491024206</v>
      </c>
      <c r="AH1012">
        <v>19.157920041537398</v>
      </c>
      <c r="AI1012">
        <v>93.2987523991725</v>
      </c>
      <c r="AJ1012">
        <v>91.268907150968801</v>
      </c>
      <c r="AK1012">
        <v>19.194423034602899</v>
      </c>
      <c r="AL1012">
        <v>87.925135122605596</v>
      </c>
      <c r="AM1012">
        <v>95.943781456309395</v>
      </c>
      <c r="AN1012">
        <v>1.00000002279794</v>
      </c>
    </row>
    <row r="1013" spans="1:40" x14ac:dyDescent="0.3">
      <c r="A1013" t="str">
        <f>"20200111145930992"</f>
        <v>20200111145930992</v>
      </c>
      <c r="B1013" t="str">
        <f>"1578725970986825"</f>
        <v>1578725970986825</v>
      </c>
      <c r="C1013" t="s">
        <v>40</v>
      </c>
      <c r="D1013">
        <v>4.1356419999999998</v>
      </c>
      <c r="E1013">
        <v>0.529192</v>
      </c>
      <c r="F1013" t="s">
        <v>42</v>
      </c>
      <c r="G1013">
        <v>-361.43920000000003</v>
      </c>
      <c r="H1013" s="1">
        <v>-3.9937880000000003E-6</v>
      </c>
      <c r="I1013">
        <v>367.70569999999998</v>
      </c>
      <c r="J1013">
        <v>-380.48680000000002</v>
      </c>
      <c r="K1013">
        <v>1.1044889999999901</v>
      </c>
      <c r="L1013">
        <v>367.25110000000001</v>
      </c>
      <c r="M1013">
        <v>0.99993520000000002</v>
      </c>
      <c r="N1013">
        <v>0</v>
      </c>
      <c r="O1013">
        <v>-1.325543E-3</v>
      </c>
      <c r="P1013">
        <v>0.99448440000000005</v>
      </c>
      <c r="Q1013">
        <v>2.5040980000000001E-2</v>
      </c>
      <c r="R1013">
        <v>0.10185180000000001</v>
      </c>
      <c r="S1013">
        <v>3.0137019999999999</v>
      </c>
      <c r="T1013">
        <v>-0.1736046</v>
      </c>
      <c r="U1013">
        <v>7.1441649999999995E-2</v>
      </c>
      <c r="V1013">
        <v>-0.1031702</v>
      </c>
      <c r="W1013">
        <v>3.627536E-2</v>
      </c>
      <c r="X1013">
        <v>0.99400200000000005</v>
      </c>
      <c r="Y1013">
        <v>-2.4980599999999999E-2</v>
      </c>
      <c r="Z1013">
        <v>7.9509759999999905E-4</v>
      </c>
      <c r="AA1013">
        <v>0.99968760000000001</v>
      </c>
      <c r="AB1013">
        <v>22</v>
      </c>
      <c r="AC1013">
        <v>19.0475999999999</v>
      </c>
      <c r="AD1013">
        <v>-1.1044929937879999</v>
      </c>
      <c r="AE1013">
        <v>0.45459999999996997</v>
      </c>
      <c r="AF1013">
        <v>-0.47824251493185599</v>
      </c>
      <c r="AG1013">
        <v>-1.1044929937879999</v>
      </c>
      <c r="AH1013">
        <v>18.983188480932</v>
      </c>
      <c r="AI1013">
        <v>93.328814751537195</v>
      </c>
      <c r="AJ1013">
        <v>91.4431444362463</v>
      </c>
      <c r="AK1013">
        <v>19.0213055697816</v>
      </c>
      <c r="AL1013">
        <v>87.921118834328098</v>
      </c>
      <c r="AM1013">
        <v>95.925668297783602</v>
      </c>
      <c r="AN1013">
        <v>0.99999998395758405</v>
      </c>
    </row>
    <row r="1014" spans="1:40" x14ac:dyDescent="0.3">
      <c r="A1014" t="str">
        <f>"20200111145931005"</f>
        <v>20200111145931005</v>
      </c>
      <c r="B1014" t="str">
        <f>"1578725970996585"</f>
        <v>1578725970996585</v>
      </c>
      <c r="C1014" t="s">
        <v>40</v>
      </c>
      <c r="D1014">
        <v>4.0842589999999896</v>
      </c>
      <c r="E1014">
        <v>0.52862540000000002</v>
      </c>
      <c r="F1014" t="s">
        <v>42</v>
      </c>
      <c r="G1014">
        <v>-361.38600000000002</v>
      </c>
      <c r="H1014" s="1">
        <v>-4.0129729999999998E-6</v>
      </c>
      <c r="I1014">
        <v>367.72609999999997</v>
      </c>
      <c r="J1014">
        <v>-380.3614</v>
      </c>
      <c r="K1014">
        <v>1.104487</v>
      </c>
      <c r="L1014">
        <v>367.2509</v>
      </c>
      <c r="M1014">
        <v>0.99993529999999997</v>
      </c>
      <c r="N1014">
        <v>0</v>
      </c>
      <c r="O1014">
        <v>-1.31197E-3</v>
      </c>
      <c r="P1014">
        <v>0.99454229999999999</v>
      </c>
      <c r="Q1014">
        <v>2.503296E-2</v>
      </c>
      <c r="R1014">
        <v>0.10128719999999999</v>
      </c>
      <c r="S1014">
        <v>3.0133670000000001</v>
      </c>
      <c r="T1014">
        <v>-0.17424579999999901</v>
      </c>
      <c r="U1014">
        <v>7.4951169999999998E-2</v>
      </c>
      <c r="V1014">
        <v>-0.102592</v>
      </c>
      <c r="W1014">
        <v>3.6270110000000001E-2</v>
      </c>
      <c r="X1014">
        <v>0.99406209999999995</v>
      </c>
      <c r="Y1014">
        <v>-2.6131020000000001E-2</v>
      </c>
      <c r="Z1014">
        <v>8.3055119999999997E-4</v>
      </c>
      <c r="AA1014">
        <v>0.99965820000000005</v>
      </c>
      <c r="AB1014">
        <v>22</v>
      </c>
      <c r="AC1014">
        <v>18.9754</v>
      </c>
      <c r="AD1014">
        <v>-1.1044910129729999</v>
      </c>
      <c r="AE1014">
        <v>0.47519999999997198</v>
      </c>
      <c r="AF1014">
        <v>-0.49840878880159001</v>
      </c>
      <c r="AG1014">
        <v>-1.1044910129729999</v>
      </c>
      <c r="AH1014">
        <v>18.910730912627798</v>
      </c>
      <c r="AI1014">
        <v>93.3414346101966</v>
      </c>
      <c r="AJ1014">
        <v>91.5097306825527</v>
      </c>
      <c r="AK1014">
        <v>18.949513328006802</v>
      </c>
      <c r="AL1014">
        <v>87.921419970510797</v>
      </c>
      <c r="AM1014">
        <v>95.892339466287794</v>
      </c>
      <c r="AN1014">
        <v>1.0000000489998999</v>
      </c>
    </row>
    <row r="1015" spans="1:40" x14ac:dyDescent="0.3">
      <c r="A1015" t="str">
        <f>"20200111145931020"</f>
        <v>20200111145931020</v>
      </c>
      <c r="B1015" t="str">
        <f>"1578725971017080"</f>
        <v>1578725971017080</v>
      </c>
      <c r="C1015" t="s">
        <v>40</v>
      </c>
      <c r="D1015">
        <v>4.094106</v>
      </c>
      <c r="E1015">
        <v>0.52751569999999903</v>
      </c>
      <c r="F1015" t="s">
        <v>42</v>
      </c>
      <c r="G1015">
        <v>-361.36900000000003</v>
      </c>
      <c r="H1015" s="1">
        <v>-4.017797E-6</v>
      </c>
      <c r="I1015">
        <v>367.74009999999998</v>
      </c>
      <c r="J1015">
        <v>-380.21469999999999</v>
      </c>
      <c r="K1015">
        <v>1.1044849999999999</v>
      </c>
      <c r="L1015">
        <v>367.25080000000003</v>
      </c>
      <c r="M1015">
        <v>0.99993540000000003</v>
      </c>
      <c r="N1015">
        <v>0</v>
      </c>
      <c r="O1015">
        <v>-1.2968470000000001E-3</v>
      </c>
      <c r="P1015">
        <v>0.9946277</v>
      </c>
      <c r="Q1015">
        <v>2.41537E-2</v>
      </c>
      <c r="R1015">
        <v>0.100661899999999</v>
      </c>
      <c r="S1015">
        <v>3.0129700000000001</v>
      </c>
      <c r="T1015">
        <v>-0.1752166</v>
      </c>
      <c r="U1015">
        <v>7.76062E-2</v>
      </c>
      <c r="V1015">
        <v>-0.101951899999999</v>
      </c>
      <c r="W1015">
        <v>3.5394719999999998E-2</v>
      </c>
      <c r="X1015">
        <v>0.99415949999999997</v>
      </c>
      <c r="Y1015">
        <v>-2.699754E-2</v>
      </c>
      <c r="Z1015">
        <v>8.5956249999999998E-4</v>
      </c>
      <c r="AA1015">
        <v>0.99963519999999995</v>
      </c>
      <c r="AB1015">
        <v>22</v>
      </c>
      <c r="AC1015">
        <v>18.845699999999901</v>
      </c>
      <c r="AD1015">
        <v>-1.1044890177969999</v>
      </c>
      <c r="AE1015">
        <v>0.48929999999995699</v>
      </c>
      <c r="AF1015">
        <v>-0.51198377209870705</v>
      </c>
      <c r="AG1015">
        <v>-1.1044890177969999</v>
      </c>
      <c r="AH1015">
        <v>18.780585936212798</v>
      </c>
      <c r="AI1015">
        <v>93.364449454547795</v>
      </c>
      <c r="AJ1015">
        <v>91.561572451296001</v>
      </c>
      <c r="AK1015">
        <v>18.820000836365601</v>
      </c>
      <c r="AL1015">
        <v>87.971608341828599</v>
      </c>
      <c r="AM1015">
        <v>95.855262072412799</v>
      </c>
      <c r="AN1015">
        <v>1.0000000437788601</v>
      </c>
    </row>
    <row r="1016" spans="1:40" x14ac:dyDescent="0.3">
      <c r="A1016" t="str">
        <f>"20200111145931032"</f>
        <v>20200111145931032</v>
      </c>
      <c r="B1016" t="str">
        <f>"1578725971026842"</f>
        <v>1578725971026842</v>
      </c>
      <c r="C1016" t="s">
        <v>40</v>
      </c>
      <c r="D1016">
        <v>4.0967289999999998</v>
      </c>
      <c r="E1016">
        <v>0.52702700000000002</v>
      </c>
      <c r="F1016" t="s">
        <v>42</v>
      </c>
      <c r="G1016">
        <v>-361.69130000000001</v>
      </c>
      <c r="H1016" s="1">
        <v>-3.874051E-6</v>
      </c>
      <c r="I1016">
        <v>367.77100000000002</v>
      </c>
      <c r="J1016">
        <v>-380.09690000000001</v>
      </c>
      <c r="K1016">
        <v>1.104484</v>
      </c>
      <c r="L1016">
        <v>367.25060000000002</v>
      </c>
      <c r="M1016">
        <v>0.99993529999999997</v>
      </c>
      <c r="N1016">
        <v>0</v>
      </c>
      <c r="O1016">
        <v>-1.2850559999999999E-3</v>
      </c>
      <c r="P1016">
        <v>0.99469390000000002</v>
      </c>
      <c r="Q1016">
        <v>2.35503E-2</v>
      </c>
      <c r="R1016">
        <v>0.1001475</v>
      </c>
      <c r="S1016">
        <v>3.0120239999999998</v>
      </c>
      <c r="T1016">
        <v>-0.179595799999999</v>
      </c>
      <c r="U1016">
        <v>8.4594730000000007E-2</v>
      </c>
      <c r="V1016">
        <v>-0.1014255</v>
      </c>
      <c r="W1016">
        <v>3.4793810000000001E-2</v>
      </c>
      <c r="X1016">
        <v>0.99423450000000002</v>
      </c>
      <c r="Y1016">
        <v>-2.930493E-2</v>
      </c>
      <c r="Z1016">
        <v>9.4927070000000002E-4</v>
      </c>
      <c r="AA1016">
        <v>0.99957010000000002</v>
      </c>
      <c r="AB1016">
        <v>22</v>
      </c>
      <c r="AC1016">
        <v>18.4056</v>
      </c>
      <c r="AD1016">
        <v>-1.104487874051</v>
      </c>
      <c r="AE1016">
        <v>0.52039999999993802</v>
      </c>
      <c r="AF1016">
        <v>-0.54210276038806804</v>
      </c>
      <c r="AG1016">
        <v>-1.104487874051</v>
      </c>
      <c r="AH1016">
        <v>18.338930455342901</v>
      </c>
      <c r="AI1016">
        <v>93.445054572270095</v>
      </c>
      <c r="AJ1016">
        <v>91.693182608493501</v>
      </c>
      <c r="AK1016">
        <v>18.380156123184801</v>
      </c>
      <c r="AL1016">
        <v>88.006059064164603</v>
      </c>
      <c r="AM1016">
        <v>95.824802102597303</v>
      </c>
      <c r="AN1016">
        <v>0.99999999112740801</v>
      </c>
    </row>
    <row r="1017" spans="1:40" x14ac:dyDescent="0.3">
      <c r="A1017" t="str">
        <f>"20200111145931043"</f>
        <v>20200111145931043</v>
      </c>
      <c r="B1017" t="str">
        <f>"1578725971036600"</f>
        <v>1578725971036600</v>
      </c>
      <c r="C1017" t="s">
        <v>40</v>
      </c>
      <c r="D1017">
        <v>4.0975239999999999</v>
      </c>
      <c r="E1017">
        <v>0.52655419999999997</v>
      </c>
      <c r="F1017" t="s">
        <v>42</v>
      </c>
      <c r="G1017">
        <v>-361.85140000000001</v>
      </c>
      <c r="H1017" s="1">
        <v>-3.804209E-6</v>
      </c>
      <c r="I1017">
        <v>367.77749999999997</v>
      </c>
      <c r="J1017">
        <v>-379.98559999999998</v>
      </c>
      <c r="K1017">
        <v>1.104481</v>
      </c>
      <c r="L1017">
        <v>367.25049999999999</v>
      </c>
      <c r="M1017">
        <v>0.99993529999999997</v>
      </c>
      <c r="N1017">
        <v>0</v>
      </c>
      <c r="O1017">
        <v>-1.274098E-3</v>
      </c>
      <c r="P1017">
        <v>0.99470130000000001</v>
      </c>
      <c r="Q1017">
        <v>2.3370129999999999E-2</v>
      </c>
      <c r="R1017">
        <v>0.1001165</v>
      </c>
      <c r="S1017">
        <v>3.0115970000000001</v>
      </c>
      <c r="T1017">
        <v>-0.18230569999999999</v>
      </c>
      <c r="U1017">
        <v>8.69751E-2</v>
      </c>
      <c r="V1017">
        <v>-0.101384</v>
      </c>
      <c r="W1017">
        <v>3.461463E-2</v>
      </c>
      <c r="X1017">
        <v>0.99424500000000005</v>
      </c>
      <c r="Y1017">
        <v>-3.0084300000000001E-2</v>
      </c>
      <c r="Z1017">
        <v>9.8659389999999989E-4</v>
      </c>
      <c r="AA1017">
        <v>0.99954690000000002</v>
      </c>
      <c r="AB1017">
        <v>22</v>
      </c>
      <c r="AC1017">
        <v>18.1341999999999</v>
      </c>
      <c r="AD1017">
        <v>-1.1044848042090001</v>
      </c>
      <c r="AE1017">
        <v>0.52699999999998604</v>
      </c>
      <c r="AF1017">
        <v>-0.54807439577983497</v>
      </c>
      <c r="AG1017">
        <v>-1.1044848042090001</v>
      </c>
      <c r="AH1017">
        <v>18.066551339113001</v>
      </c>
      <c r="AI1017">
        <v>93.496775064268604</v>
      </c>
      <c r="AJ1017">
        <v>91.737615624031903</v>
      </c>
      <c r="AK1017">
        <v>18.108576683849101</v>
      </c>
      <c r="AL1017">
        <v>88.016331535520905</v>
      </c>
      <c r="AM1017">
        <v>95.822374094367404</v>
      </c>
      <c r="AN1017">
        <v>1.0000000040455099</v>
      </c>
    </row>
    <row r="1018" spans="1:40" x14ac:dyDescent="0.3">
      <c r="A1018" t="str">
        <f>"20200111145931056"</f>
        <v>20200111145931056</v>
      </c>
      <c r="B1018" t="str">
        <f>"1578725971046360"</f>
        <v>1578725971046360</v>
      </c>
      <c r="C1018" t="s">
        <v>40</v>
      </c>
      <c r="D1018">
        <v>4.105683</v>
      </c>
      <c r="E1018">
        <v>0.52608909999999998</v>
      </c>
      <c r="F1018" t="s">
        <v>42</v>
      </c>
      <c r="G1018">
        <v>-361.86290000000002</v>
      </c>
      <c r="H1018" s="1">
        <v>-3.796263E-6</v>
      </c>
      <c r="I1018">
        <v>367.79450000000003</v>
      </c>
      <c r="J1018">
        <v>-379.86239999999998</v>
      </c>
      <c r="K1018">
        <v>1.104479</v>
      </c>
      <c r="L1018">
        <v>367.25040000000001</v>
      </c>
      <c r="M1018">
        <v>0.99993540000000003</v>
      </c>
      <c r="N1018">
        <v>0</v>
      </c>
      <c r="O1018">
        <v>-1.2621920000000001E-3</v>
      </c>
      <c r="P1018">
        <v>0.99468069999999997</v>
      </c>
      <c r="Q1018">
        <v>2.3188009999999998E-2</v>
      </c>
      <c r="R1018">
        <v>0.1003645</v>
      </c>
      <c r="S1018">
        <v>3.0112000000000001</v>
      </c>
      <c r="T1018">
        <v>-0.1835164</v>
      </c>
      <c r="U1018">
        <v>9.0393070000000006E-2</v>
      </c>
      <c r="V1018">
        <v>-0.10162019999999999</v>
      </c>
      <c r="W1018">
        <v>3.4434489999999998E-2</v>
      </c>
      <c r="X1018">
        <v>0.99422710000000003</v>
      </c>
      <c r="Y1018">
        <v>-3.1206930000000001E-2</v>
      </c>
      <c r="Z1018">
        <v>1.026693E-3</v>
      </c>
      <c r="AA1018">
        <v>0.99951239999999997</v>
      </c>
      <c r="AB1018">
        <v>22</v>
      </c>
      <c r="AC1018">
        <v>17.999499999999902</v>
      </c>
      <c r="AD1018">
        <v>-1.1044827962629999</v>
      </c>
      <c r="AE1018">
        <v>0.54410000000001402</v>
      </c>
      <c r="AF1018">
        <v>-0.56469554655366205</v>
      </c>
      <c r="AG1018">
        <v>-1.1044827962629999</v>
      </c>
      <c r="AH1018">
        <v>17.931344003810999</v>
      </c>
      <c r="AI1018">
        <v>93.522943742974803</v>
      </c>
      <c r="AJ1018">
        <v>91.803767857276299</v>
      </c>
      <c r="AK1018">
        <v>17.974199873444899</v>
      </c>
      <c r="AL1018">
        <v>88.026658872409598</v>
      </c>
      <c r="AM1018">
        <v>95.835949634415499</v>
      </c>
      <c r="AN1018">
        <v>0.99999996276200398</v>
      </c>
    </row>
    <row r="1019" spans="1:40" x14ac:dyDescent="0.3">
      <c r="A1019" t="str">
        <f>"20200111145931068"</f>
        <v>20200111145931068</v>
      </c>
      <c r="B1019" t="str">
        <f>"1578725971056121"</f>
        <v>1578725971056121</v>
      </c>
      <c r="C1019" t="s">
        <v>40</v>
      </c>
      <c r="D1019">
        <v>4.0770030000000004</v>
      </c>
      <c r="E1019">
        <v>0.52561789999999997</v>
      </c>
      <c r="F1019" t="s">
        <v>42</v>
      </c>
      <c r="G1019">
        <v>-361.86540000000002</v>
      </c>
      <c r="H1019" s="1">
        <v>-3.7910830000000002E-6</v>
      </c>
      <c r="I1019">
        <v>367.81760000000003</v>
      </c>
      <c r="J1019">
        <v>-379.74489999999997</v>
      </c>
      <c r="K1019">
        <v>1.104479</v>
      </c>
      <c r="L1019">
        <v>367.25020000000001</v>
      </c>
      <c r="M1019">
        <v>0.99993529999999997</v>
      </c>
      <c r="N1019">
        <v>0</v>
      </c>
      <c r="O1019">
        <v>-1.2504040000000001E-3</v>
      </c>
      <c r="P1019">
        <v>0.99462709999999999</v>
      </c>
      <c r="Q1019">
        <v>2.2928799999999999E-2</v>
      </c>
      <c r="R1019">
        <v>0.100953</v>
      </c>
      <c r="S1019">
        <v>3.0107729999999999</v>
      </c>
      <c r="T1019">
        <v>-0.1847713</v>
      </c>
      <c r="U1019">
        <v>9.4909670000000002E-2</v>
      </c>
      <c r="V1019">
        <v>-0.1021966</v>
      </c>
      <c r="W1019">
        <v>3.4176190000000002E-2</v>
      </c>
      <c r="X1019">
        <v>0.99417699999999998</v>
      </c>
      <c r="Y1019">
        <v>-3.2693750000000001E-2</v>
      </c>
      <c r="Z1019">
        <v>1.078669E-3</v>
      </c>
      <c r="AA1019">
        <v>0.99946480000000004</v>
      </c>
      <c r="AB1019">
        <v>22</v>
      </c>
      <c r="AC1019">
        <v>17.879499999999901</v>
      </c>
      <c r="AD1019">
        <v>-1.104482791083</v>
      </c>
      <c r="AE1019">
        <v>0.56740000000002</v>
      </c>
      <c r="AF1019">
        <v>-0.58751787732751304</v>
      </c>
      <c r="AG1019">
        <v>-1.104482791083</v>
      </c>
      <c r="AH1019">
        <v>17.810878749521802</v>
      </c>
      <c r="AI1019">
        <v>93.546540555505501</v>
      </c>
      <c r="AJ1019">
        <v>91.889300006369993</v>
      </c>
      <c r="AK1019">
        <v>17.854760186632099</v>
      </c>
      <c r="AL1019">
        <v>88.041467224982199</v>
      </c>
      <c r="AM1019">
        <v>95.869115006166098</v>
      </c>
      <c r="AN1019">
        <v>1.0000000321717299</v>
      </c>
    </row>
    <row r="1020" spans="1:40" x14ac:dyDescent="0.3">
      <c r="A1020" t="str">
        <f>"20200111145931083"</f>
        <v>20200111145931083</v>
      </c>
      <c r="B1020" t="str">
        <f>"1578725971076616"</f>
        <v>1578725971076616</v>
      </c>
      <c r="C1020" t="s">
        <v>40</v>
      </c>
      <c r="D1020">
        <v>4.0561910000000001</v>
      </c>
      <c r="E1020">
        <v>0.52472719999999995</v>
      </c>
      <c r="F1020" t="s">
        <v>42</v>
      </c>
      <c r="G1020">
        <v>-361.87369999999999</v>
      </c>
      <c r="H1020" s="1">
        <v>-3.7825760000000002E-6</v>
      </c>
      <c r="I1020">
        <v>367.84550000000002</v>
      </c>
      <c r="J1020">
        <v>-379.5951</v>
      </c>
      <c r="K1020">
        <v>1.104473</v>
      </c>
      <c r="L1020">
        <v>367.25009999999997</v>
      </c>
      <c r="M1020">
        <v>0.99993529999999997</v>
      </c>
      <c r="N1020">
        <v>0</v>
      </c>
      <c r="O1020">
        <v>-1.2351599999999999E-3</v>
      </c>
      <c r="P1020">
        <v>0.99457249999999997</v>
      </c>
      <c r="Q1020">
        <v>2.2928569999999999E-2</v>
      </c>
      <c r="R1020">
        <v>0.101489</v>
      </c>
      <c r="S1020">
        <v>3.0103149999999999</v>
      </c>
      <c r="T1020">
        <v>-0.18604370000000001</v>
      </c>
      <c r="U1020">
        <v>0.1002808</v>
      </c>
      <c r="V1020">
        <v>-0.10271760000000001</v>
      </c>
      <c r="W1020">
        <v>3.4177150000000003E-2</v>
      </c>
      <c r="X1020">
        <v>0.99412319999999998</v>
      </c>
      <c r="Y1020">
        <v>-3.4460409999999997E-2</v>
      </c>
      <c r="Z1020">
        <v>1.1398000000000001E-3</v>
      </c>
      <c r="AA1020">
        <v>0.9994054</v>
      </c>
      <c r="AB1020">
        <v>22</v>
      </c>
      <c r="AC1020">
        <v>17.721399999999999</v>
      </c>
      <c r="AD1020">
        <v>-1.104476782576</v>
      </c>
      <c r="AE1020">
        <v>0.59540000000004001</v>
      </c>
      <c r="AF1020">
        <v>-0.61490390767680003</v>
      </c>
      <c r="AG1020">
        <v>-1.104476782576</v>
      </c>
      <c r="AH1020">
        <v>17.652161352140599</v>
      </c>
      <c r="AI1020">
        <v>93.578103569762604</v>
      </c>
      <c r="AJ1020">
        <v>91.995062132601205</v>
      </c>
      <c r="AK1020">
        <v>17.697366362849898</v>
      </c>
      <c r="AL1020">
        <v>88.041412047190207</v>
      </c>
      <c r="AM1020">
        <v>95.899142381603497</v>
      </c>
      <c r="AN1020">
        <v>0.99999995985505996</v>
      </c>
    </row>
    <row r="1021" spans="1:40" x14ac:dyDescent="0.3">
      <c r="A1021" t="str">
        <f>"20200111145931098"</f>
        <v>20200111145931098</v>
      </c>
      <c r="B1021" t="str">
        <f>"1578725971086376"</f>
        <v>1578725971086376</v>
      </c>
      <c r="C1021" t="s">
        <v>40</v>
      </c>
      <c r="D1021">
        <v>4.0555409999999998</v>
      </c>
      <c r="E1021">
        <v>0.524265799999999</v>
      </c>
      <c r="F1021" t="s">
        <v>42</v>
      </c>
      <c r="G1021">
        <v>-361.83519999999999</v>
      </c>
      <c r="H1021" s="1">
        <v>-3.7901049999999999E-6</v>
      </c>
      <c r="I1021">
        <v>367.89609999999999</v>
      </c>
      <c r="J1021">
        <v>-379.45010000000002</v>
      </c>
      <c r="K1021">
        <v>1.104468</v>
      </c>
      <c r="L1021">
        <v>367.24990000000003</v>
      </c>
      <c r="M1021">
        <v>0.99993520000000002</v>
      </c>
      <c r="N1021">
        <v>0</v>
      </c>
      <c r="O1021">
        <v>-1.2201460000000001E-3</v>
      </c>
      <c r="P1021">
        <v>0.99449279999999995</v>
      </c>
      <c r="Q1021">
        <v>2.2293469999999999E-2</v>
      </c>
      <c r="R1021">
        <v>0.1024066</v>
      </c>
      <c r="S1021">
        <v>3.0095209999999999</v>
      </c>
      <c r="T1021">
        <v>-0.1871594</v>
      </c>
      <c r="U1021">
        <v>0.1094971</v>
      </c>
      <c r="V1021">
        <v>-0.10362</v>
      </c>
      <c r="W1021">
        <v>3.3543320000000001E-2</v>
      </c>
      <c r="X1021">
        <v>0.99405120000000002</v>
      </c>
      <c r="Y1021">
        <v>-3.7504170000000003E-2</v>
      </c>
      <c r="Z1021">
        <v>1.2404530000000001E-3</v>
      </c>
      <c r="AA1021">
        <v>0.99929570000000001</v>
      </c>
      <c r="AB1021">
        <v>22</v>
      </c>
      <c r="AC1021">
        <v>17.614899999999999</v>
      </c>
      <c r="AD1021">
        <v>-1.1044717901050001</v>
      </c>
      <c r="AE1021">
        <v>0.64619999999996403</v>
      </c>
      <c r="AF1021">
        <v>-0.66508244450702703</v>
      </c>
      <c r="AG1021">
        <v>-1.1044717901050001</v>
      </c>
      <c r="AH1021">
        <v>17.545213565026302</v>
      </c>
      <c r="AI1021">
        <v>93.599440042363</v>
      </c>
      <c r="AJ1021">
        <v>92.170858774389899</v>
      </c>
      <c r="AK1021">
        <v>17.592518626834298</v>
      </c>
      <c r="AL1021">
        <v>88.077748791741698</v>
      </c>
      <c r="AM1021">
        <v>95.951025479128802</v>
      </c>
      <c r="AN1021">
        <v>1.0000000234690301</v>
      </c>
    </row>
    <row r="1022" spans="1:40" x14ac:dyDescent="0.3">
      <c r="A1022" t="str">
        <f>"20200111145931109"</f>
        <v>20200111145931109</v>
      </c>
      <c r="B1022" t="str">
        <f>"1578725971106872"</f>
        <v>1578725971106872</v>
      </c>
      <c r="C1022" t="s">
        <v>40</v>
      </c>
      <c r="D1022">
        <v>4.0468950000000001</v>
      </c>
      <c r="E1022">
        <v>0.52341269999999995</v>
      </c>
      <c r="F1022" t="s">
        <v>42</v>
      </c>
      <c r="G1022">
        <v>-361.92329999999998</v>
      </c>
      <c r="H1022" s="1">
        <v>-3.7475999999999999E-6</v>
      </c>
      <c r="I1022">
        <v>367.92259999999999</v>
      </c>
      <c r="J1022">
        <v>-379.33909999999997</v>
      </c>
      <c r="K1022">
        <v>1.1044670000000001</v>
      </c>
      <c r="L1022">
        <v>367.24979999999999</v>
      </c>
      <c r="M1022">
        <v>0.99993520000000002</v>
      </c>
      <c r="N1022">
        <v>0</v>
      </c>
      <c r="O1022">
        <v>-1.2071499999999999E-3</v>
      </c>
      <c r="P1022">
        <v>0.99452149999999995</v>
      </c>
      <c r="Q1022">
        <v>2.1836089999999999E-2</v>
      </c>
      <c r="R1022">
        <v>0.10222589999999999</v>
      </c>
      <c r="S1022">
        <v>3.008972</v>
      </c>
      <c r="T1022">
        <v>-0.1896127</v>
      </c>
      <c r="U1022">
        <v>0.115509</v>
      </c>
      <c r="V1022">
        <v>-0.1034268</v>
      </c>
      <c r="W1022">
        <v>3.3086770000000001E-2</v>
      </c>
      <c r="X1022">
        <v>0.99408660000000004</v>
      </c>
      <c r="Y1022">
        <v>-3.9485659999999999E-2</v>
      </c>
      <c r="Z1022">
        <v>1.318393E-3</v>
      </c>
      <c r="AA1022">
        <v>0.99921919999999997</v>
      </c>
      <c r="AB1022">
        <v>22</v>
      </c>
      <c r="AC1022">
        <v>17.415799999999901</v>
      </c>
      <c r="AD1022">
        <v>-1.1044707476</v>
      </c>
      <c r="AE1022">
        <v>0.67279999999999496</v>
      </c>
      <c r="AF1022">
        <v>-0.69104921257151497</v>
      </c>
      <c r="AG1022">
        <v>-1.1044707476</v>
      </c>
      <c r="AH1022">
        <v>17.3453194567319</v>
      </c>
      <c r="AI1022">
        <v>93.640534451030007</v>
      </c>
      <c r="AJ1022">
        <v>92.281495842377694</v>
      </c>
      <c r="AK1022">
        <v>17.394180397551999</v>
      </c>
      <c r="AL1022">
        <v>88.103921668884595</v>
      </c>
      <c r="AM1022">
        <v>95.939799155262094</v>
      </c>
      <c r="AN1022">
        <v>1.0000000028034099</v>
      </c>
    </row>
    <row r="1023" spans="1:40" x14ac:dyDescent="0.3">
      <c r="A1023" t="str">
        <f>"20200111145931123"</f>
        <v>20200111145931123</v>
      </c>
      <c r="B1023" t="str">
        <f>"1578725971116633"</f>
        <v>1578725971116633</v>
      </c>
      <c r="C1023" t="s">
        <v>40</v>
      </c>
      <c r="D1023">
        <v>4.0419499999999999</v>
      </c>
      <c r="E1023">
        <v>0.52301569999999997</v>
      </c>
      <c r="F1023" t="s">
        <v>42</v>
      </c>
      <c r="G1023">
        <v>-362.08620000000002</v>
      </c>
      <c r="H1023" s="1">
        <v>-3.6727899999999999E-6</v>
      </c>
      <c r="I1023">
        <v>367.95049999999998</v>
      </c>
      <c r="J1023">
        <v>-379.20859999999999</v>
      </c>
      <c r="K1023">
        <v>1.1044670000000001</v>
      </c>
      <c r="L1023">
        <v>367.24959999999999</v>
      </c>
      <c r="M1023">
        <v>0.99993540000000003</v>
      </c>
      <c r="N1023">
        <v>0</v>
      </c>
      <c r="O1023">
        <v>-1.190808E-3</v>
      </c>
      <c r="P1023">
        <v>0.99453930000000001</v>
      </c>
      <c r="Q1023">
        <v>2.156974E-2</v>
      </c>
      <c r="R1023">
        <v>0.10211099999999999</v>
      </c>
      <c r="S1023">
        <v>3.0082089999999999</v>
      </c>
      <c r="T1023">
        <v>-0.19257460000000001</v>
      </c>
      <c r="U1023">
        <v>0.12219240000000001</v>
      </c>
      <c r="V1023">
        <v>-0.1032954</v>
      </c>
      <c r="W1023">
        <v>3.2821780000000002E-2</v>
      </c>
      <c r="X1023">
        <v>0.99410900000000002</v>
      </c>
      <c r="Y1023">
        <v>-4.1688419999999997E-2</v>
      </c>
      <c r="Z1023">
        <v>1.4085860000000001E-3</v>
      </c>
      <c r="AA1023">
        <v>0.99912970000000001</v>
      </c>
      <c r="AB1023">
        <v>22</v>
      </c>
      <c r="AC1023">
        <v>17.122399999999899</v>
      </c>
      <c r="AD1023">
        <v>-1.10447067279</v>
      </c>
      <c r="AE1023">
        <v>0.70089999999998998</v>
      </c>
      <c r="AF1023">
        <v>-0.71830655093973905</v>
      </c>
      <c r="AG1023">
        <v>-1.10447067279</v>
      </c>
      <c r="AH1023">
        <v>17.050726814668899</v>
      </c>
      <c r="AI1023">
        <v>93.702914170481506</v>
      </c>
      <c r="AJ1023">
        <v>92.412308467972295</v>
      </c>
      <c r="AK1023">
        <v>17.1015526978297</v>
      </c>
      <c r="AL1023">
        <v>88.119112641040601</v>
      </c>
      <c r="AM1023">
        <v>95.932173987976498</v>
      </c>
      <c r="AN1023">
        <v>0.99999995639226302</v>
      </c>
    </row>
    <row r="1024" spans="1:40" x14ac:dyDescent="0.3">
      <c r="A1024" t="str">
        <f>"20200111145931136"</f>
        <v>20200111145931136</v>
      </c>
      <c r="B1024" t="str">
        <f>"1578725971126393"</f>
        <v>1578725971126393</v>
      </c>
      <c r="C1024" t="s">
        <v>40</v>
      </c>
      <c r="D1024">
        <v>4.0488379999999999</v>
      </c>
      <c r="E1024">
        <v>0.52263369999999998</v>
      </c>
      <c r="F1024" t="s">
        <v>42</v>
      </c>
      <c r="G1024">
        <v>-362.08859999999999</v>
      </c>
      <c r="H1024" s="1">
        <v>-3.6699499999999999E-6</v>
      </c>
      <c r="I1024">
        <v>367.96069999999997</v>
      </c>
      <c r="J1024">
        <v>-379.07369999999997</v>
      </c>
      <c r="K1024">
        <v>1.1044689999999999</v>
      </c>
      <c r="L1024">
        <v>367.24950000000001</v>
      </c>
      <c r="M1024">
        <v>0.99993540000000003</v>
      </c>
      <c r="N1024">
        <v>0</v>
      </c>
      <c r="O1024">
        <v>-1.1701529999999999E-3</v>
      </c>
      <c r="P1024">
        <v>0.99454010000000004</v>
      </c>
      <c r="Q1024">
        <v>2.154876E-2</v>
      </c>
      <c r="R1024">
        <v>0.10210859999999999</v>
      </c>
      <c r="S1024">
        <v>3.0078429999999998</v>
      </c>
      <c r="T1024">
        <v>-0.194046</v>
      </c>
      <c r="U1024">
        <v>0.12493899999999999</v>
      </c>
      <c r="V1024">
        <v>-0.1032732</v>
      </c>
      <c r="W1024">
        <v>3.2801770000000001E-2</v>
      </c>
      <c r="X1024">
        <v>0.994112</v>
      </c>
      <c r="Y1024">
        <v>-4.2580340000000001E-2</v>
      </c>
      <c r="Z1024">
        <v>1.4468700000000001E-3</v>
      </c>
      <c r="AA1024">
        <v>0.99909199999999998</v>
      </c>
      <c r="AB1024">
        <v>22</v>
      </c>
      <c r="AC1024">
        <v>16.9850999999999</v>
      </c>
      <c r="AD1024">
        <v>-1.10447266995</v>
      </c>
      <c r="AE1024">
        <v>0.71119999999996197</v>
      </c>
      <c r="AF1024">
        <v>-0.72800306510997304</v>
      </c>
      <c r="AG1024">
        <v>-1.10447266995</v>
      </c>
      <c r="AH1024">
        <v>16.9128672835724</v>
      </c>
      <c r="AI1024">
        <v>93.732873900364396</v>
      </c>
      <c r="AJ1024">
        <v>92.464737041896498</v>
      </c>
      <c r="AK1024">
        <v>16.964519683539798</v>
      </c>
      <c r="AL1024">
        <v>88.120259809083194</v>
      </c>
      <c r="AM1024">
        <v>95.930890377632394</v>
      </c>
      <c r="AN1024">
        <v>0.99999998924868605</v>
      </c>
    </row>
    <row r="1025" spans="1:40" x14ac:dyDescent="0.3">
      <c r="A1025" t="str">
        <f>"20200111145931147"</f>
        <v>20200111145931147</v>
      </c>
      <c r="B1025" t="str">
        <f>"1578725971136201"</f>
        <v>1578725971136201</v>
      </c>
      <c r="C1025" t="s">
        <v>40</v>
      </c>
      <c r="D1025">
        <v>4.0692820000000003</v>
      </c>
      <c r="E1025">
        <v>0.52226890000000004</v>
      </c>
      <c r="F1025" t="s">
        <v>42</v>
      </c>
      <c r="G1025">
        <v>-362.03699999999998</v>
      </c>
      <c r="H1025" s="1">
        <v>-3.6897579999999999E-6</v>
      </c>
      <c r="I1025">
        <v>367.97390000000001</v>
      </c>
      <c r="J1025">
        <v>-378.96629999999999</v>
      </c>
      <c r="K1025">
        <v>1.104473</v>
      </c>
      <c r="L1025">
        <v>367.24939999999998</v>
      </c>
      <c r="M1025">
        <v>0.99993529999999997</v>
      </c>
      <c r="N1025">
        <v>0</v>
      </c>
      <c r="O1025">
        <v>-1.150447E-3</v>
      </c>
      <c r="P1025">
        <v>0.99451009999999995</v>
      </c>
      <c r="Q1025">
        <v>2.152944E-2</v>
      </c>
      <c r="R1025">
        <v>0.1024036</v>
      </c>
      <c r="S1025">
        <v>3.0075989999999999</v>
      </c>
      <c r="T1025">
        <v>-0.19497780000000001</v>
      </c>
      <c r="U1025">
        <v>0.12789919999999999</v>
      </c>
      <c r="V1025">
        <v>-0.10354869999999999</v>
      </c>
      <c r="W1025">
        <v>3.278271E-2</v>
      </c>
      <c r="X1025">
        <v>0.99408399999999997</v>
      </c>
      <c r="Y1025">
        <v>-4.3542749999999998E-2</v>
      </c>
      <c r="Z1025">
        <v>1.483764E-3</v>
      </c>
      <c r="AA1025">
        <v>0.99905040000000001</v>
      </c>
      <c r="AB1025">
        <v>22</v>
      </c>
      <c r="AC1025">
        <v>16.929300000000001</v>
      </c>
      <c r="AD1025">
        <v>-1.1044766897579901</v>
      </c>
      <c r="AE1025">
        <v>0.72450000000003401</v>
      </c>
      <c r="AF1025">
        <v>-0.74082958081427097</v>
      </c>
      <c r="AG1025">
        <v>-1.1044766897579901</v>
      </c>
      <c r="AH1025">
        <v>16.856838171956401</v>
      </c>
      <c r="AI1025">
        <v>93.745113078720607</v>
      </c>
      <c r="AJ1025">
        <v>92.5164334941595</v>
      </c>
      <c r="AK1025">
        <v>16.9092190943744</v>
      </c>
      <c r="AL1025">
        <v>88.121352510578802</v>
      </c>
      <c r="AM1025">
        <v>95.946765172930895</v>
      </c>
      <c r="AN1025">
        <v>1.0000000192013101</v>
      </c>
    </row>
    <row r="1026" spans="1:40" x14ac:dyDescent="0.3">
      <c r="A1026" t="str">
        <f>"20200111145931158"</f>
        <v>20200111145931158</v>
      </c>
      <c r="B1026" t="str">
        <f>"1578725971146937"</f>
        <v>1578725971146937</v>
      </c>
      <c r="C1026" t="s">
        <v>40</v>
      </c>
      <c r="D1026">
        <v>4.0440239999999896</v>
      </c>
      <c r="E1026">
        <v>0.52188710000000005</v>
      </c>
      <c r="F1026" t="s">
        <v>42</v>
      </c>
      <c r="G1026">
        <v>-361.95960000000002</v>
      </c>
      <c r="H1026" s="1">
        <v>-3.7192910000000001E-6</v>
      </c>
      <c r="I1026">
        <v>367.99459999999999</v>
      </c>
      <c r="J1026">
        <v>-378.85599999999999</v>
      </c>
      <c r="K1026">
        <v>1.104479</v>
      </c>
      <c r="L1026">
        <v>367.24930000000001</v>
      </c>
      <c r="M1026">
        <v>0.99993540000000003</v>
      </c>
      <c r="N1026">
        <v>0</v>
      </c>
      <c r="O1026">
        <v>-1.128586E-3</v>
      </c>
      <c r="P1026">
        <v>0.99445689999999998</v>
      </c>
      <c r="Q1026">
        <v>2.1349770000000001E-2</v>
      </c>
      <c r="R1026">
        <v>0.10295509999999999</v>
      </c>
      <c r="S1026">
        <v>3.0072329999999998</v>
      </c>
      <c r="T1026">
        <v>-0.19529920000000001</v>
      </c>
      <c r="U1026">
        <v>0.1317749</v>
      </c>
      <c r="V1026">
        <v>-0.1040787</v>
      </c>
      <c r="W1026">
        <v>3.2602560000000003E-2</v>
      </c>
      <c r="X1026">
        <v>0.99403450000000004</v>
      </c>
      <c r="Y1026">
        <v>-4.4808279999999999E-2</v>
      </c>
      <c r="Z1026">
        <v>1.5259570000000001E-3</v>
      </c>
      <c r="AA1026">
        <v>0.99899439999999995</v>
      </c>
      <c r="AB1026">
        <v>22</v>
      </c>
      <c r="AC1026">
        <v>16.8963999999999</v>
      </c>
      <c r="AD1026">
        <v>-1.1044827192910001</v>
      </c>
      <c r="AE1026">
        <v>0.74529999999998597</v>
      </c>
      <c r="AF1026">
        <v>-0.76112384449957304</v>
      </c>
      <c r="AG1026">
        <v>-1.1044827192910001</v>
      </c>
      <c r="AH1026">
        <v>16.823800114498098</v>
      </c>
      <c r="AI1026">
        <v>93.752251801623103</v>
      </c>
      <c r="AJ1026">
        <v>92.590346292658793</v>
      </c>
      <c r="AK1026">
        <v>16.877187024989201</v>
      </c>
      <c r="AL1026">
        <v>88.131679726758804</v>
      </c>
      <c r="AM1026">
        <v>95.977278580793396</v>
      </c>
      <c r="AN1026">
        <v>0.999999944951245</v>
      </c>
    </row>
    <row r="1027" spans="1:40" x14ac:dyDescent="0.3">
      <c r="A1027" t="str">
        <f>"20200111145931171"</f>
        <v>20200111145931171</v>
      </c>
      <c r="B1027" t="str">
        <f>"1578725971166456"</f>
        <v>1578725971166456</v>
      </c>
      <c r="C1027" t="s">
        <v>40</v>
      </c>
      <c r="D1027">
        <v>4.285806</v>
      </c>
      <c r="E1027">
        <v>0.52122690000000005</v>
      </c>
      <c r="F1027" t="s">
        <v>42</v>
      </c>
      <c r="G1027">
        <v>-361.9169</v>
      </c>
      <c r="H1027" s="1">
        <v>-3.7337279999999999E-6</v>
      </c>
      <c r="I1027">
        <v>368.01650000000001</v>
      </c>
      <c r="J1027">
        <v>-378.73869999999999</v>
      </c>
      <c r="K1027">
        <v>1.1044889999999901</v>
      </c>
      <c r="L1027">
        <v>367.24919999999997</v>
      </c>
      <c r="M1027">
        <v>0.99993529999999997</v>
      </c>
      <c r="N1027">
        <v>0</v>
      </c>
      <c r="O1027">
        <v>-1.0976359999999999E-3</v>
      </c>
      <c r="P1027">
        <v>0.9943708</v>
      </c>
      <c r="Q1027">
        <v>2.1425429999999999E-2</v>
      </c>
      <c r="R1027">
        <v>0.1037685</v>
      </c>
      <c r="S1027">
        <v>3.0068049999999999</v>
      </c>
      <c r="T1027">
        <v>-0.19605110000000001</v>
      </c>
      <c r="U1027">
        <v>0.13619999999999999</v>
      </c>
      <c r="V1027">
        <v>-0.1048615</v>
      </c>
      <c r="W1027">
        <v>3.2676429999999999E-2</v>
      </c>
      <c r="X1027">
        <v>0.99394979999999999</v>
      </c>
      <c r="Y1027">
        <v>-4.624706E-2</v>
      </c>
      <c r="Z1027">
        <v>1.576804E-3</v>
      </c>
      <c r="AA1027">
        <v>0.99892879999999995</v>
      </c>
      <c r="AB1027">
        <v>22</v>
      </c>
      <c r="AC1027">
        <v>16.8217999999999</v>
      </c>
      <c r="AD1027">
        <v>-1.1044927337279999</v>
      </c>
      <c r="AE1027">
        <v>0.76730000000003395</v>
      </c>
      <c r="AF1027">
        <v>-0.78239899409520197</v>
      </c>
      <c r="AG1027">
        <v>-1.1044927337279999</v>
      </c>
      <c r="AH1027">
        <v>16.748892574807702</v>
      </c>
      <c r="AI1027">
        <v>93.768765239055796</v>
      </c>
      <c r="AJ1027">
        <v>92.674540746094493</v>
      </c>
      <c r="AK1027">
        <v>16.803495316965101</v>
      </c>
      <c r="AL1027">
        <v>88.127445029389193</v>
      </c>
      <c r="AM1027">
        <v>96.022415342112296</v>
      </c>
      <c r="AN1027">
        <v>0.99999994408991499</v>
      </c>
    </row>
    <row r="1028" spans="1:40" x14ac:dyDescent="0.3">
      <c r="A1028" t="str">
        <f>"20200111145931183"</f>
        <v>20200111145931183</v>
      </c>
      <c r="B1028" t="str">
        <f>"1578725971176216"</f>
        <v>1578725971176216</v>
      </c>
      <c r="C1028" t="s">
        <v>40</v>
      </c>
      <c r="D1028">
        <v>4.0530790000000003</v>
      </c>
      <c r="E1028">
        <v>0.52089560000000001</v>
      </c>
      <c r="F1028" t="s">
        <v>42</v>
      </c>
      <c r="G1028">
        <v>-361.8098</v>
      </c>
      <c r="H1028" s="1">
        <v>-3.7718160000000001E-6</v>
      </c>
      <c r="I1028">
        <v>368.06079999999997</v>
      </c>
      <c r="J1028">
        <v>-378.61669999999998</v>
      </c>
      <c r="K1028">
        <v>1.104498</v>
      </c>
      <c r="L1028">
        <v>367.2491</v>
      </c>
      <c r="M1028">
        <v>0.99993529999999997</v>
      </c>
      <c r="N1028">
        <v>0</v>
      </c>
      <c r="O1028">
        <v>-1.061661E-3</v>
      </c>
      <c r="P1028">
        <v>0.99429920000000005</v>
      </c>
      <c r="Q1028">
        <v>2.1578750000000001E-2</v>
      </c>
      <c r="R1028">
        <v>0.104420899999999</v>
      </c>
      <c r="S1028">
        <v>3.0061650000000002</v>
      </c>
      <c r="T1028">
        <v>-0.19613</v>
      </c>
      <c r="U1028">
        <v>0.1441345</v>
      </c>
      <c r="V1028">
        <v>-0.1054785</v>
      </c>
      <c r="W1028">
        <v>3.2828450000000002E-2</v>
      </c>
      <c r="X1028">
        <v>0.99387959999999997</v>
      </c>
      <c r="Y1028">
        <v>-4.8845930000000003E-2</v>
      </c>
      <c r="Z1028">
        <v>1.659972E-3</v>
      </c>
      <c r="AA1028">
        <v>0.9988049</v>
      </c>
      <c r="AB1028">
        <v>22</v>
      </c>
      <c r="AC1028">
        <v>16.806899999999899</v>
      </c>
      <c r="AD1028">
        <v>-1.104501771816</v>
      </c>
      <c r="AE1028">
        <v>0.811699999999973</v>
      </c>
      <c r="AF1028">
        <v>-0.82598499938513703</v>
      </c>
      <c r="AG1028">
        <v>-1.104501771816</v>
      </c>
      <c r="AH1028">
        <v>16.733927324232202</v>
      </c>
      <c r="AI1028">
        <v>93.771679698900201</v>
      </c>
      <c r="AJ1028">
        <v>92.825820562062503</v>
      </c>
      <c r="AK1028">
        <v>16.790667022957699</v>
      </c>
      <c r="AL1028">
        <v>88.118730429830194</v>
      </c>
      <c r="AM1028">
        <v>96.0580129139354</v>
      </c>
      <c r="AN1028">
        <v>1.0000000401939</v>
      </c>
    </row>
    <row r="1029" spans="1:40" x14ac:dyDescent="0.3">
      <c r="A1029" t="str">
        <f>"20200111145931198"</f>
        <v>20200111145931198</v>
      </c>
      <c r="B1029" t="str">
        <f>"1578725971196713"</f>
        <v>1578725971196713</v>
      </c>
      <c r="C1029" t="s">
        <v>40</v>
      </c>
      <c r="D1029">
        <v>4.0275259999999999</v>
      </c>
      <c r="E1029">
        <v>0.52046709999999996</v>
      </c>
      <c r="F1029" t="s">
        <v>42</v>
      </c>
      <c r="G1029">
        <v>-361.67540000000002</v>
      </c>
      <c r="H1029" s="1">
        <v>-3.8248869999999999E-6</v>
      </c>
      <c r="I1029">
        <v>368.0865</v>
      </c>
      <c r="J1029">
        <v>-378.4579</v>
      </c>
      <c r="K1029">
        <v>1.1045160000000001</v>
      </c>
      <c r="L1029">
        <v>367.24900000000002</v>
      </c>
      <c r="M1029">
        <v>0.99993540000000003</v>
      </c>
      <c r="N1029">
        <v>0</v>
      </c>
      <c r="O1029">
        <v>-1.000459E-3</v>
      </c>
      <c r="P1029">
        <v>0.99425790000000003</v>
      </c>
      <c r="Q1029">
        <v>2.2122889999999999E-2</v>
      </c>
      <c r="R1029">
        <v>0.1046996</v>
      </c>
      <c r="S1029">
        <v>3.0058590000000001</v>
      </c>
      <c r="T1029">
        <v>-0.1959687</v>
      </c>
      <c r="U1029">
        <v>0.1485901</v>
      </c>
      <c r="V1029">
        <v>-0.1056974</v>
      </c>
      <c r="W1029">
        <v>3.3370799999999999E-2</v>
      </c>
      <c r="X1029">
        <v>0.99383829999999995</v>
      </c>
      <c r="Y1029">
        <v>-5.02639E-2</v>
      </c>
      <c r="Z1029">
        <v>1.700881E-3</v>
      </c>
      <c r="AA1029">
        <v>0.99873449999999997</v>
      </c>
      <c r="AB1029">
        <v>22</v>
      </c>
      <c r="AC1029">
        <v>16.782499999999899</v>
      </c>
      <c r="AD1029">
        <v>-1.1045198248870001</v>
      </c>
      <c r="AE1029">
        <v>0.83749999999997704</v>
      </c>
      <c r="AF1029">
        <v>-0.85061561037093103</v>
      </c>
      <c r="AG1029">
        <v>-1.1045198248870001</v>
      </c>
      <c r="AH1029">
        <v>16.709457207260701</v>
      </c>
      <c r="AI1029">
        <v>93.776957474890807</v>
      </c>
      <c r="AJ1029">
        <v>92.914197015241299</v>
      </c>
      <c r="AK1029">
        <v>16.7675123712926</v>
      </c>
      <c r="AL1029">
        <v>88.087639063590601</v>
      </c>
      <c r="AM1029">
        <v>96.070741738458096</v>
      </c>
      <c r="AN1029">
        <v>1.0000000586031399</v>
      </c>
    </row>
    <row r="1030" spans="1:40" x14ac:dyDescent="0.3">
      <c r="A1030" t="str">
        <f>"20200111145931210"</f>
        <v>20200111145931210</v>
      </c>
      <c r="B1030" t="str">
        <f>"1578725971206475"</f>
        <v>1578725971206475</v>
      </c>
      <c r="C1030" t="s">
        <v>40</v>
      </c>
      <c r="D1030">
        <v>4.0661310000000004</v>
      </c>
      <c r="E1030">
        <v>0.52060280000000003</v>
      </c>
      <c r="F1030" t="s">
        <v>42</v>
      </c>
      <c r="G1030">
        <v>-361.48329999999999</v>
      </c>
      <c r="H1030" s="1">
        <v>-3.902212E-6</v>
      </c>
      <c r="I1030">
        <v>368.11520000000002</v>
      </c>
      <c r="J1030">
        <v>-378.35090000000002</v>
      </c>
      <c r="K1030">
        <v>1.1045290000000001</v>
      </c>
      <c r="L1030">
        <v>367.24889999999999</v>
      </c>
      <c r="M1030">
        <v>0.99993540000000003</v>
      </c>
      <c r="N1030">
        <v>0</v>
      </c>
      <c r="O1030">
        <v>-9.4667570000000003E-4</v>
      </c>
      <c r="P1030">
        <v>0.99429990000000001</v>
      </c>
      <c r="Q1030">
        <v>2.234299E-2</v>
      </c>
      <c r="R1030">
        <v>0.10425280000000001</v>
      </c>
      <c r="S1030">
        <v>3.0055239999999999</v>
      </c>
      <c r="T1030">
        <v>-0.19556560000000001</v>
      </c>
      <c r="U1030">
        <v>0.1533813</v>
      </c>
      <c r="V1030">
        <v>-0.1051981</v>
      </c>
      <c r="W1030">
        <v>3.3589550000000003E-2</v>
      </c>
      <c r="X1030">
        <v>0.99388379999999998</v>
      </c>
      <c r="Y1030">
        <v>-5.1801060000000003E-2</v>
      </c>
      <c r="Z1030">
        <v>1.7439409999999999E-3</v>
      </c>
      <c r="AA1030">
        <v>0.99865590000000004</v>
      </c>
      <c r="AB1030">
        <v>22</v>
      </c>
      <c r="AC1030">
        <v>16.867599999999999</v>
      </c>
      <c r="AD1030">
        <v>-1.1045329022120001</v>
      </c>
      <c r="AE1030">
        <v>0.86630000000002305</v>
      </c>
      <c r="AF1030">
        <v>-0.87851167057379698</v>
      </c>
      <c r="AG1030">
        <v>-1.1045329022120001</v>
      </c>
      <c r="AH1030">
        <v>16.794945686312499</v>
      </c>
      <c r="AI1030">
        <v>93.757561498302493</v>
      </c>
      <c r="AJ1030">
        <v>92.994304316550995</v>
      </c>
      <c r="AK1030">
        <v>16.854138254256402</v>
      </c>
      <c r="AL1030">
        <v>88.075098378772594</v>
      </c>
      <c r="AM1030">
        <v>96.042002463939696</v>
      </c>
      <c r="AN1030">
        <v>0.99999995300762501</v>
      </c>
    </row>
    <row r="1031" spans="1:40" x14ac:dyDescent="0.3">
      <c r="A1031" t="str">
        <f>"20200111145931222"</f>
        <v>20200111145931222</v>
      </c>
      <c r="B1031" t="str">
        <f>"1578725971216233"</f>
        <v>1578725971216233</v>
      </c>
      <c r="C1031" t="s">
        <v>40</v>
      </c>
      <c r="D1031">
        <v>3.951724</v>
      </c>
      <c r="E1031">
        <v>0.52091409999999905</v>
      </c>
      <c r="F1031" t="s">
        <v>42</v>
      </c>
      <c r="G1031">
        <v>-361.32810000000001</v>
      </c>
      <c r="H1031" s="1">
        <v>-3.9705929999999997E-6</v>
      </c>
      <c r="I1031">
        <v>368.10509999999999</v>
      </c>
      <c r="J1031">
        <v>-378.23689999999999</v>
      </c>
      <c r="K1031">
        <v>1.1045419999999999</v>
      </c>
      <c r="L1031">
        <v>367.24889999999999</v>
      </c>
      <c r="M1031">
        <v>0.99993540000000003</v>
      </c>
      <c r="N1031">
        <v>0</v>
      </c>
      <c r="O1031">
        <v>-8.8548459999999996E-4</v>
      </c>
      <c r="P1031">
        <v>0.99438380000000004</v>
      </c>
      <c r="Q1031">
        <v>2.2893009999999998E-2</v>
      </c>
      <c r="R1031">
        <v>0.1033285</v>
      </c>
      <c r="S1031">
        <v>3.0056759999999998</v>
      </c>
      <c r="T1031">
        <v>-0.19502420000000001</v>
      </c>
      <c r="U1031">
        <v>0.15118409999999999</v>
      </c>
      <c r="V1031">
        <v>-0.10421420000000001</v>
      </c>
      <c r="W1031">
        <v>3.4139030000000001E-2</v>
      </c>
      <c r="X1031">
        <v>0.99396879999999999</v>
      </c>
      <c r="Y1031">
        <v>-5.1011559999999997E-2</v>
      </c>
      <c r="Z1031">
        <v>1.7095329999999901E-3</v>
      </c>
      <c r="AA1031">
        <v>0.99869660000000005</v>
      </c>
      <c r="AB1031">
        <v>22</v>
      </c>
      <c r="AC1031">
        <v>16.9087999999999</v>
      </c>
      <c r="AD1031">
        <v>-1.1045459705930001</v>
      </c>
      <c r="AE1031">
        <v>0.85620000000000096</v>
      </c>
      <c r="AF1031">
        <v>-0.86748086876198305</v>
      </c>
      <c r="AG1031">
        <v>-1.1045459705930001</v>
      </c>
      <c r="AH1031">
        <v>16.836374892873099</v>
      </c>
      <c r="AI1031">
        <v>93.748537600318102</v>
      </c>
      <c r="AJ1031">
        <v>92.9495113956457</v>
      </c>
      <c r="AK1031">
        <v>16.894853192383401</v>
      </c>
      <c r="AL1031">
        <v>88.043597563456601</v>
      </c>
      <c r="AM1031">
        <v>95.985396677620997</v>
      </c>
      <c r="AN1031">
        <v>1.00000002411221</v>
      </c>
    </row>
    <row r="1032" spans="1:40" x14ac:dyDescent="0.3">
      <c r="A1032" t="str">
        <f>"20200111145931233"</f>
        <v>20200111145931233</v>
      </c>
      <c r="B1032" t="str">
        <f>"1578725971226968"</f>
        <v>1578725971226968</v>
      </c>
      <c r="C1032" t="s">
        <v>40</v>
      </c>
      <c r="D1032">
        <v>3.9852949999999998</v>
      </c>
      <c r="E1032">
        <v>0.52091409999999905</v>
      </c>
      <c r="F1032" t="s">
        <v>42</v>
      </c>
      <c r="G1032">
        <v>-360.98919999999998</v>
      </c>
      <c r="H1032" s="1">
        <v>-4.1194389999999999E-6</v>
      </c>
      <c r="I1032">
        <v>368.0856</v>
      </c>
      <c r="J1032">
        <v>-378.1223</v>
      </c>
      <c r="K1032">
        <v>1.10456</v>
      </c>
      <c r="L1032">
        <v>367.24880000000002</v>
      </c>
      <c r="M1032">
        <v>0.99993540000000003</v>
      </c>
      <c r="N1032">
        <v>0</v>
      </c>
      <c r="O1032">
        <v>-8.0398030000000003E-4</v>
      </c>
      <c r="P1032">
        <v>0.99450070000000002</v>
      </c>
      <c r="Q1032">
        <v>2.3099870000000002E-2</v>
      </c>
      <c r="R1032">
        <v>0.1021504</v>
      </c>
      <c r="S1032">
        <v>3.006195</v>
      </c>
      <c r="T1032">
        <v>-0.19251589999999999</v>
      </c>
      <c r="U1032">
        <v>0.14584349999999999</v>
      </c>
      <c r="V1032">
        <v>-0.1029564</v>
      </c>
      <c r="W1032">
        <v>3.4344420000000001E-2</v>
      </c>
      <c r="X1032">
        <v>0.9940928</v>
      </c>
      <c r="Y1032">
        <v>-4.915829E-2</v>
      </c>
      <c r="Z1032">
        <v>1.622917E-3</v>
      </c>
      <c r="AA1032">
        <v>0.9987897</v>
      </c>
      <c r="AB1032">
        <v>22</v>
      </c>
      <c r="AC1032">
        <v>17.133099999999999</v>
      </c>
      <c r="AD1032">
        <v>-1.1045641194389999</v>
      </c>
      <c r="AE1032">
        <v>0.836799999999982</v>
      </c>
      <c r="AF1032">
        <v>-0.84706299540199803</v>
      </c>
      <c r="AG1032">
        <v>-1.1045641194389999</v>
      </c>
      <c r="AH1032">
        <v>17.061676459389201</v>
      </c>
      <c r="AI1032">
        <v>93.699586066501695</v>
      </c>
      <c r="AJ1032">
        <v>92.842236411953493</v>
      </c>
      <c r="AK1032">
        <v>17.118363859230399</v>
      </c>
      <c r="AL1032">
        <v>88.031822684716104</v>
      </c>
      <c r="AM1032">
        <v>95.912939313938395</v>
      </c>
      <c r="AN1032">
        <v>1.00000002724896</v>
      </c>
    </row>
    <row r="1033" spans="1:40" x14ac:dyDescent="0.3">
      <c r="A1033" t="str">
        <f>"20200111145931245"</f>
        <v>20200111145931245</v>
      </c>
      <c r="B1033" t="str">
        <f>"1578725971236316"</f>
        <v>1578725971236316</v>
      </c>
      <c r="C1033" t="s">
        <v>40</v>
      </c>
      <c r="D1033">
        <v>3.9881730000000002</v>
      </c>
      <c r="E1033">
        <v>0.52172750000000001</v>
      </c>
      <c r="F1033" t="s">
        <v>42</v>
      </c>
      <c r="G1033">
        <v>-360.81139999999999</v>
      </c>
      <c r="H1033" s="1">
        <v>-4.1987199999999998E-6</v>
      </c>
      <c r="I1033">
        <v>368.0686</v>
      </c>
      <c r="J1033">
        <v>-378.00839999999999</v>
      </c>
      <c r="K1033">
        <v>1.1045769999999999</v>
      </c>
      <c r="L1033">
        <v>367.24880000000002</v>
      </c>
      <c r="M1033">
        <v>0.99993560000000004</v>
      </c>
      <c r="N1033">
        <v>0</v>
      </c>
      <c r="O1033">
        <v>-7.143583E-4</v>
      </c>
      <c r="P1033">
        <v>0.99459629999999999</v>
      </c>
      <c r="Q1033">
        <v>2.3176249999999999E-2</v>
      </c>
      <c r="R1033">
        <v>0.1012</v>
      </c>
      <c r="S1033">
        <v>3.0064090000000001</v>
      </c>
      <c r="T1033">
        <v>-0.19183059999999999</v>
      </c>
      <c r="U1033">
        <v>0.14239499999999999</v>
      </c>
      <c r="V1033">
        <v>-0.1019185</v>
      </c>
      <c r="W1033">
        <v>3.441876E-2</v>
      </c>
      <c r="X1033">
        <v>0.99419709999999994</v>
      </c>
      <c r="Y1033">
        <v>-4.7925679999999998E-2</v>
      </c>
      <c r="Z1033">
        <v>1.57210799999999E-3</v>
      </c>
      <c r="AA1033">
        <v>0.99884969999999995</v>
      </c>
      <c r="AB1033">
        <v>22</v>
      </c>
      <c r="AC1033">
        <v>17.196999999999999</v>
      </c>
      <c r="AD1033">
        <v>-1.10458119872</v>
      </c>
      <c r="AE1033">
        <v>0.81979999999998598</v>
      </c>
      <c r="AF1033">
        <v>-0.82867434938840401</v>
      </c>
      <c r="AG1033">
        <v>-1.10458119872</v>
      </c>
      <c r="AH1033">
        <v>17.125915015883798</v>
      </c>
      <c r="AI1033">
        <v>93.686030706797894</v>
      </c>
      <c r="AJ1033">
        <v>92.770219275692398</v>
      </c>
      <c r="AK1033">
        <v>17.181494868991301</v>
      </c>
      <c r="AL1033">
        <v>88.027560649692106</v>
      </c>
      <c r="AM1033">
        <v>95.8531373436129</v>
      </c>
      <c r="AN1033">
        <v>0.99999995266529695</v>
      </c>
    </row>
    <row r="1034" spans="1:40" x14ac:dyDescent="0.3">
      <c r="A1034" t="str">
        <f>"20200111145931255"</f>
        <v>20200111145931255</v>
      </c>
      <c r="B1034" t="str">
        <f>"1578725971247051"</f>
        <v>1578725971247051</v>
      </c>
      <c r="C1034" t="s">
        <v>40</v>
      </c>
      <c r="D1034">
        <v>3.9983490000000002</v>
      </c>
      <c r="E1034">
        <v>0.52212530000000001</v>
      </c>
      <c r="F1034" t="s">
        <v>42</v>
      </c>
      <c r="G1034">
        <v>-360.51799999999997</v>
      </c>
      <c r="H1034" s="1">
        <v>-4.3331290000000002E-6</v>
      </c>
      <c r="I1034">
        <v>368.0204</v>
      </c>
      <c r="J1034">
        <v>-377.8956</v>
      </c>
      <c r="K1034">
        <v>1.1045940000000001</v>
      </c>
      <c r="L1034">
        <v>367.24880000000002</v>
      </c>
      <c r="M1034">
        <v>0.99993569999999998</v>
      </c>
      <c r="N1034">
        <v>0</v>
      </c>
      <c r="O1034">
        <v>-6.0993389999999998E-4</v>
      </c>
      <c r="P1034">
        <v>0.99476390000000003</v>
      </c>
      <c r="Q1034">
        <v>2.320881E-2</v>
      </c>
      <c r="R1034">
        <v>9.9531019999999998E-2</v>
      </c>
      <c r="S1034">
        <v>3.0072019999999999</v>
      </c>
      <c r="T1034">
        <v>-0.18991450000000001</v>
      </c>
      <c r="U1034">
        <v>0.13269039999999999</v>
      </c>
      <c r="V1034">
        <v>-0.1001471</v>
      </c>
      <c r="W1034">
        <v>3.4450689999999999E-2</v>
      </c>
      <c r="X1034">
        <v>0.99437609999999999</v>
      </c>
      <c r="Y1034">
        <v>-4.4600809999999998E-2</v>
      </c>
      <c r="Z1034">
        <v>1.4447240000000001E-3</v>
      </c>
      <c r="AA1034">
        <v>0.9990038</v>
      </c>
      <c r="AB1034">
        <v>22</v>
      </c>
      <c r="AC1034">
        <v>17.377599999999902</v>
      </c>
      <c r="AD1034">
        <v>-1.1045983331289999</v>
      </c>
      <c r="AE1034">
        <v>0.77159999999997797</v>
      </c>
      <c r="AF1034">
        <v>-0.77905817554462298</v>
      </c>
      <c r="AG1034">
        <v>-1.1045983331289999</v>
      </c>
      <c r="AH1034">
        <v>17.307334380332801</v>
      </c>
      <c r="AI1034">
        <v>93.648126162274096</v>
      </c>
      <c r="AJ1034">
        <v>92.577325520775005</v>
      </c>
      <c r="AK1034">
        <v>17.3600372255097</v>
      </c>
      <c r="AL1034">
        <v>88.025730321685401</v>
      </c>
      <c r="AM1034">
        <v>95.751066203800704</v>
      </c>
      <c r="AN1034">
        <v>1.0000000599655401</v>
      </c>
    </row>
    <row r="1035" spans="1:40" x14ac:dyDescent="0.3">
      <c r="A1035" t="str">
        <f>"20200111145931268"</f>
        <v>20200111145931268</v>
      </c>
      <c r="B1035" t="str">
        <f>"1578725971266573"</f>
        <v>1578725971266573</v>
      </c>
      <c r="C1035" t="s">
        <v>40</v>
      </c>
      <c r="D1035">
        <v>3.9435069999999999</v>
      </c>
      <c r="E1035">
        <v>0.52278970000000002</v>
      </c>
      <c r="F1035" t="s">
        <v>42</v>
      </c>
      <c r="G1035">
        <v>-360.31180000000001</v>
      </c>
      <c r="H1035" s="1">
        <v>-4.4294079999999997E-6</v>
      </c>
      <c r="I1035">
        <v>367.97640000000001</v>
      </c>
      <c r="J1035">
        <v>-377.77339999999998</v>
      </c>
      <c r="K1035">
        <v>1.1046100000000001</v>
      </c>
      <c r="L1035">
        <v>367.24880000000002</v>
      </c>
      <c r="M1035">
        <v>0.99993580000000004</v>
      </c>
      <c r="N1035">
        <v>0</v>
      </c>
      <c r="O1035">
        <v>-4.779327E-4</v>
      </c>
      <c r="P1035">
        <v>0.99488810000000005</v>
      </c>
      <c r="Q1035">
        <v>2.3190780000000001E-2</v>
      </c>
      <c r="R1035">
        <v>9.8286949999999998E-2</v>
      </c>
      <c r="S1035">
        <v>3.0077509999999998</v>
      </c>
      <c r="T1035">
        <v>-0.18894330000000001</v>
      </c>
      <c r="U1035">
        <v>0.1244812</v>
      </c>
      <c r="V1035">
        <v>-9.877387E-2</v>
      </c>
      <c r="W1035">
        <v>3.4430679999999998E-2</v>
      </c>
      <c r="X1035">
        <v>0.99451400000000001</v>
      </c>
      <c r="Y1035">
        <v>-4.1745860000000003E-2</v>
      </c>
      <c r="Z1035">
        <v>1.3393459999999999E-3</v>
      </c>
      <c r="AA1035">
        <v>0.9991274</v>
      </c>
      <c r="AB1035">
        <v>22</v>
      </c>
      <c r="AC1035">
        <v>17.461599999999901</v>
      </c>
      <c r="AD1035">
        <v>-1.104614429408</v>
      </c>
      <c r="AE1035">
        <v>0.72759999999999503</v>
      </c>
      <c r="AF1035">
        <v>-0.73301762943024296</v>
      </c>
      <c r="AG1035">
        <v>-1.104614429408</v>
      </c>
      <c r="AH1035">
        <v>17.3917727993433</v>
      </c>
      <c r="AI1035">
        <v>93.630965852066794</v>
      </c>
      <c r="AJ1035">
        <v>92.413438498291299</v>
      </c>
      <c r="AK1035">
        <v>17.442226033012201</v>
      </c>
      <c r="AL1035">
        <v>88.026877219698207</v>
      </c>
      <c r="AM1035">
        <v>95.671943260461802</v>
      </c>
      <c r="AN1035">
        <v>0.99999992265801596</v>
      </c>
    </row>
    <row r="1036" spans="1:40" x14ac:dyDescent="0.3">
      <c r="A1036" t="str">
        <f>"20200111145931290"</f>
        <v>20200111145931290</v>
      </c>
      <c r="B1036" t="str">
        <f>"1578725971287068"</f>
        <v>1578725971287068</v>
      </c>
      <c r="C1036" t="s">
        <v>40</v>
      </c>
      <c r="D1036">
        <v>3.950825</v>
      </c>
      <c r="E1036">
        <v>0.52347279999999996</v>
      </c>
      <c r="F1036" t="s">
        <v>42</v>
      </c>
      <c r="G1036">
        <v>-360.0412</v>
      </c>
      <c r="H1036" s="1">
        <v>-4.5536760000000003E-6</v>
      </c>
      <c r="I1036">
        <v>367.93029999999999</v>
      </c>
      <c r="J1036">
        <v>-377.55680000000001</v>
      </c>
      <c r="K1036">
        <v>1.104644</v>
      </c>
      <c r="L1036">
        <v>367.24900000000002</v>
      </c>
      <c r="M1036">
        <v>0.99993569999999998</v>
      </c>
      <c r="N1036">
        <v>0</v>
      </c>
      <c r="O1036">
        <v>-1.9989070000000001E-4</v>
      </c>
      <c r="P1036">
        <v>0.99508240000000003</v>
      </c>
      <c r="Q1036">
        <v>2.2558910000000001E-2</v>
      </c>
      <c r="R1036">
        <v>9.6448019999999995E-2</v>
      </c>
      <c r="S1036">
        <v>3.008362</v>
      </c>
      <c r="T1036">
        <v>-0.1874024</v>
      </c>
      <c r="U1036">
        <v>0.1156311</v>
      </c>
      <c r="V1036">
        <v>-9.6661200000000003E-2</v>
      </c>
      <c r="W1036">
        <v>3.379447E-2</v>
      </c>
      <c r="X1036">
        <v>0.9947435</v>
      </c>
      <c r="Y1036">
        <v>-3.8532999999999998E-2</v>
      </c>
      <c r="Z1036">
        <v>1.211017E-3</v>
      </c>
      <c r="AA1036">
        <v>0.99925660000000005</v>
      </c>
      <c r="AB1036">
        <v>22</v>
      </c>
      <c r="AC1036">
        <v>17.515599999999999</v>
      </c>
      <c r="AD1036">
        <v>-1.104648553676</v>
      </c>
      <c r="AE1036">
        <v>0.68129999999996405</v>
      </c>
      <c r="AF1036">
        <v>-0.68209256696464005</v>
      </c>
      <c r="AG1036">
        <v>-1.104648553676</v>
      </c>
      <c r="AH1036">
        <v>17.446178021019499</v>
      </c>
      <c r="AI1036">
        <v>93.620231141955699</v>
      </c>
      <c r="AJ1036">
        <v>92.238950605322401</v>
      </c>
      <c r="AK1036">
        <v>17.494417001951</v>
      </c>
      <c r="AL1036">
        <v>88.0633508304213</v>
      </c>
      <c r="AM1036">
        <v>95.550119564300104</v>
      </c>
      <c r="AN1036">
        <v>1.0000000422901301</v>
      </c>
    </row>
    <row r="1037" spans="1:40" x14ac:dyDescent="0.3">
      <c r="A1037" t="str">
        <f>"20200111145931302"</f>
        <v>20200111145931302</v>
      </c>
      <c r="B1037" t="str">
        <f>"1578725971296828"</f>
        <v>1578725971296828</v>
      </c>
      <c r="C1037" t="s">
        <v>40</v>
      </c>
      <c r="D1037">
        <v>3.953376</v>
      </c>
      <c r="E1037">
        <v>0.52376880000000003</v>
      </c>
      <c r="F1037" t="s">
        <v>42</v>
      </c>
      <c r="G1037">
        <v>-359.73759999999999</v>
      </c>
      <c r="H1037" s="1">
        <v>-5.4046310000000003E-7</v>
      </c>
      <c r="I1037">
        <v>367.86829999999998</v>
      </c>
      <c r="J1037">
        <v>-377.44200000000001</v>
      </c>
      <c r="K1037">
        <v>1.104662</v>
      </c>
      <c r="L1037">
        <v>367.24919999999997</v>
      </c>
      <c r="M1037">
        <v>0.99993589999999999</v>
      </c>
      <c r="N1037">
        <v>0</v>
      </c>
      <c r="O1037" s="1">
        <v>-3.1996879999999997E-5</v>
      </c>
      <c r="P1037">
        <v>0.99512970000000001</v>
      </c>
      <c r="Q1037">
        <v>2.2372E-2</v>
      </c>
      <c r="R1037">
        <v>9.6002820000000003E-2</v>
      </c>
      <c r="S1037">
        <v>3.0088810000000001</v>
      </c>
      <c r="T1037">
        <v>-0.18652479999999999</v>
      </c>
      <c r="U1037">
        <v>0.1045837</v>
      </c>
      <c r="V1037">
        <v>-9.6050869999999997E-2</v>
      </c>
      <c r="W1037">
        <v>3.360432E-2</v>
      </c>
      <c r="X1037">
        <v>0.99480900000000005</v>
      </c>
      <c r="Y1037">
        <v>-3.4702759999999999E-2</v>
      </c>
      <c r="Z1037">
        <v>1.076263E-3</v>
      </c>
      <c r="AA1037">
        <v>0.99939710000000004</v>
      </c>
      <c r="AB1037">
        <v>22</v>
      </c>
      <c r="AC1037">
        <v>17.7043999999999</v>
      </c>
      <c r="AD1037">
        <v>-1.1046625404631001</v>
      </c>
      <c r="AE1037">
        <v>0.61910000000000298</v>
      </c>
      <c r="AF1037">
        <v>-0.61726636976601901</v>
      </c>
      <c r="AG1037">
        <v>-1.1046625404631001</v>
      </c>
      <c r="AH1037">
        <v>17.635805877354599</v>
      </c>
      <c r="AI1037">
        <v>93.581993336469907</v>
      </c>
      <c r="AJ1037">
        <v>92.004576747599899</v>
      </c>
      <c r="AK1037">
        <v>17.681146626937998</v>
      </c>
      <c r="AL1037">
        <v>88.074251700250798</v>
      </c>
      <c r="AM1037">
        <v>95.514931327102801</v>
      </c>
      <c r="AN1037">
        <v>0.99999998321570904</v>
      </c>
    </row>
    <row r="1038" spans="1:40" x14ac:dyDescent="0.3">
      <c r="A1038" t="str">
        <f>"20200111145931313"</f>
        <v>20200111145931313</v>
      </c>
      <c r="B1038" t="str">
        <f>"1578725971306587"</f>
        <v>1578725971306587</v>
      </c>
      <c r="C1038" t="s">
        <v>40</v>
      </c>
      <c r="D1038">
        <v>3.8937390000000001</v>
      </c>
      <c r="E1038">
        <v>0.52404890000000004</v>
      </c>
      <c r="F1038" t="s">
        <v>42</v>
      </c>
      <c r="G1038">
        <v>-359.53739999999999</v>
      </c>
      <c r="H1038" s="1">
        <v>-6.1363359999999995E-7</v>
      </c>
      <c r="I1038">
        <v>367.8494</v>
      </c>
      <c r="J1038">
        <v>-377.32870000000003</v>
      </c>
      <c r="K1038">
        <v>1.1046849999999999</v>
      </c>
      <c r="L1038">
        <v>367.24939999999998</v>
      </c>
      <c r="M1038">
        <v>0.99993589999999999</v>
      </c>
      <c r="N1038">
        <v>0</v>
      </c>
      <c r="O1038">
        <v>1.5739969999999901E-4</v>
      </c>
      <c r="P1038">
        <v>0.99514279999999999</v>
      </c>
      <c r="Q1038">
        <v>2.1800659999999999E-2</v>
      </c>
      <c r="R1038">
        <v>9.5998620000000007E-2</v>
      </c>
      <c r="S1038">
        <v>3.009125</v>
      </c>
      <c r="T1038">
        <v>-0.18565300000000001</v>
      </c>
      <c r="U1038">
        <v>0.1008911</v>
      </c>
      <c r="V1038">
        <v>-9.5859169999999994E-2</v>
      </c>
      <c r="W1038">
        <v>3.3030049999999998E-2</v>
      </c>
      <c r="X1038">
        <v>0.99484680000000003</v>
      </c>
      <c r="Y1038">
        <v>-3.3289319999999997E-2</v>
      </c>
      <c r="Z1038">
        <v>1.015958E-3</v>
      </c>
      <c r="AA1038">
        <v>0.99944529999999998</v>
      </c>
      <c r="AB1038">
        <v>22</v>
      </c>
      <c r="AC1038">
        <v>17.7913</v>
      </c>
      <c r="AD1038">
        <v>-1.1046856136336001</v>
      </c>
      <c r="AE1038">
        <v>0.60000000000002196</v>
      </c>
      <c r="AF1038">
        <v>-0.59490850229921199</v>
      </c>
      <c r="AG1038">
        <v>-1.1046856136336001</v>
      </c>
      <c r="AH1038">
        <v>17.723143209390599</v>
      </c>
      <c r="AI1038">
        <v>93.564636203672606</v>
      </c>
      <c r="AJ1038">
        <v>91.922511872844098</v>
      </c>
      <c r="AK1038">
        <v>17.767499870596499</v>
      </c>
      <c r="AL1038">
        <v>88.107173371182697</v>
      </c>
      <c r="AM1038">
        <v>95.503784342895301</v>
      </c>
      <c r="AN1038">
        <v>1.00000006007316</v>
      </c>
    </row>
    <row r="1039" spans="1:40" x14ac:dyDescent="0.3">
      <c r="A1039" t="str">
        <f>"20200111145931325"</f>
        <v>20200111145931325</v>
      </c>
      <c r="B1039" t="str">
        <f>"1578725971316348"</f>
        <v>1578725971316348</v>
      </c>
      <c r="C1039" t="s">
        <v>40</v>
      </c>
      <c r="D1039">
        <v>3.9201329999999999</v>
      </c>
      <c r="E1039">
        <v>0.52431430000000001</v>
      </c>
      <c r="F1039" t="s">
        <v>42</v>
      </c>
      <c r="G1039">
        <v>-359.52480000000003</v>
      </c>
      <c r="H1039" s="1">
        <v>-6.2228000000000004E-7</v>
      </c>
      <c r="I1039">
        <v>367.83300000000003</v>
      </c>
      <c r="J1039">
        <v>-377.22059999999999</v>
      </c>
      <c r="K1039">
        <v>1.1047020000000001</v>
      </c>
      <c r="L1039">
        <v>367.24959999999999</v>
      </c>
      <c r="M1039">
        <v>0.99993569999999998</v>
      </c>
      <c r="N1039">
        <v>0</v>
      </c>
      <c r="O1039">
        <v>3.4748589999999898E-4</v>
      </c>
      <c r="P1039">
        <v>0.99512089999999997</v>
      </c>
      <c r="Q1039">
        <v>2.162101E-2</v>
      </c>
      <c r="R1039">
        <v>9.6266530000000003E-2</v>
      </c>
      <c r="S1039">
        <v>3.0092159999999999</v>
      </c>
      <c r="T1039">
        <v>-0.18671209999999999</v>
      </c>
      <c r="U1039">
        <v>9.8663329999999994E-2</v>
      </c>
      <c r="V1039">
        <v>-9.5939910000000003E-2</v>
      </c>
      <c r="W1039">
        <v>3.2847040000000001E-2</v>
      </c>
      <c r="X1039">
        <v>0.99484499999999998</v>
      </c>
      <c r="Y1039">
        <v>-3.236062E-2</v>
      </c>
      <c r="Z1039">
        <v>9.8116789999999989E-4</v>
      </c>
      <c r="AA1039">
        <v>0.99947580000000003</v>
      </c>
      <c r="AB1039">
        <v>22</v>
      </c>
      <c r="AC1039">
        <v>17.695799999999899</v>
      </c>
      <c r="AD1039">
        <v>-1.1047026222799901</v>
      </c>
      <c r="AE1039">
        <v>0.58340000000004</v>
      </c>
      <c r="AF1039">
        <v>-0.57501203687421798</v>
      </c>
      <c r="AG1039">
        <v>-1.1047026222799901</v>
      </c>
      <c r="AH1039">
        <v>17.627379199844199</v>
      </c>
      <c r="AI1039">
        <v>93.5841182828309</v>
      </c>
      <c r="AJ1039">
        <v>91.868348335347093</v>
      </c>
      <c r="AK1039">
        <v>17.671318688239499</v>
      </c>
      <c r="AL1039">
        <v>88.117664621149402</v>
      </c>
      <c r="AM1039">
        <v>95.508401460471603</v>
      </c>
      <c r="AN1039">
        <v>0.999999984196284</v>
      </c>
    </row>
    <row r="1040" spans="1:40" x14ac:dyDescent="0.3">
      <c r="A1040" t="str">
        <f>"20200111145931335"</f>
        <v>20200111145931335</v>
      </c>
      <c r="B1040" t="str">
        <f>"1578725971327083"</f>
        <v>1578725971327083</v>
      </c>
      <c r="C1040" t="s">
        <v>40</v>
      </c>
      <c r="D1040">
        <v>3.9263530000000002</v>
      </c>
      <c r="E1040">
        <v>0.52456219999999998</v>
      </c>
      <c r="F1040" t="s">
        <v>42</v>
      </c>
      <c r="G1040">
        <v>-359.40960000000001</v>
      </c>
      <c r="H1040" s="1">
        <v>-6.6313419999999897E-7</v>
      </c>
      <c r="I1040">
        <v>367.82679999999999</v>
      </c>
      <c r="J1040">
        <v>-377.10770000000002</v>
      </c>
      <c r="K1040">
        <v>1.1047199999999999</v>
      </c>
      <c r="L1040">
        <v>367.24979999999999</v>
      </c>
      <c r="M1040">
        <v>0.99993569999999998</v>
      </c>
      <c r="N1040">
        <v>0</v>
      </c>
      <c r="O1040">
        <v>5.6110540000000003E-4</v>
      </c>
      <c r="P1040">
        <v>0.99507900000000005</v>
      </c>
      <c r="Q1040">
        <v>2.0922710000000001E-2</v>
      </c>
      <c r="R1040">
        <v>9.6852469999999996E-2</v>
      </c>
      <c r="S1040">
        <v>3.0093079999999999</v>
      </c>
      <c r="T1040">
        <v>-0.1866469</v>
      </c>
      <c r="U1040">
        <v>9.7534179999999998E-2</v>
      </c>
      <c r="V1040">
        <v>-9.6314010000000005E-2</v>
      </c>
      <c r="W1040">
        <v>3.2144550000000001E-2</v>
      </c>
      <c r="X1040">
        <v>0.99483180000000004</v>
      </c>
      <c r="Y1040">
        <v>-3.1773059999999999E-2</v>
      </c>
      <c r="Z1040">
        <v>9.493689E-4</v>
      </c>
      <c r="AA1040">
        <v>0.99949469999999996</v>
      </c>
      <c r="AB1040">
        <v>22</v>
      </c>
      <c r="AC1040">
        <v>17.6981</v>
      </c>
      <c r="AD1040">
        <v>-1.1047206631341999</v>
      </c>
      <c r="AE1040">
        <v>0.57699999999999796</v>
      </c>
      <c r="AF1040">
        <v>-0.56487020942186805</v>
      </c>
      <c r="AG1040">
        <v>-1.1047206631341999</v>
      </c>
      <c r="AH1040">
        <v>17.629803040022502</v>
      </c>
      <c r="AI1040">
        <v>93.583752101666605</v>
      </c>
      <c r="AJ1040">
        <v>91.835165741400601</v>
      </c>
      <c r="AK1040">
        <v>17.6734105742789</v>
      </c>
      <c r="AL1040">
        <v>88.157935605310499</v>
      </c>
      <c r="AM1040">
        <v>95.529820499075001</v>
      </c>
      <c r="AN1040">
        <v>0.99999998545411095</v>
      </c>
    </row>
    <row r="1041" spans="1:40" x14ac:dyDescent="0.3">
      <c r="A1041" t="str">
        <f>"20200111145931347"</f>
        <v>20200111145931347</v>
      </c>
      <c r="B1041" t="str">
        <f>"1578725971336426"</f>
        <v>1578725971336426</v>
      </c>
      <c r="C1041" t="s">
        <v>40</v>
      </c>
      <c r="D1041">
        <v>3.8934660000000001</v>
      </c>
      <c r="E1041">
        <v>0.52478939999999996</v>
      </c>
      <c r="F1041" t="s">
        <v>42</v>
      </c>
      <c r="G1041">
        <v>-359.43639999999999</v>
      </c>
      <c r="H1041" s="1">
        <v>-6.5557709999999996E-7</v>
      </c>
      <c r="I1041">
        <v>367.82089999999999</v>
      </c>
      <c r="J1041">
        <v>-377.0034</v>
      </c>
      <c r="K1041">
        <v>1.1047340000000001</v>
      </c>
      <c r="L1041">
        <v>367.25009999999997</v>
      </c>
      <c r="M1041">
        <v>0.99993540000000003</v>
      </c>
      <c r="N1041">
        <v>0</v>
      </c>
      <c r="O1041">
        <v>7.7044530000000002E-4</v>
      </c>
      <c r="P1041">
        <v>0.99503079999999999</v>
      </c>
      <c r="Q1041">
        <v>2.0612060000000001E-2</v>
      </c>
      <c r="R1041">
        <v>9.7411520000000001E-2</v>
      </c>
      <c r="S1041">
        <v>3.009369</v>
      </c>
      <c r="T1041">
        <v>-0.1881292</v>
      </c>
      <c r="U1041">
        <v>9.7259520000000002E-2</v>
      </c>
      <c r="V1041">
        <v>-9.6665550000000003E-2</v>
      </c>
      <c r="W1041">
        <v>3.1830959999999998E-2</v>
      </c>
      <c r="X1041">
        <v>0.99480780000000002</v>
      </c>
      <c r="Y1041">
        <v>-3.1472069999999998E-2</v>
      </c>
      <c r="Z1041">
        <v>9.3440769999999997E-4</v>
      </c>
      <c r="AA1041">
        <v>0.99950419999999995</v>
      </c>
      <c r="AB1041">
        <v>22</v>
      </c>
      <c r="AC1041">
        <v>17.567</v>
      </c>
      <c r="AD1041">
        <v>-1.1047346555771</v>
      </c>
      <c r="AE1041">
        <v>0.57080000000001896</v>
      </c>
      <c r="AF1041">
        <v>-0.55507168436766496</v>
      </c>
      <c r="AG1041">
        <v>-1.1047346555771</v>
      </c>
      <c r="AH1041">
        <v>17.498305869603499</v>
      </c>
      <c r="AI1041">
        <v>93.610694708098805</v>
      </c>
      <c r="AJ1041">
        <v>91.816896113433302</v>
      </c>
      <c r="AK1041">
        <v>17.5419283871591</v>
      </c>
      <c r="AL1041">
        <v>88.1759122127376</v>
      </c>
      <c r="AM1041">
        <v>95.550011262796005</v>
      </c>
      <c r="AN1041">
        <v>0.99999999875608203</v>
      </c>
    </row>
    <row r="1042" spans="1:40" x14ac:dyDescent="0.3">
      <c r="A1042" t="str">
        <f>"20200111145931356"</f>
        <v>20200111145931356</v>
      </c>
      <c r="B1042" t="str">
        <f>"1578725971347162"</f>
        <v>1578725971347162</v>
      </c>
      <c r="C1042" t="s">
        <v>40</v>
      </c>
      <c r="D1042">
        <v>3.908598</v>
      </c>
      <c r="E1042">
        <v>0.52502519999999997</v>
      </c>
      <c r="F1042" t="s">
        <v>42</v>
      </c>
      <c r="G1042">
        <v>-359.358</v>
      </c>
      <c r="H1042" s="1">
        <v>-6.8249300000000005E-7</v>
      </c>
      <c r="I1042">
        <v>367.82</v>
      </c>
      <c r="J1042">
        <v>-376.89600000000002</v>
      </c>
      <c r="K1042">
        <v>1.104746</v>
      </c>
      <c r="L1042">
        <v>367.25049999999999</v>
      </c>
      <c r="M1042">
        <v>0.99993529999999997</v>
      </c>
      <c r="N1042">
        <v>0</v>
      </c>
      <c r="O1042">
        <v>9.9389519999999992E-4</v>
      </c>
      <c r="P1042">
        <v>0.99494800000000005</v>
      </c>
      <c r="Q1042">
        <v>2.06579E-2</v>
      </c>
      <c r="R1042">
        <v>9.8244670000000006E-2</v>
      </c>
      <c r="S1042">
        <v>3.0093380000000001</v>
      </c>
      <c r="T1042">
        <v>-0.18840680000000001</v>
      </c>
      <c r="U1042">
        <v>9.7198489999999999E-2</v>
      </c>
      <c r="V1042">
        <v>-9.7277799999999998E-2</v>
      </c>
      <c r="W1042">
        <v>3.187338E-2</v>
      </c>
      <c r="X1042">
        <v>0.99474669999999998</v>
      </c>
      <c r="Y1042">
        <v>-3.1229529999999998E-2</v>
      </c>
      <c r="Z1042">
        <v>9.1423769999999995E-4</v>
      </c>
      <c r="AA1042">
        <v>0.99951179999999995</v>
      </c>
      <c r="AB1042">
        <v>22</v>
      </c>
      <c r="AC1042">
        <v>17.537999999999901</v>
      </c>
      <c r="AD1042">
        <v>-1.1047466824929999</v>
      </c>
      <c r="AE1042">
        <v>0.569500000000005</v>
      </c>
      <c r="AF1042">
        <v>-0.549888040056975</v>
      </c>
      <c r="AG1042">
        <v>-1.1047466824929999</v>
      </c>
      <c r="AH1042">
        <v>17.469313195062401</v>
      </c>
      <c r="AI1042">
        <v>93.616738312098406</v>
      </c>
      <c r="AJ1042">
        <v>91.802925163711393</v>
      </c>
      <c r="AK1042">
        <v>17.512845159946401</v>
      </c>
      <c r="AL1042">
        <v>88.173480384430803</v>
      </c>
      <c r="AM1042">
        <v>95.585282658288193</v>
      </c>
      <c r="AN1042">
        <v>0.99999993994317504</v>
      </c>
    </row>
    <row r="1043" spans="1:40" x14ac:dyDescent="0.3">
      <c r="A1043" t="str">
        <f>"20200111145931368"</f>
        <v>20200111145931368</v>
      </c>
      <c r="B1043" t="str">
        <f>"1578725971356923"</f>
        <v>1578725971356923</v>
      </c>
      <c r="C1043" t="s">
        <v>40</v>
      </c>
      <c r="D1043">
        <v>3.9098459999999999</v>
      </c>
      <c r="E1043">
        <v>0.52524099999999996</v>
      </c>
      <c r="F1043" t="s">
        <v>42</v>
      </c>
      <c r="G1043">
        <v>-359.19130000000001</v>
      </c>
      <c r="H1043" s="1">
        <v>-7.3757490000000005E-7</v>
      </c>
      <c r="I1043">
        <v>367.82619999999997</v>
      </c>
      <c r="J1043">
        <v>-376.78989999999999</v>
      </c>
      <c r="K1043">
        <v>1.1047559999999901</v>
      </c>
      <c r="L1043">
        <v>367.25080000000003</v>
      </c>
      <c r="M1043">
        <v>0.99993500000000002</v>
      </c>
      <c r="N1043">
        <v>0</v>
      </c>
      <c r="O1043">
        <v>1.224691E-3</v>
      </c>
      <c r="P1043">
        <v>0.99488200000000004</v>
      </c>
      <c r="Q1043">
        <v>2.0645150000000001E-2</v>
      </c>
      <c r="R1043">
        <v>9.8912269999999997E-2</v>
      </c>
      <c r="S1043">
        <v>3.0093990000000002</v>
      </c>
      <c r="T1043">
        <v>-0.18778110000000001</v>
      </c>
      <c r="U1043">
        <v>9.7869869999999998E-2</v>
      </c>
      <c r="V1043">
        <v>-9.7717059999999994E-2</v>
      </c>
      <c r="W1043">
        <v>3.1858119999999997E-2</v>
      </c>
      <c r="X1043">
        <v>0.99470420000000004</v>
      </c>
      <c r="Y1043">
        <v>-3.1221789999999999E-2</v>
      </c>
      <c r="Z1043">
        <v>8.9656039999999897E-4</v>
      </c>
      <c r="AA1043">
        <v>0.99951210000000001</v>
      </c>
      <c r="AB1043">
        <v>22</v>
      </c>
      <c r="AC1043">
        <v>17.598599999999902</v>
      </c>
      <c r="AD1043">
        <v>-1.1047567375748999</v>
      </c>
      <c r="AE1043">
        <v>0.57539999999994496</v>
      </c>
      <c r="AF1043">
        <v>-0.55167365916733202</v>
      </c>
      <c r="AG1043">
        <v>-1.1047567375748999</v>
      </c>
      <c r="AH1043">
        <v>17.530283128163099</v>
      </c>
      <c r="AI1043">
        <v>93.604226170927205</v>
      </c>
      <c r="AJ1043">
        <v>91.802489089130503</v>
      </c>
      <c r="AK1043">
        <v>17.573720659808998</v>
      </c>
      <c r="AL1043">
        <v>88.174355280337394</v>
      </c>
      <c r="AM1043">
        <v>95.610580757575505</v>
      </c>
      <c r="AN1043">
        <v>1.0000000045613</v>
      </c>
    </row>
    <row r="1044" spans="1:40" x14ac:dyDescent="0.3">
      <c r="A1044" t="str">
        <f>"20200111145931379"</f>
        <v>20200111145931379</v>
      </c>
      <c r="B1044" t="str">
        <f>"1578725971376442"</f>
        <v>1578725971376442</v>
      </c>
      <c r="C1044" t="s">
        <v>40</v>
      </c>
      <c r="D1044">
        <v>3.9045100000000001</v>
      </c>
      <c r="E1044">
        <v>0.52566250000000003</v>
      </c>
      <c r="F1044" t="s">
        <v>42</v>
      </c>
      <c r="G1044">
        <v>-359.01859999999999</v>
      </c>
      <c r="H1044" s="1">
        <v>-7.9530169999999995E-7</v>
      </c>
      <c r="I1044">
        <v>367.83010000000002</v>
      </c>
      <c r="J1044">
        <v>-376.68150000000003</v>
      </c>
      <c r="K1044">
        <v>1.104768</v>
      </c>
      <c r="L1044">
        <v>367.25119999999998</v>
      </c>
      <c r="M1044">
        <v>0.99993460000000001</v>
      </c>
      <c r="N1044">
        <v>0</v>
      </c>
      <c r="O1044">
        <v>1.46465299999999E-3</v>
      </c>
      <c r="P1044">
        <v>0.99478920000000004</v>
      </c>
      <c r="Q1044">
        <v>2.071098E-2</v>
      </c>
      <c r="R1044">
        <v>9.9827059999999995E-2</v>
      </c>
      <c r="S1044">
        <v>3.0095519999999998</v>
      </c>
      <c r="T1044">
        <v>-0.1870879</v>
      </c>
      <c r="U1044">
        <v>9.8114010000000001E-2</v>
      </c>
      <c r="V1044">
        <v>-9.8393670000000003E-2</v>
      </c>
      <c r="W1044">
        <v>3.192151E-2</v>
      </c>
      <c r="X1044">
        <v>0.99463550000000001</v>
      </c>
      <c r="Y1044">
        <v>-3.106248E-2</v>
      </c>
      <c r="Z1044">
        <v>8.7336559999999996E-4</v>
      </c>
      <c r="AA1044">
        <v>0.99951710000000005</v>
      </c>
      <c r="AB1044">
        <v>22</v>
      </c>
      <c r="AC1044">
        <v>17.6629</v>
      </c>
      <c r="AD1044">
        <v>-1.1047687953017</v>
      </c>
      <c r="AE1044">
        <v>0.57890000000003194</v>
      </c>
      <c r="AF1044">
        <v>-0.55087488633602</v>
      </c>
      <c r="AG1044">
        <v>-1.1047687953017</v>
      </c>
      <c r="AH1044">
        <v>17.594968182395501</v>
      </c>
      <c r="AI1044">
        <v>93.591067736502396</v>
      </c>
      <c r="AJ1044">
        <v>91.793268325413393</v>
      </c>
      <c r="AK1044">
        <v>17.6382222055109</v>
      </c>
      <c r="AL1044">
        <v>88.170721512925994</v>
      </c>
      <c r="AM1044">
        <v>95.649566637565599</v>
      </c>
      <c r="AN1044">
        <v>1.0000000374784901</v>
      </c>
    </row>
    <row r="1045" spans="1:40" x14ac:dyDescent="0.3">
      <c r="A1045" t="str">
        <f>"20200111145931391"</f>
        <v>20200111145931391</v>
      </c>
      <c r="B1045" t="str">
        <f>"1578725971387178"</f>
        <v>1578725971387178</v>
      </c>
      <c r="C1045" t="s">
        <v>40</v>
      </c>
      <c r="D1045">
        <v>3.9252959999999999</v>
      </c>
      <c r="E1045">
        <v>0.52591069999999995</v>
      </c>
      <c r="F1045" t="s">
        <v>42</v>
      </c>
      <c r="G1045">
        <v>-358.75099999999998</v>
      </c>
      <c r="H1045" s="1">
        <v>-8.8581109999999998E-7</v>
      </c>
      <c r="I1045">
        <v>367.8322</v>
      </c>
      <c r="J1045">
        <v>-376.5736</v>
      </c>
      <c r="K1045">
        <v>1.1047739999999999</v>
      </c>
      <c r="L1045">
        <v>367.25170000000003</v>
      </c>
      <c r="M1045">
        <v>0.99993430000000005</v>
      </c>
      <c r="N1045">
        <v>0</v>
      </c>
      <c r="O1045">
        <v>1.711349E-3</v>
      </c>
      <c r="P1045">
        <v>0.9947066</v>
      </c>
      <c r="Q1045">
        <v>2.0860690000000001E-2</v>
      </c>
      <c r="R1045">
        <v>0.10061870000000001</v>
      </c>
      <c r="S1045">
        <v>3.0097659999999999</v>
      </c>
      <c r="T1045">
        <v>-0.185443</v>
      </c>
      <c r="U1045">
        <v>9.7534179999999998E-2</v>
      </c>
      <c r="V1045">
        <v>-9.8940529999999999E-2</v>
      </c>
      <c r="W1045">
        <v>3.2069729999999998E-2</v>
      </c>
      <c r="X1045">
        <v>0.99457649999999997</v>
      </c>
      <c r="Y1045">
        <v>-3.062353E-2</v>
      </c>
      <c r="Z1045">
        <v>8.3695399999999902E-4</v>
      </c>
      <c r="AA1045">
        <v>0.99953060000000005</v>
      </c>
      <c r="AB1045">
        <v>22</v>
      </c>
      <c r="AC1045">
        <v>17.822600000000001</v>
      </c>
      <c r="AD1045">
        <v>-1.1047748858110999</v>
      </c>
      <c r="AE1045">
        <v>0.58049999999997204</v>
      </c>
      <c r="AF1045">
        <v>-0.54789349283146505</v>
      </c>
      <c r="AG1045">
        <v>-1.1047748858110999</v>
      </c>
      <c r="AH1045">
        <v>17.755415835693</v>
      </c>
      <c r="AI1045">
        <v>93.558769919177905</v>
      </c>
      <c r="AJ1045">
        <v>91.767462213769306</v>
      </c>
      <c r="AK1045">
        <v>17.7981882877495</v>
      </c>
      <c r="AL1045">
        <v>88.162224815138103</v>
      </c>
      <c r="AM1045">
        <v>95.681096214174502</v>
      </c>
      <c r="AN1045">
        <v>1.0000000552056001</v>
      </c>
    </row>
    <row r="1046" spans="1:40" x14ac:dyDescent="0.3">
      <c r="A1046" t="str">
        <f>"20200111145931402"</f>
        <v>20200111145931402</v>
      </c>
      <c r="B1046" t="str">
        <f>"1578725971396938"</f>
        <v>1578725971396938</v>
      </c>
      <c r="C1046" t="s">
        <v>40</v>
      </c>
      <c r="D1046">
        <v>3.917468</v>
      </c>
      <c r="E1046">
        <v>0.52612630000000005</v>
      </c>
      <c r="F1046" t="s">
        <v>42</v>
      </c>
      <c r="G1046">
        <v>-358.53859999999997</v>
      </c>
      <c r="H1046" s="1">
        <v>-9.5678869999999998E-7</v>
      </c>
      <c r="I1046">
        <v>367.83710000000002</v>
      </c>
      <c r="J1046">
        <v>-376.45729999999998</v>
      </c>
      <c r="K1046">
        <v>1.104778</v>
      </c>
      <c r="L1046">
        <v>367.25209999999998</v>
      </c>
      <c r="M1046">
        <v>0.99993379999999998</v>
      </c>
      <c r="N1046">
        <v>0</v>
      </c>
      <c r="O1046">
        <v>1.9786560000000001E-3</v>
      </c>
      <c r="P1046">
        <v>0.99463939999999995</v>
      </c>
      <c r="Q1046">
        <v>2.086091E-2</v>
      </c>
      <c r="R1046">
        <v>0.10128</v>
      </c>
      <c r="S1046">
        <v>3.0099490000000002</v>
      </c>
      <c r="T1046">
        <v>-0.1843804</v>
      </c>
      <c r="U1046">
        <v>9.7717289999999998E-2</v>
      </c>
      <c r="V1046">
        <v>-9.933604E-2</v>
      </c>
      <c r="W1046">
        <v>3.2069250000000001E-2</v>
      </c>
      <c r="X1046">
        <v>0.99453709999999995</v>
      </c>
      <c r="Y1046">
        <v>-3.0416619999999998E-2</v>
      </c>
      <c r="Z1046">
        <v>8.0943029999999997E-4</v>
      </c>
      <c r="AA1046">
        <v>0.99953700000000001</v>
      </c>
      <c r="AB1046">
        <v>22</v>
      </c>
      <c r="AC1046">
        <v>17.918700000000001</v>
      </c>
      <c r="AD1046">
        <v>-1.1047789567886901</v>
      </c>
      <c r="AE1046">
        <v>0.58500000000003605</v>
      </c>
      <c r="AF1046">
        <v>-0.54746275215158002</v>
      </c>
      <c r="AG1046">
        <v>-1.1047789567886901</v>
      </c>
      <c r="AH1046">
        <v>17.852032946150999</v>
      </c>
      <c r="AI1046">
        <v>93.539592323827804</v>
      </c>
      <c r="AJ1046">
        <v>91.756521382987302</v>
      </c>
      <c r="AK1046">
        <v>17.894561529101999</v>
      </c>
      <c r="AL1046">
        <v>88.162252348272304</v>
      </c>
      <c r="AM1046">
        <v>95.703881150462493</v>
      </c>
      <c r="AN1046">
        <v>1.0000000644574201</v>
      </c>
    </row>
    <row r="1047" spans="1:40" x14ac:dyDescent="0.3">
      <c r="A1047" t="str">
        <f>"20200111145931414"</f>
        <v>20200111145931414</v>
      </c>
      <c r="B1047" t="str">
        <f>"1578725971406698"</f>
        <v>1578725971406698</v>
      </c>
      <c r="C1047" t="s">
        <v>40</v>
      </c>
      <c r="D1047">
        <v>3.8997769999999998</v>
      </c>
      <c r="E1047">
        <v>0.52632330000000005</v>
      </c>
      <c r="F1047" t="s">
        <v>42</v>
      </c>
      <c r="G1047">
        <v>-358.3734</v>
      </c>
      <c r="H1047" s="1">
        <v>-1.011701E-6</v>
      </c>
      <c r="I1047">
        <v>367.84210000000002</v>
      </c>
      <c r="J1047">
        <v>-376.3313</v>
      </c>
      <c r="K1047">
        <v>1.104778</v>
      </c>
      <c r="L1047">
        <v>367.2527</v>
      </c>
      <c r="M1047">
        <v>0.99993310000000002</v>
      </c>
      <c r="N1047">
        <v>0</v>
      </c>
      <c r="O1047">
        <v>2.2728549999999998E-3</v>
      </c>
      <c r="P1047">
        <v>0.99458060000000004</v>
      </c>
      <c r="Q1047">
        <v>2.0833609999999999E-2</v>
      </c>
      <c r="R1047">
        <v>0.10185950000000001</v>
      </c>
      <c r="S1047">
        <v>3.01004</v>
      </c>
      <c r="T1047">
        <v>-0.18388699999999999</v>
      </c>
      <c r="U1047">
        <v>9.8205570000000006E-2</v>
      </c>
      <c r="V1047">
        <v>-9.9623020000000007E-2</v>
      </c>
      <c r="W1047">
        <v>3.2042569999999999E-2</v>
      </c>
      <c r="X1047">
        <v>0.99450919999999998</v>
      </c>
      <c r="Y1047">
        <v>-3.0284599999999998E-2</v>
      </c>
      <c r="Z1047">
        <v>7.85262E-4</v>
      </c>
      <c r="AA1047">
        <v>0.99954100000000001</v>
      </c>
      <c r="AB1047">
        <v>22</v>
      </c>
      <c r="AC1047">
        <v>17.957899999999899</v>
      </c>
      <c r="AD1047">
        <v>-1.1047790117009999</v>
      </c>
      <c r="AE1047">
        <v>0.58940000000001103</v>
      </c>
      <c r="AF1047">
        <v>-0.54651394436602996</v>
      </c>
      <c r="AG1047">
        <v>-1.1047790117009999</v>
      </c>
      <c r="AH1047">
        <v>17.891550741630802</v>
      </c>
      <c r="AI1047">
        <v>93.531807277200301</v>
      </c>
      <c r="AJ1047">
        <v>91.749608486972903</v>
      </c>
      <c r="AK1047">
        <v>17.933956677109201</v>
      </c>
      <c r="AL1047">
        <v>88.163781686739199</v>
      </c>
      <c r="AM1047">
        <v>95.720409845627302</v>
      </c>
      <c r="AN1047">
        <v>1.0000000106453799</v>
      </c>
    </row>
    <row r="1048" spans="1:40" x14ac:dyDescent="0.3">
      <c r="A1048" t="str">
        <f>"20200111145931427"</f>
        <v>20200111145931427</v>
      </c>
      <c r="B1048" t="str">
        <f>"1578725971416458"</f>
        <v>1578725971416458</v>
      </c>
      <c r="C1048" t="s">
        <v>40</v>
      </c>
      <c r="D1048">
        <v>3.8848690000000001</v>
      </c>
      <c r="E1048">
        <v>0.52656320000000001</v>
      </c>
      <c r="F1048" t="s">
        <v>42</v>
      </c>
      <c r="G1048">
        <v>-358.20530000000002</v>
      </c>
      <c r="H1048" s="1">
        <v>-1.0678430000000001E-6</v>
      </c>
      <c r="I1048">
        <v>367.846</v>
      </c>
      <c r="J1048">
        <v>-376.21280000000002</v>
      </c>
      <c r="K1048">
        <v>1.104776</v>
      </c>
      <c r="L1048">
        <v>367.25330000000002</v>
      </c>
      <c r="M1048">
        <v>0.99993240000000005</v>
      </c>
      <c r="N1048">
        <v>0</v>
      </c>
      <c r="O1048">
        <v>2.549333E-3</v>
      </c>
      <c r="P1048">
        <v>0.99455020000000005</v>
      </c>
      <c r="Q1048">
        <v>2.0939360000000001E-2</v>
      </c>
      <c r="R1048">
        <v>0.1021355</v>
      </c>
      <c r="S1048">
        <v>3.010132</v>
      </c>
      <c r="T1048">
        <v>-0.1834664</v>
      </c>
      <c r="U1048">
        <v>9.8541260000000006E-2</v>
      </c>
      <c r="V1048">
        <v>-9.9624110000000002E-2</v>
      </c>
      <c r="W1048">
        <v>3.214885E-2</v>
      </c>
      <c r="X1048">
        <v>0.99450559999999999</v>
      </c>
      <c r="Y1048">
        <v>-3.0119650000000001E-2</v>
      </c>
      <c r="Z1048">
        <v>7.6159139999999997E-4</v>
      </c>
      <c r="AA1048">
        <v>0.99954600000000005</v>
      </c>
      <c r="AB1048">
        <v>22</v>
      </c>
      <c r="AC1048">
        <v>18.007499999999901</v>
      </c>
      <c r="AD1048">
        <v>-1.104777067843</v>
      </c>
      <c r="AE1048">
        <v>0.59269999999997902</v>
      </c>
      <c r="AF1048">
        <v>-0.54473985723199603</v>
      </c>
      <c r="AG1048">
        <v>-1.104777067843</v>
      </c>
      <c r="AH1048">
        <v>17.941494968504198</v>
      </c>
      <c r="AI1048">
        <v>93.522013948730105</v>
      </c>
      <c r="AJ1048">
        <v>91.739080794540101</v>
      </c>
      <c r="AK1048">
        <v>17.983729190202698</v>
      </c>
      <c r="AL1048">
        <v>88.157689040973594</v>
      </c>
      <c r="AM1048">
        <v>95.720492589076599</v>
      </c>
      <c r="AN1048">
        <v>0.99999995014048604</v>
      </c>
    </row>
    <row r="1049" spans="1:40" x14ac:dyDescent="0.3">
      <c r="A1049" t="str">
        <f>"20200111145931439"</f>
        <v>20200111145931439</v>
      </c>
      <c r="B1049" t="str">
        <f>"1578725971436264"</f>
        <v>1578725971436264</v>
      </c>
      <c r="C1049" t="s">
        <v>40</v>
      </c>
      <c r="D1049">
        <v>4.014526</v>
      </c>
      <c r="E1049">
        <v>0.52711949999999996</v>
      </c>
      <c r="F1049" t="s">
        <v>42</v>
      </c>
      <c r="G1049">
        <v>-358.00659999999999</v>
      </c>
      <c r="H1049" s="1">
        <v>-1.1518539999999999E-6</v>
      </c>
      <c r="I1049">
        <v>367.84410000000003</v>
      </c>
      <c r="J1049">
        <v>-376.09190000000001</v>
      </c>
      <c r="K1049">
        <v>1.1047750000000001</v>
      </c>
      <c r="L1049">
        <v>367.25389999999999</v>
      </c>
      <c r="M1049">
        <v>0.99993180000000004</v>
      </c>
      <c r="N1049">
        <v>0</v>
      </c>
      <c r="O1049">
        <v>2.831456E-3</v>
      </c>
      <c r="P1049">
        <v>0.99453420000000003</v>
      </c>
      <c r="Q1049">
        <v>2.0832340000000001E-2</v>
      </c>
      <c r="R1049">
        <v>0.10231369999999999</v>
      </c>
      <c r="S1049">
        <v>3.0102229999999999</v>
      </c>
      <c r="T1049">
        <v>-0.18266299999999999</v>
      </c>
      <c r="U1049">
        <v>9.7686770000000006E-2</v>
      </c>
      <c r="V1049">
        <v>-9.9521520000000002E-2</v>
      </c>
      <c r="W1049">
        <v>3.2043990000000001E-2</v>
      </c>
      <c r="X1049">
        <v>0.99451929999999999</v>
      </c>
      <c r="Y1049">
        <v>-2.9555209999999998E-2</v>
      </c>
      <c r="Z1049">
        <v>7.2403789999999995E-4</v>
      </c>
      <c r="AA1049">
        <v>0.99956290000000003</v>
      </c>
      <c r="AB1049">
        <v>22</v>
      </c>
      <c r="AC1049">
        <v>18.0853</v>
      </c>
      <c r="AD1049">
        <v>-1.104776151854</v>
      </c>
      <c r="AE1049">
        <v>0.59020000000003803</v>
      </c>
      <c r="AF1049">
        <v>-0.53698492466647996</v>
      </c>
      <c r="AG1049">
        <v>-1.104776151854</v>
      </c>
      <c r="AH1049">
        <v>18.019727529208598</v>
      </c>
      <c r="AI1049">
        <v>93.506817583101906</v>
      </c>
      <c r="AJ1049">
        <v>91.706899691580702</v>
      </c>
      <c r="AK1049">
        <v>18.061546539041</v>
      </c>
      <c r="AL1049">
        <v>88.163700254640901</v>
      </c>
      <c r="AM1049">
        <v>95.714562601521706</v>
      </c>
      <c r="AN1049">
        <v>0.99999999415536001</v>
      </c>
    </row>
    <row r="1050" spans="1:40" x14ac:dyDescent="0.3">
      <c r="A1050" t="str">
        <f>"20200111145931450"</f>
        <v>20200111145931450</v>
      </c>
      <c r="B1050" t="str">
        <f>"1578725971446999"</f>
        <v>1578725971446999</v>
      </c>
      <c r="C1050" t="s">
        <v>40</v>
      </c>
      <c r="D1050">
        <v>4.1802530000000004</v>
      </c>
      <c r="E1050">
        <v>0.52733769999999902</v>
      </c>
      <c r="F1050" t="s">
        <v>42</v>
      </c>
      <c r="G1050">
        <v>-357.8279</v>
      </c>
      <c r="H1050" s="1">
        <v>-1.232191E-6</v>
      </c>
      <c r="I1050">
        <v>367.82350000000002</v>
      </c>
      <c r="J1050">
        <v>-375.98329999999999</v>
      </c>
      <c r="K1050">
        <v>1.1047720000000001</v>
      </c>
      <c r="L1050">
        <v>367.25450000000001</v>
      </c>
      <c r="M1050">
        <v>0.99993089999999996</v>
      </c>
      <c r="N1050">
        <v>0</v>
      </c>
      <c r="O1050">
        <v>3.082867E-3</v>
      </c>
      <c r="P1050">
        <v>0.99453659999999999</v>
      </c>
      <c r="Q1050">
        <v>2.0655550000000002E-2</v>
      </c>
      <c r="R1050">
        <v>0.1023254</v>
      </c>
      <c r="S1050">
        <v>3.0106510000000002</v>
      </c>
      <c r="T1050">
        <v>-0.1821102</v>
      </c>
      <c r="U1050">
        <v>9.3902589999999994E-2</v>
      </c>
      <c r="V1050">
        <v>-9.9282599999999999E-2</v>
      </c>
      <c r="W1050">
        <v>3.1869559999999998E-2</v>
      </c>
      <c r="X1050">
        <v>0.99454880000000001</v>
      </c>
      <c r="Y1050">
        <v>-2.8047679999999998E-2</v>
      </c>
      <c r="Z1050">
        <v>6.6103059999999896E-4</v>
      </c>
      <c r="AA1050">
        <v>0.99960640000000001</v>
      </c>
      <c r="AB1050">
        <v>22</v>
      </c>
      <c r="AC1050">
        <v>18.155399999999901</v>
      </c>
      <c r="AD1050">
        <v>-1.10477323219099</v>
      </c>
      <c r="AE1050">
        <v>0.56900000000001605</v>
      </c>
      <c r="AF1050">
        <v>-0.51113222803938896</v>
      </c>
      <c r="AG1050">
        <v>-1.10477323219099</v>
      </c>
      <c r="AH1050">
        <v>18.0901488279437</v>
      </c>
      <c r="AI1050">
        <v>93.493347064961497</v>
      </c>
      <c r="AJ1050">
        <v>91.618446052037498</v>
      </c>
      <c r="AK1050">
        <v>18.131058012875599</v>
      </c>
      <c r="AL1050">
        <v>88.1736994927344</v>
      </c>
      <c r="AM1050">
        <v>95.700766216417193</v>
      </c>
      <c r="AN1050">
        <v>1.0000000095493899</v>
      </c>
    </row>
    <row r="1051" spans="1:40" x14ac:dyDescent="0.3">
      <c r="A1051" t="str">
        <f>"20200111145931467"</f>
        <v>20200111145931467</v>
      </c>
      <c r="B1051" t="str">
        <f>"1578725971456759"</f>
        <v>1578725971456759</v>
      </c>
      <c r="C1051" t="s">
        <v>40</v>
      </c>
      <c r="D1051">
        <v>3.8905940000000001</v>
      </c>
      <c r="E1051">
        <v>0.52755339999999995</v>
      </c>
      <c r="F1051" t="s">
        <v>42</v>
      </c>
      <c r="G1051">
        <v>-357.6628</v>
      </c>
      <c r="H1051" s="1">
        <v>-1.3043449999999999E-6</v>
      </c>
      <c r="I1051">
        <v>367.81599999999997</v>
      </c>
      <c r="J1051">
        <v>-375.81470000000002</v>
      </c>
      <c r="K1051">
        <v>1.10477</v>
      </c>
      <c r="L1051">
        <v>367.25540000000001</v>
      </c>
      <c r="M1051">
        <v>0.99992970000000003</v>
      </c>
      <c r="N1051">
        <v>0</v>
      </c>
      <c r="O1051">
        <v>3.4685229999999998E-3</v>
      </c>
      <c r="P1051">
        <v>0.99456909999999998</v>
      </c>
      <c r="Q1051">
        <v>2.1003859999999999E-2</v>
      </c>
      <c r="R1051">
        <v>0.1019366</v>
      </c>
      <c r="S1051">
        <v>3.010742</v>
      </c>
      <c r="T1051">
        <v>-0.18155360000000001</v>
      </c>
      <c r="U1051">
        <v>9.2285160000000005E-2</v>
      </c>
      <c r="V1051">
        <v>-9.8509890000000003E-2</v>
      </c>
      <c r="W1051">
        <v>3.2221769999999997E-2</v>
      </c>
      <c r="X1051">
        <v>0.99461429999999995</v>
      </c>
      <c r="Y1051">
        <v>-2.7127330000000002E-2</v>
      </c>
      <c r="Z1051">
        <v>6.0805169999999999E-4</v>
      </c>
      <c r="AA1051">
        <v>0.99963179999999996</v>
      </c>
      <c r="AB1051">
        <v>22</v>
      </c>
      <c r="AC1051">
        <v>18.151900000000001</v>
      </c>
      <c r="AD1051">
        <v>-1.104771304345</v>
      </c>
      <c r="AE1051">
        <v>0.56059999999996502</v>
      </c>
      <c r="AF1051">
        <v>-0.49579748804984503</v>
      </c>
      <c r="AG1051">
        <v>-1.104771304345</v>
      </c>
      <c r="AH1051">
        <v>18.086801138167498</v>
      </c>
      <c r="AI1051">
        <v>93.494067643979605</v>
      </c>
      <c r="AJ1051">
        <v>91.570205327466297</v>
      </c>
      <c r="AK1051">
        <v>18.127291860498001</v>
      </c>
      <c r="AL1051">
        <v>88.153509002037296</v>
      </c>
      <c r="AM1051">
        <v>95.656316289582094</v>
      </c>
      <c r="AN1051">
        <v>1.00000002332711</v>
      </c>
    </row>
    <row r="1052" spans="1:40" x14ac:dyDescent="0.3">
      <c r="A1052" t="str">
        <f>"20200111145931478"</f>
        <v>20200111145931478</v>
      </c>
      <c r="B1052" t="str">
        <f>"1578725971466519"</f>
        <v>1578725971466519</v>
      </c>
      <c r="C1052" t="s">
        <v>40</v>
      </c>
      <c r="D1052">
        <v>4.1827239999999897</v>
      </c>
      <c r="E1052">
        <v>0.52777779999999996</v>
      </c>
      <c r="F1052" t="s">
        <v>42</v>
      </c>
      <c r="G1052">
        <v>-357.2878</v>
      </c>
      <c r="H1052" s="1">
        <v>-1.466636E-6</v>
      </c>
      <c r="I1052">
        <v>367.80799999999999</v>
      </c>
      <c r="J1052">
        <v>-375.70429999999999</v>
      </c>
      <c r="K1052">
        <v>1.1047659999999999</v>
      </c>
      <c r="L1052">
        <v>367.2561</v>
      </c>
      <c r="M1052">
        <v>0.99992879999999995</v>
      </c>
      <c r="N1052">
        <v>0</v>
      </c>
      <c r="O1052">
        <v>3.7171790000000001E-3</v>
      </c>
      <c r="P1052">
        <v>0.99456800000000001</v>
      </c>
      <c r="Q1052">
        <v>2.1115200000000001E-2</v>
      </c>
      <c r="R1052">
        <v>0.10192610000000001</v>
      </c>
      <c r="S1052">
        <v>3.0110169999999998</v>
      </c>
      <c r="T1052">
        <v>-0.17954729999999999</v>
      </c>
      <c r="U1052">
        <v>8.9813229999999994E-2</v>
      </c>
      <c r="V1052">
        <v>-9.8251519999999995E-2</v>
      </c>
      <c r="W1052">
        <v>3.2335200000000001E-2</v>
      </c>
      <c r="X1052">
        <v>0.99463619999999997</v>
      </c>
      <c r="Y1052">
        <v>-2.6059329999999999E-2</v>
      </c>
      <c r="Z1052">
        <v>5.5467799999999996E-4</v>
      </c>
      <c r="AA1052">
        <v>0.99966029999999995</v>
      </c>
      <c r="AB1052">
        <v>22</v>
      </c>
      <c r="AC1052">
        <v>18.4164999999999</v>
      </c>
      <c r="AD1052">
        <v>-1.1047674666359999</v>
      </c>
      <c r="AE1052">
        <v>0.55190000000004602</v>
      </c>
      <c r="AF1052">
        <v>-0.48170248285318801</v>
      </c>
      <c r="AG1052">
        <v>-1.1047674666359999</v>
      </c>
      <c r="AH1052">
        <v>18.352441467884098</v>
      </c>
      <c r="AI1052">
        <v>93.443711102641004</v>
      </c>
      <c r="AJ1052">
        <v>91.503515700784405</v>
      </c>
      <c r="AK1052">
        <v>18.391972604085598</v>
      </c>
      <c r="AL1052">
        <v>88.147006599955901</v>
      </c>
      <c r="AM1052">
        <v>95.641453413506994</v>
      </c>
      <c r="AN1052">
        <v>1.00000004834589</v>
      </c>
    </row>
    <row r="1053" spans="1:40" x14ac:dyDescent="0.3">
      <c r="A1053" t="str">
        <f>"20200111145931489"</f>
        <v>20200111145931489</v>
      </c>
      <c r="B1053" t="str">
        <f>"1578725971487015"</f>
        <v>1578725971487015</v>
      </c>
      <c r="C1053" t="s">
        <v>40</v>
      </c>
      <c r="D1053">
        <v>4.0353070000000004</v>
      </c>
      <c r="E1053">
        <v>0.52822209999999903</v>
      </c>
      <c r="F1053" t="s">
        <v>42</v>
      </c>
      <c r="G1053">
        <v>-357.04539999999997</v>
      </c>
      <c r="H1053" s="1">
        <v>-1.5721590000000001E-6</v>
      </c>
      <c r="I1053">
        <v>367.79910000000001</v>
      </c>
      <c r="J1053">
        <v>-375.59469999999999</v>
      </c>
      <c r="K1053">
        <v>1.104762</v>
      </c>
      <c r="L1053">
        <v>367.25670000000002</v>
      </c>
      <c r="M1053">
        <v>0.99992780000000003</v>
      </c>
      <c r="N1053">
        <v>0</v>
      </c>
      <c r="O1053">
        <v>3.9592189999999999E-3</v>
      </c>
      <c r="P1053">
        <v>0.99460519999999997</v>
      </c>
      <c r="Q1053">
        <v>2.143345E-2</v>
      </c>
      <c r="R1053">
        <v>0.1014946</v>
      </c>
      <c r="S1053">
        <v>3.0112000000000001</v>
      </c>
      <c r="T1053">
        <v>-0.1782879</v>
      </c>
      <c r="U1053">
        <v>8.7646479999999999E-2</v>
      </c>
      <c r="V1053">
        <v>-9.7578899999999996E-2</v>
      </c>
      <c r="W1053">
        <v>3.2656890000000001E-2</v>
      </c>
      <c r="X1053">
        <v>0.99469180000000001</v>
      </c>
      <c r="Y1053">
        <v>-2.5099489999999999E-2</v>
      </c>
      <c r="Z1053">
        <v>5.0806650000000001E-4</v>
      </c>
      <c r="AA1053">
        <v>0.99968480000000004</v>
      </c>
      <c r="AB1053">
        <v>22</v>
      </c>
      <c r="AC1053">
        <v>18.549299999999999</v>
      </c>
      <c r="AD1053">
        <v>-1.1047635721589999</v>
      </c>
      <c r="AE1053">
        <v>0.542399999999986</v>
      </c>
      <c r="AF1053">
        <v>-0.467294118335013</v>
      </c>
      <c r="AG1053">
        <v>-1.1047635721589999</v>
      </c>
      <c r="AH1053">
        <v>18.4857857622297</v>
      </c>
      <c r="AI1053">
        <v>93.419002623034501</v>
      </c>
      <c r="AJ1053">
        <v>91.448046644706196</v>
      </c>
      <c r="AK1053">
        <v>18.5246630628051</v>
      </c>
      <c r="AL1053">
        <v>88.128565189614406</v>
      </c>
      <c r="AM1053">
        <v>95.602767987748607</v>
      </c>
      <c r="AN1053">
        <v>0.99999994558845895</v>
      </c>
    </row>
    <row r="1054" spans="1:40" x14ac:dyDescent="0.3">
      <c r="A1054" t="str">
        <f>"20200111145931501"</f>
        <v>20200111145931501</v>
      </c>
      <c r="B1054" t="str">
        <f>"1578725971496775"</f>
        <v>1578725971496775</v>
      </c>
      <c r="C1054" t="s">
        <v>40</v>
      </c>
      <c r="D1054">
        <v>3.9395609999999999</v>
      </c>
      <c r="E1054">
        <v>0.52843189999999995</v>
      </c>
      <c r="F1054" t="s">
        <v>42</v>
      </c>
      <c r="G1054">
        <v>-356.6524</v>
      </c>
      <c r="H1054" s="1">
        <v>-1.74437E-6</v>
      </c>
      <c r="I1054">
        <v>367.77879999999999</v>
      </c>
      <c r="J1054">
        <v>-375.47809999999998</v>
      </c>
      <c r="K1054">
        <v>1.104759</v>
      </c>
      <c r="L1054">
        <v>367.25749999999999</v>
      </c>
      <c r="M1054">
        <v>0.99992669999999995</v>
      </c>
      <c r="N1054">
        <v>0</v>
      </c>
      <c r="O1054">
        <v>4.2149040000000002E-3</v>
      </c>
      <c r="P1054">
        <v>0.99463420000000002</v>
      </c>
      <c r="Q1054">
        <v>2.1634110000000002E-2</v>
      </c>
      <c r="R1054">
        <v>0.1011674</v>
      </c>
      <c r="S1054">
        <v>3.0115970000000001</v>
      </c>
      <c r="T1054">
        <v>-0.17564299999999999</v>
      </c>
      <c r="U1054">
        <v>8.3007810000000001E-2</v>
      </c>
      <c r="V1054">
        <v>-9.6996719999999995E-2</v>
      </c>
      <c r="W1054">
        <v>3.2860390000000003E-2</v>
      </c>
      <c r="X1054">
        <v>0.99474209999999996</v>
      </c>
      <c r="Y1054">
        <v>-2.3306029999999998E-2</v>
      </c>
      <c r="Z1054">
        <v>4.3334519999999998E-4</v>
      </c>
      <c r="AA1054">
        <v>0.99972830000000001</v>
      </c>
      <c r="AB1054">
        <v>22</v>
      </c>
      <c r="AC1054">
        <v>18.825699999999902</v>
      </c>
      <c r="AD1054">
        <v>-1.10476074437</v>
      </c>
      <c r="AE1054">
        <v>0.52129999999999599</v>
      </c>
      <c r="AF1054">
        <v>-0.44042617434397402</v>
      </c>
      <c r="AG1054">
        <v>-1.10476074437</v>
      </c>
      <c r="AH1054">
        <v>18.763163604913199</v>
      </c>
      <c r="AI1054">
        <v>93.368715640647295</v>
      </c>
      <c r="AJ1054">
        <v>91.344652132161698</v>
      </c>
      <c r="AK1054">
        <v>18.800818598723001</v>
      </c>
      <c r="AL1054">
        <v>88.116899352709396</v>
      </c>
      <c r="AM1054">
        <v>95.569271423409504</v>
      </c>
      <c r="AN1054">
        <v>1.0000000072170601</v>
      </c>
    </row>
    <row r="1055" spans="1:40" x14ac:dyDescent="0.3">
      <c r="A1055" t="str">
        <f>"20200111145931512"</f>
        <v>20200111145931512</v>
      </c>
      <c r="B1055" t="str">
        <f>"1578725971506535"</f>
        <v>1578725971506535</v>
      </c>
      <c r="C1055" t="s">
        <v>40</v>
      </c>
      <c r="D1055">
        <v>4.0044000000000004</v>
      </c>
      <c r="E1055">
        <v>0.52864199999999995</v>
      </c>
      <c r="F1055" t="s">
        <v>42</v>
      </c>
      <c r="G1055">
        <v>-356.38310000000001</v>
      </c>
      <c r="H1055" s="1">
        <v>-1.861872E-6</v>
      </c>
      <c r="I1055">
        <v>367.76760000000002</v>
      </c>
      <c r="J1055">
        <v>-375.36900000000003</v>
      </c>
      <c r="K1055">
        <v>1.1047530000000001</v>
      </c>
      <c r="L1055">
        <v>367.25819999999999</v>
      </c>
      <c r="M1055">
        <v>0.99992570000000003</v>
      </c>
      <c r="N1055">
        <v>0</v>
      </c>
      <c r="O1055">
        <v>4.4476469999999999E-3</v>
      </c>
      <c r="P1055">
        <v>0.99465570000000003</v>
      </c>
      <c r="Q1055">
        <v>2.1711000000000001E-2</v>
      </c>
      <c r="R1055">
        <v>0.10094019999999999</v>
      </c>
      <c r="S1055">
        <v>3.011841</v>
      </c>
      <c r="T1055">
        <v>-0.1742523</v>
      </c>
      <c r="U1055">
        <v>8.0474850000000001E-2</v>
      </c>
      <c r="V1055">
        <v>-9.6537780000000004E-2</v>
      </c>
      <c r="W1055">
        <v>3.2939980000000001E-2</v>
      </c>
      <c r="X1055">
        <v>0.99478409999999995</v>
      </c>
      <c r="Y1055">
        <v>-2.2233619999999999E-2</v>
      </c>
      <c r="Z1055">
        <v>3.8544639999999998E-4</v>
      </c>
      <c r="AA1055">
        <v>0.99975270000000005</v>
      </c>
      <c r="AB1055">
        <v>22</v>
      </c>
      <c r="AC1055">
        <v>18.985900000000001</v>
      </c>
      <c r="AD1055">
        <v>-1.104754861872</v>
      </c>
      <c r="AE1055">
        <v>0.50940000000002705</v>
      </c>
      <c r="AF1055">
        <v>-0.42351401144114598</v>
      </c>
      <c r="AG1055">
        <v>-1.104754861872</v>
      </c>
      <c r="AH1055">
        <v>18.923950143765399</v>
      </c>
      <c r="AI1055">
        <v>93.340224303630805</v>
      </c>
      <c r="AJ1055">
        <v>91.282053444269195</v>
      </c>
      <c r="AK1055">
        <v>18.9609002019006</v>
      </c>
      <c r="AL1055">
        <v>88.112336689373507</v>
      </c>
      <c r="AM1055">
        <v>95.542852343932097</v>
      </c>
      <c r="AN1055">
        <v>0.99999999543126905</v>
      </c>
    </row>
    <row r="1056" spans="1:40" x14ac:dyDescent="0.3">
      <c r="A1056" t="str">
        <f>"20200111145931524"</f>
        <v>20200111145931524</v>
      </c>
      <c r="B1056" t="str">
        <f>"1578725971516295"</f>
        <v>1578725971516295</v>
      </c>
      <c r="C1056" t="s">
        <v>40</v>
      </c>
      <c r="D1056">
        <v>3.991565</v>
      </c>
      <c r="E1056">
        <v>0.52883630000000004</v>
      </c>
      <c r="F1056" t="s">
        <v>42</v>
      </c>
      <c r="G1056">
        <v>-356.16</v>
      </c>
      <c r="H1056" s="1">
        <v>-1.9594229999999998E-6</v>
      </c>
      <c r="I1056">
        <v>367.75740000000002</v>
      </c>
      <c r="J1056">
        <v>-375.25389999999999</v>
      </c>
      <c r="K1056">
        <v>1.1047480000000001</v>
      </c>
      <c r="L1056">
        <v>367.25900000000001</v>
      </c>
      <c r="M1056">
        <v>0.99992449999999999</v>
      </c>
      <c r="N1056">
        <v>0</v>
      </c>
      <c r="O1056">
        <v>4.6914740000000002E-3</v>
      </c>
      <c r="P1056">
        <v>0.9946528</v>
      </c>
      <c r="Q1056">
        <v>2.2106549999999999E-2</v>
      </c>
      <c r="R1056">
        <v>0.1008809</v>
      </c>
      <c r="S1056">
        <v>3.0119929999999999</v>
      </c>
      <c r="T1056">
        <v>-0.1732255</v>
      </c>
      <c r="U1056">
        <v>7.8277589999999994E-2</v>
      </c>
      <c r="V1056">
        <v>-9.6235290000000001E-2</v>
      </c>
      <c r="W1056">
        <v>3.333792E-2</v>
      </c>
      <c r="X1056">
        <v>0.99480020000000002</v>
      </c>
      <c r="Y1056">
        <v>-2.126202E-2</v>
      </c>
      <c r="Z1056">
        <v>3.4124209999999999E-4</v>
      </c>
      <c r="AA1056">
        <v>0.99977389999999999</v>
      </c>
      <c r="AB1056">
        <v>22</v>
      </c>
      <c r="AC1056">
        <v>19.093899999999898</v>
      </c>
      <c r="AD1056">
        <v>-1.1047499594229999</v>
      </c>
      <c r="AE1056">
        <v>0.49840000000000301</v>
      </c>
      <c r="AF1056">
        <v>-0.40744714380903302</v>
      </c>
      <c r="AG1056">
        <v>-1.1047499594229999</v>
      </c>
      <c r="AH1056">
        <v>19.032358130351401</v>
      </c>
      <c r="AI1056">
        <v>93.321296913201294</v>
      </c>
      <c r="AJ1056">
        <v>91.226408001351501</v>
      </c>
      <c r="AK1056">
        <v>19.068747773511401</v>
      </c>
      <c r="AL1056">
        <v>88.089523967565995</v>
      </c>
      <c r="AM1056">
        <v>95.525503237096501</v>
      </c>
      <c r="AN1056">
        <v>1.0000000429356699</v>
      </c>
    </row>
    <row r="1057" spans="1:40" x14ac:dyDescent="0.3">
      <c r="A1057" t="str">
        <f>"20200111145931535"</f>
        <v>20200111145931535</v>
      </c>
      <c r="B1057" t="str">
        <f>"1578725971527031"</f>
        <v>1578725971527031</v>
      </c>
      <c r="C1057" t="s">
        <v>40</v>
      </c>
      <c r="D1057">
        <v>4.1011839999999999</v>
      </c>
      <c r="E1057">
        <v>0.52904640000000003</v>
      </c>
      <c r="F1057" t="s">
        <v>42</v>
      </c>
      <c r="G1057">
        <v>-355.80590000000001</v>
      </c>
      <c r="H1057" s="1">
        <v>-2.1121489999999999E-6</v>
      </c>
      <c r="I1057">
        <v>367.7527</v>
      </c>
      <c r="J1057">
        <v>-375.13839999999999</v>
      </c>
      <c r="K1057">
        <v>1.1047450000000001</v>
      </c>
      <c r="L1057">
        <v>367.25979999999998</v>
      </c>
      <c r="M1057">
        <v>0.99992349999999997</v>
      </c>
      <c r="N1057">
        <v>0</v>
      </c>
      <c r="O1057">
        <v>4.9315460000000002E-3</v>
      </c>
      <c r="P1057">
        <v>0.99466509999999997</v>
      </c>
      <c r="Q1057">
        <v>2.2003289999999998E-2</v>
      </c>
      <c r="R1057">
        <v>0.10078429999999999</v>
      </c>
      <c r="S1057">
        <v>3.0121769999999999</v>
      </c>
      <c r="T1057">
        <v>-0.17110690000000001</v>
      </c>
      <c r="U1057">
        <v>7.6477050000000005E-2</v>
      </c>
      <c r="V1057">
        <v>-9.5899310000000001E-2</v>
      </c>
      <c r="W1057">
        <v>3.3236880000000003E-2</v>
      </c>
      <c r="X1057">
        <v>0.99483600000000005</v>
      </c>
      <c r="Y1057">
        <v>-2.0425579999999999E-2</v>
      </c>
      <c r="Z1057">
        <v>2.9969879999999999E-4</v>
      </c>
      <c r="AA1057">
        <v>0.99979130000000005</v>
      </c>
      <c r="AB1057">
        <v>22</v>
      </c>
      <c r="AC1057">
        <v>19.3324999999999</v>
      </c>
      <c r="AD1057">
        <v>-1.104747112149</v>
      </c>
      <c r="AE1057">
        <v>0.49290000000001999</v>
      </c>
      <c r="AF1057">
        <v>-0.39625562579527202</v>
      </c>
      <c r="AG1057">
        <v>-1.104747112149</v>
      </c>
      <c r="AH1057">
        <v>19.271804599650999</v>
      </c>
      <c r="AI1057">
        <v>93.280171145724495</v>
      </c>
      <c r="AJ1057">
        <v>91.177916481786596</v>
      </c>
      <c r="AK1057">
        <v>19.3075098661092</v>
      </c>
      <c r="AL1057">
        <v>88.095316294188507</v>
      </c>
      <c r="AM1057">
        <v>95.506134240627802</v>
      </c>
      <c r="AN1057">
        <v>1.0000000173732999</v>
      </c>
    </row>
    <row r="1058" spans="1:40" x14ac:dyDescent="0.3">
      <c r="A1058" t="str">
        <f>"20200111145931546"</f>
        <v>20200111145931546</v>
      </c>
      <c r="B1058" t="str">
        <f>"1578725971537006"</f>
        <v>1578725971537006</v>
      </c>
      <c r="C1058" t="s">
        <v>40</v>
      </c>
      <c r="D1058">
        <v>4.1387309999999999</v>
      </c>
      <c r="E1058">
        <v>0.52904640000000003</v>
      </c>
      <c r="F1058" t="s">
        <v>42</v>
      </c>
      <c r="G1058">
        <v>-355.60109999999997</v>
      </c>
      <c r="H1058" s="1">
        <v>-2.2024380000000001E-6</v>
      </c>
      <c r="I1058">
        <v>367.73899999999998</v>
      </c>
      <c r="J1058">
        <v>-375.03410000000002</v>
      </c>
      <c r="K1058">
        <v>1.104738</v>
      </c>
      <c r="L1058">
        <v>367.26060000000001</v>
      </c>
      <c r="M1058">
        <v>0.99992250000000005</v>
      </c>
      <c r="N1058">
        <v>0</v>
      </c>
      <c r="O1058">
        <v>5.1456990000000001E-3</v>
      </c>
      <c r="P1058">
        <v>0.99465269999999995</v>
      </c>
      <c r="Q1058">
        <v>2.1891339999999999E-2</v>
      </c>
      <c r="R1058">
        <v>0.1009318</v>
      </c>
      <c r="S1058">
        <v>3.0123289999999998</v>
      </c>
      <c r="T1058">
        <v>-0.1703334</v>
      </c>
      <c r="U1058">
        <v>7.388306E-2</v>
      </c>
      <c r="V1058">
        <v>-9.5833699999999994E-2</v>
      </c>
      <c r="W1058">
        <v>3.3126790000000003E-2</v>
      </c>
      <c r="X1058">
        <v>0.99484600000000001</v>
      </c>
      <c r="Y1058">
        <v>-1.9352029999999999E-2</v>
      </c>
      <c r="Z1058">
        <v>2.559126E-4</v>
      </c>
      <c r="AA1058">
        <v>0.9998127</v>
      </c>
      <c r="AB1058">
        <v>22</v>
      </c>
      <c r="AC1058">
        <v>19.433</v>
      </c>
      <c r="AD1058">
        <v>-1.104740202438</v>
      </c>
      <c r="AE1058">
        <v>0.47840000000002098</v>
      </c>
      <c r="AF1058">
        <v>-0.37717267318171799</v>
      </c>
      <c r="AG1058">
        <v>-1.104740202438</v>
      </c>
      <c r="AH1058">
        <v>19.372634546494101</v>
      </c>
      <c r="AI1058">
        <v>93.263186404304506</v>
      </c>
      <c r="AJ1058">
        <v>91.115370879182294</v>
      </c>
      <c r="AK1058">
        <v>19.4077736851061</v>
      </c>
      <c r="AL1058">
        <v>88.101627472484594</v>
      </c>
      <c r="AM1058">
        <v>95.502335348090597</v>
      </c>
      <c r="AN1058">
        <v>1.0000000229936901</v>
      </c>
    </row>
    <row r="1059" spans="1:40" x14ac:dyDescent="0.3">
      <c r="A1059" t="str">
        <f>"20200111145931557"</f>
        <v>20200111145931557</v>
      </c>
      <c r="B1059" t="str">
        <f>"1578725971546767"</f>
        <v>1578725971546767</v>
      </c>
      <c r="C1059" t="s">
        <v>40</v>
      </c>
      <c r="D1059">
        <v>3.839852</v>
      </c>
      <c r="E1059">
        <v>0.58009820000000001</v>
      </c>
      <c r="F1059" t="s">
        <v>42</v>
      </c>
      <c r="G1059">
        <v>-355.52339999999998</v>
      </c>
      <c r="H1059" s="1">
        <v>-2.2349439999999999E-6</v>
      </c>
      <c r="I1059">
        <v>367.74360000000001</v>
      </c>
      <c r="J1059">
        <v>-374.91820000000001</v>
      </c>
      <c r="K1059">
        <v>1.1047340000000001</v>
      </c>
      <c r="L1059">
        <v>367.26139999999998</v>
      </c>
      <c r="M1059">
        <v>0.99992110000000001</v>
      </c>
      <c r="N1059">
        <v>0</v>
      </c>
      <c r="O1059">
        <v>5.381004E-3</v>
      </c>
      <c r="P1059">
        <v>0.99468489999999998</v>
      </c>
      <c r="Q1059">
        <v>2.17567E-2</v>
      </c>
      <c r="R1059">
        <v>0.1006428</v>
      </c>
      <c r="S1059">
        <v>3.0123289999999998</v>
      </c>
      <c r="T1059">
        <v>-0.1705641</v>
      </c>
      <c r="U1059">
        <v>7.4584960000000006E-2</v>
      </c>
      <c r="V1059">
        <v>-9.5309920000000006E-2</v>
      </c>
      <c r="W1059">
        <v>3.2994780000000001E-2</v>
      </c>
      <c r="X1059">
        <v>0.99490069999999997</v>
      </c>
      <c r="Y1059">
        <v>-1.93499E-2</v>
      </c>
      <c r="Z1059">
        <v>2.4288660000000001E-4</v>
      </c>
      <c r="AA1059">
        <v>0.9998127</v>
      </c>
      <c r="AB1059">
        <v>22</v>
      </c>
      <c r="AC1059">
        <v>19.3948</v>
      </c>
      <c r="AD1059">
        <v>-1.104736234944</v>
      </c>
      <c r="AE1059">
        <v>0.48220000000003399</v>
      </c>
      <c r="AF1059">
        <v>-0.37660167194889599</v>
      </c>
      <c r="AG1059">
        <v>-1.104736234944</v>
      </c>
      <c r="AH1059">
        <v>19.334422449285501</v>
      </c>
      <c r="AI1059">
        <v>93.269609425594297</v>
      </c>
      <c r="AJ1059">
        <v>91.1158832465741</v>
      </c>
      <c r="AK1059">
        <v>19.3696195733305</v>
      </c>
      <c r="AL1059">
        <v>88.109195218733802</v>
      </c>
      <c r="AM1059">
        <v>95.472146290464195</v>
      </c>
      <c r="AN1059">
        <v>1.0000000196090699</v>
      </c>
    </row>
    <row r="1060" spans="1:40" x14ac:dyDescent="0.3">
      <c r="A1060" t="str">
        <f>"20200111145931569"</f>
        <v>20200111145931569</v>
      </c>
      <c r="B1060" t="str">
        <f>"1578725971566287"</f>
        <v>1578725971566287</v>
      </c>
      <c r="C1060" t="s">
        <v>40</v>
      </c>
      <c r="D1060">
        <v>3.63916</v>
      </c>
      <c r="E1060">
        <v>0.58627149999999995</v>
      </c>
      <c r="F1060" t="s">
        <v>42</v>
      </c>
      <c r="G1060">
        <v>-331.7937</v>
      </c>
      <c r="H1060" s="1">
        <v>-4.7531549999999999E-6</v>
      </c>
      <c r="I1060">
        <v>362.5675</v>
      </c>
      <c r="J1060">
        <v>-374.80410000000001</v>
      </c>
      <c r="K1060">
        <v>1.1047279999999999</v>
      </c>
      <c r="L1060">
        <v>367.26229999999998</v>
      </c>
      <c r="M1060">
        <v>0.99991989999999997</v>
      </c>
      <c r="N1060">
        <v>0</v>
      </c>
      <c r="O1060">
        <v>5.6085589999999999E-3</v>
      </c>
      <c r="P1060">
        <v>0.99475040000000003</v>
      </c>
      <c r="Q1060">
        <v>2.180754E-2</v>
      </c>
      <c r="R1060">
        <v>9.9981700000000007E-2</v>
      </c>
      <c r="S1060">
        <v>3.0513309999999998</v>
      </c>
      <c r="T1060">
        <v>-7.816708E-2</v>
      </c>
      <c r="U1060">
        <v>-0.3321228</v>
      </c>
      <c r="V1060">
        <v>-9.4421630000000006E-2</v>
      </c>
      <c r="W1060">
        <v>3.304911E-2</v>
      </c>
      <c r="X1060">
        <v>0.99498359999999997</v>
      </c>
      <c r="Y1060">
        <v>0.1137417</v>
      </c>
      <c r="Z1060">
        <v>-1.5956060000000001E-3</v>
      </c>
      <c r="AA1060">
        <v>0.99350910000000003</v>
      </c>
      <c r="AB1060">
        <v>22</v>
      </c>
      <c r="AC1060">
        <v>43.010399999999997</v>
      </c>
      <c r="AD1060">
        <v>-1.104732753155</v>
      </c>
      <c r="AE1060">
        <v>-4.6947999999999803</v>
      </c>
      <c r="AF1060">
        <v>4.9327520689844597</v>
      </c>
      <c r="AG1060">
        <v>-1.104732753155</v>
      </c>
      <c r="AH1060">
        <v>42.9553853233609</v>
      </c>
      <c r="AI1060">
        <v>91.463601947121703</v>
      </c>
      <c r="AJ1060">
        <v>83.4491731570415</v>
      </c>
      <c r="AK1060">
        <v>43.2517930924068</v>
      </c>
      <c r="AL1060">
        <v>88.106080652739095</v>
      </c>
      <c r="AM1060">
        <v>95.421002073105797</v>
      </c>
      <c r="AN1060">
        <v>1.0000000260763</v>
      </c>
    </row>
    <row r="1061" spans="1:40" x14ac:dyDescent="0.3">
      <c r="A1061" t="str">
        <f>"20200111145931581"</f>
        <v>20200111145931581</v>
      </c>
      <c r="B1061" t="str">
        <f>"1578725971577022"</f>
        <v>1578725971577022</v>
      </c>
      <c r="C1061" t="s">
        <v>40</v>
      </c>
      <c r="D1061">
        <v>3.8850920000000002</v>
      </c>
      <c r="E1061">
        <v>0.58908819999999995</v>
      </c>
      <c r="F1061" t="s">
        <v>43</v>
      </c>
      <c r="G1061">
        <v>-249.02010000000001</v>
      </c>
      <c r="H1061">
        <v>-0.05</v>
      </c>
      <c r="I1061">
        <v>351.46949999999998</v>
      </c>
      <c r="J1061">
        <v>-374.68779999999998</v>
      </c>
      <c r="K1061">
        <v>1.1047209999999901</v>
      </c>
      <c r="L1061">
        <v>367.26319999999998</v>
      </c>
      <c r="M1061">
        <v>0.99991859999999999</v>
      </c>
      <c r="N1061">
        <v>0</v>
      </c>
      <c r="O1061">
        <v>5.8393309999999997E-3</v>
      </c>
      <c r="P1061">
        <v>0.99479689999999998</v>
      </c>
      <c r="Q1061">
        <v>2.1587479999999999E-2</v>
      </c>
      <c r="R1061">
        <v>9.9566470000000004E-2</v>
      </c>
      <c r="S1061">
        <v>3.0550540000000002</v>
      </c>
      <c r="T1061">
        <v>-2.8046129999999999E-2</v>
      </c>
      <c r="U1061">
        <v>-0.38357540000000001</v>
      </c>
      <c r="V1061">
        <v>-9.3775620000000004E-2</v>
      </c>
      <c r="W1061">
        <v>3.2832750000000001E-2</v>
      </c>
      <c r="X1061">
        <v>0.99505180000000004</v>
      </c>
      <c r="Y1061">
        <v>0.1303628</v>
      </c>
      <c r="Z1061">
        <v>-6.4943249999999998E-4</v>
      </c>
      <c r="AA1061">
        <v>0.99146619999999996</v>
      </c>
      <c r="AB1061">
        <v>22</v>
      </c>
      <c r="AC1061">
        <v>125.667699999999</v>
      </c>
      <c r="AD1061">
        <v>-1.1547210000000001</v>
      </c>
      <c r="AE1061">
        <v>-15.793699999999999</v>
      </c>
      <c r="AF1061">
        <v>16.525919599020298</v>
      </c>
      <c r="AG1061">
        <v>-1.1547210000000001</v>
      </c>
      <c r="AH1061">
        <v>125.56288996220999</v>
      </c>
      <c r="AI1061">
        <v>90.522392641275999</v>
      </c>
      <c r="AJ1061">
        <v>82.502129875292297</v>
      </c>
      <c r="AK1061">
        <v>126.651011582392</v>
      </c>
      <c r="AL1061">
        <v>88.118483793986201</v>
      </c>
      <c r="AM1061">
        <v>95.383764732905206</v>
      </c>
      <c r="AN1061">
        <v>0.99999997053109302</v>
      </c>
    </row>
    <row r="1062" spans="1:40" x14ac:dyDescent="0.3">
      <c r="A1062" t="str">
        <f>"20200111145931592"</f>
        <v>20200111145931592</v>
      </c>
      <c r="B1062" t="str">
        <f>"1578725971586782"</f>
        <v>1578725971586782</v>
      </c>
      <c r="C1062" t="s">
        <v>40</v>
      </c>
      <c r="D1062">
        <v>3.828748</v>
      </c>
      <c r="E1062">
        <v>0.59041269999999901</v>
      </c>
      <c r="F1062" t="s">
        <v>47</v>
      </c>
      <c r="G1062">
        <v>-233.99700000000001</v>
      </c>
      <c r="H1062">
        <v>0.1036623</v>
      </c>
      <c r="I1062">
        <v>348.51170000000002</v>
      </c>
      <c r="J1062">
        <v>-374.56380000000001</v>
      </c>
      <c r="K1062">
        <v>1.1047169999999999</v>
      </c>
      <c r="L1062">
        <v>367.26420000000002</v>
      </c>
      <c r="M1062">
        <v>0.9999171</v>
      </c>
      <c r="N1062">
        <v>0</v>
      </c>
      <c r="O1062">
        <v>6.0783819999999898E-3</v>
      </c>
      <c r="P1062">
        <v>0.9948302</v>
      </c>
      <c r="Q1062">
        <v>2.149877E-2</v>
      </c>
      <c r="R1062">
        <v>9.9252259999999995E-2</v>
      </c>
      <c r="S1062">
        <v>3.0569760000000001</v>
      </c>
      <c r="T1062">
        <v>-2.1749620000000001E-2</v>
      </c>
      <c r="U1062">
        <v>-0.40744019999999997</v>
      </c>
      <c r="V1062">
        <v>-9.3223089999999995E-2</v>
      </c>
      <c r="W1062">
        <v>3.274697E-2</v>
      </c>
      <c r="X1062">
        <v>0.99510659999999895</v>
      </c>
      <c r="Y1062">
        <v>0.13813329999999999</v>
      </c>
      <c r="Z1062">
        <v>-5.3228469999999997E-4</v>
      </c>
      <c r="AA1062">
        <v>0.99041349999999995</v>
      </c>
      <c r="AB1062">
        <v>22</v>
      </c>
      <c r="AC1062">
        <v>140.5668</v>
      </c>
      <c r="AD1062">
        <v>-1.0010547000000001</v>
      </c>
      <c r="AE1062">
        <v>-18.752500000000001</v>
      </c>
      <c r="AF1062">
        <v>19.605650342098802</v>
      </c>
      <c r="AG1062">
        <v>-1.0010547000000001</v>
      </c>
      <c r="AH1062">
        <v>140.443212445185</v>
      </c>
      <c r="AI1062">
        <v>90.404465490810907</v>
      </c>
      <c r="AJ1062">
        <v>82.052957469983795</v>
      </c>
      <c r="AK1062">
        <v>141.80860184689899</v>
      </c>
      <c r="AL1062">
        <v>88.123401376313296</v>
      </c>
      <c r="AM1062">
        <v>95.351935082445493</v>
      </c>
      <c r="AN1062">
        <v>1.0000000269584399</v>
      </c>
    </row>
    <row r="1063" spans="1:40" x14ac:dyDescent="0.3">
      <c r="A1063" t="str">
        <f>"20200111145931604"</f>
        <v>20200111145931604</v>
      </c>
      <c r="B1063" t="str">
        <f>"1578725971596543"</f>
        <v>1578725971596543</v>
      </c>
      <c r="C1063" t="s">
        <v>40</v>
      </c>
      <c r="D1063">
        <v>3.9290340000000001</v>
      </c>
      <c r="E1063">
        <v>0.592149699999999</v>
      </c>
      <c r="F1063" t="s">
        <v>47</v>
      </c>
      <c r="G1063">
        <v>-237.73660000000001</v>
      </c>
      <c r="H1063">
        <v>0.4873827</v>
      </c>
      <c r="I1063">
        <v>348.51170000000002</v>
      </c>
      <c r="J1063">
        <v>-374.45150000000001</v>
      </c>
      <c r="K1063">
        <v>1.1047119999999999</v>
      </c>
      <c r="L1063">
        <v>367.26519999999999</v>
      </c>
      <c r="M1063">
        <v>0.99991569999999996</v>
      </c>
      <c r="N1063">
        <v>0</v>
      </c>
      <c r="O1063">
        <v>6.2929429999999996E-3</v>
      </c>
      <c r="P1063">
        <v>0.99483650000000001</v>
      </c>
      <c r="Q1063">
        <v>2.1592900000000002E-2</v>
      </c>
      <c r="R1063">
        <v>9.916838E-2</v>
      </c>
      <c r="S1063">
        <v>3.057709</v>
      </c>
      <c r="T1063">
        <v>-1.3793949999999999E-2</v>
      </c>
      <c r="U1063">
        <v>-0.41906739999999998</v>
      </c>
      <c r="V1063">
        <v>-9.2924809999999997E-2</v>
      </c>
      <c r="W1063">
        <v>3.2843240000000003E-2</v>
      </c>
      <c r="X1063">
        <v>0.99513130000000005</v>
      </c>
      <c r="Y1063">
        <v>0.14201440000000001</v>
      </c>
      <c r="Z1063">
        <v>-3.470972E-4</v>
      </c>
      <c r="AA1063">
        <v>0.98986450000000004</v>
      </c>
      <c r="AB1063">
        <v>22</v>
      </c>
      <c r="AC1063">
        <v>136.7149</v>
      </c>
      <c r="AD1063">
        <v>-0.61732929999999997</v>
      </c>
      <c r="AE1063">
        <v>-18.753499999999899</v>
      </c>
      <c r="AF1063">
        <v>19.613130672968801</v>
      </c>
      <c r="AG1063">
        <v>-0.61732929999999997</v>
      </c>
      <c r="AH1063">
        <v>136.59143670602199</v>
      </c>
      <c r="AI1063">
        <v>90.256319434873106</v>
      </c>
      <c r="AJ1063">
        <v>81.828765905841195</v>
      </c>
      <c r="AK1063">
        <v>137.993755553195</v>
      </c>
      <c r="AL1063">
        <v>88.117882495198998</v>
      </c>
      <c r="AM1063">
        <v>95.334778144171295</v>
      </c>
      <c r="AN1063">
        <v>1.00000000148346</v>
      </c>
    </row>
    <row r="1064" spans="1:40" x14ac:dyDescent="0.3">
      <c r="A1064" t="str">
        <f>"20200111145931616"</f>
        <v>20200111145931616</v>
      </c>
      <c r="B1064" t="str">
        <f>"1578725971606302"</f>
        <v>1578725971606302</v>
      </c>
      <c r="C1064" t="s">
        <v>40</v>
      </c>
      <c r="D1064">
        <v>3.8940890000000001</v>
      </c>
      <c r="E1064">
        <v>0.593128199999999</v>
      </c>
      <c r="F1064" t="s">
        <v>47</v>
      </c>
      <c r="G1064">
        <v>-241.92099999999999</v>
      </c>
      <c r="H1064">
        <v>0.49276330000000002</v>
      </c>
      <c r="I1064">
        <v>348.51170000000002</v>
      </c>
      <c r="J1064">
        <v>-374.33850000000001</v>
      </c>
      <c r="K1064">
        <v>1.104711</v>
      </c>
      <c r="L1064">
        <v>367.26609999999999</v>
      </c>
      <c r="M1064">
        <v>0.99991439999999998</v>
      </c>
      <c r="N1064">
        <v>0</v>
      </c>
      <c r="O1064">
        <v>6.505594E-3</v>
      </c>
      <c r="P1064">
        <v>0.99483080000000002</v>
      </c>
      <c r="Q1064">
        <v>2.1448120000000001E-2</v>
      </c>
      <c r="R1064">
        <v>9.9254529999999994E-2</v>
      </c>
      <c r="S1064">
        <v>3.059021</v>
      </c>
      <c r="T1064">
        <v>-1.412296E-2</v>
      </c>
      <c r="U1064">
        <v>-0.4328613</v>
      </c>
      <c r="V1064">
        <v>-9.2798530000000004E-2</v>
      </c>
      <c r="W1064">
        <v>3.2700739999999999E-2</v>
      </c>
      <c r="X1064">
        <v>0.99514780000000003</v>
      </c>
      <c r="Y1064">
        <v>0.1465447</v>
      </c>
      <c r="Z1064">
        <v>-3.6649859999999997E-4</v>
      </c>
      <c r="AA1064">
        <v>0.98920399999999997</v>
      </c>
      <c r="AB1064">
        <v>22</v>
      </c>
      <c r="AC1064">
        <v>132.41749999999999</v>
      </c>
      <c r="AD1064">
        <v>-0.61194769999999998</v>
      </c>
      <c r="AE1064">
        <v>-18.754399999999901</v>
      </c>
      <c r="AF1064">
        <v>19.615102402887299</v>
      </c>
      <c r="AG1064">
        <v>-0.61194769999999998</v>
      </c>
      <c r="AH1064">
        <v>132.289911357139</v>
      </c>
      <c r="AI1064">
        <v>90.262171155781402</v>
      </c>
      <c r="AJ1064">
        <v>81.565997190247003</v>
      </c>
      <c r="AK1064">
        <v>133.737606413241</v>
      </c>
      <c r="AL1064">
        <v>88.126051575272101</v>
      </c>
      <c r="AM1064">
        <v>95.327482374856402</v>
      </c>
      <c r="AN1064">
        <v>1.0000000247057701</v>
      </c>
    </row>
    <row r="1065" spans="1:40" x14ac:dyDescent="0.3">
      <c r="A1065" t="str">
        <f>"20200111145931627"</f>
        <v>20200111145931627</v>
      </c>
      <c r="B1065" t="str">
        <f>"1578725971617038"</f>
        <v>1578725971617038</v>
      </c>
      <c r="C1065" t="s">
        <v>40</v>
      </c>
      <c r="D1065">
        <v>3.8985300000000001</v>
      </c>
      <c r="E1065">
        <v>0.59373120000000001</v>
      </c>
      <c r="F1065" t="s">
        <v>47</v>
      </c>
      <c r="G1065">
        <v>-244.14420000000001</v>
      </c>
      <c r="H1065">
        <v>0.54648759999999996</v>
      </c>
      <c r="I1065">
        <v>348.51170000000002</v>
      </c>
      <c r="J1065">
        <v>-374.2287</v>
      </c>
      <c r="K1065">
        <v>1.1047049999999901</v>
      </c>
      <c r="L1065">
        <v>367.267</v>
      </c>
      <c r="M1065">
        <v>0.99991300000000005</v>
      </c>
      <c r="N1065">
        <v>0</v>
      </c>
      <c r="O1065">
        <v>6.7083500000000001E-3</v>
      </c>
      <c r="P1065">
        <v>0.99482020000000004</v>
      </c>
      <c r="Q1065">
        <v>2.1414539999999999E-2</v>
      </c>
      <c r="R1065">
        <v>9.936971E-2</v>
      </c>
      <c r="S1065">
        <v>3.0598139999999998</v>
      </c>
      <c r="T1065">
        <v>-1.3117429999999999E-2</v>
      </c>
      <c r="U1065">
        <v>-0.44076539999999997</v>
      </c>
      <c r="V1065">
        <v>-9.2711810000000006E-2</v>
      </c>
      <c r="W1065">
        <v>3.2669280000000002E-2</v>
      </c>
      <c r="X1065">
        <v>0.99515690000000001</v>
      </c>
      <c r="Y1065">
        <v>0.1492137</v>
      </c>
      <c r="Z1065">
        <v>-3.4681220000000001E-4</v>
      </c>
      <c r="AA1065">
        <v>0.98880489999999999</v>
      </c>
      <c r="AB1065">
        <v>22</v>
      </c>
      <c r="AC1065">
        <v>130.08449999999999</v>
      </c>
      <c r="AD1065">
        <v>-0.55821739999999898</v>
      </c>
      <c r="AE1065">
        <v>-18.755299999999899</v>
      </c>
      <c r="AF1065">
        <v>19.627232508998301</v>
      </c>
      <c r="AG1065">
        <v>-0.55821739999999898</v>
      </c>
      <c r="AH1065">
        <v>129.953403056285</v>
      </c>
      <c r="AI1065">
        <v>90.243353757004499</v>
      </c>
      <c r="AJ1065">
        <v>81.411367574664695</v>
      </c>
      <c r="AK1065">
        <v>131.42840951840401</v>
      </c>
      <c r="AL1065">
        <v>88.127855033875505</v>
      </c>
      <c r="AM1065">
        <v>95.322484069981599</v>
      </c>
      <c r="AN1065">
        <v>1.0000000085934</v>
      </c>
    </row>
    <row r="1066" spans="1:40" x14ac:dyDescent="0.3">
      <c r="A1066" t="str">
        <f>"20200111145931638"</f>
        <v>20200111145931638</v>
      </c>
      <c r="B1066" t="str">
        <f>"1578725971626798"</f>
        <v>1578725971626798</v>
      </c>
      <c r="C1066" t="s">
        <v>40</v>
      </c>
      <c r="D1066">
        <v>3.8723079999999999</v>
      </c>
      <c r="E1066">
        <v>0.594419699999999</v>
      </c>
      <c r="F1066" t="s">
        <v>47</v>
      </c>
      <c r="G1066">
        <v>-245.24469999999999</v>
      </c>
      <c r="H1066">
        <v>0.49257640000000003</v>
      </c>
      <c r="I1066">
        <v>348.51170000000002</v>
      </c>
      <c r="J1066">
        <v>-374.11500000000001</v>
      </c>
      <c r="K1066">
        <v>1.1046990000000001</v>
      </c>
      <c r="L1066">
        <v>367.26799999999997</v>
      </c>
      <c r="M1066">
        <v>0.99991160000000001</v>
      </c>
      <c r="N1066">
        <v>0</v>
      </c>
      <c r="O1066">
        <v>6.9159290000000003E-3</v>
      </c>
      <c r="P1066">
        <v>0.99478949999999999</v>
      </c>
      <c r="Q1066">
        <v>2.133846E-2</v>
      </c>
      <c r="R1066">
        <v>9.9693100000000007E-2</v>
      </c>
      <c r="S1066">
        <v>3.0603940000000001</v>
      </c>
      <c r="T1066">
        <v>-1.452208E-2</v>
      </c>
      <c r="U1066">
        <v>-0.44500729999999999</v>
      </c>
      <c r="V1066">
        <v>-9.2828759999999996E-2</v>
      </c>
      <c r="W1066">
        <v>3.2594930000000001E-2</v>
      </c>
      <c r="X1066">
        <v>0.99514840000000004</v>
      </c>
      <c r="Y1066">
        <v>0.15073439999999999</v>
      </c>
      <c r="Z1066">
        <v>-3.8840860000000001E-4</v>
      </c>
      <c r="AA1066">
        <v>0.98857419999999996</v>
      </c>
      <c r="AB1066">
        <v>22</v>
      </c>
      <c r="AC1066">
        <v>128.87029999999999</v>
      </c>
      <c r="AD1066">
        <v>-0.61212259999999896</v>
      </c>
      <c r="AE1066">
        <v>-18.7563</v>
      </c>
      <c r="AF1066">
        <v>19.6467326308743</v>
      </c>
      <c r="AG1066">
        <v>-0.61212259999999896</v>
      </c>
      <c r="AH1066">
        <v>128.73464780466199</v>
      </c>
      <c r="AI1066">
        <v>90.269316401599198</v>
      </c>
      <c r="AJ1066">
        <v>81.322805343808895</v>
      </c>
      <c r="AK1066">
        <v>130.226642214782</v>
      </c>
      <c r="AL1066">
        <v>88.132117178616497</v>
      </c>
      <c r="AM1066">
        <v>95.329204667600905</v>
      </c>
      <c r="AN1066">
        <v>0.99999997308370103</v>
      </c>
    </row>
    <row r="1067" spans="1:40" x14ac:dyDescent="0.3">
      <c r="A1067" t="str">
        <f>"20200111145931650"</f>
        <v>20200111145931650</v>
      </c>
      <c r="B1067" t="str">
        <f>"1578725971646319"</f>
        <v>1578725971646319</v>
      </c>
      <c r="C1067" t="s">
        <v>40</v>
      </c>
      <c r="D1067">
        <v>3.9567869999999998</v>
      </c>
      <c r="E1067">
        <v>0.59514259999999997</v>
      </c>
      <c r="F1067" t="s">
        <v>47</v>
      </c>
      <c r="G1067">
        <v>-245.3451</v>
      </c>
      <c r="H1067">
        <v>0.3813531</v>
      </c>
      <c r="I1067">
        <v>348.36110000000002</v>
      </c>
      <c r="J1067">
        <v>-374.00060000000002</v>
      </c>
      <c r="K1067">
        <v>1.104692</v>
      </c>
      <c r="L1067">
        <v>367.26900000000001</v>
      </c>
      <c r="M1067">
        <v>0.99991010000000002</v>
      </c>
      <c r="N1067">
        <v>0</v>
      </c>
      <c r="O1067">
        <v>7.1165839999999996E-3</v>
      </c>
      <c r="P1067">
        <v>0.99475899999999995</v>
      </c>
      <c r="Q1067">
        <v>2.1148500000000001E-2</v>
      </c>
      <c r="R1067">
        <v>0.1000375</v>
      </c>
      <c r="S1067">
        <v>3.0611570000000001</v>
      </c>
      <c r="T1067">
        <v>-1.7193679999999999E-2</v>
      </c>
      <c r="U1067">
        <v>-0.4494629</v>
      </c>
      <c r="V1067">
        <v>-9.2972630000000001E-2</v>
      </c>
      <c r="W1067">
        <v>3.2407159999999997E-2</v>
      </c>
      <c r="X1067">
        <v>0.9951411</v>
      </c>
      <c r="Y1067">
        <v>0.15230560000000001</v>
      </c>
      <c r="Z1067">
        <v>-4.652112E-4</v>
      </c>
      <c r="AA1067">
        <v>0.98833329999999997</v>
      </c>
      <c r="AB1067">
        <v>22</v>
      </c>
      <c r="AC1067">
        <v>128.65549999999999</v>
      </c>
      <c r="AD1067">
        <v>-0.72333890000000001</v>
      </c>
      <c r="AE1067">
        <v>-18.907899999999898</v>
      </c>
      <c r="AF1067">
        <v>19.822454586584499</v>
      </c>
      <c r="AG1067">
        <v>-0.72333890000000001</v>
      </c>
      <c r="AH1067">
        <v>128.513696807229</v>
      </c>
      <c r="AI1067">
        <v>90.318716733137904</v>
      </c>
      <c r="AJ1067">
        <v>81.231576467695604</v>
      </c>
      <c r="AK1067">
        <v>130.03546897697501</v>
      </c>
      <c r="AL1067">
        <v>88.142881291033106</v>
      </c>
      <c r="AM1067">
        <v>95.33745536136</v>
      </c>
      <c r="AN1067">
        <v>0.99999997142879504</v>
      </c>
    </row>
    <row r="1068" spans="1:40" x14ac:dyDescent="0.3">
      <c r="A1068" t="str">
        <f>"20200111145931661"</f>
        <v>20200111145931661</v>
      </c>
      <c r="B1068" t="str">
        <f>"1578725971657054"</f>
        <v>1578725971657054</v>
      </c>
      <c r="C1068" t="s">
        <v>40</v>
      </c>
      <c r="D1068">
        <v>3.8960349999999999</v>
      </c>
      <c r="E1068">
        <v>0.59516780000000002</v>
      </c>
      <c r="F1068" t="s">
        <v>47</v>
      </c>
      <c r="G1068">
        <v>-245.3451</v>
      </c>
      <c r="H1068">
        <v>0.1875589</v>
      </c>
      <c r="I1068">
        <v>348.18720000000002</v>
      </c>
      <c r="J1068">
        <v>-373.89179999999999</v>
      </c>
      <c r="K1068">
        <v>1.1046849999999999</v>
      </c>
      <c r="L1068">
        <v>367.27010000000001</v>
      </c>
      <c r="M1068">
        <v>0.99990889999999999</v>
      </c>
      <c r="N1068">
        <v>0</v>
      </c>
      <c r="O1068">
        <v>7.3053179999999999E-3</v>
      </c>
      <c r="P1068">
        <v>0.99471509999999996</v>
      </c>
      <c r="Q1068">
        <v>2.1423890000000001E-2</v>
      </c>
      <c r="R1068">
        <v>0.1004148</v>
      </c>
      <c r="S1068">
        <v>3.06189</v>
      </c>
      <c r="T1068">
        <v>-2.182508E-2</v>
      </c>
      <c r="U1068">
        <v>-0.45413209999999998</v>
      </c>
      <c r="V1068">
        <v>-9.316207E-2</v>
      </c>
      <c r="W1068">
        <v>3.2684049999999999E-2</v>
      </c>
      <c r="X1068">
        <v>0.99511430000000001</v>
      </c>
      <c r="Y1068">
        <v>0.1539315</v>
      </c>
      <c r="Z1068">
        <v>-5.9741699999999896E-4</v>
      </c>
      <c r="AA1068">
        <v>0.98808130000000005</v>
      </c>
      <c r="AB1068">
        <v>22</v>
      </c>
      <c r="AC1068">
        <v>128.54669999999999</v>
      </c>
      <c r="AD1068">
        <v>-0.91712610000000006</v>
      </c>
      <c r="AE1068">
        <v>-19.082899999999899</v>
      </c>
      <c r="AF1068">
        <v>20.020528623420802</v>
      </c>
      <c r="AG1068">
        <v>-0.91712610000000006</v>
      </c>
      <c r="AH1068">
        <v>128.39745897812199</v>
      </c>
      <c r="AI1068">
        <v>90.404363277007604</v>
      </c>
      <c r="AJ1068">
        <v>81.137451643442702</v>
      </c>
      <c r="AK1068">
        <v>129.952184124328</v>
      </c>
      <c r="AL1068">
        <v>88.1270082024743</v>
      </c>
      <c r="AM1068">
        <v>95.348411102459096</v>
      </c>
      <c r="AN1068">
        <v>0.99999994423778704</v>
      </c>
    </row>
    <row r="1069" spans="1:40" x14ac:dyDescent="0.3">
      <c r="A1069" t="str">
        <f>"20200111145931673"</f>
        <v>20200111145931673</v>
      </c>
      <c r="B1069" t="str">
        <f>"1578725971666814"</f>
        <v>1578725971666814</v>
      </c>
      <c r="C1069" t="s">
        <v>40</v>
      </c>
      <c r="D1069">
        <v>3.9054169999999999</v>
      </c>
      <c r="E1069">
        <v>0.59539229999999999</v>
      </c>
      <c r="F1069" t="s">
        <v>47</v>
      </c>
      <c r="G1069">
        <v>-245.3451</v>
      </c>
      <c r="H1069">
        <v>0.1010511</v>
      </c>
      <c r="I1069">
        <v>348.2432</v>
      </c>
      <c r="J1069">
        <v>-373.76280000000003</v>
      </c>
      <c r="K1069">
        <v>1.1046739999999999</v>
      </c>
      <c r="L1069">
        <v>367.2713</v>
      </c>
      <c r="M1069">
        <v>0.99990730000000005</v>
      </c>
      <c r="N1069">
        <v>0</v>
      </c>
      <c r="O1069">
        <v>7.5171350000000003E-3</v>
      </c>
      <c r="P1069">
        <v>0.99463670000000004</v>
      </c>
      <c r="Q1069">
        <v>2.1731250000000001E-2</v>
      </c>
      <c r="R1069">
        <v>0.1011234</v>
      </c>
      <c r="S1069">
        <v>3.0621640000000001</v>
      </c>
      <c r="T1069">
        <v>-2.3906110000000001E-2</v>
      </c>
      <c r="U1069">
        <v>-0.45324710000000001</v>
      </c>
      <c r="V1069">
        <v>-9.3659339999999994E-2</v>
      </c>
      <c r="W1069">
        <v>3.2993830000000002E-2</v>
      </c>
      <c r="X1069">
        <v>0.99505750000000004</v>
      </c>
      <c r="Y1069">
        <v>0.1538477</v>
      </c>
      <c r="Z1069">
        <v>-6.55655E-4</v>
      </c>
      <c r="AA1069">
        <v>0.98809429999999998</v>
      </c>
      <c r="AB1069">
        <v>22</v>
      </c>
      <c r="AC1069">
        <v>128.4177</v>
      </c>
      <c r="AD1069">
        <v>-1.0036229000000001</v>
      </c>
      <c r="AE1069">
        <v>-19.028099999999899</v>
      </c>
      <c r="AF1069">
        <v>19.991762868929001</v>
      </c>
      <c r="AG1069">
        <v>-1.0036229000000001</v>
      </c>
      <c r="AH1069">
        <v>128.263359316014</v>
      </c>
      <c r="AI1069">
        <v>90.442965233446003</v>
      </c>
      <c r="AJ1069">
        <v>81.140877731817</v>
      </c>
      <c r="AK1069">
        <v>129.81589727210499</v>
      </c>
      <c r="AL1069">
        <v>88.109249730325899</v>
      </c>
      <c r="AM1069">
        <v>95.377097498062696</v>
      </c>
      <c r="AN1069">
        <v>1.00000004654677</v>
      </c>
    </row>
    <row r="1070" spans="1:40" x14ac:dyDescent="0.3">
      <c r="A1070" t="str">
        <f>"20200111145931686"</f>
        <v>20200111145931686</v>
      </c>
      <c r="B1070" t="str">
        <f>"1578725971676574"</f>
        <v>1578725971676574</v>
      </c>
      <c r="C1070" t="s">
        <v>40</v>
      </c>
      <c r="D1070">
        <v>3.942917</v>
      </c>
      <c r="E1070">
        <v>0.59579340000000003</v>
      </c>
      <c r="F1070" t="s">
        <v>43</v>
      </c>
      <c r="G1070">
        <v>-241.18940000000001</v>
      </c>
      <c r="H1070">
        <v>-0.05</v>
      </c>
      <c r="I1070">
        <v>347.6746</v>
      </c>
      <c r="J1070">
        <v>-373.64299999999997</v>
      </c>
      <c r="K1070">
        <v>1.104671</v>
      </c>
      <c r="L1070">
        <v>367.2724</v>
      </c>
      <c r="M1070">
        <v>0.99990579999999996</v>
      </c>
      <c r="N1070">
        <v>0</v>
      </c>
      <c r="O1070">
        <v>7.7074359999999998E-3</v>
      </c>
      <c r="P1070">
        <v>0.99456440000000002</v>
      </c>
      <c r="Q1070">
        <v>2.1766009999999999E-2</v>
      </c>
      <c r="R1070">
        <v>0.10182479999999999</v>
      </c>
      <c r="S1070">
        <v>3.0627439999999999</v>
      </c>
      <c r="T1070">
        <v>-2.6675580000000001E-2</v>
      </c>
      <c r="U1070">
        <v>-0.45272829999999997</v>
      </c>
      <c r="V1070">
        <v>-9.4171169999999998E-2</v>
      </c>
      <c r="W1070">
        <v>3.3030530000000002E-2</v>
      </c>
      <c r="X1070">
        <v>0.99500789999999995</v>
      </c>
      <c r="Y1070">
        <v>0.1538437</v>
      </c>
      <c r="Z1070">
        <v>-7.3311220000000002E-4</v>
      </c>
      <c r="AA1070">
        <v>0.9880949</v>
      </c>
      <c r="AB1070">
        <v>22</v>
      </c>
      <c r="AC1070">
        <v>132.45359999999999</v>
      </c>
      <c r="AD1070">
        <v>-1.154671</v>
      </c>
      <c r="AE1070">
        <v>-19.597799999999999</v>
      </c>
      <c r="AF1070">
        <v>20.616628098111399</v>
      </c>
      <c r="AG1070">
        <v>-1.154671</v>
      </c>
      <c r="AH1070">
        <v>132.28876872529</v>
      </c>
      <c r="AI1070">
        <v>90.494124213332995</v>
      </c>
      <c r="AJ1070">
        <v>81.141958102133501</v>
      </c>
      <c r="AK1070">
        <v>133.89061561628401</v>
      </c>
      <c r="AL1070">
        <v>88.107145689540005</v>
      </c>
      <c r="AM1070">
        <v>95.406576549473598</v>
      </c>
      <c r="AN1070">
        <v>0.99999997311682898</v>
      </c>
    </row>
    <row r="1071" spans="1:40" x14ac:dyDescent="0.3">
      <c r="A1071" t="str">
        <f>"20200111145931701"</f>
        <v>20200111145931701</v>
      </c>
      <c r="B1071" t="str">
        <f>"1578725971697072"</f>
        <v>1578725971697072</v>
      </c>
      <c r="C1071" t="s">
        <v>40</v>
      </c>
      <c r="D1071">
        <v>3.9294410000000002</v>
      </c>
      <c r="E1071">
        <v>0.59647059999999996</v>
      </c>
      <c r="F1071" t="s">
        <v>43</v>
      </c>
      <c r="G1071">
        <v>-256.21140000000003</v>
      </c>
      <c r="H1071">
        <v>-0.05</v>
      </c>
      <c r="I1071">
        <v>349.88209999999998</v>
      </c>
      <c r="J1071">
        <v>-373.49279999999999</v>
      </c>
      <c r="K1071">
        <v>1.10466</v>
      </c>
      <c r="L1071">
        <v>367.27379999999999</v>
      </c>
      <c r="M1071">
        <v>0.99990389999999996</v>
      </c>
      <c r="N1071">
        <v>0</v>
      </c>
      <c r="O1071">
        <v>7.9366139999999998E-3</v>
      </c>
      <c r="P1071">
        <v>0.99441170000000001</v>
      </c>
      <c r="Q1071">
        <v>2.2023379999999999E-2</v>
      </c>
      <c r="R1071">
        <v>0.1032469</v>
      </c>
      <c r="S1071">
        <v>3.0635379999999999</v>
      </c>
      <c r="T1071">
        <v>-3.0122880000000001E-2</v>
      </c>
      <c r="U1071">
        <v>-0.45367429999999997</v>
      </c>
      <c r="V1071">
        <v>-9.5365439999999996E-2</v>
      </c>
      <c r="W1071">
        <v>3.3289779999999998E-2</v>
      </c>
      <c r="X1071">
        <v>0.99488549999999998</v>
      </c>
      <c r="Y1071">
        <v>0.15432999999999999</v>
      </c>
      <c r="Z1071">
        <v>-8.3223770000000002E-4</v>
      </c>
      <c r="AA1071">
        <v>0.98801899999999998</v>
      </c>
      <c r="AB1071">
        <v>22</v>
      </c>
      <c r="AC1071">
        <v>117.281399999999</v>
      </c>
      <c r="AD1071">
        <v>-1.15466</v>
      </c>
      <c r="AE1071">
        <v>-17.3917</v>
      </c>
      <c r="AF1071">
        <v>18.320291965083399</v>
      </c>
      <c r="AG1071">
        <v>-1.15466</v>
      </c>
      <c r="AH1071">
        <v>117.128556795636</v>
      </c>
      <c r="AI1071">
        <v>90.558022536137003</v>
      </c>
      <c r="AJ1071">
        <v>81.1102898489615</v>
      </c>
      <c r="AK1071">
        <v>118.55827746062199</v>
      </c>
      <c r="AL1071">
        <v>88.092283573860797</v>
      </c>
      <c r="AM1071">
        <v>95.475397707474897</v>
      </c>
      <c r="AN1071">
        <v>0.99999996735454499</v>
      </c>
    </row>
    <row r="1072" spans="1:40" x14ac:dyDescent="0.3">
      <c r="A1072" t="str">
        <f>"20200111145931712"</f>
        <v>20200111145931712</v>
      </c>
      <c r="B1072" t="str">
        <f>"1578725971706830"</f>
        <v>1578725971706830</v>
      </c>
      <c r="C1072" t="s">
        <v>40</v>
      </c>
      <c r="D1072">
        <v>3.9516260000000001</v>
      </c>
      <c r="E1072">
        <v>0.59684329999999997</v>
      </c>
      <c r="F1072" t="s">
        <v>43</v>
      </c>
      <c r="G1072">
        <v>-270.49090000000001</v>
      </c>
      <c r="H1072">
        <v>-0.05</v>
      </c>
      <c r="I1072">
        <v>351.99630000000002</v>
      </c>
      <c r="J1072">
        <v>-373.37470000000002</v>
      </c>
      <c r="K1072">
        <v>1.104652</v>
      </c>
      <c r="L1072">
        <v>367.27499999999998</v>
      </c>
      <c r="M1072">
        <v>0.99990259999999997</v>
      </c>
      <c r="N1072">
        <v>0</v>
      </c>
      <c r="O1072">
        <v>8.1023880000000003E-3</v>
      </c>
      <c r="P1072">
        <v>0.9943033</v>
      </c>
      <c r="Q1072">
        <v>2.2153050000000001E-2</v>
      </c>
      <c r="R1072">
        <v>0.1042607</v>
      </c>
      <c r="S1072">
        <v>3.06488</v>
      </c>
      <c r="T1072">
        <v>-3.4357550000000001E-2</v>
      </c>
      <c r="U1072">
        <v>-0.45458979999999999</v>
      </c>
      <c r="V1072">
        <v>-9.6214629999999995E-2</v>
      </c>
      <c r="W1072">
        <v>3.342179E-2</v>
      </c>
      <c r="X1072">
        <v>0.99479930000000005</v>
      </c>
      <c r="Y1072">
        <v>0.15471750000000001</v>
      </c>
      <c r="Z1072">
        <v>-9.5280359999999999E-4</v>
      </c>
      <c r="AA1072">
        <v>0.98795829999999996</v>
      </c>
      <c r="AB1072">
        <v>22</v>
      </c>
      <c r="AC1072">
        <v>102.88379999999999</v>
      </c>
      <c r="AD1072">
        <v>-1.154652</v>
      </c>
      <c r="AE1072">
        <v>-15.278699999999899</v>
      </c>
      <c r="AF1072">
        <v>16.109871409681801</v>
      </c>
      <c r="AG1072">
        <v>-1.154652</v>
      </c>
      <c r="AH1072">
        <v>102.743958798702</v>
      </c>
      <c r="AI1072">
        <v>90.636100288778394</v>
      </c>
      <c r="AJ1072">
        <v>81.088789319400206</v>
      </c>
      <c r="AK1072">
        <v>104.005683727895</v>
      </c>
      <c r="AL1072">
        <v>88.084715730900101</v>
      </c>
      <c r="AM1072">
        <v>95.524329315943703</v>
      </c>
      <c r="AN1072">
        <v>0.99999995917666396</v>
      </c>
    </row>
    <row r="1073" spans="1:40" x14ac:dyDescent="0.3">
      <c r="A1073" t="str">
        <f>"20200111145931724"</f>
        <v>20200111145931724</v>
      </c>
      <c r="B1073" t="str">
        <f>"1578725971716590"</f>
        <v>1578725971716590</v>
      </c>
      <c r="C1073" t="s">
        <v>40</v>
      </c>
      <c r="D1073">
        <v>3.9631259999999999</v>
      </c>
      <c r="E1073">
        <v>0.59706700000000001</v>
      </c>
      <c r="F1073" t="s">
        <v>43</v>
      </c>
      <c r="G1073">
        <v>-278.9975</v>
      </c>
      <c r="H1073">
        <v>-0.05</v>
      </c>
      <c r="I1073">
        <v>353.28050000000002</v>
      </c>
      <c r="J1073">
        <v>-373.26650000000001</v>
      </c>
      <c r="K1073">
        <v>1.104643</v>
      </c>
      <c r="L1073">
        <v>367.27600000000001</v>
      </c>
      <c r="M1073">
        <v>0.9999015</v>
      </c>
      <c r="N1073">
        <v>0</v>
      </c>
      <c r="O1073">
        <v>8.2487989999999994E-3</v>
      </c>
      <c r="P1073">
        <v>0.99422109999999997</v>
      </c>
      <c r="Q1073">
        <v>2.2345839999999999E-2</v>
      </c>
      <c r="R1073">
        <v>0.1050029</v>
      </c>
      <c r="S1073">
        <v>3.0657040000000002</v>
      </c>
      <c r="T1073">
        <v>-3.7507180000000001E-2</v>
      </c>
      <c r="U1073">
        <v>-0.45458979999999999</v>
      </c>
      <c r="V1073">
        <v>-9.68112E-2</v>
      </c>
      <c r="W1073">
        <v>3.3616710000000001E-2</v>
      </c>
      <c r="X1073">
        <v>0.99473489999999998</v>
      </c>
      <c r="Y1073">
        <v>0.15482179999999901</v>
      </c>
      <c r="Z1073">
        <v>-1.0422820000000001E-3</v>
      </c>
      <c r="AA1073">
        <v>0.98794190000000004</v>
      </c>
      <c r="AB1073">
        <v>22</v>
      </c>
      <c r="AC1073">
        <v>94.268999999999906</v>
      </c>
      <c r="AD1073">
        <v>-1.1546430000000001</v>
      </c>
      <c r="AE1073">
        <v>-13.9954999999999</v>
      </c>
      <c r="AF1073">
        <v>14.770511830816799</v>
      </c>
      <c r="AG1073">
        <v>-1.1546430000000001</v>
      </c>
      <c r="AH1073">
        <v>94.1365207959564</v>
      </c>
      <c r="AI1073">
        <v>90.694240117769795</v>
      </c>
      <c r="AJ1073">
        <v>81.082697676160294</v>
      </c>
      <c r="AK1073">
        <v>95.2952557463869</v>
      </c>
      <c r="AL1073">
        <v>88.073541449009298</v>
      </c>
      <c r="AM1073">
        <v>95.558726161485296</v>
      </c>
      <c r="AN1073">
        <v>1.00000000645733</v>
      </c>
    </row>
    <row r="1074" spans="1:40" x14ac:dyDescent="0.3">
      <c r="A1074" t="str">
        <f>"20200111145931736"</f>
        <v>20200111145931736</v>
      </c>
      <c r="B1074" t="str">
        <f>"1578725971726350"</f>
        <v>1578725971726350</v>
      </c>
      <c r="C1074" t="s">
        <v>40</v>
      </c>
      <c r="D1074">
        <v>4.0094289999999999</v>
      </c>
      <c r="E1074">
        <v>0.59720030000000002</v>
      </c>
      <c r="F1074" t="s">
        <v>43</v>
      </c>
      <c r="G1074">
        <v>-271.41919999999999</v>
      </c>
      <c r="H1074">
        <v>-0.05</v>
      </c>
      <c r="I1074">
        <v>352.19150000000002</v>
      </c>
      <c r="J1074">
        <v>-373.14400000000001</v>
      </c>
      <c r="K1074">
        <v>1.104633</v>
      </c>
      <c r="L1074">
        <v>367.27719999999999</v>
      </c>
      <c r="M1074">
        <v>0.99990009999999996</v>
      </c>
      <c r="N1074">
        <v>0</v>
      </c>
      <c r="O1074">
        <v>8.4032250000000003E-3</v>
      </c>
      <c r="P1074">
        <v>0.9941451</v>
      </c>
      <c r="Q1074">
        <v>2.2588960000000002E-2</v>
      </c>
      <c r="R1074">
        <v>0.1056665</v>
      </c>
      <c r="S1074">
        <v>3.0661930000000002</v>
      </c>
      <c r="T1074">
        <v>-3.4761430000000003E-2</v>
      </c>
      <c r="U1074">
        <v>-0.45413209999999998</v>
      </c>
      <c r="V1074">
        <v>-9.732027E-2</v>
      </c>
      <c r="W1074">
        <v>3.3863089999999998E-2</v>
      </c>
      <c r="X1074">
        <v>0.99467689999999997</v>
      </c>
      <c r="Y1074">
        <v>0.1548088</v>
      </c>
      <c r="Z1074">
        <v>-9.6751360000000002E-4</v>
      </c>
      <c r="AA1074">
        <v>0.98794389999999999</v>
      </c>
      <c r="AB1074">
        <v>22</v>
      </c>
      <c r="AC1074">
        <v>101.7248</v>
      </c>
      <c r="AD1074">
        <v>-1.154633</v>
      </c>
      <c r="AE1074">
        <v>-15.0856999999999</v>
      </c>
      <c r="AF1074">
        <v>15.938029697709601</v>
      </c>
      <c r="AG1074">
        <v>-1.154633</v>
      </c>
      <c r="AH1074">
        <v>101.58162549527501</v>
      </c>
      <c r="AI1074">
        <v>90.643357491585604</v>
      </c>
      <c r="AJ1074">
        <v>81.083059867468805</v>
      </c>
      <c r="AK1074">
        <v>102.8308349002</v>
      </c>
      <c r="AL1074">
        <v>88.059416937396804</v>
      </c>
      <c r="AM1074">
        <v>95.588095306123094</v>
      </c>
      <c r="AN1074">
        <v>1.0000000396054101</v>
      </c>
    </row>
    <row r="1075" spans="1:40" x14ac:dyDescent="0.3">
      <c r="A1075" t="str">
        <f>"20200111145931749"</f>
        <v>20200111145931749</v>
      </c>
      <c r="B1075" t="str">
        <f>"1578725971746847"</f>
        <v>1578725971746847</v>
      </c>
      <c r="C1075" t="s">
        <v>40</v>
      </c>
      <c r="D1075">
        <v>3.9894099999999999</v>
      </c>
      <c r="E1075">
        <v>0.59738040000000003</v>
      </c>
      <c r="F1075" t="s">
        <v>43</v>
      </c>
      <c r="G1075">
        <v>-265.5702</v>
      </c>
      <c r="H1075">
        <v>-0.05</v>
      </c>
      <c r="I1075">
        <v>351.38920000000002</v>
      </c>
      <c r="J1075">
        <v>-373.01870000000002</v>
      </c>
      <c r="K1075">
        <v>1.1046199999999999</v>
      </c>
      <c r="L1075">
        <v>367.27839999999998</v>
      </c>
      <c r="M1075">
        <v>0.99989899999999998</v>
      </c>
      <c r="N1075">
        <v>0</v>
      </c>
      <c r="O1075">
        <v>8.5445079999999993E-3</v>
      </c>
      <c r="P1075">
        <v>0.99405180000000004</v>
      </c>
      <c r="Q1075">
        <v>2.3337429999999999E-2</v>
      </c>
      <c r="R1075">
        <v>0.1063795</v>
      </c>
      <c r="S1075">
        <v>3.0665589999999998</v>
      </c>
      <c r="T1075">
        <v>-3.2914640000000002E-2</v>
      </c>
      <c r="U1075">
        <v>-0.45291140000000002</v>
      </c>
      <c r="V1075">
        <v>-9.7892110000000004E-2</v>
      </c>
      <c r="W1075">
        <v>3.461463E-2</v>
      </c>
      <c r="X1075">
        <v>0.99459489999999995</v>
      </c>
      <c r="Y1075">
        <v>0.1545475</v>
      </c>
      <c r="Z1075">
        <v>-9.1614699999999997E-4</v>
      </c>
      <c r="AA1075">
        <v>0.987985</v>
      </c>
      <c r="AB1075">
        <v>22</v>
      </c>
      <c r="AC1075">
        <v>107.4485</v>
      </c>
      <c r="AD1075">
        <v>-1.15462</v>
      </c>
      <c r="AE1075">
        <v>-15.889199999999899</v>
      </c>
      <c r="AF1075">
        <v>16.8048747026385</v>
      </c>
      <c r="AG1075">
        <v>-1.15462</v>
      </c>
      <c r="AH1075">
        <v>107.296678291097</v>
      </c>
      <c r="AI1075">
        <v>90.609111395197004</v>
      </c>
      <c r="AJ1075">
        <v>81.098611872810494</v>
      </c>
      <c r="AK1075">
        <v>108.61083801084899</v>
      </c>
      <c r="AL1075">
        <v>88.016331579997896</v>
      </c>
      <c r="AM1075">
        <v>95.621180944484706</v>
      </c>
      <c r="AN1075">
        <v>1.0000000264581399</v>
      </c>
    </row>
    <row r="1076" spans="1:40" x14ac:dyDescent="0.3">
      <c r="A1076" t="str">
        <f>"20200111145931761"</f>
        <v>20200111145931761</v>
      </c>
      <c r="B1076" t="str">
        <f>"1578725971756606"</f>
        <v>1578725971756606</v>
      </c>
      <c r="C1076" t="s">
        <v>40</v>
      </c>
      <c r="D1076">
        <v>3.9719929999999999</v>
      </c>
      <c r="E1076">
        <v>0.59747450000000002</v>
      </c>
      <c r="F1076" t="s">
        <v>43</v>
      </c>
      <c r="G1076">
        <v>-243.6259</v>
      </c>
      <c r="H1076">
        <v>-0.05</v>
      </c>
      <c r="I1076">
        <v>348.2013</v>
      </c>
      <c r="J1076">
        <v>-372.89710000000002</v>
      </c>
      <c r="K1076">
        <v>1.104608</v>
      </c>
      <c r="L1076">
        <v>367.27960000000002</v>
      </c>
      <c r="M1076">
        <v>0.99989779999999995</v>
      </c>
      <c r="N1076">
        <v>0</v>
      </c>
      <c r="O1076">
        <v>8.6724920000000004E-3</v>
      </c>
      <c r="P1076">
        <v>0.99398739999999997</v>
      </c>
      <c r="Q1076">
        <v>2.4073270000000001E-2</v>
      </c>
      <c r="R1076">
        <v>0.1068171</v>
      </c>
      <c r="S1076">
        <v>3.0669559999999998</v>
      </c>
      <c r="T1076">
        <v>-2.7367590000000001E-2</v>
      </c>
      <c r="U1076">
        <v>-0.452179</v>
      </c>
      <c r="V1076">
        <v>-9.8202100000000001E-2</v>
      </c>
      <c r="W1076">
        <v>3.5354700000000003E-2</v>
      </c>
      <c r="X1076">
        <v>0.99453829999999999</v>
      </c>
      <c r="Y1076">
        <v>0.1544275</v>
      </c>
      <c r="Z1076">
        <v>-7.6227619999999995E-4</v>
      </c>
      <c r="AA1076">
        <v>0.98800379999999999</v>
      </c>
      <c r="AB1076">
        <v>22</v>
      </c>
      <c r="AC1076">
        <v>129.27119999999999</v>
      </c>
      <c r="AD1076">
        <v>-1.1546080000000001</v>
      </c>
      <c r="AE1076">
        <v>-19.078299999999999</v>
      </c>
      <c r="AF1076">
        <v>20.197181419966299</v>
      </c>
      <c r="AG1076">
        <v>-1.1546080000000001</v>
      </c>
      <c r="AH1076">
        <v>129.09079214245301</v>
      </c>
      <c r="AI1076">
        <v>90.506289740347796</v>
      </c>
      <c r="AJ1076">
        <v>81.107753526666997</v>
      </c>
      <c r="AK1076">
        <v>130.66633794864899</v>
      </c>
      <c r="AL1076">
        <v>87.973902704043894</v>
      </c>
      <c r="AM1076">
        <v>95.639185559186501</v>
      </c>
      <c r="AN1076">
        <v>1.00000001871169</v>
      </c>
    </row>
    <row r="1077" spans="1:40" x14ac:dyDescent="0.3">
      <c r="A1077" t="str">
        <f>"20200111145931774"</f>
        <v>20200111145931774</v>
      </c>
      <c r="B1077" t="str">
        <f>"1578725971766366"</f>
        <v>1578725971766366</v>
      </c>
      <c r="C1077" t="s">
        <v>40</v>
      </c>
      <c r="D1077">
        <v>3.9897520000000002</v>
      </c>
      <c r="E1077">
        <v>0.59755459999999905</v>
      </c>
      <c r="F1077" t="s">
        <v>47</v>
      </c>
      <c r="G1077">
        <v>-245.3451</v>
      </c>
      <c r="H1077">
        <v>6.2951809999999997E-2</v>
      </c>
      <c r="I1077">
        <v>348.50259999999997</v>
      </c>
      <c r="J1077">
        <v>-372.76580000000001</v>
      </c>
      <c r="K1077">
        <v>1.10459</v>
      </c>
      <c r="L1077">
        <v>367.28089999999997</v>
      </c>
      <c r="M1077">
        <v>0.99989689999999998</v>
      </c>
      <c r="N1077">
        <v>0</v>
      </c>
      <c r="O1077">
        <v>8.7821740000000002E-3</v>
      </c>
      <c r="P1077">
        <v>0.99393189999999998</v>
      </c>
      <c r="Q1077">
        <v>2.471978E-2</v>
      </c>
      <c r="R1077">
        <v>0.1071846</v>
      </c>
      <c r="S1077">
        <v>3.067291</v>
      </c>
      <c r="T1077">
        <v>-2.5047179999999999E-2</v>
      </c>
      <c r="U1077">
        <v>-0.4515381</v>
      </c>
      <c r="V1077">
        <v>-9.8459690000000002E-2</v>
      </c>
      <c r="W1077">
        <v>3.6006120000000003E-2</v>
      </c>
      <c r="X1077">
        <v>0.99448939999999997</v>
      </c>
      <c r="Y1077">
        <v>0.15431919999999999</v>
      </c>
      <c r="Z1077">
        <v>-6.9803409999999997E-4</v>
      </c>
      <c r="AA1077">
        <v>0.98802080000000003</v>
      </c>
      <c r="AB1077">
        <v>22</v>
      </c>
      <c r="AC1077">
        <v>127.4207</v>
      </c>
      <c r="AD1077">
        <v>-1.04163819</v>
      </c>
      <c r="AE1077">
        <v>-18.778300000000002</v>
      </c>
      <c r="AF1077">
        <v>19.895377425970899</v>
      </c>
      <c r="AG1077">
        <v>-1.04163819</v>
      </c>
      <c r="AH1077">
        <v>127.242538048809</v>
      </c>
      <c r="AI1077">
        <v>90.4633965728992</v>
      </c>
      <c r="AJ1077">
        <v>81.113305460915797</v>
      </c>
      <c r="AK1077">
        <v>128.79275811218301</v>
      </c>
      <c r="AL1077">
        <v>87.936555183166007</v>
      </c>
      <c r="AM1077">
        <v>95.654157973208001</v>
      </c>
      <c r="AN1077">
        <v>0.99999995897235405</v>
      </c>
    </row>
    <row r="1078" spans="1:40" x14ac:dyDescent="0.3">
      <c r="A1078" t="str">
        <f>"20200111145931786"</f>
        <v>20200111145931786</v>
      </c>
      <c r="B1078" t="str">
        <f>"1578725971777102"</f>
        <v>1578725971777102</v>
      </c>
      <c r="C1078" t="s">
        <v>40</v>
      </c>
      <c r="D1078">
        <v>3.9855390000000002</v>
      </c>
      <c r="E1078">
        <v>0.597527699999999</v>
      </c>
      <c r="F1078" t="s">
        <v>47</v>
      </c>
      <c r="G1078">
        <v>-245.17019999999999</v>
      </c>
      <c r="H1078">
        <v>0.16558239999999999</v>
      </c>
      <c r="I1078">
        <v>348.51170000000002</v>
      </c>
      <c r="J1078">
        <v>-372.64249999999998</v>
      </c>
      <c r="K1078">
        <v>1.104573</v>
      </c>
      <c r="L1078">
        <v>367.28210000000001</v>
      </c>
      <c r="M1078">
        <v>0.99989620000000001</v>
      </c>
      <c r="N1078">
        <v>0</v>
      </c>
      <c r="O1078">
        <v>8.8709989999999992E-3</v>
      </c>
      <c r="P1078">
        <v>0.99388500000000002</v>
      </c>
      <c r="Q1078">
        <v>2.5201149999999999E-2</v>
      </c>
      <c r="R1078">
        <v>0.107507199999999</v>
      </c>
      <c r="S1078">
        <v>3.0675349999999999</v>
      </c>
      <c r="T1078">
        <v>-2.257288E-2</v>
      </c>
      <c r="U1078">
        <v>-0.45123289999999999</v>
      </c>
      <c r="V1078">
        <v>-9.8692199999999994E-2</v>
      </c>
      <c r="W1078">
        <v>3.6492650000000001E-2</v>
      </c>
      <c r="X1078">
        <v>0.99444869999999996</v>
      </c>
      <c r="Y1078">
        <v>0.15430050000000001</v>
      </c>
      <c r="Z1078">
        <v>-6.2961690000000003E-4</v>
      </c>
      <c r="AA1078">
        <v>0.98802380000000001</v>
      </c>
      <c r="AB1078">
        <v>22</v>
      </c>
      <c r="AC1078">
        <v>127.4723</v>
      </c>
      <c r="AD1078">
        <v>-0.93899059999999901</v>
      </c>
      <c r="AE1078">
        <v>-18.770399999999899</v>
      </c>
      <c r="AF1078">
        <v>19.899483997937999</v>
      </c>
      <c r="AG1078">
        <v>-0.93899059999999901</v>
      </c>
      <c r="AH1078">
        <v>127.29400007008699</v>
      </c>
      <c r="AI1078">
        <v>90.417566249885198</v>
      </c>
      <c r="AJ1078">
        <v>81.115036530637596</v>
      </c>
      <c r="AK1078">
        <v>128.843446168497</v>
      </c>
      <c r="AL1078">
        <v>87.908660903553994</v>
      </c>
      <c r="AM1078">
        <v>95.667653740090103</v>
      </c>
      <c r="AN1078">
        <v>1.0000000403882701</v>
      </c>
    </row>
    <row r="1079" spans="1:40" x14ac:dyDescent="0.3">
      <c r="A1079" t="str">
        <f>"20200111145931803"</f>
        <v>20200111145931803</v>
      </c>
      <c r="B1079" t="str">
        <f>"1578725971796622"</f>
        <v>1578725971796622</v>
      </c>
      <c r="C1079" t="s">
        <v>40</v>
      </c>
      <c r="D1079">
        <v>4.0550879999999996</v>
      </c>
      <c r="E1079">
        <v>0.57920280000000002</v>
      </c>
      <c r="F1079" t="s">
        <v>47</v>
      </c>
      <c r="G1079">
        <v>-244.6617</v>
      </c>
      <c r="H1079">
        <v>0.2435987</v>
      </c>
      <c r="I1079">
        <v>348.51170000000002</v>
      </c>
      <c r="J1079">
        <v>-372.47809999999998</v>
      </c>
      <c r="K1079">
        <v>1.1045480000000001</v>
      </c>
      <c r="L1079">
        <v>367.28370000000001</v>
      </c>
      <c r="M1079">
        <v>0.99989519999999998</v>
      </c>
      <c r="N1079">
        <v>0</v>
      </c>
      <c r="O1079">
        <v>8.9652580000000003E-3</v>
      </c>
      <c r="P1079">
        <v>0.99384159999999999</v>
      </c>
      <c r="Q1079">
        <v>2.583276E-2</v>
      </c>
      <c r="R1079">
        <v>0.10775709999999999</v>
      </c>
      <c r="S1079">
        <v>3.0676570000000001</v>
      </c>
      <c r="T1079">
        <v>-2.063537E-2</v>
      </c>
      <c r="U1079">
        <v>-0.44992070000000001</v>
      </c>
      <c r="V1079">
        <v>-9.8846359999999994E-2</v>
      </c>
      <c r="W1079">
        <v>3.7131659999999997E-2</v>
      </c>
      <c r="X1079">
        <v>0.99440969999999995</v>
      </c>
      <c r="Y1079">
        <v>0.1539749</v>
      </c>
      <c r="Z1079">
        <v>-5.751129E-4</v>
      </c>
      <c r="AA1079">
        <v>0.98807460000000003</v>
      </c>
      <c r="AB1079">
        <v>22</v>
      </c>
      <c r="AC1079">
        <v>127.8164</v>
      </c>
      <c r="AD1079">
        <v>-0.86094929999999903</v>
      </c>
      <c r="AE1079">
        <v>-18.771999999999899</v>
      </c>
      <c r="AF1079">
        <v>19.916341970317301</v>
      </c>
      <c r="AG1079">
        <v>-0.86094929999999903</v>
      </c>
      <c r="AH1079">
        <v>127.63728705532399</v>
      </c>
      <c r="AI1079">
        <v>90.381849691906496</v>
      </c>
      <c r="AJ1079">
        <v>81.131165600046003</v>
      </c>
      <c r="AK1079">
        <v>129.184669980687</v>
      </c>
      <c r="AL1079">
        <v>87.872023425078197</v>
      </c>
      <c r="AM1079">
        <v>95.676670174624903</v>
      </c>
      <c r="AN1079">
        <v>1.00000000725684</v>
      </c>
    </row>
    <row r="1080" spans="1:40" x14ac:dyDescent="0.3">
      <c r="A1080" t="str">
        <f>"20200111145931816"</f>
        <v>20200111145931816</v>
      </c>
      <c r="B1080" t="str">
        <f>"1578725971806382"</f>
        <v>1578725971806382</v>
      </c>
      <c r="C1080" t="s">
        <v>40</v>
      </c>
      <c r="D1080">
        <v>4.0131420000000002</v>
      </c>
      <c r="E1080">
        <v>0.57887379999999999</v>
      </c>
      <c r="F1080" t="s">
        <v>46</v>
      </c>
      <c r="G1080">
        <v>0</v>
      </c>
      <c r="H1080">
        <v>0</v>
      </c>
      <c r="I1080">
        <v>0</v>
      </c>
      <c r="J1080">
        <v>-372.34359999999998</v>
      </c>
      <c r="K1080">
        <v>1.104525</v>
      </c>
      <c r="L1080">
        <v>367.28500000000003</v>
      </c>
      <c r="M1080">
        <v>0.99989470000000003</v>
      </c>
      <c r="N1080">
        <v>0</v>
      </c>
      <c r="O1080">
        <v>9.0163080000000007E-3</v>
      </c>
      <c r="P1080">
        <v>0.99384930000000005</v>
      </c>
      <c r="Q1080">
        <v>2.5979869999999999E-2</v>
      </c>
      <c r="R1080">
        <v>0.1076506</v>
      </c>
      <c r="S1080">
        <v>3.0517880000000002</v>
      </c>
      <c r="T1080">
        <v>-9.4020370000000002E-3</v>
      </c>
      <c r="U1080">
        <v>-0.303894</v>
      </c>
      <c r="V1080">
        <v>-9.8686940000000001E-2</v>
      </c>
      <c r="W1080">
        <v>3.728509E-2</v>
      </c>
      <c r="X1080">
        <v>0.99441979999999996</v>
      </c>
      <c r="Y1080">
        <v>0.1080569</v>
      </c>
      <c r="Z1080">
        <v>-1.937551E-4</v>
      </c>
      <c r="AA1080">
        <v>0.99414469999999999</v>
      </c>
      <c r="AB1080">
        <v>22</v>
      </c>
      <c r="AC1080">
        <v>3.0517880000000002</v>
      </c>
      <c r="AD1080">
        <v>-9.4020370000000002E-3</v>
      </c>
      <c r="AE1080">
        <v>-0.303894</v>
      </c>
      <c r="AF1080">
        <v>0.33139617080000999</v>
      </c>
      <c r="AG1080">
        <v>-9.4020370000000002E-3</v>
      </c>
      <c r="AH1080">
        <v>3.0488951021725801</v>
      </c>
      <c r="AI1080">
        <v>90.175650878776693</v>
      </c>
      <c r="AJ1080">
        <v>83.796653705709303</v>
      </c>
      <c r="AK1080">
        <v>3.0668669948943998</v>
      </c>
      <c r="AL1080">
        <v>87.863226457182094</v>
      </c>
      <c r="AM1080">
        <v>95.6675172708823</v>
      </c>
      <c r="AN1080">
        <v>1.0000000143474499</v>
      </c>
    </row>
    <row r="1081" spans="1:40" x14ac:dyDescent="0.3">
      <c r="A1081" t="str">
        <f>"20200111145931828"</f>
        <v>20200111145931828</v>
      </c>
      <c r="B1081" t="str">
        <f>"1578725971826878"</f>
        <v>1578725971826878</v>
      </c>
      <c r="C1081" t="s">
        <v>40</v>
      </c>
      <c r="D1081">
        <v>3.9968219999999999</v>
      </c>
      <c r="E1081">
        <v>0.57885949999999997</v>
      </c>
      <c r="F1081" t="s">
        <v>45</v>
      </c>
      <c r="G1081">
        <v>-196.79320000000001</v>
      </c>
      <c r="H1081" s="1">
        <v>-2.011687E-6</v>
      </c>
      <c r="I1081">
        <v>349.94760000000002</v>
      </c>
      <c r="J1081">
        <v>-372.22879999999998</v>
      </c>
      <c r="K1081">
        <v>1.1045069999999999</v>
      </c>
      <c r="L1081">
        <v>367.286</v>
      </c>
      <c r="M1081">
        <v>0.99989459999999997</v>
      </c>
      <c r="N1081">
        <v>0</v>
      </c>
      <c r="O1081">
        <v>9.0445319999999992E-3</v>
      </c>
      <c r="P1081">
        <v>0.99391160000000001</v>
      </c>
      <c r="Q1081">
        <v>2.570134E-2</v>
      </c>
      <c r="R1081">
        <v>0.1071416</v>
      </c>
      <c r="S1081">
        <v>3.051758</v>
      </c>
      <c r="T1081">
        <v>-1.9201039999999999E-2</v>
      </c>
      <c r="U1081">
        <v>-0.30139159999999998</v>
      </c>
      <c r="V1081">
        <v>-9.8146869999999997E-2</v>
      </c>
      <c r="W1081">
        <v>3.7012530000000002E-2</v>
      </c>
      <c r="X1081">
        <v>0.99448340000000002</v>
      </c>
      <c r="Y1081">
        <v>0.10727689999999999</v>
      </c>
      <c r="Z1081">
        <v>-3.9343709999999999E-4</v>
      </c>
      <c r="AA1081">
        <v>0.99422909999999998</v>
      </c>
      <c r="AB1081">
        <v>22</v>
      </c>
      <c r="AC1081">
        <v>175.435599999999</v>
      </c>
      <c r="AD1081">
        <v>-1.104509011687</v>
      </c>
      <c r="AE1081">
        <v>-17.338399999999901</v>
      </c>
      <c r="AF1081">
        <v>18.923783132889302</v>
      </c>
      <c r="AG1081">
        <v>-1.104509011687</v>
      </c>
      <c r="AH1081">
        <v>175.26471566518899</v>
      </c>
      <c r="AI1081">
        <v>90.358983794469097</v>
      </c>
      <c r="AJ1081">
        <v>83.837500627937501</v>
      </c>
      <c r="AK1081">
        <v>176.28684030697599</v>
      </c>
      <c r="AL1081">
        <v>87.8788537174769</v>
      </c>
      <c r="AM1081">
        <v>95.636343572170702</v>
      </c>
      <c r="AN1081">
        <v>0.99999998417167801</v>
      </c>
    </row>
    <row r="1082" spans="1:40" x14ac:dyDescent="0.3">
      <c r="A1082" t="str">
        <f>"20200111145931840"</f>
        <v>20200111145931840</v>
      </c>
      <c r="B1082" t="str">
        <f>"1578725971836939"</f>
        <v>1578725971836939</v>
      </c>
      <c r="C1082" t="s">
        <v>40</v>
      </c>
      <c r="D1082">
        <v>3.9958770000000001</v>
      </c>
      <c r="E1082">
        <v>0.57881359999999904</v>
      </c>
      <c r="F1082" t="s">
        <v>42</v>
      </c>
      <c r="G1082">
        <v>-262.471</v>
      </c>
      <c r="H1082">
        <v>7.9986249999999995E-2</v>
      </c>
      <c r="I1082">
        <v>356.39359999999999</v>
      </c>
      <c r="J1082">
        <v>-372.1069</v>
      </c>
      <c r="K1082">
        <v>1.1044879999999999</v>
      </c>
      <c r="L1082">
        <v>367.28719999999998</v>
      </c>
      <c r="M1082">
        <v>0.99989430000000001</v>
      </c>
      <c r="N1082">
        <v>0</v>
      </c>
      <c r="O1082">
        <v>9.0669659999999992E-3</v>
      </c>
      <c r="P1082">
        <v>0.99392760000000002</v>
      </c>
      <c r="Q1082">
        <v>2.560082E-2</v>
      </c>
      <c r="R1082">
        <v>0.10701769999999999</v>
      </c>
      <c r="S1082">
        <v>3.051758</v>
      </c>
      <c r="T1082">
        <v>-2.8486250000000001E-2</v>
      </c>
      <c r="U1082">
        <v>-0.30285640000000003</v>
      </c>
      <c r="V1082">
        <v>-9.7999269999999999E-2</v>
      </c>
      <c r="W1082">
        <v>3.6918180000000002E-2</v>
      </c>
      <c r="X1082">
        <v>0.99450150000000004</v>
      </c>
      <c r="Y1082">
        <v>0.107769</v>
      </c>
      <c r="Z1082">
        <v>-5.8617450000000002E-4</v>
      </c>
      <c r="AA1082">
        <v>0.99417580000000005</v>
      </c>
      <c r="AB1082">
        <v>22</v>
      </c>
      <c r="AC1082">
        <v>109.63590000000001</v>
      </c>
      <c r="AD1082">
        <v>-1.02450175</v>
      </c>
      <c r="AE1082">
        <v>-10.8935999999999</v>
      </c>
      <c r="AF1082">
        <v>11.886253566932799</v>
      </c>
      <c r="AG1082">
        <v>-1.02450175</v>
      </c>
      <c r="AH1082">
        <v>109.523144268596</v>
      </c>
      <c r="AI1082">
        <v>90.532812322059002</v>
      </c>
      <c r="AJ1082">
        <v>83.806084249482296</v>
      </c>
      <c r="AK1082">
        <v>110.171011423935</v>
      </c>
      <c r="AL1082">
        <v>87.884263349950999</v>
      </c>
      <c r="AM1082">
        <v>95.627819937628303</v>
      </c>
      <c r="AN1082">
        <v>1.00000002121864</v>
      </c>
    </row>
    <row r="1083" spans="1:40" x14ac:dyDescent="0.3">
      <c r="A1083" t="str">
        <f>"20200111145931852"</f>
        <v>20200111145931852</v>
      </c>
      <c r="B1083" t="str">
        <f>"1578725971846699"</f>
        <v>1578725971846699</v>
      </c>
      <c r="C1083" t="s">
        <v>40</v>
      </c>
      <c r="D1083">
        <v>4.0013059999999996</v>
      </c>
      <c r="E1083">
        <v>0.5788896</v>
      </c>
      <c r="F1083" t="s">
        <v>42</v>
      </c>
      <c r="G1083">
        <v>-258.88220000000001</v>
      </c>
      <c r="H1083">
        <v>7.9985849999999997E-2</v>
      </c>
      <c r="I1083">
        <v>356.04820000000001</v>
      </c>
      <c r="J1083">
        <v>-371.98570000000001</v>
      </c>
      <c r="K1083">
        <v>1.1044670000000001</v>
      </c>
      <c r="L1083">
        <v>367.28829999999999</v>
      </c>
      <c r="M1083">
        <v>0.99989430000000001</v>
      </c>
      <c r="N1083">
        <v>0</v>
      </c>
      <c r="O1083">
        <v>9.0709339999999992E-3</v>
      </c>
      <c r="P1083">
        <v>0.99396090000000004</v>
      </c>
      <c r="Q1083">
        <v>2.576616E-2</v>
      </c>
      <c r="R1083">
        <v>0.1066686</v>
      </c>
      <c r="S1083">
        <v>3.051666</v>
      </c>
      <c r="T1083">
        <v>-2.7612689999999999E-2</v>
      </c>
      <c r="U1083">
        <v>-0.30291750000000001</v>
      </c>
      <c r="V1083">
        <v>-9.7644400000000006E-2</v>
      </c>
      <c r="W1083">
        <v>3.7087820000000001E-2</v>
      </c>
      <c r="X1083">
        <v>0.99453009999999997</v>
      </c>
      <c r="Y1083">
        <v>0.1077959</v>
      </c>
      <c r="Z1083">
        <v>-5.6837299999999995E-4</v>
      </c>
      <c r="AA1083">
        <v>0.99417290000000003</v>
      </c>
      <c r="AB1083">
        <v>22</v>
      </c>
      <c r="AC1083">
        <v>113.1035</v>
      </c>
      <c r="AD1083">
        <v>-1.02448115</v>
      </c>
      <c r="AE1083">
        <v>-11.240099999999901</v>
      </c>
      <c r="AF1083">
        <v>12.264661699721101</v>
      </c>
      <c r="AG1083">
        <v>-1.02448115</v>
      </c>
      <c r="AH1083">
        <v>112.987701835995</v>
      </c>
      <c r="AI1083">
        <v>90.516463957397505</v>
      </c>
      <c r="AJ1083">
        <v>83.804876886445697</v>
      </c>
      <c r="AK1083">
        <v>113.656026036524</v>
      </c>
      <c r="AL1083">
        <v>87.874537046494595</v>
      </c>
      <c r="AM1083">
        <v>95.607410651054295</v>
      </c>
      <c r="AN1083">
        <v>1.0000000275248599</v>
      </c>
    </row>
    <row r="1084" spans="1:40" x14ac:dyDescent="0.3">
      <c r="A1084" t="str">
        <f>"20200111145931864"</f>
        <v>20200111145931864</v>
      </c>
      <c r="B1084" t="str">
        <f>"1578725971856459"</f>
        <v>1578725971856459</v>
      </c>
      <c r="C1084" t="s">
        <v>40</v>
      </c>
      <c r="D1084">
        <v>4.01248</v>
      </c>
      <c r="E1084">
        <v>0.57891879999999996</v>
      </c>
      <c r="F1084" t="s">
        <v>42</v>
      </c>
      <c r="G1084">
        <v>-255.1104</v>
      </c>
      <c r="H1084">
        <v>7.9986979999999999E-2</v>
      </c>
      <c r="I1084">
        <v>355.62090000000001</v>
      </c>
      <c r="J1084">
        <v>-371.87779999999998</v>
      </c>
      <c r="K1084">
        <v>1.1044560000000001</v>
      </c>
      <c r="L1084">
        <v>367.28930000000003</v>
      </c>
      <c r="M1084">
        <v>0.99989410000000001</v>
      </c>
      <c r="N1084">
        <v>0</v>
      </c>
      <c r="O1084">
        <v>9.0714300000000001E-3</v>
      </c>
      <c r="P1084">
        <v>0.99398419999999998</v>
      </c>
      <c r="Q1084">
        <v>2.5584780000000001E-2</v>
      </c>
      <c r="R1084">
        <v>0.106494699999999</v>
      </c>
      <c r="S1084">
        <v>3.0515439999999998</v>
      </c>
      <c r="T1084">
        <v>-2.6748540000000001E-2</v>
      </c>
      <c r="U1084">
        <v>-0.30462650000000002</v>
      </c>
      <c r="V1084">
        <v>-9.7469109999999998E-2</v>
      </c>
      <c r="W1084">
        <v>3.6910079999999998E-2</v>
      </c>
      <c r="X1084">
        <v>0.99455389999999999</v>
      </c>
      <c r="Y1084">
        <v>0.1083519</v>
      </c>
      <c r="Z1084">
        <v>-5.5302779999999896E-4</v>
      </c>
      <c r="AA1084">
        <v>0.99411240000000001</v>
      </c>
      <c r="AB1084">
        <v>22</v>
      </c>
      <c r="AC1084">
        <v>116.767399999999</v>
      </c>
      <c r="AD1084">
        <v>-1.02446902</v>
      </c>
      <c r="AE1084">
        <v>-11.6684</v>
      </c>
      <c r="AF1084">
        <v>12.726265784365401</v>
      </c>
      <c r="AG1084">
        <v>-1.02446902</v>
      </c>
      <c r="AH1084">
        <v>116.647848616706</v>
      </c>
      <c r="AI1084">
        <v>90.500223740321999</v>
      </c>
      <c r="AJ1084">
        <v>83.773663229526306</v>
      </c>
      <c r="AK1084">
        <v>117.344484167315</v>
      </c>
      <c r="AL1084">
        <v>87.884727761197794</v>
      </c>
      <c r="AM1084">
        <v>95.597275184055405</v>
      </c>
      <c r="AN1084">
        <v>1.0000000207074999</v>
      </c>
    </row>
    <row r="1085" spans="1:40" x14ac:dyDescent="0.3">
      <c r="A1085" t="str">
        <f>"20200111145931875"</f>
        <v>20200111145931875</v>
      </c>
      <c r="B1085" t="str">
        <f>"1578725971867195"</f>
        <v>1578725971867195</v>
      </c>
      <c r="C1085" t="s">
        <v>40</v>
      </c>
      <c r="D1085">
        <v>3.9963039999999999</v>
      </c>
      <c r="E1085">
        <v>0.57885659999999906</v>
      </c>
      <c r="F1085" t="s">
        <v>42</v>
      </c>
      <c r="G1085">
        <v>-254.01920000000001</v>
      </c>
      <c r="H1085">
        <v>7.9985829999999994E-2</v>
      </c>
      <c r="I1085">
        <v>355.49779999999998</v>
      </c>
      <c r="J1085">
        <v>-371.7525</v>
      </c>
      <c r="K1085">
        <v>1.104447</v>
      </c>
      <c r="L1085">
        <v>367.29039999999998</v>
      </c>
      <c r="M1085">
        <v>0.99989430000000001</v>
      </c>
      <c r="N1085">
        <v>0</v>
      </c>
      <c r="O1085">
        <v>9.062255E-3</v>
      </c>
      <c r="P1085">
        <v>0.99398439999999999</v>
      </c>
      <c r="Q1085">
        <v>2.5693420000000002E-2</v>
      </c>
      <c r="R1085">
        <v>0.1064662</v>
      </c>
      <c r="S1085">
        <v>3.0515439999999998</v>
      </c>
      <c r="T1085">
        <v>-2.6525139999999999E-2</v>
      </c>
      <c r="U1085">
        <v>-0.30529790000000001</v>
      </c>
      <c r="V1085">
        <v>-9.7448800000000002E-2</v>
      </c>
      <c r="W1085">
        <v>3.7021110000000003E-2</v>
      </c>
      <c r="X1085">
        <v>0.99455170000000004</v>
      </c>
      <c r="Y1085">
        <v>0.1085594</v>
      </c>
      <c r="Z1085">
        <v>-5.4922330000000004E-4</v>
      </c>
      <c r="AA1085">
        <v>0.99408980000000002</v>
      </c>
      <c r="AB1085">
        <v>22</v>
      </c>
      <c r="AC1085">
        <v>117.7333</v>
      </c>
      <c r="AD1085">
        <v>-1.0244611699999999</v>
      </c>
      <c r="AE1085">
        <v>-11.792599999999901</v>
      </c>
      <c r="AF1085">
        <v>12.8581499406263</v>
      </c>
      <c r="AG1085">
        <v>-1.0244611699999999</v>
      </c>
      <c r="AH1085">
        <v>117.612773619127</v>
      </c>
      <c r="AI1085">
        <v>90.496104068633997</v>
      </c>
      <c r="AJ1085">
        <v>83.760852340609603</v>
      </c>
      <c r="AK1085">
        <v>118.317987047484</v>
      </c>
      <c r="AL1085">
        <v>87.878361726107102</v>
      </c>
      <c r="AM1085">
        <v>95.596128563493195</v>
      </c>
      <c r="AN1085">
        <v>0.99999995758997995</v>
      </c>
    </row>
    <row r="1086" spans="1:40" x14ac:dyDescent="0.3">
      <c r="A1086" t="str">
        <f>"20200111145931892"</f>
        <v>20200111145931892</v>
      </c>
      <c r="B1086" t="str">
        <f>"1578725971886714"</f>
        <v>1578725971886714</v>
      </c>
      <c r="C1086" t="s">
        <v>40</v>
      </c>
      <c r="D1086">
        <v>4.010618</v>
      </c>
      <c r="E1086">
        <v>0.57888719999999905</v>
      </c>
      <c r="F1086" t="s">
        <v>42</v>
      </c>
      <c r="G1086">
        <v>-246.97929999999999</v>
      </c>
      <c r="H1086">
        <v>7.9986310000000005E-2</v>
      </c>
      <c r="I1086">
        <v>354.81699999999898</v>
      </c>
      <c r="J1086">
        <v>-371.59589999999997</v>
      </c>
      <c r="K1086">
        <v>1.104441</v>
      </c>
      <c r="L1086">
        <v>367.29180000000002</v>
      </c>
      <c r="M1086">
        <v>0.99989439999999996</v>
      </c>
      <c r="N1086">
        <v>0</v>
      </c>
      <c r="O1086">
        <v>9.0440650000000004E-3</v>
      </c>
      <c r="P1086">
        <v>0.99405489999999996</v>
      </c>
      <c r="Q1086">
        <v>2.5284299999999999E-2</v>
      </c>
      <c r="R1086">
        <v>0.1059047</v>
      </c>
      <c r="S1086">
        <v>3.0514830000000002</v>
      </c>
      <c r="T1086">
        <v>-2.5054449999999999E-2</v>
      </c>
      <c r="U1086">
        <v>-0.30505369999999998</v>
      </c>
      <c r="V1086">
        <v>-9.6904859999999995E-2</v>
      </c>
      <c r="W1086">
        <v>3.6614639999999997E-2</v>
      </c>
      <c r="X1086">
        <v>0.9946199</v>
      </c>
      <c r="Y1086">
        <v>0.10846500000000001</v>
      </c>
      <c r="Z1086">
        <v>-5.1824949999999999E-4</v>
      </c>
      <c r="AA1086">
        <v>0.99410019999999999</v>
      </c>
      <c r="AB1086">
        <v>22</v>
      </c>
      <c r="AC1086">
        <v>124.616599999999</v>
      </c>
      <c r="AD1086">
        <v>-1.02445469</v>
      </c>
      <c r="AE1086">
        <v>-12.4748</v>
      </c>
      <c r="AF1086">
        <v>13.600493253619099</v>
      </c>
      <c r="AG1086">
        <v>-1.02445469</v>
      </c>
      <c r="AH1086">
        <v>124.490342636243</v>
      </c>
      <c r="AI1086">
        <v>90.468698579438396</v>
      </c>
      <c r="AJ1086">
        <v>83.765197930436997</v>
      </c>
      <c r="AK1086">
        <v>125.23525196143</v>
      </c>
      <c r="AL1086">
        <v>87.901666558351593</v>
      </c>
      <c r="AM1086">
        <v>95.564709512177799</v>
      </c>
      <c r="AN1086">
        <v>0.99999996461497798</v>
      </c>
    </row>
    <row r="1087" spans="1:40" x14ac:dyDescent="0.3">
      <c r="A1087" t="str">
        <f>"20200111145931903"</f>
        <v>20200111145931903</v>
      </c>
      <c r="B1087" t="str">
        <f>"1578725971896475"</f>
        <v>1578725971896475</v>
      </c>
      <c r="C1087" t="s">
        <v>40</v>
      </c>
      <c r="D1087">
        <v>3.982272</v>
      </c>
      <c r="E1087">
        <v>0.57869769999999998</v>
      </c>
      <c r="F1087" t="s">
        <v>42</v>
      </c>
      <c r="G1087">
        <v>-261.82260000000002</v>
      </c>
      <c r="H1087">
        <v>7.9986450000000001E-2</v>
      </c>
      <c r="I1087">
        <v>356.24720000000002</v>
      </c>
      <c r="J1087">
        <v>-371.4803</v>
      </c>
      <c r="K1087">
        <v>1.104438</v>
      </c>
      <c r="L1087">
        <v>367.2928</v>
      </c>
      <c r="M1087">
        <v>0.99989459999999997</v>
      </c>
      <c r="N1087">
        <v>0</v>
      </c>
      <c r="O1087">
        <v>9.0279550000000007E-3</v>
      </c>
      <c r="P1087">
        <v>0.9941006</v>
      </c>
      <c r="Q1087">
        <v>2.4717289999999999E-2</v>
      </c>
      <c r="R1087">
        <v>0.10560839999999901</v>
      </c>
      <c r="S1087">
        <v>3.0513919999999999</v>
      </c>
      <c r="T1087">
        <v>-2.8476950000000001E-2</v>
      </c>
      <c r="U1087">
        <v>-0.30700680000000002</v>
      </c>
      <c r="V1087">
        <v>-9.6623710000000002E-2</v>
      </c>
      <c r="W1087">
        <v>3.6049489999999997E-2</v>
      </c>
      <c r="X1087">
        <v>0.99466790000000005</v>
      </c>
      <c r="Y1087">
        <v>0.1090807</v>
      </c>
      <c r="Z1087">
        <v>-5.9175540000000004E-4</v>
      </c>
      <c r="AA1087">
        <v>0.99403269999999999</v>
      </c>
      <c r="AB1087">
        <v>22</v>
      </c>
      <c r="AC1087">
        <v>109.657699999999</v>
      </c>
      <c r="AD1087">
        <v>-1.02445155</v>
      </c>
      <c r="AE1087">
        <v>-11.045599999999901</v>
      </c>
      <c r="AF1087">
        <v>12.034158817539501</v>
      </c>
      <c r="AG1087">
        <v>-1.02445155</v>
      </c>
      <c r="AH1087">
        <v>109.544040185904</v>
      </c>
      <c r="AI1087">
        <v>90.532608182521997</v>
      </c>
      <c r="AJ1087">
        <v>83.730807731134405</v>
      </c>
      <c r="AK1087">
        <v>110.207836471256</v>
      </c>
      <c r="AL1087">
        <v>87.934068671910396</v>
      </c>
      <c r="AM1087">
        <v>95.548399430511694</v>
      </c>
      <c r="AN1087">
        <v>0.99999996917691603</v>
      </c>
    </row>
    <row r="1088" spans="1:40" x14ac:dyDescent="0.3">
      <c r="A1088" t="str">
        <f>"20200111145931915"</f>
        <v>20200111145931915</v>
      </c>
      <c r="B1088" t="str">
        <f>"1578725971906237"</f>
        <v>1578725971906237</v>
      </c>
      <c r="C1088" t="s">
        <v>40</v>
      </c>
      <c r="D1088">
        <v>4.0148640000000002</v>
      </c>
      <c r="E1088">
        <v>0.57865200000000006</v>
      </c>
      <c r="F1088" t="s">
        <v>42</v>
      </c>
      <c r="G1088">
        <v>-267.38440000000003</v>
      </c>
      <c r="H1088">
        <v>7.998624E-2</v>
      </c>
      <c r="I1088">
        <v>356.8476</v>
      </c>
      <c r="J1088">
        <v>-371.36630000000002</v>
      </c>
      <c r="K1088">
        <v>1.1044369999999999</v>
      </c>
      <c r="L1088">
        <v>367.29390000000001</v>
      </c>
      <c r="M1088">
        <v>0.99989479999999997</v>
      </c>
      <c r="N1088">
        <v>0</v>
      </c>
      <c r="O1088">
        <v>9.0096789999999996E-3</v>
      </c>
      <c r="P1088">
        <v>0.99415480000000001</v>
      </c>
      <c r="Q1088">
        <v>2.4368230000000001E-2</v>
      </c>
      <c r="R1088">
        <v>0.1051786</v>
      </c>
      <c r="S1088">
        <v>3.0510860000000002</v>
      </c>
      <c r="T1088">
        <v>-3.002703E-2</v>
      </c>
      <c r="U1088">
        <v>-0.30615229999999999</v>
      </c>
      <c r="V1088">
        <v>-9.6211779999999997E-2</v>
      </c>
      <c r="W1088">
        <v>3.5700660000000002E-2</v>
      </c>
      <c r="X1088">
        <v>0.99472050000000001</v>
      </c>
      <c r="Y1088">
        <v>0.1087962</v>
      </c>
      <c r="Z1088">
        <v>-6.2246000000000003E-4</v>
      </c>
      <c r="AA1088">
        <v>0.9940639</v>
      </c>
      <c r="AB1088">
        <v>22</v>
      </c>
      <c r="AC1088">
        <v>103.9819</v>
      </c>
      <c r="AD1088">
        <v>-1.0244507599999999</v>
      </c>
      <c r="AE1088">
        <v>-10.446300000000001</v>
      </c>
      <c r="AF1088">
        <v>11.381686289772</v>
      </c>
      <c r="AG1088">
        <v>-1.0244507599999999</v>
      </c>
      <c r="AH1088">
        <v>103.873573310545</v>
      </c>
      <c r="AI1088">
        <v>90.561698370923907</v>
      </c>
      <c r="AJ1088">
        <v>83.746904193668698</v>
      </c>
      <c r="AK1088">
        <v>104.500294327143</v>
      </c>
      <c r="AL1088">
        <v>87.954068216018101</v>
      </c>
      <c r="AM1088">
        <v>95.524601597941697</v>
      </c>
      <c r="AN1088">
        <v>1.00000005842772</v>
      </c>
    </row>
    <row r="1089" spans="1:40" x14ac:dyDescent="0.3">
      <c r="A1089" t="str">
        <f>"20200111145931925"</f>
        <v>20200111145931925</v>
      </c>
      <c r="B1089" t="str">
        <f>"1578725971916971"</f>
        <v>1578725971916971</v>
      </c>
      <c r="C1089" t="s">
        <v>40</v>
      </c>
      <c r="D1089">
        <v>4.0450549999999996</v>
      </c>
      <c r="E1089">
        <v>0.57879409999999998</v>
      </c>
      <c r="F1089" t="s">
        <v>42</v>
      </c>
      <c r="G1089">
        <v>-267.34059999999999</v>
      </c>
      <c r="H1089">
        <v>7.9986269999999998E-2</v>
      </c>
      <c r="I1089">
        <v>356.81560000000002</v>
      </c>
      <c r="J1089">
        <v>-371.26170000000002</v>
      </c>
      <c r="K1089">
        <v>1.1044369999999999</v>
      </c>
      <c r="L1089">
        <v>367.29480000000001</v>
      </c>
      <c r="M1089">
        <v>0.99989490000000003</v>
      </c>
      <c r="N1089">
        <v>0</v>
      </c>
      <c r="O1089">
        <v>8.9932609999999902E-3</v>
      </c>
      <c r="P1089">
        <v>0.99421269999999995</v>
      </c>
      <c r="Q1089">
        <v>2.4036510000000001E-2</v>
      </c>
      <c r="R1089">
        <v>0.10470690000000001</v>
      </c>
      <c r="S1089">
        <v>3.0509339999999998</v>
      </c>
      <c r="T1089">
        <v>-3.004575E-2</v>
      </c>
      <c r="U1089">
        <v>-0.30731199999999997</v>
      </c>
      <c r="V1089">
        <v>-9.5756140000000003E-2</v>
      </c>
      <c r="W1089">
        <v>3.536947E-2</v>
      </c>
      <c r="X1089">
        <v>0.9947762</v>
      </c>
      <c r="Y1089">
        <v>0.1091589</v>
      </c>
      <c r="Z1089">
        <v>-6.2448709999999999E-4</v>
      </c>
      <c r="AA1089">
        <v>0.99402409999999997</v>
      </c>
      <c r="AB1089">
        <v>22</v>
      </c>
      <c r="AC1089">
        <v>103.9211</v>
      </c>
      <c r="AD1089">
        <v>-1.0244507300000001</v>
      </c>
      <c r="AE1089">
        <v>-10.479199999999899</v>
      </c>
      <c r="AF1089">
        <v>11.4123282910942</v>
      </c>
      <c r="AG1089">
        <v>-1.0244507300000001</v>
      </c>
      <c r="AH1089">
        <v>103.812661679973</v>
      </c>
      <c r="AI1089">
        <v>90.562006000451007</v>
      </c>
      <c r="AJ1089">
        <v>83.726553926022902</v>
      </c>
      <c r="AK1089">
        <v>104.443091975499</v>
      </c>
      <c r="AL1089">
        <v>87.9730558026545</v>
      </c>
      <c r="AM1089">
        <v>95.498292906900701</v>
      </c>
      <c r="AN1089">
        <v>0.99999996292110904</v>
      </c>
    </row>
    <row r="1090" spans="1:40" x14ac:dyDescent="0.3">
      <c r="A1090" t="str">
        <f>"20200111145931939"</f>
        <v>20200111145931939</v>
      </c>
      <c r="B1090" t="str">
        <f>"1578725971926731"</f>
        <v>1578725971926731</v>
      </c>
      <c r="C1090" t="s">
        <v>40</v>
      </c>
      <c r="D1090">
        <v>3.9626209999999999</v>
      </c>
      <c r="E1090">
        <v>0.5786116</v>
      </c>
      <c r="F1090" t="s">
        <v>42</v>
      </c>
      <c r="G1090">
        <v>-275.01569999999998</v>
      </c>
      <c r="H1090">
        <v>7.9986920000000003E-2</v>
      </c>
      <c r="I1090">
        <v>357.52010000000001</v>
      </c>
      <c r="J1090">
        <v>-371.12490000000003</v>
      </c>
      <c r="K1090">
        <v>1.104441</v>
      </c>
      <c r="L1090">
        <v>367.29599999999999</v>
      </c>
      <c r="M1090">
        <v>0.99989510000000004</v>
      </c>
      <c r="N1090">
        <v>0</v>
      </c>
      <c r="O1090">
        <v>8.9718639999999995E-3</v>
      </c>
      <c r="P1090">
        <v>0.99421619999999999</v>
      </c>
      <c r="Q1090">
        <v>2.3639670000000002E-2</v>
      </c>
      <c r="R1090">
        <v>0.1047646</v>
      </c>
      <c r="S1090">
        <v>3.0509029999999999</v>
      </c>
      <c r="T1090">
        <v>-3.2474040000000003E-2</v>
      </c>
      <c r="U1090">
        <v>-0.30984499999999998</v>
      </c>
      <c r="V1090">
        <v>-9.5835740000000003E-2</v>
      </c>
      <c r="W1090">
        <v>3.4972990000000002E-2</v>
      </c>
      <c r="X1090">
        <v>0.99478259999999996</v>
      </c>
      <c r="Y1090">
        <v>0.1099545</v>
      </c>
      <c r="Z1090">
        <v>-6.7893000000000001E-4</v>
      </c>
      <c r="AA1090">
        <v>0.99393640000000005</v>
      </c>
      <c r="AB1090">
        <v>22</v>
      </c>
      <c r="AC1090">
        <v>96.109200000000001</v>
      </c>
      <c r="AD1090">
        <v>-1.0244540799999999</v>
      </c>
      <c r="AE1090">
        <v>-9.7758999999999805</v>
      </c>
      <c r="AF1090">
        <v>10.6366447492692</v>
      </c>
      <c r="AG1090">
        <v>-1.0244540799999999</v>
      </c>
      <c r="AH1090">
        <v>96.006820984877393</v>
      </c>
      <c r="AI1090">
        <v>90.607641742418295</v>
      </c>
      <c r="AJ1090">
        <v>83.677953916870607</v>
      </c>
      <c r="AK1090">
        <v>96.599675948247693</v>
      </c>
      <c r="AL1090">
        <v>87.995786592518598</v>
      </c>
      <c r="AM1090">
        <v>95.5028002894351</v>
      </c>
      <c r="AN1090">
        <v>1.0000000101768201</v>
      </c>
    </row>
    <row r="1091" spans="1:40" x14ac:dyDescent="0.3">
      <c r="A1091" t="str">
        <f>"20200111145931952"</f>
        <v>20200111145931952</v>
      </c>
      <c r="B1091" t="str">
        <f>"1578725971947228"</f>
        <v>1578725971947228</v>
      </c>
      <c r="C1091" t="s">
        <v>40</v>
      </c>
      <c r="D1091">
        <v>3.9915569999999998</v>
      </c>
      <c r="E1091">
        <v>0.57831999999999995</v>
      </c>
      <c r="F1091" t="s">
        <v>42</v>
      </c>
      <c r="G1091">
        <v>-279.7063</v>
      </c>
      <c r="H1091">
        <v>7.9985509999999996E-2</v>
      </c>
      <c r="I1091">
        <v>358.06310000000002</v>
      </c>
      <c r="J1091">
        <v>-371.00259999999997</v>
      </c>
      <c r="K1091">
        <v>1.1044449999999999</v>
      </c>
      <c r="L1091">
        <v>367.2971</v>
      </c>
      <c r="M1091">
        <v>0.99989519999999998</v>
      </c>
      <c r="N1091">
        <v>0</v>
      </c>
      <c r="O1091">
        <v>8.9566019999999993E-3</v>
      </c>
      <c r="P1091">
        <v>0.99427430000000006</v>
      </c>
      <c r="Q1091">
        <v>2.3230130000000002E-2</v>
      </c>
      <c r="R1091">
        <v>0.1043038</v>
      </c>
      <c r="S1091">
        <v>3.0506899999999999</v>
      </c>
      <c r="T1091">
        <v>-3.4186599999999998E-2</v>
      </c>
      <c r="U1091">
        <v>-0.30810549999999998</v>
      </c>
      <c r="V1091">
        <v>-9.5390249999999996E-2</v>
      </c>
      <c r="W1091">
        <v>3.4563629999999998E-2</v>
      </c>
      <c r="X1091">
        <v>0.99483969999999999</v>
      </c>
      <c r="Y1091">
        <v>0.1093846</v>
      </c>
      <c r="Z1091">
        <v>-7.1144679999999997E-4</v>
      </c>
      <c r="AA1091">
        <v>0.99399919999999997</v>
      </c>
      <c r="AB1091">
        <v>22</v>
      </c>
      <c r="AC1091">
        <v>91.296299999999903</v>
      </c>
      <c r="AD1091">
        <v>-1.0244594899999999</v>
      </c>
      <c r="AE1091">
        <v>-9.2339999999999804</v>
      </c>
      <c r="AF1091">
        <v>10.050134421666399</v>
      </c>
      <c r="AG1091">
        <v>-1.0244594899999999</v>
      </c>
      <c r="AH1091">
        <v>91.198559778531703</v>
      </c>
      <c r="AI1091">
        <v>90.639720409357693</v>
      </c>
      <c r="AJ1091">
        <v>83.711346617740304</v>
      </c>
      <c r="AK1091">
        <v>91.756373210903604</v>
      </c>
      <c r="AL1091">
        <v>88.019255335080004</v>
      </c>
      <c r="AM1091">
        <v>95.477064117193095</v>
      </c>
      <c r="AN1091">
        <v>0.99999998650496402</v>
      </c>
    </row>
    <row r="1092" spans="1:40" x14ac:dyDescent="0.3">
      <c r="A1092" t="str">
        <f>"20200111145931964"</f>
        <v>20200111145931964</v>
      </c>
      <c r="B1092" t="str">
        <f>"1578725971956988"</f>
        <v>1578725971956988</v>
      </c>
      <c r="C1092" t="s">
        <v>40</v>
      </c>
      <c r="D1092">
        <v>4.0321259999999999</v>
      </c>
      <c r="E1092">
        <v>0.57823549999999901</v>
      </c>
      <c r="F1092" t="s">
        <v>43</v>
      </c>
      <c r="G1092">
        <v>-270.45940000000002</v>
      </c>
      <c r="H1092">
        <v>-0.05</v>
      </c>
      <c r="I1092">
        <v>357.16359999999997</v>
      </c>
      <c r="J1092">
        <v>-370.86610000000002</v>
      </c>
      <c r="K1092">
        <v>1.1044499999999999</v>
      </c>
      <c r="L1092">
        <v>367.29829999999998</v>
      </c>
      <c r="M1092">
        <v>0.99989550000000005</v>
      </c>
      <c r="N1092">
        <v>0</v>
      </c>
      <c r="O1092">
        <v>8.9415810000000005E-3</v>
      </c>
      <c r="P1092">
        <v>0.99428629999999996</v>
      </c>
      <c r="Q1092">
        <v>2.280745E-2</v>
      </c>
      <c r="R1092">
        <v>0.10428279999999999</v>
      </c>
      <c r="S1092">
        <v>3.0503230000000001</v>
      </c>
      <c r="T1092">
        <v>-3.5024050000000001E-2</v>
      </c>
      <c r="U1092">
        <v>-0.30743409999999999</v>
      </c>
      <c r="V1092">
        <v>-9.5384529999999995E-2</v>
      </c>
      <c r="W1092">
        <v>3.4140940000000002E-2</v>
      </c>
      <c r="X1092">
        <v>0.99485489999999999</v>
      </c>
      <c r="Y1092">
        <v>0.1091647</v>
      </c>
      <c r="Z1092">
        <v>-7.27537E-4</v>
      </c>
      <c r="AA1092">
        <v>0.9940234</v>
      </c>
      <c r="AB1092">
        <v>22</v>
      </c>
      <c r="AC1092">
        <v>100.4067</v>
      </c>
      <c r="AD1092">
        <v>-1.15445</v>
      </c>
      <c r="AE1092">
        <v>-10.1347</v>
      </c>
      <c r="AF1092">
        <v>11.0307038365626</v>
      </c>
      <c r="AG1092">
        <v>-1.15445</v>
      </c>
      <c r="AH1092">
        <v>100.29893386963499</v>
      </c>
      <c r="AI1092">
        <v>90.655498659910705</v>
      </c>
      <c r="AJ1092">
        <v>83.723931323295901</v>
      </c>
      <c r="AK1092">
        <v>100.91028350628</v>
      </c>
      <c r="AL1092">
        <v>88.043488100093398</v>
      </c>
      <c r="AM1092">
        <v>95.476654518190301</v>
      </c>
      <c r="AN1092">
        <v>1.0000000422007</v>
      </c>
    </row>
    <row r="1093" spans="1:40" x14ac:dyDescent="0.3">
      <c r="A1093" t="str">
        <f>"20200111145931977"</f>
        <v>20200111145931977</v>
      </c>
      <c r="B1093" t="str">
        <f>"1578725971966747"</f>
        <v>1578725971966747</v>
      </c>
      <c r="C1093" t="s">
        <v>40</v>
      </c>
      <c r="D1093">
        <v>4.0114140000000003</v>
      </c>
      <c r="E1093">
        <v>0.57816599999999996</v>
      </c>
      <c r="F1093" t="s">
        <v>43</v>
      </c>
      <c r="G1093">
        <v>-273.49360000000001</v>
      </c>
      <c r="H1093">
        <v>-0.05</v>
      </c>
      <c r="I1093">
        <v>357.50959999999998</v>
      </c>
      <c r="J1093">
        <v>-370.738</v>
      </c>
      <c r="K1093">
        <v>1.104452</v>
      </c>
      <c r="L1093">
        <v>367.29939999999999</v>
      </c>
      <c r="M1093">
        <v>0.99989550000000005</v>
      </c>
      <c r="N1093">
        <v>0</v>
      </c>
      <c r="O1093">
        <v>8.9312039999999999E-3</v>
      </c>
      <c r="P1093">
        <v>0.99431380000000003</v>
      </c>
      <c r="Q1093">
        <v>2.2457129999999999E-2</v>
      </c>
      <c r="R1093">
        <v>0.1040946</v>
      </c>
      <c r="S1093">
        <v>3.0502929999999999</v>
      </c>
      <c r="T1093">
        <v>-3.616428E-2</v>
      </c>
      <c r="U1093">
        <v>-0.30664059999999999</v>
      </c>
      <c r="V1093">
        <v>-9.5206810000000003E-2</v>
      </c>
      <c r="W1093">
        <v>3.379066E-2</v>
      </c>
      <c r="X1093">
        <v>0.99488379999999998</v>
      </c>
      <c r="Y1093">
        <v>0.10889890000000001</v>
      </c>
      <c r="Z1093">
        <v>-7.4954380000000003E-4</v>
      </c>
      <c r="AA1093">
        <v>0.99405250000000001</v>
      </c>
      <c r="AB1093">
        <v>22</v>
      </c>
      <c r="AC1093">
        <v>97.244399999999999</v>
      </c>
      <c r="AD1093">
        <v>-1.154452</v>
      </c>
      <c r="AE1093">
        <v>-9.7898000000000103</v>
      </c>
      <c r="AF1093">
        <v>10.656488372154801</v>
      </c>
      <c r="AG1093">
        <v>-1.154452</v>
      </c>
      <c r="AH1093">
        <v>97.139527535798706</v>
      </c>
      <c r="AI1093">
        <v>90.676837816976402</v>
      </c>
      <c r="AJ1093">
        <v>83.739520828860506</v>
      </c>
      <c r="AK1093">
        <v>97.729122137285003</v>
      </c>
      <c r="AL1093">
        <v>88.063569093518296</v>
      </c>
      <c r="AM1093">
        <v>95.466354477244593</v>
      </c>
      <c r="AN1093">
        <v>0.99999996043802497</v>
      </c>
    </row>
    <row r="1094" spans="1:40" x14ac:dyDescent="0.3">
      <c r="A1094" t="str">
        <f>"20200111145931994"</f>
        <v>20200111145931994</v>
      </c>
      <c r="B1094" t="str">
        <f>"1578725971986266"</f>
        <v>1578725971986266</v>
      </c>
      <c r="C1094" t="s">
        <v>40</v>
      </c>
      <c r="D1094">
        <v>4.0391849999999998</v>
      </c>
      <c r="E1094">
        <v>0.5781269</v>
      </c>
      <c r="F1094" t="s">
        <v>43</v>
      </c>
      <c r="G1094">
        <v>-273.95749999999998</v>
      </c>
      <c r="H1094">
        <v>-0.05</v>
      </c>
      <c r="I1094">
        <v>357.55880000000002</v>
      </c>
      <c r="J1094">
        <v>-370.58120000000002</v>
      </c>
      <c r="K1094">
        <v>1.1044560000000001</v>
      </c>
      <c r="L1094">
        <v>367.30079999999998</v>
      </c>
      <c r="M1094">
        <v>0.99989550000000005</v>
      </c>
      <c r="N1094">
        <v>0</v>
      </c>
      <c r="O1094">
        <v>8.9242200000000001E-3</v>
      </c>
      <c r="P1094">
        <v>0.9943227</v>
      </c>
      <c r="Q1094">
        <v>2.2331030000000002E-2</v>
      </c>
      <c r="R1094">
        <v>0.10403660000000001</v>
      </c>
      <c r="S1094">
        <v>3.050049</v>
      </c>
      <c r="T1094">
        <v>-3.6382680000000001E-2</v>
      </c>
      <c r="U1094">
        <v>-0.30697629999999998</v>
      </c>
      <c r="V1094">
        <v>-9.5155509999999999E-2</v>
      </c>
      <c r="W1094">
        <v>3.3664369999999999E-2</v>
      </c>
      <c r="X1094">
        <v>0.99489300000000003</v>
      </c>
      <c r="Y1094">
        <v>0.1090081</v>
      </c>
      <c r="Z1094">
        <v>-7.5469229999999897E-4</v>
      </c>
      <c r="AA1094">
        <v>0.99404049999999999</v>
      </c>
      <c r="AB1094">
        <v>22</v>
      </c>
      <c r="AC1094">
        <v>96.623699999999999</v>
      </c>
      <c r="AD1094">
        <v>-1.1544559999999999</v>
      </c>
      <c r="AE1094">
        <v>-9.74199999999996</v>
      </c>
      <c r="AF1094">
        <v>10.602460626677701</v>
      </c>
      <c r="AG1094">
        <v>-1.1544559999999999</v>
      </c>
      <c r="AH1094">
        <v>96.519266584245699</v>
      </c>
      <c r="AI1094">
        <v>90.681178596623397</v>
      </c>
      <c r="AJ1094">
        <v>83.731299318454006</v>
      </c>
      <c r="AK1094">
        <v>97.106713269252793</v>
      </c>
      <c r="AL1094">
        <v>88.070809117603602</v>
      </c>
      <c r="AM1094">
        <v>95.463376668532305</v>
      </c>
      <c r="AN1094">
        <v>0.999999971169928</v>
      </c>
    </row>
    <row r="1095" spans="1:40" x14ac:dyDescent="0.3">
      <c r="A1095" t="str">
        <f>"20200111145932006"</f>
        <v>20200111145932006</v>
      </c>
      <c r="B1095" t="str">
        <f>"1578725971997004"</f>
        <v>1578725971997004</v>
      </c>
      <c r="C1095" t="s">
        <v>40</v>
      </c>
      <c r="D1095">
        <v>3.9880650000000002</v>
      </c>
      <c r="E1095">
        <v>0.57789780000000002</v>
      </c>
      <c r="F1095" t="s">
        <v>43</v>
      </c>
      <c r="G1095">
        <v>-274.52330000000001</v>
      </c>
      <c r="H1095">
        <v>-0.05</v>
      </c>
      <c r="I1095">
        <v>357.63490000000002</v>
      </c>
      <c r="J1095">
        <v>-370.45429999999999</v>
      </c>
      <c r="K1095">
        <v>1.10446</v>
      </c>
      <c r="L1095">
        <v>367.30200000000002</v>
      </c>
      <c r="M1095">
        <v>0.99989550000000005</v>
      </c>
      <c r="N1095">
        <v>0</v>
      </c>
      <c r="O1095">
        <v>8.9210939999999992E-3</v>
      </c>
      <c r="P1095">
        <v>0.99430940000000001</v>
      </c>
      <c r="Q1095">
        <v>2.249522E-2</v>
      </c>
      <c r="R1095">
        <v>0.104130399999999</v>
      </c>
      <c r="S1095">
        <v>3.050049</v>
      </c>
      <c r="T1095">
        <v>-3.6656500000000002E-2</v>
      </c>
      <c r="U1095">
        <v>-0.3069153</v>
      </c>
      <c r="V1095">
        <v>-9.5253169999999998E-2</v>
      </c>
      <c r="W1095">
        <v>3.382926E-2</v>
      </c>
      <c r="X1095">
        <v>0.99487809999999999</v>
      </c>
      <c r="Y1095">
        <v>0.1089852</v>
      </c>
      <c r="Z1095">
        <v>-7.6019779999999995E-4</v>
      </c>
      <c r="AA1095">
        <v>0.99404309999999996</v>
      </c>
      <c r="AB1095">
        <v>22</v>
      </c>
      <c r="AC1095">
        <v>95.930999999999898</v>
      </c>
      <c r="AD1095">
        <v>-1.15446</v>
      </c>
      <c r="AE1095">
        <v>-9.6670999999999392</v>
      </c>
      <c r="AF1095">
        <v>10.5210717223736</v>
      </c>
      <c r="AG1095">
        <v>-1.15446</v>
      </c>
      <c r="AH1095">
        <v>95.827196820957496</v>
      </c>
      <c r="AI1095">
        <v>90.686104186520595</v>
      </c>
      <c r="AJ1095">
        <v>83.734469654894795</v>
      </c>
      <c r="AK1095">
        <v>96.409944397045805</v>
      </c>
      <c r="AL1095">
        <v>88.061356306426106</v>
      </c>
      <c r="AM1095">
        <v>95.469031272936206</v>
      </c>
      <c r="AN1095">
        <v>1.0000000095434001</v>
      </c>
    </row>
    <row r="1096" spans="1:40" x14ac:dyDescent="0.3">
      <c r="A1096" t="str">
        <f>"20200111145932017"</f>
        <v>20200111145932017</v>
      </c>
      <c r="B1096" t="str">
        <f>"1578725972006764"</f>
        <v>1578725972006764</v>
      </c>
      <c r="C1096" t="s">
        <v>40</v>
      </c>
      <c r="D1096">
        <v>4.0584259999999999</v>
      </c>
      <c r="E1096">
        <v>0.57773920000000001</v>
      </c>
      <c r="F1096" t="s">
        <v>43</v>
      </c>
      <c r="G1096">
        <v>-273.88170000000002</v>
      </c>
      <c r="H1096">
        <v>-0.05</v>
      </c>
      <c r="I1096">
        <v>357.66199999999998</v>
      </c>
      <c r="J1096">
        <v>-370.33710000000002</v>
      </c>
      <c r="K1096">
        <v>1.104465</v>
      </c>
      <c r="L1096">
        <v>367.303</v>
      </c>
      <c r="M1096">
        <v>0.99989550000000005</v>
      </c>
      <c r="N1096">
        <v>0</v>
      </c>
      <c r="O1096">
        <v>8.9199290000000001E-3</v>
      </c>
      <c r="P1096">
        <v>0.99427160000000003</v>
      </c>
      <c r="Q1096">
        <v>2.2946830000000001E-2</v>
      </c>
      <c r="R1096">
        <v>0.1043912</v>
      </c>
      <c r="S1096">
        <v>3.0498959999999999</v>
      </c>
      <c r="T1096">
        <v>-3.6459449999999997E-2</v>
      </c>
      <c r="U1096">
        <v>-0.30444339999999998</v>
      </c>
      <c r="V1096">
        <v>-9.5515470000000005E-2</v>
      </c>
      <c r="W1096">
        <v>3.4280079999999997E-2</v>
      </c>
      <c r="X1096">
        <v>0.99483750000000004</v>
      </c>
      <c r="Y1096">
        <v>0.10819139999999999</v>
      </c>
      <c r="Z1096">
        <v>-7.5143319999999999E-4</v>
      </c>
      <c r="AA1096">
        <v>0.99412979999999995</v>
      </c>
      <c r="AB1096">
        <v>22</v>
      </c>
      <c r="AC1096">
        <v>96.455399999999997</v>
      </c>
      <c r="AD1096">
        <v>-1.1544650000000001</v>
      </c>
      <c r="AE1096">
        <v>-9.6410000000000693</v>
      </c>
      <c r="AF1096">
        <v>10.4995581693852</v>
      </c>
      <c r="AG1096">
        <v>-1.1544650000000001</v>
      </c>
      <c r="AH1096">
        <v>96.351893269134294</v>
      </c>
      <c r="AI1096">
        <v>90.682431791857795</v>
      </c>
      <c r="AJ1096">
        <v>83.780962853688493</v>
      </c>
      <c r="AK1096">
        <v>96.929153755385599</v>
      </c>
      <c r="AL1096">
        <v>88.035511194140994</v>
      </c>
      <c r="AM1096">
        <v>95.484222177399104</v>
      </c>
      <c r="AN1096">
        <v>0.99999999015018803</v>
      </c>
    </row>
    <row r="1097" spans="1:40" x14ac:dyDescent="0.3">
      <c r="A1097" t="str">
        <f>"20200111145932029"</f>
        <v>20200111145932029</v>
      </c>
      <c r="B1097" t="str">
        <f>"1578725972026282"</f>
        <v>1578725972026282</v>
      </c>
      <c r="C1097" t="s">
        <v>40</v>
      </c>
      <c r="D1097">
        <v>4.0787190000000004</v>
      </c>
      <c r="E1097">
        <v>0.57766439999999997</v>
      </c>
      <c r="F1097" t="s">
        <v>43</v>
      </c>
      <c r="G1097">
        <v>-270.22949999999997</v>
      </c>
      <c r="H1097">
        <v>-0.05</v>
      </c>
      <c r="I1097">
        <v>357.36739999999998</v>
      </c>
      <c r="J1097">
        <v>-370.22859999999997</v>
      </c>
      <c r="K1097">
        <v>1.1044670000000001</v>
      </c>
      <c r="L1097">
        <v>367.30399999999997</v>
      </c>
      <c r="M1097">
        <v>0.99989550000000005</v>
      </c>
      <c r="N1097">
        <v>0</v>
      </c>
      <c r="O1097">
        <v>8.9204279999999993E-3</v>
      </c>
      <c r="P1097">
        <v>0.99422429999999995</v>
      </c>
      <c r="Q1097">
        <v>2.344684E-2</v>
      </c>
      <c r="R1097">
        <v>0.10473059999999999</v>
      </c>
      <c r="S1097">
        <v>3.0499269999999998</v>
      </c>
      <c r="T1097">
        <v>-3.5172460000000003E-2</v>
      </c>
      <c r="U1097">
        <v>-0.30270390000000003</v>
      </c>
      <c r="V1097">
        <v>-9.5854880000000003E-2</v>
      </c>
      <c r="W1097">
        <v>3.4779989999999997E-2</v>
      </c>
      <c r="X1097">
        <v>0.99478750000000005</v>
      </c>
      <c r="Y1097">
        <v>0.10763010000000001</v>
      </c>
      <c r="Z1097">
        <v>-7.2170030000000003E-4</v>
      </c>
      <c r="AA1097">
        <v>0.99419080000000004</v>
      </c>
      <c r="AB1097">
        <v>22</v>
      </c>
      <c r="AC1097">
        <v>99.999099999999999</v>
      </c>
      <c r="AD1097">
        <v>-1.1544669999999999</v>
      </c>
      <c r="AE1097">
        <v>-9.9366000000000501</v>
      </c>
      <c r="AF1097">
        <v>10.826868176130001</v>
      </c>
      <c r="AG1097">
        <v>-1.1544669999999999</v>
      </c>
      <c r="AH1097">
        <v>99.893292494375501</v>
      </c>
      <c r="AI1097">
        <v>90.658283122040302</v>
      </c>
      <c r="AJ1097">
        <v>83.814181511138102</v>
      </c>
      <c r="AK1097">
        <v>100.484942921436</v>
      </c>
      <c r="AL1097">
        <v>88.006851365031295</v>
      </c>
      <c r="AM1097">
        <v>95.503865599042499</v>
      </c>
      <c r="AN1097">
        <v>0.99999998794023204</v>
      </c>
    </row>
    <row r="1098" spans="1:40" x14ac:dyDescent="0.3">
      <c r="A1098" t="str">
        <f>"20200111145932039"</f>
        <v>20200111145932039</v>
      </c>
      <c r="B1098" t="str">
        <f>"1578725972037018"</f>
        <v>1578725972037018</v>
      </c>
      <c r="C1098" t="s">
        <v>40</v>
      </c>
      <c r="D1098">
        <v>4.0649040000000003</v>
      </c>
      <c r="E1098">
        <v>0.57758129999999996</v>
      </c>
      <c r="F1098" t="s">
        <v>42</v>
      </c>
      <c r="G1098">
        <v>-277.97649999999999</v>
      </c>
      <c r="H1098">
        <v>7.9986020000000005E-2</v>
      </c>
      <c r="I1098">
        <v>358.20060000000001</v>
      </c>
      <c r="J1098">
        <v>-370.11079999999998</v>
      </c>
      <c r="K1098">
        <v>1.1044689999999999</v>
      </c>
      <c r="L1098">
        <v>367.30509999999998</v>
      </c>
      <c r="M1098">
        <v>0.99989550000000005</v>
      </c>
      <c r="N1098">
        <v>0</v>
      </c>
      <c r="O1098">
        <v>8.9212849999999993E-3</v>
      </c>
      <c r="P1098">
        <v>0.994224</v>
      </c>
      <c r="Q1098">
        <v>2.3884889999999999E-2</v>
      </c>
      <c r="R1098">
        <v>0.1046344</v>
      </c>
      <c r="S1098">
        <v>3.0499269999999998</v>
      </c>
      <c r="T1098">
        <v>-3.3870099999999903E-2</v>
      </c>
      <c r="U1098">
        <v>-0.30096440000000002</v>
      </c>
      <c r="V1098">
        <v>-9.5757590000000004E-2</v>
      </c>
      <c r="W1098">
        <v>3.5217930000000001E-2</v>
      </c>
      <c r="X1098">
        <v>0.99478149999999999</v>
      </c>
      <c r="Y1098">
        <v>0.10707</v>
      </c>
      <c r="Z1098">
        <v>-6.9190539999999996E-4</v>
      </c>
      <c r="AA1098">
        <v>0.99425129999999995</v>
      </c>
      <c r="AB1098">
        <v>22</v>
      </c>
      <c r="AC1098">
        <v>92.134299999999996</v>
      </c>
      <c r="AD1098">
        <v>-1.0244829799999999</v>
      </c>
      <c r="AE1098">
        <v>-9.1044999999999696</v>
      </c>
      <c r="AF1098">
        <v>9.9249318960044892</v>
      </c>
      <c r="AG1098">
        <v>-1.0244829799999999</v>
      </c>
      <c r="AH1098">
        <v>92.038134152812205</v>
      </c>
      <c r="AI1098">
        <v>90.634061438067505</v>
      </c>
      <c r="AJ1098">
        <v>83.845292712334398</v>
      </c>
      <c r="AK1098">
        <v>92.577383722201304</v>
      </c>
      <c r="AL1098">
        <v>87.981743944925896</v>
      </c>
      <c r="AM1098">
        <v>95.498346540562693</v>
      </c>
      <c r="AN1098">
        <v>1.0000000256891699</v>
      </c>
    </row>
    <row r="1099" spans="1:40" x14ac:dyDescent="0.3">
      <c r="A1099" t="str">
        <f>"20200111145932051"</f>
        <v>20200111145932051</v>
      </c>
      <c r="B1099" t="str">
        <f>"1578725972046779"</f>
        <v>1578725972046779</v>
      </c>
      <c r="C1099" t="s">
        <v>40</v>
      </c>
      <c r="D1099">
        <v>4.0775750000000004</v>
      </c>
      <c r="E1099">
        <v>0.57746140000000001</v>
      </c>
      <c r="F1099" t="s">
        <v>42</v>
      </c>
      <c r="G1099">
        <v>-276.15989999999999</v>
      </c>
      <c r="H1099">
        <v>7.9986559999999998E-2</v>
      </c>
      <c r="I1099">
        <v>358.04239999999999</v>
      </c>
      <c r="J1099">
        <v>-370.00139999999999</v>
      </c>
      <c r="K1099">
        <v>1.104471</v>
      </c>
      <c r="L1099">
        <v>367.30599999999998</v>
      </c>
      <c r="M1099">
        <v>0.99989539999999999</v>
      </c>
      <c r="N1099">
        <v>0</v>
      </c>
      <c r="O1099">
        <v>8.923149E-3</v>
      </c>
      <c r="P1099">
        <v>0.99418949999999995</v>
      </c>
      <c r="Q1099">
        <v>2.3801019999999999E-2</v>
      </c>
      <c r="R1099">
        <v>0.1049809</v>
      </c>
      <c r="S1099">
        <v>3.0499269999999998</v>
      </c>
      <c r="T1099">
        <v>-3.3257719999999998E-2</v>
      </c>
      <c r="U1099">
        <v>-0.3006897</v>
      </c>
      <c r="V1099">
        <v>-9.6102720000000003E-2</v>
      </c>
      <c r="W1099">
        <v>3.5133589999999999E-2</v>
      </c>
      <c r="X1099">
        <v>0.99475119999999895</v>
      </c>
      <c r="Y1099">
        <v>0.10698339999999899</v>
      </c>
      <c r="Z1099">
        <v>-6.7894880000000002E-4</v>
      </c>
      <c r="AA1099">
        <v>0.99426049999999999</v>
      </c>
      <c r="AB1099">
        <v>22</v>
      </c>
      <c r="AC1099">
        <v>93.841499999999996</v>
      </c>
      <c r="AD1099">
        <v>-1.0244844399999999</v>
      </c>
      <c r="AE1099">
        <v>-9.2635999999999896</v>
      </c>
      <c r="AF1099">
        <v>10.0994550031944</v>
      </c>
      <c r="AG1099">
        <v>-1.0244844399999999</v>
      </c>
      <c r="AH1099">
        <v>93.744032613870701</v>
      </c>
      <c r="AI1099">
        <v>90.622531639970603</v>
      </c>
      <c r="AJ1099">
        <v>83.850991560157198</v>
      </c>
      <c r="AK1099">
        <v>94.292058045414393</v>
      </c>
      <c r="AL1099">
        <v>87.986579263689194</v>
      </c>
      <c r="AM1099">
        <v>95.518208656362901</v>
      </c>
      <c r="AN1099">
        <v>1.0000000259195601</v>
      </c>
    </row>
    <row r="1100" spans="1:40" x14ac:dyDescent="0.3">
      <c r="A1100" t="str">
        <f>"20200111145932063"</f>
        <v>20200111145932063</v>
      </c>
      <c r="B1100" t="str">
        <f>"1578725972056539"</f>
        <v>1578725972056539</v>
      </c>
      <c r="C1100" t="s">
        <v>40</v>
      </c>
      <c r="D1100">
        <v>4.097836</v>
      </c>
      <c r="E1100">
        <v>0.57750979999999996</v>
      </c>
      <c r="F1100" t="s">
        <v>42</v>
      </c>
      <c r="G1100">
        <v>-277.73450000000003</v>
      </c>
      <c r="H1100">
        <v>7.9986089999999996E-2</v>
      </c>
      <c r="I1100">
        <v>358.27120000000002</v>
      </c>
      <c r="J1100">
        <v>-369.88780000000003</v>
      </c>
      <c r="K1100">
        <v>1.104474</v>
      </c>
      <c r="L1100">
        <v>367.30700000000002</v>
      </c>
      <c r="M1100">
        <v>0.99989550000000005</v>
      </c>
      <c r="N1100">
        <v>0</v>
      </c>
      <c r="O1100">
        <v>8.9250119999999995E-3</v>
      </c>
      <c r="P1100">
        <v>0.99417120000000003</v>
      </c>
      <c r="Q1100">
        <v>2.379879E-2</v>
      </c>
      <c r="R1100">
        <v>0.10515430000000001</v>
      </c>
      <c r="S1100">
        <v>3.0498959999999999</v>
      </c>
      <c r="T1100">
        <v>-3.3864499999999999E-2</v>
      </c>
      <c r="U1100">
        <v>-0.29864499999999999</v>
      </c>
      <c r="V1100">
        <v>-9.6274429999999994E-2</v>
      </c>
      <c r="W1100">
        <v>3.513169E-2</v>
      </c>
      <c r="X1100">
        <v>0.99473460000000002</v>
      </c>
      <c r="Y1100">
        <v>0.1063258</v>
      </c>
      <c r="Z1100">
        <v>-6.8774339999999904E-4</v>
      </c>
      <c r="AA1100">
        <v>0.99433110000000002</v>
      </c>
      <c r="AB1100">
        <v>22</v>
      </c>
      <c r="AC1100">
        <v>92.153300000000002</v>
      </c>
      <c r="AD1100">
        <v>-1.0244879099999999</v>
      </c>
      <c r="AE1100">
        <v>-9.0357999999999308</v>
      </c>
      <c r="AF1100">
        <v>9.8567559491365806</v>
      </c>
      <c r="AG1100">
        <v>-1.0244879099999999</v>
      </c>
      <c r="AH1100">
        <v>92.057710047142393</v>
      </c>
      <c r="AI1100">
        <v>90.633981080256703</v>
      </c>
      <c r="AJ1100">
        <v>83.888539235138296</v>
      </c>
      <c r="AK1100">
        <v>92.589563085924098</v>
      </c>
      <c r="AL1100">
        <v>87.986688066136097</v>
      </c>
      <c r="AM1100">
        <v>95.528098887560006</v>
      </c>
      <c r="AN1100">
        <v>0.99999996297561899</v>
      </c>
    </row>
    <row r="1101" spans="1:40" x14ac:dyDescent="0.3">
      <c r="A1101" t="str">
        <f>"20200111145932074"</f>
        <v>20200111145932074</v>
      </c>
      <c r="B1101" t="str">
        <f>"1578725972066299"</f>
        <v>1578725972066299</v>
      </c>
      <c r="C1101" t="s">
        <v>40</v>
      </c>
      <c r="D1101">
        <v>4.0723379999999896</v>
      </c>
      <c r="E1101">
        <v>0.5774281</v>
      </c>
      <c r="F1101" t="s">
        <v>42</v>
      </c>
      <c r="G1101">
        <v>-277.37920000000003</v>
      </c>
      <c r="H1101">
        <v>7.9986189999999999E-2</v>
      </c>
      <c r="I1101">
        <v>358.2561</v>
      </c>
      <c r="J1101">
        <v>-369.76560000000001</v>
      </c>
      <c r="K1101">
        <v>1.104476</v>
      </c>
      <c r="L1101">
        <v>367.30810000000002</v>
      </c>
      <c r="M1101">
        <v>0.99989550000000005</v>
      </c>
      <c r="N1101">
        <v>0</v>
      </c>
      <c r="O1101">
        <v>8.9270510000000001E-3</v>
      </c>
      <c r="P1101">
        <v>0.99415580000000003</v>
      </c>
      <c r="Q1101">
        <v>2.348712E-2</v>
      </c>
      <c r="R1101">
        <v>0.1053714</v>
      </c>
      <c r="S1101">
        <v>3.049957</v>
      </c>
      <c r="T1101">
        <v>-3.3776760000000003E-2</v>
      </c>
      <c r="U1101">
        <v>-0.29840090000000002</v>
      </c>
      <c r="V1101">
        <v>-9.6490370000000006E-2</v>
      </c>
      <c r="W1101">
        <v>3.482002E-2</v>
      </c>
      <c r="X1101">
        <v>0.99472470000000002</v>
      </c>
      <c r="Y1101">
        <v>0.1062471</v>
      </c>
      <c r="Z1101">
        <v>-6.8553859999999996E-4</v>
      </c>
      <c r="AA1101">
        <v>0.99433950000000004</v>
      </c>
      <c r="AB1101">
        <v>22</v>
      </c>
      <c r="AC1101">
        <v>92.386399999999895</v>
      </c>
      <c r="AD1101">
        <v>-1.0244898099999999</v>
      </c>
      <c r="AE1101">
        <v>-9.0520000000000191</v>
      </c>
      <c r="AF1101">
        <v>9.8752278769678306</v>
      </c>
      <c r="AG1101">
        <v>-1.0244898099999999</v>
      </c>
      <c r="AH1101">
        <v>92.290664251876706</v>
      </c>
      <c r="AI1101">
        <v>90.632386820225193</v>
      </c>
      <c r="AJ1101">
        <v>83.892510942150196</v>
      </c>
      <c r="AK1101">
        <v>92.823145890696196</v>
      </c>
      <c r="AL1101">
        <v>88.0045565029546</v>
      </c>
      <c r="AM1101">
        <v>95.540475943362395</v>
      </c>
      <c r="AN1101">
        <v>1.00000002704281</v>
      </c>
    </row>
    <row r="1102" spans="1:40" x14ac:dyDescent="0.3">
      <c r="A1102" t="str">
        <f>"20200111145932085"</f>
        <v>20200111145932085</v>
      </c>
      <c r="B1102" t="str">
        <f>"1578725972077035"</f>
        <v>1578725972077035</v>
      </c>
      <c r="C1102" t="s">
        <v>40</v>
      </c>
      <c r="D1102">
        <v>4.0878509999999997</v>
      </c>
      <c r="E1102">
        <v>0.5774281</v>
      </c>
      <c r="F1102" t="s">
        <v>42</v>
      </c>
      <c r="G1102">
        <v>-279.23579999999998</v>
      </c>
      <c r="H1102">
        <v>7.9985639999999997E-2</v>
      </c>
      <c r="I1102">
        <v>358.4853</v>
      </c>
      <c r="J1102">
        <v>-369.65280000000001</v>
      </c>
      <c r="K1102">
        <v>1.1044769999999999</v>
      </c>
      <c r="L1102">
        <v>367.3091</v>
      </c>
      <c r="M1102">
        <v>0.99989530000000004</v>
      </c>
      <c r="N1102">
        <v>0</v>
      </c>
      <c r="O1102">
        <v>8.9289090000000005E-3</v>
      </c>
      <c r="P1102">
        <v>0.99415589999999998</v>
      </c>
      <c r="Q1102">
        <v>2.3368779999999999E-2</v>
      </c>
      <c r="R1102">
        <v>0.1053944</v>
      </c>
      <c r="S1102">
        <v>3.0499879999999999</v>
      </c>
      <c r="T1102">
        <v>-3.4515499999999998E-2</v>
      </c>
      <c r="U1102">
        <v>-0.29724119999999998</v>
      </c>
      <c r="V1102">
        <v>-9.6511150000000004E-2</v>
      </c>
      <c r="W1102">
        <v>3.4702789999999997E-2</v>
      </c>
      <c r="X1102">
        <v>0.99472680000000002</v>
      </c>
      <c r="Y1102">
        <v>0.1058732</v>
      </c>
      <c r="Z1102">
        <v>-6.984472E-4</v>
      </c>
      <c r="AA1102">
        <v>0.99437940000000002</v>
      </c>
      <c r="AB1102">
        <v>22</v>
      </c>
      <c r="AC1102">
        <v>90.417000000000002</v>
      </c>
      <c r="AD1102">
        <v>-1.0244913600000001</v>
      </c>
      <c r="AE1102">
        <v>-8.8238000000000003</v>
      </c>
      <c r="AF1102">
        <v>9.6296010781549004</v>
      </c>
      <c r="AG1102">
        <v>-1.0244913600000001</v>
      </c>
      <c r="AH1102">
        <v>90.323116386639995</v>
      </c>
      <c r="AI1102">
        <v>90.646188712884594</v>
      </c>
      <c r="AJ1102">
        <v>83.914523013947203</v>
      </c>
      <c r="AK1102">
        <v>90.840762619352901</v>
      </c>
      <c r="AL1102">
        <v>88.011277386881304</v>
      </c>
      <c r="AM1102">
        <v>95.541650077713797</v>
      </c>
      <c r="AN1102">
        <v>1.00000004617317</v>
      </c>
    </row>
    <row r="1103" spans="1:40" x14ac:dyDescent="0.3">
      <c r="A1103" t="str">
        <f>"20200111145932097"</f>
        <v>20200111145932097</v>
      </c>
      <c r="B1103" t="str">
        <f>"1578725972086795"</f>
        <v>1578725972086795</v>
      </c>
      <c r="C1103" t="s">
        <v>40</v>
      </c>
      <c r="D1103">
        <v>4.1002879999999999</v>
      </c>
      <c r="E1103">
        <v>0.58916009999999996</v>
      </c>
      <c r="F1103" t="s">
        <v>42</v>
      </c>
      <c r="G1103">
        <v>-279.88459999999998</v>
      </c>
      <c r="H1103">
        <v>7.9985420000000002E-2</v>
      </c>
      <c r="I1103">
        <v>358.56479999999999</v>
      </c>
      <c r="J1103">
        <v>-369.53960000000001</v>
      </c>
      <c r="K1103">
        <v>1.1044780000000001</v>
      </c>
      <c r="L1103">
        <v>367.31009999999998</v>
      </c>
      <c r="M1103">
        <v>0.99989539999999999</v>
      </c>
      <c r="N1103">
        <v>0</v>
      </c>
      <c r="O1103">
        <v>8.9304069999999996E-3</v>
      </c>
      <c r="P1103">
        <v>0.99413010000000002</v>
      </c>
      <c r="Q1103">
        <v>2.340679E-2</v>
      </c>
      <c r="R1103">
        <v>0.1056295</v>
      </c>
      <c r="S1103">
        <v>3.0499269999999998</v>
      </c>
      <c r="T1103">
        <v>-3.4807680000000001E-2</v>
      </c>
      <c r="U1103">
        <v>-0.29708859999999998</v>
      </c>
      <c r="V1103">
        <v>-9.6745330000000004E-2</v>
      </c>
      <c r="W1103">
        <v>3.474091E-2</v>
      </c>
      <c r="X1103">
        <v>0.99470270000000005</v>
      </c>
      <c r="Y1103">
        <v>0.1058272</v>
      </c>
      <c r="Z1103">
        <v>-7.0413029999999996E-4</v>
      </c>
      <c r="AA1103">
        <v>0.9943843</v>
      </c>
      <c r="AB1103">
        <v>22</v>
      </c>
      <c r="AC1103">
        <v>89.655000000000001</v>
      </c>
      <c r="AD1103">
        <v>-1.02449258</v>
      </c>
      <c r="AE1103">
        <v>-8.7452999999999808</v>
      </c>
      <c r="AF1103">
        <v>9.5444241400395402</v>
      </c>
      <c r="AG1103">
        <v>-1.02449258</v>
      </c>
      <c r="AH1103">
        <v>89.561735702494403</v>
      </c>
      <c r="AI1103">
        <v>90.651685455765403</v>
      </c>
      <c r="AJ1103">
        <v>83.917055740759494</v>
      </c>
      <c r="AK1103">
        <v>90.074691890979594</v>
      </c>
      <c r="AL1103">
        <v>88.009091912999807</v>
      </c>
      <c r="AM1103">
        <v>95.555146385793194</v>
      </c>
      <c r="AN1103">
        <v>1.0000000255458601</v>
      </c>
    </row>
    <row r="1104" spans="1:40" x14ac:dyDescent="0.3">
      <c r="A1104" t="str">
        <f>"20200111145932116"</f>
        <v>20200111145932116</v>
      </c>
      <c r="B1104" t="str">
        <f>"1578725972106317"</f>
        <v>1578725972106317</v>
      </c>
      <c r="C1104" t="s">
        <v>40</v>
      </c>
      <c r="D1104">
        <v>4.0454689999999998</v>
      </c>
      <c r="E1104">
        <v>0.59062530000000002</v>
      </c>
      <c r="F1104" t="s">
        <v>48</v>
      </c>
      <c r="G1104">
        <v>-168.9821</v>
      </c>
      <c r="H1104">
        <v>0.24510119999999999</v>
      </c>
      <c r="I1104">
        <v>341.76530000000002</v>
      </c>
      <c r="J1104">
        <v>-369.35739999999998</v>
      </c>
      <c r="K1104">
        <v>1.1044769999999999</v>
      </c>
      <c r="L1104">
        <v>367.31180000000001</v>
      </c>
      <c r="M1104">
        <v>0.99989530000000004</v>
      </c>
      <c r="N1104">
        <v>0</v>
      </c>
      <c r="O1104">
        <v>8.9329600000000002E-3</v>
      </c>
      <c r="P1104">
        <v>0.99412160000000005</v>
      </c>
      <c r="Q1104">
        <v>2.326201E-2</v>
      </c>
      <c r="R1104">
        <v>0.1057419</v>
      </c>
      <c r="S1104">
        <v>3.0594480000000002</v>
      </c>
      <c r="T1104">
        <v>-1.310945E-2</v>
      </c>
      <c r="U1104">
        <v>-0.389679</v>
      </c>
      <c r="V1104">
        <v>-9.685539E-2</v>
      </c>
      <c r="W1104">
        <v>3.4599369999999997E-2</v>
      </c>
      <c r="X1104">
        <v>0.99469689999999999</v>
      </c>
      <c r="Y1104">
        <v>0.13520389999999999</v>
      </c>
      <c r="Z1104">
        <v>-3.2663149999999998E-4</v>
      </c>
      <c r="AA1104">
        <v>0.99081770000000002</v>
      </c>
      <c r="AB1104">
        <v>22</v>
      </c>
      <c r="AC1104">
        <v>200.37530000000001</v>
      </c>
      <c r="AD1104">
        <v>-0.85937580000000002</v>
      </c>
      <c r="AE1104">
        <v>-25.546499999999899</v>
      </c>
      <c r="AF1104">
        <v>27.335046341689399</v>
      </c>
      <c r="AG1104">
        <v>-0.85937580000000002</v>
      </c>
      <c r="AH1104">
        <v>200.13546097682701</v>
      </c>
      <c r="AI1104">
        <v>90.243761750204797</v>
      </c>
      <c r="AJ1104">
        <v>82.222510729462996</v>
      </c>
      <c r="AK1104">
        <v>201.99541090251299</v>
      </c>
      <c r="AL1104">
        <v>88.017206390927299</v>
      </c>
      <c r="AM1104">
        <v>95.561458692002006</v>
      </c>
      <c r="AN1104">
        <v>1.00000000292302</v>
      </c>
    </row>
    <row r="1105" spans="1:40" x14ac:dyDescent="0.3">
      <c r="A1105" t="str">
        <f>"20200111145932128"</f>
        <v>20200111145932128</v>
      </c>
      <c r="B1105" t="str">
        <f>"1578725972126812"</f>
        <v>1578725972126812</v>
      </c>
      <c r="C1105" t="s">
        <v>40</v>
      </c>
      <c r="D1105">
        <v>4.0888330000000002</v>
      </c>
      <c r="E1105">
        <v>0.59108760000000005</v>
      </c>
      <c r="F1105" t="s">
        <v>48</v>
      </c>
      <c r="G1105">
        <v>-168.98230000000001</v>
      </c>
      <c r="H1105">
        <v>0.94261090000000003</v>
      </c>
      <c r="I1105">
        <v>341.05500000000001</v>
      </c>
      <c r="J1105">
        <v>-369.22710000000001</v>
      </c>
      <c r="K1105">
        <v>1.1044780000000001</v>
      </c>
      <c r="L1105">
        <v>367.31299999999999</v>
      </c>
      <c r="M1105">
        <v>0.99989519999999998</v>
      </c>
      <c r="N1105">
        <v>0</v>
      </c>
      <c r="O1105">
        <v>8.9346059999999995E-3</v>
      </c>
      <c r="P1105">
        <v>0.99409000000000003</v>
      </c>
      <c r="Q1105">
        <v>2.3524900000000001E-2</v>
      </c>
      <c r="R1105">
        <v>0.1059802</v>
      </c>
      <c r="S1105">
        <v>3.060425</v>
      </c>
      <c r="T1105">
        <v>-2.472162E-3</v>
      </c>
      <c r="U1105">
        <v>-0.40103149999999999</v>
      </c>
      <c r="V1105">
        <v>-9.7092579999999998E-2</v>
      </c>
      <c r="W1105">
        <v>3.4866729999999999E-2</v>
      </c>
      <c r="X1105">
        <v>0.9946644</v>
      </c>
      <c r="Y1105">
        <v>0.1387813</v>
      </c>
      <c r="Z1105" s="1">
        <v>-6.3002030000000006E-5</v>
      </c>
      <c r="AA1105">
        <v>0.99032310000000001</v>
      </c>
      <c r="AB1105">
        <v>22</v>
      </c>
      <c r="AC1105">
        <v>200.2448</v>
      </c>
      <c r="AD1105">
        <v>-0.16186710000000001</v>
      </c>
      <c r="AE1105">
        <v>-26.257999999999999</v>
      </c>
      <c r="AF1105">
        <v>28.0461582575706</v>
      </c>
      <c r="AG1105">
        <v>-0.16186710000000001</v>
      </c>
      <c r="AH1105">
        <v>200.00205772982801</v>
      </c>
      <c r="AI1105">
        <v>90.045921710956605</v>
      </c>
      <c r="AJ1105">
        <v>82.017501916341203</v>
      </c>
      <c r="AK1105">
        <v>201.95899655655899</v>
      </c>
      <c r="AL1105">
        <v>88.001878463659907</v>
      </c>
      <c r="AM1105">
        <v>95.575173510743298</v>
      </c>
      <c r="AN1105">
        <v>0.99999996328965302</v>
      </c>
    </row>
    <row r="1106" spans="1:40" x14ac:dyDescent="0.3">
      <c r="A1106" t="str">
        <f>"20200111145932141"</f>
        <v>20200111145932141</v>
      </c>
      <c r="B1106" t="str">
        <f>"1578725972136571"</f>
        <v>1578725972136571</v>
      </c>
      <c r="C1106" t="s">
        <v>40</v>
      </c>
      <c r="D1106">
        <v>4.1124229999999997</v>
      </c>
      <c r="E1106">
        <v>0.59065179999999995</v>
      </c>
      <c r="F1106" t="s">
        <v>48</v>
      </c>
      <c r="G1106">
        <v>-168.98240000000001</v>
      </c>
      <c r="H1106">
        <v>1.2976430000000001</v>
      </c>
      <c r="I1106">
        <v>340.899</v>
      </c>
      <c r="J1106">
        <v>-369.1044</v>
      </c>
      <c r="K1106">
        <v>1.104479</v>
      </c>
      <c r="L1106">
        <v>367.3141</v>
      </c>
      <c r="M1106">
        <v>0.99989510000000004</v>
      </c>
      <c r="N1106">
        <v>0</v>
      </c>
      <c r="O1106">
        <v>8.9360680000000001E-3</v>
      </c>
      <c r="P1106">
        <v>0.99404459999999994</v>
      </c>
      <c r="Q1106">
        <v>2.3472090000000001E-2</v>
      </c>
      <c r="R1106">
        <v>0.1064157</v>
      </c>
      <c r="S1106">
        <v>3.0608219999999999</v>
      </c>
      <c r="T1106">
        <v>2.952695E-3</v>
      </c>
      <c r="U1106">
        <v>-0.40374759999999998</v>
      </c>
      <c r="V1106">
        <v>-9.7526710000000003E-2</v>
      </c>
      <c r="W1106">
        <v>3.4818590000000003E-2</v>
      </c>
      <c r="X1106">
        <v>0.9946237</v>
      </c>
      <c r="Y1106">
        <v>0.13963</v>
      </c>
      <c r="Z1106" s="1">
        <v>7.5643209999999995E-5</v>
      </c>
      <c r="AA1106">
        <v>0.99020370000000002</v>
      </c>
      <c r="AB1106">
        <v>22</v>
      </c>
      <c r="AC1106">
        <v>200.12200000000001</v>
      </c>
      <c r="AD1106">
        <v>0.193164</v>
      </c>
      <c r="AE1106">
        <v>-26.415099999999899</v>
      </c>
      <c r="AF1106">
        <v>28.202439343685</v>
      </c>
      <c r="AG1106">
        <v>0.193164</v>
      </c>
      <c r="AH1106">
        <v>199.87776310164199</v>
      </c>
      <c r="AI1106">
        <v>89.9451718557399</v>
      </c>
      <c r="AJ1106">
        <v>81.968673137455795</v>
      </c>
      <c r="AK1106">
        <v>201.85770998349699</v>
      </c>
      <c r="AL1106">
        <v>88.004638529434402</v>
      </c>
      <c r="AM1106">
        <v>95.600171372843505</v>
      </c>
      <c r="AN1106">
        <v>1.00000004898735</v>
      </c>
    </row>
    <row r="1107" spans="1:40" x14ac:dyDescent="0.3">
      <c r="A1107" t="str">
        <f>"20200111145932153"</f>
        <v>20200111145932153</v>
      </c>
      <c r="B1107" t="str">
        <f>"1578725972146330"</f>
        <v>1578725972146330</v>
      </c>
      <c r="C1107" t="s">
        <v>40</v>
      </c>
      <c r="D1107">
        <v>4.0647679999999999</v>
      </c>
      <c r="E1107">
        <v>0.59002429999999995</v>
      </c>
      <c r="F1107" t="s">
        <v>48</v>
      </c>
      <c r="G1107">
        <v>-168.98240000000001</v>
      </c>
      <c r="H1107">
        <v>1.2512299999999901</v>
      </c>
      <c r="I1107">
        <v>341.22370000000001</v>
      </c>
      <c r="J1107">
        <v>-368.98180000000002</v>
      </c>
      <c r="K1107">
        <v>1.104474</v>
      </c>
      <c r="L1107">
        <v>367.3152</v>
      </c>
      <c r="M1107">
        <v>0.99989490000000003</v>
      </c>
      <c r="N1107">
        <v>0</v>
      </c>
      <c r="O1107">
        <v>8.9370409999999997E-3</v>
      </c>
      <c r="P1107">
        <v>0.99398819999999999</v>
      </c>
      <c r="Q1107">
        <v>2.3559589999999998E-2</v>
      </c>
      <c r="R1107">
        <v>0.1069233</v>
      </c>
      <c r="S1107">
        <v>3.0606080000000002</v>
      </c>
      <c r="T1107">
        <v>2.2444729999999999E-3</v>
      </c>
      <c r="U1107">
        <v>-0.39901730000000002</v>
      </c>
      <c r="V1107">
        <v>-9.8033850000000006E-2</v>
      </c>
      <c r="W1107">
        <v>3.4912480000000003E-2</v>
      </c>
      <c r="X1107">
        <v>0.99457050000000002</v>
      </c>
      <c r="Y1107">
        <v>0.13813529999999999</v>
      </c>
      <c r="Z1107" s="1">
        <v>5.6964389999999999E-5</v>
      </c>
      <c r="AA1107">
        <v>0.9904134</v>
      </c>
      <c r="AB1107">
        <v>22</v>
      </c>
      <c r="AC1107">
        <v>199.99940000000001</v>
      </c>
      <c r="AD1107">
        <v>0.146755999999999</v>
      </c>
      <c r="AE1107">
        <v>-26.0915</v>
      </c>
      <c r="AF1107">
        <v>27.877962425625501</v>
      </c>
      <c r="AG1107">
        <v>0.146755999999999</v>
      </c>
      <c r="AH1107">
        <v>199.758109995545</v>
      </c>
      <c r="AI1107">
        <v>89.958310626382598</v>
      </c>
      <c r="AJ1107">
        <v>82.055195230387497</v>
      </c>
      <c r="AK1107">
        <v>201.694087259197</v>
      </c>
      <c r="AL1107">
        <v>87.9992556547205</v>
      </c>
      <c r="AM1107">
        <v>95.6294049464842</v>
      </c>
      <c r="AN1107">
        <v>0.99999999823791097</v>
      </c>
    </row>
    <row r="1108" spans="1:40" x14ac:dyDescent="0.3">
      <c r="A1108" t="str">
        <f>"20200111145932163"</f>
        <v>20200111145932163</v>
      </c>
      <c r="B1108" t="str">
        <f>"1578725972157067"</f>
        <v>1578725972157067</v>
      </c>
      <c r="C1108" t="s">
        <v>40</v>
      </c>
      <c r="D1108">
        <v>4.1235299999999997</v>
      </c>
      <c r="E1108">
        <v>0.59027649999999998</v>
      </c>
      <c r="F1108" t="s">
        <v>48</v>
      </c>
      <c r="G1108">
        <v>-168.98249999999999</v>
      </c>
      <c r="H1108">
        <v>1.494251</v>
      </c>
      <c r="I1108">
        <v>341.6585</v>
      </c>
      <c r="J1108">
        <v>-368.87090000000001</v>
      </c>
      <c r="K1108">
        <v>1.104474</v>
      </c>
      <c r="L1108">
        <v>367.31619999999998</v>
      </c>
      <c r="M1108">
        <v>0.99989490000000003</v>
      </c>
      <c r="N1108">
        <v>0</v>
      </c>
      <c r="O1108">
        <v>8.9378389999999995E-3</v>
      </c>
      <c r="P1108">
        <v>0.9939479</v>
      </c>
      <c r="Q1108">
        <v>2.3690550000000001E-2</v>
      </c>
      <c r="R1108">
        <v>0.107268</v>
      </c>
      <c r="S1108">
        <v>3.0602420000000001</v>
      </c>
      <c r="T1108">
        <v>5.9641599999999996E-3</v>
      </c>
      <c r="U1108">
        <v>-0.39257809999999999</v>
      </c>
      <c r="V1108">
        <v>-9.8378149999999998E-2</v>
      </c>
      <c r="W1108">
        <v>3.5049719999999999E-2</v>
      </c>
      <c r="X1108">
        <v>0.99453170000000002</v>
      </c>
      <c r="Y1108">
        <v>0.1361011</v>
      </c>
      <c r="Z1108">
        <v>1.4943509999999999E-4</v>
      </c>
      <c r="AA1108">
        <v>0.99069490000000004</v>
      </c>
      <c r="AB1108">
        <v>22</v>
      </c>
      <c r="AC1108">
        <v>199.88839999999999</v>
      </c>
      <c r="AD1108">
        <v>0.38977699999999998</v>
      </c>
      <c r="AE1108">
        <v>-25.657699999999899</v>
      </c>
      <c r="AF1108">
        <v>27.443259102212899</v>
      </c>
      <c r="AG1108">
        <v>0.38977699999999998</v>
      </c>
      <c r="AH1108">
        <v>199.65032858270999</v>
      </c>
      <c r="AI1108">
        <v>89.889183686320195</v>
      </c>
      <c r="AJ1108">
        <v>82.173362945239006</v>
      </c>
      <c r="AK1108">
        <v>201.52800822576799</v>
      </c>
      <c r="AL1108">
        <v>87.991387615776006</v>
      </c>
      <c r="AM1108">
        <v>95.649267017529993</v>
      </c>
      <c r="AN1108">
        <v>1.0000000227871899</v>
      </c>
    </row>
    <row r="1109" spans="1:40" x14ac:dyDescent="0.3">
      <c r="A1109" t="str">
        <f>"20200111145932174"</f>
        <v>20200111145932174</v>
      </c>
      <c r="B1109" t="str">
        <f>"1578725972166827"</f>
        <v>1578725972166827</v>
      </c>
      <c r="C1109" t="s">
        <v>40</v>
      </c>
      <c r="D1109">
        <v>4.1688470000000004</v>
      </c>
      <c r="E1109">
        <v>0.59073529999999996</v>
      </c>
      <c r="F1109" t="s">
        <v>48</v>
      </c>
      <c r="G1109">
        <v>-168.98240000000001</v>
      </c>
      <c r="H1109">
        <v>1.307615</v>
      </c>
      <c r="I1109">
        <v>341.63720000000001</v>
      </c>
      <c r="J1109">
        <v>-368.75970000000001</v>
      </c>
      <c r="K1109">
        <v>1.104474</v>
      </c>
      <c r="L1109">
        <v>367.31720000000001</v>
      </c>
      <c r="M1109">
        <v>0.99989490000000003</v>
      </c>
      <c r="N1109">
        <v>0</v>
      </c>
      <c r="O1109">
        <v>8.9383369999999993E-3</v>
      </c>
      <c r="P1109">
        <v>0.99394979999999999</v>
      </c>
      <c r="Q1109">
        <v>2.361303E-2</v>
      </c>
      <c r="R1109">
        <v>0.107268</v>
      </c>
      <c r="S1109">
        <v>3.060638</v>
      </c>
      <c r="T1109">
        <v>3.110528E-3</v>
      </c>
      <c r="U1109">
        <v>-0.3931885</v>
      </c>
      <c r="V1109">
        <v>-9.8377919999999994E-2</v>
      </c>
      <c r="W1109">
        <v>3.4978240000000001E-2</v>
      </c>
      <c r="X1109">
        <v>0.99453420000000003</v>
      </c>
      <c r="Y1109">
        <v>0.13627990000000001</v>
      </c>
      <c r="Z1109" s="1">
        <v>7.8015920000000001E-5</v>
      </c>
      <c r="AA1109">
        <v>0.99067039999999995</v>
      </c>
      <c r="AB1109">
        <v>22</v>
      </c>
      <c r="AC1109">
        <v>199.7773</v>
      </c>
      <c r="AD1109">
        <v>0.20314099999999999</v>
      </c>
      <c r="AE1109">
        <v>-25.68</v>
      </c>
      <c r="AF1109">
        <v>27.464739248939399</v>
      </c>
      <c r="AG1109">
        <v>0.20314099999999999</v>
      </c>
      <c r="AH1109">
        <v>199.53956389867099</v>
      </c>
      <c r="AI1109">
        <v>89.942214922927405</v>
      </c>
      <c r="AJ1109">
        <v>82.1630190368802</v>
      </c>
      <c r="AK1109">
        <v>201.42092922323101</v>
      </c>
      <c r="AL1109">
        <v>87.995485552416994</v>
      </c>
      <c r="AM1109">
        <v>95.649239786545706</v>
      </c>
      <c r="AN1109">
        <v>0.99999998369333198</v>
      </c>
    </row>
    <row r="1110" spans="1:40" x14ac:dyDescent="0.3">
      <c r="A1110" t="str">
        <f>"20200111145932186"</f>
        <v>20200111145932186</v>
      </c>
      <c r="B1110" t="str">
        <f>"1578725972176587"</f>
        <v>1578725972176587</v>
      </c>
      <c r="C1110" t="s">
        <v>40</v>
      </c>
      <c r="D1110">
        <v>4.0737629999999996</v>
      </c>
      <c r="E1110">
        <v>0.59097540000000004</v>
      </c>
      <c r="F1110" t="s">
        <v>48</v>
      </c>
      <c r="G1110">
        <v>-168.98240000000001</v>
      </c>
      <c r="H1110">
        <v>1.254672</v>
      </c>
      <c r="I1110">
        <v>341.39890000000003</v>
      </c>
      <c r="J1110">
        <v>-368.65109999999999</v>
      </c>
      <c r="K1110">
        <v>1.104474</v>
      </c>
      <c r="L1110">
        <v>367.31810000000002</v>
      </c>
      <c r="M1110">
        <v>0.99989470000000003</v>
      </c>
      <c r="N1110">
        <v>0</v>
      </c>
      <c r="O1110">
        <v>8.9387749999999995E-3</v>
      </c>
      <c r="P1110">
        <v>0.99396700000000004</v>
      </c>
      <c r="Q1110">
        <v>2.3368409999999999E-2</v>
      </c>
      <c r="R1110">
        <v>0.1071614</v>
      </c>
      <c r="S1110">
        <v>3.061035</v>
      </c>
      <c r="T1110">
        <v>2.301455E-3</v>
      </c>
      <c r="U1110">
        <v>-0.39712520000000001</v>
      </c>
      <c r="V1110">
        <v>-9.82706E-2</v>
      </c>
      <c r="W1110">
        <v>3.4740439999999997E-2</v>
      </c>
      <c r="X1110">
        <v>0.99455309999999997</v>
      </c>
      <c r="Y1110">
        <v>0.13751729999999901</v>
      </c>
      <c r="Z1110" s="1">
        <v>5.817474E-5</v>
      </c>
      <c r="AA1110">
        <v>0.99049940000000003</v>
      </c>
      <c r="AB1110">
        <v>22</v>
      </c>
      <c r="AC1110">
        <v>199.6687</v>
      </c>
      <c r="AD1110">
        <v>0.150198</v>
      </c>
      <c r="AE1110">
        <v>-25.919199999999901</v>
      </c>
      <c r="AF1110">
        <v>27.703059153787802</v>
      </c>
      <c r="AG1110">
        <v>0.150198</v>
      </c>
      <c r="AH1110">
        <v>199.42890984762201</v>
      </c>
      <c r="AI1110">
        <v>89.9572586423225</v>
      </c>
      <c r="AJ1110">
        <v>82.091540889657594</v>
      </c>
      <c r="AK1110">
        <v>201.34391505314599</v>
      </c>
      <c r="AL1110">
        <v>88.009118685625396</v>
      </c>
      <c r="AM1110">
        <v>95.643010309632402</v>
      </c>
      <c r="AN1110">
        <v>0.99999993885767902</v>
      </c>
    </row>
    <row r="1111" spans="1:40" x14ac:dyDescent="0.3">
      <c r="A1111" t="str">
        <f>"20200111145932197"</f>
        <v>20200111145932197</v>
      </c>
      <c r="B1111" t="str">
        <f>"1578725972186347"</f>
        <v>1578725972186347</v>
      </c>
      <c r="C1111" t="s">
        <v>40</v>
      </c>
      <c r="D1111">
        <v>4.1517229999999996</v>
      </c>
      <c r="E1111">
        <v>0.59109149999999999</v>
      </c>
      <c r="F1111" t="s">
        <v>48</v>
      </c>
      <c r="G1111">
        <v>-168.98240000000001</v>
      </c>
      <c r="H1111">
        <v>1.099118</v>
      </c>
      <c r="I1111">
        <v>341.28190000000001</v>
      </c>
      <c r="J1111">
        <v>-368.5394</v>
      </c>
      <c r="K1111">
        <v>1.104474</v>
      </c>
      <c r="L1111">
        <v>367.31920000000002</v>
      </c>
      <c r="M1111">
        <v>0.99989479999999997</v>
      </c>
      <c r="N1111">
        <v>0</v>
      </c>
      <c r="O1111">
        <v>8.9389159999999999E-3</v>
      </c>
      <c r="P1111">
        <v>0.994004</v>
      </c>
      <c r="Q1111">
        <v>2.3177929999999999E-2</v>
      </c>
      <c r="R1111">
        <v>0.1068607</v>
      </c>
      <c r="S1111">
        <v>3.061188</v>
      </c>
      <c r="T1111" s="1">
        <v>-8.2015989999999995E-5</v>
      </c>
      <c r="U1111">
        <v>-0.39916990000000002</v>
      </c>
      <c r="V1111">
        <v>-9.7969139999999996E-2</v>
      </c>
      <c r="W1111">
        <v>3.4556959999999998E-2</v>
      </c>
      <c r="X1111">
        <v>0.99458930000000001</v>
      </c>
      <c r="Y1111">
        <v>0.1381617</v>
      </c>
      <c r="Z1111" s="1">
        <v>-2.081559E-6</v>
      </c>
      <c r="AA1111">
        <v>0.99040969999999995</v>
      </c>
      <c r="AB1111">
        <v>22</v>
      </c>
      <c r="AC1111">
        <v>199.55699999999999</v>
      </c>
      <c r="AD1111">
        <v>-5.3559999999999103E-3</v>
      </c>
      <c r="AE1111">
        <v>-26.037299999999998</v>
      </c>
      <c r="AF1111">
        <v>27.820199231127301</v>
      </c>
      <c r="AG1111">
        <v>-5.3559999999999103E-3</v>
      </c>
      <c r="AH1111">
        <v>199.316265512017</v>
      </c>
      <c r="AI1111">
        <v>90.001524862429804</v>
      </c>
      <c r="AJ1111">
        <v>82.054095550016399</v>
      </c>
      <c r="AK1111">
        <v>201.248446482459</v>
      </c>
      <c r="AL1111">
        <v>88.019637764547596</v>
      </c>
      <c r="AM1111">
        <v>95.625607286866696</v>
      </c>
      <c r="AN1111">
        <v>1.00000000577563</v>
      </c>
    </row>
    <row r="1112" spans="1:40" x14ac:dyDescent="0.3">
      <c r="A1112" t="str">
        <f>"20200111145932208"</f>
        <v>20200111145932208</v>
      </c>
      <c r="B1112" t="str">
        <f>"1578725972197083"</f>
        <v>1578725972197083</v>
      </c>
      <c r="C1112" t="s">
        <v>40</v>
      </c>
      <c r="D1112">
        <v>4.1141699999999997</v>
      </c>
      <c r="E1112">
        <v>0.59130019999999905</v>
      </c>
      <c r="F1112" t="s">
        <v>48</v>
      </c>
      <c r="G1112">
        <v>-168.98240000000001</v>
      </c>
      <c r="H1112">
        <v>1.274713</v>
      </c>
      <c r="I1112">
        <v>341.1619</v>
      </c>
      <c r="J1112">
        <v>-368.4282</v>
      </c>
      <c r="K1112">
        <v>1.104473</v>
      </c>
      <c r="L1112">
        <v>367.3202</v>
      </c>
      <c r="M1112">
        <v>0.99989470000000003</v>
      </c>
      <c r="N1112">
        <v>0</v>
      </c>
      <c r="O1112">
        <v>8.9392369999999992E-3</v>
      </c>
      <c r="P1112">
        <v>0.99403330000000001</v>
      </c>
      <c r="Q1112">
        <v>2.2939399999999999E-2</v>
      </c>
      <c r="R1112">
        <v>0.1066385</v>
      </c>
      <c r="S1112">
        <v>3.0611570000000001</v>
      </c>
      <c r="T1112">
        <v>2.6115180000000002E-3</v>
      </c>
      <c r="U1112">
        <v>-0.40124510000000002</v>
      </c>
      <c r="V1112">
        <v>-9.7746550000000001E-2</v>
      </c>
      <c r="W1112">
        <v>3.4324880000000002E-2</v>
      </c>
      <c r="X1112">
        <v>0.99461929999999998</v>
      </c>
      <c r="Y1112">
        <v>0.13882329999999901</v>
      </c>
      <c r="Z1112" s="1">
        <v>6.6559159999999995E-5</v>
      </c>
      <c r="AA1112">
        <v>0.99031720000000001</v>
      </c>
      <c r="AB1112">
        <v>22</v>
      </c>
      <c r="AC1112">
        <v>199.44579999999999</v>
      </c>
      <c r="AD1112">
        <v>0.170239999999999</v>
      </c>
      <c r="AE1112">
        <v>-26.158300000000001</v>
      </c>
      <c r="AF1112">
        <v>27.940244455493801</v>
      </c>
      <c r="AG1112">
        <v>0.170239999999999</v>
      </c>
      <c r="AH1112">
        <v>199.20383674278</v>
      </c>
      <c r="AI1112">
        <v>89.951509570092298</v>
      </c>
      <c r="AJ1112">
        <v>82.015803761276501</v>
      </c>
      <c r="AK1112">
        <v>201.15380885017899</v>
      </c>
      <c r="AL1112">
        <v>88.032942986233493</v>
      </c>
      <c r="AM1112">
        <v>95.612739164750707</v>
      </c>
      <c r="AN1112">
        <v>1.0000000686782</v>
      </c>
    </row>
    <row r="1113" spans="1:40" x14ac:dyDescent="0.3">
      <c r="A1113" t="str">
        <f>"20200111145932220"</f>
        <v>20200111145932220</v>
      </c>
      <c r="B1113" t="str">
        <f>"1578725972216604"</f>
        <v>1578725972216604</v>
      </c>
      <c r="C1113" t="s">
        <v>40</v>
      </c>
      <c r="D1113">
        <v>4.1267269999999998</v>
      </c>
      <c r="E1113">
        <v>0.59131690000000003</v>
      </c>
      <c r="F1113" t="s">
        <v>48</v>
      </c>
      <c r="G1113">
        <v>-168.98230000000001</v>
      </c>
      <c r="H1113">
        <v>1.017396</v>
      </c>
      <c r="I1113">
        <v>341.04360000000003</v>
      </c>
      <c r="J1113">
        <v>-368.30970000000002</v>
      </c>
      <c r="K1113">
        <v>1.104473</v>
      </c>
      <c r="L1113">
        <v>367.32119999999998</v>
      </c>
      <c r="M1113">
        <v>0.99989459999999997</v>
      </c>
      <c r="N1113">
        <v>0</v>
      </c>
      <c r="O1113">
        <v>8.9391980000000006E-3</v>
      </c>
      <c r="P1113">
        <v>0.9940755</v>
      </c>
      <c r="Q1113">
        <v>2.2565559999999998E-2</v>
      </c>
      <c r="R1113">
        <v>0.106324</v>
      </c>
      <c r="S1113">
        <v>3.0613100000000002</v>
      </c>
      <c r="T1113">
        <v>-1.3364550000000001E-3</v>
      </c>
      <c r="U1113">
        <v>-0.40332030000000002</v>
      </c>
      <c r="V1113">
        <v>-9.7431909999999997E-2</v>
      </c>
      <c r="W1113">
        <v>3.3957460000000002E-2</v>
      </c>
      <c r="X1113">
        <v>0.99466270000000001</v>
      </c>
      <c r="Y1113">
        <v>0.13947689999999999</v>
      </c>
      <c r="Z1113" s="1">
        <v>-3.4200789999999999E-5</v>
      </c>
      <c r="AA1113">
        <v>0.99022529999999997</v>
      </c>
      <c r="AB1113">
        <v>22</v>
      </c>
      <c r="AC1113">
        <v>199.32740000000001</v>
      </c>
      <c r="AD1113">
        <v>-8.7077000000000002E-2</v>
      </c>
      <c r="AE1113">
        <v>-26.2775999999999</v>
      </c>
      <c r="AF1113">
        <v>28.0584883758473</v>
      </c>
      <c r="AG1113">
        <v>-8.7077000000000002E-2</v>
      </c>
      <c r="AH1113">
        <v>199.084481358489</v>
      </c>
      <c r="AI1113">
        <v>90.024815192631294</v>
      </c>
      <c r="AJ1113">
        <v>81.977708737640299</v>
      </c>
      <c r="AK1113">
        <v>201.052025779697</v>
      </c>
      <c r="AL1113">
        <v>88.054006720004594</v>
      </c>
      <c r="AM1113">
        <v>95.594544353175294</v>
      </c>
      <c r="AN1113">
        <v>0.999999986473594</v>
      </c>
    </row>
    <row r="1114" spans="1:40" x14ac:dyDescent="0.3">
      <c r="A1114" t="str">
        <f>"20200111145932232"</f>
        <v>20200111145932232</v>
      </c>
      <c r="B1114" t="str">
        <f>"1578725972226364"</f>
        <v>1578725972226364</v>
      </c>
      <c r="C1114" t="s">
        <v>40</v>
      </c>
      <c r="D1114">
        <v>4.1331369999999996</v>
      </c>
      <c r="E1114">
        <v>0.59149160000000001</v>
      </c>
      <c r="F1114" t="s">
        <v>48</v>
      </c>
      <c r="G1114">
        <v>-168.98240000000001</v>
      </c>
      <c r="H1114">
        <v>1.1212740000000001</v>
      </c>
      <c r="I1114">
        <v>340.99279999999999</v>
      </c>
      <c r="J1114">
        <v>-368.19589999999999</v>
      </c>
      <c r="K1114">
        <v>1.104473</v>
      </c>
      <c r="L1114">
        <v>367.32220000000001</v>
      </c>
      <c r="M1114">
        <v>0.99989439999999996</v>
      </c>
      <c r="N1114">
        <v>0</v>
      </c>
      <c r="O1114">
        <v>8.9392840000000005E-3</v>
      </c>
      <c r="P1114">
        <v>0.9940985</v>
      </c>
      <c r="Q1114">
        <v>2.2153539999999999E-2</v>
      </c>
      <c r="R1114">
        <v>0.1061957</v>
      </c>
      <c r="S1114">
        <v>3.061096</v>
      </c>
      <c r="T1114">
        <v>2.5808809999999999E-4</v>
      </c>
      <c r="U1114">
        <v>-0.4043274</v>
      </c>
      <c r="V1114">
        <v>-9.7303260000000003E-2</v>
      </c>
      <c r="W1114">
        <v>3.3550950000000003E-2</v>
      </c>
      <c r="X1114">
        <v>0.99468909999999999</v>
      </c>
      <c r="Y1114">
        <v>0.13980609999999999</v>
      </c>
      <c r="Z1114" s="1">
        <v>6.618789E-6</v>
      </c>
      <c r="AA1114">
        <v>0.99017889999999997</v>
      </c>
      <c r="AB1114">
        <v>22</v>
      </c>
      <c r="AC1114">
        <v>199.21350000000001</v>
      </c>
      <c r="AD1114">
        <v>1.6800999999999799E-2</v>
      </c>
      <c r="AE1114">
        <v>-26.3294</v>
      </c>
      <c r="AF1114">
        <v>28.109290598996601</v>
      </c>
      <c r="AG1114">
        <v>1.6800999999999799E-2</v>
      </c>
      <c r="AH1114">
        <v>198.97015631517201</v>
      </c>
      <c r="AI1114">
        <v>89.995209524641893</v>
      </c>
      <c r="AJ1114">
        <v>81.958815975962395</v>
      </c>
      <c r="AK1114">
        <v>200.94590218348901</v>
      </c>
      <c r="AL1114">
        <v>88.0773113300625</v>
      </c>
      <c r="AM1114">
        <v>95.587056685087106</v>
      </c>
      <c r="AN1114">
        <v>0.99999999815566998</v>
      </c>
    </row>
    <row r="1115" spans="1:40" x14ac:dyDescent="0.3">
      <c r="A1115" t="str">
        <f>"20200111145932242"</f>
        <v>20200111145932242</v>
      </c>
      <c r="B1115" t="str">
        <f>"1578725972237099"</f>
        <v>1578725972237099</v>
      </c>
      <c r="C1115" t="s">
        <v>40</v>
      </c>
      <c r="D1115">
        <v>4.0935240000000004</v>
      </c>
      <c r="E1115">
        <v>0.59179559999999998</v>
      </c>
      <c r="F1115" t="s">
        <v>48</v>
      </c>
      <c r="G1115">
        <v>-168.98230000000001</v>
      </c>
      <c r="H1115">
        <v>0.98291309999999998</v>
      </c>
      <c r="I1115">
        <v>340.8734</v>
      </c>
      <c r="J1115">
        <v>-368.08199999999999</v>
      </c>
      <c r="K1115">
        <v>1.104471</v>
      </c>
      <c r="L1115">
        <v>367.32319999999999</v>
      </c>
      <c r="M1115">
        <v>0.99989439999999996</v>
      </c>
      <c r="N1115">
        <v>0</v>
      </c>
      <c r="O1115">
        <v>8.93913E-3</v>
      </c>
      <c r="P1115">
        <v>0.9941527</v>
      </c>
      <c r="Q1115">
        <v>2.1828230000000001E-2</v>
      </c>
      <c r="R1115">
        <v>0.1057546</v>
      </c>
      <c r="S1115">
        <v>3.0612789999999999</v>
      </c>
      <c r="T1115">
        <v>-1.8678900000000001E-3</v>
      </c>
      <c r="U1115">
        <v>-0.40643309999999999</v>
      </c>
      <c r="V1115">
        <v>-9.686177E-2</v>
      </c>
      <c r="W1115">
        <v>3.323164E-2</v>
      </c>
      <c r="X1115">
        <v>0.99474289999999999</v>
      </c>
      <c r="Y1115">
        <v>0.1404676</v>
      </c>
      <c r="Z1115" s="1">
        <v>-4.8098749999999998E-5</v>
      </c>
      <c r="AA1115">
        <v>0.99008529999999995</v>
      </c>
      <c r="AB1115">
        <v>22</v>
      </c>
      <c r="AC1115">
        <v>199.09970000000001</v>
      </c>
      <c r="AD1115">
        <v>-0.1215579</v>
      </c>
      <c r="AE1115">
        <v>-26.4497999999999</v>
      </c>
      <c r="AF1115">
        <v>28.2286276624172</v>
      </c>
      <c r="AG1115">
        <v>-0.1215579</v>
      </c>
      <c r="AH1115">
        <v>198.85521740149699</v>
      </c>
      <c r="AI1115">
        <v>90.034676596084594</v>
      </c>
      <c r="AJ1115">
        <v>81.920521022915494</v>
      </c>
      <c r="AK1115">
        <v>200.84886776833699</v>
      </c>
      <c r="AL1115">
        <v>88.095616639275903</v>
      </c>
      <c r="AM1115">
        <v>95.561567152719107</v>
      </c>
      <c r="AN1115">
        <v>0.999999990742516</v>
      </c>
    </row>
    <row r="1116" spans="1:40" x14ac:dyDescent="0.3">
      <c r="A1116" t="str">
        <f>"20200111145932253"</f>
        <v>20200111145932253</v>
      </c>
      <c r="B1116" t="str">
        <f>"1578725972246860"</f>
        <v>1578725972246860</v>
      </c>
      <c r="C1116" t="s">
        <v>40</v>
      </c>
      <c r="D1116">
        <v>4.0825269999999998</v>
      </c>
      <c r="E1116">
        <v>0.59198419999999996</v>
      </c>
      <c r="F1116" t="s">
        <v>48</v>
      </c>
      <c r="G1116">
        <v>-168.98230000000001</v>
      </c>
      <c r="H1116">
        <v>1.0256400000000001</v>
      </c>
      <c r="I1116">
        <v>340.64370000000002</v>
      </c>
      <c r="J1116">
        <v>-367.96559999999999</v>
      </c>
      <c r="K1116">
        <v>1.1044659999999999</v>
      </c>
      <c r="L1116">
        <v>367.32429999999999</v>
      </c>
      <c r="M1116">
        <v>0.99989439999999996</v>
      </c>
      <c r="N1116">
        <v>0</v>
      </c>
      <c r="O1116">
        <v>8.9390979999999995E-3</v>
      </c>
      <c r="P1116">
        <v>0.99420679999999995</v>
      </c>
      <c r="Q1116">
        <v>2.1491429999999999E-2</v>
      </c>
      <c r="R1116">
        <v>0.1053139</v>
      </c>
      <c r="S1116">
        <v>3.0613100000000002</v>
      </c>
      <c r="T1116">
        <v>-1.2120010000000001E-3</v>
      </c>
      <c r="U1116">
        <v>-0.41021730000000001</v>
      </c>
      <c r="V1116">
        <v>-9.6420259999999994E-2</v>
      </c>
      <c r="W1116">
        <v>3.2901369999999999E-2</v>
      </c>
      <c r="X1116">
        <v>0.99479680000000004</v>
      </c>
      <c r="Y1116">
        <v>0.14166860000000001</v>
      </c>
      <c r="Z1116" s="1">
        <v>-3.144324E-5</v>
      </c>
      <c r="AA1116">
        <v>0.98991410000000002</v>
      </c>
      <c r="AB1116">
        <v>22</v>
      </c>
      <c r="AC1116">
        <v>198.98330000000001</v>
      </c>
      <c r="AD1116">
        <v>-7.8825999999999993E-2</v>
      </c>
      <c r="AE1116">
        <v>-26.680599999999899</v>
      </c>
      <c r="AF1116">
        <v>28.458377449677599</v>
      </c>
      <c r="AG1116">
        <v>-7.8825999999999993E-2</v>
      </c>
      <c r="AH1116">
        <v>198.73680187903801</v>
      </c>
      <c r="AI1116">
        <v>90.022496046168897</v>
      </c>
      <c r="AJ1116">
        <v>81.850854147331304</v>
      </c>
      <c r="AK1116">
        <v>200.76404529126799</v>
      </c>
      <c r="AL1116">
        <v>88.114550125477294</v>
      </c>
      <c r="AM1116">
        <v>95.536076474928294</v>
      </c>
      <c r="AN1116">
        <v>1.0000000199882899</v>
      </c>
    </row>
    <row r="1117" spans="1:40" x14ac:dyDescent="0.3">
      <c r="A1117" t="str">
        <f>"20200111145932266"</f>
        <v>20200111145932266</v>
      </c>
      <c r="B1117" t="str">
        <f>"1578725972256619"</f>
        <v>1578725972256619</v>
      </c>
      <c r="C1117" t="s">
        <v>40</v>
      </c>
      <c r="D1117">
        <v>4.1383609999999997</v>
      </c>
      <c r="E1117">
        <v>0.59220930000000005</v>
      </c>
      <c r="F1117" t="s">
        <v>47</v>
      </c>
      <c r="G1117">
        <v>-228.57939999999999</v>
      </c>
      <c r="H1117">
        <v>1.024519</v>
      </c>
      <c r="I1117">
        <v>348.51170000000002</v>
      </c>
      <c r="J1117">
        <v>-367.84829999999999</v>
      </c>
      <c r="K1117">
        <v>1.1044670000000001</v>
      </c>
      <c r="L1117">
        <v>367.32530000000003</v>
      </c>
      <c r="M1117">
        <v>0.99989439999999996</v>
      </c>
      <c r="N1117">
        <v>0</v>
      </c>
      <c r="O1117">
        <v>8.9388869999999995E-3</v>
      </c>
      <c r="P1117">
        <v>0.99422710000000003</v>
      </c>
      <c r="Q1117">
        <v>2.1449079999999999E-2</v>
      </c>
      <c r="R1117">
        <v>0.1051318</v>
      </c>
      <c r="S1117">
        <v>3.0613100000000002</v>
      </c>
      <c r="T1117">
        <v>-1.754165E-3</v>
      </c>
      <c r="U1117">
        <v>-0.41317749999999998</v>
      </c>
      <c r="V1117">
        <v>-9.6238699999999996E-2</v>
      </c>
      <c r="W1117">
        <v>3.2863719999999999E-2</v>
      </c>
      <c r="X1117">
        <v>0.99481560000000002</v>
      </c>
      <c r="Y1117">
        <v>0.1426086</v>
      </c>
      <c r="Z1117" s="1">
        <v>-4.5773769999999997E-5</v>
      </c>
      <c r="AA1117">
        <v>0.98977919999999997</v>
      </c>
      <c r="AB1117">
        <v>22</v>
      </c>
      <c r="AC1117">
        <v>139.2689</v>
      </c>
      <c r="AD1117">
        <v>-7.9948000000000102E-2</v>
      </c>
      <c r="AE1117">
        <v>-18.813600000000001</v>
      </c>
      <c r="AF1117">
        <v>20.057832443566799</v>
      </c>
      <c r="AG1117">
        <v>-7.9948000000000102E-2</v>
      </c>
      <c r="AH1117">
        <v>139.09510640736599</v>
      </c>
      <c r="AI1117">
        <v>90.032594867519506</v>
      </c>
      <c r="AJ1117">
        <v>81.794382254465006</v>
      </c>
      <c r="AK1117">
        <v>140.533880827697</v>
      </c>
      <c r="AL1117">
        <v>88.1167084311476</v>
      </c>
      <c r="AM1117">
        <v>95.525612806138099</v>
      </c>
      <c r="AN1117">
        <v>0.99999999473664403</v>
      </c>
    </row>
    <row r="1118" spans="1:40" x14ac:dyDescent="0.3">
      <c r="A1118" t="str">
        <f>"20200111145932278"</f>
        <v>20200111145932278</v>
      </c>
      <c r="B1118" t="str">
        <f>"1578725972266380"</f>
        <v>1578725972266380</v>
      </c>
      <c r="C1118" t="s">
        <v>40</v>
      </c>
      <c r="D1118">
        <v>3.7953049999999999</v>
      </c>
      <c r="E1118">
        <v>0.59220519999999999</v>
      </c>
      <c r="F1118" t="s">
        <v>47</v>
      </c>
      <c r="G1118">
        <v>-229.22989999999999</v>
      </c>
      <c r="H1118">
        <v>1.035644</v>
      </c>
      <c r="I1118">
        <v>348.51170000000002</v>
      </c>
      <c r="J1118">
        <v>-367.72919999999999</v>
      </c>
      <c r="K1118">
        <v>1.1044670000000001</v>
      </c>
      <c r="L1118">
        <v>367.32639999999998</v>
      </c>
      <c r="M1118">
        <v>0.99989430000000001</v>
      </c>
      <c r="N1118">
        <v>0</v>
      </c>
      <c r="O1118">
        <v>8.9388550000000008E-3</v>
      </c>
      <c r="P1118">
        <v>0.9942299</v>
      </c>
      <c r="Q1118">
        <v>2.174326E-2</v>
      </c>
      <c r="R1118">
        <v>0.1050447</v>
      </c>
      <c r="S1118">
        <v>3.0613709999999998</v>
      </c>
      <c r="T1118">
        <v>-1.5182500000000001E-3</v>
      </c>
      <c r="U1118">
        <v>-0.4154968</v>
      </c>
      <c r="V1118">
        <v>-9.6151399999999901E-2</v>
      </c>
      <c r="W1118">
        <v>3.316301E-2</v>
      </c>
      <c r="X1118">
        <v>0.99481410000000003</v>
      </c>
      <c r="Y1118">
        <v>0.14334229999999901</v>
      </c>
      <c r="Z1118" s="1">
        <v>-3.9796039999999999E-5</v>
      </c>
      <c r="AA1118">
        <v>0.98967320000000003</v>
      </c>
      <c r="AB1118">
        <v>22</v>
      </c>
      <c r="AC1118">
        <v>138.49930000000001</v>
      </c>
      <c r="AD1118">
        <v>-6.8822999999999995E-2</v>
      </c>
      <c r="AE1118">
        <v>-18.814699999999899</v>
      </c>
      <c r="AF1118">
        <v>20.0520499073527</v>
      </c>
      <c r="AG1118">
        <v>-6.8822999999999995E-2</v>
      </c>
      <c r="AH1118">
        <v>138.325539427416</v>
      </c>
      <c r="AI1118">
        <v>90.028212263657096</v>
      </c>
      <c r="AJ1118">
        <v>81.751703378180594</v>
      </c>
      <c r="AK1118">
        <v>139.77140015031</v>
      </c>
      <c r="AL1118">
        <v>88.099551006794002</v>
      </c>
      <c r="AM1118">
        <v>95.520639667302603</v>
      </c>
      <c r="AN1118">
        <v>0.99999998525651401</v>
      </c>
    </row>
    <row r="1119" spans="1:40" x14ac:dyDescent="0.3">
      <c r="A1119" t="str">
        <f>"20200111145932293"</f>
        <v>20200111145932293</v>
      </c>
      <c r="B1119" t="str">
        <f>"1578725972286874"</f>
        <v>1578725972286874</v>
      </c>
      <c r="C1119" t="s">
        <v>40</v>
      </c>
      <c r="D1119">
        <v>4.102627</v>
      </c>
      <c r="E1119">
        <v>0.59255819999999904</v>
      </c>
      <c r="F1119" t="s">
        <v>47</v>
      </c>
      <c r="G1119">
        <v>-229.11250000000001</v>
      </c>
      <c r="H1119">
        <v>1.4024920000000001</v>
      </c>
      <c r="I1119">
        <v>348.51170000000002</v>
      </c>
      <c r="J1119">
        <v>-367.56979999999999</v>
      </c>
      <c r="K1119">
        <v>1.1044719999999999</v>
      </c>
      <c r="L1119">
        <v>367.32780000000002</v>
      </c>
      <c r="M1119">
        <v>0.99989430000000001</v>
      </c>
      <c r="N1119">
        <v>0</v>
      </c>
      <c r="O1119">
        <v>8.938639E-3</v>
      </c>
      <c r="P1119">
        <v>0.99413589999999996</v>
      </c>
      <c r="Q1119">
        <v>2.2508670000000001E-2</v>
      </c>
      <c r="R1119">
        <v>0.1057703</v>
      </c>
      <c r="S1119">
        <v>3.0611570000000001</v>
      </c>
      <c r="T1119">
        <v>6.5832140000000004E-3</v>
      </c>
      <c r="U1119">
        <v>-0.4154968</v>
      </c>
      <c r="V1119">
        <v>-9.6877980000000002E-2</v>
      </c>
      <c r="W1119">
        <v>3.3934110000000003E-2</v>
      </c>
      <c r="X1119">
        <v>0.99471759999999998</v>
      </c>
      <c r="Y1119">
        <v>0.1433509</v>
      </c>
      <c r="Z1119">
        <v>1.725784E-4</v>
      </c>
      <c r="AA1119">
        <v>0.98967190000000005</v>
      </c>
      <c r="AB1119">
        <v>22</v>
      </c>
      <c r="AC1119">
        <v>138.45729999999901</v>
      </c>
      <c r="AD1119">
        <v>0.29802000000000001</v>
      </c>
      <c r="AE1119">
        <v>-18.816099999999999</v>
      </c>
      <c r="AF1119">
        <v>20.052958166518501</v>
      </c>
      <c r="AG1119">
        <v>0.29802000000000001</v>
      </c>
      <c r="AH1119">
        <v>138.28293741688799</v>
      </c>
      <c r="AI1119">
        <v>89.877797599216194</v>
      </c>
      <c r="AJ1119">
        <v>81.748828659082207</v>
      </c>
      <c r="AK1119">
        <v>139.729670177066</v>
      </c>
      <c r="AL1119">
        <v>88.055345345655596</v>
      </c>
      <c r="AM1119">
        <v>95.562632645723795</v>
      </c>
      <c r="AN1119">
        <v>0.99999998529006595</v>
      </c>
    </row>
    <row r="1120" spans="1:40" x14ac:dyDescent="0.3">
      <c r="A1120" t="str">
        <f>"20200111145932305"</f>
        <v>20200111145932305</v>
      </c>
      <c r="B1120" t="str">
        <f>"1578725972296635"</f>
        <v>1578725972296635</v>
      </c>
      <c r="C1120" t="s">
        <v>40</v>
      </c>
      <c r="D1120">
        <v>4.1227220000000004</v>
      </c>
      <c r="E1120">
        <v>0.59260190000000001</v>
      </c>
      <c r="F1120" t="s">
        <v>47</v>
      </c>
      <c r="G1120">
        <v>-229.21969999999999</v>
      </c>
      <c r="H1120">
        <v>1.4466049999999999</v>
      </c>
      <c r="I1120">
        <v>348.51170000000002</v>
      </c>
      <c r="J1120">
        <v>-367.45769999999999</v>
      </c>
      <c r="K1120">
        <v>1.104473</v>
      </c>
      <c r="L1120">
        <v>367.3288</v>
      </c>
      <c r="M1120">
        <v>0.99989430000000001</v>
      </c>
      <c r="N1120">
        <v>0</v>
      </c>
      <c r="O1120">
        <v>8.9387890000000008E-3</v>
      </c>
      <c r="P1120">
        <v>0.99407029999999996</v>
      </c>
      <c r="Q1120">
        <v>2.2742370000000001E-2</v>
      </c>
      <c r="R1120">
        <v>0.1063361</v>
      </c>
      <c r="S1120">
        <v>3.0617679999999998</v>
      </c>
      <c r="T1120">
        <v>7.5733659999999998E-3</v>
      </c>
      <c r="U1120">
        <v>-0.41641240000000002</v>
      </c>
      <c r="V1120">
        <v>-9.7444470000000005E-2</v>
      </c>
      <c r="W1120">
        <v>3.417191E-2</v>
      </c>
      <c r="X1120">
        <v>0.99465409999999999</v>
      </c>
      <c r="Y1120">
        <v>0.1436152</v>
      </c>
      <c r="Z1120">
        <v>1.9881759999999999E-4</v>
      </c>
      <c r="AA1120">
        <v>0.9896336</v>
      </c>
      <c r="AB1120">
        <v>22</v>
      </c>
      <c r="AC1120">
        <v>138.238</v>
      </c>
      <c r="AD1120">
        <v>0.34213199999999899</v>
      </c>
      <c r="AE1120">
        <v>-18.8170999999999</v>
      </c>
      <c r="AF1120">
        <v>20.051989092834599</v>
      </c>
      <c r="AG1120">
        <v>0.34213199999999899</v>
      </c>
      <c r="AH1120">
        <v>138.063432969529</v>
      </c>
      <c r="AI1120">
        <v>89.859491065054499</v>
      </c>
      <c r="AJ1120">
        <v>81.736285177871594</v>
      </c>
      <c r="AK1120">
        <v>139.51240390809801</v>
      </c>
      <c r="AL1120">
        <v>88.041712455599395</v>
      </c>
      <c r="AM1120">
        <v>95.595309043615998</v>
      </c>
      <c r="AN1120">
        <v>0.99999996140671799</v>
      </c>
    </row>
    <row r="1121" spans="1:40" x14ac:dyDescent="0.3">
      <c r="A1121" t="str">
        <f>"20200111145932316"</f>
        <v>20200111145932316</v>
      </c>
      <c r="B1121" t="str">
        <f>"1578725972306395"</f>
        <v>1578725972306395</v>
      </c>
      <c r="C1121" t="s">
        <v>40</v>
      </c>
      <c r="D1121">
        <v>4.0899850000000004</v>
      </c>
      <c r="E1121">
        <v>0.59287480000000004</v>
      </c>
      <c r="F1121" t="s">
        <v>47</v>
      </c>
      <c r="G1121">
        <v>-228.54409999999999</v>
      </c>
      <c r="H1121">
        <v>1.4237610000000001</v>
      </c>
      <c r="I1121">
        <v>348.51170000000002</v>
      </c>
      <c r="J1121">
        <v>-367.34140000000002</v>
      </c>
      <c r="K1121">
        <v>1.104474</v>
      </c>
      <c r="L1121">
        <v>367.32990000000001</v>
      </c>
      <c r="M1121">
        <v>0.99989410000000001</v>
      </c>
      <c r="N1121">
        <v>0</v>
      </c>
      <c r="O1121">
        <v>8.9387530000000007E-3</v>
      </c>
      <c r="P1121">
        <v>0.99400540000000004</v>
      </c>
      <c r="Q1121">
        <v>2.3121050000000001E-2</v>
      </c>
      <c r="R1121">
        <v>0.1068588</v>
      </c>
      <c r="S1121">
        <v>3.0621339999999999</v>
      </c>
      <c r="T1121">
        <v>7.0399049999999999E-3</v>
      </c>
      <c r="U1121">
        <v>-0.41479490000000002</v>
      </c>
      <c r="V1121">
        <v>-9.7967719999999994E-2</v>
      </c>
      <c r="W1121">
        <v>3.4555530000000001E-2</v>
      </c>
      <c r="X1121">
        <v>0.99458950000000002</v>
      </c>
      <c r="Y1121">
        <v>0.1430862</v>
      </c>
      <c r="Z1121">
        <v>1.841922E-4</v>
      </c>
      <c r="AA1121">
        <v>0.98971019999999998</v>
      </c>
      <c r="AB1121">
        <v>22</v>
      </c>
      <c r="AC1121">
        <v>138.79730000000001</v>
      </c>
      <c r="AD1121">
        <v>0.31928699999999999</v>
      </c>
      <c r="AE1121">
        <v>-18.818199999999901</v>
      </c>
      <c r="AF1121">
        <v>20.0581004642141</v>
      </c>
      <c r="AG1121">
        <v>0.31928699999999999</v>
      </c>
      <c r="AH1121">
        <v>138.622811461569</v>
      </c>
      <c r="AI1121">
        <v>89.869392238634106</v>
      </c>
      <c r="AJ1121">
        <v>81.766699417761501</v>
      </c>
      <c r="AK1121">
        <v>140.06681689797401</v>
      </c>
      <c r="AL1121">
        <v>88.019719767053104</v>
      </c>
      <c r="AM1121">
        <v>95.625525146345694</v>
      </c>
      <c r="AN1121">
        <v>1.0000000161629099</v>
      </c>
    </row>
    <row r="1122" spans="1:40" x14ac:dyDescent="0.3">
      <c r="A1122" t="str">
        <f>"20200111145932326"</f>
        <v>20200111145932326</v>
      </c>
      <c r="B1122" t="str">
        <f>"1578725972317131"</f>
        <v>1578725972317131</v>
      </c>
      <c r="C1122" t="s">
        <v>40</v>
      </c>
      <c r="D1122">
        <v>4.0913259999999996</v>
      </c>
      <c r="E1122">
        <v>0.59258</v>
      </c>
      <c r="F1122" t="s">
        <v>47</v>
      </c>
      <c r="G1122">
        <v>-228.6369</v>
      </c>
      <c r="H1122">
        <v>1.542619</v>
      </c>
      <c r="I1122">
        <v>348.51170000000002</v>
      </c>
      <c r="J1122">
        <v>-367.23719999999997</v>
      </c>
      <c r="K1122">
        <v>1.1044750000000001</v>
      </c>
      <c r="L1122">
        <v>367.33080000000001</v>
      </c>
      <c r="M1122">
        <v>0.99989410000000001</v>
      </c>
      <c r="N1122">
        <v>0</v>
      </c>
      <c r="O1122">
        <v>8.9388939999999993E-3</v>
      </c>
      <c r="P1122">
        <v>0.99395149999999999</v>
      </c>
      <c r="Q1122">
        <v>2.3118050000000001E-2</v>
      </c>
      <c r="R1122">
        <v>0.10736030000000001</v>
      </c>
      <c r="S1122">
        <v>3.0625309999999999</v>
      </c>
      <c r="T1122">
        <v>9.6757409999999999E-3</v>
      </c>
      <c r="U1122">
        <v>-0.4154968</v>
      </c>
      <c r="V1122">
        <v>-9.8469470000000003E-2</v>
      </c>
      <c r="W1122">
        <v>3.4558400000000003E-2</v>
      </c>
      <c r="X1122">
        <v>0.99453990000000003</v>
      </c>
      <c r="Y1122">
        <v>0.14329159999999999</v>
      </c>
      <c r="Z1122">
        <v>2.5344320000000002E-4</v>
      </c>
      <c r="AA1122">
        <v>0.98968049999999996</v>
      </c>
      <c r="AB1122">
        <v>22</v>
      </c>
      <c r="AC1122">
        <v>138.60029999999901</v>
      </c>
      <c r="AD1122">
        <v>0.43814399999999898</v>
      </c>
      <c r="AE1122">
        <v>-18.819099999999899</v>
      </c>
      <c r="AF1122">
        <v>20.057166315958501</v>
      </c>
      <c r="AG1122">
        <v>0.43814399999999898</v>
      </c>
      <c r="AH1122">
        <v>138.42517050592801</v>
      </c>
      <c r="AI1122">
        <v>89.820521977220807</v>
      </c>
      <c r="AJ1122">
        <v>81.755484261938605</v>
      </c>
      <c r="AK1122">
        <v>139.87140422683299</v>
      </c>
      <c r="AL1122">
        <v>88.019555328856896</v>
      </c>
      <c r="AM1122">
        <v>95.6544306907807</v>
      </c>
      <c r="AN1122">
        <v>1.0000000661123201</v>
      </c>
    </row>
    <row r="1123" spans="1:40" x14ac:dyDescent="0.3">
      <c r="A1123" t="str">
        <f>"20200111145932338"</f>
        <v>20200111145932338</v>
      </c>
      <c r="B1123" t="str">
        <f>"1578725972326891"</f>
        <v>1578725972326891</v>
      </c>
      <c r="C1123" t="s">
        <v>40</v>
      </c>
      <c r="D1123">
        <v>4.063771</v>
      </c>
      <c r="E1123">
        <v>0.59254960000000001</v>
      </c>
      <c r="F1123" t="s">
        <v>48</v>
      </c>
      <c r="G1123">
        <v>-168.98259999999999</v>
      </c>
      <c r="H1123">
        <v>1.9169020000000001</v>
      </c>
      <c r="I1123">
        <v>340.68709999999999</v>
      </c>
      <c r="J1123">
        <v>-367.1216</v>
      </c>
      <c r="K1123">
        <v>1.1044769999999999</v>
      </c>
      <c r="L1123">
        <v>367.33179999999999</v>
      </c>
      <c r="M1123">
        <v>0.99989399999999995</v>
      </c>
      <c r="N1123">
        <v>0</v>
      </c>
      <c r="O1123">
        <v>8.9388469999999998E-3</v>
      </c>
      <c r="P1123">
        <v>0.99391379999999996</v>
      </c>
      <c r="Q1123">
        <v>2.2856890000000001E-2</v>
      </c>
      <c r="R1123">
        <v>0.10776280000000001</v>
      </c>
      <c r="S1123">
        <v>3.062408</v>
      </c>
      <c r="T1123">
        <v>1.254952E-2</v>
      </c>
      <c r="U1123">
        <v>-0.41156009999999998</v>
      </c>
      <c r="V1123">
        <v>-9.8872009999999996E-2</v>
      </c>
      <c r="W1123">
        <v>3.4304870000000001E-2</v>
      </c>
      <c r="X1123">
        <v>0.99450870000000002</v>
      </c>
      <c r="Y1123">
        <v>0.142046799999999</v>
      </c>
      <c r="Z1123">
        <v>3.2621910000000002E-4</v>
      </c>
      <c r="AA1123">
        <v>0.98985990000000001</v>
      </c>
      <c r="AB1123">
        <v>22</v>
      </c>
      <c r="AC1123">
        <v>198.13900000000001</v>
      </c>
      <c r="AD1123">
        <v>0.81242499999999995</v>
      </c>
      <c r="AE1123">
        <v>-26.6447</v>
      </c>
      <c r="AF1123">
        <v>28.414417304787801</v>
      </c>
      <c r="AG1123">
        <v>0.81242499999999995</v>
      </c>
      <c r="AH1123">
        <v>197.889626338158</v>
      </c>
      <c r="AI1123">
        <v>89.767164587978897</v>
      </c>
      <c r="AJ1123">
        <v>81.8289092471815</v>
      </c>
      <c r="AK1123">
        <v>199.920842728834</v>
      </c>
      <c r="AL1123">
        <v>88.034090067194995</v>
      </c>
      <c r="AM1123">
        <v>95.677572063614406</v>
      </c>
      <c r="AN1123">
        <v>1.0000000264214199</v>
      </c>
    </row>
    <row r="1124" spans="1:40" x14ac:dyDescent="0.3">
      <c r="A1124" t="str">
        <f>"20200111145932349"</f>
        <v>20200111145932349</v>
      </c>
      <c r="B1124" t="str">
        <f>"1578725972346411"</f>
        <v>1578725972346411</v>
      </c>
      <c r="C1124" t="s">
        <v>40</v>
      </c>
      <c r="D1124">
        <v>4.1320699999999997</v>
      </c>
      <c r="E1124">
        <v>0.59274879999999996</v>
      </c>
      <c r="F1124" t="s">
        <v>48</v>
      </c>
      <c r="G1124">
        <v>-168.98259999999999</v>
      </c>
      <c r="H1124">
        <v>1.9163429999999999</v>
      </c>
      <c r="I1124">
        <v>340.80579999999998</v>
      </c>
      <c r="J1124">
        <v>-367.01499999999999</v>
      </c>
      <c r="K1124">
        <v>1.1044780000000001</v>
      </c>
      <c r="L1124">
        <v>367.33280000000002</v>
      </c>
      <c r="M1124">
        <v>0.99989380000000005</v>
      </c>
      <c r="N1124">
        <v>0</v>
      </c>
      <c r="O1124">
        <v>8.9389180000000006E-3</v>
      </c>
      <c r="P1124">
        <v>0.99389090000000002</v>
      </c>
      <c r="Q1124">
        <v>2.2749129999999999E-2</v>
      </c>
      <c r="R1124">
        <v>0.1079972</v>
      </c>
      <c r="S1124">
        <v>3.0625610000000001</v>
      </c>
      <c r="T1124">
        <v>1.2548800000000001E-2</v>
      </c>
      <c r="U1124">
        <v>-0.41000370000000003</v>
      </c>
      <c r="V1124">
        <v>-9.9106589999999994E-2</v>
      </c>
      <c r="W1124">
        <v>3.4205270000000003E-2</v>
      </c>
      <c r="X1124">
        <v>0.99448879999999995</v>
      </c>
      <c r="Y1124">
        <v>0.14154620000000001</v>
      </c>
      <c r="Z1124">
        <v>3.251746E-4</v>
      </c>
      <c r="AA1124">
        <v>0.98993160000000002</v>
      </c>
      <c r="AB1124">
        <v>22</v>
      </c>
      <c r="AC1124">
        <v>198.0324</v>
      </c>
      <c r="AD1124">
        <v>0.81186499999999995</v>
      </c>
      <c r="AE1124">
        <v>-26.527000000000001</v>
      </c>
      <c r="AF1124">
        <v>28.295785496881901</v>
      </c>
      <c r="AG1124">
        <v>0.81186499999999995</v>
      </c>
      <c r="AH1124">
        <v>197.784082991947</v>
      </c>
      <c r="AI1124">
        <v>89.767183812012306</v>
      </c>
      <c r="AJ1124">
        <v>81.858282003207407</v>
      </c>
      <c r="AK1124">
        <v>199.79953475078199</v>
      </c>
      <c r="AL1124">
        <v>88.039800114195003</v>
      </c>
      <c r="AM1124">
        <v>95.6910672691466</v>
      </c>
      <c r="AN1124">
        <v>1.00000004500131</v>
      </c>
    </row>
    <row r="1125" spans="1:40" x14ac:dyDescent="0.3">
      <c r="A1125" t="str">
        <f>"20200111145932360"</f>
        <v>20200111145932360</v>
      </c>
      <c r="B1125" t="str">
        <f>"1578725972346411"</f>
        <v>1578725972346411</v>
      </c>
      <c r="C1125" t="s">
        <v>40</v>
      </c>
      <c r="D1125">
        <v>4.1320699999999997</v>
      </c>
      <c r="E1125">
        <v>0.59274879999999996</v>
      </c>
      <c r="F1125" t="s">
        <v>48</v>
      </c>
      <c r="G1125">
        <v>-168.98269999999999</v>
      </c>
      <c r="H1125">
        <v>2.1168420000000001</v>
      </c>
      <c r="I1125">
        <v>340.74439999999998</v>
      </c>
      <c r="J1125">
        <v>-366.90530000000001</v>
      </c>
      <c r="K1125">
        <v>1.1044780000000001</v>
      </c>
      <c r="L1125">
        <v>367.3338</v>
      </c>
      <c r="M1125">
        <v>0.99989380000000005</v>
      </c>
      <c r="N1125">
        <v>0</v>
      </c>
      <c r="O1125">
        <v>8.9388680000000009E-3</v>
      </c>
      <c r="P1125">
        <v>0.99386099999999999</v>
      </c>
      <c r="Q1125">
        <v>2.2800319999999999E-2</v>
      </c>
      <c r="R1125">
        <v>0.1082631</v>
      </c>
      <c r="S1125">
        <v>3.0628359999999999</v>
      </c>
      <c r="T1125">
        <v>1.565766E-2</v>
      </c>
      <c r="U1125">
        <v>-0.41122439999999999</v>
      </c>
      <c r="V1125">
        <v>-9.9372890000000005E-2</v>
      </c>
      <c r="W1125">
        <v>3.4264839999999998E-2</v>
      </c>
      <c r="X1125">
        <v>0.99446009999999996</v>
      </c>
      <c r="Y1125">
        <v>0.1419213</v>
      </c>
      <c r="Z1125">
        <v>4.0664040000000002E-4</v>
      </c>
      <c r="AA1125">
        <v>0.98987789999999998</v>
      </c>
      <c r="AB1125">
        <v>22</v>
      </c>
      <c r="AC1125">
        <v>197.92259999999999</v>
      </c>
      <c r="AD1125">
        <v>1.01236399999999</v>
      </c>
      <c r="AE1125">
        <v>-26.589400000000001</v>
      </c>
      <c r="AF1125">
        <v>28.356930009186801</v>
      </c>
      <c r="AG1125">
        <v>1.01236399999999</v>
      </c>
      <c r="AH1125">
        <v>197.671916621581</v>
      </c>
      <c r="AI1125">
        <v>89.709539369639202</v>
      </c>
      <c r="AJ1125">
        <v>81.836357783079706</v>
      </c>
      <c r="AK1125">
        <v>199.698089578402</v>
      </c>
      <c r="AL1125">
        <v>88.036384856523696</v>
      </c>
      <c r="AM1125">
        <v>95.706422012169696</v>
      </c>
      <c r="AN1125">
        <v>0.99999997050959299</v>
      </c>
    </row>
    <row r="1126" spans="1:40" x14ac:dyDescent="0.3">
      <c r="A1126" t="str">
        <f>"20200111145933476"</f>
        <v>20200111145933476</v>
      </c>
      <c r="B1126" t="str">
        <f>"1578725973467016"</f>
        <v>1578725973467016</v>
      </c>
      <c r="C1126" t="s">
        <v>40</v>
      </c>
      <c r="D1126">
        <v>4.4435739999999999</v>
      </c>
      <c r="E1126">
        <v>0.59274879999999996</v>
      </c>
      <c r="F1126" t="s">
        <v>48</v>
      </c>
      <c r="G1126">
        <v>-168.98269999999999</v>
      </c>
      <c r="H1126">
        <v>2.1375120000000001</v>
      </c>
      <c r="I1126">
        <v>340.82330000000002</v>
      </c>
      <c r="J1126">
        <v>-355.59089999999998</v>
      </c>
      <c r="K1126">
        <v>1.104481</v>
      </c>
      <c r="L1126">
        <v>367.43509999999998</v>
      </c>
      <c r="M1126">
        <v>0.99989340000000004</v>
      </c>
      <c r="N1126">
        <v>0</v>
      </c>
      <c r="O1126">
        <v>8.9478159999999904E-3</v>
      </c>
      <c r="P1126">
        <v>0.99368769999999995</v>
      </c>
      <c r="Q1126">
        <v>2.3355629999999999E-2</v>
      </c>
      <c r="R1126">
        <v>0.10972469999999999</v>
      </c>
      <c r="S1126">
        <v>3.0628359999999999</v>
      </c>
      <c r="T1126">
        <v>1.5986199999999999E-2</v>
      </c>
      <c r="U1126">
        <v>-0.4102478</v>
      </c>
      <c r="V1126">
        <v>-0.100827</v>
      </c>
      <c r="W1126">
        <v>3.4838130000000002E-2</v>
      </c>
      <c r="X1126">
        <v>0.99429380000000001</v>
      </c>
      <c r="Y1126">
        <v>0.1416201</v>
      </c>
      <c r="Z1126">
        <v>4.1444529999999999E-4</v>
      </c>
      <c r="AA1126">
        <v>0.98992100000000005</v>
      </c>
      <c r="AB1126">
        <v>23</v>
      </c>
      <c r="AC1126">
        <v>186.60820000000001</v>
      </c>
      <c r="AD1126">
        <v>1.033031</v>
      </c>
      <c r="AE1126">
        <v>-26.611799999999899</v>
      </c>
      <c r="AF1126">
        <v>28.279732141864098</v>
      </c>
      <c r="AG1126">
        <v>1.033031</v>
      </c>
      <c r="AH1126">
        <v>186.35699811523301</v>
      </c>
      <c r="AI1126">
        <v>89.685990968708893</v>
      </c>
      <c r="AJ1126">
        <v>81.371181083584801</v>
      </c>
      <c r="AK1126">
        <v>188.49334510688601</v>
      </c>
      <c r="AL1126">
        <v>88.003518132506898</v>
      </c>
      <c r="AM1126">
        <v>95.790321880333394</v>
      </c>
      <c r="AN1126">
        <v>0.999999969974668</v>
      </c>
    </row>
    <row r="1127" spans="1:40" x14ac:dyDescent="0.3">
      <c r="A1127" t="str">
        <f>"20200111145933488"</f>
        <v>20200111145933488</v>
      </c>
      <c r="B1127" t="str">
        <f>"1578725973476776"</f>
        <v>1578725973476776</v>
      </c>
      <c r="C1127" t="s">
        <v>40</v>
      </c>
      <c r="D1127">
        <v>4.4082150000000002</v>
      </c>
      <c r="E1127">
        <v>0.53304379999999996</v>
      </c>
      <c r="F1127" t="s">
        <v>48</v>
      </c>
      <c r="G1127">
        <v>-168.38229999999999</v>
      </c>
      <c r="H1127">
        <v>2.3331050000000002</v>
      </c>
      <c r="I1127">
        <v>342.64389999999997</v>
      </c>
      <c r="J1127">
        <v>-355.47890000000001</v>
      </c>
      <c r="K1127">
        <v>1.104481</v>
      </c>
      <c r="L1127">
        <v>367.43610000000001</v>
      </c>
      <c r="M1127">
        <v>0.99989340000000004</v>
      </c>
      <c r="N1127">
        <v>0</v>
      </c>
      <c r="O1127">
        <v>8.9479739999999992E-3</v>
      </c>
      <c r="P1127">
        <v>0.9936895</v>
      </c>
      <c r="Q1127">
        <v>2.295662E-2</v>
      </c>
      <c r="R1127">
        <v>0.1097921</v>
      </c>
      <c r="S1127">
        <v>3.0633849999999998</v>
      </c>
      <c r="T1127">
        <v>2.0104650000000002E-2</v>
      </c>
      <c r="U1127">
        <v>-0.40567019999999998</v>
      </c>
      <c r="V1127">
        <v>-0.10089430000000001</v>
      </c>
      <c r="W1127">
        <v>3.4442590000000002E-2</v>
      </c>
      <c r="X1127">
        <v>0.99430079999999998</v>
      </c>
      <c r="Y1127">
        <v>0.14014209999999999</v>
      </c>
      <c r="Z1127">
        <v>5.163454E-4</v>
      </c>
      <c r="AA1127">
        <v>0.99013130000000005</v>
      </c>
      <c r="AB1127">
        <v>23</v>
      </c>
      <c r="AC1127">
        <v>187.0966</v>
      </c>
      <c r="AD1127">
        <v>1.2286239999999899</v>
      </c>
      <c r="AE1127">
        <v>-24.792200000000001</v>
      </c>
      <c r="AF1127">
        <v>26.464332773345799</v>
      </c>
      <c r="AG1127">
        <v>1.2286239999999899</v>
      </c>
      <c r="AH1127">
        <v>186.85933522652101</v>
      </c>
      <c r="AI1127">
        <v>89.627000531340897</v>
      </c>
      <c r="AJ1127">
        <v>81.938980149725595</v>
      </c>
      <c r="AK1127">
        <v>188.72806253275999</v>
      </c>
      <c r="AL1127">
        <v>88.026194606895103</v>
      </c>
      <c r="AM1127">
        <v>95.794120002199804</v>
      </c>
      <c r="AN1127">
        <v>1.00000001632951</v>
      </c>
    </row>
    <row r="1128" spans="1:40" x14ac:dyDescent="0.3">
      <c r="A1128" t="str">
        <f>"20200111145933501"</f>
        <v>20200111145933501</v>
      </c>
      <c r="B1128" t="str">
        <f>"1578725973497271"</f>
        <v>1578725973497271</v>
      </c>
      <c r="C1128" t="s">
        <v>40</v>
      </c>
      <c r="D1128">
        <v>4.408074</v>
      </c>
      <c r="E1128">
        <v>0.52608809999999995</v>
      </c>
      <c r="F1128" t="s">
        <v>42</v>
      </c>
      <c r="G1128">
        <v>-275.8098</v>
      </c>
      <c r="H1128" s="1">
        <v>-1.847389E-6</v>
      </c>
      <c r="I1128">
        <v>369.23590000000002</v>
      </c>
      <c r="J1128">
        <v>-355.3492</v>
      </c>
      <c r="K1128">
        <v>1.1044769999999999</v>
      </c>
      <c r="L1128">
        <v>367.43729999999999</v>
      </c>
      <c r="M1128">
        <v>0.99989340000000004</v>
      </c>
      <c r="N1128">
        <v>0</v>
      </c>
      <c r="O1128">
        <v>8.9483089999999998E-3</v>
      </c>
      <c r="P1128">
        <v>0.99369560000000001</v>
      </c>
      <c r="Q1128">
        <v>2.2697970000000001E-2</v>
      </c>
      <c r="R1128">
        <v>0.1097914</v>
      </c>
      <c r="S1128">
        <v>3.012451</v>
      </c>
      <c r="T1128">
        <v>-4.1762710000000001E-2</v>
      </c>
      <c r="U1128">
        <v>6.8054199999999995E-2</v>
      </c>
      <c r="V1128">
        <v>-0.10089330000000001</v>
      </c>
      <c r="W1128">
        <v>3.4188589999999998E-2</v>
      </c>
      <c r="X1128">
        <v>0.99430969999999996</v>
      </c>
      <c r="Y1128">
        <v>-1.363723E-2</v>
      </c>
      <c r="Z1128" s="1">
        <v>-2.9523399999999999E-5</v>
      </c>
      <c r="AA1128">
        <v>0.99990699999999999</v>
      </c>
      <c r="AB1128">
        <v>23</v>
      </c>
      <c r="AC1128">
        <v>79.539400000000001</v>
      </c>
      <c r="AD1128">
        <v>-1.1044788473889999</v>
      </c>
      <c r="AE1128">
        <v>1.79860000000002</v>
      </c>
      <c r="AF1128">
        <v>-1.0865280777053901</v>
      </c>
      <c r="AG1128">
        <v>-1.1044788473889999</v>
      </c>
      <c r="AH1128">
        <v>79.536982147368605</v>
      </c>
      <c r="AI1128">
        <v>90.795504242508201</v>
      </c>
      <c r="AJ1128">
        <v>90.782649774684302</v>
      </c>
      <c r="AK1128">
        <v>79.552070657518399</v>
      </c>
      <c r="AL1128">
        <v>88.040756374092098</v>
      </c>
      <c r="AM1128">
        <v>95.794011455869494</v>
      </c>
      <c r="AN1128">
        <v>1.00000004859258</v>
      </c>
    </row>
    <row r="1129" spans="1:40" x14ac:dyDescent="0.3">
      <c r="A1129" t="str">
        <f>"20200111145933512"</f>
        <v>20200111145933512</v>
      </c>
      <c r="B1129" t="str">
        <f>"1578725973507032"</f>
        <v>1578725973507032</v>
      </c>
      <c r="C1129" t="s">
        <v>40</v>
      </c>
      <c r="D1129">
        <v>4.5257670000000001</v>
      </c>
      <c r="E1129">
        <v>0.52950269999999899</v>
      </c>
      <c r="F1129" t="s">
        <v>43</v>
      </c>
      <c r="G1129">
        <v>-300.23009999999999</v>
      </c>
      <c r="H1129">
        <v>-0.05</v>
      </c>
      <c r="I1129">
        <v>369.69060000000002</v>
      </c>
      <c r="J1129">
        <v>-355.22340000000003</v>
      </c>
      <c r="K1129">
        <v>1.1044750000000001</v>
      </c>
      <c r="L1129">
        <v>367.4384</v>
      </c>
      <c r="M1129">
        <v>0.99989329999999998</v>
      </c>
      <c r="N1129">
        <v>0</v>
      </c>
      <c r="O1129">
        <v>8.9482889999999999E-3</v>
      </c>
      <c r="P1129">
        <v>0.99372300000000002</v>
      </c>
      <c r="Q1129">
        <v>2.257926E-2</v>
      </c>
      <c r="R1129">
        <v>0.1095677</v>
      </c>
      <c r="S1129">
        <v>3.0068969999999999</v>
      </c>
      <c r="T1129">
        <v>-6.2979820000000006E-2</v>
      </c>
      <c r="U1129">
        <v>0.1229248</v>
      </c>
      <c r="V1129">
        <v>-0.10066899999999999</v>
      </c>
      <c r="W1129">
        <v>3.4073260000000001E-2</v>
      </c>
      <c r="X1129">
        <v>0.99433640000000001</v>
      </c>
      <c r="Y1129">
        <v>-3.1898759999999998E-2</v>
      </c>
      <c r="Z1129">
        <v>1.4655939999999999E-4</v>
      </c>
      <c r="AA1129">
        <v>0.99949109999999997</v>
      </c>
      <c r="AB1129">
        <v>23</v>
      </c>
      <c r="AC1129">
        <v>54.993299999999998</v>
      </c>
      <c r="AD1129">
        <v>-1.1544749999999999</v>
      </c>
      <c r="AE1129">
        <v>2.25220000000001</v>
      </c>
      <c r="AF1129">
        <v>-1.7592070742732699</v>
      </c>
      <c r="AG1129">
        <v>-1.1544749999999999</v>
      </c>
      <c r="AH1129">
        <v>54.987060053290797</v>
      </c>
      <c r="AI1129">
        <v>91.202155865300995</v>
      </c>
      <c r="AJ1129">
        <v>91.832445155723704</v>
      </c>
      <c r="AK1129">
        <v>55.0273059067951</v>
      </c>
      <c r="AL1129">
        <v>88.047368161708405</v>
      </c>
      <c r="AM1129">
        <v>95.781063712902693</v>
      </c>
      <c r="AN1129">
        <v>1.0000000554864901</v>
      </c>
    </row>
    <row r="1130" spans="1:40" x14ac:dyDescent="0.3">
      <c r="A1130" t="str">
        <f>"20200111145933524"</f>
        <v>20200111145933524</v>
      </c>
      <c r="B1130" t="str">
        <f>"1578725973516791"</f>
        <v>1578725973516791</v>
      </c>
      <c r="C1130" t="s">
        <v>40</v>
      </c>
      <c r="D1130">
        <v>4.5242199999999997</v>
      </c>
      <c r="E1130">
        <v>0.53069880000000003</v>
      </c>
      <c r="F1130" t="s">
        <v>43</v>
      </c>
      <c r="G1130">
        <v>-302.75240000000002</v>
      </c>
      <c r="H1130">
        <v>-0.05</v>
      </c>
      <c r="I1130">
        <v>369.10090000000002</v>
      </c>
      <c r="J1130">
        <v>-355.1053</v>
      </c>
      <c r="K1130">
        <v>1.104474</v>
      </c>
      <c r="L1130">
        <v>367.43950000000001</v>
      </c>
      <c r="M1130">
        <v>0.99989329999999998</v>
      </c>
      <c r="N1130">
        <v>0</v>
      </c>
      <c r="O1130">
        <v>8.9482699999999995E-3</v>
      </c>
      <c r="P1130">
        <v>0.993726</v>
      </c>
      <c r="Q1130">
        <v>2.230008E-2</v>
      </c>
      <c r="R1130">
        <v>0.1095969</v>
      </c>
      <c r="S1130">
        <v>3.009979</v>
      </c>
      <c r="T1130">
        <v>-6.6226010000000002E-2</v>
      </c>
      <c r="U1130">
        <v>9.5367430000000003E-2</v>
      </c>
      <c r="V1130">
        <v>-0.1006988</v>
      </c>
      <c r="W1130">
        <v>3.379733E-2</v>
      </c>
      <c r="X1130">
        <v>0.99434270000000002</v>
      </c>
      <c r="Y1130">
        <v>-2.2718889999999999E-2</v>
      </c>
      <c r="Z1130" s="1">
        <v>5.3027140000000002E-5</v>
      </c>
      <c r="AA1130">
        <v>0.99974189999999996</v>
      </c>
      <c r="AB1130">
        <v>23</v>
      </c>
      <c r="AC1130">
        <v>52.352899999999899</v>
      </c>
      <c r="AD1130">
        <v>-1.154474</v>
      </c>
      <c r="AE1130">
        <v>1.66140000000001</v>
      </c>
      <c r="AF1130">
        <v>-1.1922551722724599</v>
      </c>
      <c r="AG1130">
        <v>-1.154474</v>
      </c>
      <c r="AH1130">
        <v>52.340244904719498</v>
      </c>
      <c r="AI1130">
        <v>91.263246243463598</v>
      </c>
      <c r="AJ1130">
        <v>91.304911319614803</v>
      </c>
      <c r="AK1130">
        <v>52.366549621857899</v>
      </c>
      <c r="AL1130">
        <v>88.063186704498705</v>
      </c>
      <c r="AM1130">
        <v>95.782727034695895</v>
      </c>
      <c r="AN1130">
        <v>0.99999995643992801</v>
      </c>
    </row>
    <row r="1131" spans="1:40" x14ac:dyDescent="0.3">
      <c r="A1131" t="str">
        <f>"20200111145933535"</f>
        <v>20200111145933535</v>
      </c>
      <c r="B1131" t="str">
        <f>"1578725973526551"</f>
        <v>1578725973526551</v>
      </c>
      <c r="C1131" t="s">
        <v>40</v>
      </c>
      <c r="D1131">
        <v>4.3881959999999998</v>
      </c>
      <c r="E1131">
        <v>0.53154440000000003</v>
      </c>
      <c r="F1131" t="s">
        <v>44</v>
      </c>
      <c r="G1131">
        <v>-158.19499999999999</v>
      </c>
      <c r="H1131">
        <v>1.347308</v>
      </c>
      <c r="I1131">
        <v>373.04050000000001</v>
      </c>
      <c r="J1131">
        <v>-354.99459999999999</v>
      </c>
      <c r="K1131">
        <v>1.104473</v>
      </c>
      <c r="L1131">
        <v>367.44049999999999</v>
      </c>
      <c r="M1131">
        <v>0.99989329999999998</v>
      </c>
      <c r="N1131">
        <v>0</v>
      </c>
      <c r="O1131">
        <v>8.9484319999999992E-3</v>
      </c>
      <c r="P1131">
        <v>0.99370400000000003</v>
      </c>
      <c r="Q1131">
        <v>2.2373629999999999E-2</v>
      </c>
      <c r="R1131">
        <v>0.1097829</v>
      </c>
      <c r="S1131">
        <v>3.0094599999999998</v>
      </c>
      <c r="T1131">
        <v>3.7126540000000001E-3</v>
      </c>
      <c r="U1131">
        <v>8.560181E-2</v>
      </c>
      <c r="V1131">
        <v>-0.1008849</v>
      </c>
      <c r="W1131">
        <v>3.3873109999999998E-2</v>
      </c>
      <c r="X1131">
        <v>0.99432129999999996</v>
      </c>
      <c r="Y1131">
        <v>-1.948619E-2</v>
      </c>
      <c r="Z1131" s="1">
        <v>-9.7986780000000001E-7</v>
      </c>
      <c r="AA1131">
        <v>0.99981010000000003</v>
      </c>
      <c r="AB1131">
        <v>23</v>
      </c>
      <c r="AC1131">
        <v>196.7996</v>
      </c>
      <c r="AD1131">
        <v>0.242834999999999</v>
      </c>
      <c r="AE1131">
        <v>5.6000000000000201</v>
      </c>
      <c r="AF1131">
        <v>-3.8386046811341199</v>
      </c>
      <c r="AG1131">
        <v>0.242834999999999</v>
      </c>
      <c r="AH1131">
        <v>196.84153458265999</v>
      </c>
      <c r="AI1131">
        <v>89.929330114246298</v>
      </c>
      <c r="AJ1131">
        <v>91.117182786531501</v>
      </c>
      <c r="AK1131">
        <v>196.87910907862201</v>
      </c>
      <c r="AL1131">
        <v>88.058842425566496</v>
      </c>
      <c r="AM1131">
        <v>95.793465220574006</v>
      </c>
      <c r="AN1131">
        <v>0.99999999913138604</v>
      </c>
    </row>
    <row r="1132" spans="1:40" x14ac:dyDescent="0.3">
      <c r="A1132" t="str">
        <f>"20200111145933546"</f>
        <v>20200111145933546</v>
      </c>
      <c r="B1132" t="str">
        <f>"1578725973537288"</f>
        <v>1578725973537288</v>
      </c>
      <c r="C1132" t="s">
        <v>40</v>
      </c>
      <c r="D1132">
        <v>4.4623489999999997</v>
      </c>
      <c r="E1132">
        <v>0.53188440000000003</v>
      </c>
      <c r="F1132" t="s">
        <v>44</v>
      </c>
      <c r="G1132">
        <v>-158.19499999999999</v>
      </c>
      <c r="H1132">
        <v>4.4562229999999996</v>
      </c>
      <c r="I1132">
        <v>372.63990000000001</v>
      </c>
      <c r="J1132">
        <v>-354.88589999999999</v>
      </c>
      <c r="K1132">
        <v>1.104473</v>
      </c>
      <c r="L1132">
        <v>367.44150000000002</v>
      </c>
      <c r="M1132">
        <v>0.99989309999999998</v>
      </c>
      <c r="N1132">
        <v>0</v>
      </c>
      <c r="O1132">
        <v>8.948536E-3</v>
      </c>
      <c r="P1132">
        <v>0.99367000000000005</v>
      </c>
      <c r="Q1132">
        <v>2.227755E-2</v>
      </c>
      <c r="R1132">
        <v>0.1101086</v>
      </c>
      <c r="S1132">
        <v>3.009064</v>
      </c>
      <c r="T1132">
        <v>5.1249500000000003E-2</v>
      </c>
      <c r="U1132">
        <v>7.9498289999999999E-2</v>
      </c>
      <c r="V1132">
        <v>-0.10121049999999999</v>
      </c>
      <c r="W1132">
        <v>3.3779700000000003E-2</v>
      </c>
      <c r="X1132">
        <v>0.99429140000000005</v>
      </c>
      <c r="Y1132">
        <v>-1.746209E-2</v>
      </c>
      <c r="Z1132" s="1">
        <v>3.7074790000000001E-6</v>
      </c>
      <c r="AA1132">
        <v>0.9998475</v>
      </c>
      <c r="AB1132">
        <v>23</v>
      </c>
      <c r="AC1132">
        <v>196.6909</v>
      </c>
      <c r="AD1132">
        <v>3.35175</v>
      </c>
      <c r="AE1132">
        <v>5.1983999999999897</v>
      </c>
      <c r="AF1132">
        <v>-3.4369811968425501</v>
      </c>
      <c r="AG1132">
        <v>3.35175</v>
      </c>
      <c r="AH1132">
        <v>196.672473889076</v>
      </c>
      <c r="AI1132">
        <v>89.023792059092003</v>
      </c>
      <c r="AJ1132">
        <v>91.001179625164795</v>
      </c>
      <c r="AK1132">
        <v>196.73105767381799</v>
      </c>
      <c r="AL1132">
        <v>88.064197511469203</v>
      </c>
      <c r="AM1132">
        <v>95.812209065081603</v>
      </c>
      <c r="AN1132">
        <v>1.0000000107781499</v>
      </c>
    </row>
    <row r="1133" spans="1:40" x14ac:dyDescent="0.3">
      <c r="A1133" t="str">
        <f>"20200111145933557"</f>
        <v>20200111145933557</v>
      </c>
      <c r="B1133" t="str">
        <f>"1578725973546660"</f>
        <v>1578725973546660</v>
      </c>
      <c r="C1133" t="s">
        <v>40</v>
      </c>
      <c r="D1133">
        <v>4.4049100000000001</v>
      </c>
      <c r="E1133">
        <v>0.53212619999999999</v>
      </c>
      <c r="F1133" t="s">
        <v>44</v>
      </c>
      <c r="G1133">
        <v>-158.19499999999999</v>
      </c>
      <c r="H1133">
        <v>3.4350900000000002</v>
      </c>
      <c r="I1133">
        <v>372.50920000000002</v>
      </c>
      <c r="J1133">
        <v>-354.76769999999999</v>
      </c>
      <c r="K1133">
        <v>1.104473</v>
      </c>
      <c r="L1133">
        <v>367.4425</v>
      </c>
      <c r="M1133">
        <v>0.99989309999999998</v>
      </c>
      <c r="N1133">
        <v>0</v>
      </c>
      <c r="O1133">
        <v>8.9485199999999997E-3</v>
      </c>
      <c r="P1133">
        <v>0.99362680000000003</v>
      </c>
      <c r="Q1133">
        <v>2.2332330000000001E-2</v>
      </c>
      <c r="R1133">
        <v>0.1104863</v>
      </c>
      <c r="S1133">
        <v>3.0097049999999999</v>
      </c>
      <c r="T1133">
        <v>3.5663720000000003E-2</v>
      </c>
      <c r="U1133">
        <v>7.7545169999999997E-2</v>
      </c>
      <c r="V1133">
        <v>-0.1015886</v>
      </c>
      <c r="W1133">
        <v>3.3836409999999997E-2</v>
      </c>
      <c r="X1133">
        <v>0.99425090000000005</v>
      </c>
      <c r="Y1133">
        <v>-1.6808770000000001E-2</v>
      </c>
      <c r="Z1133" s="1">
        <v>6.4494740000000004E-6</v>
      </c>
      <c r="AA1133">
        <v>0.99985869999999999</v>
      </c>
      <c r="AB1133">
        <v>23</v>
      </c>
      <c r="AC1133">
        <v>196.5727</v>
      </c>
      <c r="AD1133">
        <v>2.3306169999999899</v>
      </c>
      <c r="AE1133">
        <v>5.0667000000000204</v>
      </c>
      <c r="AF1133">
        <v>-3.3068802140367701</v>
      </c>
      <c r="AG1133">
        <v>2.3306169999999899</v>
      </c>
      <c r="AH1133">
        <v>196.58255546952199</v>
      </c>
      <c r="AI1133">
        <v>89.320848308127694</v>
      </c>
      <c r="AJ1133">
        <v>90.963729515377196</v>
      </c>
      <c r="AK1133">
        <v>196.624180474524</v>
      </c>
      <c r="AL1133">
        <v>88.060946386918502</v>
      </c>
      <c r="AM1133">
        <v>95.834008704687903</v>
      </c>
      <c r="AN1133">
        <v>0.99999999922122895</v>
      </c>
    </row>
    <row r="1134" spans="1:40" x14ac:dyDescent="0.3">
      <c r="A1134" t="str">
        <f>"20200111145933569"</f>
        <v>20200111145933569</v>
      </c>
      <c r="B1134" t="str">
        <f>"1578725973556420"</f>
        <v>1578725973556420</v>
      </c>
      <c r="C1134" t="s">
        <v>40</v>
      </c>
      <c r="D1134">
        <v>4.3180940000000003</v>
      </c>
      <c r="E1134">
        <v>0.5311361</v>
      </c>
      <c r="F1134" t="s">
        <v>44</v>
      </c>
      <c r="G1134">
        <v>-158.19499999999999</v>
      </c>
      <c r="H1134">
        <v>1.8923700000000001</v>
      </c>
      <c r="I1134">
        <v>372.46620000000001</v>
      </c>
      <c r="J1134">
        <v>-354.65789999999998</v>
      </c>
      <c r="K1134">
        <v>1.104473</v>
      </c>
      <c r="L1134">
        <v>367.44349999999997</v>
      </c>
      <c r="M1134">
        <v>0.99989309999999998</v>
      </c>
      <c r="N1134">
        <v>0</v>
      </c>
      <c r="O1134">
        <v>8.9485069999999996E-3</v>
      </c>
      <c r="P1134">
        <v>0.99359509999999995</v>
      </c>
      <c r="Q1134">
        <v>2.2519339999999999E-2</v>
      </c>
      <c r="R1134">
        <v>0.1107332</v>
      </c>
      <c r="S1134">
        <v>3.0104060000000001</v>
      </c>
      <c r="T1134">
        <v>1.206756E-2</v>
      </c>
      <c r="U1134">
        <v>7.6934810000000006E-2</v>
      </c>
      <c r="V1134">
        <v>-0.10183540000000001</v>
      </c>
      <c r="W1134">
        <v>3.4025600000000003E-2</v>
      </c>
      <c r="X1134">
        <v>0.99421919999999997</v>
      </c>
      <c r="Y1134">
        <v>-1.660068E-2</v>
      </c>
      <c r="Z1134" s="1">
        <v>2.5988340000000001E-6</v>
      </c>
      <c r="AA1134">
        <v>0.99986220000000003</v>
      </c>
      <c r="AB1134">
        <v>23</v>
      </c>
      <c r="AC1134">
        <v>196.46289999999999</v>
      </c>
      <c r="AD1134">
        <v>0.78789699999999996</v>
      </c>
      <c r="AE1134">
        <v>5.0227000000000404</v>
      </c>
      <c r="AF1134">
        <v>-3.2642792198244401</v>
      </c>
      <c r="AG1134">
        <v>0.78789699999999996</v>
      </c>
      <c r="AH1134">
        <v>196.49682322989901</v>
      </c>
      <c r="AI1134">
        <v>89.770292962496498</v>
      </c>
      <c r="AJ1134">
        <v>90.9517315207449</v>
      </c>
      <c r="AK1134">
        <v>196.52551447572901</v>
      </c>
      <c r="AL1134">
        <v>88.050100362103095</v>
      </c>
      <c r="AM1134">
        <v>95.848268938539505</v>
      </c>
      <c r="AN1134">
        <v>1.0000000038985799</v>
      </c>
    </row>
    <row r="1135" spans="1:40" x14ac:dyDescent="0.3">
      <c r="A1135" t="str">
        <f>"20200111145933767"</f>
        <v>20200111145933767</v>
      </c>
      <c r="B1135" t="str">
        <f>"1578725973757109"</f>
        <v>1578725973757109</v>
      </c>
      <c r="C1135" t="s">
        <v>40</v>
      </c>
      <c r="D1135">
        <v>4.3459339999999997</v>
      </c>
      <c r="E1135">
        <v>0.53240880000000002</v>
      </c>
      <c r="F1135" t="s">
        <v>44</v>
      </c>
      <c r="G1135">
        <v>-158.19499999999999</v>
      </c>
      <c r="H1135">
        <v>2.30681</v>
      </c>
      <c r="I1135">
        <v>373.02190000000002</v>
      </c>
      <c r="J1135">
        <v>-352.6189</v>
      </c>
      <c r="K1135">
        <v>1.104481</v>
      </c>
      <c r="L1135">
        <v>367.46170000000001</v>
      </c>
      <c r="M1135">
        <v>0.99989269999999997</v>
      </c>
      <c r="N1135">
        <v>0</v>
      </c>
      <c r="O1135">
        <v>8.9495410000000001E-3</v>
      </c>
      <c r="P1135">
        <v>0.99361370000000004</v>
      </c>
      <c r="Q1135">
        <v>2.3534300000000001E-2</v>
      </c>
      <c r="R1135">
        <v>0.1103541</v>
      </c>
      <c r="S1135">
        <v>3.00943</v>
      </c>
      <c r="T1135">
        <v>1.8418790000000001E-2</v>
      </c>
      <c r="U1135">
        <v>8.5449220000000006E-2</v>
      </c>
      <c r="V1135">
        <v>-0.1014554</v>
      </c>
      <c r="W1135">
        <v>3.506687E-2</v>
      </c>
      <c r="X1135">
        <v>0.99422189999999999</v>
      </c>
      <c r="Y1135">
        <v>-1.943452E-2</v>
      </c>
      <c r="Z1135" s="1">
        <v>-4.6963320000000003E-6</v>
      </c>
      <c r="AA1135">
        <v>0.99981109999999895</v>
      </c>
      <c r="AB1135">
        <v>23</v>
      </c>
      <c r="AC1135">
        <v>194.4239</v>
      </c>
      <c r="AD1135">
        <v>1.202329</v>
      </c>
      <c r="AE1135">
        <v>5.5602</v>
      </c>
      <c r="AF1135">
        <v>-3.8197096527315302</v>
      </c>
      <c r="AG1135">
        <v>1.202329</v>
      </c>
      <c r="AH1135">
        <v>194.45844674139499</v>
      </c>
      <c r="AI1135">
        <v>89.645815262707501</v>
      </c>
      <c r="AJ1135">
        <v>91.125305199204604</v>
      </c>
      <c r="AK1135">
        <v>194.49967425662101</v>
      </c>
      <c r="AL1135">
        <v>87.990404413312802</v>
      </c>
      <c r="AM1135">
        <v>95.826580761242397</v>
      </c>
      <c r="AN1135">
        <v>1.0000000350001801</v>
      </c>
    </row>
    <row r="1136" spans="1:40" x14ac:dyDescent="0.3">
      <c r="A1136" t="str">
        <f>"20200111145933777"</f>
        <v>20200111145933777</v>
      </c>
      <c r="B1136" t="str">
        <f>"1578725973766869"</f>
        <v>1578725973766869</v>
      </c>
      <c r="C1136" t="s">
        <v>40</v>
      </c>
      <c r="D1136">
        <v>4.3191189999999997</v>
      </c>
      <c r="E1136">
        <v>0.611525599999999</v>
      </c>
      <c r="F1136" t="s">
        <v>44</v>
      </c>
      <c r="G1136">
        <v>-158.19499999999999</v>
      </c>
      <c r="H1136">
        <v>4.2134219999999996</v>
      </c>
      <c r="I1136">
        <v>372.26769999999999</v>
      </c>
      <c r="J1136">
        <v>-352.5104</v>
      </c>
      <c r="K1136">
        <v>1.104481</v>
      </c>
      <c r="L1136">
        <v>367.46260000000001</v>
      </c>
      <c r="M1136">
        <v>0.99989280000000003</v>
      </c>
      <c r="N1136">
        <v>0</v>
      </c>
      <c r="O1136">
        <v>8.9495359999999993E-3</v>
      </c>
      <c r="P1136">
        <v>0.9936159</v>
      </c>
      <c r="Q1136">
        <v>2.384909E-2</v>
      </c>
      <c r="R1136">
        <v>0.1102678</v>
      </c>
      <c r="S1136">
        <v>3.0098569999999998</v>
      </c>
      <c r="T1136">
        <v>4.8130510000000001E-2</v>
      </c>
      <c r="U1136">
        <v>7.440186E-2</v>
      </c>
      <c r="V1136">
        <v>-0.1013689</v>
      </c>
      <c r="W1136">
        <v>3.5382339999999998E-2</v>
      </c>
      <c r="X1136">
        <v>0.99421950000000003</v>
      </c>
      <c r="Y1136">
        <v>-1.576259E-2</v>
      </c>
      <c r="Z1136" s="1">
        <v>1.708277E-5</v>
      </c>
      <c r="AA1136">
        <v>0.99987579999999998</v>
      </c>
      <c r="AB1136">
        <v>23</v>
      </c>
      <c r="AC1136">
        <v>194.31540000000001</v>
      </c>
      <c r="AD1136">
        <v>3.1089410000000002</v>
      </c>
      <c r="AE1136">
        <v>4.8050999999999799</v>
      </c>
      <c r="AF1136">
        <v>-3.0649739888051299</v>
      </c>
      <c r="AG1136">
        <v>3.1089410000000002</v>
      </c>
      <c r="AH1136">
        <v>194.30091606804299</v>
      </c>
      <c r="AI1136">
        <v>89.083422506681799</v>
      </c>
      <c r="AJ1136">
        <v>90.903729708948902</v>
      </c>
      <c r="AK1136">
        <v>194.349956430595</v>
      </c>
      <c r="AL1136">
        <v>87.972317997055896</v>
      </c>
      <c r="AM1136">
        <v>95.821661160069894</v>
      </c>
      <c r="AN1136">
        <v>0.999999989025667</v>
      </c>
    </row>
    <row r="1137" spans="1:40" x14ac:dyDescent="0.3">
      <c r="A1137" t="str">
        <f>"20200111145933789"</f>
        <v>20200111145933789</v>
      </c>
      <c r="B1137" t="str">
        <f>"1578725973786389"</f>
        <v>1578725973786389</v>
      </c>
      <c r="C1137" t="s">
        <v>40</v>
      </c>
      <c r="D1137">
        <v>4.3187600000000002</v>
      </c>
      <c r="E1137">
        <v>0.61150130000000003</v>
      </c>
      <c r="F1137" t="s">
        <v>48</v>
      </c>
      <c r="G1137">
        <v>-168.98660000000001</v>
      </c>
      <c r="H1137">
        <v>13.942349999999999</v>
      </c>
      <c r="I1137">
        <v>334.41480000000001</v>
      </c>
      <c r="J1137">
        <v>-352.3947</v>
      </c>
      <c r="K1137">
        <v>1.104482</v>
      </c>
      <c r="L1137">
        <v>367.46370000000002</v>
      </c>
      <c r="M1137">
        <v>0.99989280000000003</v>
      </c>
      <c r="N1137">
        <v>0</v>
      </c>
      <c r="O1137">
        <v>8.9495300000000007E-3</v>
      </c>
      <c r="P1137">
        <v>0.99363440000000003</v>
      </c>
      <c r="Q1137">
        <v>2.368338E-2</v>
      </c>
      <c r="R1137">
        <v>0.1101364</v>
      </c>
      <c r="S1137">
        <v>3.0755919999999999</v>
      </c>
      <c r="T1137">
        <v>0.21514420000000001</v>
      </c>
      <c r="U1137">
        <v>-0.55383300000000002</v>
      </c>
      <c r="V1137">
        <v>-0.1012377</v>
      </c>
      <c r="W1137">
        <v>3.5217940000000003E-2</v>
      </c>
      <c r="X1137">
        <v>0.99423870000000003</v>
      </c>
      <c r="Y1137">
        <v>0.18556400000000001</v>
      </c>
      <c r="Z1137">
        <v>7.0513099999999999E-3</v>
      </c>
      <c r="AA1137">
        <v>0.98260689999999995</v>
      </c>
      <c r="AB1137">
        <v>23</v>
      </c>
      <c r="AC1137">
        <v>183.40809999999999</v>
      </c>
      <c r="AD1137">
        <v>12.837867999999901</v>
      </c>
      <c r="AE1137">
        <v>-33.048900000000003</v>
      </c>
      <c r="AF1137">
        <v>34.525267098534798</v>
      </c>
      <c r="AG1137">
        <v>12.837867999999901</v>
      </c>
      <c r="AH1137">
        <v>182.24016207874601</v>
      </c>
      <c r="AI1137">
        <v>86.040664129193402</v>
      </c>
      <c r="AJ1137">
        <v>79.272490627775895</v>
      </c>
      <c r="AK1137">
        <v>185.92547323456799</v>
      </c>
      <c r="AL1137">
        <v>87.981743287212893</v>
      </c>
      <c r="AM1137">
        <v>95.814066429141207</v>
      </c>
      <c r="AN1137">
        <v>0.99999998388841105</v>
      </c>
    </row>
    <row r="1138" spans="1:40" x14ac:dyDescent="0.3">
      <c r="A1138" t="str">
        <f>"20200111145933802"</f>
        <v>20200111145933802</v>
      </c>
      <c r="B1138" t="str">
        <f>"1578725973797124"</f>
        <v>1578725973797124</v>
      </c>
      <c r="C1138" t="s">
        <v>40</v>
      </c>
      <c r="D1138">
        <v>4.2908210000000002</v>
      </c>
      <c r="E1138">
        <v>0.61180599999999996</v>
      </c>
      <c r="F1138" t="s">
        <v>48</v>
      </c>
      <c r="G1138">
        <v>-168.98500000000001</v>
      </c>
      <c r="H1138">
        <v>9.0616850000000007</v>
      </c>
      <c r="I1138">
        <v>334.4699</v>
      </c>
      <c r="J1138">
        <v>-352.27350000000001</v>
      </c>
      <c r="K1138">
        <v>1.104481</v>
      </c>
      <c r="L1138">
        <v>367.46480000000003</v>
      </c>
      <c r="M1138">
        <v>0.99989280000000003</v>
      </c>
      <c r="N1138">
        <v>0</v>
      </c>
      <c r="O1138">
        <v>8.9495249999999998E-3</v>
      </c>
      <c r="P1138">
        <v>0.99364189999999997</v>
      </c>
      <c r="Q1138">
        <v>2.3660649999999998E-2</v>
      </c>
      <c r="R1138">
        <v>0.1100724</v>
      </c>
      <c r="S1138">
        <v>3.0773619999999999</v>
      </c>
      <c r="T1138">
        <v>0.13351089999999999</v>
      </c>
      <c r="U1138">
        <v>-0.55358890000000005</v>
      </c>
      <c r="V1138">
        <v>-0.10117279999999999</v>
      </c>
      <c r="W1138">
        <v>3.519601E-2</v>
      </c>
      <c r="X1138">
        <v>0.99424610000000002</v>
      </c>
      <c r="Y1138">
        <v>0.18567310000000001</v>
      </c>
      <c r="Z1138">
        <v>4.3789049999999998E-3</v>
      </c>
      <c r="AA1138">
        <v>0.98260179999999997</v>
      </c>
      <c r="AB1138">
        <v>23</v>
      </c>
      <c r="AC1138">
        <v>183.2885</v>
      </c>
      <c r="AD1138">
        <v>7.9572039999999999</v>
      </c>
      <c r="AE1138">
        <v>-32.994900000000001</v>
      </c>
      <c r="AF1138">
        <v>34.5709217464399</v>
      </c>
      <c r="AG1138">
        <v>7.9572039999999999</v>
      </c>
      <c r="AH1138">
        <v>182.652404214586</v>
      </c>
      <c r="AI1138">
        <v>87.548963588150201</v>
      </c>
      <c r="AJ1138">
        <v>79.282315706568397</v>
      </c>
      <c r="AK1138">
        <v>186.06548979126899</v>
      </c>
      <c r="AL1138">
        <v>87.983000597608594</v>
      </c>
      <c r="AM1138">
        <v>95.810321791119605</v>
      </c>
      <c r="AN1138">
        <v>1.0000000009724801</v>
      </c>
    </row>
    <row r="1139" spans="1:40" x14ac:dyDescent="0.3">
      <c r="A1139" t="str">
        <f>"20200111145933812"</f>
        <v>20200111145933812</v>
      </c>
      <c r="B1139" t="str">
        <f>"1578725973806884"</f>
        <v>1578725973806884</v>
      </c>
      <c r="C1139" t="s">
        <v>40</v>
      </c>
      <c r="D1139">
        <v>4.3231010000000003</v>
      </c>
      <c r="E1139">
        <v>0.61193569999999997</v>
      </c>
      <c r="F1139" t="s">
        <v>48</v>
      </c>
      <c r="G1139">
        <v>-169.6943</v>
      </c>
      <c r="H1139">
        <v>7.8659189999999999</v>
      </c>
      <c r="I1139">
        <v>334.48849999999999</v>
      </c>
      <c r="J1139">
        <v>-352.15839999999997</v>
      </c>
      <c r="K1139">
        <v>1.1044780000000001</v>
      </c>
      <c r="L1139">
        <v>367.4658</v>
      </c>
      <c r="M1139">
        <v>0.99989280000000003</v>
      </c>
      <c r="N1139">
        <v>0</v>
      </c>
      <c r="O1139">
        <v>8.9496990000000002E-3</v>
      </c>
      <c r="P1139">
        <v>0.99367419999999995</v>
      </c>
      <c r="Q1139">
        <v>2.3515109999999999E-2</v>
      </c>
      <c r="R1139">
        <v>0.1098128</v>
      </c>
      <c r="S1139">
        <v>3.0780639999999999</v>
      </c>
      <c r="T1139">
        <v>0.1139897</v>
      </c>
      <c r="U1139">
        <v>-0.55593870000000001</v>
      </c>
      <c r="V1139">
        <v>-0.1009135</v>
      </c>
      <c r="W1139">
        <v>3.5051619999999999E-2</v>
      </c>
      <c r="X1139">
        <v>0.99427750000000004</v>
      </c>
      <c r="Y1139">
        <v>0.1864084</v>
      </c>
      <c r="Z1139">
        <v>3.7515270000000002E-3</v>
      </c>
      <c r="AA1139">
        <v>0.98246520000000004</v>
      </c>
      <c r="AB1139">
        <v>23</v>
      </c>
      <c r="AC1139">
        <v>182.4641</v>
      </c>
      <c r="AD1139">
        <v>6.7614409999999996</v>
      </c>
      <c r="AE1139">
        <v>-32.9773</v>
      </c>
      <c r="AF1139">
        <v>34.563127805094602</v>
      </c>
      <c r="AG1139">
        <v>6.7614409999999996</v>
      </c>
      <c r="AH1139">
        <v>181.919730055239</v>
      </c>
      <c r="AI1139">
        <v>87.908831320857601</v>
      </c>
      <c r="AJ1139">
        <v>79.242525630865302</v>
      </c>
      <c r="AK1139">
        <v>185.29736930523001</v>
      </c>
      <c r="AL1139">
        <v>87.991278538136896</v>
      </c>
      <c r="AM1139">
        <v>95.795349989842506</v>
      </c>
      <c r="AN1139">
        <v>0.99999994877656095</v>
      </c>
    </row>
    <row r="1140" spans="1:40" x14ac:dyDescent="0.3">
      <c r="A1140" t="str">
        <f>"20200111145933824"</f>
        <v>20200111145933824</v>
      </c>
      <c r="B1140" t="str">
        <f>"1578725973816643"</f>
        <v>1578725973816643</v>
      </c>
      <c r="C1140" t="s">
        <v>40</v>
      </c>
      <c r="D1140">
        <v>4.3034509999999999</v>
      </c>
      <c r="E1140">
        <v>0.61239489999999996</v>
      </c>
      <c r="F1140" t="s">
        <v>48</v>
      </c>
      <c r="G1140">
        <v>-169.69409999999999</v>
      </c>
      <c r="H1140">
        <v>7.2247789999999901</v>
      </c>
      <c r="I1140">
        <v>334.39530000000002</v>
      </c>
      <c r="J1140">
        <v>-352.0394</v>
      </c>
      <c r="K1140">
        <v>1.1044780000000001</v>
      </c>
      <c r="L1140">
        <v>367.46679999999998</v>
      </c>
      <c r="M1140">
        <v>0.99989269999999997</v>
      </c>
      <c r="N1140">
        <v>0</v>
      </c>
      <c r="O1140">
        <v>8.9498730000000006E-3</v>
      </c>
      <c r="P1140">
        <v>0.9936952</v>
      </c>
      <c r="Q1140">
        <v>2.3489280000000001E-2</v>
      </c>
      <c r="R1140">
        <v>0.1096275</v>
      </c>
      <c r="S1140">
        <v>3.0783079999999998</v>
      </c>
      <c r="T1140">
        <v>0.1032541</v>
      </c>
      <c r="U1140">
        <v>-0.55792240000000004</v>
      </c>
      <c r="V1140">
        <v>-0.10072780000000001</v>
      </c>
      <c r="W1140">
        <v>3.5026839999999997E-2</v>
      </c>
      <c r="X1140">
        <v>0.99429730000000005</v>
      </c>
      <c r="Y1140">
        <v>0.1870308</v>
      </c>
      <c r="Z1140">
        <v>3.4083099999999999E-3</v>
      </c>
      <c r="AA1140">
        <v>0.98234809999999995</v>
      </c>
      <c r="AB1140">
        <v>23</v>
      </c>
      <c r="AC1140">
        <v>182.34530000000001</v>
      </c>
      <c r="AD1140">
        <v>6.1203009999999898</v>
      </c>
      <c r="AE1140">
        <v>-33.071499999999901</v>
      </c>
      <c r="AF1140">
        <v>34.664444207543099</v>
      </c>
      <c r="AG1140">
        <v>6.1203009999999898</v>
      </c>
      <c r="AH1140">
        <v>181.843655569091</v>
      </c>
      <c r="AI1140">
        <v>88.106400237135503</v>
      </c>
      <c r="AJ1140">
        <v>79.207323492640597</v>
      </c>
      <c r="AK1140">
        <v>185.21932093407099</v>
      </c>
      <c r="AL1140">
        <v>87.992699393229998</v>
      </c>
      <c r="AM1140">
        <v>95.7846434229306</v>
      </c>
      <c r="AN1140">
        <v>1.00000004500025</v>
      </c>
    </row>
    <row r="1141" spans="1:40" x14ac:dyDescent="0.3">
      <c r="A1141" t="str">
        <f>"20200111145933835"</f>
        <v>20200111145933835</v>
      </c>
      <c r="B1141" t="str">
        <f>"1578725973826404"</f>
        <v>1578725973826404</v>
      </c>
      <c r="C1141" t="s">
        <v>40</v>
      </c>
      <c r="D1141">
        <v>4.2798410000000002</v>
      </c>
      <c r="E1141">
        <v>0.61261589999999999</v>
      </c>
      <c r="F1141" t="s">
        <v>49</v>
      </c>
      <c r="G1141">
        <v>-238.27940000000001</v>
      </c>
      <c r="H1141">
        <v>4.4661030000000004</v>
      </c>
      <c r="I1141">
        <v>346.69940000000003</v>
      </c>
      <c r="J1141">
        <v>-351.92649999999998</v>
      </c>
      <c r="K1141">
        <v>1.1044769999999999</v>
      </c>
      <c r="L1141">
        <v>367.46789999999999</v>
      </c>
      <c r="M1141">
        <v>0.99989269999999997</v>
      </c>
      <c r="N1141">
        <v>0</v>
      </c>
      <c r="O1141">
        <v>8.9500480000000004E-3</v>
      </c>
      <c r="P1141">
        <v>0.99373250000000002</v>
      </c>
      <c r="Q1141">
        <v>2.3599390000000001E-2</v>
      </c>
      <c r="R1141">
        <v>0.1092655</v>
      </c>
      <c r="S1141">
        <v>3.0789179999999998</v>
      </c>
      <c r="T1141">
        <v>9.0984579999999995E-2</v>
      </c>
      <c r="U1141">
        <v>-0.56207280000000004</v>
      </c>
      <c r="V1141">
        <v>-0.1003656</v>
      </c>
      <c r="W1141">
        <v>3.5137880000000003E-2</v>
      </c>
      <c r="X1141">
        <v>0.99433000000000005</v>
      </c>
      <c r="Y1141">
        <v>0.18830189999999999</v>
      </c>
      <c r="Z1141">
        <v>3.0211750000000001E-3</v>
      </c>
      <c r="AA1141">
        <v>0.98210660000000005</v>
      </c>
      <c r="AB1141">
        <v>23</v>
      </c>
      <c r="AC1141">
        <v>113.647099999999</v>
      </c>
      <c r="AD1141">
        <v>3.3616259999999998</v>
      </c>
      <c r="AE1141">
        <v>-20.7684999999999</v>
      </c>
      <c r="AF1141">
        <v>21.766454407781499</v>
      </c>
      <c r="AG1141">
        <v>3.3616259999999998</v>
      </c>
      <c r="AH1141">
        <v>113.36067662823299</v>
      </c>
      <c r="AI1141">
        <v>88.3318883571839</v>
      </c>
      <c r="AJ1141">
        <v>79.130887518555895</v>
      </c>
      <c r="AK1141">
        <v>115.480396918528</v>
      </c>
      <c r="AL1141">
        <v>87.986333334428807</v>
      </c>
      <c r="AM1141">
        <v>95.763794857613604</v>
      </c>
      <c r="AN1141">
        <v>1.00000003658712</v>
      </c>
    </row>
    <row r="1142" spans="1:40" x14ac:dyDescent="0.3">
      <c r="A1142" t="str">
        <f>"20200111145933845"</f>
        <v>20200111145933845</v>
      </c>
      <c r="B1142" t="str">
        <f>"1578725973837140"</f>
        <v>1578725973837140</v>
      </c>
      <c r="C1142" t="s">
        <v>40</v>
      </c>
      <c r="D1142">
        <v>4.2915710000000002</v>
      </c>
      <c r="E1142">
        <v>0.61364629999999998</v>
      </c>
      <c r="F1142" t="s">
        <v>50</v>
      </c>
      <c r="G1142">
        <v>-243.3323</v>
      </c>
      <c r="H1142">
        <v>3.9674800000000001</v>
      </c>
      <c r="I1142">
        <v>347.53199999999998</v>
      </c>
      <c r="J1142">
        <v>-351.81610000000001</v>
      </c>
      <c r="K1142">
        <v>1.104474</v>
      </c>
      <c r="L1142">
        <v>367.46890000000002</v>
      </c>
      <c r="M1142">
        <v>0.99989280000000003</v>
      </c>
      <c r="N1142">
        <v>0</v>
      </c>
      <c r="O1142">
        <v>8.9500440000000007E-3</v>
      </c>
      <c r="P1142">
        <v>0.99377269999999895</v>
      </c>
      <c r="Q1142">
        <v>2.3420650000000001E-2</v>
      </c>
      <c r="R1142">
        <v>0.1089372</v>
      </c>
      <c r="S1142">
        <v>3.0791629999999999</v>
      </c>
      <c r="T1142">
        <v>8.1181530000000002E-2</v>
      </c>
      <c r="U1142">
        <v>-0.56527709999999998</v>
      </c>
      <c r="V1142">
        <v>-0.10003620000000001</v>
      </c>
      <c r="W1142">
        <v>3.4960119999999997E-2</v>
      </c>
      <c r="X1142">
        <v>0.99436939999999996</v>
      </c>
      <c r="Y1142">
        <v>0.18929360000000001</v>
      </c>
      <c r="Z1142">
        <v>2.7082809999999999E-3</v>
      </c>
      <c r="AA1142">
        <v>0.98191680000000003</v>
      </c>
      <c r="AB1142">
        <v>23</v>
      </c>
      <c r="AC1142">
        <v>108.4838</v>
      </c>
      <c r="AD1142">
        <v>2.8630059999999999</v>
      </c>
      <c r="AE1142">
        <v>-19.936900000000001</v>
      </c>
      <c r="AF1142">
        <v>20.893024992308799</v>
      </c>
      <c r="AG1142">
        <v>2.8630059999999999</v>
      </c>
      <c r="AH1142">
        <v>108.228089221586</v>
      </c>
      <c r="AI1142">
        <v>88.512140183638493</v>
      </c>
      <c r="AJ1142">
        <v>79.073672346980103</v>
      </c>
      <c r="AK1142">
        <v>110.263478057065</v>
      </c>
      <c r="AL1142">
        <v>87.996524374863199</v>
      </c>
      <c r="AM1142">
        <v>95.744778708072403</v>
      </c>
      <c r="AN1142">
        <v>0.99999997747860603</v>
      </c>
    </row>
    <row r="1143" spans="1:40" x14ac:dyDescent="0.3">
      <c r="A1143" t="str">
        <f>"20200111145933856"</f>
        <v>20200111145933856</v>
      </c>
      <c r="B1143" t="str">
        <f>"1578725973846901"</f>
        <v>1578725973846901</v>
      </c>
      <c r="C1143" t="s">
        <v>40</v>
      </c>
      <c r="D1143">
        <v>4.356954</v>
      </c>
      <c r="E1143">
        <v>0.61354049999999904</v>
      </c>
      <c r="F1143" t="s">
        <v>50</v>
      </c>
      <c r="G1143">
        <v>-244.0324</v>
      </c>
      <c r="H1143">
        <v>3.9538289999999998</v>
      </c>
      <c r="I1143">
        <v>347.37119999999999</v>
      </c>
      <c r="J1143">
        <v>-351.70260000000002</v>
      </c>
      <c r="K1143">
        <v>1.104473</v>
      </c>
      <c r="L1143">
        <v>367.46980000000002</v>
      </c>
      <c r="M1143">
        <v>0.99989269999999997</v>
      </c>
      <c r="N1143">
        <v>0</v>
      </c>
      <c r="O1143">
        <v>8.9501589999999992E-3</v>
      </c>
      <c r="P1143">
        <v>0.99380480000000004</v>
      </c>
      <c r="Q1143">
        <v>2.3272910000000001E-2</v>
      </c>
      <c r="R1143">
        <v>0.10867590000000001</v>
      </c>
      <c r="S1143">
        <v>3.0798649999999999</v>
      </c>
      <c r="T1143">
        <v>8.1421019999999997E-2</v>
      </c>
      <c r="U1143">
        <v>-0.57427980000000001</v>
      </c>
      <c r="V1143">
        <v>-9.977453E-2</v>
      </c>
      <c r="W1143">
        <v>3.4813829999999997E-2</v>
      </c>
      <c r="X1143">
        <v>0.99440090000000003</v>
      </c>
      <c r="Y1143">
        <v>0.19202720000000001</v>
      </c>
      <c r="Z1143">
        <v>2.7507650000000001E-3</v>
      </c>
      <c r="AA1143">
        <v>0.98138579999999997</v>
      </c>
      <c r="AB1143">
        <v>23</v>
      </c>
      <c r="AC1143">
        <v>107.67019999999999</v>
      </c>
      <c r="AD1143">
        <v>2.8493560000000002</v>
      </c>
      <c r="AE1143">
        <v>-20.098600000000001</v>
      </c>
      <c r="AF1143">
        <v>21.047281378642602</v>
      </c>
      <c r="AG1143">
        <v>2.8493560000000002</v>
      </c>
      <c r="AH1143">
        <v>107.413297341096</v>
      </c>
      <c r="AI1143">
        <v>88.508813693067694</v>
      </c>
      <c r="AJ1143">
        <v>78.913545264313598</v>
      </c>
      <c r="AK1143">
        <v>109.49302867641001</v>
      </c>
      <c r="AL1143">
        <v>88.004911434296403</v>
      </c>
      <c r="AM1143">
        <v>95.729671605026198</v>
      </c>
      <c r="AN1143">
        <v>1.00000005475839</v>
      </c>
    </row>
    <row r="1144" spans="1:40" x14ac:dyDescent="0.3">
      <c r="A1144" t="str">
        <f>"20200111145933868"</f>
        <v>20200111145933868</v>
      </c>
      <c r="B1144" t="str">
        <f>"1578725973856661"</f>
        <v>1578725973856661</v>
      </c>
      <c r="C1144" t="s">
        <v>40</v>
      </c>
      <c r="D1144">
        <v>4.2945310000000001</v>
      </c>
      <c r="E1144">
        <v>0.61372130000000003</v>
      </c>
      <c r="F1144" t="s">
        <v>50</v>
      </c>
      <c r="G1144">
        <v>-244.0324</v>
      </c>
      <c r="H1144">
        <v>3.9171179999999999</v>
      </c>
      <c r="I1144">
        <v>347.40460000000002</v>
      </c>
      <c r="J1144">
        <v>-351.5908</v>
      </c>
      <c r="K1144">
        <v>1.1044719999999999</v>
      </c>
      <c r="L1144">
        <v>367.4708</v>
      </c>
      <c r="M1144">
        <v>0.99989269999999997</v>
      </c>
      <c r="N1144">
        <v>0</v>
      </c>
      <c r="O1144">
        <v>8.9503340000000008E-3</v>
      </c>
      <c r="P1144">
        <v>0.99383500000000002</v>
      </c>
      <c r="Q1144">
        <v>2.3011730000000001E-2</v>
      </c>
      <c r="R1144">
        <v>0.1084543</v>
      </c>
      <c r="S1144">
        <v>3.0796199999999998</v>
      </c>
      <c r="T1144">
        <v>8.0450419999999995E-2</v>
      </c>
      <c r="U1144">
        <v>-0.57391359999999902</v>
      </c>
      <c r="V1144">
        <v>-9.9552559999999998E-2</v>
      </c>
      <c r="W1144">
        <v>3.455362E-2</v>
      </c>
      <c r="X1144">
        <v>0.99443219999999999</v>
      </c>
      <c r="Y1144">
        <v>0.1919303</v>
      </c>
      <c r="Z1144">
        <v>2.7169749999999999E-3</v>
      </c>
      <c r="AA1144">
        <v>0.98140479999999997</v>
      </c>
      <c r="AB1144">
        <v>23</v>
      </c>
      <c r="AC1144">
        <v>107.55840000000001</v>
      </c>
      <c r="AD1144">
        <v>2.812646</v>
      </c>
      <c r="AE1144">
        <v>-20.066199999999899</v>
      </c>
      <c r="AF1144">
        <v>21.014257846211201</v>
      </c>
      <c r="AG1144">
        <v>2.812646</v>
      </c>
      <c r="AH1144">
        <v>107.30357158320599</v>
      </c>
      <c r="AI1144">
        <v>88.526482666963702</v>
      </c>
      <c r="AJ1144">
        <v>78.919470766433307</v>
      </c>
      <c r="AK1144">
        <v>109.378089601439</v>
      </c>
      <c r="AL1144">
        <v>88.019829299997596</v>
      </c>
      <c r="AM1144">
        <v>95.716830491888899</v>
      </c>
      <c r="AN1144">
        <v>1.00000003262724</v>
      </c>
    </row>
    <row r="1145" spans="1:40" x14ac:dyDescent="0.3">
      <c r="A1145" t="str">
        <f>"20200111145933879"</f>
        <v>20200111145933879</v>
      </c>
      <c r="B1145" t="str">
        <f>"1578725973877156"</f>
        <v>1578725973877156</v>
      </c>
      <c r="C1145" t="s">
        <v>40</v>
      </c>
      <c r="D1145">
        <v>4.3124010000000004</v>
      </c>
      <c r="E1145">
        <v>0.61392659999999999</v>
      </c>
      <c r="F1145" t="s">
        <v>50</v>
      </c>
      <c r="G1145">
        <v>-244.0324</v>
      </c>
      <c r="H1145">
        <v>3.8182450000000001</v>
      </c>
      <c r="I1145">
        <v>347.33960000000002</v>
      </c>
      <c r="J1145">
        <v>-351.47399999999999</v>
      </c>
      <c r="K1145">
        <v>1.1044719999999999</v>
      </c>
      <c r="L1145">
        <v>367.47190000000001</v>
      </c>
      <c r="M1145">
        <v>0.99989269999999997</v>
      </c>
      <c r="N1145">
        <v>0</v>
      </c>
      <c r="O1145">
        <v>8.9503299999999994E-3</v>
      </c>
      <c r="P1145">
        <v>0.99388430000000005</v>
      </c>
      <c r="Q1145">
        <v>2.291079E-2</v>
      </c>
      <c r="R1145">
        <v>0.1080247</v>
      </c>
      <c r="S1145">
        <v>3.0797119999999998</v>
      </c>
      <c r="T1145">
        <v>7.7705380000000004E-2</v>
      </c>
      <c r="U1145">
        <v>-0.57641600000000004</v>
      </c>
      <c r="V1145">
        <v>-9.912282E-2</v>
      </c>
      <c r="W1145">
        <v>3.4453549999999999E-2</v>
      </c>
      <c r="X1145">
        <v>0.99447859999999999</v>
      </c>
      <c r="Y1145">
        <v>0.1926997</v>
      </c>
      <c r="Z1145">
        <v>2.6336509999999999E-3</v>
      </c>
      <c r="AA1145">
        <v>0.98125419999999997</v>
      </c>
      <c r="AB1145">
        <v>23</v>
      </c>
      <c r="AC1145">
        <v>107.44159999999999</v>
      </c>
      <c r="AD1145">
        <v>2.7137730000000002</v>
      </c>
      <c r="AE1145">
        <v>-20.132299999999901</v>
      </c>
      <c r="AF1145">
        <v>21.080203515853</v>
      </c>
      <c r="AG1145">
        <v>2.7137730000000002</v>
      </c>
      <c r="AH1145">
        <v>107.191027664038</v>
      </c>
      <c r="AI1145">
        <v>88.576988134239201</v>
      </c>
      <c r="AJ1145">
        <v>78.874184515370501</v>
      </c>
      <c r="AK1145">
        <v>109.277884111278</v>
      </c>
      <c r="AL1145">
        <v>88.025566305571402</v>
      </c>
      <c r="AM1145">
        <v>95.692051133727404</v>
      </c>
      <c r="AN1145">
        <v>1.00000003320515</v>
      </c>
    </row>
    <row r="1146" spans="1:40" x14ac:dyDescent="0.3">
      <c r="A1146" t="str">
        <f>"20200111145933890"</f>
        <v>20200111145933890</v>
      </c>
      <c r="B1146" t="str">
        <f>"1578725973886916"</f>
        <v>1578725973886916</v>
      </c>
      <c r="C1146" t="s">
        <v>40</v>
      </c>
      <c r="D1146">
        <v>4.3112899999999996</v>
      </c>
      <c r="E1146">
        <v>0.61405310000000002</v>
      </c>
      <c r="F1146" t="s">
        <v>50</v>
      </c>
      <c r="G1146">
        <v>-244.0324</v>
      </c>
      <c r="H1146">
        <v>3.7329919999999999</v>
      </c>
      <c r="I1146">
        <v>347.2645</v>
      </c>
      <c r="J1146">
        <v>-351.3612</v>
      </c>
      <c r="K1146">
        <v>1.104471</v>
      </c>
      <c r="L1146">
        <v>367.47289999999998</v>
      </c>
      <c r="M1146">
        <v>0.99989269999999997</v>
      </c>
      <c r="N1146">
        <v>0</v>
      </c>
      <c r="O1146">
        <v>8.9503269999999992E-3</v>
      </c>
      <c r="P1146">
        <v>0.9939095</v>
      </c>
      <c r="Q1146">
        <v>2.2945739999999999E-2</v>
      </c>
      <c r="R1146">
        <v>0.1077844</v>
      </c>
      <c r="S1146">
        <v>3.0797119999999998</v>
      </c>
      <c r="T1146">
        <v>7.5346350000000006E-2</v>
      </c>
      <c r="U1146">
        <v>-0.57922359999999995</v>
      </c>
      <c r="V1146">
        <v>-9.8882269999999994E-2</v>
      </c>
      <c r="W1146">
        <v>3.4489770000000003E-2</v>
      </c>
      <c r="X1146">
        <v>0.99450119999999997</v>
      </c>
      <c r="Y1146">
        <v>0.1935673</v>
      </c>
      <c r="Z1146">
        <v>2.564027E-3</v>
      </c>
      <c r="AA1146">
        <v>0.98108359999999994</v>
      </c>
      <c r="AB1146">
        <v>23</v>
      </c>
      <c r="AC1146">
        <v>107.3288</v>
      </c>
      <c r="AD1146">
        <v>2.6285210000000001</v>
      </c>
      <c r="AE1146">
        <v>-20.208399999999902</v>
      </c>
      <c r="AF1146">
        <v>21.156028420917401</v>
      </c>
      <c r="AG1146">
        <v>2.6285210000000001</v>
      </c>
      <c r="AH1146">
        <v>107.081590168772</v>
      </c>
      <c r="AI1146">
        <v>88.620503685300406</v>
      </c>
      <c r="AJ1146">
        <v>78.824045555823005</v>
      </c>
      <c r="AK1146">
        <v>109.183119639745</v>
      </c>
      <c r="AL1146">
        <v>88.023489638412499</v>
      </c>
      <c r="AM1146">
        <v>95.678199920232103</v>
      </c>
      <c r="AN1146">
        <v>0.99999994217822097</v>
      </c>
    </row>
    <row r="1147" spans="1:40" x14ac:dyDescent="0.3">
      <c r="A1147" t="str">
        <f>"20200111145933902"</f>
        <v>20200111145933902</v>
      </c>
      <c r="B1147" t="str">
        <f>"1578725973896676"</f>
        <v>1578725973896676</v>
      </c>
      <c r="C1147" t="s">
        <v>40</v>
      </c>
      <c r="D1147">
        <v>4.2112429999999996</v>
      </c>
      <c r="E1147">
        <v>0.61398730000000001</v>
      </c>
      <c r="F1147" t="s">
        <v>50</v>
      </c>
      <c r="G1147">
        <v>-244.0324</v>
      </c>
      <c r="H1147">
        <v>3.5984759999999998</v>
      </c>
      <c r="I1147">
        <v>347.21890000000002</v>
      </c>
      <c r="J1147">
        <v>-351.23739999999998</v>
      </c>
      <c r="K1147">
        <v>1.1044719999999999</v>
      </c>
      <c r="L1147">
        <v>367.47399999999999</v>
      </c>
      <c r="M1147">
        <v>0.99989269999999997</v>
      </c>
      <c r="N1147">
        <v>0</v>
      </c>
      <c r="O1147">
        <v>8.9503229999999996E-3</v>
      </c>
      <c r="P1147">
        <v>0.99390520000000004</v>
      </c>
      <c r="Q1147">
        <v>2.3031630000000001E-2</v>
      </c>
      <c r="R1147">
        <v>0.1078061</v>
      </c>
      <c r="S1147">
        <v>3.079742</v>
      </c>
      <c r="T1147">
        <v>7.1566099999999994E-2</v>
      </c>
      <c r="U1147">
        <v>-0.58117680000000005</v>
      </c>
      <c r="V1147">
        <v>-9.8904259999999994E-2</v>
      </c>
      <c r="W1147">
        <v>3.4576019999999999E-2</v>
      </c>
      <c r="X1147">
        <v>0.99449600000000005</v>
      </c>
      <c r="Y1147">
        <v>0.19417190000000001</v>
      </c>
      <c r="Z1147">
        <v>2.4422179999999999E-3</v>
      </c>
      <c r="AA1147">
        <v>0.98096450000000002</v>
      </c>
      <c r="AB1147">
        <v>23</v>
      </c>
      <c r="AC1147">
        <v>107.204999999999</v>
      </c>
      <c r="AD1147">
        <v>2.4940039999999999</v>
      </c>
      <c r="AE1147">
        <v>-20.255099999999899</v>
      </c>
      <c r="AF1147">
        <v>21.202792869798799</v>
      </c>
      <c r="AG1147">
        <v>2.4940039999999999</v>
      </c>
      <c r="AH1147">
        <v>106.963509234616</v>
      </c>
      <c r="AI1147">
        <v>88.689794460766606</v>
      </c>
      <c r="AJ1147">
        <v>78.787914416992706</v>
      </c>
      <c r="AK1147">
        <v>109.073235897792</v>
      </c>
      <c r="AL1147">
        <v>88.018544891716303</v>
      </c>
      <c r="AM1147">
        <v>95.679483918457606</v>
      </c>
      <c r="AN1147">
        <v>0.999999923910591</v>
      </c>
    </row>
    <row r="1148" spans="1:40" x14ac:dyDescent="0.3">
      <c r="A1148" t="str">
        <f>"20200111145933913"</f>
        <v>20200111145933913</v>
      </c>
      <c r="B1148" t="str">
        <f>"1578725973906436"</f>
        <v>1578725973906436</v>
      </c>
      <c r="C1148" t="s">
        <v>40</v>
      </c>
      <c r="D1148">
        <v>4.2292209999999999</v>
      </c>
      <c r="E1148">
        <v>0.6137397</v>
      </c>
      <c r="F1148" t="s">
        <v>50</v>
      </c>
      <c r="G1148">
        <v>-244.0324</v>
      </c>
      <c r="H1148">
        <v>3.5182699999999998</v>
      </c>
      <c r="I1148">
        <v>347.27809999999999</v>
      </c>
      <c r="J1148">
        <v>-351.1259</v>
      </c>
      <c r="K1148">
        <v>1.1044769999999999</v>
      </c>
      <c r="L1148">
        <v>367.47500000000002</v>
      </c>
      <c r="M1148">
        <v>0.99989269999999997</v>
      </c>
      <c r="N1148">
        <v>0</v>
      </c>
      <c r="O1148">
        <v>8.950497E-3</v>
      </c>
      <c r="P1148">
        <v>0.99390489999999998</v>
      </c>
      <c r="Q1148">
        <v>2.316493E-2</v>
      </c>
      <c r="R1148">
        <v>0.1077798</v>
      </c>
      <c r="S1148">
        <v>3.0796809999999999</v>
      </c>
      <c r="T1148">
        <v>6.9343569999999993E-2</v>
      </c>
      <c r="U1148">
        <v>-0.58016969999999901</v>
      </c>
      <c r="V1148">
        <v>-9.8877720000000002E-2</v>
      </c>
      <c r="W1148">
        <v>3.470993E-2</v>
      </c>
      <c r="X1148">
        <v>0.99449399999999999</v>
      </c>
      <c r="Y1148">
        <v>0.19386919999999999</v>
      </c>
      <c r="Z1148">
        <v>2.3631339999999998E-3</v>
      </c>
      <c r="AA1148">
        <v>0.98102460000000002</v>
      </c>
      <c r="AB1148">
        <v>23</v>
      </c>
      <c r="AC1148">
        <v>107.09350000000001</v>
      </c>
      <c r="AD1148">
        <v>2.4137930000000001</v>
      </c>
      <c r="AE1148">
        <v>-20.196899999999999</v>
      </c>
      <c r="AF1148">
        <v>21.1443227363186</v>
      </c>
      <c r="AG1148">
        <v>2.4137930000000001</v>
      </c>
      <c r="AH1148">
        <v>106.856005463645</v>
      </c>
      <c r="AI1148">
        <v>88.730559243492493</v>
      </c>
      <c r="AJ1148">
        <v>78.807087550482294</v>
      </c>
      <c r="AK1148">
        <v>108.954645078908</v>
      </c>
      <c r="AL1148">
        <v>88.010867855846797</v>
      </c>
      <c r="AM1148">
        <v>95.677981187932303</v>
      </c>
      <c r="AN1148">
        <v>0.99999994939449999</v>
      </c>
    </row>
    <row r="1149" spans="1:40" x14ac:dyDescent="0.3">
      <c r="A1149" t="str">
        <f>"20200111145933924"</f>
        <v>20200111145933924</v>
      </c>
      <c r="B1149" t="str">
        <f>"1578725973917172"</f>
        <v>1578725973917172</v>
      </c>
      <c r="C1149" t="s">
        <v>40</v>
      </c>
      <c r="D1149">
        <v>4.2679600000000004</v>
      </c>
      <c r="E1149">
        <v>0.6139483</v>
      </c>
      <c r="F1149" t="s">
        <v>50</v>
      </c>
      <c r="G1149">
        <v>-244.0324</v>
      </c>
      <c r="H1149">
        <v>3.4684439999999999</v>
      </c>
      <c r="I1149">
        <v>347.3544</v>
      </c>
      <c r="J1149">
        <v>-351.0104</v>
      </c>
      <c r="K1149">
        <v>1.1044769999999999</v>
      </c>
      <c r="L1149">
        <v>367.476</v>
      </c>
      <c r="M1149">
        <v>0.99989269999999997</v>
      </c>
      <c r="N1149">
        <v>0</v>
      </c>
      <c r="O1149">
        <v>8.9503109999999903E-3</v>
      </c>
      <c r="P1149">
        <v>0.99391839999999998</v>
      </c>
      <c r="Q1149">
        <v>2.3258589999999999E-2</v>
      </c>
      <c r="R1149">
        <v>0.107636999999999</v>
      </c>
      <c r="S1149">
        <v>3.0795590000000002</v>
      </c>
      <c r="T1149">
        <v>6.7979929999999994E-2</v>
      </c>
      <c r="U1149">
        <v>-0.57858279999999995</v>
      </c>
      <c r="V1149">
        <v>-9.8735130000000004E-2</v>
      </c>
      <c r="W1149">
        <v>3.4805240000000001E-2</v>
      </c>
      <c r="X1149">
        <v>0.99450490000000002</v>
      </c>
      <c r="Y1149">
        <v>0.1933898</v>
      </c>
      <c r="Z1149">
        <v>2.3116259999999998E-3</v>
      </c>
      <c r="AA1149">
        <v>0.98111930000000003</v>
      </c>
      <c r="AB1149">
        <v>23</v>
      </c>
      <c r="AC1149">
        <v>106.97799999999999</v>
      </c>
      <c r="AD1149">
        <v>2.3639669999999899</v>
      </c>
      <c r="AE1149">
        <v>-20.121600000000001</v>
      </c>
      <c r="AF1149">
        <v>21.068408339572098</v>
      </c>
      <c r="AG1149">
        <v>2.3639669999999899</v>
      </c>
      <c r="AH1149">
        <v>106.743265185398</v>
      </c>
      <c r="AI1149">
        <v>88.755323460610995</v>
      </c>
      <c r="AJ1149">
        <v>78.834779549069495</v>
      </c>
      <c r="AK1149">
        <v>108.828263021975</v>
      </c>
      <c r="AL1149">
        <v>88.005403820894301</v>
      </c>
      <c r="AM1149">
        <v>95.669784711739695</v>
      </c>
      <c r="AN1149">
        <v>1.00000001337579</v>
      </c>
    </row>
    <row r="1150" spans="1:40" x14ac:dyDescent="0.3">
      <c r="A1150" t="str">
        <f>"20200111145933935"</f>
        <v>20200111145933935</v>
      </c>
      <c r="B1150" t="str">
        <f>"1578725973926933"</f>
        <v>1578725973926933</v>
      </c>
      <c r="C1150" t="s">
        <v>40</v>
      </c>
      <c r="D1150">
        <v>4.3383339999999997</v>
      </c>
      <c r="E1150">
        <v>0.61399409999999999</v>
      </c>
      <c r="F1150" t="s">
        <v>50</v>
      </c>
      <c r="G1150">
        <v>-244.0324</v>
      </c>
      <c r="H1150">
        <v>3.4414729999999998</v>
      </c>
      <c r="I1150">
        <v>347.31310000000002</v>
      </c>
      <c r="J1150">
        <v>-350.89490000000001</v>
      </c>
      <c r="K1150">
        <v>1.1044780000000001</v>
      </c>
      <c r="L1150">
        <v>367.47710000000001</v>
      </c>
      <c r="M1150">
        <v>0.99989260000000002</v>
      </c>
      <c r="N1150">
        <v>0</v>
      </c>
      <c r="O1150">
        <v>8.9506529999999994E-3</v>
      </c>
      <c r="P1150">
        <v>0.99389320000000003</v>
      </c>
      <c r="Q1150">
        <v>2.3412800000000001E-2</v>
      </c>
      <c r="R1150">
        <v>0.10783379999999999</v>
      </c>
      <c r="S1150">
        <v>3.0796510000000001</v>
      </c>
      <c r="T1150">
        <v>6.7278859999999996E-2</v>
      </c>
      <c r="U1150">
        <v>-0.58044430000000002</v>
      </c>
      <c r="V1150">
        <v>-9.8931389999999994E-2</v>
      </c>
      <c r="W1150">
        <v>3.4962029999999998E-2</v>
      </c>
      <c r="X1150">
        <v>0.99447989999999997</v>
      </c>
      <c r="Y1150">
        <v>0.1939584</v>
      </c>
      <c r="Z1150">
        <v>2.293762E-3</v>
      </c>
      <c r="AA1150">
        <v>0.98100699999999996</v>
      </c>
      <c r="AB1150">
        <v>23</v>
      </c>
      <c r="AC1150">
        <v>106.8625</v>
      </c>
      <c r="AD1150">
        <v>2.3369949999999999</v>
      </c>
      <c r="AE1150">
        <v>-20.163999999999898</v>
      </c>
      <c r="AF1150">
        <v>21.109996752852201</v>
      </c>
      <c r="AG1150">
        <v>2.3369949999999999</v>
      </c>
      <c r="AH1150">
        <v>106.6284826402</v>
      </c>
      <c r="AI1150">
        <v>88.7683373438731</v>
      </c>
      <c r="AJ1150">
        <v>78.801557083264896</v>
      </c>
      <c r="AK1150">
        <v>108.723165970675</v>
      </c>
      <c r="AL1150">
        <v>87.996414953172504</v>
      </c>
      <c r="AM1150">
        <v>95.681123014411</v>
      </c>
      <c r="AN1150">
        <v>1.00000001748653</v>
      </c>
    </row>
    <row r="1151" spans="1:40" x14ac:dyDescent="0.3">
      <c r="A1151" t="str">
        <f>"20200111145933948"</f>
        <v>20200111145933948</v>
      </c>
      <c r="B1151" t="str">
        <f>"1578725973936692"</f>
        <v>1578725973936692</v>
      </c>
      <c r="C1151" t="s">
        <v>40</v>
      </c>
      <c r="D1151">
        <v>4.3164509999999998</v>
      </c>
      <c r="E1151">
        <v>0.6139249</v>
      </c>
      <c r="F1151" t="s">
        <v>50</v>
      </c>
      <c r="G1151">
        <v>-244.0324</v>
      </c>
      <c r="H1151">
        <v>3.4450090000000002</v>
      </c>
      <c r="I1151">
        <v>347.3383</v>
      </c>
      <c r="J1151">
        <v>-350.76729999999998</v>
      </c>
      <c r="K1151">
        <v>1.1044799999999999</v>
      </c>
      <c r="L1151">
        <v>367.47820000000002</v>
      </c>
      <c r="M1151">
        <v>0.99989249999999996</v>
      </c>
      <c r="N1151">
        <v>0</v>
      </c>
      <c r="O1151">
        <v>8.9508049999999992E-3</v>
      </c>
      <c r="P1151">
        <v>0.99387650000000005</v>
      </c>
      <c r="Q1151">
        <v>2.3485269999999999E-2</v>
      </c>
      <c r="R1151">
        <v>0.1079722</v>
      </c>
      <c r="S1151">
        <v>3.0798649999999999</v>
      </c>
      <c r="T1151">
        <v>6.7458149999999995E-2</v>
      </c>
      <c r="U1151">
        <v>-0.58041379999999998</v>
      </c>
      <c r="V1151">
        <v>-9.9070069999999996E-2</v>
      </c>
      <c r="W1151">
        <v>3.5038279999999998E-2</v>
      </c>
      <c r="X1151">
        <v>0.9944634</v>
      </c>
      <c r="Y1151">
        <v>0.19393659999999999</v>
      </c>
      <c r="Z1151">
        <v>2.2994840000000001E-3</v>
      </c>
      <c r="AA1151">
        <v>0.98101139999999998</v>
      </c>
      <c r="AB1151">
        <v>23</v>
      </c>
      <c r="AC1151">
        <v>106.734899999999</v>
      </c>
      <c r="AD1151">
        <v>2.3405290000000001</v>
      </c>
      <c r="AE1151">
        <v>-20.139900000000001</v>
      </c>
      <c r="AF1151">
        <v>21.084730659377101</v>
      </c>
      <c r="AG1151">
        <v>2.3405290000000001</v>
      </c>
      <c r="AH1151">
        <v>106.50089228325901</v>
      </c>
      <c r="AI1151">
        <v>88.764998055575703</v>
      </c>
      <c r="AJ1151">
        <v>78.801560254568699</v>
      </c>
      <c r="AK1151">
        <v>108.593204207762</v>
      </c>
      <c r="AL1151">
        <v>87.992043450392003</v>
      </c>
      <c r="AM1151">
        <v>95.689128265776404</v>
      </c>
      <c r="AN1151">
        <v>1.00000000688736</v>
      </c>
    </row>
    <row r="1152" spans="1:40" x14ac:dyDescent="0.3">
      <c r="A1152" t="str">
        <f>"20200111145933960"</f>
        <v>20200111145933960</v>
      </c>
      <c r="B1152" t="str">
        <f>"1578725973957189"</f>
        <v>1578725973957189</v>
      </c>
      <c r="C1152" t="s">
        <v>40</v>
      </c>
      <c r="D1152">
        <v>4.3012199999999998</v>
      </c>
      <c r="E1152">
        <v>0.61406470000000002</v>
      </c>
      <c r="F1152" t="s">
        <v>50</v>
      </c>
      <c r="G1152">
        <v>-244.0324</v>
      </c>
      <c r="H1152">
        <v>3.4009969999999998</v>
      </c>
      <c r="I1152">
        <v>347.39949999999999</v>
      </c>
      <c r="J1152">
        <v>-350.64409999999998</v>
      </c>
      <c r="K1152">
        <v>1.104481</v>
      </c>
      <c r="L1152">
        <v>367.47930000000002</v>
      </c>
      <c r="M1152">
        <v>0.99989260000000002</v>
      </c>
      <c r="N1152">
        <v>0</v>
      </c>
      <c r="O1152">
        <v>8.9507749999999994E-3</v>
      </c>
      <c r="P1152">
        <v>0.9938709</v>
      </c>
      <c r="Q1152">
        <v>2.352139E-2</v>
      </c>
      <c r="R1152">
        <v>0.10801760000000001</v>
      </c>
      <c r="S1152">
        <v>3.0798649999999999</v>
      </c>
      <c r="T1152">
        <v>6.6268800000000003E-2</v>
      </c>
      <c r="U1152">
        <v>-0.57937620000000001</v>
      </c>
      <c r="V1152">
        <v>-9.9115449999999994E-2</v>
      </c>
      <c r="W1152">
        <v>3.5079270000000003E-2</v>
      </c>
      <c r="X1152">
        <v>0.99445740000000005</v>
      </c>
      <c r="Y1152">
        <v>0.19361900000000001</v>
      </c>
      <c r="Z1152">
        <v>2.2556339999999999E-3</v>
      </c>
      <c r="AA1152">
        <v>0.98107420000000001</v>
      </c>
      <c r="AB1152">
        <v>23</v>
      </c>
      <c r="AC1152">
        <v>106.611699999999</v>
      </c>
      <c r="AD1152">
        <v>2.296516</v>
      </c>
      <c r="AE1152">
        <v>-20.079799999999999</v>
      </c>
      <c r="AF1152">
        <v>21.0238959810738</v>
      </c>
      <c r="AG1152">
        <v>2.296516</v>
      </c>
      <c r="AH1152">
        <v>106.380016248646</v>
      </c>
      <c r="AI1152">
        <v>88.786758344023198</v>
      </c>
      <c r="AJ1152">
        <v>78.820688172298503</v>
      </c>
      <c r="AK1152">
        <v>108.461910572438</v>
      </c>
      <c r="AL1152">
        <v>87.989693385635803</v>
      </c>
      <c r="AM1152">
        <v>95.691751234404705</v>
      </c>
      <c r="AN1152">
        <v>0.99999997401359697</v>
      </c>
    </row>
    <row r="1153" spans="1:40" x14ac:dyDescent="0.3">
      <c r="A1153" t="str">
        <f>"20200111145933972"</f>
        <v>20200111145933972</v>
      </c>
      <c r="B1153" t="str">
        <f>"1578725973966948"</f>
        <v>1578725973966948</v>
      </c>
      <c r="C1153" t="s">
        <v>40</v>
      </c>
      <c r="D1153">
        <v>4.3075590000000004</v>
      </c>
      <c r="E1153">
        <v>0.61420180000000002</v>
      </c>
      <c r="F1153" t="s">
        <v>50</v>
      </c>
      <c r="G1153">
        <v>-244.0324</v>
      </c>
      <c r="H1153">
        <v>3.3314889999999999</v>
      </c>
      <c r="I1153">
        <v>347.39850000000001</v>
      </c>
      <c r="J1153">
        <v>-350.51710000000003</v>
      </c>
      <c r="K1153">
        <v>1.1044799999999999</v>
      </c>
      <c r="L1153">
        <v>367.48039999999997</v>
      </c>
      <c r="M1153">
        <v>0.99989240000000001</v>
      </c>
      <c r="N1153">
        <v>0</v>
      </c>
      <c r="O1153">
        <v>8.9509140000000008E-3</v>
      </c>
      <c r="P1153">
        <v>0.99386339999999995</v>
      </c>
      <c r="Q1153">
        <v>2.342112E-2</v>
      </c>
      <c r="R1153">
        <v>0.10810649999999999</v>
      </c>
      <c r="S1153">
        <v>3.0800480000000001</v>
      </c>
      <c r="T1153">
        <v>6.4341309999999999E-2</v>
      </c>
      <c r="U1153">
        <v>-0.58013919999999997</v>
      </c>
      <c r="V1153">
        <v>-9.9203970000000002E-2</v>
      </c>
      <c r="W1153">
        <v>3.4985860000000001E-2</v>
      </c>
      <c r="X1153">
        <v>0.99445190000000006</v>
      </c>
      <c r="Y1153">
        <v>0.19384580000000001</v>
      </c>
      <c r="Z1153">
        <v>2.192215E-3</v>
      </c>
      <c r="AA1153">
        <v>0.98102959999999995</v>
      </c>
      <c r="AB1153">
        <v>23</v>
      </c>
      <c r="AC1153">
        <v>106.4847</v>
      </c>
      <c r="AD1153">
        <v>2.2270089999999998</v>
      </c>
      <c r="AE1153">
        <v>-20.081899999999901</v>
      </c>
      <c r="AF1153">
        <v>21.025414696865401</v>
      </c>
      <c r="AG1153">
        <v>2.2270089999999998</v>
      </c>
      <c r="AH1153">
        <v>106.255791000377</v>
      </c>
      <c r="AI1153">
        <v>88.822148043227998</v>
      </c>
      <c r="AJ1153">
        <v>78.807159954444401</v>
      </c>
      <c r="AK1153">
        <v>108.33891615378499</v>
      </c>
      <c r="AL1153">
        <v>87.995048743425897</v>
      </c>
      <c r="AM1153">
        <v>95.696832415793395</v>
      </c>
      <c r="AN1153">
        <v>1.0000000097386501</v>
      </c>
    </row>
    <row r="1154" spans="1:40" x14ac:dyDescent="0.3">
      <c r="A1154" t="str">
        <f>"20200111145933984"</f>
        <v>20200111145933984</v>
      </c>
      <c r="B1154" t="str">
        <f>"1578725973976709"</f>
        <v>1578725973976709</v>
      </c>
      <c r="C1154" t="s">
        <v>40</v>
      </c>
      <c r="D1154">
        <v>4.3934860000000002</v>
      </c>
      <c r="E1154">
        <v>0.61418879999999998</v>
      </c>
      <c r="F1154" t="s">
        <v>50</v>
      </c>
      <c r="G1154">
        <v>-244.0324</v>
      </c>
      <c r="H1154">
        <v>3.2825470000000001</v>
      </c>
      <c r="I1154">
        <v>347.39</v>
      </c>
      <c r="J1154">
        <v>-350.39190000000002</v>
      </c>
      <c r="K1154">
        <v>1.1044780000000001</v>
      </c>
      <c r="L1154">
        <v>367.48149999999998</v>
      </c>
      <c r="M1154">
        <v>0.99989240000000001</v>
      </c>
      <c r="N1154">
        <v>0</v>
      </c>
      <c r="O1154">
        <v>8.9509930000000008E-3</v>
      </c>
      <c r="P1154">
        <v>0.99386750000000001</v>
      </c>
      <c r="Q1154">
        <v>2.3070319999999998E-2</v>
      </c>
      <c r="R1154">
        <v>0.1081445</v>
      </c>
      <c r="S1154">
        <v>3.0802309999999999</v>
      </c>
      <c r="T1154">
        <v>6.3006160000000005E-2</v>
      </c>
      <c r="U1154">
        <v>-0.58114619999999995</v>
      </c>
      <c r="V1154">
        <v>-9.9242629999999998E-2</v>
      </c>
      <c r="W1154">
        <v>3.46418E-2</v>
      </c>
      <c r="X1154">
        <v>0.99446009999999996</v>
      </c>
      <c r="Y1154">
        <v>0.19414680000000001</v>
      </c>
      <c r="Z1154">
        <v>2.1495960000000001E-3</v>
      </c>
      <c r="AA1154">
        <v>0.98097009999999996</v>
      </c>
      <c r="AB1154">
        <v>23</v>
      </c>
      <c r="AC1154">
        <v>106.3595</v>
      </c>
      <c r="AD1154">
        <v>2.1780689999999998</v>
      </c>
      <c r="AE1154">
        <v>-20.0915</v>
      </c>
      <c r="AF1154">
        <v>21.034265365496498</v>
      </c>
      <c r="AG1154">
        <v>2.1780689999999998</v>
      </c>
      <c r="AH1154">
        <v>106.132412973196</v>
      </c>
      <c r="AI1154">
        <v>88.846755129642801</v>
      </c>
      <c r="AJ1154">
        <v>78.789879906770196</v>
      </c>
      <c r="AK1154">
        <v>108.218636969553</v>
      </c>
      <c r="AL1154">
        <v>88.014773911075594</v>
      </c>
      <c r="AM1154">
        <v>95.698991189174393</v>
      </c>
      <c r="AN1154">
        <v>1.00000002220428</v>
      </c>
    </row>
    <row r="1155" spans="1:40" x14ac:dyDescent="0.3">
      <c r="A1155" t="str">
        <f>"20200111145933997"</f>
        <v>20200111145933997</v>
      </c>
      <c r="B1155" t="str">
        <f>"1578725973986469"</f>
        <v>1578725973986469</v>
      </c>
      <c r="C1155" t="s">
        <v>40</v>
      </c>
      <c r="D1155">
        <v>4.2985119999999997</v>
      </c>
      <c r="E1155">
        <v>0.61414239999999998</v>
      </c>
      <c r="F1155" t="s">
        <v>50</v>
      </c>
      <c r="G1155">
        <v>-244.0324</v>
      </c>
      <c r="H1155">
        <v>3.122941</v>
      </c>
      <c r="I1155">
        <v>347.42309999999998</v>
      </c>
      <c r="J1155">
        <v>-350.26510000000002</v>
      </c>
      <c r="K1155">
        <v>1.104479</v>
      </c>
      <c r="L1155">
        <v>367.48270000000002</v>
      </c>
      <c r="M1155">
        <v>0.99989240000000001</v>
      </c>
      <c r="N1155">
        <v>0</v>
      </c>
      <c r="O1155">
        <v>8.9509519999999999E-3</v>
      </c>
      <c r="P1155">
        <v>0.99386070000000004</v>
      </c>
      <c r="Q1155">
        <v>2.3052679999999999E-2</v>
      </c>
      <c r="R1155">
        <v>0.1082134</v>
      </c>
      <c r="S1155">
        <v>3.0803829999999999</v>
      </c>
      <c r="T1155">
        <v>5.8461069999999997E-2</v>
      </c>
      <c r="U1155">
        <v>-0.58093260000000002</v>
      </c>
      <c r="V1155">
        <v>-9.9311399999999994E-2</v>
      </c>
      <c r="W1155">
        <v>3.4631299999999997E-2</v>
      </c>
      <c r="X1155">
        <v>0.99445349999999999</v>
      </c>
      <c r="Y1155">
        <v>0.1940779</v>
      </c>
      <c r="Z1155">
        <v>1.9938249999999999E-3</v>
      </c>
      <c r="AA1155">
        <v>0.98098410000000003</v>
      </c>
      <c r="AB1155">
        <v>23</v>
      </c>
      <c r="AC1155">
        <v>106.23269999999999</v>
      </c>
      <c r="AD1155">
        <v>2.018462</v>
      </c>
      <c r="AE1155">
        <v>-20.0596</v>
      </c>
      <c r="AF1155">
        <v>21.002423174145701</v>
      </c>
      <c r="AG1155">
        <v>2.018462</v>
      </c>
      <c r="AH1155">
        <v>106.01192481604799</v>
      </c>
      <c r="AI1155">
        <v>88.930013797485202</v>
      </c>
      <c r="AJ1155">
        <v>78.794020919821904</v>
      </c>
      <c r="AK1155">
        <v>108.09118452137901</v>
      </c>
      <c r="AL1155">
        <v>88.015375679761306</v>
      </c>
      <c r="AM1155">
        <v>95.702951872077307</v>
      </c>
      <c r="AN1155">
        <v>0.99999992238594604</v>
      </c>
    </row>
    <row r="1156" spans="1:40" x14ac:dyDescent="0.3">
      <c r="A1156" t="str">
        <f>"20200111145935309"</f>
        <v>20200111145935309</v>
      </c>
      <c r="B1156" t="str">
        <f>"1578725975306527"</f>
        <v>1578725975306527</v>
      </c>
      <c r="C1156" t="s">
        <v>40</v>
      </c>
      <c r="D1156">
        <v>4.226763</v>
      </c>
      <c r="E1156">
        <v>0.63411640000000002</v>
      </c>
      <c r="F1156" t="s">
        <v>50</v>
      </c>
      <c r="G1156">
        <v>-244.0324</v>
      </c>
      <c r="H1156">
        <v>3.1357119999999998</v>
      </c>
      <c r="I1156">
        <v>347.47410000000002</v>
      </c>
      <c r="J1156">
        <v>-336.77499999999998</v>
      </c>
      <c r="K1156">
        <v>1.104457</v>
      </c>
      <c r="L1156">
        <v>367.58330000000001</v>
      </c>
      <c r="M1156">
        <v>0.99991319999999995</v>
      </c>
      <c r="N1156">
        <v>0</v>
      </c>
      <c r="O1156">
        <v>5.8345019999999897E-3</v>
      </c>
      <c r="P1156">
        <v>0.99439840000000002</v>
      </c>
      <c r="Q1156">
        <v>2.248605E-2</v>
      </c>
      <c r="R1156">
        <v>0.103279</v>
      </c>
      <c r="S1156">
        <v>3.0803219999999998</v>
      </c>
      <c r="T1156">
        <v>5.8899880000000002E-2</v>
      </c>
      <c r="U1156">
        <v>-0.58016969999999901</v>
      </c>
      <c r="V1156">
        <v>-9.747024E-2</v>
      </c>
      <c r="W1156">
        <v>3.4261979999999997E-2</v>
      </c>
      <c r="X1156">
        <v>0.99464850000000005</v>
      </c>
      <c r="Y1156">
        <v>0.19078890000000001</v>
      </c>
      <c r="Z1156">
        <v>1.9186159999999999E-3</v>
      </c>
      <c r="AA1156">
        <v>0.98162919999999998</v>
      </c>
      <c r="AB1156">
        <v>23</v>
      </c>
      <c r="AC1156">
        <v>92.742599999999896</v>
      </c>
      <c r="AD1156">
        <v>2.0312549999999998</v>
      </c>
      <c r="AE1156">
        <v>-20.109199999999898</v>
      </c>
      <c r="AF1156">
        <v>20.6405456377665</v>
      </c>
      <c r="AG1156">
        <v>2.0312549999999998</v>
      </c>
      <c r="AH1156">
        <v>92.581268780838798</v>
      </c>
      <c r="AI1156">
        <v>88.773227478027096</v>
      </c>
      <c r="AJ1156">
        <v>77.431726377052001</v>
      </c>
      <c r="AK1156">
        <v>94.875968770651696</v>
      </c>
      <c r="AL1156">
        <v>88.036548846713103</v>
      </c>
      <c r="AM1156">
        <v>95.596810686452201</v>
      </c>
      <c r="AN1156">
        <v>0.99999998475571295</v>
      </c>
    </row>
    <row r="1157" spans="1:40" x14ac:dyDescent="0.3">
      <c r="A1157" t="str">
        <f>"20200111145935332"</f>
        <v>20200111145935332</v>
      </c>
      <c r="B1157" t="str">
        <f>"1578725975327023"</f>
        <v>1578725975327023</v>
      </c>
      <c r="C1157" t="s">
        <v>40</v>
      </c>
      <c r="D1157">
        <v>4.4008010000000004</v>
      </c>
      <c r="E1157">
        <v>0.61782840000000006</v>
      </c>
      <c r="F1157" t="s">
        <v>47</v>
      </c>
      <c r="G1157">
        <v>-245.3451</v>
      </c>
      <c r="H1157">
        <v>1.819723</v>
      </c>
      <c r="I1157">
        <v>345.31299999999999</v>
      </c>
      <c r="J1157">
        <v>-336.5258</v>
      </c>
      <c r="K1157">
        <v>1.1044590000000001</v>
      </c>
      <c r="L1157">
        <v>367.5847</v>
      </c>
      <c r="M1157">
        <v>0.9999133</v>
      </c>
      <c r="N1157">
        <v>0</v>
      </c>
      <c r="O1157">
        <v>5.7589009999999899E-3</v>
      </c>
      <c r="P1157">
        <v>0.99434210000000001</v>
      </c>
      <c r="Q1157">
        <v>2.2576929999999999E-2</v>
      </c>
      <c r="R1157">
        <v>0.10379770000000001</v>
      </c>
      <c r="S1157">
        <v>3.0946349999999998</v>
      </c>
      <c r="T1157">
        <v>2.4212359999999999E-2</v>
      </c>
      <c r="U1157">
        <v>-0.75378420000000002</v>
      </c>
      <c r="V1157">
        <v>-9.8064129999999999E-2</v>
      </c>
      <c r="W1157">
        <v>3.4372069999999998E-2</v>
      </c>
      <c r="X1157">
        <v>0.99458630000000003</v>
      </c>
      <c r="Y1157">
        <v>0.24224300000000001</v>
      </c>
      <c r="Z1157">
        <v>9.7840289999999897E-4</v>
      </c>
      <c r="AA1157">
        <v>0.9702151</v>
      </c>
      <c r="AB1157">
        <v>23</v>
      </c>
      <c r="AC1157">
        <v>91.180700000000002</v>
      </c>
      <c r="AD1157">
        <v>0.71526399999999901</v>
      </c>
      <c r="AE1157">
        <v>-22.2716999999999</v>
      </c>
      <c r="AF1157">
        <v>22.795144333421302</v>
      </c>
      <c r="AG1157">
        <v>0.71526399999999901</v>
      </c>
      <c r="AH1157">
        <v>91.045631153504701</v>
      </c>
      <c r="AI1157">
        <v>89.563364419878695</v>
      </c>
      <c r="AJ1157">
        <v>75.943776448226799</v>
      </c>
      <c r="AK1157">
        <v>93.858601949481596</v>
      </c>
      <c r="AL1157">
        <v>88.030237388950894</v>
      </c>
      <c r="AM1157">
        <v>95.631043662321602</v>
      </c>
      <c r="AN1157">
        <v>0.99999996046821504</v>
      </c>
    </row>
    <row r="1158" spans="1:40" x14ac:dyDescent="0.3">
      <c r="A1158" t="str">
        <f>"20200111145935343"</f>
        <v>20200111145935343</v>
      </c>
      <c r="B1158" t="str">
        <f>"1578725975336783"</f>
        <v>1578725975336783</v>
      </c>
      <c r="C1158" t="s">
        <v>40</v>
      </c>
      <c r="D1158">
        <v>4.2539309999999997</v>
      </c>
      <c r="E1158">
        <v>0.62544949999999999</v>
      </c>
      <c r="F1158" t="s">
        <v>47</v>
      </c>
      <c r="G1158">
        <v>-242.16499999999999</v>
      </c>
      <c r="H1158">
        <v>1.2690159999999999</v>
      </c>
      <c r="I1158">
        <v>348.51170000000002</v>
      </c>
      <c r="J1158">
        <v>-336.41570000000002</v>
      </c>
      <c r="K1158">
        <v>1.1044609999999999</v>
      </c>
      <c r="L1158">
        <v>367.58530000000002</v>
      </c>
      <c r="M1158">
        <v>0.99991339999999995</v>
      </c>
      <c r="N1158">
        <v>0</v>
      </c>
      <c r="O1158">
        <v>5.7254009999999998E-3</v>
      </c>
      <c r="P1158">
        <v>0.99432529999999997</v>
      </c>
      <c r="Q1158">
        <v>2.2681460000000001E-2</v>
      </c>
      <c r="R1158">
        <v>0.1039373</v>
      </c>
      <c r="S1158">
        <v>3.0819700000000001</v>
      </c>
      <c r="T1158">
        <v>5.377293E-3</v>
      </c>
      <c r="U1158">
        <v>-0.62295529999999999</v>
      </c>
      <c r="V1158">
        <v>-9.8236859999999995E-2</v>
      </c>
      <c r="W1158">
        <v>3.4485479999999999E-2</v>
      </c>
      <c r="X1158">
        <v>0.99456540000000004</v>
      </c>
      <c r="Y1158">
        <v>0.20373089999999999</v>
      </c>
      <c r="Z1158">
        <v>1.858428E-4</v>
      </c>
      <c r="AA1158">
        <v>0.97902690000000003</v>
      </c>
      <c r="AB1158">
        <v>23</v>
      </c>
      <c r="AC1158">
        <v>94.250699999999995</v>
      </c>
      <c r="AD1158">
        <v>0.16455499999999901</v>
      </c>
      <c r="AE1158">
        <v>-19.073599999999999</v>
      </c>
      <c r="AF1158">
        <v>19.612890842831099</v>
      </c>
      <c r="AG1158">
        <v>0.16455499999999901</v>
      </c>
      <c r="AH1158">
        <v>94.139667642174203</v>
      </c>
      <c r="AI1158">
        <v>89.901953021966904</v>
      </c>
      <c r="AJ1158">
        <v>78.231442697505997</v>
      </c>
      <c r="AK1158">
        <v>96.161164662975295</v>
      </c>
      <c r="AL1158">
        <v>88.023735761081696</v>
      </c>
      <c r="AM1158">
        <v>95.641016035378598</v>
      </c>
      <c r="AN1158">
        <v>1.0000000319353199</v>
      </c>
    </row>
    <row r="1159" spans="1:40" x14ac:dyDescent="0.3">
      <c r="A1159" t="str">
        <f>"20200111145935356"</f>
        <v>20200111145935356</v>
      </c>
      <c r="B1159" t="str">
        <f>"1578725975346543"</f>
        <v>1578725975346543</v>
      </c>
      <c r="C1159" t="s">
        <v>40</v>
      </c>
      <c r="D1159">
        <v>4.3135979999999998</v>
      </c>
      <c r="E1159">
        <v>0.62544949999999999</v>
      </c>
      <c r="F1159" t="s">
        <v>47</v>
      </c>
      <c r="G1159">
        <v>-245.3451</v>
      </c>
      <c r="H1159">
        <v>1.094673</v>
      </c>
      <c r="I1159">
        <v>347.45659999999998</v>
      </c>
      <c r="J1159">
        <v>-336.286</v>
      </c>
      <c r="K1159">
        <v>1.104463</v>
      </c>
      <c r="L1159">
        <v>367.58600000000001</v>
      </c>
      <c r="M1159">
        <v>0.99991359999999996</v>
      </c>
      <c r="N1159">
        <v>0</v>
      </c>
      <c r="O1159">
        <v>5.686356E-3</v>
      </c>
      <c r="P1159">
        <v>0.99428899999999998</v>
      </c>
      <c r="Q1159">
        <v>2.2725720000000001E-2</v>
      </c>
      <c r="R1159">
        <v>0.1042742</v>
      </c>
      <c r="S1159">
        <v>3.0884399999999999</v>
      </c>
      <c r="T1159">
        <v>-3.2937530000000002E-4</v>
      </c>
      <c r="U1159">
        <v>-0.68261719999999904</v>
      </c>
      <c r="V1159">
        <v>-9.8612749999999999E-2</v>
      </c>
      <c r="W1159">
        <v>3.4539809999999997E-2</v>
      </c>
      <c r="X1159">
        <v>0.99452629999999997</v>
      </c>
      <c r="Y1159">
        <v>0.22136400000000001</v>
      </c>
      <c r="Z1159" s="1">
        <v>-1.2262589999999999E-5</v>
      </c>
      <c r="AA1159">
        <v>0.97519120000000004</v>
      </c>
      <c r="AB1159">
        <v>23</v>
      </c>
      <c r="AC1159">
        <v>90.940899999999999</v>
      </c>
      <c r="AD1159">
        <v>-9.7899999999999602E-3</v>
      </c>
      <c r="AE1159">
        <v>-20.1294</v>
      </c>
      <c r="AF1159">
        <v>20.646232938202701</v>
      </c>
      <c r="AG1159">
        <v>-9.7899999999999602E-3</v>
      </c>
      <c r="AH1159">
        <v>90.8249575333965</v>
      </c>
      <c r="AI1159">
        <v>90.006022260967498</v>
      </c>
      <c r="AJ1159">
        <v>77.193216294738605</v>
      </c>
      <c r="AK1159">
        <v>93.142041749823704</v>
      </c>
      <c r="AL1159">
        <v>88.020620996662799</v>
      </c>
      <c r="AM1159">
        <v>95.662681784075005</v>
      </c>
      <c r="AN1159">
        <v>1.00000001716454</v>
      </c>
    </row>
    <row r="1160" spans="1:40" x14ac:dyDescent="0.3">
      <c r="A1160" t="str">
        <f>"20200111145935367"</f>
        <v>20200111145935367</v>
      </c>
      <c r="B1160" t="str">
        <f>"1578725975357278"</f>
        <v>1578725975357278</v>
      </c>
      <c r="C1160" t="s">
        <v>40</v>
      </c>
      <c r="D1160">
        <v>4.2171620000000001</v>
      </c>
      <c r="E1160">
        <v>0.63149319999999998</v>
      </c>
      <c r="F1160" t="s">
        <v>47</v>
      </c>
      <c r="G1160">
        <v>-245.3451</v>
      </c>
      <c r="H1160">
        <v>1.0928530000000001</v>
      </c>
      <c r="I1160">
        <v>347.51490000000001</v>
      </c>
      <c r="J1160">
        <v>-336.17700000000002</v>
      </c>
      <c r="K1160">
        <v>1.1044639999999999</v>
      </c>
      <c r="L1160">
        <v>367.58659999999998</v>
      </c>
      <c r="M1160">
        <v>0.99991370000000002</v>
      </c>
      <c r="N1160">
        <v>0</v>
      </c>
      <c r="O1160">
        <v>5.653646E-3</v>
      </c>
      <c r="P1160">
        <v>0.9942898</v>
      </c>
      <c r="Q1160">
        <v>2.2901749999999998E-2</v>
      </c>
      <c r="R1160">
        <v>0.10422819999999999</v>
      </c>
      <c r="S1160">
        <v>3.0887449999999999</v>
      </c>
      <c r="T1160">
        <v>-3.9160250000000002E-4</v>
      </c>
      <c r="U1160">
        <v>-0.68170169999999997</v>
      </c>
      <c r="V1160">
        <v>-9.8599779999999998E-2</v>
      </c>
      <c r="W1160">
        <v>3.4723759999999999E-2</v>
      </c>
      <c r="X1160">
        <v>0.99452110000000005</v>
      </c>
      <c r="Y1160">
        <v>0.22103619999999999</v>
      </c>
      <c r="Z1160" s="1">
        <v>-1.4553720000000001E-5</v>
      </c>
      <c r="AA1160">
        <v>0.97526559999999995</v>
      </c>
      <c r="AB1160">
        <v>23</v>
      </c>
      <c r="AC1160">
        <v>90.831899999999905</v>
      </c>
      <c r="AD1160">
        <v>-1.16109999999998E-2</v>
      </c>
      <c r="AE1160">
        <v>-20.0716999999999</v>
      </c>
      <c r="AF1160">
        <v>20.584946369161401</v>
      </c>
      <c r="AG1160">
        <v>-1.16109999999998E-2</v>
      </c>
      <c r="AH1160">
        <v>90.716960442070004</v>
      </c>
      <c r="AI1160">
        <v>90.0071515668252</v>
      </c>
      <c r="AJ1160">
        <v>77.215280697996604</v>
      </c>
      <c r="AK1160">
        <v>93.023153374225402</v>
      </c>
      <c r="AL1160">
        <v>88.010074953013302</v>
      </c>
      <c r="AM1160">
        <v>95.661971253735203</v>
      </c>
      <c r="AN1160">
        <v>0.999999937234896</v>
      </c>
    </row>
    <row r="1161" spans="1:40" x14ac:dyDescent="0.3">
      <c r="A1161" t="str">
        <f>"20200111145935377"</f>
        <v>20200111145935377</v>
      </c>
      <c r="B1161" t="str">
        <f>"1578725975367038"</f>
        <v>1578725975367038</v>
      </c>
      <c r="C1161" t="s">
        <v>40</v>
      </c>
      <c r="D1161">
        <v>4.395435</v>
      </c>
      <c r="E1161">
        <v>0.63149319999999998</v>
      </c>
      <c r="F1161" t="s">
        <v>48</v>
      </c>
      <c r="G1161">
        <v>-168.99039999999999</v>
      </c>
      <c r="H1161">
        <v>25.62481</v>
      </c>
      <c r="I1161">
        <v>327.83909999999997</v>
      </c>
      <c r="J1161">
        <v>-336.06240000000003</v>
      </c>
      <c r="K1161">
        <v>1.1044719999999999</v>
      </c>
      <c r="L1161">
        <v>367.5872</v>
      </c>
      <c r="M1161">
        <v>0.99991359999999996</v>
      </c>
      <c r="N1161">
        <v>0</v>
      </c>
      <c r="O1161">
        <v>5.6193290000000002E-3</v>
      </c>
      <c r="P1161">
        <v>0.99427339999999997</v>
      </c>
      <c r="Q1161">
        <v>2.2997099999999999E-2</v>
      </c>
      <c r="R1161">
        <v>0.10436380000000001</v>
      </c>
      <c r="S1161">
        <v>3.0836790000000001</v>
      </c>
      <c r="T1161">
        <v>0.45226660000000002</v>
      </c>
      <c r="U1161">
        <v>-0.73312379999999999</v>
      </c>
      <c r="V1161">
        <v>-9.8769200000000001E-2</v>
      </c>
      <c r="W1161">
        <v>3.4827650000000002E-2</v>
      </c>
      <c r="X1161">
        <v>0.99450070000000002</v>
      </c>
      <c r="Y1161">
        <v>0.23432890000000001</v>
      </c>
      <c r="Z1161">
        <v>1.766999E-2</v>
      </c>
      <c r="AA1161">
        <v>0.97199679999999999</v>
      </c>
      <c r="AB1161">
        <v>23</v>
      </c>
      <c r="AC1161">
        <v>167.072</v>
      </c>
      <c r="AD1161">
        <v>24.520337999999999</v>
      </c>
      <c r="AE1161">
        <v>-39.748100000000001</v>
      </c>
      <c r="AF1161">
        <v>39.8735053031806</v>
      </c>
      <c r="AG1161">
        <v>24.520337999999999</v>
      </c>
      <c r="AH1161">
        <v>163.51260163977301</v>
      </c>
      <c r="AI1161">
        <v>81.710858280447994</v>
      </c>
      <c r="AJ1161">
        <v>76.295558218535206</v>
      </c>
      <c r="AK1161">
        <v>170.080905147533</v>
      </c>
      <c r="AL1161">
        <v>88.004118979291306</v>
      </c>
      <c r="AM1161">
        <v>95.671752196956504</v>
      </c>
      <c r="AN1161">
        <v>0.99999998118682598</v>
      </c>
    </row>
    <row r="1162" spans="1:40" x14ac:dyDescent="0.3">
      <c r="A1162" t="str">
        <f>"20200111145935390"</f>
        <v>20200111145935390</v>
      </c>
      <c r="B1162" t="str">
        <f>"1578725975386558"</f>
        <v>1578725975386558</v>
      </c>
      <c r="C1162" t="s">
        <v>40</v>
      </c>
      <c r="D1162">
        <v>4.3948499999999999</v>
      </c>
      <c r="E1162">
        <v>0.53079379999999998</v>
      </c>
      <c r="F1162" t="s">
        <v>48</v>
      </c>
      <c r="G1162">
        <v>-168.99039999999999</v>
      </c>
      <c r="H1162">
        <v>25.618569999999998</v>
      </c>
      <c r="I1162">
        <v>327.89710000000002</v>
      </c>
      <c r="J1162">
        <v>-335.93699999999899</v>
      </c>
      <c r="K1162">
        <v>1.1044719999999999</v>
      </c>
      <c r="L1162">
        <v>367.58789999999999</v>
      </c>
      <c r="M1162">
        <v>0.99991379999999996</v>
      </c>
      <c r="N1162">
        <v>0</v>
      </c>
      <c r="O1162">
        <v>5.5813190000000004E-3</v>
      </c>
      <c r="P1162">
        <v>0.99423640000000002</v>
      </c>
      <c r="Q1162">
        <v>2.3007730000000001E-2</v>
      </c>
      <c r="R1162">
        <v>0.10471469999999999</v>
      </c>
      <c r="S1162">
        <v>3.08371</v>
      </c>
      <c r="T1162">
        <v>0.45246570000000003</v>
      </c>
      <c r="U1162">
        <v>-0.73257450000000002</v>
      </c>
      <c r="V1162">
        <v>-9.9158460000000004E-2</v>
      </c>
      <c r="W1162">
        <v>3.4846710000000003E-2</v>
      </c>
      <c r="X1162">
        <v>0.99446129999999999</v>
      </c>
      <c r="Y1162">
        <v>0.23412620000000001</v>
      </c>
      <c r="Z1162">
        <v>1.7657809999999999E-2</v>
      </c>
      <c r="AA1162">
        <v>0.97204579999999996</v>
      </c>
      <c r="AB1162">
        <v>23</v>
      </c>
      <c r="AC1162">
        <v>166.94659999999899</v>
      </c>
      <c r="AD1162">
        <v>24.514098000000001</v>
      </c>
      <c r="AE1162">
        <v>-39.690799999999903</v>
      </c>
      <c r="AF1162">
        <v>39.809600444450602</v>
      </c>
      <c r="AG1162">
        <v>24.514098000000001</v>
      </c>
      <c r="AH1162">
        <v>163.388053896543</v>
      </c>
      <c r="AI1162">
        <v>81.706322996381203</v>
      </c>
      <c r="AJ1162">
        <v>76.306657898624593</v>
      </c>
      <c r="AK1162">
        <v>169.94528956225901</v>
      </c>
      <c r="AL1162">
        <v>88.003026266635302</v>
      </c>
      <c r="AM1162">
        <v>95.694182691973793</v>
      </c>
      <c r="AN1162">
        <v>0.99999998529254197</v>
      </c>
    </row>
    <row r="1163" spans="1:40" x14ac:dyDescent="0.3">
      <c r="A1163" t="str">
        <f>"20200111145935402"</f>
        <v>20200111145935402</v>
      </c>
      <c r="B1163" t="str">
        <f>"1578725975397295"</f>
        <v>1578725975397295</v>
      </c>
      <c r="C1163" t="s">
        <v>40</v>
      </c>
      <c r="D1163">
        <v>4.4396279999999999</v>
      </c>
      <c r="E1163">
        <v>0.52261210000000002</v>
      </c>
      <c r="F1163" t="s">
        <v>44</v>
      </c>
      <c r="G1163">
        <v>-158.19499999999999</v>
      </c>
      <c r="H1163">
        <v>3.2038549999999999</v>
      </c>
      <c r="I1163">
        <v>371.73200000000003</v>
      </c>
      <c r="J1163">
        <v>-335.81599999999997</v>
      </c>
      <c r="K1163">
        <v>1.104473</v>
      </c>
      <c r="L1163">
        <v>367.58850000000001</v>
      </c>
      <c r="M1163">
        <v>0.99991410000000003</v>
      </c>
      <c r="N1163">
        <v>0</v>
      </c>
      <c r="O1163">
        <v>5.5446239999999997E-3</v>
      </c>
      <c r="P1163">
        <v>0.99421590000000004</v>
      </c>
      <c r="Q1163">
        <v>2.3071689999999999E-2</v>
      </c>
      <c r="R1163">
        <v>0.1048935</v>
      </c>
      <c r="S1163">
        <v>3.0091549999999998</v>
      </c>
      <c r="T1163">
        <v>3.55438E-2</v>
      </c>
      <c r="U1163">
        <v>7.0159910000000006E-2</v>
      </c>
      <c r="V1163">
        <v>-9.9373970000000006E-2</v>
      </c>
      <c r="W1163">
        <v>3.4919150000000003E-2</v>
      </c>
      <c r="X1163">
        <v>0.99443729999999997</v>
      </c>
      <c r="Y1163">
        <v>-1.7764430000000001E-2</v>
      </c>
      <c r="Z1163" s="1">
        <v>-3.9413209999999998E-5</v>
      </c>
      <c r="AA1163">
        <v>0.99984220000000001</v>
      </c>
      <c r="AB1163">
        <v>23</v>
      </c>
      <c r="AC1163">
        <v>177.62099999999899</v>
      </c>
      <c r="AD1163">
        <v>2.0993819999999999</v>
      </c>
      <c r="AE1163">
        <v>4.1434999999999604</v>
      </c>
      <c r="AF1163">
        <v>-3.1580842340284501</v>
      </c>
      <c r="AG1163">
        <v>2.0993819999999999</v>
      </c>
      <c r="AH1163">
        <v>177.61644567281201</v>
      </c>
      <c r="AI1163">
        <v>89.322916748165099</v>
      </c>
      <c r="AJ1163">
        <v>91.018632215293493</v>
      </c>
      <c r="AK1163">
        <v>177.65692408193399</v>
      </c>
      <c r="AL1163">
        <v>87.998873338890704</v>
      </c>
      <c r="AM1163">
        <v>95.706613593227601</v>
      </c>
      <c r="AN1163">
        <v>1.0000000382907801</v>
      </c>
    </row>
    <row r="1164" spans="1:40" x14ac:dyDescent="0.3">
      <c r="A1164" t="str">
        <f>"20200111145935412"</f>
        <v>20200111145935412</v>
      </c>
      <c r="B1164" t="str">
        <f>"1578725975407054"</f>
        <v>1578725975407054</v>
      </c>
      <c r="C1164" t="s">
        <v>40</v>
      </c>
      <c r="D1164">
        <v>4.5768849999999999</v>
      </c>
      <c r="E1164">
        <v>0.51766769999999995</v>
      </c>
      <c r="F1164" t="s">
        <v>42</v>
      </c>
      <c r="G1164">
        <v>-267.25720000000001</v>
      </c>
      <c r="H1164" s="1">
        <v>-1.4459049999999999E-6</v>
      </c>
      <c r="I1164">
        <v>370.69459999999998</v>
      </c>
      <c r="J1164">
        <v>-335.702</v>
      </c>
      <c r="K1164">
        <v>1.1044750000000001</v>
      </c>
      <c r="L1164">
        <v>367.58909999999997</v>
      </c>
      <c r="M1164">
        <v>0.99991410000000003</v>
      </c>
      <c r="N1164">
        <v>0</v>
      </c>
      <c r="O1164">
        <v>5.5101369999999896E-3</v>
      </c>
      <c r="P1164">
        <v>0.99419409999999997</v>
      </c>
      <c r="Q1164">
        <v>2.269821E-2</v>
      </c>
      <c r="R1164">
        <v>0.1051805</v>
      </c>
      <c r="S1164">
        <v>3.004181</v>
      </c>
      <c r="T1164">
        <v>-4.8396939999999999E-2</v>
      </c>
      <c r="U1164">
        <v>0.13610839999999999</v>
      </c>
      <c r="V1164">
        <v>-9.9695779999999998E-2</v>
      </c>
      <c r="W1164">
        <v>3.4553149999999998E-2</v>
      </c>
      <c r="X1164">
        <v>0.99441780000000002</v>
      </c>
      <c r="Y1164">
        <v>-3.9749899999999998E-2</v>
      </c>
      <c r="Z1164">
        <v>2.3127839999999999E-4</v>
      </c>
      <c r="AA1164">
        <v>0.99920960000000003</v>
      </c>
      <c r="AB1164">
        <v>23</v>
      </c>
      <c r="AC1164">
        <v>68.444799999999901</v>
      </c>
      <c r="AD1164">
        <v>-1.104476445905</v>
      </c>
      <c r="AE1164">
        <v>3.1055000000000001</v>
      </c>
      <c r="AF1164">
        <v>-2.72757716429218</v>
      </c>
      <c r="AG1164">
        <v>-1.104476445905</v>
      </c>
      <c r="AH1164">
        <v>68.443088141301203</v>
      </c>
      <c r="AI1164">
        <v>90.923777263523107</v>
      </c>
      <c r="AJ1164">
        <v>92.282129734880598</v>
      </c>
      <c r="AK1164">
        <v>68.506319852438807</v>
      </c>
      <c r="AL1164">
        <v>88.0198561108229</v>
      </c>
      <c r="AM1164">
        <v>95.725082694024195</v>
      </c>
      <c r="AN1164">
        <v>0.99999996484078402</v>
      </c>
    </row>
    <row r="1165" spans="1:40" x14ac:dyDescent="0.3">
      <c r="A1165" t="str">
        <f>"20200111145935423"</f>
        <v>20200111145935423</v>
      </c>
      <c r="B1165" t="str">
        <f>"1578725975416815"</f>
        <v>1578725975416815</v>
      </c>
      <c r="C1165" t="s">
        <v>40</v>
      </c>
      <c r="D1165">
        <v>4.4278139999999997</v>
      </c>
      <c r="E1165">
        <v>0.51596009999999903</v>
      </c>
      <c r="F1165" t="s">
        <v>43</v>
      </c>
      <c r="G1165">
        <v>-279.32799999999997</v>
      </c>
      <c r="H1165">
        <v>-0.05</v>
      </c>
      <c r="I1165">
        <v>370.90120000000002</v>
      </c>
      <c r="J1165">
        <v>-335.58949999999999</v>
      </c>
      <c r="K1165">
        <v>1.1044750000000001</v>
      </c>
      <c r="L1165">
        <v>367.58969999999999</v>
      </c>
      <c r="M1165">
        <v>0.99991410000000003</v>
      </c>
      <c r="N1165">
        <v>0</v>
      </c>
      <c r="O1165">
        <v>5.4761280000000002E-3</v>
      </c>
      <c r="P1165">
        <v>0.99419669999999905</v>
      </c>
      <c r="Q1165">
        <v>2.2675799999999999E-2</v>
      </c>
      <c r="R1165">
        <v>0.1051612</v>
      </c>
      <c r="S1165">
        <v>3.0002749999999998</v>
      </c>
      <c r="T1165">
        <v>-6.1442139999999999E-2</v>
      </c>
      <c r="U1165">
        <v>0.1762695</v>
      </c>
      <c r="V1165">
        <v>-9.9710060000000003E-2</v>
      </c>
      <c r="W1165">
        <v>3.4537419999999999E-2</v>
      </c>
      <c r="X1165">
        <v>0.994417</v>
      </c>
      <c r="Y1165">
        <v>-5.317206E-2</v>
      </c>
      <c r="Z1165">
        <v>4.3188569999999998E-4</v>
      </c>
      <c r="AA1165">
        <v>0.99858530000000001</v>
      </c>
      <c r="AB1165">
        <v>23</v>
      </c>
      <c r="AC1165">
        <v>56.261499999999998</v>
      </c>
      <c r="AD1165">
        <v>-1.1544749999999999</v>
      </c>
      <c r="AE1165">
        <v>3.3115000000000201</v>
      </c>
      <c r="AF1165">
        <v>-3.0020736213168902</v>
      </c>
      <c r="AG1165">
        <v>-1.1544749999999999</v>
      </c>
      <c r="AH1165">
        <v>56.255186607653798</v>
      </c>
      <c r="AI1165">
        <v>91.173995106127904</v>
      </c>
      <c r="AJ1165">
        <v>93.054707563127096</v>
      </c>
      <c r="AK1165">
        <v>56.347060959870703</v>
      </c>
      <c r="AL1165">
        <v>88.020758079679993</v>
      </c>
      <c r="AM1165">
        <v>95.725901857767496</v>
      </c>
      <c r="AN1165">
        <v>1.0000000496672199</v>
      </c>
    </row>
    <row r="1166" spans="1:40" x14ac:dyDescent="0.3">
      <c r="A1166" t="str">
        <f>"20200111145935434"</f>
        <v>20200111145935434</v>
      </c>
      <c r="B1166" t="str">
        <f>"1578725975426574"</f>
        <v>1578725975426574</v>
      </c>
      <c r="C1166" t="s">
        <v>40</v>
      </c>
      <c r="D1166">
        <v>4.4577589999999896</v>
      </c>
      <c r="E1166">
        <v>0.51482559999999999</v>
      </c>
      <c r="F1166" t="s">
        <v>43</v>
      </c>
      <c r="G1166">
        <v>-300.3492</v>
      </c>
      <c r="H1166">
        <v>-0.05</v>
      </c>
      <c r="I1166">
        <v>369.81959999999998</v>
      </c>
      <c r="J1166">
        <v>-335.47680000000003</v>
      </c>
      <c r="K1166">
        <v>1.1044769999999999</v>
      </c>
      <c r="L1166">
        <v>367.59019999999998</v>
      </c>
      <c r="M1166">
        <v>0.99991419999999998</v>
      </c>
      <c r="N1166">
        <v>0</v>
      </c>
      <c r="O1166">
        <v>5.4419400000000001E-3</v>
      </c>
      <c r="P1166">
        <v>0.99421789999999999</v>
      </c>
      <c r="Q1166">
        <v>2.252055E-2</v>
      </c>
      <c r="R1166">
        <v>0.1049953</v>
      </c>
      <c r="S1166">
        <v>2.9996640000000001</v>
      </c>
      <c r="T1166">
        <v>-9.8269220000000004E-2</v>
      </c>
      <c r="U1166">
        <v>0.1898193</v>
      </c>
      <c r="V1166">
        <v>-9.9577799999999994E-2</v>
      </c>
      <c r="W1166">
        <v>3.4389690000000001E-2</v>
      </c>
      <c r="X1166">
        <v>0.99443530000000002</v>
      </c>
      <c r="Y1166">
        <v>-5.769357E-2</v>
      </c>
      <c r="Z1166">
        <v>7.6576940000000005E-4</v>
      </c>
      <c r="AA1166">
        <v>0.9983341</v>
      </c>
      <c r="AB1166">
        <v>23</v>
      </c>
      <c r="AC1166">
        <v>35.127600000000001</v>
      </c>
      <c r="AD1166">
        <v>-1.154477</v>
      </c>
      <c r="AE1166">
        <v>2.2293999999999898</v>
      </c>
      <c r="AF1166">
        <v>-2.0360008091872799</v>
      </c>
      <c r="AG1166">
        <v>-1.154477</v>
      </c>
      <c r="AH1166">
        <v>35.101451079314501</v>
      </c>
      <c r="AI1166">
        <v>91.880604657147302</v>
      </c>
      <c r="AJ1166">
        <v>93.319626113082194</v>
      </c>
      <c r="AK1166">
        <v>35.179397156745701</v>
      </c>
      <c r="AL1166">
        <v>88.029227273576097</v>
      </c>
      <c r="AM1166">
        <v>95.718252593167506</v>
      </c>
      <c r="AN1166">
        <v>0.99999997745861202</v>
      </c>
    </row>
    <row r="1167" spans="1:40" x14ac:dyDescent="0.3">
      <c r="A1167" t="str">
        <f>"20200111145935445"</f>
        <v>20200111145935445</v>
      </c>
      <c r="B1167" t="str">
        <f>"1578725975437311"</f>
        <v>1578725975437311</v>
      </c>
      <c r="C1167" t="s">
        <v>40</v>
      </c>
      <c r="D1167">
        <v>4.4825730000000004</v>
      </c>
      <c r="E1167">
        <v>0.51358099999999995</v>
      </c>
      <c r="F1167" t="s">
        <v>43</v>
      </c>
      <c r="G1167">
        <v>-304.77969999999999</v>
      </c>
      <c r="H1167">
        <v>-0.05</v>
      </c>
      <c r="I1167">
        <v>369.62189999999998</v>
      </c>
      <c r="J1167">
        <v>-335.37220000000002</v>
      </c>
      <c r="K1167">
        <v>1.1044780000000001</v>
      </c>
      <c r="L1167">
        <v>367.5908</v>
      </c>
      <c r="M1167">
        <v>0.99991430000000003</v>
      </c>
      <c r="N1167">
        <v>0</v>
      </c>
      <c r="O1167">
        <v>5.4101310000000003E-3</v>
      </c>
      <c r="P1167">
        <v>0.99425580000000002</v>
      </c>
      <c r="Q1167">
        <v>2.2646900000000001E-2</v>
      </c>
      <c r="R1167">
        <v>0.10460849999999999</v>
      </c>
      <c r="S1167">
        <v>2.9990540000000001</v>
      </c>
      <c r="T1167">
        <v>-0.1127905</v>
      </c>
      <c r="U1167">
        <v>0.1984863</v>
      </c>
      <c r="V1167">
        <v>-9.9222649999999996E-2</v>
      </c>
      <c r="W1167">
        <v>3.4523129999999999E-2</v>
      </c>
      <c r="X1167">
        <v>0.99446619999999997</v>
      </c>
      <c r="Y1167">
        <v>-6.0599989999999999E-2</v>
      </c>
      <c r="Z1167">
        <v>9.3471869999999999E-4</v>
      </c>
      <c r="AA1167">
        <v>0.99816170000000004</v>
      </c>
      <c r="AB1167">
        <v>23</v>
      </c>
      <c r="AC1167">
        <v>30.592500000000001</v>
      </c>
      <c r="AD1167">
        <v>-1.1544779999999999</v>
      </c>
      <c r="AE1167">
        <v>2.0310999999999799</v>
      </c>
      <c r="AF1167">
        <v>-1.86290774599839</v>
      </c>
      <c r="AG1167">
        <v>-1.1544779999999999</v>
      </c>
      <c r="AH1167">
        <v>30.559712331978499</v>
      </c>
      <c r="AI1167">
        <v>92.159473513429901</v>
      </c>
      <c r="AJ1167">
        <v>93.488410835980304</v>
      </c>
      <c r="AK1167">
        <v>30.638199401006901</v>
      </c>
      <c r="AL1167">
        <v>88.021577230263503</v>
      </c>
      <c r="AM1167">
        <v>95.697816671050603</v>
      </c>
      <c r="AN1167">
        <v>1.00000000186022</v>
      </c>
    </row>
    <row r="1168" spans="1:40" x14ac:dyDescent="0.3">
      <c r="A1168" t="str">
        <f>"20200111145935456"</f>
        <v>20200111145935456</v>
      </c>
      <c r="B1168" t="str">
        <f>"1578725975447070"</f>
        <v>1578725975447070</v>
      </c>
      <c r="C1168" t="s">
        <v>40</v>
      </c>
      <c r="D1168">
        <v>4.4675580000000004</v>
      </c>
      <c r="E1168">
        <v>0.51358099999999995</v>
      </c>
      <c r="F1168" t="s">
        <v>43</v>
      </c>
      <c r="G1168">
        <v>-307.3159</v>
      </c>
      <c r="H1168">
        <v>-0.05</v>
      </c>
      <c r="I1168">
        <v>369.53460000000001</v>
      </c>
      <c r="J1168">
        <v>-335.25650000000002</v>
      </c>
      <c r="K1168">
        <v>1.1044799999999999</v>
      </c>
      <c r="L1168">
        <v>367.59140000000002</v>
      </c>
      <c r="M1168">
        <v>0.99991439999999998</v>
      </c>
      <c r="N1168">
        <v>0</v>
      </c>
      <c r="O1168">
        <v>5.3747869999999998E-3</v>
      </c>
      <c r="P1168">
        <v>0.9942955</v>
      </c>
      <c r="Q1168">
        <v>2.2547540000000001E-2</v>
      </c>
      <c r="R1168">
        <v>0.1042511</v>
      </c>
      <c r="S1168">
        <v>2.9982600000000001</v>
      </c>
      <c r="T1168">
        <v>-0.12337430000000001</v>
      </c>
      <c r="U1168">
        <v>0.20773320000000001</v>
      </c>
      <c r="V1168">
        <v>-9.8900500000000002E-2</v>
      </c>
      <c r="W1168">
        <v>3.4432110000000002E-2</v>
      </c>
      <c r="X1168">
        <v>0.99450150000000004</v>
      </c>
      <c r="Y1168">
        <v>-6.3706429999999994E-2</v>
      </c>
      <c r="Z1168">
        <v>1.0877829999999999E-3</v>
      </c>
      <c r="AA1168">
        <v>0.99796810000000002</v>
      </c>
      <c r="AB1168">
        <v>23</v>
      </c>
      <c r="AC1168">
        <v>27.9406</v>
      </c>
      <c r="AD1168">
        <v>-1.15448</v>
      </c>
      <c r="AE1168">
        <v>1.94319999999999</v>
      </c>
      <c r="AF1168">
        <v>-1.78994526376498</v>
      </c>
      <c r="AG1168">
        <v>-1.15448</v>
      </c>
      <c r="AH1168">
        <v>27.903232440940101</v>
      </c>
      <c r="AI1168">
        <v>92.3643740472031</v>
      </c>
      <c r="AJ1168">
        <v>93.670398489531607</v>
      </c>
      <c r="AK1168">
        <v>27.984408315539</v>
      </c>
      <c r="AL1168">
        <v>88.026795501926202</v>
      </c>
      <c r="AM1168">
        <v>95.679238212156406</v>
      </c>
      <c r="AN1168">
        <v>1.00000005630077</v>
      </c>
    </row>
    <row r="1169" spans="1:40" x14ac:dyDescent="0.3">
      <c r="A1169" t="str">
        <f>"20200111145935466"</f>
        <v>20200111145935466</v>
      </c>
      <c r="B1169" t="str">
        <f>"1578725975457028"</f>
        <v>1578725975457028</v>
      </c>
      <c r="C1169" t="s">
        <v>40</v>
      </c>
      <c r="D1169">
        <v>4.4552750000000003</v>
      </c>
      <c r="E1169">
        <v>0.51291900000000001</v>
      </c>
      <c r="F1169" t="s">
        <v>43</v>
      </c>
      <c r="G1169">
        <v>-307.27960000000002</v>
      </c>
      <c r="H1169">
        <v>-0.05</v>
      </c>
      <c r="I1169">
        <v>369.52</v>
      </c>
      <c r="J1169">
        <v>-335.14710000000002</v>
      </c>
      <c r="K1169">
        <v>1.104479</v>
      </c>
      <c r="L1169">
        <v>367.59190000000001</v>
      </c>
      <c r="M1169">
        <v>0.99991450000000004</v>
      </c>
      <c r="N1169">
        <v>0</v>
      </c>
      <c r="O1169">
        <v>5.339725E-3</v>
      </c>
      <c r="P1169">
        <v>0.99435119999999999</v>
      </c>
      <c r="Q1169">
        <v>2.2635800000000001E-2</v>
      </c>
      <c r="R1169">
        <v>0.1036996</v>
      </c>
      <c r="S1169">
        <v>2.998291</v>
      </c>
      <c r="T1169">
        <v>-0.123726</v>
      </c>
      <c r="U1169">
        <v>0.20669560000000001</v>
      </c>
      <c r="V1169">
        <v>-9.838326E-2</v>
      </c>
      <c r="W1169">
        <v>3.4530270000000002E-2</v>
      </c>
      <c r="X1169">
        <v>0.99454929999999997</v>
      </c>
      <c r="Y1169">
        <v>-6.3396949999999994E-2</v>
      </c>
      <c r="Z1169">
        <v>1.085953E-3</v>
      </c>
      <c r="AA1169">
        <v>0.99798779999999998</v>
      </c>
      <c r="AB1169">
        <v>23</v>
      </c>
      <c r="AC1169">
        <v>27.8675</v>
      </c>
      <c r="AD1169">
        <v>-1.154479</v>
      </c>
      <c r="AE1169">
        <v>1.9280999999999699</v>
      </c>
      <c r="AF1169">
        <v>-1.77622323147052</v>
      </c>
      <c r="AG1169">
        <v>-1.154479</v>
      </c>
      <c r="AH1169">
        <v>27.829863949545199</v>
      </c>
      <c r="AI1169">
        <v>92.370647029696201</v>
      </c>
      <c r="AJ1169">
        <v>93.651913035167297</v>
      </c>
      <c r="AK1169">
        <v>27.910376532387598</v>
      </c>
      <c r="AL1169">
        <v>88.021167807045799</v>
      </c>
      <c r="AM1169">
        <v>95.649459225511904</v>
      </c>
      <c r="AN1169">
        <v>0.99999995776249395</v>
      </c>
    </row>
    <row r="1170" spans="1:40" x14ac:dyDescent="0.3">
      <c r="A1170" t="str">
        <f>"20200111145935477"</f>
        <v>20200111145935477</v>
      </c>
      <c r="B1170" t="str">
        <f>"1578725975466788"</f>
        <v>1578725975466788</v>
      </c>
      <c r="C1170" t="s">
        <v>40</v>
      </c>
      <c r="D1170">
        <v>4.6361420000000004</v>
      </c>
      <c r="E1170">
        <v>0.51290230000000003</v>
      </c>
      <c r="F1170" t="s">
        <v>43</v>
      </c>
      <c r="G1170">
        <v>-310.9554</v>
      </c>
      <c r="H1170">
        <v>-0.05</v>
      </c>
      <c r="I1170">
        <v>369.28739999999999</v>
      </c>
      <c r="J1170">
        <v>-335.03629999999998</v>
      </c>
      <c r="K1170">
        <v>1.1044719999999999</v>
      </c>
      <c r="L1170">
        <v>367.59249999999997</v>
      </c>
      <c r="M1170">
        <v>0.99991459999999999</v>
      </c>
      <c r="N1170">
        <v>0</v>
      </c>
      <c r="O1170">
        <v>5.303159E-3</v>
      </c>
      <c r="P1170">
        <v>0.99438380000000004</v>
      </c>
      <c r="Q1170">
        <v>2.2517189999999999E-2</v>
      </c>
      <c r="R1170">
        <v>0.10341309999999999</v>
      </c>
      <c r="S1170">
        <v>2.998383</v>
      </c>
      <c r="T1170">
        <v>-0.14308940000000001</v>
      </c>
      <c r="U1170">
        <v>0.210144</v>
      </c>
      <c r="V1170">
        <v>-9.8132730000000001E-2</v>
      </c>
      <c r="W1170">
        <v>3.4422099999999997E-2</v>
      </c>
      <c r="X1170">
        <v>0.99457779999999996</v>
      </c>
      <c r="Y1170">
        <v>-6.4555650000000006E-2</v>
      </c>
      <c r="Z1170">
        <v>1.28498E-3</v>
      </c>
      <c r="AA1170">
        <v>0.9979133</v>
      </c>
      <c r="AB1170">
        <v>23</v>
      </c>
      <c r="AC1170">
        <v>24.0808999999999</v>
      </c>
      <c r="AD1170">
        <v>-1.1544719999999999</v>
      </c>
      <c r="AE1170">
        <v>1.6949000000000101</v>
      </c>
      <c r="AF1170">
        <v>-1.56358621428124</v>
      </c>
      <c r="AG1170">
        <v>-1.1544719999999999</v>
      </c>
      <c r="AH1170">
        <v>24.034582054568499</v>
      </c>
      <c r="AI1170">
        <v>92.744227500511201</v>
      </c>
      <c r="AJ1170">
        <v>93.722171089655902</v>
      </c>
      <c r="AK1170">
        <v>24.113040911217698</v>
      </c>
      <c r="AL1170">
        <v>88.027369176789193</v>
      </c>
      <c r="AM1170">
        <v>95.635005320522595</v>
      </c>
      <c r="AN1170">
        <v>0.99999995695925004</v>
      </c>
    </row>
    <row r="1171" spans="1:40" x14ac:dyDescent="0.3">
      <c r="A1171" t="str">
        <f>"20200111145935488"</f>
        <v>20200111145935488</v>
      </c>
      <c r="B1171" t="str">
        <f>"1578725975476548"</f>
        <v>1578725975476548</v>
      </c>
      <c r="C1171" t="s">
        <v>40</v>
      </c>
      <c r="D1171">
        <v>4.6992180000000001</v>
      </c>
      <c r="E1171">
        <v>0.51221149999999904</v>
      </c>
      <c r="F1171" t="s">
        <v>43</v>
      </c>
      <c r="G1171">
        <v>-311.77699999999999</v>
      </c>
      <c r="H1171">
        <v>-0.05</v>
      </c>
      <c r="I1171">
        <v>369.21559999999999</v>
      </c>
      <c r="J1171">
        <v>-334.92720000000003</v>
      </c>
      <c r="K1171">
        <v>1.1044719999999999</v>
      </c>
      <c r="L1171">
        <v>367.59300000000002</v>
      </c>
      <c r="M1171">
        <v>0.99991470000000005</v>
      </c>
      <c r="N1171">
        <v>0</v>
      </c>
      <c r="O1171">
        <v>5.2696339999999996E-3</v>
      </c>
      <c r="P1171">
        <v>0.99443760000000003</v>
      </c>
      <c r="Q1171">
        <v>2.2401689999999998E-2</v>
      </c>
      <c r="R1171">
        <v>0.1029195</v>
      </c>
      <c r="S1171">
        <v>2.998535</v>
      </c>
      <c r="T1171">
        <v>-0.1488313</v>
      </c>
      <c r="U1171">
        <v>0.209259</v>
      </c>
      <c r="V1171">
        <v>-9.7672099999999998E-2</v>
      </c>
      <c r="W1171">
        <v>3.4319639999999998E-2</v>
      </c>
      <c r="X1171">
        <v>0.99462669999999997</v>
      </c>
      <c r="Y1171">
        <v>-6.4287289999999997E-2</v>
      </c>
      <c r="Z1171">
        <v>1.331441E-3</v>
      </c>
      <c r="AA1171">
        <v>0.99793050000000005</v>
      </c>
      <c r="AB1171">
        <v>23</v>
      </c>
      <c r="AC1171">
        <v>23.150200000000002</v>
      </c>
      <c r="AD1171">
        <v>-1.1544719999999999</v>
      </c>
      <c r="AE1171">
        <v>1.6225999999999701</v>
      </c>
      <c r="AF1171">
        <v>-1.4968713114082499</v>
      </c>
      <c r="AG1171">
        <v>-1.1544719999999999</v>
      </c>
      <c r="AH1171">
        <v>23.101260103275401</v>
      </c>
      <c r="AI1171">
        <v>92.8549659470698</v>
      </c>
      <c r="AJ1171">
        <v>93.707359748267095</v>
      </c>
      <c r="AK1171">
        <v>23.178473799646198</v>
      </c>
      <c r="AL1171">
        <v>88.033243207951898</v>
      </c>
      <c r="AM1171">
        <v>95.608449950232995</v>
      </c>
      <c r="AN1171">
        <v>0.99999997458051404</v>
      </c>
    </row>
    <row r="1172" spans="1:40" x14ac:dyDescent="0.3">
      <c r="A1172" t="str">
        <f>"20200111145935498"</f>
        <v>20200111145935498</v>
      </c>
      <c r="B1172" t="str">
        <f>"1578725975487284"</f>
        <v>1578725975487284</v>
      </c>
      <c r="C1172" t="s">
        <v>40</v>
      </c>
      <c r="D1172">
        <v>4.5160280000000004</v>
      </c>
      <c r="E1172">
        <v>0.51152989999999998</v>
      </c>
      <c r="F1172" t="s">
        <v>43</v>
      </c>
      <c r="G1172">
        <v>-311.36599999999999</v>
      </c>
      <c r="H1172">
        <v>-0.05</v>
      </c>
      <c r="I1172">
        <v>369.2697</v>
      </c>
      <c r="J1172">
        <v>-334.81540000000001</v>
      </c>
      <c r="K1172">
        <v>1.1044719999999999</v>
      </c>
      <c r="L1172">
        <v>367.59359999999998</v>
      </c>
      <c r="M1172">
        <v>0.99991459999999999</v>
      </c>
      <c r="N1172">
        <v>0</v>
      </c>
      <c r="O1172">
        <v>5.2360459999999899E-3</v>
      </c>
      <c r="P1172">
        <v>0.99446959999999995</v>
      </c>
      <c r="Q1172">
        <v>2.227637E-2</v>
      </c>
      <c r="R1172">
        <v>0.1026355</v>
      </c>
      <c r="S1172">
        <v>2.9980159999999998</v>
      </c>
      <c r="T1172">
        <v>-0.1468991</v>
      </c>
      <c r="U1172">
        <v>0.21334839999999999</v>
      </c>
      <c r="V1172">
        <v>-9.7421560000000004E-2</v>
      </c>
      <c r="W1172">
        <v>3.4209080000000003E-2</v>
      </c>
      <c r="X1172">
        <v>0.99465510000000001</v>
      </c>
      <c r="Y1172">
        <v>-6.5687339999999997E-2</v>
      </c>
      <c r="Z1172">
        <v>1.3502179999999901E-3</v>
      </c>
      <c r="AA1172">
        <v>0.99783929999999998</v>
      </c>
      <c r="AB1172">
        <v>23</v>
      </c>
      <c r="AC1172">
        <v>23.449400000000001</v>
      </c>
      <c r="AD1172">
        <v>-1.1544719999999999</v>
      </c>
      <c r="AE1172">
        <v>1.6761000000000099</v>
      </c>
      <c r="AF1172">
        <v>-1.54954931716208</v>
      </c>
      <c r="AG1172">
        <v>-1.1544719999999999</v>
      </c>
      <c r="AH1172">
        <v>23.401422363239501</v>
      </c>
      <c r="AI1172">
        <v>92.818145074732499</v>
      </c>
      <c r="AJ1172">
        <v>93.788368811789098</v>
      </c>
      <c r="AK1172">
        <v>23.481066357979302</v>
      </c>
      <c r="AL1172">
        <v>88.039581590866703</v>
      </c>
      <c r="AM1172">
        <v>95.593996296780304</v>
      </c>
      <c r="AN1172">
        <v>0.99999999473164503</v>
      </c>
    </row>
    <row r="1173" spans="1:40" x14ac:dyDescent="0.3">
      <c r="A1173" t="str">
        <f>"20200111145935510"</f>
        <v>20200111145935510</v>
      </c>
      <c r="B1173" t="str">
        <f>"1578725975506803"</f>
        <v>1578725975506803</v>
      </c>
      <c r="C1173" t="s">
        <v>40</v>
      </c>
      <c r="D1173">
        <v>4.6411300000000004</v>
      </c>
      <c r="E1173">
        <v>0.51090230000000003</v>
      </c>
      <c r="F1173" t="s">
        <v>43</v>
      </c>
      <c r="G1173">
        <v>-311.98090000000002</v>
      </c>
      <c r="H1173">
        <v>-0.05</v>
      </c>
      <c r="I1173">
        <v>369.2525</v>
      </c>
      <c r="J1173">
        <v>-334.7038</v>
      </c>
      <c r="K1173">
        <v>1.104473</v>
      </c>
      <c r="L1173">
        <v>367.59410000000003</v>
      </c>
      <c r="M1173">
        <v>0.99991450000000004</v>
      </c>
      <c r="N1173">
        <v>0</v>
      </c>
      <c r="O1173">
        <v>5.2043480000000001E-3</v>
      </c>
      <c r="P1173">
        <v>0.99452700000000005</v>
      </c>
      <c r="Q1173">
        <v>2.199692E-2</v>
      </c>
      <c r="R1173">
        <v>0.1021389</v>
      </c>
      <c r="S1173">
        <v>2.99762</v>
      </c>
      <c r="T1173">
        <v>-0.15155460000000001</v>
      </c>
      <c r="U1173">
        <v>0.21777340000000001</v>
      </c>
      <c r="V1173">
        <v>-9.6956189999999998E-2</v>
      </c>
      <c r="W1173">
        <v>3.3949350000000003E-2</v>
      </c>
      <c r="X1173">
        <v>0.99470950000000002</v>
      </c>
      <c r="Y1173">
        <v>-6.7187070000000002E-2</v>
      </c>
      <c r="Z1173">
        <v>1.432504E-3</v>
      </c>
      <c r="AA1173">
        <v>0.99773940000000005</v>
      </c>
      <c r="AB1173">
        <v>23</v>
      </c>
      <c r="AC1173">
        <v>22.7228999999999</v>
      </c>
      <c r="AD1173">
        <v>-1.1544729999999901</v>
      </c>
      <c r="AE1173">
        <v>1.6583999999999699</v>
      </c>
      <c r="AF1173">
        <v>-1.53616683642873</v>
      </c>
      <c r="AG1173">
        <v>-1.1544729999999901</v>
      </c>
      <c r="AH1173">
        <v>22.673007785757701</v>
      </c>
      <c r="AI1173">
        <v>92.908235347490901</v>
      </c>
      <c r="AJ1173">
        <v>93.876043638374696</v>
      </c>
      <c r="AK1173">
        <v>22.754294067496399</v>
      </c>
      <c r="AL1173">
        <v>88.054471732361094</v>
      </c>
      <c r="AM1173">
        <v>95.567140231207205</v>
      </c>
      <c r="AN1173">
        <v>1.0000000252674901</v>
      </c>
    </row>
    <row r="1174" spans="1:40" x14ac:dyDescent="0.3">
      <c r="A1174" t="str">
        <f>"20200111145935521"</f>
        <v>20200111145935521</v>
      </c>
      <c r="B1174" t="str">
        <f>"1578725975516563"</f>
        <v>1578725975516563</v>
      </c>
      <c r="C1174" t="s">
        <v>40</v>
      </c>
      <c r="D1174">
        <v>4.7158620000000004</v>
      </c>
      <c r="E1174">
        <v>0.5107564</v>
      </c>
      <c r="F1174" t="s">
        <v>43</v>
      </c>
      <c r="G1174">
        <v>-312.8218</v>
      </c>
      <c r="H1174">
        <v>-0.05</v>
      </c>
      <c r="I1174">
        <v>369.21109999999999</v>
      </c>
      <c r="J1174">
        <v>-334.58730000000003</v>
      </c>
      <c r="K1174">
        <v>1.1044769999999999</v>
      </c>
      <c r="L1174">
        <v>367.59469999999999</v>
      </c>
      <c r="M1174">
        <v>0.99991450000000004</v>
      </c>
      <c r="N1174">
        <v>0</v>
      </c>
      <c r="O1174">
        <v>5.1719239999999996E-3</v>
      </c>
      <c r="P1174">
        <v>0.9945676</v>
      </c>
      <c r="Q1174">
        <v>2.189164E-2</v>
      </c>
      <c r="R1174">
        <v>0.1017658</v>
      </c>
      <c r="S1174">
        <v>2.9972840000000001</v>
      </c>
      <c r="T1174">
        <v>-0.15813369999999999</v>
      </c>
      <c r="U1174">
        <v>0.22149659999999999</v>
      </c>
      <c r="V1174">
        <v>-9.6615430000000002E-2</v>
      </c>
      <c r="W1174">
        <v>3.3865949999999999E-2</v>
      </c>
      <c r="X1174">
        <v>0.99474549999999995</v>
      </c>
      <c r="Y1174">
        <v>-6.8451399999999996E-2</v>
      </c>
      <c r="Z1174">
        <v>1.5296960000000001E-3</v>
      </c>
      <c r="AA1174">
        <v>0.99765329999999997</v>
      </c>
      <c r="AB1174">
        <v>23</v>
      </c>
      <c r="AC1174">
        <v>21.765499999999999</v>
      </c>
      <c r="AD1174">
        <v>-1.154477</v>
      </c>
      <c r="AE1174">
        <v>1.6163999999999901</v>
      </c>
      <c r="AF1174">
        <v>-1.4996048821418999</v>
      </c>
      <c r="AG1174">
        <v>-1.154477</v>
      </c>
      <c r="AH1174">
        <v>21.712817323345899</v>
      </c>
      <c r="AI1174">
        <v>93.036348236845299</v>
      </c>
      <c r="AJ1174">
        <v>93.950883190634499</v>
      </c>
      <c r="AK1174">
        <v>21.795138633719802</v>
      </c>
      <c r="AL1174">
        <v>88.059252952622401</v>
      </c>
      <c r="AM1174">
        <v>95.547496843223101</v>
      </c>
      <c r="AN1174">
        <v>1.0000000268268601</v>
      </c>
    </row>
    <row r="1175" spans="1:40" x14ac:dyDescent="0.3">
      <c r="A1175" t="str">
        <f>"20200111145935533"</f>
        <v>20200111145935533</v>
      </c>
      <c r="B1175" t="str">
        <f>"1578725975527300"</f>
        <v>1578725975527300</v>
      </c>
      <c r="C1175" t="s">
        <v>40</v>
      </c>
      <c r="D1175">
        <v>4.5384949999999904</v>
      </c>
      <c r="E1175">
        <v>0.5103974</v>
      </c>
      <c r="F1175" t="s">
        <v>43</v>
      </c>
      <c r="G1175">
        <v>-312.92579999999998</v>
      </c>
      <c r="H1175">
        <v>-0.05</v>
      </c>
      <c r="I1175">
        <v>369.19589999999999</v>
      </c>
      <c r="J1175">
        <v>-334.46449999999999</v>
      </c>
      <c r="K1175">
        <v>1.1044799999999999</v>
      </c>
      <c r="L1175">
        <v>367.59519999999998</v>
      </c>
      <c r="M1175">
        <v>0.99991419999999998</v>
      </c>
      <c r="N1175">
        <v>0</v>
      </c>
      <c r="O1175">
        <v>5.1419980000000001E-3</v>
      </c>
      <c r="P1175">
        <v>0.99459770000000003</v>
      </c>
      <c r="Q1175">
        <v>2.1923910000000001E-2</v>
      </c>
      <c r="R1175">
        <v>0.1014636</v>
      </c>
      <c r="S1175">
        <v>2.9972530000000002</v>
      </c>
      <c r="T1175">
        <v>-0.15974249999999901</v>
      </c>
      <c r="U1175">
        <v>0.22155759999999999</v>
      </c>
      <c r="V1175">
        <v>-9.6342960000000005E-2</v>
      </c>
      <c r="W1175">
        <v>3.3927440000000003E-2</v>
      </c>
      <c r="X1175">
        <v>0.99476980000000004</v>
      </c>
      <c r="Y1175">
        <v>-6.85003E-2</v>
      </c>
      <c r="Z1175">
        <v>1.5481430000000001E-3</v>
      </c>
      <c r="AA1175">
        <v>0.99764989999999998</v>
      </c>
      <c r="AB1175">
        <v>23</v>
      </c>
      <c r="AC1175">
        <v>21.538699999999999</v>
      </c>
      <c r="AD1175">
        <v>-1.15448</v>
      </c>
      <c r="AE1175">
        <v>1.60070000000001</v>
      </c>
      <c r="AF1175">
        <v>-1.4856739651697199</v>
      </c>
      <c r="AG1175">
        <v>-1.15448</v>
      </c>
      <c r="AH1175">
        <v>21.485258760511801</v>
      </c>
      <c r="AI1175">
        <v>93.068436677719802</v>
      </c>
      <c r="AJ1175">
        <v>93.9556220677147</v>
      </c>
      <c r="AK1175">
        <v>21.567484675022499</v>
      </c>
      <c r="AL1175">
        <v>88.055727749638606</v>
      </c>
      <c r="AM1175">
        <v>95.531814957613506</v>
      </c>
      <c r="AN1175">
        <v>0.99999999605927703</v>
      </c>
    </row>
    <row r="1176" spans="1:40" x14ac:dyDescent="0.3">
      <c r="A1176" t="str">
        <f>"20200111145935545"</f>
        <v>20200111145935545</v>
      </c>
      <c r="B1176" t="str">
        <f>"1578725975537061"</f>
        <v>1578725975537061</v>
      </c>
      <c r="C1176" t="s">
        <v>40</v>
      </c>
      <c r="D1176">
        <v>4.534427</v>
      </c>
      <c r="E1176">
        <v>0.51005879999999904</v>
      </c>
      <c r="F1176" t="s">
        <v>43</v>
      </c>
      <c r="G1176">
        <v>-313.31009999999998</v>
      </c>
      <c r="H1176">
        <v>-0.05</v>
      </c>
      <c r="I1176">
        <v>369.17219999999998</v>
      </c>
      <c r="J1176">
        <v>-334.33870000000002</v>
      </c>
      <c r="K1176">
        <v>1.1044860000000001</v>
      </c>
      <c r="L1176">
        <v>367.5958</v>
      </c>
      <c r="M1176">
        <v>0.99991410000000003</v>
      </c>
      <c r="N1176">
        <v>0</v>
      </c>
      <c r="O1176">
        <v>5.1096900000000001E-3</v>
      </c>
      <c r="P1176">
        <v>0.9945756</v>
      </c>
      <c r="Q1176">
        <v>2.203136E-2</v>
      </c>
      <c r="R1176">
        <v>0.1016571</v>
      </c>
      <c r="S1176">
        <v>2.9971009999999998</v>
      </c>
      <c r="T1176">
        <v>-0.16356370000000001</v>
      </c>
      <c r="U1176">
        <v>0.22341920000000001</v>
      </c>
      <c r="V1176">
        <v>-9.6568290000000001E-2</v>
      </c>
      <c r="W1176">
        <v>3.4065640000000001E-2</v>
      </c>
      <c r="X1176">
        <v>0.99474320000000005</v>
      </c>
      <c r="Y1176">
        <v>-6.9147189999999997E-2</v>
      </c>
      <c r="Z1176">
        <v>1.60454E-3</v>
      </c>
      <c r="AA1176">
        <v>0.99760519999999997</v>
      </c>
      <c r="AB1176">
        <v>23</v>
      </c>
      <c r="AC1176">
        <v>21.028600000000001</v>
      </c>
      <c r="AD1176">
        <v>-1.1544859999999999</v>
      </c>
      <c r="AE1176">
        <v>1.57639999999997</v>
      </c>
      <c r="AF1176">
        <v>-1.46453239442601</v>
      </c>
      <c r="AG1176">
        <v>-1.1544859999999999</v>
      </c>
      <c r="AH1176">
        <v>20.973518082670701</v>
      </c>
      <c r="AI1176">
        <v>93.143025247792707</v>
      </c>
      <c r="AJ1176">
        <v>93.994348532502897</v>
      </c>
      <c r="AK1176">
        <v>21.056261629801099</v>
      </c>
      <c r="AL1176">
        <v>88.047804838670004</v>
      </c>
      <c r="AM1176">
        <v>95.544819755655993</v>
      </c>
      <c r="AN1176">
        <v>0.99999996820418602</v>
      </c>
    </row>
    <row r="1177" spans="1:40" x14ac:dyDescent="0.3">
      <c r="A1177" t="str">
        <f>"20200111145935557"</f>
        <v>20200111145935557</v>
      </c>
      <c r="B1177" t="str">
        <f>"1578725975546821"</f>
        <v>1578725975546821</v>
      </c>
      <c r="C1177" t="s">
        <v>40</v>
      </c>
      <c r="D1177">
        <v>4.5192240000000004</v>
      </c>
      <c r="E1177">
        <v>0.50961369999999995</v>
      </c>
      <c r="F1177" t="s">
        <v>43</v>
      </c>
      <c r="G1177">
        <v>-314.17989999999998</v>
      </c>
      <c r="H1177">
        <v>-0.05</v>
      </c>
      <c r="I1177">
        <v>369.12099999999998</v>
      </c>
      <c r="J1177">
        <v>-334.21080000000001</v>
      </c>
      <c r="K1177">
        <v>1.1044940000000001</v>
      </c>
      <c r="L1177">
        <v>367.59649999999999</v>
      </c>
      <c r="M1177">
        <v>0.99991379999999996</v>
      </c>
      <c r="N1177">
        <v>0</v>
      </c>
      <c r="O1177">
        <v>5.0745290000000004E-3</v>
      </c>
      <c r="P1177">
        <v>0.99454019999999999</v>
      </c>
      <c r="Q1177">
        <v>2.2207950000000001E-2</v>
      </c>
      <c r="R1177">
        <v>0.1019635</v>
      </c>
      <c r="S1177">
        <v>2.9969790000000001</v>
      </c>
      <c r="T1177">
        <v>-0.1716356</v>
      </c>
      <c r="U1177">
        <v>0.22674559999999999</v>
      </c>
      <c r="V1177">
        <v>-9.6910049999999998E-2</v>
      </c>
      <c r="W1177">
        <v>3.4275319999999998E-2</v>
      </c>
      <c r="X1177">
        <v>0.9947028</v>
      </c>
      <c r="Y1177">
        <v>-7.0274820000000002E-2</v>
      </c>
      <c r="Z1177">
        <v>1.7178229999999901E-3</v>
      </c>
      <c r="AA1177">
        <v>0.99752620000000003</v>
      </c>
      <c r="AB1177">
        <v>23</v>
      </c>
      <c r="AC1177">
        <v>20.030899999999999</v>
      </c>
      <c r="AD1177">
        <v>-1.1544939999999999</v>
      </c>
      <c r="AE1177">
        <v>1.52449999999998</v>
      </c>
      <c r="AF1177">
        <v>-1.4181417811497701</v>
      </c>
      <c r="AG1177">
        <v>-1.1544939999999999</v>
      </c>
      <c r="AH1177">
        <v>19.9724150884682</v>
      </c>
      <c r="AI1177">
        <v>93.299978374480702</v>
      </c>
      <c r="AJ1177">
        <v>94.061471669700495</v>
      </c>
      <c r="AK1177">
        <v>20.0559553991713</v>
      </c>
      <c r="AL1177">
        <v>88.035784117177997</v>
      </c>
      <c r="AM1177">
        <v>95.564544789586407</v>
      </c>
      <c r="AN1177">
        <v>1.00000000783997</v>
      </c>
    </row>
    <row r="1178" spans="1:40" x14ac:dyDescent="0.3">
      <c r="A1178" t="str">
        <f>"20200111145935570"</f>
        <v>20200111145935570</v>
      </c>
      <c r="B1178" t="str">
        <f>"1578725975567316"</f>
        <v>1578725975567316</v>
      </c>
      <c r="C1178" t="s">
        <v>40</v>
      </c>
      <c r="D1178">
        <v>4.5466629999999997</v>
      </c>
      <c r="E1178">
        <v>0.50892209999999904</v>
      </c>
      <c r="F1178" t="s">
        <v>43</v>
      </c>
      <c r="G1178">
        <v>-314.7208</v>
      </c>
      <c r="H1178">
        <v>-0.05</v>
      </c>
      <c r="I1178">
        <v>369.09969999999998</v>
      </c>
      <c r="J1178">
        <v>-334.08949999999999</v>
      </c>
      <c r="K1178">
        <v>1.104503</v>
      </c>
      <c r="L1178">
        <v>367.59699999999998</v>
      </c>
      <c r="M1178">
        <v>0.99991359999999996</v>
      </c>
      <c r="N1178">
        <v>0</v>
      </c>
      <c r="O1178">
        <v>5.0385350000000002E-3</v>
      </c>
      <c r="P1178">
        <v>0.9945155</v>
      </c>
      <c r="Q1178">
        <v>2.232147E-2</v>
      </c>
      <c r="R1178">
        <v>0.1021804</v>
      </c>
      <c r="S1178">
        <v>2.9967350000000001</v>
      </c>
      <c r="T1178">
        <v>-0.1775119</v>
      </c>
      <c r="U1178">
        <v>0.23114009999999999</v>
      </c>
      <c r="V1178">
        <v>-9.7163330000000006E-2</v>
      </c>
      <c r="W1178">
        <v>3.4422099999999997E-2</v>
      </c>
      <c r="X1178">
        <v>0.99467300000000003</v>
      </c>
      <c r="Y1178">
        <v>-7.1761039999999998E-2</v>
      </c>
      <c r="Z1178">
        <v>1.8226220000000001E-3</v>
      </c>
      <c r="AA1178">
        <v>0.99742019999999998</v>
      </c>
      <c r="AB1178">
        <v>23</v>
      </c>
      <c r="AC1178">
        <v>19.368699999999901</v>
      </c>
      <c r="AD1178">
        <v>-1.1545030000000001</v>
      </c>
      <c r="AE1178">
        <v>1.5026999999999999</v>
      </c>
      <c r="AF1178">
        <v>-1.40013899591736</v>
      </c>
      <c r="AG1178">
        <v>-1.1545030000000001</v>
      </c>
      <c r="AH1178">
        <v>19.307836728863599</v>
      </c>
      <c r="AI1178">
        <v>93.412959056854106</v>
      </c>
      <c r="AJ1178">
        <v>94.147635915082006</v>
      </c>
      <c r="AK1178">
        <v>19.392932360356301</v>
      </c>
      <c r="AL1178">
        <v>88.027369232711393</v>
      </c>
      <c r="AM1178">
        <v>95.5791625047286</v>
      </c>
      <c r="AN1178">
        <v>0.99999998529704903</v>
      </c>
    </row>
    <row r="1179" spans="1:40" x14ac:dyDescent="0.3">
      <c r="A1179" t="str">
        <f>"20200111145935581"</f>
        <v>20200111145935581</v>
      </c>
      <c r="B1179" t="str">
        <f>"1578725975577075"</f>
        <v>1578725975577075</v>
      </c>
      <c r="C1179" t="s">
        <v>40</v>
      </c>
      <c r="D1179">
        <v>4.4959800000000003</v>
      </c>
      <c r="E1179">
        <v>0.50863659999999999</v>
      </c>
      <c r="F1179" t="s">
        <v>43</v>
      </c>
      <c r="G1179">
        <v>-315.54930000000002</v>
      </c>
      <c r="H1179">
        <v>-0.05</v>
      </c>
      <c r="I1179">
        <v>369.06580000000002</v>
      </c>
      <c r="J1179">
        <v>-333.96559999999999</v>
      </c>
      <c r="K1179">
        <v>1.104517</v>
      </c>
      <c r="L1179">
        <v>367.5976</v>
      </c>
      <c r="M1179">
        <v>0.9999133</v>
      </c>
      <c r="N1179">
        <v>0</v>
      </c>
      <c r="O1179">
        <v>5.0010430000000002E-3</v>
      </c>
      <c r="P1179">
        <v>0.99450519999999998</v>
      </c>
      <c r="Q1179">
        <v>2.2243590000000001E-2</v>
      </c>
      <c r="R1179">
        <v>0.10229920000000001</v>
      </c>
      <c r="S1179">
        <v>2.9963380000000002</v>
      </c>
      <c r="T1179">
        <v>-0.18658330000000001</v>
      </c>
      <c r="U1179">
        <v>0.23736570000000001</v>
      </c>
      <c r="V1179">
        <v>-9.731998E-2</v>
      </c>
      <c r="W1179">
        <v>3.4378730000000003E-2</v>
      </c>
      <c r="X1179">
        <v>0.99465919999999997</v>
      </c>
      <c r="Y1179">
        <v>-7.3851910000000007E-2</v>
      </c>
      <c r="Z1179">
        <v>1.9829520000000001E-3</v>
      </c>
      <c r="AA1179">
        <v>0.99726720000000002</v>
      </c>
      <c r="AB1179">
        <v>23</v>
      </c>
      <c r="AC1179">
        <v>18.4162999999999</v>
      </c>
      <c r="AD1179">
        <v>-1.154517</v>
      </c>
      <c r="AE1179">
        <v>1.4682000000000199</v>
      </c>
      <c r="AF1179">
        <v>-1.37072114127867</v>
      </c>
      <c r="AG1179">
        <v>-1.154517</v>
      </c>
      <c r="AH1179">
        <v>18.351745323928299</v>
      </c>
      <c r="AI1179">
        <v>93.589787469521298</v>
      </c>
      <c r="AJ1179">
        <v>94.271581497070798</v>
      </c>
      <c r="AK1179">
        <v>18.439043966126999</v>
      </c>
      <c r="AL1179">
        <v>88.029855651034197</v>
      </c>
      <c r="AM1179">
        <v>95.588177570492803</v>
      </c>
      <c r="AN1179">
        <v>0.99999999986412602</v>
      </c>
    </row>
    <row r="1180" spans="1:40" x14ac:dyDescent="0.3">
      <c r="A1180" t="str">
        <f>"20200111145935594"</f>
        <v>20200111145935594</v>
      </c>
      <c r="B1180" t="str">
        <f>"1578725975586836"</f>
        <v>1578725975586836</v>
      </c>
      <c r="C1180" t="s">
        <v>40</v>
      </c>
      <c r="D1180">
        <v>4.5129510000000002</v>
      </c>
      <c r="E1180">
        <v>0.50840540000000001</v>
      </c>
      <c r="F1180" t="s">
        <v>43</v>
      </c>
      <c r="G1180">
        <v>-315.62450000000001</v>
      </c>
      <c r="H1180">
        <v>-0.05</v>
      </c>
      <c r="I1180">
        <v>369.06619999999998</v>
      </c>
      <c r="J1180">
        <v>-333.83109999999999</v>
      </c>
      <c r="K1180">
        <v>1.1045240000000001</v>
      </c>
      <c r="L1180">
        <v>367.59820000000002</v>
      </c>
      <c r="M1180">
        <v>0.99991289999999999</v>
      </c>
      <c r="N1180">
        <v>0</v>
      </c>
      <c r="O1180">
        <v>4.9602919999999998E-3</v>
      </c>
      <c r="P1180">
        <v>0.99447920000000001</v>
      </c>
      <c r="Q1180">
        <v>2.2216779999999998E-2</v>
      </c>
      <c r="R1180">
        <v>0.10255450000000001</v>
      </c>
      <c r="S1180">
        <v>2.996124</v>
      </c>
      <c r="T1180">
        <v>-0.1885966</v>
      </c>
      <c r="U1180">
        <v>0.23989869999999999</v>
      </c>
      <c r="V1180">
        <v>-9.7615889999999997E-2</v>
      </c>
      <c r="W1180">
        <v>3.439064E-2</v>
      </c>
      <c r="X1180">
        <v>0.99462980000000001</v>
      </c>
      <c r="Y1180">
        <v>-7.4731220000000001E-2</v>
      </c>
      <c r="Z1180">
        <v>2.0345430000000002E-3</v>
      </c>
      <c r="AA1180">
        <v>0.99720160000000002</v>
      </c>
      <c r="AB1180">
        <v>23</v>
      </c>
      <c r="AC1180">
        <v>18.206599999999899</v>
      </c>
      <c r="AD1180">
        <v>-1.1545239999999899</v>
      </c>
      <c r="AE1180">
        <v>1.46799999999996</v>
      </c>
      <c r="AF1180">
        <v>-1.37218304211422</v>
      </c>
      <c r="AG1180">
        <v>-1.1545239999999899</v>
      </c>
      <c r="AH1180">
        <v>18.1411813560368</v>
      </c>
      <c r="AI1180">
        <v>93.631108614628005</v>
      </c>
      <c r="AJ1180">
        <v>94.325565790434197</v>
      </c>
      <c r="AK1180">
        <v>18.229598815121001</v>
      </c>
      <c r="AL1180">
        <v>88.0291728717159</v>
      </c>
      <c r="AM1180">
        <v>95.605225505683094</v>
      </c>
      <c r="AN1180">
        <v>1.0000000085740699</v>
      </c>
    </row>
    <row r="1181" spans="1:40" x14ac:dyDescent="0.3">
      <c r="A1181" t="str">
        <f>"20200111145935607"</f>
        <v>20200111145935607</v>
      </c>
      <c r="B1181" t="str">
        <f>"1578725975596596"</f>
        <v>1578725975596596</v>
      </c>
      <c r="C1181" t="s">
        <v>40</v>
      </c>
      <c r="D1181">
        <v>4.5164600000000004</v>
      </c>
      <c r="E1181">
        <v>0.50830540000000002</v>
      </c>
      <c r="F1181" t="s">
        <v>43</v>
      </c>
      <c r="G1181">
        <v>-315.77820000000003</v>
      </c>
      <c r="H1181">
        <v>-0.05</v>
      </c>
      <c r="I1181">
        <v>369.06130000000002</v>
      </c>
      <c r="J1181">
        <v>-333.70150000000001</v>
      </c>
      <c r="K1181">
        <v>1.1045309999999999</v>
      </c>
      <c r="L1181">
        <v>367.59879999999998</v>
      </c>
      <c r="M1181">
        <v>0.99991280000000005</v>
      </c>
      <c r="N1181">
        <v>0</v>
      </c>
      <c r="O1181">
        <v>4.9219219999999996E-3</v>
      </c>
      <c r="P1181">
        <v>0.9944752</v>
      </c>
      <c r="Q1181">
        <v>2.2155399999999999E-2</v>
      </c>
      <c r="R1181">
        <v>0.1026079</v>
      </c>
      <c r="S1181">
        <v>2.9958800000000001</v>
      </c>
      <c r="T1181">
        <v>-0.1915926</v>
      </c>
      <c r="U1181">
        <v>0.24279790000000001</v>
      </c>
      <c r="V1181">
        <v>-9.7707050000000004E-2</v>
      </c>
      <c r="W1181">
        <v>3.4366340000000002E-2</v>
      </c>
      <c r="X1181">
        <v>0.99462169999999905</v>
      </c>
      <c r="Y1181">
        <v>-7.5728210000000004E-2</v>
      </c>
      <c r="Z1181">
        <v>2.1011290000000002E-3</v>
      </c>
      <c r="AA1181">
        <v>0.99712630000000002</v>
      </c>
      <c r="AB1181">
        <v>23</v>
      </c>
      <c r="AC1181">
        <v>17.923299999999902</v>
      </c>
      <c r="AD1181">
        <v>-1.154531</v>
      </c>
      <c r="AE1181">
        <v>1.4625000000000301</v>
      </c>
      <c r="AF1181">
        <v>-1.36861732469889</v>
      </c>
      <c r="AG1181">
        <v>-1.154531</v>
      </c>
      <c r="AH1181">
        <v>17.856678990673601</v>
      </c>
      <c r="AI1181">
        <v>93.688545249499199</v>
      </c>
      <c r="AJ1181">
        <v>94.382841108039798</v>
      </c>
      <c r="AK1181">
        <v>17.946226338352901</v>
      </c>
      <c r="AL1181">
        <v>88.030566004215999</v>
      </c>
      <c r="AM1181">
        <v>95.610472043709805</v>
      </c>
      <c r="AN1181">
        <v>1.0000000195277901</v>
      </c>
    </row>
    <row r="1182" spans="1:40" x14ac:dyDescent="0.3">
      <c r="A1182" t="str">
        <f>"20200111145935621"</f>
        <v>20200111145935621</v>
      </c>
      <c r="B1182" t="str">
        <f>"1578725975617091"</f>
        <v>1578725975617091</v>
      </c>
      <c r="C1182" t="s">
        <v>40</v>
      </c>
      <c r="D1182">
        <v>4.4245839999999896</v>
      </c>
      <c r="E1182">
        <v>0.50937529999999998</v>
      </c>
      <c r="F1182" t="s">
        <v>43</v>
      </c>
      <c r="G1182">
        <v>-315.86070000000001</v>
      </c>
      <c r="H1182">
        <v>-0.05</v>
      </c>
      <c r="I1182">
        <v>369.05130000000003</v>
      </c>
      <c r="J1182">
        <v>-333.553</v>
      </c>
      <c r="K1182">
        <v>1.104536</v>
      </c>
      <c r="L1182">
        <v>367.59949999999998</v>
      </c>
      <c r="M1182">
        <v>0.99991240000000003</v>
      </c>
      <c r="N1182">
        <v>0</v>
      </c>
      <c r="O1182">
        <v>4.8795720000000004E-3</v>
      </c>
      <c r="P1182">
        <v>0.99444379999999999</v>
      </c>
      <c r="Q1182">
        <v>2.2311339999999999E-2</v>
      </c>
      <c r="R1182">
        <v>0.1028781</v>
      </c>
      <c r="S1182">
        <v>2.995819</v>
      </c>
      <c r="T1182">
        <v>-0.1938674</v>
      </c>
      <c r="U1182">
        <v>0.24389649999999999</v>
      </c>
      <c r="V1182">
        <v>-9.8019380000000003E-2</v>
      </c>
      <c r="W1182">
        <v>3.4564110000000002E-2</v>
      </c>
      <c r="X1182">
        <v>0.99458409999999997</v>
      </c>
      <c r="Y1182">
        <v>-7.6130989999999996E-2</v>
      </c>
      <c r="Z1182">
        <v>2.1417659999999998E-3</v>
      </c>
      <c r="AA1182">
        <v>0.99709550000000002</v>
      </c>
      <c r="AB1182">
        <v>23</v>
      </c>
      <c r="AC1182">
        <v>17.692299999999999</v>
      </c>
      <c r="AD1182">
        <v>-1.154536</v>
      </c>
      <c r="AE1182">
        <v>1.4518000000000399</v>
      </c>
      <c r="AF1182">
        <v>-1.3596939343691099</v>
      </c>
      <c r="AG1182">
        <v>-1.154536</v>
      </c>
      <c r="AH1182">
        <v>17.624623347286501</v>
      </c>
      <c r="AI1182">
        <v>93.736846875343602</v>
      </c>
      <c r="AJ1182">
        <v>94.411482513653496</v>
      </c>
      <c r="AK1182">
        <v>17.714656900549201</v>
      </c>
      <c r="AL1182">
        <v>88.019227851854097</v>
      </c>
      <c r="AM1182">
        <v>95.628502899228295</v>
      </c>
      <c r="AN1182">
        <v>1.0000000042642401</v>
      </c>
    </row>
    <row r="1183" spans="1:40" x14ac:dyDescent="0.3">
      <c r="A1183" t="str">
        <f>"20200111145935634"</f>
        <v>20200111145935634</v>
      </c>
      <c r="B1183" t="str">
        <f>"1578725975626852"</f>
        <v>1578725975626852</v>
      </c>
      <c r="C1183" t="s">
        <v>40</v>
      </c>
      <c r="D1183">
        <v>4.3992909999999998</v>
      </c>
      <c r="E1183">
        <v>0.51000029999999996</v>
      </c>
      <c r="F1183" t="s">
        <v>43</v>
      </c>
      <c r="G1183">
        <v>-315.73320000000001</v>
      </c>
      <c r="H1183">
        <v>-0.05</v>
      </c>
      <c r="I1183">
        <v>369.00209999999998</v>
      </c>
      <c r="J1183">
        <v>-333.423</v>
      </c>
      <c r="K1183">
        <v>1.1045400000000001</v>
      </c>
      <c r="L1183">
        <v>367.6001</v>
      </c>
      <c r="M1183">
        <v>0.99991209999999997</v>
      </c>
      <c r="N1183">
        <v>0</v>
      </c>
      <c r="O1183">
        <v>4.8445249999999997E-3</v>
      </c>
      <c r="P1183">
        <v>0.99443099999999995</v>
      </c>
      <c r="Q1183">
        <v>2.2267430000000001E-2</v>
      </c>
      <c r="R1183">
        <v>0.1030114</v>
      </c>
      <c r="S1183">
        <v>2.9967039999999998</v>
      </c>
      <c r="T1183">
        <v>-0.1941553</v>
      </c>
      <c r="U1183">
        <v>0.23587040000000001</v>
      </c>
      <c r="V1183">
        <v>-9.8188250000000005E-2</v>
      </c>
      <c r="W1183">
        <v>3.4555059999999999E-2</v>
      </c>
      <c r="X1183">
        <v>0.9945678</v>
      </c>
      <c r="Y1183">
        <v>-7.3493349999999999E-2</v>
      </c>
      <c r="Z1183">
        <v>2.0615770000000002E-3</v>
      </c>
      <c r="AA1183">
        <v>0.9972936</v>
      </c>
      <c r="AB1183">
        <v>23</v>
      </c>
      <c r="AC1183">
        <v>17.689799999999899</v>
      </c>
      <c r="AD1183">
        <v>-1.1545399999999999</v>
      </c>
      <c r="AE1183">
        <v>1.4019999999999799</v>
      </c>
      <c r="AF1183">
        <v>-1.3107299625541999</v>
      </c>
      <c r="AG1183">
        <v>-1.1545399999999999</v>
      </c>
      <c r="AH1183">
        <v>17.621791118129899</v>
      </c>
      <c r="AI1183">
        <v>93.738235378467095</v>
      </c>
      <c r="AJ1183">
        <v>94.253895371980803</v>
      </c>
      <c r="AK1183">
        <v>17.708147781666501</v>
      </c>
      <c r="AL1183">
        <v>88.0197467726627</v>
      </c>
      <c r="AM1183">
        <v>95.638229194441294</v>
      </c>
      <c r="AN1183">
        <v>1.0000000467032499</v>
      </c>
    </row>
    <row r="1184" spans="1:40" x14ac:dyDescent="0.3">
      <c r="A1184" t="str">
        <f>"20200111145935645"</f>
        <v>20200111145935645</v>
      </c>
      <c r="B1184" t="str">
        <f>"1578725975636612"</f>
        <v>1578725975636612</v>
      </c>
      <c r="C1184" t="s">
        <v>40</v>
      </c>
      <c r="D1184">
        <v>4.4333679999999998</v>
      </c>
      <c r="E1184">
        <v>0.51071599999999995</v>
      </c>
      <c r="F1184" t="s">
        <v>43</v>
      </c>
      <c r="G1184">
        <v>-315.49239999999998</v>
      </c>
      <c r="H1184">
        <v>-0.05</v>
      </c>
      <c r="I1184">
        <v>368.98509999999999</v>
      </c>
      <c r="J1184">
        <v>-333.31110000000001</v>
      </c>
      <c r="K1184">
        <v>1.10454599999999</v>
      </c>
      <c r="L1184">
        <v>367.60059999999999</v>
      </c>
      <c r="M1184">
        <v>0.99991189999999996</v>
      </c>
      <c r="N1184">
        <v>0</v>
      </c>
      <c r="O1184">
        <v>4.8145790000000003E-3</v>
      </c>
      <c r="P1184">
        <v>0.99439169999999999</v>
      </c>
      <c r="Q1184">
        <v>2.2426089999999999E-2</v>
      </c>
      <c r="R1184">
        <v>0.1033544</v>
      </c>
      <c r="S1184">
        <v>2.997131</v>
      </c>
      <c r="T1184">
        <v>-0.19298370000000001</v>
      </c>
      <c r="U1184">
        <v>0.2315063</v>
      </c>
      <c r="V1184">
        <v>-9.8560350000000005E-2</v>
      </c>
      <c r="W1184">
        <v>3.474377E-2</v>
      </c>
      <c r="X1184">
        <v>0.99452439999999998</v>
      </c>
      <c r="Y1184">
        <v>-7.2073250000000005E-2</v>
      </c>
      <c r="Z1184">
        <v>2.0053060000000001E-3</v>
      </c>
      <c r="AA1184">
        <v>0.99739730000000004</v>
      </c>
      <c r="AB1184">
        <v>23</v>
      </c>
      <c r="AC1184">
        <v>17.8187</v>
      </c>
      <c r="AD1184">
        <v>-1.1545460000000001</v>
      </c>
      <c r="AE1184">
        <v>1.3845000000000001</v>
      </c>
      <c r="AF1184">
        <v>-1.29329084542586</v>
      </c>
      <c r="AG1184">
        <v>-1.1545460000000001</v>
      </c>
      <c r="AH1184">
        <v>17.751083101239701</v>
      </c>
      <c r="AI1184">
        <v>93.711516165291201</v>
      </c>
      <c r="AJ1184">
        <v>94.167036532734897</v>
      </c>
      <c r="AK1184">
        <v>17.8355411732893</v>
      </c>
      <c r="AL1184">
        <v>88.008927951325802</v>
      </c>
      <c r="AM1184">
        <v>95.659703079585597</v>
      </c>
      <c r="AN1184">
        <v>1.00000002717064</v>
      </c>
    </row>
    <row r="1185" spans="1:40" x14ac:dyDescent="0.3">
      <c r="A1185" t="str">
        <f>"20200111145935656"</f>
        <v>20200111145935656</v>
      </c>
      <c r="B1185" t="str">
        <f>"1578725975647348"</f>
        <v>1578725975647348</v>
      </c>
      <c r="C1185" t="s">
        <v>40</v>
      </c>
      <c r="D1185">
        <v>4.4239050000000004</v>
      </c>
      <c r="E1185">
        <v>0.51146449999999999</v>
      </c>
      <c r="F1185" t="s">
        <v>43</v>
      </c>
      <c r="G1185">
        <v>-315.34679999999997</v>
      </c>
      <c r="H1185">
        <v>-0.05</v>
      </c>
      <c r="I1185">
        <v>368.95979999999997</v>
      </c>
      <c r="J1185">
        <v>-333.2004</v>
      </c>
      <c r="K1185">
        <v>1.1045499999999999</v>
      </c>
      <c r="L1185">
        <v>367.60109999999997</v>
      </c>
      <c r="M1185">
        <v>0.99991169999999996</v>
      </c>
      <c r="N1185">
        <v>0</v>
      </c>
      <c r="O1185">
        <v>4.7854120000000002E-3</v>
      </c>
      <c r="P1185">
        <v>0.99435560000000001</v>
      </c>
      <c r="Q1185">
        <v>2.249263E-2</v>
      </c>
      <c r="R1185">
        <v>0.1036888</v>
      </c>
      <c r="S1185">
        <v>2.997681</v>
      </c>
      <c r="T1185">
        <v>-0.1926581</v>
      </c>
      <c r="U1185">
        <v>0.2268066</v>
      </c>
      <c r="V1185">
        <v>-9.8923739999999996E-2</v>
      </c>
      <c r="W1185">
        <v>3.4839080000000001E-2</v>
      </c>
      <c r="X1185">
        <v>0.99448499999999995</v>
      </c>
      <c r="Y1185">
        <v>-7.0537199999999994E-2</v>
      </c>
      <c r="Z1185">
        <v>1.9543130000000001E-3</v>
      </c>
      <c r="AA1185">
        <v>0.99750720000000004</v>
      </c>
      <c r="AB1185">
        <v>23</v>
      </c>
      <c r="AC1185">
        <v>17.8536</v>
      </c>
      <c r="AD1185">
        <v>-1.15455</v>
      </c>
      <c r="AE1185">
        <v>1.35869999999999</v>
      </c>
      <c r="AF1185">
        <v>-1.2679690526187899</v>
      </c>
      <c r="AG1185">
        <v>-1.15455</v>
      </c>
      <c r="AH1185">
        <v>17.785947176904902</v>
      </c>
      <c r="AI1185">
        <v>93.704688843925794</v>
      </c>
      <c r="AJ1185">
        <v>94.077745902787001</v>
      </c>
      <c r="AK1185">
        <v>17.868426013517499</v>
      </c>
      <c r="AL1185">
        <v>88.003463811368903</v>
      </c>
      <c r="AM1185">
        <v>95.6806576458211</v>
      </c>
      <c r="AN1185">
        <v>1.00000004152791</v>
      </c>
    </row>
    <row r="1186" spans="1:40" x14ac:dyDescent="0.3">
      <c r="A1186" t="str">
        <f>"20200111145935667"</f>
        <v>20200111145935667</v>
      </c>
      <c r="B1186" t="str">
        <f>"1578725975657011"</f>
        <v>1578725975657011</v>
      </c>
      <c r="C1186" t="s">
        <v>40</v>
      </c>
      <c r="D1186">
        <v>4.4006280000000002</v>
      </c>
      <c r="E1186">
        <v>0.51207829999999999</v>
      </c>
      <c r="F1186" t="s">
        <v>43</v>
      </c>
      <c r="G1186">
        <v>-315.13499999999999</v>
      </c>
      <c r="H1186">
        <v>-0.05</v>
      </c>
      <c r="I1186">
        <v>368.935</v>
      </c>
      <c r="J1186">
        <v>-333.08949999999999</v>
      </c>
      <c r="K1186">
        <v>1.1045529999999999</v>
      </c>
      <c r="L1186">
        <v>367.60160000000002</v>
      </c>
      <c r="M1186">
        <v>0.99991149999999995</v>
      </c>
      <c r="N1186">
        <v>0</v>
      </c>
      <c r="O1186">
        <v>4.7558319999999998E-3</v>
      </c>
      <c r="P1186">
        <v>0.9943244</v>
      </c>
      <c r="Q1186">
        <v>2.269817E-2</v>
      </c>
      <c r="R1186">
        <v>0.1039432</v>
      </c>
      <c r="S1186">
        <v>2.998291</v>
      </c>
      <c r="T1186">
        <v>-0.19161909999999999</v>
      </c>
      <c r="U1186">
        <v>0.2213745</v>
      </c>
      <c r="V1186">
        <v>-9.9207950000000003E-2</v>
      </c>
      <c r="W1186">
        <v>3.5073060000000003E-2</v>
      </c>
      <c r="X1186">
        <v>0.99444840000000001</v>
      </c>
      <c r="Y1186">
        <v>-6.8759169999999994E-2</v>
      </c>
      <c r="Z1186">
        <v>1.888736E-3</v>
      </c>
      <c r="AA1186">
        <v>0.9976315</v>
      </c>
      <c r="AB1186">
        <v>23</v>
      </c>
      <c r="AC1186">
        <v>17.9544999999999</v>
      </c>
      <c r="AD1186">
        <v>-1.1545529999999999</v>
      </c>
      <c r="AE1186">
        <v>1.3333999999999799</v>
      </c>
      <c r="AF1186">
        <v>-1.2428785617557101</v>
      </c>
      <c r="AG1186">
        <v>-1.1545529999999999</v>
      </c>
      <c r="AH1186">
        <v>17.887080505363699</v>
      </c>
      <c r="AI1186">
        <v>93.684274635060405</v>
      </c>
      <c r="AJ1186">
        <v>93.974791781134996</v>
      </c>
      <c r="AK1186">
        <v>17.9673422841121</v>
      </c>
      <c r="AL1186">
        <v>87.990049420684699</v>
      </c>
      <c r="AM1186">
        <v>95.697079384763299</v>
      </c>
      <c r="AN1186">
        <v>0.99999997857176204</v>
      </c>
    </row>
    <row r="1187" spans="1:40" x14ac:dyDescent="0.3">
      <c r="A1187" t="str">
        <f>"20200111145935678"</f>
        <v>20200111145935678</v>
      </c>
      <c r="B1187" t="str">
        <f>"1578725975666773"</f>
        <v>1578725975666773</v>
      </c>
      <c r="C1187" t="s">
        <v>40</v>
      </c>
      <c r="D1187">
        <v>4.349526</v>
      </c>
      <c r="E1187">
        <v>0.51282329999999998</v>
      </c>
      <c r="F1187" t="s">
        <v>43</v>
      </c>
      <c r="G1187">
        <v>-314.66399999999999</v>
      </c>
      <c r="H1187">
        <v>-0.05</v>
      </c>
      <c r="I1187">
        <v>368.93880000000001</v>
      </c>
      <c r="J1187">
        <v>-332.97089999999997</v>
      </c>
      <c r="K1187">
        <v>1.1045560000000001</v>
      </c>
      <c r="L1187">
        <v>367.60210000000001</v>
      </c>
      <c r="M1187">
        <v>0.99991129999999995</v>
      </c>
      <c r="N1187">
        <v>0</v>
      </c>
      <c r="O1187">
        <v>4.7239769999999999E-3</v>
      </c>
      <c r="P1187">
        <v>0.99430879999999999</v>
      </c>
      <c r="Q1187">
        <v>2.301278E-2</v>
      </c>
      <c r="R1187">
        <v>0.1040229</v>
      </c>
      <c r="S1187">
        <v>2.9986269999999999</v>
      </c>
      <c r="T1187">
        <v>-0.1878958</v>
      </c>
      <c r="U1187">
        <v>0.2176208</v>
      </c>
      <c r="V1187">
        <v>-9.9319089999999999E-2</v>
      </c>
      <c r="W1187">
        <v>3.5418560000000002E-2</v>
      </c>
      <c r="X1187">
        <v>0.99442509999999995</v>
      </c>
      <c r="Y1187">
        <v>-6.754781E-2</v>
      </c>
      <c r="Z1187">
        <v>1.8161119999999999E-3</v>
      </c>
      <c r="AA1187">
        <v>0.9977144</v>
      </c>
      <c r="AB1187">
        <v>23</v>
      </c>
      <c r="AC1187">
        <v>18.306899999999899</v>
      </c>
      <c r="AD1187">
        <v>-1.1545559999999999</v>
      </c>
      <c r="AE1187">
        <v>1.3367</v>
      </c>
      <c r="AF1187">
        <v>-1.2452703168582899</v>
      </c>
      <c r="AG1187">
        <v>-1.1545559999999999</v>
      </c>
      <c r="AH1187">
        <v>18.240844154937498</v>
      </c>
      <c r="AI1187">
        <v>93.613322668361207</v>
      </c>
      <c r="AJ1187">
        <v>93.905422376219505</v>
      </c>
      <c r="AK1187">
        <v>18.3197186988202</v>
      </c>
      <c r="AL1187">
        <v>87.9702415006997</v>
      </c>
      <c r="AM1187">
        <v>95.703552369118896</v>
      </c>
      <c r="AN1187">
        <v>1.00000001777045</v>
      </c>
    </row>
    <row r="1188" spans="1:40" x14ac:dyDescent="0.3">
      <c r="A1188" t="str">
        <f>"20200111145935689"</f>
        <v>20200111145935689</v>
      </c>
      <c r="B1188" t="str">
        <f>"1578725975687267"</f>
        <v>1578725975687267</v>
      </c>
      <c r="C1188" t="s">
        <v>40</v>
      </c>
      <c r="D1188">
        <v>4.4061379999999897</v>
      </c>
      <c r="E1188">
        <v>0.51414190000000004</v>
      </c>
      <c r="F1188" t="s">
        <v>43</v>
      </c>
      <c r="G1188">
        <v>-314.39389999999997</v>
      </c>
      <c r="H1188">
        <v>-0.05</v>
      </c>
      <c r="I1188">
        <v>368.91489999999999</v>
      </c>
      <c r="J1188">
        <v>-332.8673</v>
      </c>
      <c r="K1188">
        <v>1.10456</v>
      </c>
      <c r="L1188">
        <v>367.6026</v>
      </c>
      <c r="M1188">
        <v>0.99991110000000005</v>
      </c>
      <c r="N1188">
        <v>0</v>
      </c>
      <c r="O1188">
        <v>4.6949050000000001E-3</v>
      </c>
      <c r="P1188">
        <v>0.99428050000000001</v>
      </c>
      <c r="Q1188">
        <v>2.340033E-2</v>
      </c>
      <c r="R1188">
        <v>0.1042059</v>
      </c>
      <c r="S1188">
        <v>2.999298</v>
      </c>
      <c r="T1188">
        <v>-0.18640580000000001</v>
      </c>
      <c r="U1188">
        <v>0.21194460000000001</v>
      </c>
      <c r="V1188">
        <v>-9.9531499999999995E-2</v>
      </c>
      <c r="W1188">
        <v>3.5831719999999997E-2</v>
      </c>
      <c r="X1188">
        <v>0.99438910000000003</v>
      </c>
      <c r="Y1188">
        <v>-6.5687510000000005E-2</v>
      </c>
      <c r="Z1188">
        <v>1.74558E-3</v>
      </c>
      <c r="AA1188">
        <v>0.99783869999999997</v>
      </c>
      <c r="AB1188">
        <v>23</v>
      </c>
      <c r="AC1188">
        <v>18.473400000000002</v>
      </c>
      <c r="AD1188">
        <v>-1.15456</v>
      </c>
      <c r="AE1188">
        <v>1.31229999999999</v>
      </c>
      <c r="AF1188">
        <v>-1.22080332851661</v>
      </c>
      <c r="AG1188">
        <v>-1.15456</v>
      </c>
      <c r="AH1188">
        <v>18.407816882254401</v>
      </c>
      <c r="AI1188">
        <v>93.581111326393795</v>
      </c>
      <c r="AJ1188">
        <v>93.794290163697696</v>
      </c>
      <c r="AK1188">
        <v>18.484347214092502</v>
      </c>
      <c r="AL1188">
        <v>87.946554220937401</v>
      </c>
      <c r="AM1188">
        <v>95.7158752175974</v>
      </c>
      <c r="AN1188">
        <v>1.0000000569245999</v>
      </c>
    </row>
    <row r="1189" spans="1:40" x14ac:dyDescent="0.3">
      <c r="A1189" t="str">
        <f>"20200111145935700"</f>
        <v>20200111145935700</v>
      </c>
      <c r="B1189" t="str">
        <f>"1578725975697027"</f>
        <v>1578725975697027</v>
      </c>
      <c r="C1189" t="s">
        <v>40</v>
      </c>
      <c r="D1189">
        <v>4.2316609999999999</v>
      </c>
      <c r="E1189">
        <v>0.51471869999999997</v>
      </c>
      <c r="F1189" t="s">
        <v>43</v>
      </c>
      <c r="G1189">
        <v>-313.8571</v>
      </c>
      <c r="H1189">
        <v>-0.05</v>
      </c>
      <c r="I1189">
        <v>368.88420000000002</v>
      </c>
      <c r="J1189">
        <v>-332.74489999999997</v>
      </c>
      <c r="K1189">
        <v>1.1045659999999999</v>
      </c>
      <c r="L1189">
        <v>367.60309999999998</v>
      </c>
      <c r="M1189">
        <v>0.99991090000000005</v>
      </c>
      <c r="N1189">
        <v>0</v>
      </c>
      <c r="O1189">
        <v>4.6602040000000003E-3</v>
      </c>
      <c r="P1189">
        <v>0.99428859999999997</v>
      </c>
      <c r="Q1189">
        <v>2.370688E-2</v>
      </c>
      <c r="R1189">
        <v>0.1040606</v>
      </c>
      <c r="S1189">
        <v>3.0003660000000001</v>
      </c>
      <c r="T1189">
        <v>-0.18222279999999999</v>
      </c>
      <c r="U1189">
        <v>0.20227049999999999</v>
      </c>
      <c r="V1189">
        <v>-9.9420759999999997E-2</v>
      </c>
      <c r="W1189">
        <v>3.6168619999999999E-2</v>
      </c>
      <c r="X1189">
        <v>0.99438789999999999</v>
      </c>
      <c r="Y1189">
        <v>-6.2505759999999994E-2</v>
      </c>
      <c r="Z1189">
        <v>1.6117460000000001E-3</v>
      </c>
      <c r="AA1189">
        <v>0.99804329999999997</v>
      </c>
      <c r="AB1189">
        <v>23</v>
      </c>
      <c r="AC1189">
        <v>18.887799999999899</v>
      </c>
      <c r="AD1189">
        <v>-1.154566</v>
      </c>
      <c r="AE1189">
        <v>1.2811000000000301</v>
      </c>
      <c r="AF1189">
        <v>-1.1886370947323499</v>
      </c>
      <c r="AG1189">
        <v>-1.154566</v>
      </c>
      <c r="AH1189">
        <v>18.823551833004</v>
      </c>
      <c r="AI1189">
        <v>93.502951279045206</v>
      </c>
      <c r="AJ1189">
        <v>93.613217374661005</v>
      </c>
      <c r="AK1189">
        <v>18.896348440932101</v>
      </c>
      <c r="AL1189">
        <v>87.9272385856856</v>
      </c>
      <c r="AM1189">
        <v>95.709564548361399</v>
      </c>
      <c r="AN1189">
        <v>0.99999997612904501</v>
      </c>
    </row>
    <row r="1190" spans="1:40" x14ac:dyDescent="0.3">
      <c r="A1190" t="str">
        <f>"20200111145935711"</f>
        <v>20200111145935711</v>
      </c>
      <c r="B1190" t="str">
        <f>"1578725975706787"</f>
        <v>1578725975706787</v>
      </c>
      <c r="C1190" t="s">
        <v>40</v>
      </c>
      <c r="D1190">
        <v>4.2894300000000003</v>
      </c>
      <c r="E1190">
        <v>0.51530719999999997</v>
      </c>
      <c r="F1190" t="s">
        <v>43</v>
      </c>
      <c r="G1190">
        <v>-313.28100000000001</v>
      </c>
      <c r="H1190">
        <v>-0.05</v>
      </c>
      <c r="I1190">
        <v>368.88279999999997</v>
      </c>
      <c r="J1190">
        <v>-332.63499999999999</v>
      </c>
      <c r="K1190">
        <v>1.1045700000000001</v>
      </c>
      <c r="L1190">
        <v>367.60359999999997</v>
      </c>
      <c r="M1190">
        <v>0.99991059999999998</v>
      </c>
      <c r="N1190">
        <v>0</v>
      </c>
      <c r="O1190">
        <v>4.6280999999999996E-3</v>
      </c>
      <c r="P1190">
        <v>0.99426110000000001</v>
      </c>
      <c r="Q1190">
        <v>2.4027960000000001E-2</v>
      </c>
      <c r="R1190">
        <v>0.1042473</v>
      </c>
      <c r="S1190">
        <v>3.0007929999999998</v>
      </c>
      <c r="T1190">
        <v>-0.17800239999999901</v>
      </c>
      <c r="U1190">
        <v>0.1972961</v>
      </c>
      <c r="V1190">
        <v>-9.9639500000000006E-2</v>
      </c>
      <c r="W1190">
        <v>3.6514570000000003E-2</v>
      </c>
      <c r="X1190">
        <v>0.99435340000000005</v>
      </c>
      <c r="Y1190">
        <v>-6.0888690000000002E-2</v>
      </c>
      <c r="Z1190">
        <v>1.5283789999999901E-3</v>
      </c>
      <c r="AA1190">
        <v>0.99814340000000001</v>
      </c>
      <c r="AB1190">
        <v>23</v>
      </c>
      <c r="AC1190">
        <v>19.3539999999999</v>
      </c>
      <c r="AD1190">
        <v>-1.1545700000000001</v>
      </c>
      <c r="AE1190">
        <v>1.2791999999999999</v>
      </c>
      <c r="AF1190">
        <v>-1.185406768759</v>
      </c>
      <c r="AG1190">
        <v>-1.1545700000000001</v>
      </c>
      <c r="AH1190">
        <v>19.291358659920199</v>
      </c>
      <c r="AI1190">
        <v>93.418581496002204</v>
      </c>
      <c r="AJ1190">
        <v>93.516264278985105</v>
      </c>
      <c r="AK1190">
        <v>19.362198739760899</v>
      </c>
      <c r="AL1190">
        <v>87.907404087136797</v>
      </c>
      <c r="AM1190">
        <v>95.722240358554004</v>
      </c>
      <c r="AN1190">
        <v>1.00000001393704</v>
      </c>
    </row>
    <row r="1191" spans="1:40" x14ac:dyDescent="0.3">
      <c r="A1191" t="str">
        <f>"20200111145935723"</f>
        <v>20200111145935723</v>
      </c>
      <c r="B1191" t="str">
        <f>"1578725975716547"</f>
        <v>1578725975716547</v>
      </c>
      <c r="C1191" t="s">
        <v>40</v>
      </c>
      <c r="D1191">
        <v>4.2033740000000002</v>
      </c>
      <c r="E1191">
        <v>0.51587810000000001</v>
      </c>
      <c r="F1191" t="s">
        <v>43</v>
      </c>
      <c r="G1191">
        <v>-312.79239999999999</v>
      </c>
      <c r="H1191">
        <v>-0.05</v>
      </c>
      <c r="I1191">
        <v>368.88010000000003</v>
      </c>
      <c r="J1191">
        <v>-332.52409999999998</v>
      </c>
      <c r="K1191">
        <v>1.104573</v>
      </c>
      <c r="L1191">
        <v>367.60410000000002</v>
      </c>
      <c r="M1191">
        <v>0.99991070000000004</v>
      </c>
      <c r="N1191">
        <v>0</v>
      </c>
      <c r="O1191">
        <v>4.5953419999999997E-3</v>
      </c>
      <c r="P1191">
        <v>0.99425319999999995</v>
      </c>
      <c r="Q1191">
        <v>2.3991149999999999E-2</v>
      </c>
      <c r="R1191">
        <v>0.10433149999999999</v>
      </c>
      <c r="S1191">
        <v>3.001312</v>
      </c>
      <c r="T1191">
        <v>-0.17463580000000001</v>
      </c>
      <c r="U1191">
        <v>0.1930847</v>
      </c>
      <c r="V1191">
        <v>-9.9755700000000003E-2</v>
      </c>
      <c r="W1191">
        <v>3.6502659999999999E-2</v>
      </c>
      <c r="X1191">
        <v>0.99434210000000001</v>
      </c>
      <c r="Y1191">
        <v>-5.9521289999999998E-2</v>
      </c>
      <c r="Z1191">
        <v>1.461525E-3</v>
      </c>
      <c r="AA1191">
        <v>0.99822599999999995</v>
      </c>
      <c r="AB1191">
        <v>23</v>
      </c>
      <c r="AC1191">
        <v>19.731699999999901</v>
      </c>
      <c r="AD1191">
        <v>-1.1545729999999901</v>
      </c>
      <c r="AE1191">
        <v>1.27600000000001</v>
      </c>
      <c r="AF1191">
        <v>-1.1812778090412599</v>
      </c>
      <c r="AG1191">
        <v>-1.1545729999999901</v>
      </c>
      <c r="AH1191">
        <v>19.6702882440065</v>
      </c>
      <c r="AI1191">
        <v>93.353168340585199</v>
      </c>
      <c r="AJ1191">
        <v>93.4367083469308</v>
      </c>
      <c r="AK1191">
        <v>19.739521161283498</v>
      </c>
      <c r="AL1191">
        <v>87.908086754925193</v>
      </c>
      <c r="AM1191">
        <v>95.728933967375198</v>
      </c>
      <c r="AN1191">
        <v>0.99999992785098502</v>
      </c>
    </row>
    <row r="1192" spans="1:40" x14ac:dyDescent="0.3">
      <c r="A1192" t="str">
        <f>"20200111145935734"</f>
        <v>20200111145935734</v>
      </c>
      <c r="B1192" t="str">
        <f>"1578725975727283"</f>
        <v>1578725975727283</v>
      </c>
      <c r="C1192" t="s">
        <v>40</v>
      </c>
      <c r="D1192">
        <v>4.1904599999999999</v>
      </c>
      <c r="E1192">
        <v>0.51637949999999999</v>
      </c>
      <c r="F1192" t="s">
        <v>43</v>
      </c>
      <c r="G1192">
        <v>-312.38819999999998</v>
      </c>
      <c r="H1192">
        <v>-0.05</v>
      </c>
      <c r="I1192">
        <v>368.86919999999998</v>
      </c>
      <c r="J1192">
        <v>-332.40710000000001</v>
      </c>
      <c r="K1192">
        <v>1.1045750000000001</v>
      </c>
      <c r="L1192">
        <v>367.6046</v>
      </c>
      <c r="M1192">
        <v>0.99991050000000004</v>
      </c>
      <c r="N1192">
        <v>0</v>
      </c>
      <c r="O1192">
        <v>4.5608580000000001E-3</v>
      </c>
      <c r="P1192">
        <v>0.99425110000000005</v>
      </c>
      <c r="Q1192">
        <v>2.4132560000000001E-2</v>
      </c>
      <c r="R1192">
        <v>0.1043202</v>
      </c>
      <c r="S1192">
        <v>3.0017399999999999</v>
      </c>
      <c r="T1192">
        <v>-0.1721174</v>
      </c>
      <c r="U1192">
        <v>0.18859860000000001</v>
      </c>
      <c r="V1192">
        <v>-9.9779290000000007E-2</v>
      </c>
      <c r="W1192">
        <v>3.6668489999999998E-2</v>
      </c>
      <c r="X1192">
        <v>0.99433369999999999</v>
      </c>
      <c r="Y1192">
        <v>-5.806571E-2</v>
      </c>
      <c r="Z1192">
        <v>1.4006649999999999E-3</v>
      </c>
      <c r="AA1192">
        <v>0.99831179999999997</v>
      </c>
      <c r="AB1192">
        <v>23</v>
      </c>
      <c r="AC1192">
        <v>20.018899999999999</v>
      </c>
      <c r="AD1192">
        <v>-1.1545749999999999</v>
      </c>
      <c r="AE1192">
        <v>1.26459999999997</v>
      </c>
      <c r="AF1192">
        <v>-1.16940191922531</v>
      </c>
      <c r="AG1192">
        <v>-1.1545749999999999</v>
      </c>
      <c r="AH1192">
        <v>19.958335949742398</v>
      </c>
      <c r="AI1192">
        <v>93.305172629098806</v>
      </c>
      <c r="AJ1192">
        <v>93.353249436572099</v>
      </c>
      <c r="AK1192">
        <v>20.025876214590301</v>
      </c>
      <c r="AL1192">
        <v>87.898579173007803</v>
      </c>
      <c r="AM1192">
        <v>95.730327804203696</v>
      </c>
      <c r="AN1192">
        <v>0.99999999591373701</v>
      </c>
    </row>
    <row r="1193" spans="1:40" x14ac:dyDescent="0.3">
      <c r="A1193" t="str">
        <f>"20200111145935744"</f>
        <v>20200111145935744</v>
      </c>
      <c r="B1193" t="str">
        <f>"1578725975737043"</f>
        <v>1578725975737043</v>
      </c>
      <c r="C1193" t="s">
        <v>40</v>
      </c>
      <c r="D1193">
        <v>4.1745229999999998</v>
      </c>
      <c r="E1193">
        <v>0.51685700000000001</v>
      </c>
      <c r="F1193" t="s">
        <v>43</v>
      </c>
      <c r="G1193">
        <v>-311.91829999999999</v>
      </c>
      <c r="H1193">
        <v>-0.05</v>
      </c>
      <c r="I1193">
        <v>368.863</v>
      </c>
      <c r="J1193">
        <v>-332.29860000000002</v>
      </c>
      <c r="K1193">
        <v>1.104571</v>
      </c>
      <c r="L1193">
        <v>367.60500000000002</v>
      </c>
      <c r="M1193">
        <v>0.99991030000000003</v>
      </c>
      <c r="N1193">
        <v>0</v>
      </c>
      <c r="O1193">
        <v>4.5291319999999999E-3</v>
      </c>
      <c r="P1193">
        <v>0.99425229999999998</v>
      </c>
      <c r="Q1193">
        <v>2.4036220000000001E-2</v>
      </c>
      <c r="R1193">
        <v>0.10433000000000001</v>
      </c>
      <c r="S1193">
        <v>3.002075</v>
      </c>
      <c r="T1193">
        <v>-0.1691714</v>
      </c>
      <c r="U1193">
        <v>0.1843872</v>
      </c>
      <c r="V1193">
        <v>-9.9820350000000002E-2</v>
      </c>
      <c r="W1193">
        <v>3.6593199999999999E-2</v>
      </c>
      <c r="X1193">
        <v>0.99433240000000001</v>
      </c>
      <c r="Y1193">
        <v>-5.6700340000000002E-2</v>
      </c>
      <c r="Z1193">
        <v>1.3400160000000001E-3</v>
      </c>
      <c r="AA1193">
        <v>0.99839029999999995</v>
      </c>
      <c r="AB1193">
        <v>23</v>
      </c>
      <c r="AC1193">
        <v>20.380299999999998</v>
      </c>
      <c r="AD1193">
        <v>-1.154571</v>
      </c>
      <c r="AE1193">
        <v>1.25800000000003</v>
      </c>
      <c r="AF1193">
        <v>-1.16195968580267</v>
      </c>
      <c r="AG1193">
        <v>-1.154571</v>
      </c>
      <c r="AH1193">
        <v>20.3208194961876</v>
      </c>
      <c r="AI1193">
        <v>93.246594641673099</v>
      </c>
      <c r="AJ1193">
        <v>93.272651914832494</v>
      </c>
      <c r="AK1193">
        <v>20.386733173858701</v>
      </c>
      <c r="AL1193">
        <v>87.902895968401594</v>
      </c>
      <c r="AM1193">
        <v>95.732677623529</v>
      </c>
      <c r="AN1193">
        <v>1.00000004312506</v>
      </c>
    </row>
    <row r="1194" spans="1:40" x14ac:dyDescent="0.3">
      <c r="A1194" t="str">
        <f>"20200111145935756"</f>
        <v>20200111145935756</v>
      </c>
      <c r="B1194" t="str">
        <f>"1578725975746803"</f>
        <v>1578725975746803</v>
      </c>
      <c r="C1194" t="s">
        <v>40</v>
      </c>
      <c r="D1194">
        <v>4.1381329999999998</v>
      </c>
      <c r="E1194">
        <v>0.51726549999999905</v>
      </c>
      <c r="F1194" t="s">
        <v>43</v>
      </c>
      <c r="G1194">
        <v>-311.8648</v>
      </c>
      <c r="H1194">
        <v>-0.05</v>
      </c>
      <c r="I1194">
        <v>368.83690000000001</v>
      </c>
      <c r="J1194">
        <v>-332.1807</v>
      </c>
      <c r="K1194">
        <v>1.1045700000000001</v>
      </c>
      <c r="L1194">
        <v>367.60559999999998</v>
      </c>
      <c r="M1194">
        <v>0.99991010000000002</v>
      </c>
      <c r="N1194">
        <v>0</v>
      </c>
      <c r="O1194">
        <v>4.4951339999999996E-3</v>
      </c>
      <c r="P1194">
        <v>0.99427370000000004</v>
      </c>
      <c r="Q1194">
        <v>2.3828100000000001E-2</v>
      </c>
      <c r="R1194">
        <v>0.1041738</v>
      </c>
      <c r="S1194">
        <v>3.0024410000000001</v>
      </c>
      <c r="T1194">
        <v>-0.16964699999999999</v>
      </c>
      <c r="U1194">
        <v>0.18099979999999999</v>
      </c>
      <c r="V1194">
        <v>-9.9698220000000004E-2</v>
      </c>
      <c r="W1194">
        <v>3.640736E-2</v>
      </c>
      <c r="X1194">
        <v>0.9943514</v>
      </c>
      <c r="Y1194">
        <v>-5.560578E-2</v>
      </c>
      <c r="Z1194">
        <v>1.3147079999999999E-3</v>
      </c>
      <c r="AA1194">
        <v>0.99845189999999995</v>
      </c>
      <c r="AB1194">
        <v>23</v>
      </c>
      <c r="AC1194">
        <v>20.315899999999999</v>
      </c>
      <c r="AD1194">
        <v>-1.1545700000000001</v>
      </c>
      <c r="AE1194">
        <v>1.23130000000003</v>
      </c>
      <c r="AF1194">
        <v>-1.13630104484858</v>
      </c>
      <c r="AG1194">
        <v>-1.1545700000000001</v>
      </c>
      <c r="AH1194">
        <v>20.256047552913198</v>
      </c>
      <c r="AI1194">
        <v>93.2571498961602</v>
      </c>
      <c r="AJ1194">
        <v>93.210749295574402</v>
      </c>
      <c r="AK1194">
        <v>20.3207203222549</v>
      </c>
      <c r="AL1194">
        <v>87.913550760494999</v>
      </c>
      <c r="AM1194">
        <v>95.725601655690198</v>
      </c>
      <c r="AN1194">
        <v>0.99999996880764797</v>
      </c>
    </row>
    <row r="1195" spans="1:40" x14ac:dyDescent="0.3">
      <c r="A1195" t="str">
        <f>"20200111145935767"</f>
        <v>20200111145935767</v>
      </c>
      <c r="B1195" t="str">
        <f>"1578725975757217"</f>
        <v>1578725975757217</v>
      </c>
      <c r="C1195" t="s">
        <v>40</v>
      </c>
      <c r="D1195">
        <v>4.1236420000000003</v>
      </c>
      <c r="E1195">
        <v>0.51760600000000001</v>
      </c>
      <c r="F1195" t="s">
        <v>43</v>
      </c>
      <c r="G1195">
        <v>-311.8329</v>
      </c>
      <c r="H1195">
        <v>-0.05</v>
      </c>
      <c r="I1195">
        <v>368.80410000000001</v>
      </c>
      <c r="J1195">
        <v>-332.06790000000001</v>
      </c>
      <c r="K1195">
        <v>1.104571</v>
      </c>
      <c r="L1195">
        <v>367.60599999999999</v>
      </c>
      <c r="M1195">
        <v>0.99991010000000002</v>
      </c>
      <c r="N1195">
        <v>0</v>
      </c>
      <c r="O1195">
        <v>4.463056E-3</v>
      </c>
      <c r="P1195">
        <v>0.99427399999999999</v>
      </c>
      <c r="Q1195">
        <v>2.361516E-2</v>
      </c>
      <c r="R1195">
        <v>0.10421950000000001</v>
      </c>
      <c r="S1195">
        <v>3.002869</v>
      </c>
      <c r="T1195">
        <v>-0.17038800000000001</v>
      </c>
      <c r="U1195">
        <v>0.17687990000000001</v>
      </c>
      <c r="V1195">
        <v>-9.9775730000000007E-2</v>
      </c>
      <c r="W1195">
        <v>3.6213889999999999E-2</v>
      </c>
      <c r="X1195">
        <v>0.99435070000000003</v>
      </c>
      <c r="Y1195">
        <v>-5.4265609999999999E-2</v>
      </c>
      <c r="Z1195">
        <v>1.284166E-3</v>
      </c>
      <c r="AA1195">
        <v>0.99852569999999996</v>
      </c>
      <c r="AB1195">
        <v>23</v>
      </c>
      <c r="AC1195">
        <v>20.234999999999999</v>
      </c>
      <c r="AD1195">
        <v>-1.154571</v>
      </c>
      <c r="AE1195">
        <v>1.1981000000000099</v>
      </c>
      <c r="AF1195">
        <v>-1.10418863780042</v>
      </c>
      <c r="AG1195">
        <v>-1.154571</v>
      </c>
      <c r="AH1195">
        <v>20.1746941956605</v>
      </c>
      <c r="AI1195">
        <v>93.270504724164795</v>
      </c>
      <c r="AJ1195">
        <v>93.132750885033602</v>
      </c>
      <c r="AK1195">
        <v>20.2378495060692</v>
      </c>
      <c r="AL1195">
        <v>87.924643109967207</v>
      </c>
      <c r="AM1195">
        <v>95.730027400205401</v>
      </c>
      <c r="AN1195">
        <v>0.99999997835822696</v>
      </c>
    </row>
    <row r="1196" spans="1:40" x14ac:dyDescent="0.3">
      <c r="A1196" t="str">
        <f>"20200111145935777"</f>
        <v>20200111145935777</v>
      </c>
      <c r="B1196" t="str">
        <f>"1578725975766977"</f>
        <v>1578725975766977</v>
      </c>
      <c r="C1196" t="s">
        <v>40</v>
      </c>
      <c r="D1196">
        <v>4.0943870000000002</v>
      </c>
      <c r="E1196">
        <v>0.51796730000000002</v>
      </c>
      <c r="F1196" t="s">
        <v>43</v>
      </c>
      <c r="G1196">
        <v>-311.68049999999999</v>
      </c>
      <c r="H1196">
        <v>-0.05</v>
      </c>
      <c r="I1196">
        <v>368.78960000000001</v>
      </c>
      <c r="J1196">
        <v>-331.9579</v>
      </c>
      <c r="K1196">
        <v>1.1045720000000001</v>
      </c>
      <c r="L1196">
        <v>367.60640000000001</v>
      </c>
      <c r="M1196">
        <v>0.99990990000000002</v>
      </c>
      <c r="N1196">
        <v>0</v>
      </c>
      <c r="O1196">
        <v>4.4321769999999998E-3</v>
      </c>
      <c r="P1196">
        <v>0.99429210000000001</v>
      </c>
      <c r="Q1196">
        <v>2.3493549999999998E-2</v>
      </c>
      <c r="R1196">
        <v>0.1040748</v>
      </c>
      <c r="S1196">
        <v>3.0030519999999998</v>
      </c>
      <c r="T1196">
        <v>-0.1700671</v>
      </c>
      <c r="U1196">
        <v>0.1743469</v>
      </c>
      <c r="V1196">
        <v>-9.9661369999999999E-2</v>
      </c>
      <c r="W1196">
        <v>3.611048E-2</v>
      </c>
      <c r="X1196">
        <v>0.99436590000000002</v>
      </c>
      <c r="Y1196">
        <v>-5.3455059999999999E-2</v>
      </c>
      <c r="Z1196">
        <v>1.260536E-3</v>
      </c>
      <c r="AA1196">
        <v>0.9985695</v>
      </c>
      <c r="AB1196">
        <v>23</v>
      </c>
      <c r="AC1196">
        <v>20.2774</v>
      </c>
      <c r="AD1196">
        <v>-1.1545719999999999</v>
      </c>
      <c r="AE1196">
        <v>1.18319999999999</v>
      </c>
      <c r="AF1196">
        <v>-1.08978699810791</v>
      </c>
      <c r="AG1196">
        <v>-1.1545719999999999</v>
      </c>
      <c r="AH1196">
        <v>20.217123190601001</v>
      </c>
      <c r="AI1196">
        <v>93.263804598784205</v>
      </c>
      <c r="AJ1196">
        <v>93.085494586218999</v>
      </c>
      <c r="AK1196">
        <v>20.279367404048099</v>
      </c>
      <c r="AL1196">
        <v>87.930571884260999</v>
      </c>
      <c r="AM1196">
        <v>95.723416531187596</v>
      </c>
      <c r="AN1196">
        <v>0.99999994925945701</v>
      </c>
    </row>
    <row r="1197" spans="1:40" x14ac:dyDescent="0.3">
      <c r="A1197" t="str">
        <f>"20200111145935789"</f>
        <v>20200111145935789</v>
      </c>
      <c r="B1197" t="str">
        <f>"1578725975776738"</f>
        <v>1578725975776738</v>
      </c>
      <c r="C1197" t="s">
        <v>40</v>
      </c>
      <c r="D1197">
        <v>4.0672300000000003</v>
      </c>
      <c r="E1197">
        <v>0.51844100000000004</v>
      </c>
      <c r="F1197" t="s">
        <v>43</v>
      </c>
      <c r="G1197">
        <v>-311.5718</v>
      </c>
      <c r="H1197">
        <v>-0.05</v>
      </c>
      <c r="I1197">
        <v>368.7681</v>
      </c>
      <c r="J1197">
        <v>-331.84800000000001</v>
      </c>
      <c r="K1197">
        <v>1.1045720000000001</v>
      </c>
      <c r="L1197">
        <v>367.60700000000003</v>
      </c>
      <c r="M1197">
        <v>0.99990990000000002</v>
      </c>
      <c r="N1197">
        <v>0</v>
      </c>
      <c r="O1197">
        <v>4.4012499999999998E-3</v>
      </c>
      <c r="P1197">
        <v>0.99431539999999996</v>
      </c>
      <c r="Q1197">
        <v>2.3272939999999999E-2</v>
      </c>
      <c r="R1197">
        <v>0.1039004</v>
      </c>
      <c r="S1197">
        <v>3.0033569999999998</v>
      </c>
      <c r="T1197">
        <v>-0.1700952</v>
      </c>
      <c r="U1197">
        <v>0.17114260000000001</v>
      </c>
      <c r="V1197">
        <v>-9.9517939999999999E-2</v>
      </c>
      <c r="W1197">
        <v>3.5907000000000001E-2</v>
      </c>
      <c r="X1197">
        <v>0.99438769999999999</v>
      </c>
      <c r="Y1197">
        <v>-5.2419760000000003E-2</v>
      </c>
      <c r="Z1197">
        <v>1.2331340000000001E-3</v>
      </c>
      <c r="AA1197">
        <v>0.99862439999999997</v>
      </c>
      <c r="AB1197">
        <v>23</v>
      </c>
      <c r="AC1197">
        <v>20.276199999999999</v>
      </c>
      <c r="AD1197">
        <v>-1.1545719999999999</v>
      </c>
      <c r="AE1197">
        <v>1.16110000000003</v>
      </c>
      <c r="AF1197">
        <v>-1.0683881126955199</v>
      </c>
      <c r="AG1197">
        <v>-1.1545719999999999</v>
      </c>
      <c r="AH1197">
        <v>20.215780529485802</v>
      </c>
      <c r="AI1197">
        <v>93.264203782224499</v>
      </c>
      <c r="AJ1197">
        <v>93.025222489327803</v>
      </c>
      <c r="AK1197">
        <v>20.276890098801399</v>
      </c>
      <c r="AL1197">
        <v>87.9422381321599</v>
      </c>
      <c r="AM1197">
        <v>95.715109644997099</v>
      </c>
      <c r="AN1197">
        <v>1.00000001547106</v>
      </c>
    </row>
    <row r="1198" spans="1:40" x14ac:dyDescent="0.3">
      <c r="A1198" t="str">
        <f>"20200111145935801"</f>
        <v>20200111145935801</v>
      </c>
      <c r="B1198" t="str">
        <f>"1578725975797234"</f>
        <v>1578725975797234</v>
      </c>
      <c r="C1198" t="s">
        <v>40</v>
      </c>
      <c r="D1198">
        <v>3.9924590000000002</v>
      </c>
      <c r="E1198">
        <v>0.51923350000000001</v>
      </c>
      <c r="F1198" t="s">
        <v>43</v>
      </c>
      <c r="G1198">
        <v>-311.63339999999999</v>
      </c>
      <c r="H1198">
        <v>-0.05</v>
      </c>
      <c r="I1198">
        <v>368.7296</v>
      </c>
      <c r="J1198">
        <v>-331.73129999999998</v>
      </c>
      <c r="K1198">
        <v>1.1045720000000001</v>
      </c>
      <c r="L1198">
        <v>367.60739999999998</v>
      </c>
      <c r="M1198">
        <v>0.99990979999999996</v>
      </c>
      <c r="N1198">
        <v>0</v>
      </c>
      <c r="O1198">
        <v>4.3683539999999996E-3</v>
      </c>
      <c r="P1198">
        <v>0.99430759999999996</v>
      </c>
      <c r="Q1198">
        <v>2.326947E-2</v>
      </c>
      <c r="R1198">
        <v>0.103977</v>
      </c>
      <c r="S1198">
        <v>3.0037229999999999</v>
      </c>
      <c r="T1198">
        <v>-0.1715593</v>
      </c>
      <c r="U1198">
        <v>0.16680909999999999</v>
      </c>
      <c r="V1198">
        <v>-9.9627439999999998E-2</v>
      </c>
      <c r="W1198">
        <v>3.5920349999999997E-2</v>
      </c>
      <c r="X1198">
        <v>0.99437620000000004</v>
      </c>
      <c r="Y1198">
        <v>-5.1010380000000001E-2</v>
      </c>
      <c r="Z1198">
        <v>1.2053210000000001E-3</v>
      </c>
      <c r="AA1198">
        <v>0.99869739999999996</v>
      </c>
      <c r="AB1198">
        <v>23</v>
      </c>
      <c r="AC1198">
        <v>20.0978999999999</v>
      </c>
      <c r="AD1198">
        <v>-1.1545719999999999</v>
      </c>
      <c r="AE1198">
        <v>1.1222000000000201</v>
      </c>
      <c r="AF1198">
        <v>-1.0309955475602199</v>
      </c>
      <c r="AG1198">
        <v>-1.1545719999999999</v>
      </c>
      <c r="AH1198">
        <v>20.036691139046699</v>
      </c>
      <c r="AI1198">
        <v>93.293553765594893</v>
      </c>
      <c r="AJ1198">
        <v>92.945578288481599</v>
      </c>
      <c r="AK1198">
        <v>20.096392216609999</v>
      </c>
      <c r="AL1198">
        <v>87.941472631153701</v>
      </c>
      <c r="AM1198">
        <v>95.721422036251994</v>
      </c>
      <c r="AN1198">
        <v>0.99999996273575698</v>
      </c>
    </row>
    <row r="1199" spans="1:40" x14ac:dyDescent="0.3">
      <c r="A1199" t="str">
        <f>"20200111145935823"</f>
        <v>20200111145935823</v>
      </c>
      <c r="B1199" t="str">
        <f>"1578725975816753"</f>
        <v>1578725975816753</v>
      </c>
      <c r="C1199" t="s">
        <v>40</v>
      </c>
      <c r="D1199">
        <v>4.0182650000000004</v>
      </c>
      <c r="E1199">
        <v>0.51962070000000005</v>
      </c>
      <c r="F1199" t="s">
        <v>43</v>
      </c>
      <c r="G1199">
        <v>-311.50799999999998</v>
      </c>
      <c r="H1199">
        <v>-0.05</v>
      </c>
      <c r="I1199">
        <v>368.69119999999998</v>
      </c>
      <c r="J1199">
        <v>-331.50009999999997</v>
      </c>
      <c r="K1199">
        <v>1.104573</v>
      </c>
      <c r="L1199">
        <v>367.60829999999999</v>
      </c>
      <c r="M1199">
        <v>0.99990979999999996</v>
      </c>
      <c r="N1199">
        <v>0</v>
      </c>
      <c r="O1199">
        <v>4.3025449999999996E-3</v>
      </c>
      <c r="P1199">
        <v>0.9943514</v>
      </c>
      <c r="Q1199">
        <v>2.3197539999999999E-2</v>
      </c>
      <c r="R1199">
        <v>0.1035739</v>
      </c>
      <c r="S1199">
        <v>3.0043950000000001</v>
      </c>
      <c r="T1199">
        <v>-0.17152390000000001</v>
      </c>
      <c r="U1199">
        <v>0.16101070000000001</v>
      </c>
      <c r="V1199">
        <v>-9.9289489999999994E-2</v>
      </c>
      <c r="W1199">
        <v>3.5878409999999999E-2</v>
      </c>
      <c r="X1199">
        <v>0.9944115</v>
      </c>
      <c r="Y1199">
        <v>-4.9144930000000003E-2</v>
      </c>
      <c r="Z1199">
        <v>1.1554499999999999E-3</v>
      </c>
      <c r="AA1199">
        <v>0.99879099999999998</v>
      </c>
      <c r="AB1199">
        <v>23</v>
      </c>
      <c r="AC1199">
        <v>19.992099999999901</v>
      </c>
      <c r="AD1199">
        <v>-1.1545729999999901</v>
      </c>
      <c r="AE1199">
        <v>1.08289999999999</v>
      </c>
      <c r="AF1199">
        <v>-0.99356203699340595</v>
      </c>
      <c r="AG1199">
        <v>-1.1545729999999901</v>
      </c>
      <c r="AH1199">
        <v>19.930296834476799</v>
      </c>
      <c r="AI1199">
        <v>93.311367325148495</v>
      </c>
      <c r="AJ1199">
        <v>92.8539375854822</v>
      </c>
      <c r="AK1199">
        <v>19.988420053722098</v>
      </c>
      <c r="AL1199">
        <v>87.943877134282104</v>
      </c>
      <c r="AM1199">
        <v>95.701941212882204</v>
      </c>
      <c r="AN1199">
        <v>0.99999994723041696</v>
      </c>
    </row>
    <row r="1200" spans="1:40" x14ac:dyDescent="0.3">
      <c r="A1200" t="str">
        <f>"20200111145935834"</f>
        <v>20200111145935834</v>
      </c>
      <c r="B1200" t="str">
        <f>"1578725975826513"</f>
        <v>1578725975826513</v>
      </c>
      <c r="C1200" t="s">
        <v>40</v>
      </c>
      <c r="D1200">
        <v>4.0115660000000002</v>
      </c>
      <c r="E1200">
        <v>0.51992620000000001</v>
      </c>
      <c r="F1200" t="s">
        <v>43</v>
      </c>
      <c r="G1200">
        <v>-311.25080000000003</v>
      </c>
      <c r="H1200">
        <v>-0.05</v>
      </c>
      <c r="I1200">
        <v>368.66500000000002</v>
      </c>
      <c r="J1200">
        <v>-331.3861</v>
      </c>
      <c r="K1200">
        <v>1.104571</v>
      </c>
      <c r="L1200">
        <v>367.60879999999997</v>
      </c>
      <c r="M1200">
        <v>0.99990959999999995</v>
      </c>
      <c r="N1200">
        <v>0</v>
      </c>
      <c r="O1200">
        <v>4.2700400000000001E-3</v>
      </c>
      <c r="P1200">
        <v>0.99435910000000005</v>
      </c>
      <c r="Q1200">
        <v>2.3243639999999999E-2</v>
      </c>
      <c r="R1200">
        <v>0.1034876</v>
      </c>
      <c r="S1200">
        <v>3.0047299999999999</v>
      </c>
      <c r="T1200">
        <v>-0.17132349999999999</v>
      </c>
      <c r="U1200">
        <v>0.1567993</v>
      </c>
      <c r="V1200">
        <v>-9.9235240000000002E-2</v>
      </c>
      <c r="W1200">
        <v>3.5937509999999999E-2</v>
      </c>
      <c r="X1200">
        <v>0.99441480000000004</v>
      </c>
      <c r="Y1200">
        <v>-4.7777729999999997E-2</v>
      </c>
      <c r="Z1200">
        <v>1.116946E-3</v>
      </c>
      <c r="AA1200">
        <v>0.99885740000000001</v>
      </c>
      <c r="AB1200">
        <v>23</v>
      </c>
      <c r="AC1200">
        <v>20.135299999999901</v>
      </c>
      <c r="AD1200">
        <v>-1.154571</v>
      </c>
      <c r="AE1200">
        <v>1.05620000000004</v>
      </c>
      <c r="AF1200">
        <v>-0.96703400999424305</v>
      </c>
      <c r="AG1200">
        <v>-1.154571</v>
      </c>
      <c r="AH1200">
        <v>20.073806241891401</v>
      </c>
      <c r="AI1200">
        <v>93.288009657830102</v>
      </c>
      <c r="AJ1200">
        <v>92.758030283540407</v>
      </c>
      <c r="AK1200">
        <v>20.130223198154699</v>
      </c>
      <c r="AL1200">
        <v>87.940488806993599</v>
      </c>
      <c r="AM1200">
        <v>95.698827499249703</v>
      </c>
      <c r="AN1200">
        <v>0.99999996597094798</v>
      </c>
    </row>
    <row r="1201" spans="1:40" x14ac:dyDescent="0.3">
      <c r="A1201" t="str">
        <f>"20200111145935845"</f>
        <v>20200111145935845</v>
      </c>
      <c r="B1201" t="str">
        <f>"1578725975837249"</f>
        <v>1578725975837249</v>
      </c>
      <c r="C1201" t="s">
        <v>40</v>
      </c>
      <c r="D1201">
        <v>4.0105789999999999</v>
      </c>
      <c r="E1201">
        <v>0.52020420000000001</v>
      </c>
      <c r="F1201" t="s">
        <v>43</v>
      </c>
      <c r="G1201">
        <v>-311.17140000000001</v>
      </c>
      <c r="H1201">
        <v>-0.05</v>
      </c>
      <c r="I1201">
        <v>368.64409999999998</v>
      </c>
      <c r="J1201">
        <v>-331.27850000000001</v>
      </c>
      <c r="K1201">
        <v>1.1045720000000001</v>
      </c>
      <c r="L1201">
        <v>367.60919999999999</v>
      </c>
      <c r="M1201">
        <v>0.99990959999999995</v>
      </c>
      <c r="N1201">
        <v>0</v>
      </c>
      <c r="O1201">
        <v>4.2389740000000004E-3</v>
      </c>
      <c r="P1201">
        <v>0.99439529999999998</v>
      </c>
      <c r="Q1201">
        <v>2.2824549999999999E-2</v>
      </c>
      <c r="R1201">
        <v>0.10323350000000001</v>
      </c>
      <c r="S1201">
        <v>3.0050050000000001</v>
      </c>
      <c r="T1201">
        <v>-0.17163149999999999</v>
      </c>
      <c r="U1201">
        <v>0.15390009999999901</v>
      </c>
      <c r="V1201">
        <v>-9.9011929999999998E-2</v>
      </c>
      <c r="W1201">
        <v>3.5530539999999999E-2</v>
      </c>
      <c r="X1201">
        <v>0.99445170000000005</v>
      </c>
      <c r="Y1201">
        <v>-4.6844089999999998E-2</v>
      </c>
      <c r="Z1201">
        <v>1.094025E-3</v>
      </c>
      <c r="AA1201">
        <v>0.99890159999999995</v>
      </c>
      <c r="AB1201">
        <v>23</v>
      </c>
      <c r="AC1201">
        <v>20.107099999999999</v>
      </c>
      <c r="AD1201">
        <v>-1.1545719999999999</v>
      </c>
      <c r="AE1201">
        <v>1.0348999999999899</v>
      </c>
      <c r="AF1201">
        <v>-0.94653762365442895</v>
      </c>
      <c r="AG1201">
        <v>-1.1545719999999999</v>
      </c>
      <c r="AH1201">
        <v>20.045387885392099</v>
      </c>
      <c r="AI1201">
        <v>93.292812858694305</v>
      </c>
      <c r="AJ1201">
        <v>92.703482597231499</v>
      </c>
      <c r="AK1201">
        <v>20.100909070288299</v>
      </c>
      <c r="AL1201">
        <v>87.963821406874899</v>
      </c>
      <c r="AM1201">
        <v>95.685877898314601</v>
      </c>
      <c r="AN1201">
        <v>0.99999998259395295</v>
      </c>
    </row>
    <row r="1202" spans="1:40" x14ac:dyDescent="0.3">
      <c r="A1202" t="str">
        <f>"20200111145935855"</f>
        <v>20200111145935855</v>
      </c>
      <c r="B1202" t="str">
        <f>"1578725975847009"</f>
        <v>1578725975847009</v>
      </c>
      <c r="C1202" t="s">
        <v>40</v>
      </c>
      <c r="D1202">
        <v>3.9791949999999998</v>
      </c>
      <c r="E1202">
        <v>0.52044780000000002</v>
      </c>
      <c r="F1202" t="s">
        <v>43</v>
      </c>
      <c r="G1202">
        <v>-311.2</v>
      </c>
      <c r="H1202">
        <v>-0.05</v>
      </c>
      <c r="I1202">
        <v>368.61680000000001</v>
      </c>
      <c r="J1202">
        <v>-331.16410000000002</v>
      </c>
      <c r="K1202">
        <v>1.1045720000000001</v>
      </c>
      <c r="L1202">
        <v>367.6096</v>
      </c>
      <c r="M1202">
        <v>0.99990959999999995</v>
      </c>
      <c r="N1202">
        <v>0</v>
      </c>
      <c r="O1202">
        <v>4.2061219999999996E-3</v>
      </c>
      <c r="P1202">
        <v>0.99441690000000005</v>
      </c>
      <c r="Q1202">
        <v>2.2890939999999999E-2</v>
      </c>
      <c r="R1202">
        <v>0.10300960000000001</v>
      </c>
      <c r="S1202">
        <v>3.00528</v>
      </c>
      <c r="T1202">
        <v>-0.17281160000000001</v>
      </c>
      <c r="U1202">
        <v>0.15081789999999901</v>
      </c>
      <c r="V1202">
        <v>-9.8821010000000001E-2</v>
      </c>
      <c r="W1202">
        <v>3.5608689999999998E-2</v>
      </c>
      <c r="X1202">
        <v>0.99446789999999996</v>
      </c>
      <c r="Y1202">
        <v>-4.5851000000000003E-2</v>
      </c>
      <c r="Z1202">
        <v>1.074839E-3</v>
      </c>
      <c r="AA1202">
        <v>0.99894769999999999</v>
      </c>
      <c r="AB1202">
        <v>23</v>
      </c>
      <c r="AC1202">
        <v>19.964099999999998</v>
      </c>
      <c r="AD1202">
        <v>-1.1545719999999999</v>
      </c>
      <c r="AE1202">
        <v>1.0072000000000101</v>
      </c>
      <c r="AF1202">
        <v>-0.920143114083804</v>
      </c>
      <c r="AG1202">
        <v>-1.1545719999999999</v>
      </c>
      <c r="AH1202">
        <v>19.9017659168709</v>
      </c>
      <c r="AI1202">
        <v>93.316674783870596</v>
      </c>
      <c r="AJ1202">
        <v>92.647141978934798</v>
      </c>
      <c r="AK1202">
        <v>19.9564522514274</v>
      </c>
      <c r="AL1202">
        <v>87.959340916336799</v>
      </c>
      <c r="AM1202">
        <v>95.674893881036994</v>
      </c>
      <c r="AN1202">
        <v>0.99999998747567298</v>
      </c>
    </row>
    <row r="1203" spans="1:40" x14ac:dyDescent="0.3">
      <c r="A1203" t="str">
        <f>"20200111145935868"</f>
        <v>20200111145935868</v>
      </c>
      <c r="B1203" t="str">
        <f>"1578725975857368"</f>
        <v>1578725975857368</v>
      </c>
      <c r="C1203" t="s">
        <v>40</v>
      </c>
      <c r="D1203">
        <v>3.961789</v>
      </c>
      <c r="E1203">
        <v>0.52066369999999995</v>
      </c>
      <c r="F1203" t="s">
        <v>43</v>
      </c>
      <c r="G1203">
        <v>-311.07850000000002</v>
      </c>
      <c r="H1203">
        <v>-0.05</v>
      </c>
      <c r="I1203">
        <v>368.60140000000001</v>
      </c>
      <c r="J1203">
        <v>-331.05009999999999</v>
      </c>
      <c r="K1203">
        <v>1.1045720000000001</v>
      </c>
      <c r="L1203">
        <v>367.61009999999999</v>
      </c>
      <c r="M1203">
        <v>0.99990950000000001</v>
      </c>
      <c r="N1203">
        <v>0</v>
      </c>
      <c r="O1203">
        <v>4.1733949999999999E-3</v>
      </c>
      <c r="P1203">
        <v>0.99445950000000005</v>
      </c>
      <c r="Q1203">
        <v>2.2803400000000001E-2</v>
      </c>
      <c r="R1203">
        <v>0.1026166</v>
      </c>
      <c r="S1203">
        <v>3.0054630000000002</v>
      </c>
      <c r="T1203">
        <v>-0.17276169999999999</v>
      </c>
      <c r="U1203">
        <v>0.14840699999999901</v>
      </c>
      <c r="V1203">
        <v>-9.8459930000000001E-2</v>
      </c>
      <c r="W1203">
        <v>3.5531489999999999E-2</v>
      </c>
      <c r="X1203">
        <v>0.99450649999999996</v>
      </c>
      <c r="Y1203">
        <v>-4.5082549999999999E-2</v>
      </c>
      <c r="Z1203">
        <v>1.0543079999999999E-3</v>
      </c>
      <c r="AA1203">
        <v>0.9989827</v>
      </c>
      <c r="AB1203">
        <v>23</v>
      </c>
      <c r="AC1203">
        <v>19.971599999999899</v>
      </c>
      <c r="AD1203">
        <v>-1.1545719999999999</v>
      </c>
      <c r="AE1203">
        <v>0.99130000000002305</v>
      </c>
      <c r="AF1203">
        <v>-0.90491829923400902</v>
      </c>
      <c r="AG1203">
        <v>-1.1545719999999999</v>
      </c>
      <c r="AH1203">
        <v>19.909188973372199</v>
      </c>
      <c r="AI1203">
        <v>93.315559272412202</v>
      </c>
      <c r="AJ1203">
        <v>92.602433437209996</v>
      </c>
      <c r="AK1203">
        <v>19.963159048830899</v>
      </c>
      <c r="AL1203">
        <v>87.963767000518899</v>
      </c>
      <c r="AM1203">
        <v>95.654075075699893</v>
      </c>
      <c r="AN1203">
        <v>1.0000000115697301</v>
      </c>
    </row>
    <row r="1204" spans="1:40" x14ac:dyDescent="0.3">
      <c r="A1204" t="str">
        <f>"20200111145935877"</f>
        <v>20200111145935877</v>
      </c>
      <c r="B1204" t="str">
        <f>"1578725975867129"</f>
        <v>1578725975867129</v>
      </c>
      <c r="C1204" t="s">
        <v>40</v>
      </c>
      <c r="D1204">
        <v>4.0018900000000004</v>
      </c>
      <c r="E1204">
        <v>0.52085599999999999</v>
      </c>
      <c r="F1204" t="s">
        <v>43</v>
      </c>
      <c r="G1204">
        <v>-311.03379999999999</v>
      </c>
      <c r="H1204">
        <v>-0.05</v>
      </c>
      <c r="I1204">
        <v>368.57870000000003</v>
      </c>
      <c r="J1204">
        <v>-330.94139999999999</v>
      </c>
      <c r="K1204">
        <v>1.104576</v>
      </c>
      <c r="L1204">
        <v>367.6105</v>
      </c>
      <c r="M1204">
        <v>0.99990970000000001</v>
      </c>
      <c r="N1204">
        <v>0</v>
      </c>
      <c r="O1204">
        <v>4.1419250000000003E-3</v>
      </c>
      <c r="P1204">
        <v>0.99449030000000005</v>
      </c>
      <c r="Q1204">
        <v>2.2809840000000001E-2</v>
      </c>
      <c r="R1204">
        <v>0.10231560000000001</v>
      </c>
      <c r="S1204">
        <v>3.0057070000000001</v>
      </c>
      <c r="T1204">
        <v>-0.17337350000000001</v>
      </c>
      <c r="U1204">
        <v>0.14544679999999999</v>
      </c>
      <c r="V1204">
        <v>-9.8190520000000003E-2</v>
      </c>
      <c r="W1204">
        <v>3.5547699999999897E-2</v>
      </c>
      <c r="X1204">
        <v>0.99453250000000004</v>
      </c>
      <c r="Y1204">
        <v>-4.4129509999999997E-2</v>
      </c>
      <c r="Z1204">
        <v>1.032341E-3</v>
      </c>
      <c r="AA1204">
        <v>0.9990253</v>
      </c>
      <c r="AB1204">
        <v>23</v>
      </c>
      <c r="AC1204">
        <v>19.907599999999999</v>
      </c>
      <c r="AD1204">
        <v>-1.154576</v>
      </c>
      <c r="AE1204">
        <v>0.96820000000002404</v>
      </c>
      <c r="AF1204">
        <v>-0.88276688083834098</v>
      </c>
      <c r="AG1204">
        <v>-1.154576</v>
      </c>
      <c r="AH1204">
        <v>19.844846691444101</v>
      </c>
      <c r="AI1204">
        <v>93.326440903218099</v>
      </c>
      <c r="AJ1204">
        <v>92.547033772910893</v>
      </c>
      <c r="AK1204">
        <v>19.897996464785098</v>
      </c>
      <c r="AL1204">
        <v>87.962837534316805</v>
      </c>
      <c r="AM1204">
        <v>95.638557542592807</v>
      </c>
      <c r="AN1204">
        <v>0.99999995537470399</v>
      </c>
    </row>
    <row r="1205" spans="1:40" x14ac:dyDescent="0.3">
      <c r="A1205" t="str">
        <f>"20200111145935889"</f>
        <v>20200111145935889</v>
      </c>
      <c r="B1205" t="str">
        <f>"1578725975886648"</f>
        <v>1578725975886648</v>
      </c>
      <c r="C1205" t="s">
        <v>40</v>
      </c>
      <c r="D1205">
        <v>3.9700380000000002</v>
      </c>
      <c r="E1205">
        <v>0.52105159999999995</v>
      </c>
      <c r="F1205" t="s">
        <v>43</v>
      </c>
      <c r="G1205">
        <v>-310.98289999999997</v>
      </c>
      <c r="H1205">
        <v>-0.05</v>
      </c>
      <c r="I1205">
        <v>368.55880000000002</v>
      </c>
      <c r="J1205">
        <v>-330.82749999999999</v>
      </c>
      <c r="K1205">
        <v>1.1045769999999999</v>
      </c>
      <c r="L1205">
        <v>367.61090000000002</v>
      </c>
      <c r="M1205">
        <v>0.99990979999999996</v>
      </c>
      <c r="N1205">
        <v>0</v>
      </c>
      <c r="O1205">
        <v>4.1093859999999996E-3</v>
      </c>
      <c r="P1205">
        <v>0.99450950000000005</v>
      </c>
      <c r="Q1205">
        <v>2.282317E-2</v>
      </c>
      <c r="R1205">
        <v>0.1021297</v>
      </c>
      <c r="S1205">
        <v>3.00589</v>
      </c>
      <c r="T1205">
        <v>-0.17388700000000001</v>
      </c>
      <c r="U1205">
        <v>0.14282230000000001</v>
      </c>
      <c r="V1205">
        <v>-9.8036799999999993E-2</v>
      </c>
      <c r="W1205">
        <v>3.5569620000000003E-2</v>
      </c>
      <c r="X1205">
        <v>0.99454690000000001</v>
      </c>
      <c r="Y1205">
        <v>-4.3289759999999997E-2</v>
      </c>
      <c r="Z1205">
        <v>1.012977E-3</v>
      </c>
      <c r="AA1205">
        <v>0.99906209999999995</v>
      </c>
      <c r="AB1205">
        <v>23</v>
      </c>
      <c r="AC1205">
        <v>19.8446</v>
      </c>
      <c r="AD1205">
        <v>-1.154577</v>
      </c>
      <c r="AE1205">
        <v>0.94790000000000396</v>
      </c>
      <c r="AF1205">
        <v>-0.86342016559362</v>
      </c>
      <c r="AG1205">
        <v>-1.154577</v>
      </c>
      <c r="AH1205">
        <v>19.781519630397</v>
      </c>
      <c r="AI1205">
        <v>93.337191139319799</v>
      </c>
      <c r="AJ1205">
        <v>92.499249419838407</v>
      </c>
      <c r="AK1205">
        <v>19.833987529467301</v>
      </c>
      <c r="AL1205">
        <v>87.961580854322904</v>
      </c>
      <c r="AM1205">
        <v>95.629705984685799</v>
      </c>
      <c r="AN1205">
        <v>0.99999997416039599</v>
      </c>
    </row>
    <row r="1206" spans="1:40" x14ac:dyDescent="0.3">
      <c r="A1206" t="str">
        <f>"20200111145935901"</f>
        <v>20200111145935901</v>
      </c>
      <c r="B1206" t="str">
        <f>"1578725975897385"</f>
        <v>1578725975897385</v>
      </c>
      <c r="C1206" t="s">
        <v>40</v>
      </c>
      <c r="D1206">
        <v>3.9363060000000001</v>
      </c>
      <c r="E1206">
        <v>0.521208</v>
      </c>
      <c r="F1206" t="s">
        <v>43</v>
      </c>
      <c r="G1206">
        <v>-310.81990000000002</v>
      </c>
      <c r="H1206">
        <v>-0.05</v>
      </c>
      <c r="I1206">
        <v>368.54989999999998</v>
      </c>
      <c r="J1206">
        <v>-330.70780000000002</v>
      </c>
      <c r="K1206">
        <v>1.1045780000000001</v>
      </c>
      <c r="L1206">
        <v>367.6114</v>
      </c>
      <c r="M1206">
        <v>0.99990970000000001</v>
      </c>
      <c r="N1206">
        <v>0</v>
      </c>
      <c r="O1206">
        <v>4.0753550000000001E-3</v>
      </c>
      <c r="P1206">
        <v>0.99451909999999999</v>
      </c>
      <c r="Q1206">
        <v>2.2800569999999999E-2</v>
      </c>
      <c r="R1206">
        <v>0.1020402</v>
      </c>
      <c r="S1206">
        <v>3.0060730000000002</v>
      </c>
      <c r="T1206">
        <v>-0.17347089999999901</v>
      </c>
      <c r="U1206">
        <v>0.14108280000000001</v>
      </c>
      <c r="V1206">
        <v>-9.798134E-2</v>
      </c>
      <c r="W1206">
        <v>3.5556270000000001E-2</v>
      </c>
      <c r="X1206">
        <v>0.99455289999999996</v>
      </c>
      <c r="Y1206">
        <v>-4.2745190000000002E-2</v>
      </c>
      <c r="Z1206">
        <v>9.9677839999999995E-4</v>
      </c>
      <c r="AA1206">
        <v>0.99908549999999996</v>
      </c>
      <c r="AB1206">
        <v>23</v>
      </c>
      <c r="AC1206">
        <v>19.887899999999998</v>
      </c>
      <c r="AD1206">
        <v>-1.1545780000000001</v>
      </c>
      <c r="AE1206">
        <v>0.93849999999997602</v>
      </c>
      <c r="AF1206">
        <v>-0.85456157572862801</v>
      </c>
      <c r="AG1206">
        <v>-1.1545780000000001</v>
      </c>
      <c r="AH1206">
        <v>19.8248924538319</v>
      </c>
      <c r="AI1206">
        <v>93.329987383131794</v>
      </c>
      <c r="AJ1206">
        <v>92.468234310700595</v>
      </c>
      <c r="AK1206">
        <v>19.876863098859399</v>
      </c>
      <c r="AL1206">
        <v>87.962346353246502</v>
      </c>
      <c r="AM1206">
        <v>95.626507941461796</v>
      </c>
      <c r="AN1206">
        <v>1.0000000311114501</v>
      </c>
    </row>
    <row r="1207" spans="1:40" x14ac:dyDescent="0.3">
      <c r="A1207" t="str">
        <f>"20200111145935912"</f>
        <v>20200111145935912</v>
      </c>
      <c r="B1207" t="str">
        <f>"1578725975907144"</f>
        <v>1578725975907144</v>
      </c>
      <c r="C1207" t="s">
        <v>40</v>
      </c>
      <c r="D1207">
        <v>3.9162889999999999</v>
      </c>
      <c r="E1207">
        <v>0.52133640000000003</v>
      </c>
      <c r="F1207" t="s">
        <v>43</v>
      </c>
      <c r="G1207">
        <v>-310.56549999999999</v>
      </c>
      <c r="H1207">
        <v>-0.05</v>
      </c>
      <c r="I1207">
        <v>368.54610000000002</v>
      </c>
      <c r="J1207">
        <v>-330.59609999999998</v>
      </c>
      <c r="K1207">
        <v>1.104579</v>
      </c>
      <c r="L1207">
        <v>367.61180000000002</v>
      </c>
      <c r="M1207">
        <v>0.99990970000000001</v>
      </c>
      <c r="N1207">
        <v>0</v>
      </c>
      <c r="O1207">
        <v>4.0436600000000001E-3</v>
      </c>
      <c r="P1207">
        <v>0.99453590000000003</v>
      </c>
      <c r="Q1207">
        <v>2.2663019999999999E-2</v>
      </c>
      <c r="R1207">
        <v>0.101906</v>
      </c>
      <c r="S1207">
        <v>3.0061650000000002</v>
      </c>
      <c r="T1207">
        <v>-0.17231679999999999</v>
      </c>
      <c r="U1207">
        <v>0.139495799999999</v>
      </c>
      <c r="V1207">
        <v>-9.7878419999999994E-2</v>
      </c>
      <c r="W1207">
        <v>3.5426180000000002E-2</v>
      </c>
      <c r="X1207">
        <v>0.9945676</v>
      </c>
      <c r="Y1207">
        <v>-4.2250790000000003E-2</v>
      </c>
      <c r="Z1207">
        <v>9.7780400000000009E-4</v>
      </c>
      <c r="AA1207">
        <v>0.99910659999999896</v>
      </c>
      <c r="AB1207">
        <v>23</v>
      </c>
      <c r="AC1207">
        <v>20.0306</v>
      </c>
      <c r="AD1207">
        <v>-1.154579</v>
      </c>
      <c r="AE1207">
        <v>0.93430000000000701</v>
      </c>
      <c r="AF1207">
        <v>-0.85046925847423804</v>
      </c>
      <c r="AG1207">
        <v>-1.154579</v>
      </c>
      <c r="AH1207">
        <v>19.968015659513998</v>
      </c>
      <c r="AI1207">
        <v>93.306247792966701</v>
      </c>
      <c r="AJ1207">
        <v>92.438843544068902</v>
      </c>
      <c r="AK1207">
        <v>20.019440551759899</v>
      </c>
      <c r="AL1207">
        <v>87.969804505518596</v>
      </c>
      <c r="AM1207">
        <v>95.620553155227</v>
      </c>
      <c r="AN1207">
        <v>0.99999995515042295</v>
      </c>
    </row>
    <row r="1208" spans="1:40" x14ac:dyDescent="0.3">
      <c r="A1208" t="str">
        <f>"20200111145935923"</f>
        <v>20200111145935923</v>
      </c>
      <c r="B1208" t="str">
        <f>"1578725975916904"</f>
        <v>1578725975916904</v>
      </c>
      <c r="C1208" t="s">
        <v>40</v>
      </c>
      <c r="D1208">
        <v>3.9827870000000001</v>
      </c>
      <c r="E1208">
        <v>0.52146300000000001</v>
      </c>
      <c r="F1208" t="s">
        <v>43</v>
      </c>
      <c r="G1208">
        <v>-310.39870000000002</v>
      </c>
      <c r="H1208">
        <v>-0.05</v>
      </c>
      <c r="I1208">
        <v>368.53829999999999</v>
      </c>
      <c r="J1208">
        <v>-330.48110000000003</v>
      </c>
      <c r="K1208">
        <v>1.1045780000000001</v>
      </c>
      <c r="L1208">
        <v>367.61219999999997</v>
      </c>
      <c r="M1208">
        <v>0.99990970000000001</v>
      </c>
      <c r="N1208">
        <v>0</v>
      </c>
      <c r="O1208">
        <v>4.0111309999999898E-3</v>
      </c>
      <c r="P1208">
        <v>0.99450190000000005</v>
      </c>
      <c r="Q1208">
        <v>2.2889300000000001E-2</v>
      </c>
      <c r="R1208">
        <v>0.1021866</v>
      </c>
      <c r="S1208">
        <v>3.006256</v>
      </c>
      <c r="T1208">
        <v>-0.1718519</v>
      </c>
      <c r="U1208">
        <v>0.1379089</v>
      </c>
      <c r="V1208">
        <v>-9.8191550000000002E-2</v>
      </c>
      <c r="W1208">
        <v>3.565873E-2</v>
      </c>
      <c r="X1208">
        <v>0.99452850000000004</v>
      </c>
      <c r="Y1208">
        <v>-4.1756689999999999E-2</v>
      </c>
      <c r="Z1208">
        <v>9.6290540000000004E-4</v>
      </c>
      <c r="AA1208">
        <v>0.99912730000000005</v>
      </c>
      <c r="AB1208">
        <v>23</v>
      </c>
      <c r="AC1208">
        <v>20.0824</v>
      </c>
      <c r="AD1208">
        <v>-1.1545780000000001</v>
      </c>
      <c r="AE1208">
        <v>0.92610000000001902</v>
      </c>
      <c r="AF1208">
        <v>-0.84275311587398405</v>
      </c>
      <c r="AG1208">
        <v>-1.1545780000000001</v>
      </c>
      <c r="AH1208">
        <v>20.019921332207101</v>
      </c>
      <c r="AI1208">
        <v>93.297760736577004</v>
      </c>
      <c r="AJ1208">
        <v>92.410484254345306</v>
      </c>
      <c r="AK1208">
        <v>20.070887706331298</v>
      </c>
      <c r="AL1208">
        <v>87.956472103332402</v>
      </c>
      <c r="AM1208">
        <v>95.6386388412473</v>
      </c>
      <c r="AN1208">
        <v>1.0000000314144299</v>
      </c>
    </row>
    <row r="1209" spans="1:40" x14ac:dyDescent="0.3">
      <c r="A1209" t="str">
        <f>"20200111145935934"</f>
        <v>20200111145935934</v>
      </c>
      <c r="B1209" t="str">
        <f>"1578725975926664"</f>
        <v>1578725975926664</v>
      </c>
      <c r="C1209" t="s">
        <v>40</v>
      </c>
      <c r="D1209">
        <v>3.9907539999999999</v>
      </c>
      <c r="E1209">
        <v>0.52158119999999997</v>
      </c>
      <c r="F1209" t="s">
        <v>43</v>
      </c>
      <c r="G1209">
        <v>-310.1619</v>
      </c>
      <c r="H1209">
        <v>-0.05</v>
      </c>
      <c r="I1209">
        <v>368.54140000000001</v>
      </c>
      <c r="J1209">
        <v>-330.36470000000003</v>
      </c>
      <c r="K1209">
        <v>1.104579</v>
      </c>
      <c r="L1209">
        <v>367.61270000000002</v>
      </c>
      <c r="M1209">
        <v>0.99990990000000002</v>
      </c>
      <c r="N1209">
        <v>0</v>
      </c>
      <c r="O1209">
        <v>3.9779519999999999E-3</v>
      </c>
      <c r="P1209">
        <v>0.99448669999999995</v>
      </c>
      <c r="Q1209">
        <v>2.2978220000000001E-2</v>
      </c>
      <c r="R1209">
        <v>0.10231560000000001</v>
      </c>
      <c r="S1209">
        <v>3.0064090000000001</v>
      </c>
      <c r="T1209">
        <v>-0.17082999999999901</v>
      </c>
      <c r="U1209">
        <v>0.13748170000000001</v>
      </c>
      <c r="V1209">
        <v>-9.8353399999999994E-2</v>
      </c>
      <c r="W1209">
        <v>3.5754040000000001E-2</v>
      </c>
      <c r="X1209">
        <v>0.99450899999999998</v>
      </c>
      <c r="Y1209">
        <v>-4.164669E-2</v>
      </c>
      <c r="Z1209">
        <v>9.5590560000000005E-4</v>
      </c>
      <c r="AA1209">
        <v>0.99913189999999996</v>
      </c>
      <c r="AB1209">
        <v>23</v>
      </c>
      <c r="AC1209">
        <v>20.2028</v>
      </c>
      <c r="AD1209">
        <v>-1.154579</v>
      </c>
      <c r="AE1209">
        <v>0.92869999999999198</v>
      </c>
      <c r="AF1209">
        <v>-0.84556443574985496</v>
      </c>
      <c r="AG1209">
        <v>-1.154579</v>
      </c>
      <c r="AH1209">
        <v>20.140692751704801</v>
      </c>
      <c r="AI1209">
        <v>93.278047656461695</v>
      </c>
      <c r="AJ1209">
        <v>92.404030504191098</v>
      </c>
      <c r="AK1209">
        <v>20.191471873066199</v>
      </c>
      <c r="AL1209">
        <v>87.951007584977802</v>
      </c>
      <c r="AM1209">
        <v>95.647983044046697</v>
      </c>
      <c r="AN1209">
        <v>0.99999994687443905</v>
      </c>
    </row>
    <row r="1210" spans="1:40" x14ac:dyDescent="0.3">
      <c r="A1210" t="str">
        <f>"20200111145935947"</f>
        <v>20200111145935947</v>
      </c>
      <c r="B1210" t="str">
        <f>"1578725975937402"</f>
        <v>1578725975937402</v>
      </c>
      <c r="C1210" t="s">
        <v>40</v>
      </c>
      <c r="D1210">
        <v>3.955082</v>
      </c>
      <c r="E1210">
        <v>0.52166369999999995</v>
      </c>
      <c r="F1210" t="s">
        <v>43</v>
      </c>
      <c r="G1210">
        <v>-309.91320000000002</v>
      </c>
      <c r="H1210">
        <v>-0.05</v>
      </c>
      <c r="I1210">
        <v>368.54559999999998</v>
      </c>
      <c r="J1210">
        <v>-330.2457</v>
      </c>
      <c r="K1210">
        <v>1.104579</v>
      </c>
      <c r="L1210">
        <v>367.61309999999997</v>
      </c>
      <c r="M1210">
        <v>0.99990990000000002</v>
      </c>
      <c r="N1210">
        <v>0</v>
      </c>
      <c r="O1210">
        <v>3.9441190000000003E-3</v>
      </c>
      <c r="P1210">
        <v>0.99445419999999995</v>
      </c>
      <c r="Q1210">
        <v>2.2889E-2</v>
      </c>
      <c r="R1210">
        <v>0.10265009999999999</v>
      </c>
      <c r="S1210">
        <v>3.0064389999999999</v>
      </c>
      <c r="T1210">
        <v>-0.16972699999999999</v>
      </c>
      <c r="U1210">
        <v>0.13714599999999999</v>
      </c>
      <c r="V1210">
        <v>-9.8721699999999996E-2</v>
      </c>
      <c r="W1210">
        <v>3.5669689999999997E-2</v>
      </c>
      <c r="X1210">
        <v>0.99447560000000002</v>
      </c>
      <c r="Y1210">
        <v>-4.1569549999999997E-2</v>
      </c>
      <c r="Z1210">
        <v>9.4946899999999999E-4</v>
      </c>
      <c r="AA1210">
        <v>0.99913510000000005</v>
      </c>
      <c r="AB1210">
        <v>23</v>
      </c>
      <c r="AC1210">
        <v>20.3324999999999</v>
      </c>
      <c r="AD1210">
        <v>-1.154579</v>
      </c>
      <c r="AE1210">
        <v>0.93250000000000399</v>
      </c>
      <c r="AF1210">
        <v>-0.84955867076242197</v>
      </c>
      <c r="AG1210">
        <v>-1.154579</v>
      </c>
      <c r="AH1210">
        <v>20.2707935355327</v>
      </c>
      <c r="AI1210">
        <v>93.257063984291307</v>
      </c>
      <c r="AJ1210">
        <v>92.399889107181707</v>
      </c>
      <c r="AK1210">
        <v>20.3214141526249</v>
      </c>
      <c r="AL1210">
        <v>87.955843697897905</v>
      </c>
      <c r="AM1210">
        <v>95.669184465604502</v>
      </c>
      <c r="AN1210">
        <v>1.00000000991547</v>
      </c>
    </row>
    <row r="1211" spans="1:40" x14ac:dyDescent="0.3">
      <c r="A1211" t="str">
        <f>"20200111145935960"</f>
        <v>20200111145935960</v>
      </c>
      <c r="B1211" t="str">
        <f>"1578725975957338"</f>
        <v>1578725975957338</v>
      </c>
      <c r="C1211" t="s">
        <v>40</v>
      </c>
      <c r="D1211">
        <v>3.907343</v>
      </c>
      <c r="E1211">
        <v>0.5218391</v>
      </c>
      <c r="F1211" t="s">
        <v>43</v>
      </c>
      <c r="G1211">
        <v>-309.69850000000002</v>
      </c>
      <c r="H1211">
        <v>-0.05</v>
      </c>
      <c r="I1211">
        <v>368.55329999999998</v>
      </c>
      <c r="J1211">
        <v>-330.10579999999999</v>
      </c>
      <c r="K1211">
        <v>1.1045799999999999</v>
      </c>
      <c r="L1211">
        <v>367.61360000000002</v>
      </c>
      <c r="M1211">
        <v>0.99990999999999997</v>
      </c>
      <c r="N1211">
        <v>0</v>
      </c>
      <c r="O1211">
        <v>3.9042040000000001E-3</v>
      </c>
      <c r="P1211">
        <v>0.99444569999999999</v>
      </c>
      <c r="Q1211">
        <v>2.286958E-2</v>
      </c>
      <c r="R1211">
        <v>0.1027371</v>
      </c>
      <c r="S1211">
        <v>3.0064090000000001</v>
      </c>
      <c r="T1211">
        <v>-0.168935</v>
      </c>
      <c r="U1211">
        <v>0.13757320000000001</v>
      </c>
      <c r="V1211">
        <v>-9.8848340000000007E-2</v>
      </c>
      <c r="W1211">
        <v>3.5656819999999999E-2</v>
      </c>
      <c r="X1211">
        <v>0.9944634</v>
      </c>
      <c r="Y1211">
        <v>-4.1751789999999997E-2</v>
      </c>
      <c r="Z1211">
        <v>9.5240560000000001E-4</v>
      </c>
      <c r="AA1211">
        <v>0.9991276</v>
      </c>
      <c r="AB1211">
        <v>23</v>
      </c>
      <c r="AC1211">
        <v>20.4072999999999</v>
      </c>
      <c r="AD1211">
        <v>-1.1545799999999999</v>
      </c>
      <c r="AE1211">
        <v>0.93969999999995901</v>
      </c>
      <c r="AF1211">
        <v>-0.857273738626668</v>
      </c>
      <c r="AG1211">
        <v>-1.1545799999999999</v>
      </c>
      <c r="AH1211">
        <v>20.345825639736901</v>
      </c>
      <c r="AI1211">
        <v>93.245050469373794</v>
      </c>
      <c r="AJ1211">
        <v>92.4127372020058</v>
      </c>
      <c r="AK1211">
        <v>20.3965829050337</v>
      </c>
      <c r="AL1211">
        <v>87.956581397594306</v>
      </c>
      <c r="AM1211">
        <v>95.676478603376793</v>
      </c>
      <c r="AN1211">
        <v>0.99999992853641095</v>
      </c>
    </row>
    <row r="1212" spans="1:40" x14ac:dyDescent="0.3">
      <c r="A1212" t="str">
        <f>"20200111145935972"</f>
        <v>20200111145935972</v>
      </c>
      <c r="B1212" t="str">
        <f>"1578725975967098"</f>
        <v>1578725975967098</v>
      </c>
      <c r="C1212" t="s">
        <v>40</v>
      </c>
      <c r="D1212">
        <v>4.2900499999999999</v>
      </c>
      <c r="E1212">
        <v>0.52198919999999904</v>
      </c>
      <c r="F1212" t="s">
        <v>43</v>
      </c>
      <c r="G1212">
        <v>-309.39999999999998</v>
      </c>
      <c r="H1212">
        <v>-0.05</v>
      </c>
      <c r="I1212">
        <v>368.55259999999998</v>
      </c>
      <c r="J1212">
        <v>-329.98540000000003</v>
      </c>
      <c r="K1212">
        <v>1.1045799999999999</v>
      </c>
      <c r="L1212">
        <v>367.61399999999998</v>
      </c>
      <c r="M1212">
        <v>0.99991010000000002</v>
      </c>
      <c r="N1212">
        <v>0</v>
      </c>
      <c r="O1212">
        <v>3.869843E-3</v>
      </c>
      <c r="P1212">
        <v>0.99443360000000003</v>
      </c>
      <c r="Q1212">
        <v>2.282936E-2</v>
      </c>
      <c r="R1212">
        <v>0.1028616</v>
      </c>
      <c r="S1212">
        <v>3.0065309999999998</v>
      </c>
      <c r="T1212">
        <v>-0.16764799999999999</v>
      </c>
      <c r="U1212">
        <v>0.13635249999999999</v>
      </c>
      <c r="V1212">
        <v>-9.9006860000000002E-2</v>
      </c>
      <c r="W1212">
        <v>3.5621559999999997E-2</v>
      </c>
      <c r="X1212">
        <v>0.99444900000000003</v>
      </c>
      <c r="Y1212">
        <v>-4.1380880000000002E-2</v>
      </c>
      <c r="Z1212">
        <v>9.3671680000000004E-4</v>
      </c>
      <c r="AA1212">
        <v>0.999143</v>
      </c>
      <c r="AB1212">
        <v>23</v>
      </c>
      <c r="AC1212">
        <v>20.5854</v>
      </c>
      <c r="AD1212">
        <v>-1.1545799999999999</v>
      </c>
      <c r="AE1212">
        <v>0.93859999999995103</v>
      </c>
      <c r="AF1212">
        <v>-0.85623618963835602</v>
      </c>
      <c r="AG1212">
        <v>-1.1545799999999999</v>
      </c>
      <c r="AH1212">
        <v>20.5244467607811</v>
      </c>
      <c r="AI1212">
        <v>93.216924921216702</v>
      </c>
      <c r="AJ1212">
        <v>92.388872640724898</v>
      </c>
      <c r="AK1212">
        <v>20.574720173673899</v>
      </c>
      <c r="AL1212">
        <v>87.9586031459976</v>
      </c>
      <c r="AM1212">
        <v>95.685603990774695</v>
      </c>
      <c r="AN1212">
        <v>1.00000003373244</v>
      </c>
    </row>
    <row r="1213" spans="1:40" x14ac:dyDescent="0.3">
      <c r="A1213" t="str">
        <f>"20200111145935984"</f>
        <v>20200111145935984</v>
      </c>
      <c r="B1213" t="str">
        <f>"1578725975976859"</f>
        <v>1578725975976859</v>
      </c>
      <c r="C1213" t="s">
        <v>40</v>
      </c>
      <c r="D1213">
        <v>3.9339249999999999</v>
      </c>
      <c r="E1213">
        <v>0.52212999999999998</v>
      </c>
      <c r="F1213" t="s">
        <v>43</v>
      </c>
      <c r="G1213">
        <v>-309.07819999999998</v>
      </c>
      <c r="H1213">
        <v>-0.05</v>
      </c>
      <c r="I1213">
        <v>368.55770000000001</v>
      </c>
      <c r="J1213">
        <v>-329.86189999999999</v>
      </c>
      <c r="K1213">
        <v>1.104581</v>
      </c>
      <c r="L1213">
        <v>367.61439999999999</v>
      </c>
      <c r="M1213">
        <v>0.99991010000000002</v>
      </c>
      <c r="N1213">
        <v>0</v>
      </c>
      <c r="O1213">
        <v>3.8346489999999999E-3</v>
      </c>
      <c r="P1213">
        <v>0.99441849999999998</v>
      </c>
      <c r="Q1213">
        <v>2.2672330000000001E-2</v>
      </c>
      <c r="R1213">
        <v>0.1030435</v>
      </c>
      <c r="S1213">
        <v>3.006561</v>
      </c>
      <c r="T1213">
        <v>-0.1660345</v>
      </c>
      <c r="U1213">
        <v>0.13571169999999999</v>
      </c>
      <c r="V1213">
        <v>-9.9224569999999998E-2</v>
      </c>
      <c r="W1213">
        <v>3.5468590000000001E-2</v>
      </c>
      <c r="X1213">
        <v>0.99443269999999995</v>
      </c>
      <c r="Y1213">
        <v>-4.1204369999999997E-2</v>
      </c>
      <c r="Z1213">
        <v>9.2478410000000004E-4</v>
      </c>
      <c r="AA1213">
        <v>0.99915030000000005</v>
      </c>
      <c r="AB1213">
        <v>23</v>
      </c>
      <c r="AC1213">
        <v>20.7837</v>
      </c>
      <c r="AD1213">
        <v>-1.1545809999999901</v>
      </c>
      <c r="AE1213">
        <v>0.94330000000002101</v>
      </c>
      <c r="AF1213">
        <v>-0.86093685645445805</v>
      </c>
      <c r="AG1213">
        <v>-1.1545809999999901</v>
      </c>
      <c r="AH1213">
        <v>20.723342868251599</v>
      </c>
      <c r="AI1213">
        <v>93.186139496471895</v>
      </c>
      <c r="AJ1213">
        <v>92.378945282190799</v>
      </c>
      <c r="AK1213">
        <v>20.7733292755753</v>
      </c>
      <c r="AL1213">
        <v>87.967373084388896</v>
      </c>
      <c r="AM1213">
        <v>95.698116886748906</v>
      </c>
      <c r="AN1213">
        <v>0.99999996549878001</v>
      </c>
    </row>
    <row r="1214" spans="1:40" x14ac:dyDescent="0.3">
      <c r="A1214" t="str">
        <f>"20200111145935996"</f>
        <v>20200111145935996</v>
      </c>
      <c r="B1214" t="str">
        <f>"1578725975986618"</f>
        <v>1578725975986618</v>
      </c>
      <c r="C1214" t="s">
        <v>40</v>
      </c>
      <c r="D1214">
        <v>3.922113</v>
      </c>
      <c r="E1214">
        <v>0.5222308</v>
      </c>
      <c r="F1214" t="s">
        <v>43</v>
      </c>
      <c r="G1214">
        <v>-308.84410000000003</v>
      </c>
      <c r="H1214">
        <v>-0.05</v>
      </c>
      <c r="I1214">
        <v>368.55840000000001</v>
      </c>
      <c r="J1214">
        <v>-329.73840000000001</v>
      </c>
      <c r="K1214">
        <v>1.1045799999999999</v>
      </c>
      <c r="L1214">
        <v>367.61489999999998</v>
      </c>
      <c r="M1214">
        <v>0.99991019999999997</v>
      </c>
      <c r="N1214">
        <v>0</v>
      </c>
      <c r="O1214">
        <v>3.7992799999999999E-3</v>
      </c>
      <c r="P1214">
        <v>0.99442090000000005</v>
      </c>
      <c r="Q1214">
        <v>2.278867E-2</v>
      </c>
      <c r="R1214">
        <v>0.1029952</v>
      </c>
      <c r="S1214">
        <v>3.0066220000000001</v>
      </c>
      <c r="T1214">
        <v>-0.1651638</v>
      </c>
      <c r="U1214">
        <v>0.135040299999999</v>
      </c>
      <c r="V1214">
        <v>-9.9211339999999995E-2</v>
      </c>
      <c r="W1214">
        <v>3.5588679999999998E-2</v>
      </c>
      <c r="X1214">
        <v>0.99442980000000003</v>
      </c>
      <c r="Y1214">
        <v>-4.1016959999999998E-2</v>
      </c>
      <c r="Z1214">
        <v>9.1672749999999995E-4</v>
      </c>
      <c r="AA1214">
        <v>0.99915799999999999</v>
      </c>
      <c r="AB1214">
        <v>23</v>
      </c>
      <c r="AC1214">
        <v>20.894299999999902</v>
      </c>
      <c r="AD1214">
        <v>-1.1545799999999999</v>
      </c>
      <c r="AE1214">
        <v>0.94350000000002798</v>
      </c>
      <c r="AF1214">
        <v>-0.86147819959298899</v>
      </c>
      <c r="AG1214">
        <v>-1.1545799999999999</v>
      </c>
      <c r="AH1214">
        <v>20.834246979900001</v>
      </c>
      <c r="AI1214">
        <v>93.169236618861603</v>
      </c>
      <c r="AJ1214">
        <v>92.367782395621106</v>
      </c>
      <c r="AK1214">
        <v>20.883990205040899</v>
      </c>
      <c r="AL1214">
        <v>87.960488230293194</v>
      </c>
      <c r="AM1214">
        <v>95.697378638780293</v>
      </c>
      <c r="AN1214">
        <v>1.00000003562838</v>
      </c>
    </row>
    <row r="1215" spans="1:40" x14ac:dyDescent="0.3">
      <c r="A1215" t="str">
        <f>"20200111145936010"</f>
        <v>20200111145936010</v>
      </c>
      <c r="B1215" t="str">
        <f>"1578725976007114"</f>
        <v>1578725976007114</v>
      </c>
      <c r="C1215" t="s">
        <v>40</v>
      </c>
      <c r="D1215">
        <v>3.9521130000000002</v>
      </c>
      <c r="E1215">
        <v>0.52236340000000003</v>
      </c>
      <c r="F1215" t="s">
        <v>43</v>
      </c>
      <c r="G1215">
        <v>-308.47219999999999</v>
      </c>
      <c r="H1215">
        <v>-0.05</v>
      </c>
      <c r="I1215">
        <v>368.56310000000002</v>
      </c>
      <c r="J1215">
        <v>-329.6103</v>
      </c>
      <c r="K1215">
        <v>1.1045830000000001</v>
      </c>
      <c r="L1215">
        <v>367.61540000000002</v>
      </c>
      <c r="M1215">
        <v>0.99991030000000003</v>
      </c>
      <c r="N1215">
        <v>0</v>
      </c>
      <c r="O1215">
        <v>3.7626000000000001E-3</v>
      </c>
      <c r="P1215">
        <v>0.99442600000000003</v>
      </c>
      <c r="Q1215">
        <v>2.2508819999999999E-2</v>
      </c>
      <c r="R1215">
        <v>0.1030075</v>
      </c>
      <c r="S1215">
        <v>3.0066830000000002</v>
      </c>
      <c r="T1215">
        <v>-0.16323799999999999</v>
      </c>
      <c r="U1215">
        <v>0.13406370000000001</v>
      </c>
      <c r="V1215">
        <v>-9.9260210000000001E-2</v>
      </c>
      <c r="W1215">
        <v>3.5313240000000003E-2</v>
      </c>
      <c r="X1215">
        <v>0.9944347</v>
      </c>
      <c r="Y1215">
        <v>-4.0730500000000003E-2</v>
      </c>
      <c r="Z1215">
        <v>9.0026479999999996E-4</v>
      </c>
      <c r="AA1215">
        <v>0.9991698</v>
      </c>
      <c r="AB1215">
        <v>23</v>
      </c>
      <c r="AC1215">
        <v>21.138100000000001</v>
      </c>
      <c r="AD1215">
        <v>-1.1545829999999999</v>
      </c>
      <c r="AE1215">
        <v>0.94769999999999699</v>
      </c>
      <c r="AF1215">
        <v>-0.86557528553914898</v>
      </c>
      <c r="AG1215">
        <v>-1.1545829999999999</v>
      </c>
      <c r="AH1215">
        <v>21.078755248999201</v>
      </c>
      <c r="AI1215">
        <v>93.132592724226797</v>
      </c>
      <c r="AJ1215">
        <v>92.351465377438302</v>
      </c>
      <c r="AK1215">
        <v>21.1280904325506</v>
      </c>
      <c r="AL1215">
        <v>87.976279620018104</v>
      </c>
      <c r="AM1215">
        <v>95.700138701939295</v>
      </c>
      <c r="AN1215">
        <v>0.99999999338631596</v>
      </c>
    </row>
    <row r="1216" spans="1:40" x14ac:dyDescent="0.3">
      <c r="A1216" t="str">
        <f>"20200111145936024"</f>
        <v>20200111145936024</v>
      </c>
      <c r="B1216" t="str">
        <f>"1578725976016876"</f>
        <v>1578725976016876</v>
      </c>
      <c r="C1216" t="s">
        <v>40</v>
      </c>
      <c r="D1216">
        <v>3.9718019999999998</v>
      </c>
      <c r="E1216">
        <v>0.52240220000000004</v>
      </c>
      <c r="F1216" t="s">
        <v>43</v>
      </c>
      <c r="G1216">
        <v>-308.16410000000002</v>
      </c>
      <c r="H1216">
        <v>-0.05</v>
      </c>
      <c r="I1216">
        <v>368.56659999999999</v>
      </c>
      <c r="J1216">
        <v>-329.46370000000002</v>
      </c>
      <c r="K1216">
        <v>1.104582</v>
      </c>
      <c r="L1216">
        <v>367.61579999999998</v>
      </c>
      <c r="M1216">
        <v>0.99991050000000004</v>
      </c>
      <c r="N1216">
        <v>0</v>
      </c>
      <c r="O1216">
        <v>3.7206750000000001E-3</v>
      </c>
      <c r="P1216">
        <v>0.99446670000000004</v>
      </c>
      <c r="Q1216">
        <v>2.2393050000000001E-2</v>
      </c>
      <c r="R1216">
        <v>0.10263899999999999</v>
      </c>
      <c r="S1216">
        <v>3.006653</v>
      </c>
      <c r="T1216">
        <v>-0.16186619999999999</v>
      </c>
      <c r="U1216">
        <v>0.1333618</v>
      </c>
      <c r="V1216">
        <v>-9.8933389999999996E-2</v>
      </c>
      <c r="W1216">
        <v>3.5201730000000001E-2</v>
      </c>
      <c r="X1216">
        <v>0.99447129999999995</v>
      </c>
      <c r="Y1216">
        <v>-4.0541170000000001E-2</v>
      </c>
      <c r="Z1216">
        <v>8.8988789999999902E-4</v>
      </c>
      <c r="AA1216">
        <v>0.99917750000000005</v>
      </c>
      <c r="AB1216">
        <v>23</v>
      </c>
      <c r="AC1216">
        <v>21.299600000000002</v>
      </c>
      <c r="AD1216">
        <v>-1.154582</v>
      </c>
      <c r="AE1216">
        <v>0.95080000000001497</v>
      </c>
      <c r="AF1216">
        <v>-0.86898964754091501</v>
      </c>
      <c r="AG1216">
        <v>-1.154582</v>
      </c>
      <c r="AH1216">
        <v>21.240701509540301</v>
      </c>
      <c r="AI1216">
        <v>93.108772462756704</v>
      </c>
      <c r="AJ1216">
        <v>92.342751658638406</v>
      </c>
      <c r="AK1216">
        <v>21.289800450442101</v>
      </c>
      <c r="AL1216">
        <v>87.982672805858201</v>
      </c>
      <c r="AM1216">
        <v>95.681285921716693</v>
      </c>
      <c r="AN1216">
        <v>1.00000007198778</v>
      </c>
    </row>
    <row r="1217" spans="1:40" x14ac:dyDescent="0.3">
      <c r="A1217" t="str">
        <f>"20200111145936035"</f>
        <v>20200111145936035</v>
      </c>
      <c r="B1217" t="str">
        <f>"1578725976026634"</f>
        <v>1578725976026634</v>
      </c>
      <c r="C1217" t="s">
        <v>40</v>
      </c>
      <c r="D1217">
        <v>3.9734370000000001</v>
      </c>
      <c r="E1217">
        <v>0.52256069999999999</v>
      </c>
      <c r="F1217" t="s">
        <v>43</v>
      </c>
      <c r="G1217">
        <v>-307.97179999999997</v>
      </c>
      <c r="H1217">
        <v>-0.05</v>
      </c>
      <c r="I1217">
        <v>368.55860000000001</v>
      </c>
      <c r="J1217">
        <v>-329.34890000000001</v>
      </c>
      <c r="K1217">
        <v>1.104582</v>
      </c>
      <c r="L1217">
        <v>367.61619999999999</v>
      </c>
      <c r="M1217">
        <v>0.99991050000000004</v>
      </c>
      <c r="N1217">
        <v>0</v>
      </c>
      <c r="O1217">
        <v>3.6879949999999999E-3</v>
      </c>
      <c r="P1217">
        <v>0.99448020000000004</v>
      </c>
      <c r="Q1217">
        <v>2.2430229999999999E-2</v>
      </c>
      <c r="R1217">
        <v>0.10250090000000001</v>
      </c>
      <c r="S1217">
        <v>3.0067140000000001</v>
      </c>
      <c r="T1217">
        <v>-0.16152559999999999</v>
      </c>
      <c r="U1217">
        <v>0.13189699999999999</v>
      </c>
      <c r="V1217">
        <v>-9.8827529999999997E-2</v>
      </c>
      <c r="W1217">
        <v>3.5241759999999997E-2</v>
      </c>
      <c r="X1217">
        <v>0.99448029999999998</v>
      </c>
      <c r="Y1217">
        <v>-4.0087900000000003E-2</v>
      </c>
      <c r="Z1217">
        <v>8.7760270000000003E-4</v>
      </c>
      <c r="AA1217">
        <v>0.99919579999999997</v>
      </c>
      <c r="AB1217">
        <v>23</v>
      </c>
      <c r="AC1217">
        <v>21.377099999999999</v>
      </c>
      <c r="AD1217">
        <v>-1.154582</v>
      </c>
      <c r="AE1217">
        <v>0.94240000000002</v>
      </c>
      <c r="AF1217">
        <v>-0.86104155545765204</v>
      </c>
      <c r="AG1217">
        <v>-1.154582</v>
      </c>
      <c r="AH1217">
        <v>21.318363182466101</v>
      </c>
      <c r="AI1217">
        <v>93.097534936574803</v>
      </c>
      <c r="AJ1217">
        <v>92.312900211693901</v>
      </c>
      <c r="AK1217">
        <v>21.3669619023031</v>
      </c>
      <c r="AL1217">
        <v>87.980377615239803</v>
      </c>
      <c r="AM1217">
        <v>95.675195552374902</v>
      </c>
      <c r="AN1217">
        <v>0.99999996471094299</v>
      </c>
    </row>
    <row r="1218" spans="1:40" x14ac:dyDescent="0.3">
      <c r="A1218" t="str">
        <f>"20200111145936046"</f>
        <v>20200111145936046</v>
      </c>
      <c r="B1218" t="str">
        <f>"1578725976037371"</f>
        <v>1578725976037371</v>
      </c>
      <c r="C1218" t="s">
        <v>40</v>
      </c>
      <c r="D1218">
        <v>3.9757229999999999</v>
      </c>
      <c r="E1218">
        <v>0.52269429999999995</v>
      </c>
      <c r="F1218" t="s">
        <v>43</v>
      </c>
      <c r="G1218">
        <v>-307.73770000000002</v>
      </c>
      <c r="H1218">
        <v>-0.05</v>
      </c>
      <c r="I1218">
        <v>368.55059999999997</v>
      </c>
      <c r="J1218">
        <v>-329.24349999999998</v>
      </c>
      <c r="K1218">
        <v>1.104584</v>
      </c>
      <c r="L1218">
        <v>367.61649999999997</v>
      </c>
      <c r="M1218">
        <v>0.99991059999999998</v>
      </c>
      <c r="N1218">
        <v>0</v>
      </c>
      <c r="O1218">
        <v>3.657881E-3</v>
      </c>
      <c r="P1218">
        <v>0.99450019999999995</v>
      </c>
      <c r="Q1218">
        <v>2.2620769999999998E-2</v>
      </c>
      <c r="R1218">
        <v>0.1022631</v>
      </c>
      <c r="S1218">
        <v>3.0068359999999998</v>
      </c>
      <c r="T1218">
        <v>-0.16064049999999999</v>
      </c>
      <c r="U1218">
        <v>0.13000490000000001</v>
      </c>
      <c r="V1218">
        <v>-9.8619150000000003E-2</v>
      </c>
      <c r="W1218">
        <v>3.5434279999999999E-2</v>
      </c>
      <c r="X1218">
        <v>0.99449419999999999</v>
      </c>
      <c r="Y1218">
        <v>-3.9490030000000002E-2</v>
      </c>
      <c r="Z1218">
        <v>8.5843200000000001E-4</v>
      </c>
      <c r="AA1218">
        <v>0.99921959999999999</v>
      </c>
      <c r="AB1218">
        <v>23</v>
      </c>
      <c r="AC1218">
        <v>21.505799999999901</v>
      </c>
      <c r="AD1218">
        <v>-1.1545840000000001</v>
      </c>
      <c r="AE1218">
        <v>0.93410000000000004</v>
      </c>
      <c r="AF1218">
        <v>-0.85296770241416098</v>
      </c>
      <c r="AG1218">
        <v>-1.1545840000000001</v>
      </c>
      <c r="AH1218">
        <v>21.447371758196098</v>
      </c>
      <c r="AI1218">
        <v>93.079020331326006</v>
      </c>
      <c r="AJ1218">
        <v>92.2774682207571</v>
      </c>
      <c r="AK1218">
        <v>21.4953570207309</v>
      </c>
      <c r="AL1218">
        <v>87.969340248622004</v>
      </c>
      <c r="AM1218">
        <v>95.663228507255894</v>
      </c>
      <c r="AN1218">
        <v>1.00000001938974</v>
      </c>
    </row>
    <row r="1219" spans="1:40" x14ac:dyDescent="0.3">
      <c r="A1219" t="str">
        <f>"20200111145936056"</f>
        <v>20200111145936056</v>
      </c>
      <c r="B1219" t="str">
        <f>"1578725976047131"</f>
        <v>1578725976047131</v>
      </c>
      <c r="C1219" t="s">
        <v>40</v>
      </c>
      <c r="D1219">
        <v>3.9414090000000002</v>
      </c>
      <c r="E1219">
        <v>0.52281650000000002</v>
      </c>
      <c r="F1219" t="s">
        <v>43</v>
      </c>
      <c r="G1219">
        <v>-307.48970000000003</v>
      </c>
      <c r="H1219">
        <v>-0.05</v>
      </c>
      <c r="I1219">
        <v>368.54360000000003</v>
      </c>
      <c r="J1219">
        <v>-329.13</v>
      </c>
      <c r="K1219">
        <v>1.1045849999999999</v>
      </c>
      <c r="L1219">
        <v>367.61689999999999</v>
      </c>
      <c r="M1219">
        <v>0.99991059999999998</v>
      </c>
      <c r="N1219">
        <v>0</v>
      </c>
      <c r="O1219">
        <v>3.625563E-3</v>
      </c>
      <c r="P1219">
        <v>0.99450559999999999</v>
      </c>
      <c r="Q1219">
        <v>2.2625929999999999E-2</v>
      </c>
      <c r="R1219">
        <v>0.1022106</v>
      </c>
      <c r="S1219">
        <v>3.0069889999999999</v>
      </c>
      <c r="T1219">
        <v>-0.1595963</v>
      </c>
      <c r="U1219">
        <v>0.12814329999999999</v>
      </c>
      <c r="V1219">
        <v>-9.8599199999999998E-2</v>
      </c>
      <c r="W1219">
        <v>3.544191E-2</v>
      </c>
      <c r="X1219">
        <v>0.99449589999999999</v>
      </c>
      <c r="Y1219">
        <v>-3.8904099999999997E-2</v>
      </c>
      <c r="Z1219">
        <v>8.3901059999999896E-4</v>
      </c>
      <c r="AA1219">
        <v>0.99924259999999998</v>
      </c>
      <c r="AB1219">
        <v>23</v>
      </c>
      <c r="AC1219">
        <v>21.6402999999999</v>
      </c>
      <c r="AD1219">
        <v>-1.154585</v>
      </c>
      <c r="AE1219">
        <v>0.92670000000003905</v>
      </c>
      <c r="AF1219">
        <v>-0.84582582430489595</v>
      </c>
      <c r="AG1219">
        <v>-1.154585</v>
      </c>
      <c r="AH1219">
        <v>21.582194581779302</v>
      </c>
      <c r="AI1219">
        <v>93.059894912220599</v>
      </c>
      <c r="AJ1219">
        <v>92.244325112262104</v>
      </c>
      <c r="AK1219">
        <v>21.6296003387273</v>
      </c>
      <c r="AL1219">
        <v>87.968902794427905</v>
      </c>
      <c r="AM1219">
        <v>95.662080702636899</v>
      </c>
      <c r="AN1219">
        <v>1.0000000131709399</v>
      </c>
    </row>
    <row r="1220" spans="1:40" x14ac:dyDescent="0.3">
      <c r="A1220" t="str">
        <f>"20200111145936068"</f>
        <v>20200111145936068</v>
      </c>
      <c r="B1220" t="str">
        <f>"1578725976056891"</f>
        <v>1578725976056891</v>
      </c>
      <c r="C1220" t="s">
        <v>40</v>
      </c>
      <c r="D1220">
        <v>4.0209999999999999</v>
      </c>
      <c r="E1220">
        <v>0.52285809999999999</v>
      </c>
      <c r="F1220" t="s">
        <v>43</v>
      </c>
      <c r="G1220">
        <v>-307.29880000000003</v>
      </c>
      <c r="H1220">
        <v>-0.05</v>
      </c>
      <c r="I1220">
        <v>368.54079999999999</v>
      </c>
      <c r="J1220">
        <v>-329.02069999999998</v>
      </c>
      <c r="K1220">
        <v>1.1045849999999999</v>
      </c>
      <c r="L1220">
        <v>367.6173</v>
      </c>
      <c r="M1220">
        <v>0.99991079999999999</v>
      </c>
      <c r="N1220">
        <v>0</v>
      </c>
      <c r="O1220">
        <v>3.5942679999999999E-3</v>
      </c>
      <c r="P1220">
        <v>0.99451040000000002</v>
      </c>
      <c r="Q1220">
        <v>2.280538E-2</v>
      </c>
      <c r="R1220">
        <v>0.1021249</v>
      </c>
      <c r="S1220">
        <v>3.0071110000000001</v>
      </c>
      <c r="T1220">
        <v>-0.15903680000000001</v>
      </c>
      <c r="U1220">
        <v>0.12725829999999999</v>
      </c>
      <c r="V1220">
        <v>-9.8544519999999997E-2</v>
      </c>
      <c r="W1220">
        <v>3.5622040000000001E-2</v>
      </c>
      <c r="X1220">
        <v>0.99449489999999996</v>
      </c>
      <c r="Y1220">
        <v>-3.8640769999999998E-2</v>
      </c>
      <c r="Z1220">
        <v>8.3074210000000002E-4</v>
      </c>
      <c r="AA1220">
        <v>0.99925280000000005</v>
      </c>
      <c r="AB1220">
        <v>23</v>
      </c>
      <c r="AC1220">
        <v>21.721899999999899</v>
      </c>
      <c r="AD1220">
        <v>-1.154585</v>
      </c>
      <c r="AE1220">
        <v>0.92349999999999</v>
      </c>
      <c r="AF1220">
        <v>-0.84303575754484605</v>
      </c>
      <c r="AG1220">
        <v>-1.154585</v>
      </c>
      <c r="AH1220">
        <v>21.663983604188001</v>
      </c>
      <c r="AI1220">
        <v>93.048397414586006</v>
      </c>
      <c r="AJ1220">
        <v>92.228492795570801</v>
      </c>
      <c r="AK1220">
        <v>21.711102261590799</v>
      </c>
      <c r="AL1220">
        <v>87.958575617181694</v>
      </c>
      <c r="AM1220">
        <v>95.658966731358902</v>
      </c>
      <c r="AN1220">
        <v>1.0000000291408999</v>
      </c>
    </row>
    <row r="1221" spans="1:40" x14ac:dyDescent="0.3">
      <c r="A1221" t="str">
        <f>"20200111145936078"</f>
        <v>20200111145936078</v>
      </c>
      <c r="B1221" t="str">
        <f>"1578725976066650"</f>
        <v>1578725976066650</v>
      </c>
      <c r="C1221" t="s">
        <v>40</v>
      </c>
      <c r="D1221">
        <v>3.9263430000000001</v>
      </c>
      <c r="E1221">
        <v>0.52298750000000005</v>
      </c>
      <c r="F1221" t="s">
        <v>43</v>
      </c>
      <c r="G1221">
        <v>-307.1121</v>
      </c>
      <c r="H1221">
        <v>-0.05</v>
      </c>
      <c r="I1221">
        <v>368.53859999999997</v>
      </c>
      <c r="J1221">
        <v>-328.9085</v>
      </c>
      <c r="K1221">
        <v>1.104581</v>
      </c>
      <c r="L1221">
        <v>367.61770000000001</v>
      </c>
      <c r="M1221">
        <v>0.99991079999999999</v>
      </c>
      <c r="N1221">
        <v>0</v>
      </c>
      <c r="O1221">
        <v>3.5622620000000001E-3</v>
      </c>
      <c r="P1221">
        <v>0.99449860000000001</v>
      </c>
      <c r="Q1221">
        <v>2.2928730000000001E-2</v>
      </c>
      <c r="R1221">
        <v>0.1022111</v>
      </c>
      <c r="S1221">
        <v>3.0072019999999999</v>
      </c>
      <c r="T1221">
        <v>-0.15847990000000001</v>
      </c>
      <c r="U1221">
        <v>0.12646479999999999</v>
      </c>
      <c r="V1221">
        <v>-9.8662630000000001E-2</v>
      </c>
      <c r="W1221">
        <v>3.5744989999999997E-2</v>
      </c>
      <c r="X1221">
        <v>0.9944788</v>
      </c>
      <c r="Y1221">
        <v>-3.8408909999999997E-2</v>
      </c>
      <c r="Z1221">
        <v>8.2339909999999997E-4</v>
      </c>
      <c r="AA1221">
        <v>0.99926170000000003</v>
      </c>
      <c r="AB1221">
        <v>23</v>
      </c>
      <c r="AC1221">
        <v>21.796399999999998</v>
      </c>
      <c r="AD1221">
        <v>-1.1545809999999901</v>
      </c>
      <c r="AE1221">
        <v>0.92089999999995997</v>
      </c>
      <c r="AF1221">
        <v>-0.84088795318716203</v>
      </c>
      <c r="AG1221">
        <v>-1.1545809999999901</v>
      </c>
      <c r="AH1221">
        <v>21.7386536479627</v>
      </c>
      <c r="AI1221">
        <v>93.037962932527606</v>
      </c>
      <c r="AJ1221">
        <v>92.215193418728703</v>
      </c>
      <c r="AK1221">
        <v>21.7855275874021</v>
      </c>
      <c r="AL1221">
        <v>87.951526657393998</v>
      </c>
      <c r="AM1221">
        <v>95.665796280968493</v>
      </c>
      <c r="AN1221">
        <v>1.0000000512590199</v>
      </c>
    </row>
    <row r="1222" spans="1:40" x14ac:dyDescent="0.3">
      <c r="A1222" t="str">
        <f>"20200111145936091"</f>
        <v>20200111145936091</v>
      </c>
      <c r="B1222" t="str">
        <f>"1578725976087146"</f>
        <v>1578725976087146</v>
      </c>
      <c r="C1222" t="s">
        <v>40</v>
      </c>
      <c r="D1222">
        <v>3.9904269999999999</v>
      </c>
      <c r="E1222">
        <v>0.52321229999999996</v>
      </c>
      <c r="F1222" t="s">
        <v>43</v>
      </c>
      <c r="G1222">
        <v>-306.88319999999999</v>
      </c>
      <c r="H1222">
        <v>-0.05</v>
      </c>
      <c r="I1222">
        <v>368.53769999999997</v>
      </c>
      <c r="J1222">
        <v>-328.79340000000002</v>
      </c>
      <c r="K1222">
        <v>1.104582</v>
      </c>
      <c r="L1222">
        <v>367.61810000000003</v>
      </c>
      <c r="M1222">
        <v>0.99991110000000005</v>
      </c>
      <c r="N1222">
        <v>0</v>
      </c>
      <c r="O1222">
        <v>3.5294969999999999E-3</v>
      </c>
      <c r="P1222">
        <v>0.99447039999999998</v>
      </c>
      <c r="Q1222">
        <v>2.2775589999999998E-2</v>
      </c>
      <c r="R1222">
        <v>0.10251929999999999</v>
      </c>
      <c r="S1222">
        <v>3.0073240000000001</v>
      </c>
      <c r="T1222">
        <v>-0.1576456</v>
      </c>
      <c r="U1222">
        <v>0.12561040000000001</v>
      </c>
      <c r="V1222">
        <v>-9.9003170000000001E-2</v>
      </c>
      <c r="W1222">
        <v>3.5588679999999998E-2</v>
      </c>
      <c r="X1222">
        <v>0.99445050000000001</v>
      </c>
      <c r="Y1222">
        <v>-3.8157330000000003E-2</v>
      </c>
      <c r="Z1222">
        <v>8.1417139999999995E-4</v>
      </c>
      <c r="AA1222">
        <v>0.99927140000000003</v>
      </c>
      <c r="AB1222">
        <v>23</v>
      </c>
      <c r="AC1222">
        <v>21.9102</v>
      </c>
      <c r="AD1222">
        <v>-1.154582</v>
      </c>
      <c r="AE1222">
        <v>0.91959999999994502</v>
      </c>
      <c r="AF1222">
        <v>-0.83992761686344797</v>
      </c>
      <c r="AG1222">
        <v>-1.154582</v>
      </c>
      <c r="AH1222">
        <v>21.852733821720498</v>
      </c>
      <c r="AI1222">
        <v>93.022164174001304</v>
      </c>
      <c r="AJ1222">
        <v>92.201126445603407</v>
      </c>
      <c r="AK1222">
        <v>21.899326781416299</v>
      </c>
      <c r="AL1222">
        <v>87.960488135933701</v>
      </c>
      <c r="AM1222">
        <v>95.685384956265395</v>
      </c>
      <c r="AN1222">
        <v>0.99999998938222001</v>
      </c>
    </row>
    <row r="1223" spans="1:40" x14ac:dyDescent="0.3">
      <c r="A1223" t="str">
        <f>"20200111145936102"</f>
        <v>20200111145936102</v>
      </c>
      <c r="B1223" t="str">
        <f>"1578725976096906"</f>
        <v>1578725976096906</v>
      </c>
      <c r="C1223" t="s">
        <v>40</v>
      </c>
      <c r="D1223">
        <v>4.0056019999999997</v>
      </c>
      <c r="E1223">
        <v>0.52335299999999996</v>
      </c>
      <c r="F1223" t="s">
        <v>43</v>
      </c>
      <c r="G1223">
        <v>-306.68509999999998</v>
      </c>
      <c r="H1223">
        <v>-0.05</v>
      </c>
      <c r="I1223">
        <v>368.5342</v>
      </c>
      <c r="J1223">
        <v>-328.6748</v>
      </c>
      <c r="K1223">
        <v>1.104581</v>
      </c>
      <c r="L1223">
        <v>367.61840000000001</v>
      </c>
      <c r="M1223">
        <v>0.9999112</v>
      </c>
      <c r="N1223">
        <v>0</v>
      </c>
      <c r="O1223">
        <v>3.4960210000000002E-3</v>
      </c>
      <c r="P1223">
        <v>0.9944672</v>
      </c>
      <c r="Q1223">
        <v>2.2619630000000002E-2</v>
      </c>
      <c r="R1223">
        <v>0.1025843</v>
      </c>
      <c r="S1223">
        <v>3.0074770000000002</v>
      </c>
      <c r="T1223">
        <v>-0.15706249999999999</v>
      </c>
      <c r="U1223">
        <v>0.1246338</v>
      </c>
      <c r="V1223">
        <v>-9.9101889999999998E-2</v>
      </c>
      <c r="W1223">
        <v>3.5429509999999997E-2</v>
      </c>
      <c r="X1223">
        <v>0.99444630000000001</v>
      </c>
      <c r="Y1223">
        <v>-3.7865459999999997E-2</v>
      </c>
      <c r="Z1223">
        <v>8.052612E-4</v>
      </c>
      <c r="AA1223">
        <v>0.99928249999999996</v>
      </c>
      <c r="AB1223">
        <v>23</v>
      </c>
      <c r="AC1223">
        <v>21.989699999999999</v>
      </c>
      <c r="AD1223">
        <v>-1.1545809999999901</v>
      </c>
      <c r="AE1223">
        <v>0.91579999999998996</v>
      </c>
      <c r="AF1223">
        <v>-0.836609195145812</v>
      </c>
      <c r="AG1223">
        <v>-1.1545809999999901</v>
      </c>
      <c r="AH1223">
        <v>21.932408256271099</v>
      </c>
      <c r="AI1223">
        <v>93.011236550817998</v>
      </c>
      <c r="AJ1223">
        <v>92.184481845693995</v>
      </c>
      <c r="AK1223">
        <v>21.9787056978046</v>
      </c>
      <c r="AL1223">
        <v>87.969613558279406</v>
      </c>
      <c r="AM1223">
        <v>95.691040762498204</v>
      </c>
      <c r="AN1223">
        <v>0.99999993918204899</v>
      </c>
    </row>
    <row r="1224" spans="1:40" x14ac:dyDescent="0.3">
      <c r="A1224" t="str">
        <f>"20200111145936113"</f>
        <v>20200111145936113</v>
      </c>
      <c r="B1224" t="str">
        <f>"1578725976106666"</f>
        <v>1578725976106666</v>
      </c>
      <c r="C1224" t="s">
        <v>40</v>
      </c>
      <c r="D1224">
        <v>4.0213939999999999</v>
      </c>
      <c r="E1224">
        <v>0.52347759999999999</v>
      </c>
      <c r="F1224" t="s">
        <v>43</v>
      </c>
      <c r="G1224">
        <v>-306.5129</v>
      </c>
      <c r="H1224">
        <v>-0.05</v>
      </c>
      <c r="I1224">
        <v>368.53230000000002</v>
      </c>
      <c r="J1224">
        <v>-328.5582</v>
      </c>
      <c r="K1224">
        <v>1.104582</v>
      </c>
      <c r="L1224">
        <v>367.61880000000002</v>
      </c>
      <c r="M1224">
        <v>0.99991140000000001</v>
      </c>
      <c r="N1224">
        <v>0</v>
      </c>
      <c r="O1224">
        <v>3.4632069999999998E-3</v>
      </c>
      <c r="P1224">
        <v>0.99447039999999998</v>
      </c>
      <c r="Q1224">
        <v>2.269819E-2</v>
      </c>
      <c r="R1224">
        <v>0.102536</v>
      </c>
      <c r="S1224">
        <v>3.0074459999999998</v>
      </c>
      <c r="T1224">
        <v>-0.1566806</v>
      </c>
      <c r="U1224">
        <v>0.12402340000000001</v>
      </c>
      <c r="V1224">
        <v>-9.9086460000000001E-2</v>
      </c>
      <c r="W1224">
        <v>3.5503380000000001E-2</v>
      </c>
      <c r="X1224">
        <v>0.99444529999999998</v>
      </c>
      <c r="Y1224">
        <v>-3.7696630000000002E-2</v>
      </c>
      <c r="Z1224">
        <v>8.0063219999999997E-4</v>
      </c>
      <c r="AA1224">
        <v>0.99928890000000004</v>
      </c>
      <c r="AB1224">
        <v>23</v>
      </c>
      <c r="AC1224">
        <v>22.045300000000001</v>
      </c>
      <c r="AD1224">
        <v>-1.154582</v>
      </c>
      <c r="AE1224">
        <v>0.91349999999999898</v>
      </c>
      <c r="AF1224">
        <v>-0.83485473892811102</v>
      </c>
      <c r="AG1224">
        <v>-1.154582</v>
      </c>
      <c r="AH1224">
        <v>21.9881227849548</v>
      </c>
      <c r="AI1224">
        <v>93.003643228340593</v>
      </c>
      <c r="AJ1224">
        <v>92.174386948416497</v>
      </c>
      <c r="AK1224">
        <v>22.034236670147799</v>
      </c>
      <c r="AL1224">
        <v>87.9653786506437</v>
      </c>
      <c r="AM1224">
        <v>95.6901661764838</v>
      </c>
      <c r="AN1224">
        <v>1.0000000356194201</v>
      </c>
    </row>
    <row r="1225" spans="1:40" x14ac:dyDescent="0.3">
      <c r="A1225" t="str">
        <f>"20200111145936136"</f>
        <v>20200111145936136</v>
      </c>
      <c r="B1225" t="str">
        <f>"1578725976127163"</f>
        <v>1578725976127163</v>
      </c>
      <c r="C1225" t="s">
        <v>40</v>
      </c>
      <c r="D1225">
        <v>3.9937450000000001</v>
      </c>
      <c r="E1225">
        <v>0.52357600000000004</v>
      </c>
      <c r="F1225" t="s">
        <v>43</v>
      </c>
      <c r="G1225">
        <v>-306.2885</v>
      </c>
      <c r="H1225">
        <v>-0.05</v>
      </c>
      <c r="I1225">
        <v>368.529</v>
      </c>
      <c r="J1225">
        <v>-328.3279</v>
      </c>
      <c r="K1225">
        <v>1.1045860000000001</v>
      </c>
      <c r="L1225">
        <v>367.61950000000002</v>
      </c>
      <c r="M1225">
        <v>0.99991169999999996</v>
      </c>
      <c r="N1225">
        <v>0</v>
      </c>
      <c r="O1225">
        <v>3.3991339999999998E-3</v>
      </c>
      <c r="P1225">
        <v>0.99456389999999995</v>
      </c>
      <c r="Q1225">
        <v>2.2827589999999998E-2</v>
      </c>
      <c r="R1225">
        <v>0.1015954</v>
      </c>
      <c r="S1225">
        <v>3.007568</v>
      </c>
      <c r="T1225">
        <v>-0.15592839999999999</v>
      </c>
      <c r="U1225">
        <v>0.1229248</v>
      </c>
      <c r="V1225">
        <v>-9.8208749999999997E-2</v>
      </c>
      <c r="W1225">
        <v>3.5623469999999997E-2</v>
      </c>
      <c r="X1225">
        <v>0.99452810000000003</v>
      </c>
      <c r="Y1225">
        <v>-3.7395339999999999E-2</v>
      </c>
      <c r="Z1225">
        <v>7.9228399999999998E-4</v>
      </c>
      <c r="AA1225">
        <v>0.99930019999999997</v>
      </c>
      <c r="AB1225">
        <v>23</v>
      </c>
      <c r="AC1225">
        <v>22.039400000000001</v>
      </c>
      <c r="AD1225">
        <v>-1.1545859999999999</v>
      </c>
      <c r="AE1225">
        <v>0.90949999999997999</v>
      </c>
      <c r="AF1225">
        <v>-0.83229339599222596</v>
      </c>
      <c r="AG1225">
        <v>-1.1545859999999999</v>
      </c>
      <c r="AH1225">
        <v>21.982138423417599</v>
      </c>
      <c r="AI1225">
        <v>93.004481880760295</v>
      </c>
      <c r="AJ1225">
        <v>92.168311852783305</v>
      </c>
      <c r="AK1225">
        <v>22.0281681216278</v>
      </c>
      <c r="AL1225">
        <v>87.958493707342598</v>
      </c>
      <c r="AM1225">
        <v>95.639622436298694</v>
      </c>
      <c r="AN1225">
        <v>1.0000000659404999</v>
      </c>
    </row>
    <row r="1226" spans="1:40" x14ac:dyDescent="0.3">
      <c r="A1226" t="str">
        <f>"20200111145936147"</f>
        <v>20200111145936147</v>
      </c>
      <c r="B1226" t="str">
        <f>"1578725976136923"</f>
        <v>1578725976136923</v>
      </c>
      <c r="C1226" t="s">
        <v>40</v>
      </c>
      <c r="D1226">
        <v>4.0065609999999996</v>
      </c>
      <c r="E1226">
        <v>0.52362419999999998</v>
      </c>
      <c r="F1226" t="s">
        <v>43</v>
      </c>
      <c r="G1226">
        <v>-305.97489999999999</v>
      </c>
      <c r="H1226">
        <v>-0.05</v>
      </c>
      <c r="I1226">
        <v>368.50749999999999</v>
      </c>
      <c r="J1226">
        <v>-328.22210000000001</v>
      </c>
      <c r="K1226">
        <v>1.1045879999999999</v>
      </c>
      <c r="L1226">
        <v>367.6198</v>
      </c>
      <c r="M1226">
        <v>0.99991189999999996</v>
      </c>
      <c r="N1226">
        <v>0</v>
      </c>
      <c r="O1226">
        <v>3.369543E-3</v>
      </c>
      <c r="P1226">
        <v>0.99462159999999999</v>
      </c>
      <c r="Q1226">
        <v>2.3282400000000002E-2</v>
      </c>
      <c r="R1226">
        <v>0.10092619999999999</v>
      </c>
      <c r="S1226">
        <v>3.0077210000000001</v>
      </c>
      <c r="T1226">
        <v>-0.15535599999999999</v>
      </c>
      <c r="U1226">
        <v>0.11947629999999999</v>
      </c>
      <c r="V1226">
        <v>-9.7568829999999995E-2</v>
      </c>
      <c r="W1226">
        <v>3.6074259999999997E-2</v>
      </c>
      <c r="X1226">
        <v>0.99457479999999998</v>
      </c>
      <c r="Y1226">
        <v>-3.6280710000000001E-2</v>
      </c>
      <c r="Z1226">
        <v>7.6212899999999995E-4</v>
      </c>
      <c r="AA1226">
        <v>0.99934140000000005</v>
      </c>
      <c r="AB1226">
        <v>23</v>
      </c>
      <c r="AC1226">
        <v>22.247199999999999</v>
      </c>
      <c r="AD1226">
        <v>-1.1545879999999999</v>
      </c>
      <c r="AE1226">
        <v>0.88769999999999505</v>
      </c>
      <c r="AF1226">
        <v>-0.81054621615478994</v>
      </c>
      <c r="AG1226">
        <v>-1.1545879999999999</v>
      </c>
      <c r="AH1226">
        <v>22.190392134224201</v>
      </c>
      <c r="AI1226">
        <v>92.976488687620105</v>
      </c>
      <c r="AJ1226">
        <v>92.091907141391403</v>
      </c>
      <c r="AK1226">
        <v>22.235187466916202</v>
      </c>
      <c r="AL1226">
        <v>87.932648659160293</v>
      </c>
      <c r="AM1226">
        <v>95.6028483075265</v>
      </c>
      <c r="AN1226">
        <v>1.0000000308085699</v>
      </c>
    </row>
    <row r="1227" spans="1:40" x14ac:dyDescent="0.3">
      <c r="A1227" t="str">
        <f>"20200111145936159"</f>
        <v>20200111145936159</v>
      </c>
      <c r="B1227" t="str">
        <f>"1578725976146682"</f>
        <v>1578725976146682</v>
      </c>
      <c r="C1227" t="s">
        <v>40</v>
      </c>
      <c r="D1227">
        <v>4.0762140000000002</v>
      </c>
      <c r="E1227">
        <v>0.52368239999999999</v>
      </c>
      <c r="F1227" t="s">
        <v>43</v>
      </c>
      <c r="G1227">
        <v>-305.6198</v>
      </c>
      <c r="H1227">
        <v>-0.05</v>
      </c>
      <c r="I1227">
        <v>368.50200000000001</v>
      </c>
      <c r="J1227">
        <v>-328.09699999999998</v>
      </c>
      <c r="K1227">
        <v>1.104589</v>
      </c>
      <c r="L1227">
        <v>367.62020000000001</v>
      </c>
      <c r="M1227">
        <v>0.99991209999999997</v>
      </c>
      <c r="N1227">
        <v>0</v>
      </c>
      <c r="O1227">
        <v>3.3344160000000002E-3</v>
      </c>
      <c r="P1227">
        <v>0.99465630000000005</v>
      </c>
      <c r="Q1227">
        <v>2.35917E-2</v>
      </c>
      <c r="R1227">
        <v>0.1005123</v>
      </c>
      <c r="S1227">
        <v>3.0079349999999998</v>
      </c>
      <c r="T1227">
        <v>-0.15365299999999901</v>
      </c>
      <c r="U1227">
        <v>0.11740109999999999</v>
      </c>
      <c r="V1227">
        <v>-9.7190260000000001E-2</v>
      </c>
      <c r="W1227">
        <v>3.6378290000000001E-2</v>
      </c>
      <c r="X1227">
        <v>0.99460079999999995</v>
      </c>
      <c r="Y1227">
        <v>-3.5626369999999997E-2</v>
      </c>
      <c r="Z1227">
        <v>7.3883919999999999E-4</v>
      </c>
      <c r="AA1227">
        <v>0.9993649</v>
      </c>
      <c r="AB1227">
        <v>23</v>
      </c>
      <c r="AC1227">
        <v>22.4771999999999</v>
      </c>
      <c r="AD1227">
        <v>-1.1545889999999901</v>
      </c>
      <c r="AE1227">
        <v>0.88179999999994096</v>
      </c>
      <c r="AF1227">
        <v>-0.80472053269530297</v>
      </c>
      <c r="AG1227">
        <v>-1.1545889999999901</v>
      </c>
      <c r="AH1227">
        <v>22.420946982828902</v>
      </c>
      <c r="AI1227">
        <v>92.946005736879798</v>
      </c>
      <c r="AJ1227">
        <v>92.055546859695099</v>
      </c>
      <c r="AK1227">
        <v>22.4650732138021</v>
      </c>
      <c r="AL1227">
        <v>87.915217599320897</v>
      </c>
      <c r="AM1227">
        <v>95.581101633438095</v>
      </c>
      <c r="AN1227">
        <v>1.0000000389914101</v>
      </c>
    </row>
    <row r="1228" spans="1:40" x14ac:dyDescent="0.3">
      <c r="A1228" t="str">
        <f>"20200111145936171"</f>
        <v>20200111145936171</v>
      </c>
      <c r="B1228" t="str">
        <f>"1578725976167178"</f>
        <v>1578725976167178</v>
      </c>
      <c r="C1228" t="s">
        <v>40</v>
      </c>
      <c r="D1228">
        <v>3.9594860000000001</v>
      </c>
      <c r="E1228">
        <v>0.52379690000000001</v>
      </c>
      <c r="F1228" t="s">
        <v>43</v>
      </c>
      <c r="G1228">
        <v>-305.15210000000002</v>
      </c>
      <c r="H1228">
        <v>-0.05</v>
      </c>
      <c r="I1228">
        <v>368.50130000000001</v>
      </c>
      <c r="J1228">
        <v>-327.98649999999998</v>
      </c>
      <c r="K1228">
        <v>1.1045910000000001</v>
      </c>
      <c r="L1228">
        <v>367.62049999999999</v>
      </c>
      <c r="M1228">
        <v>0.99991220000000003</v>
      </c>
      <c r="N1228">
        <v>0</v>
      </c>
      <c r="O1228">
        <v>3.3028049999999998E-3</v>
      </c>
      <c r="P1228">
        <v>0.99469680000000005</v>
      </c>
      <c r="Q1228">
        <v>2.3653199999999999E-2</v>
      </c>
      <c r="R1228">
        <v>0.10009510000000001</v>
      </c>
      <c r="S1228">
        <v>3.0080260000000001</v>
      </c>
      <c r="T1228">
        <v>-0.15136379999999999</v>
      </c>
      <c r="U1228">
        <v>0.115509</v>
      </c>
      <c r="V1228">
        <v>-9.6804009999999996E-2</v>
      </c>
      <c r="W1228">
        <v>3.6435000000000002E-2</v>
      </c>
      <c r="X1228">
        <v>0.99463639999999998</v>
      </c>
      <c r="Y1228">
        <v>-3.5031060000000003E-2</v>
      </c>
      <c r="Z1228">
        <v>7.1445829999999995E-4</v>
      </c>
      <c r="AA1228">
        <v>0.999386</v>
      </c>
      <c r="AB1228">
        <v>23</v>
      </c>
      <c r="AC1228">
        <v>22.834399999999899</v>
      </c>
      <c r="AD1228">
        <v>-1.1545909999999999</v>
      </c>
      <c r="AE1228">
        <v>0.88080000000002101</v>
      </c>
      <c r="AF1228">
        <v>-0.803320627833221</v>
      </c>
      <c r="AG1228">
        <v>-1.1545909999999999</v>
      </c>
      <c r="AH1228">
        <v>22.7790325119296</v>
      </c>
      <c r="AI1228">
        <v>92.899843682815998</v>
      </c>
      <c r="AJ1228">
        <v>92.019744031179897</v>
      </c>
      <c r="AK1228">
        <v>22.822417194239701</v>
      </c>
      <c r="AL1228">
        <v>87.911966216805297</v>
      </c>
      <c r="AM1228">
        <v>95.558862908858799</v>
      </c>
      <c r="AN1228">
        <v>1.00000004689101</v>
      </c>
    </row>
    <row r="1229" spans="1:40" x14ac:dyDescent="0.3">
      <c r="A1229" t="str">
        <f>"20200111145936181"</f>
        <v>20200111145936181</v>
      </c>
      <c r="B1229" t="str">
        <f>"1578725976176938"</f>
        <v>1578725976176938</v>
      </c>
      <c r="C1229" t="s">
        <v>40</v>
      </c>
      <c r="D1229">
        <v>3.9838249999999999</v>
      </c>
      <c r="E1229">
        <v>0.52391359999999998</v>
      </c>
      <c r="F1229" t="s">
        <v>43</v>
      </c>
      <c r="G1229">
        <v>-304.7099</v>
      </c>
      <c r="H1229">
        <v>-0.05</v>
      </c>
      <c r="I1229">
        <v>368.49779999999998</v>
      </c>
      <c r="J1229">
        <v>-327.87880000000001</v>
      </c>
      <c r="K1229">
        <v>1.104584</v>
      </c>
      <c r="L1229">
        <v>367.62079999999997</v>
      </c>
      <c r="M1229">
        <v>0.99991229999999998</v>
      </c>
      <c r="N1229">
        <v>0</v>
      </c>
      <c r="O1229">
        <v>3.2720879999999998E-3</v>
      </c>
      <c r="P1229">
        <v>0.99471900000000002</v>
      </c>
      <c r="Q1229">
        <v>2.3514179999999999E-2</v>
      </c>
      <c r="R1229">
        <v>9.9905919999999995E-2</v>
      </c>
      <c r="S1229">
        <v>3.0081479999999998</v>
      </c>
      <c r="T1229">
        <v>-0.14921329999999999</v>
      </c>
      <c r="U1229">
        <v>0.1133728</v>
      </c>
      <c r="V1229">
        <v>-9.6645149999999999E-2</v>
      </c>
      <c r="W1229">
        <v>3.6291570000000002E-2</v>
      </c>
      <c r="X1229">
        <v>0.99465700000000001</v>
      </c>
      <c r="Y1229">
        <v>-3.4353439999999999E-2</v>
      </c>
      <c r="Z1229">
        <v>6.8903330000000002E-4</v>
      </c>
      <c r="AA1229">
        <v>0.99940949999999995</v>
      </c>
      <c r="AB1229">
        <v>22</v>
      </c>
      <c r="AC1229">
        <v>23.168900000000001</v>
      </c>
      <c r="AD1229">
        <v>-1.1545840000000001</v>
      </c>
      <c r="AE1229">
        <v>0.87700000000000899</v>
      </c>
      <c r="AF1229">
        <v>-0.79919652587078904</v>
      </c>
      <c r="AG1229">
        <v>-1.1545840000000001</v>
      </c>
      <c r="AH1229">
        <v>23.114326666508202</v>
      </c>
      <c r="AI1229">
        <v>92.857900444940796</v>
      </c>
      <c r="AJ1229">
        <v>91.980259011148107</v>
      </c>
      <c r="AK1229">
        <v>23.156940137809102</v>
      </c>
      <c r="AL1229">
        <v>87.920189398265293</v>
      </c>
      <c r="AM1229">
        <v>95.549683325628806</v>
      </c>
      <c r="AN1229">
        <v>0.99999995536029196</v>
      </c>
    </row>
    <row r="1230" spans="1:40" x14ac:dyDescent="0.3">
      <c r="A1230" t="str">
        <f>"20200111145936191"</f>
        <v>20200111145936191</v>
      </c>
      <c r="B1230" t="str">
        <f>"1578725976186697"</f>
        <v>1578725976186697</v>
      </c>
      <c r="C1230" t="s">
        <v>40</v>
      </c>
      <c r="D1230">
        <v>3.9896219999999998</v>
      </c>
      <c r="E1230">
        <v>0.52405459999999904</v>
      </c>
      <c r="F1230" t="s">
        <v>43</v>
      </c>
      <c r="G1230">
        <v>-304.49599999999998</v>
      </c>
      <c r="H1230">
        <v>-0.05</v>
      </c>
      <c r="I1230">
        <v>368.48739999999998</v>
      </c>
      <c r="J1230">
        <v>-327.7756</v>
      </c>
      <c r="K1230">
        <v>1.104581</v>
      </c>
      <c r="L1230">
        <v>367.62110000000001</v>
      </c>
      <c r="M1230">
        <v>0.99991260000000004</v>
      </c>
      <c r="N1230">
        <v>0</v>
      </c>
      <c r="O1230">
        <v>3.2417879999999998E-3</v>
      </c>
      <c r="P1230">
        <v>0.9947492</v>
      </c>
      <c r="Q1230">
        <v>2.334489E-2</v>
      </c>
      <c r="R1230">
        <v>9.9643960000000004E-2</v>
      </c>
      <c r="S1230">
        <v>3.0082399999999998</v>
      </c>
      <c r="T1230">
        <v>-0.14853930000000001</v>
      </c>
      <c r="U1230">
        <v>0.1114807</v>
      </c>
      <c r="V1230">
        <v>-9.6413819999999997E-2</v>
      </c>
      <c r="W1230">
        <v>3.6118110000000002E-2</v>
      </c>
      <c r="X1230">
        <v>0.99468579999999995</v>
      </c>
      <c r="Y1230">
        <v>-3.3755880000000002E-2</v>
      </c>
      <c r="Z1230">
        <v>6.7266789999999895E-4</v>
      </c>
      <c r="AA1230">
        <v>0.99942989999999998</v>
      </c>
      <c r="AB1230">
        <v>22</v>
      </c>
      <c r="AC1230">
        <v>23.279599999999999</v>
      </c>
      <c r="AD1230">
        <v>-1.1545809999999901</v>
      </c>
      <c r="AE1230">
        <v>0.86629999999996699</v>
      </c>
      <c r="AF1230">
        <v>-0.78888391527097801</v>
      </c>
      <c r="AG1230">
        <v>-1.1545809999999901</v>
      </c>
      <c r="AH1230">
        <v>23.225236078145699</v>
      </c>
      <c r="AI1230">
        <v>92.844327170034006</v>
      </c>
      <c r="AJ1230">
        <v>91.945398871942103</v>
      </c>
      <c r="AK1230">
        <v>23.2672943421219</v>
      </c>
      <c r="AL1230">
        <v>87.930134519834994</v>
      </c>
      <c r="AM1230">
        <v>95.536322920753307</v>
      </c>
      <c r="AN1230">
        <v>0.99999999163930198</v>
      </c>
    </row>
    <row r="1231" spans="1:40" x14ac:dyDescent="0.3">
      <c r="A1231" t="str">
        <f>"20200111145936203"</f>
        <v>20200111145936203</v>
      </c>
      <c r="B1231" t="str">
        <f>"1578725976196458"</f>
        <v>1578725976196458</v>
      </c>
      <c r="C1231" t="s">
        <v>40</v>
      </c>
      <c r="D1231">
        <v>4.2210869999999998</v>
      </c>
      <c r="E1231">
        <v>0.52417749999999996</v>
      </c>
      <c r="F1231" t="s">
        <v>43</v>
      </c>
      <c r="G1231">
        <v>-304.18439999999998</v>
      </c>
      <c r="H1231">
        <v>-0.05</v>
      </c>
      <c r="I1231">
        <v>368.4803</v>
      </c>
      <c r="J1231">
        <v>-327.66539999999998</v>
      </c>
      <c r="K1231">
        <v>1.1045799999999999</v>
      </c>
      <c r="L1231">
        <v>367.62150000000003</v>
      </c>
      <c r="M1231">
        <v>0.99991269999999999</v>
      </c>
      <c r="N1231">
        <v>0</v>
      </c>
      <c r="O1231">
        <v>3.2097010000000001E-3</v>
      </c>
      <c r="P1231">
        <v>0.99478500000000003</v>
      </c>
      <c r="Q1231">
        <v>2.3140839999999999E-2</v>
      </c>
      <c r="R1231">
        <v>9.9335389999999996E-2</v>
      </c>
      <c r="S1231">
        <v>3.0083009999999999</v>
      </c>
      <c r="T1231">
        <v>-0.14723</v>
      </c>
      <c r="U1231">
        <v>0.10955810000000001</v>
      </c>
      <c r="V1231">
        <v>-9.6137070000000005E-2</v>
      </c>
      <c r="W1231">
        <v>3.5909870000000003E-2</v>
      </c>
      <c r="X1231">
        <v>0.99472020000000005</v>
      </c>
      <c r="Y1231">
        <v>-3.315067E-2</v>
      </c>
      <c r="Z1231">
        <v>6.5351299999999999E-4</v>
      </c>
      <c r="AA1231">
        <v>0.99945010000000001</v>
      </c>
      <c r="AB1231">
        <v>22</v>
      </c>
      <c r="AC1231">
        <v>23.480999999999899</v>
      </c>
      <c r="AD1231">
        <v>-1.1545799999999999</v>
      </c>
      <c r="AE1231">
        <v>0.85879999999997303</v>
      </c>
      <c r="AF1231">
        <v>-0.78153534651633005</v>
      </c>
      <c r="AG1231">
        <v>-1.1545799999999999</v>
      </c>
      <c r="AH1231">
        <v>23.427070156936001</v>
      </c>
      <c r="AI1231">
        <v>92.819916775881495</v>
      </c>
      <c r="AJ1231">
        <v>91.910698866134496</v>
      </c>
      <c r="AK1231">
        <v>23.468520801538698</v>
      </c>
      <c r="AL1231">
        <v>87.942073690445596</v>
      </c>
      <c r="AM1231">
        <v>95.520339820076501</v>
      </c>
      <c r="AN1231">
        <v>1.00000006563981</v>
      </c>
    </row>
    <row r="1232" spans="1:40" x14ac:dyDescent="0.3">
      <c r="A1232" t="str">
        <f>"20200111145936214"</f>
        <v>20200111145936214</v>
      </c>
      <c r="B1232" t="str">
        <f>"1578725976207194"</f>
        <v>1578725976207194</v>
      </c>
      <c r="C1232" t="s">
        <v>40</v>
      </c>
      <c r="D1232">
        <v>4.0915030000000003</v>
      </c>
      <c r="E1232">
        <v>0.52426720000000004</v>
      </c>
      <c r="F1232" t="s">
        <v>43</v>
      </c>
      <c r="G1232">
        <v>-303.91579999999999</v>
      </c>
      <c r="H1232">
        <v>-0.05</v>
      </c>
      <c r="I1232">
        <v>368.4726</v>
      </c>
      <c r="J1232">
        <v>-327.55270000000002</v>
      </c>
      <c r="K1232">
        <v>1.104584</v>
      </c>
      <c r="L1232">
        <v>367.62180000000001</v>
      </c>
      <c r="M1232">
        <v>0.99991289999999999</v>
      </c>
      <c r="N1232">
        <v>0</v>
      </c>
      <c r="O1232">
        <v>3.1770729999999999E-3</v>
      </c>
      <c r="P1232">
        <v>0.99477510000000002</v>
      </c>
      <c r="Q1232">
        <v>2.3262149999999999E-2</v>
      </c>
      <c r="R1232">
        <v>9.9406339999999996E-2</v>
      </c>
      <c r="S1232">
        <v>3.008362</v>
      </c>
      <c r="T1232">
        <v>-0.14625060000000001</v>
      </c>
      <c r="U1232">
        <v>0.1078186</v>
      </c>
      <c r="V1232">
        <v>-9.6240060000000002E-2</v>
      </c>
      <c r="W1232">
        <v>3.6026610000000001E-2</v>
      </c>
      <c r="X1232">
        <v>0.99470599999999998</v>
      </c>
      <c r="Y1232">
        <v>-3.2606459999999997E-2</v>
      </c>
      <c r="Z1232">
        <v>6.3753300000000002E-4</v>
      </c>
      <c r="AA1232">
        <v>0.99946809999999997</v>
      </c>
      <c r="AB1232">
        <v>22</v>
      </c>
      <c r="AC1232">
        <v>23.636900000000001</v>
      </c>
      <c r="AD1232">
        <v>-1.1545840000000001</v>
      </c>
      <c r="AE1232">
        <v>0.85079999999999201</v>
      </c>
      <c r="AF1232">
        <v>-0.77384937248618801</v>
      </c>
      <c r="AG1232">
        <v>-1.1545840000000001</v>
      </c>
      <c r="AH1232">
        <v>23.583287101303501</v>
      </c>
      <c r="AI1232">
        <v>92.8013275916542</v>
      </c>
      <c r="AJ1232">
        <v>91.879398734377702</v>
      </c>
      <c r="AK1232">
        <v>23.624210834795399</v>
      </c>
      <c r="AL1232">
        <v>87.935380610392897</v>
      </c>
      <c r="AM1232">
        <v>95.526295478289697</v>
      </c>
      <c r="AN1232">
        <v>1.00000004610644</v>
      </c>
    </row>
    <row r="1233" spans="1:40" x14ac:dyDescent="0.3">
      <c r="A1233" t="str">
        <f>"20200111145936224"</f>
        <v>20200111145936224</v>
      </c>
      <c r="B1233" t="str">
        <f>"1578725976216954"</f>
        <v>1578725976216954</v>
      </c>
      <c r="C1233" t="s">
        <v>40</v>
      </c>
      <c r="D1233">
        <v>4.1419639999999998</v>
      </c>
      <c r="E1233">
        <v>0.52446079999999995</v>
      </c>
      <c r="F1233" t="s">
        <v>43</v>
      </c>
      <c r="G1233">
        <v>-303.68200000000002</v>
      </c>
      <c r="H1233">
        <v>-0.05</v>
      </c>
      <c r="I1233">
        <v>368.47089999999997</v>
      </c>
      <c r="J1233">
        <v>-327.44069999999999</v>
      </c>
      <c r="K1233">
        <v>1.1045879999999999</v>
      </c>
      <c r="L1233">
        <v>367.62209999999999</v>
      </c>
      <c r="M1233">
        <v>0.9999131</v>
      </c>
      <c r="N1233">
        <v>0</v>
      </c>
      <c r="O1233">
        <v>3.1449770000000002E-3</v>
      </c>
      <c r="P1233">
        <v>0.99477000000000004</v>
      </c>
      <c r="Q1233">
        <v>2.323894E-2</v>
      </c>
      <c r="R1233">
        <v>9.9462540000000002E-2</v>
      </c>
      <c r="S1233">
        <v>3.0084840000000002</v>
      </c>
      <c r="T1233">
        <v>-0.1455148</v>
      </c>
      <c r="U1233">
        <v>0.1070251</v>
      </c>
      <c r="V1233">
        <v>-9.6328380000000005E-2</v>
      </c>
      <c r="W1233">
        <v>3.5998969999999998E-2</v>
      </c>
      <c r="X1233">
        <v>0.99469839999999998</v>
      </c>
      <c r="Y1233">
        <v>-3.2374409999999999E-2</v>
      </c>
      <c r="Z1233">
        <v>6.3025080000000001E-4</v>
      </c>
      <c r="AA1233">
        <v>0.99947560000000002</v>
      </c>
      <c r="AB1233">
        <v>22</v>
      </c>
      <c r="AC1233">
        <v>23.758699999999902</v>
      </c>
      <c r="AD1233">
        <v>-1.1545879999999999</v>
      </c>
      <c r="AE1233">
        <v>0.84879999999998201</v>
      </c>
      <c r="AF1233">
        <v>-0.77224768697412005</v>
      </c>
      <c r="AG1233">
        <v>-1.1545879999999999</v>
      </c>
      <c r="AH1233">
        <v>23.7053406795965</v>
      </c>
      <c r="AI1233">
        <v>92.786958105126203</v>
      </c>
      <c r="AJ1233">
        <v>91.865861850943602</v>
      </c>
      <c r="AK1233">
        <v>23.7460021198414</v>
      </c>
      <c r="AL1233">
        <v>87.936965187707699</v>
      </c>
      <c r="AM1233">
        <v>95.531377550353596</v>
      </c>
      <c r="AN1233">
        <v>0.99999999479852197</v>
      </c>
    </row>
    <row r="1234" spans="1:40" x14ac:dyDescent="0.3">
      <c r="A1234" t="str">
        <f>"20200111145936235"</f>
        <v>20200111145936235</v>
      </c>
      <c r="B1234" t="str">
        <f>"1578725976226714"</f>
        <v>1578725976226714</v>
      </c>
      <c r="C1234" t="s">
        <v>40</v>
      </c>
      <c r="D1234">
        <v>4.0840560000000004</v>
      </c>
      <c r="E1234">
        <v>0.5245649</v>
      </c>
      <c r="F1234" t="s">
        <v>43</v>
      </c>
      <c r="G1234">
        <v>-303.47500000000002</v>
      </c>
      <c r="H1234">
        <v>-0.05</v>
      </c>
      <c r="I1234">
        <v>368.46690000000001</v>
      </c>
      <c r="J1234">
        <v>-327.33109999999999</v>
      </c>
      <c r="K1234">
        <v>1.104589</v>
      </c>
      <c r="L1234">
        <v>367.62240000000003</v>
      </c>
      <c r="M1234">
        <v>0.9999133</v>
      </c>
      <c r="N1234">
        <v>0</v>
      </c>
      <c r="O1234">
        <v>3.1137119999999998E-3</v>
      </c>
      <c r="P1234">
        <v>0.99471560000000003</v>
      </c>
      <c r="Q1234">
        <v>2.356082E-2</v>
      </c>
      <c r="R1234">
        <v>9.99303E-2</v>
      </c>
      <c r="S1234">
        <v>3.0085449999999998</v>
      </c>
      <c r="T1234">
        <v>-0.14494199999999999</v>
      </c>
      <c r="U1234">
        <v>0.10604860000000001</v>
      </c>
      <c r="V1234">
        <v>-9.6827179999999999E-2</v>
      </c>
      <c r="W1234">
        <v>3.631587E-2</v>
      </c>
      <c r="X1234">
        <v>0.99463840000000003</v>
      </c>
      <c r="Y1234">
        <v>-3.2081489999999997E-2</v>
      </c>
      <c r="Z1234">
        <v>6.2221919999999999E-4</v>
      </c>
      <c r="AA1234">
        <v>0.99948510000000002</v>
      </c>
      <c r="AB1234">
        <v>22</v>
      </c>
      <c r="AC1234">
        <v>23.856099999999898</v>
      </c>
      <c r="AD1234">
        <v>-1.1545889999999901</v>
      </c>
      <c r="AE1234">
        <v>0.84449999999998204</v>
      </c>
      <c r="AF1234">
        <v>-0.76841114779714204</v>
      </c>
      <c r="AG1234">
        <v>-1.1545889999999901</v>
      </c>
      <c r="AH1234">
        <v>23.802928540554699</v>
      </c>
      <c r="AI1234">
        <v>92.775578826551396</v>
      </c>
      <c r="AJ1234">
        <v>91.848992285289995</v>
      </c>
      <c r="AK1234">
        <v>23.8432996575083</v>
      </c>
      <c r="AL1234">
        <v>87.918796172827399</v>
      </c>
      <c r="AM1234">
        <v>95.560173973515404</v>
      </c>
      <c r="AN1234">
        <v>0.99999994597758302</v>
      </c>
    </row>
    <row r="1235" spans="1:40" x14ac:dyDescent="0.3">
      <c r="A1235" t="str">
        <f>"20200111145936269"</f>
        <v>20200111145936269</v>
      </c>
      <c r="B1235" t="str">
        <f>"1578725976266730"</f>
        <v>1578725976266730</v>
      </c>
      <c r="C1235" t="s">
        <v>40</v>
      </c>
      <c r="D1235">
        <v>4.0766819999999999</v>
      </c>
      <c r="E1235">
        <v>0.52478100000000005</v>
      </c>
      <c r="F1235" t="s">
        <v>43</v>
      </c>
      <c r="G1235">
        <v>-303.09350000000001</v>
      </c>
      <c r="H1235">
        <v>-0.05</v>
      </c>
      <c r="I1235">
        <v>368.47989999999999</v>
      </c>
      <c r="J1235">
        <v>-327.00020000000001</v>
      </c>
      <c r="K1235">
        <v>1.104592</v>
      </c>
      <c r="L1235">
        <v>367.62329999999997</v>
      </c>
      <c r="M1235">
        <v>0.99991359999999996</v>
      </c>
      <c r="N1235">
        <v>0</v>
      </c>
      <c r="O1235">
        <v>3.0208560000000001E-3</v>
      </c>
      <c r="P1235">
        <v>0.99458489999999999</v>
      </c>
      <c r="Q1235">
        <v>2.3970060000000001E-2</v>
      </c>
      <c r="R1235">
        <v>0.1011273</v>
      </c>
      <c r="S1235">
        <v>3.0086360000000001</v>
      </c>
      <c r="T1235">
        <v>-0.14332029999999901</v>
      </c>
      <c r="U1235">
        <v>0.10644530000000001</v>
      </c>
      <c r="V1235">
        <v>-9.8117609999999994E-2</v>
      </c>
      <c r="W1235">
        <v>3.6712330000000001E-2</v>
      </c>
      <c r="X1235">
        <v>0.99449739999999998</v>
      </c>
      <c r="Y1235">
        <v>-3.2305260000000002E-2</v>
      </c>
      <c r="Z1235">
        <v>6.2498950000000001E-4</v>
      </c>
      <c r="AA1235">
        <v>0.99947790000000003</v>
      </c>
      <c r="AB1235">
        <v>22</v>
      </c>
      <c r="AC1235">
        <v>23.906700000000001</v>
      </c>
      <c r="AD1235">
        <v>-1.1545920000000001</v>
      </c>
      <c r="AE1235">
        <v>0.85660000000001402</v>
      </c>
      <c r="AF1235">
        <v>-0.78254854410263697</v>
      </c>
      <c r="AG1235">
        <v>-1.1545920000000001</v>
      </c>
      <c r="AH1235">
        <v>23.853612057808601</v>
      </c>
      <c r="AI1235">
        <v>92.769650613466098</v>
      </c>
      <c r="AJ1235">
        <v>91.878988133711303</v>
      </c>
      <c r="AK1235">
        <v>23.894356511837099</v>
      </c>
      <c r="AL1235">
        <v>87.896065578191894</v>
      </c>
      <c r="AM1235">
        <v>95.634595242662996</v>
      </c>
      <c r="AN1235">
        <v>0.99999996958644999</v>
      </c>
    </row>
    <row r="1236" spans="1:40" x14ac:dyDescent="0.3">
      <c r="A1236" t="str">
        <f>"20200111145936280"</f>
        <v>20200111145936280</v>
      </c>
      <c r="B1236" t="str">
        <f>"1578725976276490"</f>
        <v>1578725976276490</v>
      </c>
      <c r="C1236" t="s">
        <v>40</v>
      </c>
      <c r="D1236">
        <v>4.0426039999999999</v>
      </c>
      <c r="E1236">
        <v>0.52490079999999995</v>
      </c>
      <c r="F1236" t="s">
        <v>43</v>
      </c>
      <c r="G1236">
        <v>-302.27809999999999</v>
      </c>
      <c r="H1236">
        <v>-0.05</v>
      </c>
      <c r="I1236">
        <v>368.5145</v>
      </c>
      <c r="J1236">
        <v>-326.88749999999999</v>
      </c>
      <c r="K1236">
        <v>1.104592</v>
      </c>
      <c r="L1236">
        <v>367.62360000000001</v>
      </c>
      <c r="M1236">
        <v>0.99991390000000002</v>
      </c>
      <c r="N1236">
        <v>0</v>
      </c>
      <c r="O1236">
        <v>2.989584E-3</v>
      </c>
      <c r="P1236">
        <v>0.99455260000000001</v>
      </c>
      <c r="Q1236">
        <v>2.3832860000000001E-2</v>
      </c>
      <c r="R1236">
        <v>0.1014756</v>
      </c>
      <c r="S1236">
        <v>3.008667</v>
      </c>
      <c r="T1236">
        <v>-0.14051329999999901</v>
      </c>
      <c r="U1236">
        <v>0.1084595</v>
      </c>
      <c r="V1236">
        <v>-9.8496550000000002E-2</v>
      </c>
      <c r="W1236">
        <v>3.6571279999999998E-2</v>
      </c>
      <c r="X1236">
        <v>0.99446520000000005</v>
      </c>
      <c r="Y1236">
        <v>-3.3004890000000002E-2</v>
      </c>
      <c r="Z1236">
        <v>6.3053139999999996E-4</v>
      </c>
      <c r="AA1236">
        <v>0.99945499999999998</v>
      </c>
      <c r="AB1236">
        <v>22</v>
      </c>
      <c r="AC1236">
        <v>24.609399999999901</v>
      </c>
      <c r="AD1236">
        <v>-1.1545920000000001</v>
      </c>
      <c r="AE1236">
        <v>0.89089999999998704</v>
      </c>
      <c r="AF1236">
        <v>-0.81552537689565296</v>
      </c>
      <c r="AG1236">
        <v>-1.1545920000000001</v>
      </c>
      <c r="AH1236">
        <v>24.557967953218199</v>
      </c>
      <c r="AI1236">
        <v>92.690296102636907</v>
      </c>
      <c r="AJ1236">
        <v>91.901989503079903</v>
      </c>
      <c r="AK1236">
        <v>24.5986169188049</v>
      </c>
      <c r="AL1236">
        <v>87.904152708568404</v>
      </c>
      <c r="AM1236">
        <v>95.656397727404496</v>
      </c>
      <c r="AN1236">
        <v>1.00000003144689</v>
      </c>
    </row>
    <row r="1237" spans="1:40" x14ac:dyDescent="0.3">
      <c r="A1237" t="str">
        <f>"20200111145936292"</f>
        <v>20200111145936292</v>
      </c>
      <c r="B1237" t="str">
        <f>"1578725976287226"</f>
        <v>1578725976287226</v>
      </c>
      <c r="C1237" t="s">
        <v>40</v>
      </c>
      <c r="D1237">
        <v>4.0438109999999998</v>
      </c>
      <c r="E1237">
        <v>0.52502320000000002</v>
      </c>
      <c r="F1237" t="s">
        <v>43</v>
      </c>
      <c r="G1237">
        <v>-302.07729999999998</v>
      </c>
      <c r="H1237">
        <v>-0.05</v>
      </c>
      <c r="I1237">
        <v>368.517</v>
      </c>
      <c r="J1237">
        <v>-326.7715</v>
      </c>
      <c r="K1237">
        <v>1.1045910000000001</v>
      </c>
      <c r="L1237">
        <v>367.62400000000002</v>
      </c>
      <c r="M1237">
        <v>0.99991390000000002</v>
      </c>
      <c r="N1237">
        <v>0</v>
      </c>
      <c r="O1237">
        <v>2.9569430000000001E-3</v>
      </c>
      <c r="P1237">
        <v>0.99452600000000002</v>
      </c>
      <c r="Q1237">
        <v>2.3926349999999999E-2</v>
      </c>
      <c r="R1237">
        <v>0.101715</v>
      </c>
      <c r="S1237">
        <v>3.0086979999999999</v>
      </c>
      <c r="T1237">
        <v>-0.14001569999999999</v>
      </c>
      <c r="U1237">
        <v>0.1083374</v>
      </c>
      <c r="V1237">
        <v>-9.8768410000000001E-2</v>
      </c>
      <c r="W1237">
        <v>3.6660860000000003E-2</v>
      </c>
      <c r="X1237">
        <v>0.99443490000000001</v>
      </c>
      <c r="Y1237">
        <v>-3.2996850000000001E-2</v>
      </c>
      <c r="Z1237">
        <v>6.2962610000000003E-4</v>
      </c>
      <c r="AA1237">
        <v>0.99945530000000005</v>
      </c>
      <c r="AB1237">
        <v>22</v>
      </c>
      <c r="AC1237">
        <v>24.694199999999999</v>
      </c>
      <c r="AD1237">
        <v>-1.1545909999999999</v>
      </c>
      <c r="AE1237">
        <v>0.89299999999997204</v>
      </c>
      <c r="AF1237">
        <v>-0.81818450301799805</v>
      </c>
      <c r="AG1237">
        <v>-1.1545909999999999</v>
      </c>
      <c r="AH1237">
        <v>24.642931682484601</v>
      </c>
      <c r="AI1237">
        <v>92.681032341870406</v>
      </c>
      <c r="AJ1237">
        <v>91.901612414934803</v>
      </c>
      <c r="AK1237">
        <v>24.683528681407399</v>
      </c>
      <c r="AL1237">
        <v>87.899016629720705</v>
      </c>
      <c r="AM1237">
        <v>95.672079967306303</v>
      </c>
      <c r="AN1237">
        <v>0.99999999390393801</v>
      </c>
    </row>
    <row r="1238" spans="1:40" x14ac:dyDescent="0.3">
      <c r="A1238" t="str">
        <f>"20200111145936303"</f>
        <v>20200111145936303</v>
      </c>
      <c r="B1238" t="str">
        <f>"1578725976296985"</f>
        <v>1578725976296985</v>
      </c>
      <c r="C1238" t="s">
        <v>40</v>
      </c>
      <c r="D1238">
        <v>4.087936</v>
      </c>
      <c r="E1238">
        <v>0.52516260000000003</v>
      </c>
      <c r="F1238" t="s">
        <v>43</v>
      </c>
      <c r="G1238">
        <v>-301.72590000000002</v>
      </c>
      <c r="H1238">
        <v>-0.05</v>
      </c>
      <c r="I1238">
        <v>368.52249999999998</v>
      </c>
      <c r="J1238">
        <v>-326.65350000000001</v>
      </c>
      <c r="K1238">
        <v>1.1045929999999999</v>
      </c>
      <c r="L1238">
        <v>367.62430000000001</v>
      </c>
      <c r="M1238">
        <v>0.99991410000000003</v>
      </c>
      <c r="N1238">
        <v>0</v>
      </c>
      <c r="O1238">
        <v>2.923588E-3</v>
      </c>
      <c r="P1238">
        <v>0.99452320000000005</v>
      </c>
      <c r="Q1238">
        <v>2.3866470000000001E-2</v>
      </c>
      <c r="R1238">
        <v>0.10175579999999999</v>
      </c>
      <c r="S1238">
        <v>3.0087890000000002</v>
      </c>
      <c r="T1238">
        <v>-0.13870379999999999</v>
      </c>
      <c r="U1238">
        <v>0.1079407</v>
      </c>
      <c r="V1238">
        <v>-9.8842609999999997E-2</v>
      </c>
      <c r="W1238">
        <v>3.6597970000000001E-2</v>
      </c>
      <c r="X1238">
        <v>0.99442980000000003</v>
      </c>
      <c r="Y1238">
        <v>-3.2898169999999997E-2</v>
      </c>
      <c r="Z1238">
        <v>6.2297899999999996E-4</v>
      </c>
      <c r="AA1238">
        <v>0.99945850000000003</v>
      </c>
      <c r="AB1238">
        <v>22</v>
      </c>
      <c r="AC1238">
        <v>24.927599999999899</v>
      </c>
      <c r="AD1238">
        <v>-1.154593</v>
      </c>
      <c r="AE1238">
        <v>0.89819999999997402</v>
      </c>
      <c r="AF1238">
        <v>-0.823547677265552</v>
      </c>
      <c r="AG1238">
        <v>-1.154593</v>
      </c>
      <c r="AH1238">
        <v>24.876819500710798</v>
      </c>
      <c r="AI1238">
        <v>92.655875048468701</v>
      </c>
      <c r="AJ1238">
        <v>91.896085623637404</v>
      </c>
      <c r="AK1238">
        <v>24.9172122084981</v>
      </c>
      <c r="AL1238">
        <v>87.902622289040195</v>
      </c>
      <c r="AM1238">
        <v>95.676342234933799</v>
      </c>
      <c r="AN1238">
        <v>0.99999995004388498</v>
      </c>
    </row>
    <row r="1239" spans="1:40" x14ac:dyDescent="0.3">
      <c r="A1239" t="str">
        <f>"20200111145936314"</f>
        <v>20200111145936314</v>
      </c>
      <c r="B1239" t="str">
        <f>"1578725976306746"</f>
        <v>1578725976306746</v>
      </c>
      <c r="C1239" t="s">
        <v>40</v>
      </c>
      <c r="D1239">
        <v>4.1149690000000003</v>
      </c>
      <c r="E1239">
        <v>0.5252561</v>
      </c>
      <c r="F1239" t="s">
        <v>43</v>
      </c>
      <c r="G1239">
        <v>-301.45740000000001</v>
      </c>
      <c r="H1239">
        <v>-0.05</v>
      </c>
      <c r="I1239">
        <v>368.52120000000002</v>
      </c>
      <c r="J1239">
        <v>-326.54109999999997</v>
      </c>
      <c r="K1239">
        <v>1.1045940000000001</v>
      </c>
      <c r="L1239">
        <v>367.62450000000001</v>
      </c>
      <c r="M1239">
        <v>0.99991419999999998</v>
      </c>
      <c r="N1239">
        <v>0</v>
      </c>
      <c r="O1239">
        <v>2.8916620000000001E-3</v>
      </c>
      <c r="P1239">
        <v>0.99451509999999999</v>
      </c>
      <c r="Q1239">
        <v>2.3824040000000001E-2</v>
      </c>
      <c r="R1239">
        <v>0.10184559999999999</v>
      </c>
      <c r="S1239">
        <v>3.0088499999999998</v>
      </c>
      <c r="T1239">
        <v>-0.137878</v>
      </c>
      <c r="U1239">
        <v>0.1071167</v>
      </c>
      <c r="V1239">
        <v>-9.8964640000000006E-2</v>
      </c>
      <c r="W1239">
        <v>3.6552220000000003E-2</v>
      </c>
      <c r="X1239">
        <v>0.99441939999999995</v>
      </c>
      <c r="Y1239">
        <v>-3.2656599999999897E-2</v>
      </c>
      <c r="Z1239">
        <v>6.151962E-4</v>
      </c>
      <c r="AA1239">
        <v>0.99946639999999998</v>
      </c>
      <c r="AB1239">
        <v>22</v>
      </c>
      <c r="AC1239">
        <v>25.083699999999901</v>
      </c>
      <c r="AD1239">
        <v>-1.1545939999999999</v>
      </c>
      <c r="AE1239">
        <v>0.89670000000000905</v>
      </c>
      <c r="AF1239">
        <v>-0.82241649403663097</v>
      </c>
      <c r="AG1239">
        <v>-1.1545939999999999</v>
      </c>
      <c r="AH1239">
        <v>25.033217368229302</v>
      </c>
      <c r="AI1239">
        <v>92.639329867763294</v>
      </c>
      <c r="AJ1239">
        <v>91.881661933744695</v>
      </c>
      <c r="AK1239">
        <v>25.0733210404908</v>
      </c>
      <c r="AL1239">
        <v>87.905245439060906</v>
      </c>
      <c r="AM1239">
        <v>95.683363383910105</v>
      </c>
      <c r="AN1239">
        <v>1.0000000039268</v>
      </c>
    </row>
    <row r="1240" spans="1:40" x14ac:dyDescent="0.3">
      <c r="A1240" t="str">
        <f>"20200111145936326"</f>
        <v>20200111145936326</v>
      </c>
      <c r="B1240" t="str">
        <f>"1578725976316505"</f>
        <v>1578725976316505</v>
      </c>
      <c r="C1240" t="s">
        <v>40</v>
      </c>
      <c r="D1240">
        <v>4.0622319999999998</v>
      </c>
      <c r="E1240">
        <v>0.52534590000000003</v>
      </c>
      <c r="F1240" t="s">
        <v>43</v>
      </c>
      <c r="G1240">
        <v>-301.18090000000001</v>
      </c>
      <c r="H1240">
        <v>-0.05</v>
      </c>
      <c r="I1240">
        <v>368.52199999999999</v>
      </c>
      <c r="J1240">
        <v>-326.4323</v>
      </c>
      <c r="K1240">
        <v>1.104595</v>
      </c>
      <c r="L1240">
        <v>367.62479999999999</v>
      </c>
      <c r="M1240">
        <v>0.99991430000000003</v>
      </c>
      <c r="N1240">
        <v>0</v>
      </c>
      <c r="O1240">
        <v>2.8606840000000001E-3</v>
      </c>
      <c r="P1240">
        <v>0.99452180000000001</v>
      </c>
      <c r="Q1240">
        <v>2.42518E-2</v>
      </c>
      <c r="R1240">
        <v>0.1016784</v>
      </c>
      <c r="S1240">
        <v>3.0088810000000001</v>
      </c>
      <c r="T1240">
        <v>-0.13698769999999999</v>
      </c>
      <c r="U1240">
        <v>0.1064758</v>
      </c>
      <c r="V1240">
        <v>-9.8827929999999994E-2</v>
      </c>
      <c r="W1240">
        <v>3.6978209999999997E-2</v>
      </c>
      <c r="X1240">
        <v>0.99441729999999995</v>
      </c>
      <c r="Y1240">
        <v>-3.2475150000000001E-2</v>
      </c>
      <c r="Z1240">
        <v>6.0850589999999897E-4</v>
      </c>
      <c r="AA1240">
        <v>0.99947240000000004</v>
      </c>
      <c r="AB1240">
        <v>22</v>
      </c>
      <c r="AC1240">
        <v>25.251399999999901</v>
      </c>
      <c r="AD1240">
        <v>-1.154595</v>
      </c>
      <c r="AE1240">
        <v>0.897199999999997</v>
      </c>
      <c r="AF1240">
        <v>-0.82323520207166501</v>
      </c>
      <c r="AG1240">
        <v>-1.154595</v>
      </c>
      <c r="AH1240">
        <v>25.201242069618399</v>
      </c>
      <c r="AI1240">
        <v>92.621775502069298</v>
      </c>
      <c r="AJ1240">
        <v>91.870984598702194</v>
      </c>
      <c r="AK1240">
        <v>25.2411055158735</v>
      </c>
      <c r="AL1240">
        <v>87.880821610428796</v>
      </c>
      <c r="AM1240">
        <v>95.675575571205002</v>
      </c>
      <c r="AN1240">
        <v>1.0000000571510801</v>
      </c>
    </row>
    <row r="1241" spans="1:40" x14ac:dyDescent="0.3">
      <c r="A1241" t="str">
        <f>"20200111145936526"</f>
        <v>20200111145936526</v>
      </c>
      <c r="B1241" t="str">
        <f>"1578725976516586"</f>
        <v>1578725976516586</v>
      </c>
      <c r="C1241" t="s">
        <v>40</v>
      </c>
      <c r="D1241">
        <v>3.9058760000000001</v>
      </c>
      <c r="E1241">
        <v>0.52534590000000003</v>
      </c>
      <c r="F1241" t="s">
        <v>43</v>
      </c>
      <c r="G1241">
        <v>-300.6825</v>
      </c>
      <c r="H1241">
        <v>-0.05</v>
      </c>
      <c r="I1241">
        <v>368.52789999999999</v>
      </c>
      <c r="J1241">
        <v>-324.4375</v>
      </c>
      <c r="K1241">
        <v>1.1046860000000001</v>
      </c>
      <c r="L1241">
        <v>367.62939999999998</v>
      </c>
      <c r="M1241">
        <v>0.9999112</v>
      </c>
      <c r="N1241">
        <v>0</v>
      </c>
      <c r="O1241">
        <v>2.2865509999999999E-3</v>
      </c>
      <c r="P1241">
        <v>0.99455839999999995</v>
      </c>
      <c r="Q1241">
        <v>2.7130899999999999E-2</v>
      </c>
      <c r="R1241">
        <v>0.1005877</v>
      </c>
      <c r="S1241">
        <v>3.0090330000000001</v>
      </c>
      <c r="T1241">
        <v>-0.13492199999999999</v>
      </c>
      <c r="U1241">
        <v>0.10552980000000001</v>
      </c>
      <c r="V1241">
        <v>-9.8308270000000003E-2</v>
      </c>
      <c r="W1241">
        <v>4.0216389999999998E-2</v>
      </c>
      <c r="X1241">
        <v>0.99434299999999998</v>
      </c>
      <c r="Y1241">
        <v>-3.2733459999999999E-2</v>
      </c>
      <c r="Z1241">
        <v>6.3082269999999998E-4</v>
      </c>
      <c r="AA1241">
        <v>0.99946389999999996</v>
      </c>
      <c r="AB1241">
        <v>22</v>
      </c>
      <c r="AC1241">
        <v>23.7549999999999</v>
      </c>
      <c r="AD1241">
        <v>-1.1546860000000001</v>
      </c>
      <c r="AE1241">
        <v>0.89850000000001196</v>
      </c>
      <c r="AF1241">
        <v>-0.84218891106428595</v>
      </c>
      <c r="AG1241">
        <v>-1.1546860000000001</v>
      </c>
      <c r="AH1241">
        <v>23.701072828673599</v>
      </c>
      <c r="AI1241">
        <v>92.787415455621002</v>
      </c>
      <c r="AJ1241">
        <v>92.035079872787307</v>
      </c>
      <c r="AK1241">
        <v>23.7441242237023</v>
      </c>
      <c r="AL1241">
        <v>87.695148862515097</v>
      </c>
      <c r="AM1241">
        <v>95.646344560382005</v>
      </c>
      <c r="AN1241">
        <v>0.99999993781201002</v>
      </c>
    </row>
    <row r="1242" spans="1:40" x14ac:dyDescent="0.3">
      <c r="A1242" t="str">
        <f>"20200111145936538"</f>
        <v>20200111145936538</v>
      </c>
      <c r="B1242" t="str">
        <f>"1578725976527322"</f>
        <v>1578725976527322</v>
      </c>
      <c r="C1242" t="s">
        <v>40</v>
      </c>
      <c r="D1242">
        <v>4.1363329999999996</v>
      </c>
      <c r="E1242">
        <v>0.54827419999999905</v>
      </c>
      <c r="F1242" t="s">
        <v>43</v>
      </c>
      <c r="G1242">
        <v>-296.92590000000001</v>
      </c>
      <c r="H1242">
        <v>-0.05</v>
      </c>
      <c r="I1242">
        <v>368.56479999999999</v>
      </c>
      <c r="J1242">
        <v>-324.322</v>
      </c>
      <c r="K1242">
        <v>1.104687</v>
      </c>
      <c r="L1242">
        <v>367.62959999999998</v>
      </c>
      <c r="M1242">
        <v>0.99991079999999999</v>
      </c>
      <c r="N1242">
        <v>0</v>
      </c>
      <c r="O1242">
        <v>2.2535390000000001E-3</v>
      </c>
      <c r="P1242">
        <v>0.99451599999999996</v>
      </c>
      <c r="Q1242">
        <v>2.7340739999999999E-2</v>
      </c>
      <c r="R1242">
        <v>0.100949</v>
      </c>
      <c r="S1242">
        <v>3.0095519999999998</v>
      </c>
      <c r="T1242">
        <v>-0.1263137</v>
      </c>
      <c r="U1242">
        <v>0.1023254</v>
      </c>
      <c r="V1242">
        <v>-9.8702280000000003E-2</v>
      </c>
      <c r="W1242">
        <v>4.0450800000000002E-2</v>
      </c>
      <c r="X1242">
        <v>0.99429449999999997</v>
      </c>
      <c r="Y1242">
        <v>-3.1702180000000003E-2</v>
      </c>
      <c r="Z1242">
        <v>5.7027909999999996E-4</v>
      </c>
      <c r="AA1242">
        <v>0.99949719999999997</v>
      </c>
      <c r="AB1242">
        <v>22</v>
      </c>
      <c r="AC1242">
        <v>27.396099999999901</v>
      </c>
      <c r="AD1242">
        <v>-1.154687</v>
      </c>
      <c r="AE1242">
        <v>0.93520000000000802</v>
      </c>
      <c r="AF1242">
        <v>-0.87190700483174899</v>
      </c>
      <c r="AG1242">
        <v>-1.154687</v>
      </c>
      <c r="AH1242">
        <v>27.349609665708002</v>
      </c>
      <c r="AI1242">
        <v>92.4163376047795</v>
      </c>
      <c r="AJ1242">
        <v>91.825974051223099</v>
      </c>
      <c r="AK1242">
        <v>27.387856300916201</v>
      </c>
      <c r="AL1242">
        <v>87.681707317987303</v>
      </c>
      <c r="AM1242">
        <v>95.669102171382207</v>
      </c>
      <c r="AN1242">
        <v>0.999999980014044</v>
      </c>
    </row>
    <row r="1243" spans="1:40" x14ac:dyDescent="0.3">
      <c r="A1243" t="str">
        <f>"20200111145936549"</f>
        <v>20200111145936549</v>
      </c>
      <c r="B1243" t="str">
        <f>"1578725976546842"</f>
        <v>1578725976546842</v>
      </c>
      <c r="C1243" t="s">
        <v>40</v>
      </c>
      <c r="D1243">
        <v>4.0101259999999996</v>
      </c>
      <c r="E1243">
        <v>0.54855889999999996</v>
      </c>
      <c r="F1243" t="s">
        <v>42</v>
      </c>
      <c r="G1243">
        <v>-274.6592</v>
      </c>
      <c r="H1243" s="1">
        <v>-2.8558089999999999E-6</v>
      </c>
      <c r="I1243">
        <v>366.33350000000002</v>
      </c>
      <c r="J1243">
        <v>-324.21159999999998</v>
      </c>
      <c r="K1243">
        <v>1.104689</v>
      </c>
      <c r="L1243">
        <v>367.62979999999999</v>
      </c>
      <c r="M1243">
        <v>0.99991050000000004</v>
      </c>
      <c r="N1243">
        <v>0</v>
      </c>
      <c r="O1243">
        <v>2.2220959999999998E-3</v>
      </c>
      <c r="P1243">
        <v>0.99453440000000004</v>
      </c>
      <c r="Q1243">
        <v>2.6881080000000002E-2</v>
      </c>
      <c r="R1243">
        <v>0.1008899</v>
      </c>
      <c r="S1243">
        <v>3.026367</v>
      </c>
      <c r="T1243">
        <v>-6.7317840000000004E-2</v>
      </c>
      <c r="U1243">
        <v>-7.8979489999999999E-2</v>
      </c>
      <c r="V1243">
        <v>-9.8674150000000002E-2</v>
      </c>
      <c r="W1243">
        <v>4.001391E-2</v>
      </c>
      <c r="X1243">
        <v>0.99431499999999995</v>
      </c>
      <c r="Y1243">
        <v>2.8302170000000001E-2</v>
      </c>
      <c r="Z1243">
        <v>-3.6409909999999998E-4</v>
      </c>
      <c r="AA1243">
        <v>0.99959929999999997</v>
      </c>
      <c r="AB1243">
        <v>22</v>
      </c>
      <c r="AC1243">
        <v>49.552399999999899</v>
      </c>
      <c r="AD1243">
        <v>-1.104691855809</v>
      </c>
      <c r="AE1243">
        <v>-1.29629999999997</v>
      </c>
      <c r="AF1243">
        <v>1.40571841403989</v>
      </c>
      <c r="AG1243">
        <v>-1.104691855809</v>
      </c>
      <c r="AH1243">
        <v>49.524800091152997</v>
      </c>
      <c r="AI1243">
        <v>91.277303855377895</v>
      </c>
      <c r="AJ1243">
        <v>88.374145622216901</v>
      </c>
      <c r="AK1243">
        <v>49.557060167291297</v>
      </c>
      <c r="AL1243">
        <v>87.706759624230799</v>
      </c>
      <c r="AM1243">
        <v>95.667380918545604</v>
      </c>
      <c r="AN1243">
        <v>1.0000000100483499</v>
      </c>
    </row>
    <row r="1244" spans="1:40" x14ac:dyDescent="0.3">
      <c r="A1244" t="str">
        <f>"20200111145936560"</f>
        <v>20200111145936560</v>
      </c>
      <c r="B1244" t="str">
        <f>"1578725976556602"</f>
        <v>1578725976556602</v>
      </c>
      <c r="C1244" t="s">
        <v>40</v>
      </c>
      <c r="D1244">
        <v>4.0062319999999998</v>
      </c>
      <c r="E1244">
        <v>0.54921359999999997</v>
      </c>
      <c r="F1244" t="s">
        <v>42</v>
      </c>
      <c r="G1244">
        <v>-274.45780000000002</v>
      </c>
      <c r="H1244" s="1">
        <v>-2.9496199999999998E-6</v>
      </c>
      <c r="I1244">
        <v>366.29169999999999</v>
      </c>
      <c r="J1244">
        <v>-324.0992</v>
      </c>
      <c r="K1244">
        <v>1.1046899999999999</v>
      </c>
      <c r="L1244">
        <v>367.63</v>
      </c>
      <c r="M1244">
        <v>0.99991039999999998</v>
      </c>
      <c r="N1244">
        <v>0</v>
      </c>
      <c r="O1244">
        <v>2.1897610000000001E-3</v>
      </c>
      <c r="P1244">
        <v>0.99451599999999996</v>
      </c>
      <c r="Q1244">
        <v>2.7056549999999999E-2</v>
      </c>
      <c r="R1244">
        <v>0.1010253</v>
      </c>
      <c r="S1244">
        <v>3.0265810000000002</v>
      </c>
      <c r="T1244">
        <v>-6.7199590000000003E-2</v>
      </c>
      <c r="U1244">
        <v>-8.1390379999999998E-2</v>
      </c>
      <c r="V1244">
        <v>-9.8842150000000004E-2</v>
      </c>
      <c r="W1244">
        <v>4.0211629999999998E-2</v>
      </c>
      <c r="X1244">
        <v>0.99429040000000002</v>
      </c>
      <c r="Y1244">
        <v>2.9063539999999999E-2</v>
      </c>
      <c r="Z1244">
        <v>-3.7116219999999998E-4</v>
      </c>
      <c r="AA1244">
        <v>0.99957750000000001</v>
      </c>
      <c r="AB1244">
        <v>22</v>
      </c>
      <c r="AC1244">
        <v>49.641399999999898</v>
      </c>
      <c r="AD1244">
        <v>-1.10469294962</v>
      </c>
      <c r="AE1244">
        <v>-1.3383</v>
      </c>
      <c r="AF1244">
        <v>1.4462933643061799</v>
      </c>
      <c r="AG1244">
        <v>-1.10469294962</v>
      </c>
      <c r="AH1244">
        <v>49.613798421652298</v>
      </c>
      <c r="AI1244">
        <v>91.274986522168703</v>
      </c>
      <c r="AJ1244">
        <v>88.330241838546499</v>
      </c>
      <c r="AK1244">
        <v>49.647166130937698</v>
      </c>
      <c r="AL1244">
        <v>87.695422122187495</v>
      </c>
      <c r="AM1244">
        <v>95.677106614630603</v>
      </c>
      <c r="AN1244">
        <v>1.0000000726680101</v>
      </c>
    </row>
    <row r="1245" spans="1:40" x14ac:dyDescent="0.3">
      <c r="A1245" t="str">
        <f>"20200111145936571"</f>
        <v>20200111145936571</v>
      </c>
      <c r="B1245" t="str">
        <f>"1578725976567339"</f>
        <v>1578725976567339</v>
      </c>
      <c r="C1245" t="s">
        <v>40</v>
      </c>
      <c r="D1245">
        <v>4.0089959999999998</v>
      </c>
      <c r="E1245">
        <v>0.54940659999999997</v>
      </c>
      <c r="F1245" t="s">
        <v>42</v>
      </c>
      <c r="G1245">
        <v>-276.61680000000001</v>
      </c>
      <c r="H1245" s="1">
        <v>-2.0254710000000002E-6</v>
      </c>
      <c r="I1245">
        <v>366.2801</v>
      </c>
      <c r="J1245">
        <v>-323.99400000000003</v>
      </c>
      <c r="K1245">
        <v>1.104689</v>
      </c>
      <c r="L1245">
        <v>367.6302</v>
      </c>
      <c r="M1245">
        <v>0.99991030000000003</v>
      </c>
      <c r="N1245">
        <v>0</v>
      </c>
      <c r="O1245">
        <v>2.1595609999999999E-3</v>
      </c>
      <c r="P1245">
        <v>0.99449949999999998</v>
      </c>
      <c r="Q1245">
        <v>2.7292810000000001E-2</v>
      </c>
      <c r="R1245">
        <v>0.10112450000000001</v>
      </c>
      <c r="S1245">
        <v>3.0271910000000002</v>
      </c>
      <c r="T1245">
        <v>-7.0428489999999996E-2</v>
      </c>
      <c r="U1245">
        <v>-8.6059570000000002E-2</v>
      </c>
      <c r="V1245">
        <v>-9.8971050000000005E-2</v>
      </c>
      <c r="W1245">
        <v>4.0462709999999999E-2</v>
      </c>
      <c r="X1245">
        <v>0.99426729999999997</v>
      </c>
      <c r="Y1245">
        <v>3.056733E-2</v>
      </c>
      <c r="Z1245">
        <v>-4.0568970000000001E-4</v>
      </c>
      <c r="AA1245">
        <v>0.99953259999999999</v>
      </c>
      <c r="AB1245">
        <v>22</v>
      </c>
      <c r="AC1245">
        <v>47.377200000000002</v>
      </c>
      <c r="AD1245">
        <v>-1.1046910254709901</v>
      </c>
      <c r="AE1245">
        <v>-1.3500999999999901</v>
      </c>
      <c r="AF1245">
        <v>1.4516311627984</v>
      </c>
      <c r="AG1245">
        <v>-1.1046910254709901</v>
      </c>
      <c r="AH1245">
        <v>47.3484521358818</v>
      </c>
      <c r="AI1245">
        <v>91.335903087249207</v>
      </c>
      <c r="AJ1245">
        <v>88.243949043329806</v>
      </c>
      <c r="AK1245">
        <v>47.383578325812898</v>
      </c>
      <c r="AL1245">
        <v>87.681024370114102</v>
      </c>
      <c r="AM1245">
        <v>95.684592874110095</v>
      </c>
      <c r="AN1245">
        <v>0.99999998174396798</v>
      </c>
    </row>
    <row r="1246" spans="1:40" x14ac:dyDescent="0.3">
      <c r="A1246" t="str">
        <f>"20200111145936582"</f>
        <v>20200111145936582</v>
      </c>
      <c r="B1246" t="str">
        <f>"1578725976577097"</f>
        <v>1578725976577097</v>
      </c>
      <c r="C1246" t="s">
        <v>40</v>
      </c>
      <c r="D1246">
        <v>3.9716320000000001</v>
      </c>
      <c r="E1246">
        <v>0.54929759999999905</v>
      </c>
      <c r="F1246" t="s">
        <v>43</v>
      </c>
      <c r="G1246">
        <v>-278.4366</v>
      </c>
      <c r="H1246">
        <v>-0.05</v>
      </c>
      <c r="I1246">
        <v>366.30990000000003</v>
      </c>
      <c r="J1246">
        <v>-323.87740000000002</v>
      </c>
      <c r="K1246">
        <v>1.104692</v>
      </c>
      <c r="L1246">
        <v>367.63040000000001</v>
      </c>
      <c r="M1246">
        <v>0.99991010000000002</v>
      </c>
      <c r="N1246">
        <v>0</v>
      </c>
      <c r="O1246">
        <v>2.125905E-3</v>
      </c>
      <c r="P1246">
        <v>0.99450090000000002</v>
      </c>
      <c r="Q1246">
        <v>2.6959759999999999E-2</v>
      </c>
      <c r="R1246">
        <v>0.1011999</v>
      </c>
      <c r="S1246">
        <v>3.0276179999999999</v>
      </c>
      <c r="T1246">
        <v>-7.6737399999999997E-2</v>
      </c>
      <c r="U1246">
        <v>-8.7738040000000003E-2</v>
      </c>
      <c r="V1246">
        <v>-9.907995E-2</v>
      </c>
      <c r="W1246">
        <v>4.0144449999999998E-2</v>
      </c>
      <c r="X1246">
        <v>0.99426939999999997</v>
      </c>
      <c r="Y1246">
        <v>3.1081540000000001E-2</v>
      </c>
      <c r="Z1246">
        <v>-4.476153E-4</v>
      </c>
      <c r="AA1246">
        <v>0.99951670000000004</v>
      </c>
      <c r="AB1246">
        <v>22</v>
      </c>
      <c r="AC1246">
        <v>45.440800000000003</v>
      </c>
      <c r="AD1246">
        <v>-1.1546920000000001</v>
      </c>
      <c r="AE1246">
        <v>-1.32049999999998</v>
      </c>
      <c r="AF1246">
        <v>1.41619462095725</v>
      </c>
      <c r="AG1246">
        <v>-1.1546920000000001</v>
      </c>
      <c r="AH1246">
        <v>45.408593557577397</v>
      </c>
      <c r="AI1246">
        <v>91.455948905873896</v>
      </c>
      <c r="AJ1246">
        <v>88.213649105631305</v>
      </c>
      <c r="AK1246">
        <v>45.445343982596803</v>
      </c>
      <c r="AL1246">
        <v>87.699274256796699</v>
      </c>
      <c r="AM1246">
        <v>95.690794781311794</v>
      </c>
      <c r="AN1246">
        <v>1.0000000265670801</v>
      </c>
    </row>
    <row r="1247" spans="1:40" x14ac:dyDescent="0.3">
      <c r="A1247" t="str">
        <f>"20200111145936593"</f>
        <v>20200111145936593</v>
      </c>
      <c r="B1247" t="str">
        <f>"1578725976586857"</f>
        <v>1578725976586857</v>
      </c>
      <c r="C1247" t="s">
        <v>40</v>
      </c>
      <c r="D1247">
        <v>3.9734669999999999</v>
      </c>
      <c r="E1247">
        <v>0.54906319999999997</v>
      </c>
      <c r="F1247" t="s">
        <v>42</v>
      </c>
      <c r="G1247">
        <v>-279.5881</v>
      </c>
      <c r="H1247" s="1">
        <v>-9.9128499999999995E-7</v>
      </c>
      <c r="I1247">
        <v>366.36509999999998</v>
      </c>
      <c r="J1247">
        <v>-323.76740000000001</v>
      </c>
      <c r="K1247">
        <v>1.1046899999999999</v>
      </c>
      <c r="L1247">
        <v>367.63060000000002</v>
      </c>
      <c r="M1247">
        <v>0.99990990000000002</v>
      </c>
      <c r="N1247">
        <v>0</v>
      </c>
      <c r="O1247">
        <v>2.0943789999999999E-3</v>
      </c>
      <c r="P1247">
        <v>0.99448530000000002</v>
      </c>
      <c r="Q1247">
        <v>2.6983190000000001E-2</v>
      </c>
      <c r="R1247">
        <v>0.1013445</v>
      </c>
      <c r="S1247">
        <v>3.0274049999999999</v>
      </c>
      <c r="T1247">
        <v>-7.5511339999999996E-2</v>
      </c>
      <c r="U1247">
        <v>-8.6486820000000006E-2</v>
      </c>
      <c r="V1247">
        <v>-9.9255700000000002E-2</v>
      </c>
      <c r="W1247">
        <v>4.0176370000000003E-2</v>
      </c>
      <c r="X1247">
        <v>0.99425050000000004</v>
      </c>
      <c r="Y1247">
        <v>3.0639799999999998E-2</v>
      </c>
      <c r="Z1247">
        <v>-4.342061E-4</v>
      </c>
      <c r="AA1247">
        <v>0.99953040000000004</v>
      </c>
      <c r="AB1247">
        <v>22</v>
      </c>
      <c r="AC1247">
        <v>44.179299999999998</v>
      </c>
      <c r="AD1247">
        <v>-1.104690991285</v>
      </c>
      <c r="AE1247">
        <v>-1.26550000000003</v>
      </c>
      <c r="AF1247">
        <v>1.3571856910654601</v>
      </c>
      <c r="AG1247">
        <v>-1.104690991285</v>
      </c>
      <c r="AH1247">
        <v>44.148971523613298</v>
      </c>
      <c r="AI1247">
        <v>91.432673465974005</v>
      </c>
      <c r="AJ1247">
        <v>88.239222154485802</v>
      </c>
      <c r="AK1247">
        <v>44.183639299847997</v>
      </c>
      <c r="AL1247">
        <v>87.697443712657204</v>
      </c>
      <c r="AM1247">
        <v>95.700930449392999</v>
      </c>
      <c r="AN1247">
        <v>0.99999994571955697</v>
      </c>
    </row>
    <row r="1248" spans="1:40" x14ac:dyDescent="0.3">
      <c r="A1248" t="str">
        <f>"20200111145936605"</f>
        <v>20200111145936605</v>
      </c>
      <c r="B1248" t="str">
        <f>"1578725976596618"</f>
        <v>1578725976596618</v>
      </c>
      <c r="C1248" t="s">
        <v>40</v>
      </c>
      <c r="D1248">
        <v>4.016235</v>
      </c>
      <c r="E1248">
        <v>0.54883669999999996</v>
      </c>
      <c r="F1248" t="s">
        <v>43</v>
      </c>
      <c r="G1248">
        <v>-278.87990000000002</v>
      </c>
      <c r="H1248">
        <v>-0.05</v>
      </c>
      <c r="I1248">
        <v>366.38170000000002</v>
      </c>
      <c r="J1248">
        <v>-323.65570000000002</v>
      </c>
      <c r="K1248">
        <v>1.104687</v>
      </c>
      <c r="L1248">
        <v>367.63080000000002</v>
      </c>
      <c r="M1248">
        <v>0.99991010000000002</v>
      </c>
      <c r="N1248">
        <v>0</v>
      </c>
      <c r="O1248">
        <v>2.0618540000000001E-3</v>
      </c>
      <c r="P1248">
        <v>0.99447200000000002</v>
      </c>
      <c r="Q1248">
        <v>2.712649E-2</v>
      </c>
      <c r="R1248">
        <v>0.10143870000000001</v>
      </c>
      <c r="S1248">
        <v>3.0273439999999998</v>
      </c>
      <c r="T1248">
        <v>-7.7875609999999998E-2</v>
      </c>
      <c r="U1248">
        <v>-8.4228520000000001E-2</v>
      </c>
      <c r="V1248">
        <v>-9.9382150000000002E-2</v>
      </c>
      <c r="W1248">
        <v>4.03255E-2</v>
      </c>
      <c r="X1248">
        <v>0.99423189999999995</v>
      </c>
      <c r="Y1248">
        <v>2.9862449999999999E-2</v>
      </c>
      <c r="Z1248">
        <v>-4.3697940000000002E-4</v>
      </c>
      <c r="AA1248">
        <v>0.9995539</v>
      </c>
      <c r="AB1248">
        <v>22</v>
      </c>
      <c r="AC1248">
        <v>44.775799999999997</v>
      </c>
      <c r="AD1248">
        <v>-1.154687</v>
      </c>
      <c r="AE1248">
        <v>-1.2490999999999901</v>
      </c>
      <c r="AF1248">
        <v>1.3405358063536399</v>
      </c>
      <c r="AG1248">
        <v>-1.154687</v>
      </c>
      <c r="AH1248">
        <v>44.7433965150801</v>
      </c>
      <c r="AI1248">
        <v>91.477633846768498</v>
      </c>
      <c r="AJ1248">
        <v>88.283901517970094</v>
      </c>
      <c r="AK1248">
        <v>44.7783638604825</v>
      </c>
      <c r="AL1248">
        <v>87.688892421173804</v>
      </c>
      <c r="AM1248">
        <v>95.708251483675397</v>
      </c>
      <c r="AN1248">
        <v>1.0000000143332399</v>
      </c>
    </row>
    <row r="1249" spans="1:40" x14ac:dyDescent="0.3">
      <c r="A1249" t="str">
        <f>"20200111145936616"</f>
        <v>20200111145936616</v>
      </c>
      <c r="B1249" t="str">
        <f>"1578725976607355"</f>
        <v>1578725976607355</v>
      </c>
      <c r="C1249" t="s">
        <v>40</v>
      </c>
      <c r="D1249">
        <v>4.1106369999999997</v>
      </c>
      <c r="E1249">
        <v>0.54877759999999998</v>
      </c>
      <c r="F1249" t="s">
        <v>43</v>
      </c>
      <c r="G1249">
        <v>-278.17790000000002</v>
      </c>
      <c r="H1249">
        <v>-0.05</v>
      </c>
      <c r="I1249">
        <v>366.39839999999998</v>
      </c>
      <c r="J1249">
        <v>-323.54640000000001</v>
      </c>
      <c r="K1249">
        <v>1.104684</v>
      </c>
      <c r="L1249">
        <v>367.63099999999997</v>
      </c>
      <c r="M1249">
        <v>0.99991010000000002</v>
      </c>
      <c r="N1249">
        <v>0</v>
      </c>
      <c r="O1249">
        <v>2.0303019999999999E-3</v>
      </c>
      <c r="P1249">
        <v>0.99445819999999996</v>
      </c>
      <c r="Q1249">
        <v>2.6978490000000001E-2</v>
      </c>
      <c r="R1249">
        <v>0.1016138</v>
      </c>
      <c r="S1249">
        <v>3.0271300000000001</v>
      </c>
      <c r="T1249">
        <v>-7.6859239999999995E-2</v>
      </c>
      <c r="U1249">
        <v>-8.203125E-2</v>
      </c>
      <c r="V1249">
        <v>-9.9588979999999994E-2</v>
      </c>
      <c r="W1249">
        <v>4.018066E-2</v>
      </c>
      <c r="X1249">
        <v>0.99421700000000002</v>
      </c>
      <c r="Y1249">
        <v>2.91084E-2</v>
      </c>
      <c r="Z1249">
        <v>-4.2094240000000002E-4</v>
      </c>
      <c r="AA1249">
        <v>0.99957620000000003</v>
      </c>
      <c r="AB1249">
        <v>22</v>
      </c>
      <c r="AC1249">
        <v>45.368499999999898</v>
      </c>
      <c r="AD1249">
        <v>-1.154684</v>
      </c>
      <c r="AE1249">
        <v>-1.2325999999999899</v>
      </c>
      <c r="AF1249">
        <v>1.3238603892067</v>
      </c>
      <c r="AG1249">
        <v>-1.154684</v>
      </c>
      <c r="AH1249">
        <v>45.336557933328301</v>
      </c>
      <c r="AI1249">
        <v>91.458338556026007</v>
      </c>
      <c r="AJ1249">
        <v>88.327396954362598</v>
      </c>
      <c r="AK1249">
        <v>45.370578426023997</v>
      </c>
      <c r="AL1249">
        <v>87.697197717444197</v>
      </c>
      <c r="AM1249">
        <v>95.720137718212399</v>
      </c>
      <c r="AN1249">
        <v>0.99999994673223602</v>
      </c>
    </row>
    <row r="1250" spans="1:40" x14ac:dyDescent="0.3">
      <c r="A1250" t="str">
        <f>"20200111145936627"</f>
        <v>20200111145936627</v>
      </c>
      <c r="B1250" t="str">
        <f>"1578725976617115"</f>
        <v>1578725976617115</v>
      </c>
      <c r="C1250" t="s">
        <v>40</v>
      </c>
      <c r="D1250">
        <v>4.0134059999999998</v>
      </c>
      <c r="E1250">
        <v>0.54885209999999995</v>
      </c>
      <c r="F1250" t="s">
        <v>42</v>
      </c>
      <c r="G1250">
        <v>-276.7638</v>
      </c>
      <c r="H1250" s="1">
        <v>-1.9494220000000001E-6</v>
      </c>
      <c r="I1250">
        <v>366.37639999999999</v>
      </c>
      <c r="J1250">
        <v>-323.43950000000001</v>
      </c>
      <c r="K1250">
        <v>1.104679</v>
      </c>
      <c r="L1250">
        <v>367.63119999999998</v>
      </c>
      <c r="M1250">
        <v>0.99991010000000002</v>
      </c>
      <c r="N1250">
        <v>0</v>
      </c>
      <c r="O1250">
        <v>1.999832E-3</v>
      </c>
      <c r="P1250">
        <v>0.99443930000000003</v>
      </c>
      <c r="Q1250">
        <v>2.7077270000000001E-2</v>
      </c>
      <c r="R1250">
        <v>0.1017711</v>
      </c>
      <c r="S1250">
        <v>3.0269469999999998</v>
      </c>
      <c r="T1250">
        <v>-7.1475739999999996E-2</v>
      </c>
      <c r="U1250">
        <v>-8.1176760000000001E-2</v>
      </c>
      <c r="V1250">
        <v>-9.9776770000000001E-2</v>
      </c>
      <c r="W1250">
        <v>4.0281190000000001E-2</v>
      </c>
      <c r="X1250">
        <v>0.99419409999999997</v>
      </c>
      <c r="Y1250">
        <v>2.879905E-2</v>
      </c>
      <c r="Z1250">
        <v>-3.8712129999999998E-4</v>
      </c>
      <c r="AA1250">
        <v>0.99958519999999895</v>
      </c>
      <c r="AB1250">
        <v>22</v>
      </c>
      <c r="AC1250">
        <v>46.675699999999999</v>
      </c>
      <c r="AD1250">
        <v>-1.104680949422</v>
      </c>
      <c r="AE1250">
        <v>-1.2547999999999799</v>
      </c>
      <c r="AF1250">
        <v>1.34739507755735</v>
      </c>
      <c r="AG1250">
        <v>-1.104680949422</v>
      </c>
      <c r="AH1250">
        <v>46.646987337388403</v>
      </c>
      <c r="AI1250">
        <v>91.356043737545704</v>
      </c>
      <c r="AJ1250">
        <v>88.345475322594496</v>
      </c>
      <c r="AK1250">
        <v>46.6795160766424</v>
      </c>
      <c r="AL1250">
        <v>87.691433097482303</v>
      </c>
      <c r="AM1250">
        <v>95.730983293219396</v>
      </c>
      <c r="AN1250">
        <v>0.99999994328712705</v>
      </c>
    </row>
    <row r="1251" spans="1:40" x14ac:dyDescent="0.3">
      <c r="A1251" t="str">
        <f>"20200111145936638"</f>
        <v>20200111145936638</v>
      </c>
      <c r="B1251" t="str">
        <f>"1578725976626874"</f>
        <v>1578725976626874</v>
      </c>
      <c r="C1251" t="s">
        <v>40</v>
      </c>
      <c r="D1251">
        <v>4.0056649999999996</v>
      </c>
      <c r="E1251">
        <v>0.54881020000000003</v>
      </c>
      <c r="F1251" t="s">
        <v>42</v>
      </c>
      <c r="G1251">
        <v>-272.73430000000002</v>
      </c>
      <c r="H1251" s="1">
        <v>-3.692899E-6</v>
      </c>
      <c r="I1251">
        <v>366.26979999999998</v>
      </c>
      <c r="J1251">
        <v>-323.32580000000002</v>
      </c>
      <c r="K1251">
        <v>1.1046769999999999</v>
      </c>
      <c r="L1251">
        <v>367.63139999999999</v>
      </c>
      <c r="M1251">
        <v>0.99991010000000002</v>
      </c>
      <c r="N1251">
        <v>0</v>
      </c>
      <c r="O1251">
        <v>1.9673410000000001E-3</v>
      </c>
      <c r="P1251">
        <v>0.99443020000000004</v>
      </c>
      <c r="Q1251">
        <v>2.7188250000000001E-2</v>
      </c>
      <c r="R1251">
        <v>0.1018309</v>
      </c>
      <c r="S1251">
        <v>3.0269170000000001</v>
      </c>
      <c r="T1251">
        <v>-6.5945390000000007E-2</v>
      </c>
      <c r="U1251">
        <v>-8.1268309999999996E-2</v>
      </c>
      <c r="V1251">
        <v>-9.9869239999999998E-2</v>
      </c>
      <c r="W1251">
        <v>4.0393150000000003E-2</v>
      </c>
      <c r="X1251">
        <v>0.99418030000000002</v>
      </c>
      <c r="Y1251">
        <v>2.8798339999999999E-2</v>
      </c>
      <c r="Z1251">
        <v>-3.5646369999999997E-4</v>
      </c>
      <c r="AA1251">
        <v>0.99958519999999895</v>
      </c>
      <c r="AB1251">
        <v>22</v>
      </c>
      <c r="AC1251">
        <v>50.591500000000003</v>
      </c>
      <c r="AD1251">
        <v>-1.1046806928990001</v>
      </c>
      <c r="AE1251">
        <v>-1.3616000000000099</v>
      </c>
      <c r="AF1251">
        <v>1.4604410469993101</v>
      </c>
      <c r="AG1251">
        <v>-1.1046806928990001</v>
      </c>
      <c r="AH1251">
        <v>50.5646323332248</v>
      </c>
      <c r="AI1251">
        <v>91.251014805031701</v>
      </c>
      <c r="AJ1251">
        <v>88.345605456579804</v>
      </c>
      <c r="AK1251">
        <v>50.597779106194302</v>
      </c>
      <c r="AL1251">
        <v>87.685013099051602</v>
      </c>
      <c r="AM1251">
        <v>95.736338278663695</v>
      </c>
      <c r="AN1251">
        <v>0.99999997028659404</v>
      </c>
    </row>
    <row r="1252" spans="1:40" x14ac:dyDescent="0.3">
      <c r="A1252" t="str">
        <f>"20200111145936651"</f>
        <v>20200111145936651</v>
      </c>
      <c r="B1252" t="str">
        <f>"1578725976647370"</f>
        <v>1578725976647370</v>
      </c>
      <c r="C1252" t="s">
        <v>40</v>
      </c>
      <c r="D1252">
        <v>4.0500730000000003</v>
      </c>
      <c r="E1252">
        <v>0.54859639999999998</v>
      </c>
      <c r="F1252" t="s">
        <v>42</v>
      </c>
      <c r="G1252">
        <v>-275.21280000000002</v>
      </c>
      <c r="H1252" s="1">
        <v>-2.6168199999999998E-6</v>
      </c>
      <c r="I1252">
        <v>366.34199999999998</v>
      </c>
      <c r="J1252">
        <v>-323.20780000000002</v>
      </c>
      <c r="K1252">
        <v>1.104671</v>
      </c>
      <c r="L1252">
        <v>367.63159999999999</v>
      </c>
      <c r="M1252">
        <v>0.99991019999999997</v>
      </c>
      <c r="N1252">
        <v>0</v>
      </c>
      <c r="O1252">
        <v>1.933677E-3</v>
      </c>
      <c r="P1252">
        <v>0.9944132</v>
      </c>
      <c r="Q1252">
        <v>2.7264779999999999E-2</v>
      </c>
      <c r="R1252">
        <v>0.1019769</v>
      </c>
      <c r="S1252">
        <v>3.0270079999999999</v>
      </c>
      <c r="T1252">
        <v>-6.9500329999999999E-2</v>
      </c>
      <c r="U1252">
        <v>-8.1115720000000002E-2</v>
      </c>
      <c r="V1252">
        <v>-0.1000481</v>
      </c>
      <c r="W1252">
        <v>4.0467950000000003E-2</v>
      </c>
      <c r="X1252">
        <v>0.99415929999999997</v>
      </c>
      <c r="Y1252">
        <v>2.871274E-2</v>
      </c>
      <c r="Z1252">
        <v>-3.7390850000000001E-4</v>
      </c>
      <c r="AA1252">
        <v>0.99958769999999997</v>
      </c>
      <c r="AB1252">
        <v>22</v>
      </c>
      <c r="AC1252">
        <v>47.994999999999997</v>
      </c>
      <c r="AD1252">
        <v>-1.10467361682</v>
      </c>
      <c r="AE1252">
        <v>-1.2896000000000001</v>
      </c>
      <c r="AF1252">
        <v>1.3816811514996901</v>
      </c>
      <c r="AG1252">
        <v>-1.10467361682</v>
      </c>
      <c r="AH1252">
        <v>47.967023874534902</v>
      </c>
      <c r="AI1252">
        <v>91.318733523162706</v>
      </c>
      <c r="AJ1252">
        <v>88.350062013490501</v>
      </c>
      <c r="AK1252">
        <v>47.999632560930202</v>
      </c>
      <c r="AL1252">
        <v>87.680723926116599</v>
      </c>
      <c r="AM1252">
        <v>95.746663604257904</v>
      </c>
      <c r="AN1252">
        <v>0.99999999553365104</v>
      </c>
    </row>
    <row r="1253" spans="1:40" x14ac:dyDescent="0.3">
      <c r="A1253" t="str">
        <f>"20200111145936662"</f>
        <v>20200111145936662</v>
      </c>
      <c r="B1253" t="str">
        <f>"1578725976657130"</f>
        <v>1578725976657130</v>
      </c>
      <c r="C1253" t="s">
        <v>40</v>
      </c>
      <c r="D1253">
        <v>4.0222480000000003</v>
      </c>
      <c r="E1253">
        <v>0.54898690000000006</v>
      </c>
      <c r="F1253" t="s">
        <v>42</v>
      </c>
      <c r="G1253">
        <v>-275.59010000000001</v>
      </c>
      <c r="H1253" s="1">
        <v>-2.4450049999999998E-6</v>
      </c>
      <c r="I1253">
        <v>366.3981</v>
      </c>
      <c r="J1253">
        <v>-323.0994</v>
      </c>
      <c r="K1253">
        <v>1.1046720000000001</v>
      </c>
      <c r="L1253">
        <v>367.63170000000002</v>
      </c>
      <c r="M1253">
        <v>0.99991030000000003</v>
      </c>
      <c r="N1253">
        <v>0</v>
      </c>
      <c r="O1253">
        <v>1.9026990000000001E-3</v>
      </c>
      <c r="P1253">
        <v>0.99440530000000005</v>
      </c>
      <c r="Q1253">
        <v>2.7105319999999999E-2</v>
      </c>
      <c r="R1253">
        <v>0.1020966</v>
      </c>
      <c r="S1253">
        <v>3.0267940000000002</v>
      </c>
      <c r="T1253">
        <v>-7.0217849999999998E-2</v>
      </c>
      <c r="U1253">
        <v>-7.8399659999999996E-2</v>
      </c>
      <c r="V1253">
        <v>-0.1001991</v>
      </c>
      <c r="W1253">
        <v>4.0305970000000003E-2</v>
      </c>
      <c r="X1253">
        <v>0.99415070000000005</v>
      </c>
      <c r="Y1253">
        <v>2.7787389999999999E-2</v>
      </c>
      <c r="Z1253">
        <v>-3.6635010000000002E-4</v>
      </c>
      <c r="AA1253">
        <v>0.9996138</v>
      </c>
      <c r="AB1253">
        <v>22</v>
      </c>
      <c r="AC1253">
        <v>47.509300000000003</v>
      </c>
      <c r="AD1253">
        <v>-1.1046744450049999</v>
      </c>
      <c r="AE1253">
        <v>-1.23360000000002</v>
      </c>
      <c r="AF1253">
        <v>1.3232866648775601</v>
      </c>
      <c r="AG1253">
        <v>-1.1046744450049999</v>
      </c>
      <c r="AH1253">
        <v>47.481213475319301</v>
      </c>
      <c r="AI1253">
        <v>91.332257744108702</v>
      </c>
      <c r="AJ1253">
        <v>88.403597662913896</v>
      </c>
      <c r="AK1253">
        <v>47.512493370857101</v>
      </c>
      <c r="AL1253">
        <v>87.690012337289403</v>
      </c>
      <c r="AM1253">
        <v>95.755328166025706</v>
      </c>
      <c r="AN1253">
        <v>1.0000000225844701</v>
      </c>
    </row>
    <row r="1254" spans="1:40" x14ac:dyDescent="0.3">
      <c r="A1254" t="str">
        <f>"20200111145936695"</f>
        <v>20200111145936695</v>
      </c>
      <c r="B1254" t="str">
        <f>"1578725976687386"</f>
        <v>1578725976687386</v>
      </c>
      <c r="C1254" t="s">
        <v>40</v>
      </c>
      <c r="D1254">
        <v>4.1924429999999999</v>
      </c>
      <c r="E1254">
        <v>0.54898690000000006</v>
      </c>
      <c r="F1254" t="s">
        <v>42</v>
      </c>
      <c r="G1254">
        <v>-275.31040000000002</v>
      </c>
      <c r="H1254" s="1">
        <v>-2.5741090000000001E-6</v>
      </c>
      <c r="I1254">
        <v>366.34679999999997</v>
      </c>
      <c r="J1254">
        <v>-322.77089999999998</v>
      </c>
      <c r="K1254">
        <v>1.104665</v>
      </c>
      <c r="L1254">
        <v>367.63229999999999</v>
      </c>
      <c r="M1254">
        <v>0.99991079999999999</v>
      </c>
      <c r="N1254">
        <v>0</v>
      </c>
      <c r="O1254">
        <v>1.8086669999999999E-3</v>
      </c>
      <c r="P1254">
        <v>0.99438459999999995</v>
      </c>
      <c r="Q1254">
        <v>2.7638220000000002E-2</v>
      </c>
      <c r="R1254">
        <v>0.1021547</v>
      </c>
      <c r="S1254">
        <v>3.0271300000000001</v>
      </c>
      <c r="T1254">
        <v>-6.9973949999999993E-2</v>
      </c>
      <c r="U1254">
        <v>-8.1390379999999998E-2</v>
      </c>
      <c r="V1254">
        <v>-0.1003501</v>
      </c>
      <c r="W1254">
        <v>4.081862E-2</v>
      </c>
      <c r="X1254">
        <v>0.99411450000000001</v>
      </c>
      <c r="Y1254">
        <v>2.867726E-2</v>
      </c>
      <c r="Z1254">
        <v>-3.7314120000000002E-4</v>
      </c>
      <c r="AA1254">
        <v>0.9995887</v>
      </c>
      <c r="AB1254">
        <v>22</v>
      </c>
      <c r="AC1254">
        <v>47.460499999999897</v>
      </c>
      <c r="AD1254">
        <v>-1.104667574109</v>
      </c>
      <c r="AE1254">
        <v>-1.2855000000000101</v>
      </c>
      <c r="AF1254">
        <v>1.3706036747209001</v>
      </c>
      <c r="AG1254">
        <v>-1.104667574109</v>
      </c>
      <c r="AH1254">
        <v>47.432419457164201</v>
      </c>
      <c r="AI1254">
        <v>91.333580659984705</v>
      </c>
      <c r="AJ1254">
        <v>88.344845972594896</v>
      </c>
      <c r="AK1254">
        <v>47.465074111843698</v>
      </c>
      <c r="AL1254">
        <v>87.660615341548905</v>
      </c>
      <c r="AM1254">
        <v>95.764151564048504</v>
      </c>
      <c r="AN1254">
        <v>0.99999997070948099</v>
      </c>
    </row>
    <row r="1255" spans="1:40" x14ac:dyDescent="0.3">
      <c r="A1255" t="str">
        <f>"20200111145936705"</f>
        <v>20200111145936705</v>
      </c>
      <c r="B1255" t="str">
        <f>"1578725976697146"</f>
        <v>1578725976697146</v>
      </c>
      <c r="C1255" t="s">
        <v>40</v>
      </c>
      <c r="D1255">
        <v>4.2652919999999996</v>
      </c>
      <c r="E1255">
        <v>0.56486009999999998</v>
      </c>
      <c r="F1255" t="s">
        <v>42</v>
      </c>
      <c r="G1255">
        <v>-273.89179999999999</v>
      </c>
      <c r="H1255" s="1">
        <v>-3.187049E-6</v>
      </c>
      <c r="I1255">
        <v>366.322</v>
      </c>
      <c r="J1255">
        <v>-322.66879999999998</v>
      </c>
      <c r="K1255">
        <v>1.104663</v>
      </c>
      <c r="L1255">
        <v>367.63240000000002</v>
      </c>
      <c r="M1255">
        <v>0.99991099999999999</v>
      </c>
      <c r="N1255">
        <v>0</v>
      </c>
      <c r="O1255">
        <v>1.779416E-3</v>
      </c>
      <c r="P1255">
        <v>0.9944134</v>
      </c>
      <c r="Q1255">
        <v>2.7479219999999999E-2</v>
      </c>
      <c r="R1255">
        <v>0.1019173</v>
      </c>
      <c r="S1255">
        <v>3.0271910000000002</v>
      </c>
      <c r="T1255">
        <v>-6.8414569999999994E-2</v>
      </c>
      <c r="U1255">
        <v>-8.1146239999999994E-2</v>
      </c>
      <c r="V1255">
        <v>-0.1001422</v>
      </c>
      <c r="W1255">
        <v>4.0649009999999999E-2</v>
      </c>
      <c r="X1255">
        <v>0.99414239999999998</v>
      </c>
      <c r="Y1255">
        <v>2.85673E-2</v>
      </c>
      <c r="Z1255">
        <v>-3.6291779999999998E-4</v>
      </c>
      <c r="AA1255">
        <v>0.99959180000000003</v>
      </c>
      <c r="AB1255">
        <v>22</v>
      </c>
      <c r="AC1255">
        <v>48.777000000000001</v>
      </c>
      <c r="AD1255">
        <v>-1.104666187049</v>
      </c>
      <c r="AE1255">
        <v>-1.31040000000007</v>
      </c>
      <c r="AF1255">
        <v>1.3964843482392899</v>
      </c>
      <c r="AG1255">
        <v>-1.104666187049</v>
      </c>
      <c r="AH1255">
        <v>48.749605217610501</v>
      </c>
      <c r="AI1255">
        <v>91.297568270207194</v>
      </c>
      <c r="AJ1255">
        <v>88.359150116755004</v>
      </c>
      <c r="AK1255">
        <v>48.782112139518603</v>
      </c>
      <c r="AL1255">
        <v>87.670341318977904</v>
      </c>
      <c r="AM1255">
        <v>95.752129514910195</v>
      </c>
      <c r="AN1255">
        <v>0.99999995685628895</v>
      </c>
    </row>
    <row r="1256" spans="1:40" x14ac:dyDescent="0.3">
      <c r="A1256" t="str">
        <f>"20200111145936716"</f>
        <v>20200111145936716</v>
      </c>
      <c r="B1256" t="str">
        <f>"1578725976706906"</f>
        <v>1578725976706906</v>
      </c>
      <c r="C1256" t="s">
        <v>40</v>
      </c>
      <c r="D1256">
        <v>3.924636</v>
      </c>
      <c r="E1256">
        <v>0.56486009999999998</v>
      </c>
      <c r="F1256" t="s">
        <v>43</v>
      </c>
      <c r="G1256">
        <v>-294.18970000000002</v>
      </c>
      <c r="H1256">
        <v>-0.05</v>
      </c>
      <c r="I1256">
        <v>365.68959999999998</v>
      </c>
      <c r="J1256">
        <v>-322.55880000000002</v>
      </c>
      <c r="K1256">
        <v>1.1046659999999999</v>
      </c>
      <c r="L1256">
        <v>367.63260000000002</v>
      </c>
      <c r="M1256">
        <v>0.9999112</v>
      </c>
      <c r="N1256">
        <v>0</v>
      </c>
      <c r="O1256">
        <v>1.747864E-3</v>
      </c>
      <c r="P1256">
        <v>0.99441139999999995</v>
      </c>
      <c r="Q1256">
        <v>2.7526889999999998E-2</v>
      </c>
      <c r="R1256">
        <v>0.1019243</v>
      </c>
      <c r="S1256">
        <v>3.0415649999999999</v>
      </c>
      <c r="T1256">
        <v>-0.12331789999999899</v>
      </c>
      <c r="U1256">
        <v>-0.20748900000000001</v>
      </c>
      <c r="V1256">
        <v>-0.10018050000000001</v>
      </c>
      <c r="W1256">
        <v>4.0682360000000001E-2</v>
      </c>
      <c r="X1256">
        <v>0.99413720000000005</v>
      </c>
      <c r="Y1256">
        <v>6.9745070000000006E-2</v>
      </c>
      <c r="Z1256">
        <v>-1.4824230000000001E-3</v>
      </c>
      <c r="AA1256">
        <v>0.99756369999999905</v>
      </c>
      <c r="AB1256">
        <v>22</v>
      </c>
      <c r="AC1256">
        <v>28.3691</v>
      </c>
      <c r="AD1256">
        <v>-1.154666</v>
      </c>
      <c r="AE1256">
        <v>-1.94300000000004</v>
      </c>
      <c r="AF1256">
        <v>1.9893065591589101</v>
      </c>
      <c r="AG1256">
        <v>-1.154666</v>
      </c>
      <c r="AH1256">
        <v>28.318965672113801</v>
      </c>
      <c r="AI1256">
        <v>92.329128317092497</v>
      </c>
      <c r="AJ1256">
        <v>85.981776106468104</v>
      </c>
      <c r="AK1256">
        <v>28.4122229136727</v>
      </c>
      <c r="AL1256">
        <v>87.668428976045007</v>
      </c>
      <c r="AM1256">
        <v>95.754344588558496</v>
      </c>
      <c r="AN1256">
        <v>0.99999997970962895</v>
      </c>
    </row>
    <row r="1257" spans="1:40" x14ac:dyDescent="0.3">
      <c r="A1257" t="str">
        <f>"20200111145936728"</f>
        <v>20200111145936728</v>
      </c>
      <c r="B1257" t="str">
        <f>"1578725976716666"</f>
        <v>1578725976716666</v>
      </c>
      <c r="C1257" t="s">
        <v>40</v>
      </c>
      <c r="D1257">
        <v>3.8388749999999998</v>
      </c>
      <c r="E1257">
        <v>0.56486009999999998</v>
      </c>
      <c r="F1257" t="s">
        <v>43</v>
      </c>
      <c r="G1257">
        <v>-294.04680000000002</v>
      </c>
      <c r="H1257">
        <v>-0.05</v>
      </c>
      <c r="I1257">
        <v>365.68720000000002</v>
      </c>
      <c r="J1257">
        <v>-322.45170000000002</v>
      </c>
      <c r="K1257">
        <v>1.104663</v>
      </c>
      <c r="L1257">
        <v>367.63279999999997</v>
      </c>
      <c r="M1257">
        <v>0.99991149999999995</v>
      </c>
      <c r="N1257">
        <v>0</v>
      </c>
      <c r="O1257">
        <v>1.717346E-3</v>
      </c>
      <c r="P1257">
        <v>0.99443890000000001</v>
      </c>
      <c r="Q1257">
        <v>2.7671359999999999E-2</v>
      </c>
      <c r="R1257">
        <v>0.1016167</v>
      </c>
      <c r="S1257">
        <v>3.041534</v>
      </c>
      <c r="T1257">
        <v>-0.1231744</v>
      </c>
      <c r="U1257">
        <v>-0.2075195</v>
      </c>
      <c r="V1257">
        <v>-9.990359E-2</v>
      </c>
      <c r="W1257">
        <v>4.0809560000000002E-2</v>
      </c>
      <c r="X1257">
        <v>0.99415989999999999</v>
      </c>
      <c r="Y1257">
        <v>6.9725449999999994E-2</v>
      </c>
      <c r="Z1257">
        <v>-1.479083E-3</v>
      </c>
      <c r="AA1257">
        <v>0.99756520000000004</v>
      </c>
      <c r="AB1257">
        <v>22</v>
      </c>
      <c r="AC1257">
        <v>28.404900000000001</v>
      </c>
      <c r="AD1257">
        <v>-1.154663</v>
      </c>
      <c r="AE1257">
        <v>-1.94559999999995</v>
      </c>
      <c r="AF1257">
        <v>1.99110760871236</v>
      </c>
      <c r="AG1257">
        <v>-1.154663</v>
      </c>
      <c r="AH1257">
        <v>28.3548807900386</v>
      </c>
      <c r="AI1257">
        <v>92.326179515294996</v>
      </c>
      <c r="AJ1257">
        <v>85.983227584858</v>
      </c>
      <c r="AK1257">
        <v>28.4481461745813</v>
      </c>
      <c r="AL1257">
        <v>87.661135006245004</v>
      </c>
      <c r="AM1257">
        <v>95.738415089089401</v>
      </c>
      <c r="AN1257">
        <v>1.0000000271251399</v>
      </c>
    </row>
    <row r="1258" spans="1:40" x14ac:dyDescent="0.3">
      <c r="A1258" t="str">
        <f>"20200111145936761"</f>
        <v>20200111145936761</v>
      </c>
      <c r="B1258" t="str">
        <f>"1578725976756682"</f>
        <v>1578725976756682</v>
      </c>
      <c r="C1258" t="s">
        <v>40</v>
      </c>
      <c r="D1258">
        <v>3.8287059999999999</v>
      </c>
      <c r="E1258">
        <v>0.58570749999999905</v>
      </c>
      <c r="F1258" t="s">
        <v>43</v>
      </c>
      <c r="G1258">
        <v>-293.84210000000002</v>
      </c>
      <c r="H1258">
        <v>-0.05</v>
      </c>
      <c r="I1258">
        <v>365.673</v>
      </c>
      <c r="J1258">
        <v>-322.13130000000001</v>
      </c>
      <c r="K1258">
        <v>1.1046480000000001</v>
      </c>
      <c r="L1258">
        <v>367.63310000000001</v>
      </c>
      <c r="M1258">
        <v>0.99991260000000004</v>
      </c>
      <c r="N1258">
        <v>0</v>
      </c>
      <c r="O1258">
        <v>1.6278670000000001E-3</v>
      </c>
      <c r="P1258">
        <v>0.9944596</v>
      </c>
      <c r="Q1258">
        <v>2.7936840000000001E-2</v>
      </c>
      <c r="R1258">
        <v>0.1013415</v>
      </c>
      <c r="S1258">
        <v>3.0414729999999999</v>
      </c>
      <c r="T1258">
        <v>-0.12275179999999999</v>
      </c>
      <c r="U1258">
        <v>-0.20834349999999999</v>
      </c>
      <c r="V1258">
        <v>-9.9716949999999999E-2</v>
      </c>
      <c r="W1258">
        <v>4.1003480000000002E-2</v>
      </c>
      <c r="X1258">
        <v>0.99417060000000002</v>
      </c>
      <c r="Y1258">
        <v>6.9906850000000006E-2</v>
      </c>
      <c r="Z1258">
        <v>-1.4740770000000001E-3</v>
      </c>
      <c r="AA1258">
        <v>0.99755249999999995</v>
      </c>
      <c r="AB1258">
        <v>22</v>
      </c>
      <c r="AC1258">
        <v>28.289199999999902</v>
      </c>
      <c r="AD1258">
        <v>-1.1546479999999999</v>
      </c>
      <c r="AE1258">
        <v>-1.9601000000000099</v>
      </c>
      <c r="AF1258">
        <v>2.0028317773340198</v>
      </c>
      <c r="AG1258">
        <v>-1.1546479999999999</v>
      </c>
      <c r="AH1258">
        <v>28.239151654754799</v>
      </c>
      <c r="AI1258">
        <v>92.335556606910501</v>
      </c>
      <c r="AJ1258">
        <v>85.943150975384896</v>
      </c>
      <c r="AK1258">
        <v>28.333623723633401</v>
      </c>
      <c r="AL1258">
        <v>87.6500147638111</v>
      </c>
      <c r="AM1258">
        <v>95.727704687220097</v>
      </c>
      <c r="AN1258">
        <v>0.99999996869688601</v>
      </c>
    </row>
    <row r="1259" spans="1:40" x14ac:dyDescent="0.3">
      <c r="A1259" t="str">
        <f>"20200111145936772"</f>
        <v>20200111145936772</v>
      </c>
      <c r="B1259" t="str">
        <f>"1578725976767418"</f>
        <v>1578725976767418</v>
      </c>
      <c r="C1259" t="s">
        <v>40</v>
      </c>
      <c r="D1259">
        <v>3.8370340000000001</v>
      </c>
      <c r="E1259">
        <v>0.58570749999999905</v>
      </c>
      <c r="F1259" t="s">
        <v>41</v>
      </c>
      <c r="G1259">
        <v>-321.30509999999998</v>
      </c>
      <c r="H1259">
        <v>0.83985730000000003</v>
      </c>
      <c r="I1259">
        <v>367.53410000000002</v>
      </c>
      <c r="J1259">
        <v>-322.01560000000001</v>
      </c>
      <c r="K1259">
        <v>1.1046400000000001</v>
      </c>
      <c r="L1259">
        <v>367.63330000000002</v>
      </c>
      <c r="M1259">
        <v>0.99991300000000005</v>
      </c>
      <c r="N1259">
        <v>0</v>
      </c>
      <c r="O1259">
        <v>1.595909E-3</v>
      </c>
      <c r="P1259">
        <v>0.99445070000000002</v>
      </c>
      <c r="Q1259">
        <v>2.8007170000000001E-2</v>
      </c>
      <c r="R1259">
        <v>0.1014075</v>
      </c>
      <c r="S1259">
        <v>3.0820620000000001</v>
      </c>
      <c r="T1259">
        <v>-0.9877764</v>
      </c>
      <c r="U1259">
        <v>-0.3686218</v>
      </c>
      <c r="V1259">
        <v>-9.9814470000000002E-2</v>
      </c>
      <c r="W1259">
        <v>4.103826E-2</v>
      </c>
      <c r="X1259">
        <v>0.99415940000000003</v>
      </c>
      <c r="Y1259">
        <v>0.1145988</v>
      </c>
      <c r="Z1259">
        <v>-1.8353459999999999E-2</v>
      </c>
      <c r="AA1259">
        <v>0.99324230000000002</v>
      </c>
      <c r="AB1259">
        <v>22</v>
      </c>
      <c r="AC1259">
        <v>0.710500000000024</v>
      </c>
      <c r="AD1259">
        <v>-0.26478269999999998</v>
      </c>
      <c r="AE1259">
        <v>-9.9199999999996097E-2</v>
      </c>
      <c r="AF1259">
        <v>8.8304337975916594E-2</v>
      </c>
      <c r="AG1259">
        <v>-0.26478269999999998</v>
      </c>
      <c r="AH1259">
        <v>0.62517447811897298</v>
      </c>
      <c r="AI1259">
        <v>112.75178014943</v>
      </c>
      <c r="AJ1259">
        <v>81.960298642069802</v>
      </c>
      <c r="AK1259">
        <v>0.68465368064152299</v>
      </c>
      <c r="AL1259">
        <v>87.6480203877218</v>
      </c>
      <c r="AM1259">
        <v>95.733333060766995</v>
      </c>
      <c r="AN1259">
        <v>0.99999998990678396</v>
      </c>
    </row>
    <row r="1260" spans="1:40" x14ac:dyDescent="0.3">
      <c r="A1260" t="str">
        <f>"20200111145936784"</f>
        <v>20200111145936784</v>
      </c>
      <c r="B1260" t="str">
        <f>"1578725976777178"</f>
        <v>1578725976777178</v>
      </c>
      <c r="C1260" t="s">
        <v>40</v>
      </c>
      <c r="D1260">
        <v>4.3164119999999997</v>
      </c>
      <c r="E1260">
        <v>0.54097329999999999</v>
      </c>
      <c r="F1260" t="s">
        <v>41</v>
      </c>
      <c r="G1260">
        <v>-321.29199999999997</v>
      </c>
      <c r="H1260">
        <v>0.87280669999999905</v>
      </c>
      <c r="I1260">
        <v>367.54660000000001</v>
      </c>
      <c r="J1260">
        <v>-321.90589999999997</v>
      </c>
      <c r="K1260">
        <v>1.104633</v>
      </c>
      <c r="L1260">
        <v>367.63339999999999</v>
      </c>
      <c r="M1260">
        <v>0.99991350000000001</v>
      </c>
      <c r="N1260">
        <v>0</v>
      </c>
      <c r="O1260">
        <v>1.56496E-3</v>
      </c>
      <c r="P1260">
        <v>0.99443079999999995</v>
      </c>
      <c r="Q1260">
        <v>2.825977E-2</v>
      </c>
      <c r="R1260">
        <v>0.1015316</v>
      </c>
      <c r="S1260">
        <v>3.0820919999999998</v>
      </c>
      <c r="T1260">
        <v>-0.98752980000000001</v>
      </c>
      <c r="U1260">
        <v>-0.36853029999999998</v>
      </c>
      <c r="V1260">
        <v>-9.9969539999999996E-2</v>
      </c>
      <c r="W1260">
        <v>4.1256460000000002E-2</v>
      </c>
      <c r="X1260">
        <v>0.99413479999999999</v>
      </c>
      <c r="Y1260">
        <v>0.11454489999999901</v>
      </c>
      <c r="Z1260">
        <v>-1.8330920000000001E-2</v>
      </c>
      <c r="AA1260">
        <v>0.99324889999999999</v>
      </c>
      <c r="AB1260">
        <v>22</v>
      </c>
      <c r="AC1260">
        <v>0.61389999999994405</v>
      </c>
      <c r="AD1260">
        <v>-0.23182630000000001</v>
      </c>
      <c r="AE1260">
        <v>-8.6799999999982405E-2</v>
      </c>
      <c r="AF1260">
        <v>7.6996007388389506E-2</v>
      </c>
      <c r="AG1260">
        <v>-0.23182630000000001</v>
      </c>
      <c r="AH1260">
        <v>0.53847939530732203</v>
      </c>
      <c r="AI1260">
        <v>113.08300132646499</v>
      </c>
      <c r="AJ1260">
        <v>81.8625589689305</v>
      </c>
      <c r="AK1260">
        <v>0.59129677632808197</v>
      </c>
      <c r="AL1260">
        <v>87.635507881255293</v>
      </c>
      <c r="AM1260">
        <v>95.742321929834304</v>
      </c>
      <c r="AN1260">
        <v>1.00000000249529</v>
      </c>
    </row>
    <row r="1261" spans="1:40" x14ac:dyDescent="0.3">
      <c r="A1261" t="str">
        <f>"20200111145936794"</f>
        <v>20200111145936794</v>
      </c>
      <c r="B1261" t="str">
        <f>"1578725976786938"</f>
        <v>1578725976786938</v>
      </c>
      <c r="C1261" t="s">
        <v>40</v>
      </c>
      <c r="D1261">
        <v>4.2601100000000001</v>
      </c>
      <c r="E1261">
        <v>0.54122599999999998</v>
      </c>
      <c r="F1261" t="s">
        <v>41</v>
      </c>
      <c r="G1261">
        <v>-321.02089999999998</v>
      </c>
      <c r="H1261">
        <v>1.031517</v>
      </c>
      <c r="I1261">
        <v>367.6277</v>
      </c>
      <c r="J1261">
        <v>-321.79759999999999</v>
      </c>
      <c r="K1261">
        <v>1.104627</v>
      </c>
      <c r="L1261">
        <v>367.63350000000003</v>
      </c>
      <c r="M1261">
        <v>0.99991419999999998</v>
      </c>
      <c r="N1261">
        <v>0</v>
      </c>
      <c r="O1261">
        <v>1.5325409999999999E-3</v>
      </c>
      <c r="P1261">
        <v>0.99442710000000001</v>
      </c>
      <c r="Q1261">
        <v>2.8208270000000001E-2</v>
      </c>
      <c r="R1261">
        <v>0.10158449999999999</v>
      </c>
      <c r="S1261">
        <v>3.025757</v>
      </c>
      <c r="T1261">
        <v>-0.25021599999999999</v>
      </c>
      <c r="U1261">
        <v>-1.8218990000000001E-2</v>
      </c>
      <c r="V1261">
        <v>-0.1000552</v>
      </c>
      <c r="W1261">
        <v>4.1170709999999999E-2</v>
      </c>
      <c r="X1261">
        <v>0.99412970000000001</v>
      </c>
      <c r="Y1261">
        <v>7.5229190000000003E-3</v>
      </c>
      <c r="Z1261">
        <v>-4.3705019999999999E-4</v>
      </c>
      <c r="AA1261">
        <v>0.99997159999999996</v>
      </c>
      <c r="AB1261">
        <v>22</v>
      </c>
      <c r="AC1261">
        <v>0.77670000000000505</v>
      </c>
      <c r="AD1261">
        <v>-7.3109999999999994E-2</v>
      </c>
      <c r="AE1261">
        <v>-5.8000000000220098E-3</v>
      </c>
      <c r="AF1261">
        <v>6.9290288792289798E-3</v>
      </c>
      <c r="AG1261">
        <v>-7.3109999999999994E-2</v>
      </c>
      <c r="AH1261">
        <v>0.76986932846706002</v>
      </c>
      <c r="AI1261">
        <v>95.424559421368599</v>
      </c>
      <c r="AJ1261">
        <v>89.484336656883698</v>
      </c>
      <c r="AK1261">
        <v>0.77336399350857499</v>
      </c>
      <c r="AL1261">
        <v>87.640425084726601</v>
      </c>
      <c r="AM1261">
        <v>95.747238663646101</v>
      </c>
      <c r="AN1261">
        <v>0.99999996541551595</v>
      </c>
    </row>
    <row r="1262" spans="1:40" x14ac:dyDescent="0.3">
      <c r="A1262" t="str">
        <f>"20200111145936807"</f>
        <v>20200111145936807</v>
      </c>
      <c r="B1262" t="str">
        <f>"1578725976796698"</f>
        <v>1578725976796698</v>
      </c>
      <c r="C1262" t="s">
        <v>40</v>
      </c>
      <c r="D1262">
        <v>6.2870889999999999</v>
      </c>
      <c r="E1262">
        <v>0.54177839999999999</v>
      </c>
      <c r="F1262" t="s">
        <v>43</v>
      </c>
      <c r="G1262">
        <v>-302.79070000000002</v>
      </c>
      <c r="H1262">
        <v>-0.05</v>
      </c>
      <c r="I1262">
        <v>367.50369999999998</v>
      </c>
      <c r="J1262">
        <v>-321.67680000000001</v>
      </c>
      <c r="K1262">
        <v>1.104622</v>
      </c>
      <c r="L1262">
        <v>367.63369999999998</v>
      </c>
      <c r="M1262">
        <v>0.99991470000000005</v>
      </c>
      <c r="N1262">
        <v>0</v>
      </c>
      <c r="O1262">
        <v>1.496212E-3</v>
      </c>
      <c r="P1262">
        <v>0.99441670000000004</v>
      </c>
      <c r="Q1262">
        <v>2.819582E-2</v>
      </c>
      <c r="R1262">
        <v>0.10169060000000001</v>
      </c>
      <c r="S1262">
        <v>3.0241389999999999</v>
      </c>
      <c r="T1262">
        <v>-0.18370990000000001</v>
      </c>
      <c r="U1262">
        <v>-2.0660399999999999E-2</v>
      </c>
      <c r="V1262">
        <v>-0.1001972</v>
      </c>
      <c r="W1262">
        <v>4.1118769999999999E-2</v>
      </c>
      <c r="X1262">
        <v>0.99411760000000005</v>
      </c>
      <c r="Y1262">
        <v>8.3098879999999996E-3</v>
      </c>
      <c r="Z1262">
        <v>-3.4298299999999999E-4</v>
      </c>
      <c r="AA1262">
        <v>0.9999654</v>
      </c>
      <c r="AB1262">
        <v>22</v>
      </c>
      <c r="AC1262">
        <v>18.886099999999999</v>
      </c>
      <c r="AD1262">
        <v>-1.154622</v>
      </c>
      <c r="AE1262">
        <v>-0.12999999999999501</v>
      </c>
      <c r="AF1262">
        <v>0.157670558226671</v>
      </c>
      <c r="AG1262">
        <v>-1.154622</v>
      </c>
      <c r="AH1262">
        <v>18.815562252385899</v>
      </c>
      <c r="AI1262">
        <v>93.511444411590901</v>
      </c>
      <c r="AJ1262">
        <v>89.519884339772105</v>
      </c>
      <c r="AK1262">
        <v>18.8516151785789</v>
      </c>
      <c r="AL1262">
        <v>87.643403672325206</v>
      </c>
      <c r="AM1262">
        <v>95.755410103253496</v>
      </c>
      <c r="AN1262">
        <v>1.0000000173819501</v>
      </c>
    </row>
    <row r="1263" spans="1:40" x14ac:dyDescent="0.3">
      <c r="A1263" t="str">
        <f>"20200111145936820"</f>
        <v>20200111145936820</v>
      </c>
      <c r="B1263" t="str">
        <f>"1578725976817194"</f>
        <v>1578725976817194</v>
      </c>
      <c r="C1263" t="s">
        <v>40</v>
      </c>
      <c r="D1263">
        <v>4.3009779999999997</v>
      </c>
      <c r="E1263">
        <v>0.54363609999999996</v>
      </c>
      <c r="F1263" t="s">
        <v>43</v>
      </c>
      <c r="G1263">
        <v>-296.75560000000002</v>
      </c>
      <c r="H1263">
        <v>-0.05</v>
      </c>
      <c r="I1263">
        <v>367.42939999999999</v>
      </c>
      <c r="J1263">
        <v>-321.55329999999998</v>
      </c>
      <c r="K1263">
        <v>1.104616</v>
      </c>
      <c r="L1263">
        <v>367.63380000000001</v>
      </c>
      <c r="M1263">
        <v>0.99991529999999995</v>
      </c>
      <c r="N1263">
        <v>0</v>
      </c>
      <c r="O1263">
        <v>1.458277E-3</v>
      </c>
      <c r="P1263">
        <v>0.99444889999999997</v>
      </c>
      <c r="Q1263">
        <v>2.824844E-2</v>
      </c>
      <c r="R1263">
        <v>0.1013598</v>
      </c>
      <c r="S1263">
        <v>3.0233460000000001</v>
      </c>
      <c r="T1263">
        <v>-0.14007449999999999</v>
      </c>
      <c r="U1263">
        <v>-2.478027E-2</v>
      </c>
      <c r="V1263">
        <v>-9.9904160000000006E-2</v>
      </c>
      <c r="W1263">
        <v>4.1133070000000001E-2</v>
      </c>
      <c r="X1263">
        <v>0.99414650000000004</v>
      </c>
      <c r="Y1263">
        <v>9.6424660000000006E-3</v>
      </c>
      <c r="Z1263">
        <v>-2.9078060000000002E-4</v>
      </c>
      <c r="AA1263">
        <v>0.99995339999999999</v>
      </c>
      <c r="AB1263">
        <v>22</v>
      </c>
      <c r="AC1263">
        <v>24.797699999999899</v>
      </c>
      <c r="AD1263">
        <v>-1.1546160000000001</v>
      </c>
      <c r="AE1263">
        <v>-0.20440000000002101</v>
      </c>
      <c r="AF1263">
        <v>0.24004435042200101</v>
      </c>
      <c r="AG1263">
        <v>-1.1546160000000001</v>
      </c>
      <c r="AH1263">
        <v>24.743735614400101</v>
      </c>
      <c r="AI1263">
        <v>92.671527276494402</v>
      </c>
      <c r="AJ1263">
        <v>89.444178641855601</v>
      </c>
      <c r="AK1263">
        <v>24.771822935604799</v>
      </c>
      <c r="AL1263">
        <v>87.642583648140501</v>
      </c>
      <c r="AM1263">
        <v>95.7385244428433</v>
      </c>
      <c r="AN1263">
        <v>1.00000001704759</v>
      </c>
    </row>
    <row r="1264" spans="1:40" x14ac:dyDescent="0.3">
      <c r="A1264" t="str">
        <f>"20200111145936831"</f>
        <v>20200111145936831</v>
      </c>
      <c r="B1264" t="str">
        <f>"1578725976826954"</f>
        <v>1578725976826954</v>
      </c>
      <c r="C1264" t="s">
        <v>40</v>
      </c>
      <c r="D1264">
        <v>4.2904179999999998</v>
      </c>
      <c r="E1264">
        <v>0.54422689999999996</v>
      </c>
      <c r="F1264" t="s">
        <v>43</v>
      </c>
      <c r="G1264">
        <v>-296.32490000000001</v>
      </c>
      <c r="H1264">
        <v>-0.05</v>
      </c>
      <c r="I1264">
        <v>367.29599999999999</v>
      </c>
      <c r="J1264">
        <v>-321.43610000000001</v>
      </c>
      <c r="K1264">
        <v>1.1046129999999901</v>
      </c>
      <c r="L1264">
        <v>367.63389999999998</v>
      </c>
      <c r="M1264">
        <v>0.99991569999999996</v>
      </c>
      <c r="N1264">
        <v>0</v>
      </c>
      <c r="O1264">
        <v>1.422986E-3</v>
      </c>
      <c r="P1264">
        <v>0.99449030000000005</v>
      </c>
      <c r="Q1264">
        <v>2.829361E-2</v>
      </c>
      <c r="R1264">
        <v>0.1009401</v>
      </c>
      <c r="S1264">
        <v>3.0248409999999999</v>
      </c>
      <c r="T1264">
        <v>-0.13843659999999999</v>
      </c>
      <c r="U1264">
        <v>-4.0496829999999998E-2</v>
      </c>
      <c r="V1264">
        <v>-9.9519159999999995E-2</v>
      </c>
      <c r="W1264">
        <v>4.1144500000000001E-2</v>
      </c>
      <c r="X1264">
        <v>0.99418459999999997</v>
      </c>
      <c r="Y1264">
        <v>1.479287E-2</v>
      </c>
      <c r="Z1264">
        <v>-4.03411E-4</v>
      </c>
      <c r="AA1264">
        <v>0.99989050000000002</v>
      </c>
      <c r="AB1264">
        <v>22</v>
      </c>
      <c r="AC1264">
        <v>25.1112</v>
      </c>
      <c r="AD1264">
        <v>-1.1546129999999999</v>
      </c>
      <c r="AE1264">
        <v>-0.33789999999998999</v>
      </c>
      <c r="AF1264">
        <v>0.37284740368430902</v>
      </c>
      <c r="AG1264">
        <v>-1.1546129999999999</v>
      </c>
      <c r="AH1264">
        <v>25.057727238715799</v>
      </c>
      <c r="AI1264">
        <v>92.6379242075962</v>
      </c>
      <c r="AJ1264">
        <v>89.147528182576394</v>
      </c>
      <c r="AK1264">
        <v>25.0870851382954</v>
      </c>
      <c r="AL1264">
        <v>87.641928105629304</v>
      </c>
      <c r="AM1264">
        <v>95.716339054399995</v>
      </c>
      <c r="AN1264">
        <v>0.99999997598225698</v>
      </c>
    </row>
    <row r="1265" spans="1:40" x14ac:dyDescent="0.3">
      <c r="A1265" t="str">
        <f>"20200111145936843"</f>
        <v>20200111145936843</v>
      </c>
      <c r="B1265" t="str">
        <f>"1578725976836715"</f>
        <v>1578725976836715</v>
      </c>
      <c r="C1265" t="s">
        <v>40</v>
      </c>
      <c r="D1265">
        <v>4.231166</v>
      </c>
      <c r="E1265">
        <v>0.54432000000000003</v>
      </c>
      <c r="F1265" t="s">
        <v>43</v>
      </c>
      <c r="G1265">
        <v>-296.35509999999999</v>
      </c>
      <c r="H1265">
        <v>-0.05</v>
      </c>
      <c r="I1265">
        <v>367.2509</v>
      </c>
      <c r="J1265">
        <v>-321.31970000000001</v>
      </c>
      <c r="K1265">
        <v>1.104589</v>
      </c>
      <c r="L1265">
        <v>367.63409999999999</v>
      </c>
      <c r="M1265">
        <v>0.99991730000000001</v>
      </c>
      <c r="N1265">
        <v>0</v>
      </c>
      <c r="O1265">
        <v>1.387711E-3</v>
      </c>
      <c r="P1265">
        <v>0.99454050000000005</v>
      </c>
      <c r="Q1265">
        <v>2.890496E-2</v>
      </c>
      <c r="R1265">
        <v>0.1002681</v>
      </c>
      <c r="S1265">
        <v>3.0252690000000002</v>
      </c>
      <c r="T1265">
        <v>-0.13926949999999999</v>
      </c>
      <c r="U1265">
        <v>-4.6203609999999999E-2</v>
      </c>
      <c r="V1265">
        <v>-9.8882349999999994E-2</v>
      </c>
      <c r="W1265">
        <v>4.1637130000000001E-2</v>
      </c>
      <c r="X1265">
        <v>0.99422759999999999</v>
      </c>
      <c r="Y1265">
        <v>1.6639350000000001E-2</v>
      </c>
      <c r="Z1265">
        <v>-4.466262E-4</v>
      </c>
      <c r="AA1265">
        <v>0.99986149999999996</v>
      </c>
      <c r="AB1265">
        <v>22</v>
      </c>
      <c r="AC1265">
        <v>24.964600000000001</v>
      </c>
      <c r="AD1265">
        <v>-1.1545889999999901</v>
      </c>
      <c r="AE1265">
        <v>-0.38319999999998799</v>
      </c>
      <c r="AF1265">
        <v>0.41695446800825398</v>
      </c>
      <c r="AG1265">
        <v>-1.1545889999999901</v>
      </c>
      <c r="AH1265">
        <v>24.910773186796099</v>
      </c>
      <c r="AI1265">
        <v>92.653330820219395</v>
      </c>
      <c r="AJ1265">
        <v>89.041077509064493</v>
      </c>
      <c r="AK1265">
        <v>24.9410013341748</v>
      </c>
      <c r="AL1265">
        <v>87.613678202056903</v>
      </c>
      <c r="AM1265">
        <v>95.679756845372907</v>
      </c>
      <c r="AN1265">
        <v>0.99999994516895796</v>
      </c>
    </row>
    <row r="1266" spans="1:40" x14ac:dyDescent="0.3">
      <c r="A1266" t="str">
        <f>"20200111145936855"</f>
        <v>20200111145936855</v>
      </c>
      <c r="B1266" t="str">
        <f>"1578725976847450"</f>
        <v>1578725976847450</v>
      </c>
      <c r="C1266" t="s">
        <v>40</v>
      </c>
      <c r="D1266">
        <v>4.2980029999999996</v>
      </c>
      <c r="E1266">
        <v>0.54497069999999903</v>
      </c>
      <c r="F1266" t="s">
        <v>43</v>
      </c>
      <c r="G1266">
        <v>-295.64429999999999</v>
      </c>
      <c r="H1266">
        <v>-0.05</v>
      </c>
      <c r="I1266">
        <v>367.22</v>
      </c>
      <c r="J1266">
        <v>-321.19819999999999</v>
      </c>
      <c r="K1266">
        <v>1.104492</v>
      </c>
      <c r="L1266">
        <v>367.63420000000002</v>
      </c>
      <c r="M1266">
        <v>0.99992230000000004</v>
      </c>
      <c r="N1266">
        <v>0</v>
      </c>
      <c r="O1266">
        <v>1.35149799999999E-3</v>
      </c>
      <c r="P1266">
        <v>0.99454739999999997</v>
      </c>
      <c r="Q1266">
        <v>2.9802740000000001E-2</v>
      </c>
      <c r="R1266">
        <v>9.9937380000000006E-2</v>
      </c>
      <c r="S1266">
        <v>3.02536</v>
      </c>
      <c r="T1266">
        <v>-0.13604659999999999</v>
      </c>
      <c r="U1266">
        <v>-4.8797609999999998E-2</v>
      </c>
      <c r="V1266">
        <v>-9.8587289999999994E-2</v>
      </c>
      <c r="W1266">
        <v>4.2139749999999997E-2</v>
      </c>
      <c r="X1266">
        <v>0.9942358</v>
      </c>
      <c r="Y1266">
        <v>1.7459829999999999E-2</v>
      </c>
      <c r="Z1266">
        <v>-4.5309499999999998E-4</v>
      </c>
      <c r="AA1266">
        <v>0.9998475</v>
      </c>
      <c r="AB1266">
        <v>22</v>
      </c>
      <c r="AC1266">
        <v>25.553899999999999</v>
      </c>
      <c r="AD1266">
        <v>-1.1544920000000001</v>
      </c>
      <c r="AE1266">
        <v>-0.41419999999999302</v>
      </c>
      <c r="AF1266">
        <v>0.44782449730548202</v>
      </c>
      <c r="AG1266">
        <v>-1.1544920000000001</v>
      </c>
      <c r="AH1266">
        <v>25.501279452956101</v>
      </c>
      <c r="AI1266">
        <v>92.5917212377678</v>
      </c>
      <c r="AJ1266">
        <v>88.993940023999897</v>
      </c>
      <c r="AK1266">
        <v>25.531326880838201</v>
      </c>
      <c r="AL1266">
        <v>87.5848550758447</v>
      </c>
      <c r="AM1266">
        <v>95.662872654033606</v>
      </c>
      <c r="AN1266">
        <v>1.00000001914062</v>
      </c>
    </row>
    <row r="1267" spans="1:40" x14ac:dyDescent="0.3">
      <c r="A1267" t="str">
        <f>"20200111145936873"</f>
        <v>20200111145936873</v>
      </c>
      <c r="B1267" t="str">
        <f>"1578725976866969"</f>
        <v>1578725976866969</v>
      </c>
      <c r="C1267" t="s">
        <v>40</v>
      </c>
      <c r="D1267">
        <v>4.5232950000000001</v>
      </c>
      <c r="E1267">
        <v>0.54447880000000004</v>
      </c>
      <c r="F1267" t="s">
        <v>43</v>
      </c>
      <c r="G1267">
        <v>-294.66950000000003</v>
      </c>
      <c r="H1267">
        <v>-0.05</v>
      </c>
      <c r="I1267">
        <v>367.14800000000002</v>
      </c>
      <c r="J1267">
        <v>-321.02620000000002</v>
      </c>
      <c r="K1267">
        <v>1.1043019999999999</v>
      </c>
      <c r="L1267">
        <v>367.63440000000003</v>
      </c>
      <c r="M1267">
        <v>0.99992919999999996</v>
      </c>
      <c r="N1267">
        <v>0</v>
      </c>
      <c r="O1267">
        <v>1.2993359999999999E-3</v>
      </c>
      <c r="P1267">
        <v>0.99458690000000005</v>
      </c>
      <c r="Q1267">
        <v>3.1642499999999997E-2</v>
      </c>
      <c r="R1267">
        <v>9.8971370000000003E-2</v>
      </c>
      <c r="S1267">
        <v>3.02597</v>
      </c>
      <c r="T1267">
        <v>-0.13168569999999999</v>
      </c>
      <c r="U1267">
        <v>-5.5450439999999997E-2</v>
      </c>
      <c r="V1267">
        <v>-9.7673049999999997E-2</v>
      </c>
      <c r="W1267">
        <v>4.3420309999999997E-2</v>
      </c>
      <c r="X1267">
        <v>0.99427089999999996</v>
      </c>
      <c r="Y1267">
        <v>1.9601190000000001E-2</v>
      </c>
      <c r="Z1267">
        <v>-4.8278760000000003E-4</v>
      </c>
      <c r="AA1267">
        <v>0.99980780000000002</v>
      </c>
      <c r="AB1267">
        <v>22</v>
      </c>
      <c r="AC1267">
        <v>26.356699999999901</v>
      </c>
      <c r="AD1267">
        <v>-1.1543019999999999</v>
      </c>
      <c r="AE1267">
        <v>-0.486400000000003</v>
      </c>
      <c r="AF1267">
        <v>0.51965182265107601</v>
      </c>
      <c r="AG1267">
        <v>-1.1543019999999999</v>
      </c>
      <c r="AH1267">
        <v>26.305607773096401</v>
      </c>
      <c r="AI1267">
        <v>92.512063509353197</v>
      </c>
      <c r="AJ1267">
        <v>88.868302741148796</v>
      </c>
      <c r="AK1267">
        <v>26.3360485159786</v>
      </c>
      <c r="AL1267">
        <v>87.511417073245795</v>
      </c>
      <c r="AM1267">
        <v>95.610498353897597</v>
      </c>
      <c r="AN1267">
        <v>0.99999998530180401</v>
      </c>
    </row>
    <row r="1268" spans="1:40" x14ac:dyDescent="0.3">
      <c r="A1268" t="str">
        <f>"20200111145936884"</f>
        <v>20200111145936884</v>
      </c>
      <c r="B1268" t="str">
        <f>"1578725976876731"</f>
        <v>1578725976876731</v>
      </c>
      <c r="C1268" t="s">
        <v>40</v>
      </c>
      <c r="D1268">
        <v>4.2764490000000004</v>
      </c>
      <c r="E1268">
        <v>0.54428739999999998</v>
      </c>
      <c r="F1268" t="s">
        <v>43</v>
      </c>
      <c r="G1268">
        <v>-290.22559999999999</v>
      </c>
      <c r="H1268">
        <v>-0.05</v>
      </c>
      <c r="I1268">
        <v>367.07889999999998</v>
      </c>
      <c r="J1268">
        <v>-320.91019999999997</v>
      </c>
      <c r="K1268">
        <v>1.104147</v>
      </c>
      <c r="L1268">
        <v>367.6345</v>
      </c>
      <c r="M1268">
        <v>0.99993270000000001</v>
      </c>
      <c r="N1268">
        <v>0</v>
      </c>
      <c r="O1268">
        <v>1.263969E-3</v>
      </c>
      <c r="P1268">
        <v>0.99457379999999995</v>
      </c>
      <c r="Q1268">
        <v>3.2704160000000003E-2</v>
      </c>
      <c r="R1268">
        <v>9.8760280000000006E-2</v>
      </c>
      <c r="S1268">
        <v>3.02536</v>
      </c>
      <c r="T1268">
        <v>-0.1133806</v>
      </c>
      <c r="U1268">
        <v>-5.4565429999999998E-2</v>
      </c>
      <c r="V1268">
        <v>-9.7497169999999994E-2</v>
      </c>
      <c r="W1268">
        <v>4.4195869999999998E-2</v>
      </c>
      <c r="X1268">
        <v>0.99425399999999997</v>
      </c>
      <c r="Y1268">
        <v>1.9282489999999999E-2</v>
      </c>
      <c r="Z1268">
        <v>-4.0851830000000002E-4</v>
      </c>
      <c r="AA1268">
        <v>0.99981399999999998</v>
      </c>
      <c r="AB1268">
        <v>22</v>
      </c>
      <c r="AC1268">
        <v>30.6845999999999</v>
      </c>
      <c r="AD1268">
        <v>-1.154147</v>
      </c>
      <c r="AE1268">
        <v>-0.55560000000002596</v>
      </c>
      <c r="AF1268">
        <v>0.59354707004805296</v>
      </c>
      <c r="AG1268">
        <v>-1.154147</v>
      </c>
      <c r="AH1268">
        <v>30.640538521791999</v>
      </c>
      <c r="AI1268">
        <v>92.156754454711304</v>
      </c>
      <c r="AJ1268">
        <v>88.890245051711702</v>
      </c>
      <c r="AK1268">
        <v>30.668011906991801</v>
      </c>
      <c r="AL1268">
        <v>87.466938079360801</v>
      </c>
      <c r="AM1268">
        <v>95.6005543963809</v>
      </c>
      <c r="AN1268">
        <v>0.99999999479953205</v>
      </c>
    </row>
    <row r="1269" spans="1:40" x14ac:dyDescent="0.3">
      <c r="A1269" t="str">
        <f>"20200111145936895"</f>
        <v>20200111145936895</v>
      </c>
      <c r="B1269" t="str">
        <f>"1578725976887466"</f>
        <v>1578725976887466</v>
      </c>
      <c r="C1269" t="s">
        <v>40</v>
      </c>
      <c r="D1269">
        <v>4.4089269999999896</v>
      </c>
      <c r="E1269">
        <v>0.54386669999999904</v>
      </c>
      <c r="F1269" t="s">
        <v>43</v>
      </c>
      <c r="G1269">
        <v>-286.74400000000003</v>
      </c>
      <c r="H1269">
        <v>-0.05</v>
      </c>
      <c r="I1269">
        <v>367.0265</v>
      </c>
      <c r="J1269">
        <v>-320.79759999999999</v>
      </c>
      <c r="K1269">
        <v>1.1039779999999999</v>
      </c>
      <c r="L1269">
        <v>367.63459999999998</v>
      </c>
      <c r="M1269">
        <v>0.99993410000000005</v>
      </c>
      <c r="N1269">
        <v>0</v>
      </c>
      <c r="O1269">
        <v>1.2296309999999999E-3</v>
      </c>
      <c r="P1269">
        <v>0.99459120000000001</v>
      </c>
      <c r="Q1269">
        <v>3.3515259999999998E-2</v>
      </c>
      <c r="R1269">
        <v>9.8312479999999994E-2</v>
      </c>
      <c r="S1269">
        <v>3.0251160000000001</v>
      </c>
      <c r="T1269">
        <v>-0.1021893</v>
      </c>
      <c r="U1269">
        <v>-5.3833010000000001E-2</v>
      </c>
      <c r="V1269">
        <v>-9.7083589999999997E-2</v>
      </c>
      <c r="W1269">
        <v>4.4886589999999997E-2</v>
      </c>
      <c r="X1269">
        <v>0.99426349999999997</v>
      </c>
      <c r="Y1269">
        <v>1.90105E-2</v>
      </c>
      <c r="Z1269">
        <v>-3.6249820000000001E-4</v>
      </c>
      <c r="AA1269">
        <v>0.99981920000000002</v>
      </c>
      <c r="AB1269">
        <v>22</v>
      </c>
      <c r="AC1269">
        <v>34.053599999999904</v>
      </c>
      <c r="AD1269">
        <v>-1.1539779999999999</v>
      </c>
      <c r="AE1269">
        <v>-0.60809999999997899</v>
      </c>
      <c r="AF1269">
        <v>0.64923033347815196</v>
      </c>
      <c r="AG1269">
        <v>-1.1539779999999999</v>
      </c>
      <c r="AH1269">
        <v>34.013779666785602</v>
      </c>
      <c r="AI1269">
        <v>91.942762381995607</v>
      </c>
      <c r="AJ1269">
        <v>88.906512537051896</v>
      </c>
      <c r="AK1269">
        <v>34.039541308176197</v>
      </c>
      <c r="AL1269">
        <v>87.427323353938107</v>
      </c>
      <c r="AM1269">
        <v>95.576894154232903</v>
      </c>
      <c r="AN1269">
        <v>0.99999996842068195</v>
      </c>
    </row>
    <row r="1270" spans="1:40" x14ac:dyDescent="0.3">
      <c r="A1270" t="str">
        <f>"20200111145936907"</f>
        <v>20200111145936907</v>
      </c>
      <c r="B1270" t="str">
        <f>"1578725976897226"</f>
        <v>1578725976897226</v>
      </c>
      <c r="C1270" t="s">
        <v>40</v>
      </c>
      <c r="D1270">
        <v>4.3317249999999996</v>
      </c>
      <c r="E1270">
        <v>0.54336110000000004</v>
      </c>
      <c r="F1270" t="s">
        <v>43</v>
      </c>
      <c r="G1270">
        <v>-283.12439999999998</v>
      </c>
      <c r="H1270">
        <v>-0.05</v>
      </c>
      <c r="I1270">
        <v>366.98910000000001</v>
      </c>
      <c r="J1270">
        <v>-320.68579999999997</v>
      </c>
      <c r="K1270">
        <v>1.1037779999999999</v>
      </c>
      <c r="L1270">
        <v>367.63470000000001</v>
      </c>
      <c r="M1270">
        <v>0.99993370000000004</v>
      </c>
      <c r="N1270">
        <v>0</v>
      </c>
      <c r="O1270">
        <v>1.195675E-3</v>
      </c>
      <c r="P1270">
        <v>0.99459710000000001</v>
      </c>
      <c r="Q1270">
        <v>3.4304500000000002E-2</v>
      </c>
      <c r="R1270">
        <v>9.7978960000000004E-2</v>
      </c>
      <c r="S1270">
        <v>3.024597</v>
      </c>
      <c r="T1270">
        <v>-9.2647080000000007E-2</v>
      </c>
      <c r="U1270">
        <v>-5.181885E-2</v>
      </c>
      <c r="V1270">
        <v>-9.6783599999999997E-2</v>
      </c>
      <c r="W1270">
        <v>4.5723529999999998E-2</v>
      </c>
      <c r="X1270">
        <v>0.99425459999999999</v>
      </c>
      <c r="Y1270">
        <v>1.831638E-2</v>
      </c>
      <c r="Z1270">
        <v>-3.170564E-4</v>
      </c>
      <c r="AA1270">
        <v>0.99983219999999995</v>
      </c>
      <c r="AB1270">
        <v>22</v>
      </c>
      <c r="AC1270">
        <v>37.5613999999999</v>
      </c>
      <c r="AD1270">
        <v>-1.153778</v>
      </c>
      <c r="AE1270">
        <v>-0.64560000000000095</v>
      </c>
      <c r="AF1270">
        <v>0.68986298903937404</v>
      </c>
      <c r="AG1270">
        <v>-1.153778</v>
      </c>
      <c r="AH1270">
        <v>37.525205040374502</v>
      </c>
      <c r="AI1270">
        <v>91.760806699880405</v>
      </c>
      <c r="AJ1270">
        <v>88.946793610694201</v>
      </c>
      <c r="AK1270">
        <v>37.549275997535197</v>
      </c>
      <c r="AL1270">
        <v>87.379320905082295</v>
      </c>
      <c r="AM1270">
        <v>95.559819047298305</v>
      </c>
      <c r="AN1270">
        <v>0.99999995802288899</v>
      </c>
    </row>
    <row r="1271" spans="1:40" x14ac:dyDescent="0.3">
      <c r="A1271" t="str">
        <f>"20200111145936919"</f>
        <v>20200111145936919</v>
      </c>
      <c r="B1271" t="str">
        <f>"1578725976906986"</f>
        <v>1578725976906986</v>
      </c>
      <c r="C1271" t="s">
        <v>40</v>
      </c>
      <c r="D1271">
        <v>4.3537169999999996</v>
      </c>
      <c r="E1271">
        <v>0.542825</v>
      </c>
      <c r="F1271" t="s">
        <v>43</v>
      </c>
      <c r="G1271">
        <v>-281.87240000000003</v>
      </c>
      <c r="H1271">
        <v>-0.05</v>
      </c>
      <c r="I1271">
        <v>367.01069999999999</v>
      </c>
      <c r="J1271">
        <v>-320.56670000000003</v>
      </c>
      <c r="K1271">
        <v>1.1035489999999999</v>
      </c>
      <c r="L1271">
        <v>367.63479999999998</v>
      </c>
      <c r="M1271">
        <v>0.99993160000000003</v>
      </c>
      <c r="N1271">
        <v>0</v>
      </c>
      <c r="O1271">
        <v>1.1596039999999901E-3</v>
      </c>
      <c r="P1271">
        <v>0.99459580000000003</v>
      </c>
      <c r="Q1271">
        <v>3.4954470000000001E-2</v>
      </c>
      <c r="R1271">
        <v>9.7762769999999999E-2</v>
      </c>
      <c r="S1271">
        <v>3.0241699999999998</v>
      </c>
      <c r="T1271">
        <v>-8.9897270000000001E-2</v>
      </c>
      <c r="U1271">
        <v>-4.8614499999999998E-2</v>
      </c>
      <c r="V1271">
        <v>-9.6603560000000005E-2</v>
      </c>
      <c r="W1271">
        <v>4.6547110000000003E-2</v>
      </c>
      <c r="X1271">
        <v>0.99423399999999995</v>
      </c>
      <c r="Y1271">
        <v>1.7224650000000001E-2</v>
      </c>
      <c r="Z1271">
        <v>-2.9040240000000002E-4</v>
      </c>
      <c r="AA1271">
        <v>0.99985159999999995</v>
      </c>
      <c r="AB1271">
        <v>22</v>
      </c>
      <c r="AC1271">
        <v>38.694299999999998</v>
      </c>
      <c r="AD1271">
        <v>-1.1535489999999999</v>
      </c>
      <c r="AE1271">
        <v>-0.62409999999999799</v>
      </c>
      <c r="AF1271">
        <v>0.66837881941891297</v>
      </c>
      <c r="AG1271">
        <v>-1.1535489999999999</v>
      </c>
      <c r="AH1271">
        <v>38.659200913152702</v>
      </c>
      <c r="AI1271">
        <v>91.708882113169807</v>
      </c>
      <c r="AJ1271">
        <v>89.009512104723697</v>
      </c>
      <c r="AK1271">
        <v>38.682182213328602</v>
      </c>
      <c r="AL1271">
        <v>87.332083227599895</v>
      </c>
      <c r="AM1271">
        <v>95.549655380427097</v>
      </c>
      <c r="AN1271">
        <v>1.00000006400501</v>
      </c>
    </row>
    <row r="1272" spans="1:40" x14ac:dyDescent="0.3">
      <c r="A1272" t="str">
        <f>"20200111145936930"</f>
        <v>20200111145936930</v>
      </c>
      <c r="B1272" t="str">
        <f>"1578725976926505"</f>
        <v>1578725976926505</v>
      </c>
      <c r="C1272" t="s">
        <v>40</v>
      </c>
      <c r="D1272">
        <v>4.2598250000000002</v>
      </c>
      <c r="E1272">
        <v>0.54159669999999904</v>
      </c>
      <c r="F1272" t="s">
        <v>43</v>
      </c>
      <c r="G1272">
        <v>-281.0752</v>
      </c>
      <c r="H1272">
        <v>-0.05</v>
      </c>
      <c r="I1272">
        <v>367.04570000000001</v>
      </c>
      <c r="J1272">
        <v>-320.46249999999998</v>
      </c>
      <c r="K1272">
        <v>1.1032660000000001</v>
      </c>
      <c r="L1272">
        <v>367.63490000000002</v>
      </c>
      <c r="M1272">
        <v>0.99992800000000004</v>
      </c>
      <c r="N1272">
        <v>0</v>
      </c>
      <c r="O1272">
        <v>1.129192E-3</v>
      </c>
      <c r="P1272">
        <v>0.99456089999999997</v>
      </c>
      <c r="Q1272">
        <v>3.5752579999999999E-2</v>
      </c>
      <c r="R1272">
        <v>9.78295E-2</v>
      </c>
      <c r="S1272">
        <v>3.0238339999999999</v>
      </c>
      <c r="T1272">
        <v>-8.8326450000000001E-2</v>
      </c>
      <c r="U1272">
        <v>-4.5104980000000003E-2</v>
      </c>
      <c r="V1272">
        <v>-9.6699919999999995E-2</v>
      </c>
      <c r="W1272">
        <v>4.7662139999999999E-2</v>
      </c>
      <c r="X1272">
        <v>0.99417169999999999</v>
      </c>
      <c r="Y1272">
        <v>1.603665E-2</v>
      </c>
      <c r="Z1272">
        <v>-2.6713030000000002E-4</v>
      </c>
      <c r="AA1272">
        <v>0.99987139999999997</v>
      </c>
      <c r="AB1272">
        <v>22</v>
      </c>
      <c r="AC1272">
        <v>39.387299999999897</v>
      </c>
      <c r="AD1272">
        <v>-1.1532659999999999</v>
      </c>
      <c r="AE1272">
        <v>-0.58920000000000505</v>
      </c>
      <c r="AF1272">
        <v>0.63313593933612</v>
      </c>
      <c r="AG1272">
        <v>-1.1532659999999999</v>
      </c>
      <c r="AH1272">
        <v>39.352878776552501</v>
      </c>
      <c r="AI1272">
        <v>91.678398811233293</v>
      </c>
      <c r="AJ1272">
        <v>89.078265965990198</v>
      </c>
      <c r="AK1272">
        <v>39.374864464356897</v>
      </c>
      <c r="AL1272">
        <v>87.268125440032307</v>
      </c>
      <c r="AM1272">
        <v>95.5555023718115</v>
      </c>
      <c r="AN1272">
        <v>0.99999996159913696</v>
      </c>
    </row>
    <row r="1273" spans="1:40" x14ac:dyDescent="0.3">
      <c r="A1273" t="str">
        <f>"20200111145936942"</f>
        <v>20200111145936942</v>
      </c>
      <c r="B1273" t="str">
        <f>"1578725976937242"</f>
        <v>1578725976937242</v>
      </c>
      <c r="C1273" t="s">
        <v>40</v>
      </c>
      <c r="D1273">
        <v>4.2009359999999996</v>
      </c>
      <c r="E1273">
        <v>0.54136719999999905</v>
      </c>
      <c r="F1273" t="s">
        <v>43</v>
      </c>
      <c r="G1273">
        <v>-280.11329999999998</v>
      </c>
      <c r="H1273">
        <v>-0.05</v>
      </c>
      <c r="I1273">
        <v>367.166</v>
      </c>
      <c r="J1273">
        <v>-320.34399999999999</v>
      </c>
      <c r="K1273">
        <v>1.102922</v>
      </c>
      <c r="L1273">
        <v>367.63499999999999</v>
      </c>
      <c r="M1273">
        <v>0.99992300000000001</v>
      </c>
      <c r="N1273">
        <v>0</v>
      </c>
      <c r="O1273">
        <v>1.0951380000000001E-3</v>
      </c>
      <c r="P1273">
        <v>0.99453349999999996</v>
      </c>
      <c r="Q1273">
        <v>3.6588950000000002E-2</v>
      </c>
      <c r="R1273">
        <v>9.7797889999999998E-2</v>
      </c>
      <c r="S1273">
        <v>3.02298</v>
      </c>
      <c r="T1273">
        <v>-8.6403369999999993E-2</v>
      </c>
      <c r="U1273">
        <v>-3.5125730000000001E-2</v>
      </c>
      <c r="V1273">
        <v>-9.6701700000000002E-2</v>
      </c>
      <c r="W1273">
        <v>4.8902849999999998E-2</v>
      </c>
      <c r="X1273">
        <v>0.99411130000000003</v>
      </c>
      <c r="Y1273">
        <v>1.2708290000000001E-2</v>
      </c>
      <c r="Z1273">
        <v>-2.128686E-4</v>
      </c>
      <c r="AA1273">
        <v>0.99991920000000001</v>
      </c>
      <c r="AB1273">
        <v>22</v>
      </c>
      <c r="AC1273">
        <v>40.230699999999999</v>
      </c>
      <c r="AD1273">
        <v>-1.152922</v>
      </c>
      <c r="AE1273">
        <v>-0.46899999999999398</v>
      </c>
      <c r="AF1273">
        <v>0.51264029572437597</v>
      </c>
      <c r="AG1273">
        <v>-1.152922</v>
      </c>
      <c r="AH1273">
        <v>40.197154079273602</v>
      </c>
      <c r="AI1273">
        <v>91.642755426120999</v>
      </c>
      <c r="AJ1273">
        <v>89.269337996852499</v>
      </c>
      <c r="AK1273">
        <v>40.216951964112702</v>
      </c>
      <c r="AL1273">
        <v>87.196955067144501</v>
      </c>
      <c r="AM1273">
        <v>95.555939428984402</v>
      </c>
      <c r="AN1273">
        <v>0.99999999215435098</v>
      </c>
    </row>
    <row r="1274" spans="1:40" x14ac:dyDescent="0.3">
      <c r="A1274" t="str">
        <f>"20200111145936953"</f>
        <v>20200111145936953</v>
      </c>
      <c r="B1274" t="str">
        <f>"1578725976947003"</f>
        <v>1578725976947003</v>
      </c>
      <c r="C1274" t="s">
        <v>40</v>
      </c>
      <c r="D1274">
        <v>4.1837960000000001</v>
      </c>
      <c r="E1274">
        <v>0.54116330000000001</v>
      </c>
      <c r="F1274" t="s">
        <v>43</v>
      </c>
      <c r="G1274">
        <v>-279.31099999999998</v>
      </c>
      <c r="H1274">
        <v>-0.05</v>
      </c>
      <c r="I1274">
        <v>367.18090000000001</v>
      </c>
      <c r="J1274">
        <v>-320.21980000000002</v>
      </c>
      <c r="K1274">
        <v>1.1024389999999999</v>
      </c>
      <c r="L1274">
        <v>367.63510000000002</v>
      </c>
      <c r="M1274">
        <v>0.99991540000000001</v>
      </c>
      <c r="N1274">
        <v>0</v>
      </c>
      <c r="O1274">
        <v>1.062973E-3</v>
      </c>
      <c r="P1274">
        <v>0.99450660000000002</v>
      </c>
      <c r="Q1274">
        <v>3.7408329999999997E-2</v>
      </c>
      <c r="R1274">
        <v>9.7762890000000005E-2</v>
      </c>
      <c r="S1274">
        <v>3.0229189999999999</v>
      </c>
      <c r="T1274">
        <v>-8.493626E-2</v>
      </c>
      <c r="U1274">
        <v>-3.3447270000000001E-2</v>
      </c>
      <c r="V1274">
        <v>-9.6698649999999997E-2</v>
      </c>
      <c r="W1274">
        <v>5.0324939999999999E-2</v>
      </c>
      <c r="X1274">
        <v>0.99404060000000005</v>
      </c>
      <c r="Y1274">
        <v>1.2121669999999999E-2</v>
      </c>
      <c r="Z1274">
        <v>-2.001177E-4</v>
      </c>
      <c r="AA1274">
        <v>0.99992650000000005</v>
      </c>
      <c r="AB1274">
        <v>22</v>
      </c>
      <c r="AC1274">
        <v>40.908799999999999</v>
      </c>
      <c r="AD1274">
        <v>-1.152439</v>
      </c>
      <c r="AE1274">
        <v>-0.45420000000001398</v>
      </c>
      <c r="AF1274">
        <v>0.49729374342417898</v>
      </c>
      <c r="AG1274">
        <v>-1.152439</v>
      </c>
      <c r="AH1274">
        <v>40.875858901889004</v>
      </c>
      <c r="AI1274">
        <v>91.614828985247698</v>
      </c>
      <c r="AJ1274">
        <v>89.302976675681094</v>
      </c>
      <c r="AK1274">
        <v>40.895125109028697</v>
      </c>
      <c r="AL1274">
        <v>87.115374776466396</v>
      </c>
      <c r="AM1274">
        <v>95.556157964341196</v>
      </c>
      <c r="AN1274">
        <v>0.99999997147309205</v>
      </c>
    </row>
    <row r="1275" spans="1:40" x14ac:dyDescent="0.3">
      <c r="A1275" t="str">
        <f>"20200111145936965"</f>
        <v>20200111145936965</v>
      </c>
      <c r="B1275" t="str">
        <f>"1578725976956763"</f>
        <v>1578725976956763</v>
      </c>
      <c r="C1275" t="s">
        <v>40</v>
      </c>
      <c r="D1275">
        <v>4.3245760000000004</v>
      </c>
      <c r="E1275">
        <v>0.54133100000000001</v>
      </c>
      <c r="F1275" t="s">
        <v>43</v>
      </c>
      <c r="G1275">
        <v>-279.07429999999999</v>
      </c>
      <c r="H1275">
        <v>-0.05</v>
      </c>
      <c r="I1275">
        <v>367.20139999999998</v>
      </c>
      <c r="J1275">
        <v>-320.10359999999997</v>
      </c>
      <c r="K1275">
        <v>1.10195</v>
      </c>
      <c r="L1275">
        <v>367.6352</v>
      </c>
      <c r="M1275">
        <v>0.99990630000000003</v>
      </c>
      <c r="N1275">
        <v>0</v>
      </c>
      <c r="O1275">
        <v>1.0337580000000001E-3</v>
      </c>
      <c r="P1275">
        <v>0.9944752</v>
      </c>
      <c r="Q1275">
        <v>3.8264529999999998E-2</v>
      </c>
      <c r="R1275">
        <v>9.7749900000000001E-2</v>
      </c>
      <c r="S1275">
        <v>3.0228579999999998</v>
      </c>
      <c r="T1275">
        <v>-8.4666729999999996E-2</v>
      </c>
      <c r="U1275">
        <v>-3.1860350000000003E-2</v>
      </c>
      <c r="V1275">
        <v>-9.671428E-2</v>
      </c>
      <c r="W1275">
        <v>5.1856439999999997E-2</v>
      </c>
      <c r="X1275">
        <v>0.99396039999999997</v>
      </c>
      <c r="Y1275">
        <v>1.156808E-2</v>
      </c>
      <c r="Z1275">
        <v>-1.9091860000000001E-4</v>
      </c>
      <c r="AA1275">
        <v>0.99993310000000002</v>
      </c>
      <c r="AB1275">
        <v>22</v>
      </c>
      <c r="AC1275">
        <v>41.0292999999999</v>
      </c>
      <c r="AD1275">
        <v>-1.15195</v>
      </c>
      <c r="AE1275">
        <v>-0.433800000000019</v>
      </c>
      <c r="AF1275">
        <v>0.47584303284922602</v>
      </c>
      <c r="AG1275">
        <v>-1.15195</v>
      </c>
      <c r="AH1275">
        <v>40.9965165738951</v>
      </c>
      <c r="AI1275">
        <v>91.609406717008497</v>
      </c>
      <c r="AJ1275">
        <v>89.335002689497998</v>
      </c>
      <c r="AK1275">
        <v>41.0154578980666</v>
      </c>
      <c r="AL1275">
        <v>87.027511644416705</v>
      </c>
      <c r="AM1275">
        <v>95.5574959960055</v>
      </c>
      <c r="AN1275">
        <v>1.00000000954677</v>
      </c>
    </row>
    <row r="1276" spans="1:40" x14ac:dyDescent="0.3">
      <c r="A1276" t="str">
        <f>"20200111145936977"</f>
        <v>20200111145936977</v>
      </c>
      <c r="B1276" t="str">
        <f>"1578725976966523"</f>
        <v>1578725976966523</v>
      </c>
      <c r="C1276" t="s">
        <v>40</v>
      </c>
      <c r="D1276">
        <v>4.3268089999999999</v>
      </c>
      <c r="E1276">
        <v>0.54147369999999995</v>
      </c>
      <c r="F1276" t="s">
        <v>43</v>
      </c>
      <c r="G1276">
        <v>-278.8098</v>
      </c>
      <c r="H1276">
        <v>-0.05</v>
      </c>
      <c r="I1276">
        <v>367.17959999999999</v>
      </c>
      <c r="J1276">
        <v>-319.98360000000002</v>
      </c>
      <c r="K1276">
        <v>1.101391</v>
      </c>
      <c r="L1276">
        <v>367.63529999999997</v>
      </c>
      <c r="M1276">
        <v>0.99989439999999996</v>
      </c>
      <c r="N1276">
        <v>0</v>
      </c>
      <c r="O1276">
        <v>1.0047400000000001E-3</v>
      </c>
      <c r="P1276">
        <v>0.99449639999999995</v>
      </c>
      <c r="Q1276">
        <v>3.8894030000000003E-2</v>
      </c>
      <c r="R1276">
        <v>9.7284869999999996E-2</v>
      </c>
      <c r="S1276">
        <v>3.023193</v>
      </c>
      <c r="T1276">
        <v>-8.4336399999999895E-2</v>
      </c>
      <c r="U1276">
        <v>-3.3355709999999997E-2</v>
      </c>
      <c r="V1276">
        <v>-9.6277390000000004E-2</v>
      </c>
      <c r="W1276">
        <v>5.3331160000000002E-2</v>
      </c>
      <c r="X1276">
        <v>0.99392480000000005</v>
      </c>
      <c r="Y1276">
        <v>1.2032309999999999E-2</v>
      </c>
      <c r="Z1276">
        <v>-1.9581700000000001E-4</v>
      </c>
      <c r="AA1276">
        <v>0.99992760000000003</v>
      </c>
      <c r="AB1276">
        <v>22</v>
      </c>
      <c r="AC1276">
        <v>41.1738</v>
      </c>
      <c r="AD1276">
        <v>-1.1513910000000001</v>
      </c>
      <c r="AE1276">
        <v>-0.45569999999997801</v>
      </c>
      <c r="AF1276">
        <v>0.49668472467880098</v>
      </c>
      <c r="AG1276">
        <v>-1.1513910000000001</v>
      </c>
      <c r="AH1276">
        <v>41.141153085425998</v>
      </c>
      <c r="AI1276">
        <v>91.602964949285095</v>
      </c>
      <c r="AJ1276">
        <v>89.308318948848793</v>
      </c>
      <c r="AK1276">
        <v>41.160258431514599</v>
      </c>
      <c r="AL1276">
        <v>86.942899358294895</v>
      </c>
      <c r="AM1276">
        <v>95.532744016865394</v>
      </c>
      <c r="AN1276">
        <v>1.0000000282535899</v>
      </c>
    </row>
    <row r="1277" spans="1:40" x14ac:dyDescent="0.3">
      <c r="A1277" t="str">
        <f>"20200111145936990"</f>
        <v>20200111145936990</v>
      </c>
      <c r="B1277" t="str">
        <f>"1578725976987018"</f>
        <v>1578725976987018</v>
      </c>
      <c r="C1277" t="s">
        <v>40</v>
      </c>
      <c r="D1277">
        <v>4.2310169999999996</v>
      </c>
      <c r="E1277">
        <v>0.54084370000000004</v>
      </c>
      <c r="F1277" t="s">
        <v>43</v>
      </c>
      <c r="G1277">
        <v>-278.66950000000003</v>
      </c>
      <c r="H1277">
        <v>-0.05</v>
      </c>
      <c r="I1277">
        <v>367.1465</v>
      </c>
      <c r="J1277">
        <v>-319.86070000000001</v>
      </c>
      <c r="K1277">
        <v>1.1007549999999999</v>
      </c>
      <c r="L1277">
        <v>367.6354</v>
      </c>
      <c r="M1277">
        <v>0.99987879999999996</v>
      </c>
      <c r="N1277">
        <v>0</v>
      </c>
      <c r="O1277">
        <v>9.742803E-4</v>
      </c>
      <c r="P1277">
        <v>0.99453429999999998</v>
      </c>
      <c r="Q1277">
        <v>3.9419349999999999E-2</v>
      </c>
      <c r="R1277">
        <v>9.668591E-2</v>
      </c>
      <c r="S1277">
        <v>3.0234070000000002</v>
      </c>
      <c r="T1277">
        <v>-8.4259870000000001E-2</v>
      </c>
      <c r="U1277">
        <v>-3.5766600000000003E-2</v>
      </c>
      <c r="V1277">
        <v>-9.5708589999999996E-2</v>
      </c>
      <c r="W1277">
        <v>5.4894320000000003E-2</v>
      </c>
      <c r="X1277">
        <v>0.99389459999999996</v>
      </c>
      <c r="Y1277">
        <v>1.279805E-2</v>
      </c>
      <c r="Z1277">
        <v>-2.0544420000000001E-4</v>
      </c>
      <c r="AA1277">
        <v>0.99991810000000003</v>
      </c>
      <c r="AB1277">
        <v>22</v>
      </c>
      <c r="AC1277">
        <v>41.191199999999903</v>
      </c>
      <c r="AD1277">
        <v>-1.150755</v>
      </c>
      <c r="AE1277">
        <v>-0.488900000000001</v>
      </c>
      <c r="AF1277">
        <v>0.52862387054084903</v>
      </c>
      <c r="AG1277">
        <v>-1.150755</v>
      </c>
      <c r="AH1277">
        <v>41.158585498540603</v>
      </c>
      <c r="AI1277">
        <v>91.601386407736896</v>
      </c>
      <c r="AJ1277">
        <v>89.264157134624199</v>
      </c>
      <c r="AK1277">
        <v>41.178062612357202</v>
      </c>
      <c r="AL1277">
        <v>86.853205369763202</v>
      </c>
      <c r="AM1277">
        <v>95.5004240996454</v>
      </c>
      <c r="AN1277">
        <v>0.99999999823860497</v>
      </c>
    </row>
    <row r="1278" spans="1:40" x14ac:dyDescent="0.3">
      <c r="A1278" t="str">
        <f>"20200111145937003"</f>
        <v>20200111145937003</v>
      </c>
      <c r="B1278" t="str">
        <f>"1578725976996778"</f>
        <v>1578725976996778</v>
      </c>
      <c r="C1278" t="s">
        <v>40</v>
      </c>
      <c r="D1278">
        <v>4.3931570000000004</v>
      </c>
      <c r="E1278">
        <v>0.54072469999999995</v>
      </c>
      <c r="F1278" t="s">
        <v>43</v>
      </c>
      <c r="G1278">
        <v>-281.19299999999998</v>
      </c>
      <c r="H1278">
        <v>-0.05</v>
      </c>
      <c r="I1278">
        <v>367.21809999999999</v>
      </c>
      <c r="J1278">
        <v>-319.7269</v>
      </c>
      <c r="K1278">
        <v>1.1000160000000001</v>
      </c>
      <c r="L1278">
        <v>367.63549999999998</v>
      </c>
      <c r="M1278">
        <v>0.99985919999999895</v>
      </c>
      <c r="N1278">
        <v>0</v>
      </c>
      <c r="O1278">
        <v>9.3996520000000003E-4</v>
      </c>
      <c r="P1278">
        <v>0.99465570000000003</v>
      </c>
      <c r="Q1278">
        <v>4.0054489999999998E-2</v>
      </c>
      <c r="R1278">
        <v>9.5163570000000003E-2</v>
      </c>
      <c r="S1278">
        <v>3.0232239999999999</v>
      </c>
      <c r="T1278">
        <v>-8.9971419999999996E-2</v>
      </c>
      <c r="U1278">
        <v>-3.2623289999999999E-2</v>
      </c>
      <c r="V1278">
        <v>-9.4220090000000006E-2</v>
      </c>
      <c r="W1278">
        <v>5.6734899999999998E-2</v>
      </c>
      <c r="X1278">
        <v>0.99393339999999997</v>
      </c>
      <c r="Y1278">
        <v>1.1724699999999999E-2</v>
      </c>
      <c r="Z1278">
        <v>-2.0239079999999999E-4</v>
      </c>
      <c r="AA1278">
        <v>0.99993120000000002</v>
      </c>
      <c r="AB1278">
        <v>22</v>
      </c>
      <c r="AC1278">
        <v>38.533900000000003</v>
      </c>
      <c r="AD1278">
        <v>-1.1500159999999999</v>
      </c>
      <c r="AE1278">
        <v>-0.417399999999986</v>
      </c>
      <c r="AF1278">
        <v>0.45322179678039398</v>
      </c>
      <c r="AG1278">
        <v>-1.1500159999999999</v>
      </c>
      <c r="AH1278">
        <v>38.499204116956101</v>
      </c>
      <c r="AI1278">
        <v>91.710864316228495</v>
      </c>
      <c r="AJ1278">
        <v>89.3255315986044</v>
      </c>
      <c r="AK1278">
        <v>38.519042880585502</v>
      </c>
      <c r="AL1278">
        <v>86.747583046471107</v>
      </c>
      <c r="AM1278">
        <v>95.415181599155005</v>
      </c>
      <c r="AN1278">
        <v>0.99999993893658701</v>
      </c>
    </row>
    <row r="1279" spans="1:40" x14ac:dyDescent="0.3">
      <c r="A1279" t="str">
        <f>"20200111145937018"</f>
        <v>20200111145937018</v>
      </c>
      <c r="B1279" t="str">
        <f>"1578725977006538"</f>
        <v>1578725977006538</v>
      </c>
      <c r="C1279" t="s">
        <v>40</v>
      </c>
      <c r="D1279">
        <v>4.3194879999999998</v>
      </c>
      <c r="E1279">
        <v>0.54049169999999902</v>
      </c>
      <c r="F1279" t="s">
        <v>43</v>
      </c>
      <c r="G1279">
        <v>-281.3134</v>
      </c>
      <c r="H1279">
        <v>-0.05</v>
      </c>
      <c r="I1279">
        <v>367.17360000000002</v>
      </c>
      <c r="J1279">
        <v>-319.58519999999999</v>
      </c>
      <c r="K1279">
        <v>1.099167</v>
      </c>
      <c r="L1279">
        <v>367.63560000000001</v>
      </c>
      <c r="M1279">
        <v>0.99983540000000004</v>
      </c>
      <c r="N1279">
        <v>0</v>
      </c>
      <c r="O1279">
        <v>9.0175159999999999E-4</v>
      </c>
      <c r="P1279">
        <v>0.99483290000000002</v>
      </c>
      <c r="Q1279">
        <v>4.2872880000000002E-2</v>
      </c>
      <c r="R1279">
        <v>9.2031139999999997E-2</v>
      </c>
      <c r="S1279">
        <v>3.023285</v>
      </c>
      <c r="T1279">
        <v>-9.0510489999999999E-2</v>
      </c>
      <c r="U1279">
        <v>-3.6346440000000001E-2</v>
      </c>
      <c r="V1279">
        <v>-9.1125150000000002E-2</v>
      </c>
      <c r="W1279">
        <v>6.0903810000000003E-2</v>
      </c>
      <c r="X1279">
        <v>0.99397530000000001</v>
      </c>
      <c r="Y1279">
        <v>1.291694E-2</v>
      </c>
      <c r="Z1279">
        <v>-2.202959E-4</v>
      </c>
      <c r="AA1279">
        <v>0.99991660000000004</v>
      </c>
      <c r="AB1279">
        <v>22</v>
      </c>
      <c r="AC1279">
        <v>38.271799999999899</v>
      </c>
      <c r="AD1279">
        <v>-1.149167</v>
      </c>
      <c r="AE1279">
        <v>-0.46199999999998898</v>
      </c>
      <c r="AF1279">
        <v>0.49606995054549702</v>
      </c>
      <c r="AG1279">
        <v>-1.149167</v>
      </c>
      <c r="AH1279">
        <v>38.236898819355901</v>
      </c>
      <c r="AI1279">
        <v>91.721297298778893</v>
      </c>
      <c r="AJ1279">
        <v>89.256709594654197</v>
      </c>
      <c r="AK1279">
        <v>38.257379700018497</v>
      </c>
      <c r="AL1279">
        <v>86.508307787743206</v>
      </c>
      <c r="AM1279">
        <v>95.238090422712702</v>
      </c>
      <c r="AN1279">
        <v>0.99999998202256402</v>
      </c>
    </row>
    <row r="1280" spans="1:40" x14ac:dyDescent="0.3">
      <c r="A1280" t="str">
        <f>"20200111145937029"</f>
        <v>20200111145937029</v>
      </c>
      <c r="B1280" t="str">
        <f>"1578725977027034"</f>
        <v>1578725977027034</v>
      </c>
      <c r="C1280" t="s">
        <v>40</v>
      </c>
      <c r="D1280">
        <v>4.2403240000000002</v>
      </c>
      <c r="E1280">
        <v>0.54009130000000005</v>
      </c>
      <c r="F1280" t="s">
        <v>43</v>
      </c>
      <c r="G1280">
        <v>-278.24439999999998</v>
      </c>
      <c r="H1280">
        <v>-0.05</v>
      </c>
      <c r="I1280">
        <v>367.03050000000002</v>
      </c>
      <c r="J1280">
        <v>-319.47410000000002</v>
      </c>
      <c r="K1280">
        <v>1.098441</v>
      </c>
      <c r="L1280">
        <v>367.63560000000001</v>
      </c>
      <c r="M1280">
        <v>0.9998165</v>
      </c>
      <c r="N1280">
        <v>0</v>
      </c>
      <c r="O1280">
        <v>8.6977080000000002E-4</v>
      </c>
      <c r="P1280">
        <v>0.9949055</v>
      </c>
      <c r="Q1280">
        <v>4.4035419999999999E-2</v>
      </c>
      <c r="R1280">
        <v>9.0686450000000002E-2</v>
      </c>
      <c r="S1280">
        <v>3.023285</v>
      </c>
      <c r="T1280">
        <v>-8.4039450000000002E-2</v>
      </c>
      <c r="U1280">
        <v>-4.4250490000000003E-2</v>
      </c>
      <c r="V1280">
        <v>-8.9811879999999997E-2</v>
      </c>
      <c r="W1280">
        <v>6.3080189999999994E-2</v>
      </c>
      <c r="X1280">
        <v>0.99395909999999998</v>
      </c>
      <c r="Y1280">
        <v>1.54985E-2</v>
      </c>
      <c r="Z1280">
        <v>-2.3953169999999999E-4</v>
      </c>
      <c r="AA1280">
        <v>0.99987979999999999</v>
      </c>
      <c r="AB1280">
        <v>22</v>
      </c>
      <c r="AC1280">
        <v>41.229700000000001</v>
      </c>
      <c r="AD1280">
        <v>-1.148441</v>
      </c>
      <c r="AE1280">
        <v>-0.60509999999999298</v>
      </c>
      <c r="AF1280">
        <v>0.640469904603167</v>
      </c>
      <c r="AG1280">
        <v>-1.148441</v>
      </c>
      <c r="AH1280">
        <v>41.197200621990497</v>
      </c>
      <c r="AI1280">
        <v>91.596609486006201</v>
      </c>
      <c r="AJ1280">
        <v>89.1093262182698</v>
      </c>
      <c r="AK1280">
        <v>41.218181152468603</v>
      </c>
      <c r="AL1280">
        <v>86.383370095263004</v>
      </c>
      <c r="AM1280">
        <v>95.163095183112006</v>
      </c>
      <c r="AN1280">
        <v>0.99999998831618997</v>
      </c>
    </row>
    <row r="1281" spans="1:40" x14ac:dyDescent="0.3">
      <c r="A1281" t="str">
        <f>"20200111145937042"</f>
        <v>20200111145937042</v>
      </c>
      <c r="B1281" t="str">
        <f>"1578725977036794"</f>
        <v>1578725977036794</v>
      </c>
      <c r="C1281" t="s">
        <v>40</v>
      </c>
      <c r="D1281">
        <v>4.699014</v>
      </c>
      <c r="E1281">
        <v>0.53967229999999999</v>
      </c>
      <c r="F1281" t="s">
        <v>42</v>
      </c>
      <c r="G1281">
        <v>-279.85210000000001</v>
      </c>
      <c r="H1281" s="1">
        <v>-7.2093569999999996E-7</v>
      </c>
      <c r="I1281">
        <v>367.04360000000003</v>
      </c>
      <c r="J1281">
        <v>-319.34269999999998</v>
      </c>
      <c r="K1281">
        <v>1.097553</v>
      </c>
      <c r="L1281">
        <v>367.63569999999999</v>
      </c>
      <c r="M1281">
        <v>0.99979359999999995</v>
      </c>
      <c r="N1281">
        <v>0</v>
      </c>
      <c r="O1281">
        <v>8.3117409999999999E-4</v>
      </c>
      <c r="P1281">
        <v>0.99497760000000002</v>
      </c>
      <c r="Q1281">
        <v>4.5084659999999999E-2</v>
      </c>
      <c r="R1281">
        <v>8.9370249999999998E-2</v>
      </c>
      <c r="S1281">
        <v>3.023193</v>
      </c>
      <c r="T1281">
        <v>-8.3811759999999999E-2</v>
      </c>
      <c r="U1281">
        <v>-4.5166020000000001E-2</v>
      </c>
      <c r="V1281">
        <v>-8.8533710000000002E-2</v>
      </c>
      <c r="W1281">
        <v>6.5290529999999999E-2</v>
      </c>
      <c r="X1281">
        <v>0.99393109999999996</v>
      </c>
      <c r="Y1281">
        <v>1.5763039999999999E-2</v>
      </c>
      <c r="Z1281">
        <v>-2.4148630000000001E-4</v>
      </c>
      <c r="AA1281">
        <v>0.99987570000000003</v>
      </c>
      <c r="AB1281">
        <v>22</v>
      </c>
      <c r="AC1281">
        <v>39.490599999999901</v>
      </c>
      <c r="AD1281">
        <v>-1.0975537209357</v>
      </c>
      <c r="AE1281">
        <v>-0.59209999999995899</v>
      </c>
      <c r="AF1281">
        <v>0.62444788474314605</v>
      </c>
      <c r="AG1281">
        <v>-1.0975537209357</v>
      </c>
      <c r="AH1281">
        <v>39.459620820095701</v>
      </c>
      <c r="AI1281">
        <v>91.593049261899694</v>
      </c>
      <c r="AJ1281">
        <v>89.093370859171799</v>
      </c>
      <c r="AK1281">
        <v>39.479820599856197</v>
      </c>
      <c r="AL1281">
        <v>86.256465471911497</v>
      </c>
      <c r="AM1281">
        <v>95.090147283477194</v>
      </c>
      <c r="AN1281">
        <v>1.00000005133062</v>
      </c>
    </row>
    <row r="1282" spans="1:40" x14ac:dyDescent="0.3">
      <c r="A1282" t="str">
        <f>"20200111145937054"</f>
        <v>20200111145937054</v>
      </c>
      <c r="B1282" t="str">
        <f>"1578725977046554"</f>
        <v>1578725977046554</v>
      </c>
      <c r="C1282" t="s">
        <v>40</v>
      </c>
      <c r="D1282">
        <v>4.4061059999999896</v>
      </c>
      <c r="E1282">
        <v>0.53967229999999999</v>
      </c>
      <c r="F1282" t="s">
        <v>43</v>
      </c>
      <c r="G1282">
        <v>-278.26620000000003</v>
      </c>
      <c r="H1282">
        <v>-0.05</v>
      </c>
      <c r="I1282">
        <v>367.01490000000001</v>
      </c>
      <c r="J1282">
        <v>-319.22230000000002</v>
      </c>
      <c r="K1282">
        <v>1.0966959999999999</v>
      </c>
      <c r="L1282">
        <v>367.63569999999999</v>
      </c>
      <c r="M1282">
        <v>0.99977369999999999</v>
      </c>
      <c r="N1282">
        <v>0</v>
      </c>
      <c r="O1282">
        <v>7.9456190000000003E-4</v>
      </c>
      <c r="P1282">
        <v>0.99504970000000004</v>
      </c>
      <c r="Q1282">
        <v>4.632319E-2</v>
      </c>
      <c r="R1282">
        <v>8.7923370000000001E-2</v>
      </c>
      <c r="S1282">
        <v>3.0231020000000002</v>
      </c>
      <c r="T1282">
        <v>-8.4456320000000001E-2</v>
      </c>
      <c r="U1282">
        <v>-4.5684809999999999E-2</v>
      </c>
      <c r="V1282">
        <v>-8.7122770000000002E-2</v>
      </c>
      <c r="W1282">
        <v>6.7481050000000001E-2</v>
      </c>
      <c r="X1282">
        <v>0.99390940000000005</v>
      </c>
      <c r="Y1282">
        <v>1.5898309999999999E-2</v>
      </c>
      <c r="Z1282">
        <v>-2.4421650000000002E-4</v>
      </c>
      <c r="AA1282">
        <v>0.99987360000000003</v>
      </c>
      <c r="AB1282">
        <v>22</v>
      </c>
      <c r="AC1282">
        <v>40.9560999999999</v>
      </c>
      <c r="AD1282">
        <v>-1.1466959999999999</v>
      </c>
      <c r="AE1282">
        <v>-0.62079999999997404</v>
      </c>
      <c r="AF1282">
        <v>0.65283767583858399</v>
      </c>
      <c r="AG1282">
        <v>-1.1466959999999999</v>
      </c>
      <c r="AH1282">
        <v>40.923521203794301</v>
      </c>
      <c r="AI1282">
        <v>91.604830195278097</v>
      </c>
      <c r="AJ1282">
        <v>89.086059314790603</v>
      </c>
      <c r="AK1282">
        <v>40.944788391989697</v>
      </c>
      <c r="AL1282">
        <v>86.130680156332403</v>
      </c>
      <c r="AM1282">
        <v>95.009551755629403</v>
      </c>
      <c r="AN1282">
        <v>0.999999982284967</v>
      </c>
    </row>
    <row r="1283" spans="1:40" x14ac:dyDescent="0.3">
      <c r="A1283" t="str">
        <f>"20200111145937066"</f>
        <v>20200111145937066</v>
      </c>
      <c r="B1283" t="str">
        <f>"1578725977057290"</f>
        <v>1578725977057290</v>
      </c>
      <c r="C1283" t="s">
        <v>40</v>
      </c>
      <c r="D1283">
        <v>4.2779040000000004</v>
      </c>
      <c r="E1283">
        <v>0.51279339999999995</v>
      </c>
      <c r="F1283" t="s">
        <v>42</v>
      </c>
      <c r="G1283">
        <v>-278.10680000000002</v>
      </c>
      <c r="H1283" s="1">
        <v>-1.3388800000000001E-6</v>
      </c>
      <c r="I1283">
        <v>366.95330000000001</v>
      </c>
      <c r="J1283">
        <v>-319.1198</v>
      </c>
      <c r="K1283">
        <v>1.09596</v>
      </c>
      <c r="L1283">
        <v>367.63580000000002</v>
      </c>
      <c r="M1283">
        <v>0.99975729999999996</v>
      </c>
      <c r="N1283">
        <v>0</v>
      </c>
      <c r="O1283">
        <v>7.639713E-4</v>
      </c>
      <c r="P1283">
        <v>0.99509950000000003</v>
      </c>
      <c r="Q1283">
        <v>4.738639E-2</v>
      </c>
      <c r="R1283">
        <v>8.6785319999999999E-2</v>
      </c>
      <c r="S1283">
        <v>3.0231020000000002</v>
      </c>
      <c r="T1283">
        <v>-8.0636739999999998E-2</v>
      </c>
      <c r="U1283">
        <v>-5.0170899999999997E-2</v>
      </c>
      <c r="V1283">
        <v>-8.6014809999999997E-2</v>
      </c>
      <c r="W1283">
        <v>6.9300680000000003E-2</v>
      </c>
      <c r="X1283">
        <v>0.99388069999999895</v>
      </c>
      <c r="Y1283">
        <v>1.7351160000000001E-2</v>
      </c>
      <c r="Z1283">
        <v>-2.5172889999999998E-4</v>
      </c>
      <c r="AA1283">
        <v>0.9998494</v>
      </c>
      <c r="AB1283">
        <v>22</v>
      </c>
      <c r="AC1283">
        <v>41.012999999999899</v>
      </c>
      <c r="AD1283">
        <v>-1.09596133888</v>
      </c>
      <c r="AE1283">
        <v>-0.68250000000000399</v>
      </c>
      <c r="AF1283">
        <v>0.71333091787897795</v>
      </c>
      <c r="AG1283">
        <v>-1.09596133888</v>
      </c>
      <c r="AH1283">
        <v>40.983209265439001</v>
      </c>
      <c r="AI1283">
        <v>91.531590513210503</v>
      </c>
      <c r="AJ1283">
        <v>89.002842256477606</v>
      </c>
      <c r="AK1283">
        <v>41.0040658221778</v>
      </c>
      <c r="AL1283">
        <v>86.026178366355595</v>
      </c>
      <c r="AM1283">
        <v>94.946304332191204</v>
      </c>
      <c r="AN1283">
        <v>0.99999998881014396</v>
      </c>
    </row>
    <row r="1284" spans="1:40" x14ac:dyDescent="0.3">
      <c r="A1284" t="str">
        <f>"20200111145937075"</f>
        <v>20200111145937075</v>
      </c>
      <c r="B1284" t="str">
        <f>"1578725977067050"</f>
        <v>1578725977067050</v>
      </c>
      <c r="C1284" t="s">
        <v>40</v>
      </c>
      <c r="D1284">
        <v>4.3453559999999998</v>
      </c>
      <c r="E1284">
        <v>0.51264069999999995</v>
      </c>
      <c r="F1284" t="s">
        <v>43</v>
      </c>
      <c r="G1284">
        <v>-281.48329999999999</v>
      </c>
      <c r="H1284">
        <v>-0.05</v>
      </c>
      <c r="I1284">
        <v>369.6404</v>
      </c>
      <c r="J1284">
        <v>-319.01530000000002</v>
      </c>
      <c r="K1284">
        <v>1.0952010000000001</v>
      </c>
      <c r="L1284">
        <v>367.63580000000002</v>
      </c>
      <c r="M1284">
        <v>0.99974130000000005</v>
      </c>
      <c r="N1284">
        <v>0</v>
      </c>
      <c r="O1284">
        <v>7.3296220000000005E-4</v>
      </c>
      <c r="P1284">
        <v>0.99515909999999996</v>
      </c>
      <c r="Q1284">
        <v>4.8721639999999997E-2</v>
      </c>
      <c r="R1284">
        <v>8.5350430000000005E-2</v>
      </c>
      <c r="S1284">
        <v>3.005188</v>
      </c>
      <c r="T1284">
        <v>-9.1502189999999997E-2</v>
      </c>
      <c r="U1284">
        <v>0.1600647</v>
      </c>
      <c r="V1284">
        <v>-8.4610089999999999E-2</v>
      </c>
      <c r="W1284">
        <v>7.1350280000000002E-2</v>
      </c>
      <c r="X1284">
        <v>0.99385630000000003</v>
      </c>
      <c r="Y1284">
        <v>-5.243138E-2</v>
      </c>
      <c r="Z1284">
        <v>7.7516569999999999E-4</v>
      </c>
      <c r="AA1284">
        <v>0.99862419999999996</v>
      </c>
      <c r="AB1284">
        <v>22</v>
      </c>
      <c r="AC1284">
        <v>37.531999999999996</v>
      </c>
      <c r="AD1284">
        <v>-1.1452009999999999</v>
      </c>
      <c r="AE1284">
        <v>2.00459999999998</v>
      </c>
      <c r="AF1284">
        <v>-1.97524904329679</v>
      </c>
      <c r="AG1284">
        <v>-1.1452009999999999</v>
      </c>
      <c r="AH1284">
        <v>37.498646826865297</v>
      </c>
      <c r="AI1284">
        <v>91.746837410924002</v>
      </c>
      <c r="AJ1284">
        <v>93.015280387117997</v>
      </c>
      <c r="AK1284">
        <v>37.568092950793002</v>
      </c>
      <c r="AL1284">
        <v>85.908453638261406</v>
      </c>
      <c r="AM1284">
        <v>94.866035471222204</v>
      </c>
      <c r="AN1284">
        <v>1.00000003741778</v>
      </c>
    </row>
    <row r="1285" spans="1:40" x14ac:dyDescent="0.3">
      <c r="A1285" t="str">
        <f>"20200111145937087"</f>
        <v>20200111145937087</v>
      </c>
      <c r="B1285" t="str">
        <f>"1578725977076810"</f>
        <v>1578725977076810</v>
      </c>
      <c r="C1285" t="s">
        <v>40</v>
      </c>
      <c r="D1285">
        <v>4.3309949999999997</v>
      </c>
      <c r="E1285">
        <v>0.51355779999999995</v>
      </c>
      <c r="F1285" t="s">
        <v>43</v>
      </c>
      <c r="G1285">
        <v>-288.38709999999998</v>
      </c>
      <c r="H1285">
        <v>-0.05</v>
      </c>
      <c r="I1285">
        <v>369.23809999999997</v>
      </c>
      <c r="J1285">
        <v>-318.9101</v>
      </c>
      <c r="K1285">
        <v>1.0944510000000001</v>
      </c>
      <c r="L1285">
        <v>367.63589999999999</v>
      </c>
      <c r="M1285">
        <v>0.9997258</v>
      </c>
      <c r="N1285">
        <v>0</v>
      </c>
      <c r="O1285">
        <v>7.0204479999999895E-4</v>
      </c>
      <c r="P1285">
        <v>0.99526950000000003</v>
      </c>
      <c r="Q1285">
        <v>4.9723570000000002E-2</v>
      </c>
      <c r="R1285">
        <v>8.3465860000000003E-2</v>
      </c>
      <c r="S1285">
        <v>3.0065919999999999</v>
      </c>
      <c r="T1285">
        <v>-0.1124179</v>
      </c>
      <c r="U1285">
        <v>0.1572876</v>
      </c>
      <c r="V1285">
        <v>-8.2755919999999997E-2</v>
      </c>
      <c r="W1285">
        <v>7.3023899999999906E-2</v>
      </c>
      <c r="X1285">
        <v>0.99389079999999996</v>
      </c>
      <c r="Y1285">
        <v>-5.1506110000000001E-2</v>
      </c>
      <c r="Z1285">
        <v>9.3569620000000004E-4</v>
      </c>
      <c r="AA1285">
        <v>0.99867220000000001</v>
      </c>
      <c r="AB1285">
        <v>22</v>
      </c>
      <c r="AC1285">
        <v>30.523</v>
      </c>
      <c r="AD1285">
        <v>-1.1444510000000001</v>
      </c>
      <c r="AE1285">
        <v>1.6021999999999801</v>
      </c>
      <c r="AF1285">
        <v>-1.57855210490748</v>
      </c>
      <c r="AG1285">
        <v>-1.1444510000000001</v>
      </c>
      <c r="AH1285">
        <v>30.4813829980794</v>
      </c>
      <c r="AI1285">
        <v>92.147336802735595</v>
      </c>
      <c r="AJ1285">
        <v>92.964552095964294</v>
      </c>
      <c r="AK1285">
        <v>30.5436786310181</v>
      </c>
      <c r="AL1285">
        <v>85.812311191189806</v>
      </c>
      <c r="AM1285">
        <v>94.759730703490106</v>
      </c>
      <c r="AN1285">
        <v>0.99999997729544798</v>
      </c>
    </row>
    <row r="1286" spans="1:40" x14ac:dyDescent="0.3">
      <c r="A1286" t="str">
        <f>"20200111145937099"</f>
        <v>20200111145937099</v>
      </c>
      <c r="B1286" t="str">
        <f>"1578725977097306"</f>
        <v>1578725977097306</v>
      </c>
      <c r="C1286" t="s">
        <v>40</v>
      </c>
      <c r="D1286">
        <v>4.2490610000000002</v>
      </c>
      <c r="E1286">
        <v>0.51390170000000002</v>
      </c>
      <c r="F1286" t="s">
        <v>43</v>
      </c>
      <c r="G1286">
        <v>-290.9941</v>
      </c>
      <c r="H1286">
        <v>-0.05</v>
      </c>
      <c r="I1286">
        <v>368.9751</v>
      </c>
      <c r="J1286">
        <v>-318.7878</v>
      </c>
      <c r="K1286">
        <v>1.09358</v>
      </c>
      <c r="L1286">
        <v>367.63589999999999</v>
      </c>
      <c r="M1286">
        <v>0.99970789999999998</v>
      </c>
      <c r="N1286">
        <v>0</v>
      </c>
      <c r="O1286">
        <v>6.6590159999999998E-4</v>
      </c>
      <c r="P1286">
        <v>0.99535830000000003</v>
      </c>
      <c r="Q1286">
        <v>5.0920350000000003E-2</v>
      </c>
      <c r="R1286">
        <v>8.1662449999999998E-2</v>
      </c>
      <c r="S1286">
        <v>3.0083310000000001</v>
      </c>
      <c r="T1286">
        <v>-0.12333040000000001</v>
      </c>
      <c r="U1286">
        <v>0.14431759999999999</v>
      </c>
      <c r="V1286">
        <v>-8.0987740000000003E-2</v>
      </c>
      <c r="W1286">
        <v>7.4963580000000002E-2</v>
      </c>
      <c r="X1286">
        <v>0.99389209999999995</v>
      </c>
      <c r="Y1286">
        <v>-4.7213199999999997E-2</v>
      </c>
      <c r="Z1286">
        <v>9.3954089999999997E-4</v>
      </c>
      <c r="AA1286">
        <v>0.99888440000000001</v>
      </c>
      <c r="AB1286">
        <v>22</v>
      </c>
      <c r="AC1286">
        <v>27.793700000000001</v>
      </c>
      <c r="AD1286">
        <v>-1.14357999999999</v>
      </c>
      <c r="AE1286">
        <v>1.3391999999999999</v>
      </c>
      <c r="AF1286">
        <v>-1.31845953333691</v>
      </c>
      <c r="AG1286">
        <v>-1.14357999999999</v>
      </c>
      <c r="AH1286">
        <v>27.747719582274598</v>
      </c>
      <c r="AI1286">
        <v>92.3573659990995</v>
      </c>
      <c r="AJ1286">
        <v>92.720417841784297</v>
      </c>
      <c r="AK1286">
        <v>27.8025547886159</v>
      </c>
      <c r="AL1286">
        <v>85.700870425130304</v>
      </c>
      <c r="AM1286">
        <v>94.658479701817001</v>
      </c>
      <c r="AN1286">
        <v>1.0000000293995599</v>
      </c>
    </row>
    <row r="1287" spans="1:40" x14ac:dyDescent="0.3">
      <c r="A1287" t="str">
        <f>"20200111145937111"</f>
        <v>20200111145937111</v>
      </c>
      <c r="B1287" t="str">
        <f>"1578725977107066"</f>
        <v>1578725977107066</v>
      </c>
      <c r="C1287" t="s">
        <v>40</v>
      </c>
      <c r="D1287">
        <v>4.2422420000000001</v>
      </c>
      <c r="E1287">
        <v>0.51384819999999998</v>
      </c>
      <c r="F1287" t="s">
        <v>43</v>
      </c>
      <c r="G1287">
        <v>-292.86419999999998</v>
      </c>
      <c r="H1287">
        <v>-0.05</v>
      </c>
      <c r="I1287">
        <v>368.8075</v>
      </c>
      <c r="J1287">
        <v>-318.67559999999997</v>
      </c>
      <c r="K1287">
        <v>1.0927830000000001</v>
      </c>
      <c r="L1287">
        <v>367.63589999999999</v>
      </c>
      <c r="M1287">
        <v>0.99969680000000005</v>
      </c>
      <c r="N1287">
        <v>0</v>
      </c>
      <c r="O1287">
        <v>6.308304E-4</v>
      </c>
      <c r="P1287">
        <v>0.99546959999999995</v>
      </c>
      <c r="Q1287">
        <v>5.1618989999999997E-2</v>
      </c>
      <c r="R1287">
        <v>7.9847280000000007E-2</v>
      </c>
      <c r="S1287">
        <v>3.0095830000000001</v>
      </c>
      <c r="T1287">
        <v>-0.13276279999999999</v>
      </c>
      <c r="U1287">
        <v>0.13601679999999999</v>
      </c>
      <c r="V1287">
        <v>-7.9207219999999995E-2</v>
      </c>
      <c r="W1287">
        <v>7.6119939999999997E-2</v>
      </c>
      <c r="X1287">
        <v>0.99394769999999999</v>
      </c>
      <c r="Y1287">
        <v>-4.4475569999999999E-2</v>
      </c>
      <c r="Z1287">
        <v>9.521989E-4</v>
      </c>
      <c r="AA1287">
        <v>0.99900999999999995</v>
      </c>
      <c r="AB1287">
        <v>22</v>
      </c>
      <c r="AC1287">
        <v>25.8113999999999</v>
      </c>
      <c r="AD1287">
        <v>-1.1427829999999899</v>
      </c>
      <c r="AE1287">
        <v>1.17160000000001</v>
      </c>
      <c r="AF1287">
        <v>-1.1530566204805801</v>
      </c>
      <c r="AG1287">
        <v>-1.1427829999999899</v>
      </c>
      <c r="AH1287">
        <v>25.761739364933401</v>
      </c>
      <c r="AI1287">
        <v>92.537421328958601</v>
      </c>
      <c r="AJ1287">
        <v>92.562762289484496</v>
      </c>
      <c r="AK1287">
        <v>25.812839976683701</v>
      </c>
      <c r="AL1287">
        <v>85.634426021160493</v>
      </c>
      <c r="AM1287">
        <v>94.556245037041407</v>
      </c>
      <c r="AN1287">
        <v>1.00000002965051</v>
      </c>
    </row>
    <row r="1288" spans="1:40" x14ac:dyDescent="0.3">
      <c r="A1288" t="str">
        <f>"20200111145937124"</f>
        <v>20200111145937124</v>
      </c>
      <c r="B1288" t="str">
        <f>"1578725977116826"</f>
        <v>1578725977116826</v>
      </c>
      <c r="C1288" t="s">
        <v>40</v>
      </c>
      <c r="D1288">
        <v>4.2466309999999998</v>
      </c>
      <c r="E1288">
        <v>0.51393509999999998</v>
      </c>
      <c r="F1288" t="s">
        <v>43</v>
      </c>
      <c r="G1288">
        <v>-293.80709999999999</v>
      </c>
      <c r="H1288">
        <v>-0.05</v>
      </c>
      <c r="I1288">
        <v>368.71749999999997</v>
      </c>
      <c r="J1288">
        <v>-318.53919999999999</v>
      </c>
      <c r="K1288">
        <v>1.091807</v>
      </c>
      <c r="L1288">
        <v>367.63589999999999</v>
      </c>
      <c r="M1288">
        <v>0.99968520000000005</v>
      </c>
      <c r="N1288">
        <v>0</v>
      </c>
      <c r="O1288">
        <v>5.8767620000000004E-4</v>
      </c>
      <c r="P1288">
        <v>0.99556259999999996</v>
      </c>
      <c r="Q1288">
        <v>5.2349390000000003E-2</v>
      </c>
      <c r="R1288">
        <v>7.819951E-2</v>
      </c>
      <c r="S1288">
        <v>3.010345</v>
      </c>
      <c r="T1288">
        <v>-0.1383344</v>
      </c>
      <c r="U1288">
        <v>0.13092039999999999</v>
      </c>
      <c r="V1288">
        <v>-7.7602699999999997E-2</v>
      </c>
      <c r="W1288">
        <v>7.7322779999999994E-2</v>
      </c>
      <c r="X1288">
        <v>0.99398140000000001</v>
      </c>
      <c r="Y1288">
        <v>-4.2817300000000003E-2</v>
      </c>
      <c r="Z1288">
        <v>9.5582209999999998E-4</v>
      </c>
      <c r="AA1288">
        <v>0.99908240000000004</v>
      </c>
      <c r="AB1288">
        <v>22</v>
      </c>
      <c r="AC1288">
        <v>24.732099999999999</v>
      </c>
      <c r="AD1288">
        <v>-1.141807</v>
      </c>
      <c r="AE1288">
        <v>1.0815999999999799</v>
      </c>
      <c r="AF1288">
        <v>-1.0647956071381199</v>
      </c>
      <c r="AG1288">
        <v>-1.141807</v>
      </c>
      <c r="AH1288">
        <v>24.680228718985902</v>
      </c>
      <c r="AI1288">
        <v>92.646386967331907</v>
      </c>
      <c r="AJ1288">
        <v>92.470418087240404</v>
      </c>
      <c r="AK1288">
        <v>24.729561308921099</v>
      </c>
      <c r="AL1288">
        <v>85.5653045346249</v>
      </c>
      <c r="AM1288">
        <v>94.464174261990905</v>
      </c>
      <c r="AN1288">
        <v>1.0000000074500801</v>
      </c>
    </row>
    <row r="1289" spans="1:40" x14ac:dyDescent="0.3">
      <c r="A1289" t="str">
        <f>"20200111145937136"</f>
        <v>20200111145937136</v>
      </c>
      <c r="B1289" t="str">
        <f>"1578725977126587"</f>
        <v>1578725977126587</v>
      </c>
      <c r="C1289" t="s">
        <v>40</v>
      </c>
      <c r="D1289">
        <v>4.4117430000000004</v>
      </c>
      <c r="E1289">
        <v>0.51427849999999997</v>
      </c>
      <c r="F1289" t="s">
        <v>43</v>
      </c>
      <c r="G1289">
        <v>-294.9058</v>
      </c>
      <c r="H1289">
        <v>-0.05</v>
      </c>
      <c r="I1289">
        <v>368.62150000000003</v>
      </c>
      <c r="J1289">
        <v>-318.42</v>
      </c>
      <c r="K1289">
        <v>1.0909450000000001</v>
      </c>
      <c r="L1289">
        <v>367.63600000000002</v>
      </c>
      <c r="M1289">
        <v>0.9996775</v>
      </c>
      <c r="N1289">
        <v>0</v>
      </c>
      <c r="O1289">
        <v>5.503366E-4</v>
      </c>
      <c r="P1289">
        <v>0.99570119999999895</v>
      </c>
      <c r="Q1289">
        <v>5.2194169999999998E-2</v>
      </c>
      <c r="R1289">
        <v>7.6517150000000006E-2</v>
      </c>
      <c r="S1289">
        <v>3.0111690000000002</v>
      </c>
      <c r="T1289">
        <v>-0.14547939999999901</v>
      </c>
      <c r="U1289">
        <v>0.12557979999999999</v>
      </c>
      <c r="V1289">
        <v>-7.5957540000000004E-2</v>
      </c>
      <c r="W1289">
        <v>7.7469189999999993E-2</v>
      </c>
      <c r="X1289">
        <v>0.99409709999999996</v>
      </c>
      <c r="Y1289">
        <v>-4.107123E-2</v>
      </c>
      <c r="Z1289">
        <v>9.6456440000000003E-4</v>
      </c>
      <c r="AA1289">
        <v>0.99915580000000004</v>
      </c>
      <c r="AB1289">
        <v>22</v>
      </c>
      <c r="AC1289">
        <v>23.514199999999999</v>
      </c>
      <c r="AD1289">
        <v>-1.1409450000000001</v>
      </c>
      <c r="AE1289">
        <v>0.985500000000058</v>
      </c>
      <c r="AF1289">
        <v>-0.97027460312056601</v>
      </c>
      <c r="AG1289">
        <v>-1.1409450000000001</v>
      </c>
      <c r="AH1289">
        <v>23.459603952783102</v>
      </c>
      <c r="AI1289">
        <v>92.781980309784998</v>
      </c>
      <c r="AJ1289">
        <v>92.368367916476203</v>
      </c>
      <c r="AK1289">
        <v>23.507364929313599</v>
      </c>
      <c r="AL1289">
        <v>85.556890738608999</v>
      </c>
      <c r="AM1289">
        <v>94.369398658662206</v>
      </c>
      <c r="AN1289">
        <v>1.0000000337552499</v>
      </c>
    </row>
    <row r="1290" spans="1:40" x14ac:dyDescent="0.3">
      <c r="A1290" t="str">
        <f>"20200111145937152"</f>
        <v>20200111145937152</v>
      </c>
      <c r="B1290" t="str">
        <f>"1578725977147082"</f>
        <v>1578725977147082</v>
      </c>
      <c r="C1290" t="s">
        <v>40</v>
      </c>
      <c r="D1290">
        <v>4.279846</v>
      </c>
      <c r="E1290">
        <v>0.51411809999999902</v>
      </c>
      <c r="F1290" t="s">
        <v>43</v>
      </c>
      <c r="G1290">
        <v>-296.04629999999997</v>
      </c>
      <c r="H1290">
        <v>-0.05</v>
      </c>
      <c r="I1290">
        <v>368.51049999999998</v>
      </c>
      <c r="J1290">
        <v>-318.26850000000002</v>
      </c>
      <c r="K1290">
        <v>1.089823</v>
      </c>
      <c r="L1290">
        <v>367.63600000000002</v>
      </c>
      <c r="M1290">
        <v>0.99966880000000002</v>
      </c>
      <c r="N1290">
        <v>0</v>
      </c>
      <c r="O1290">
        <v>5.0416090000000001E-4</v>
      </c>
      <c r="P1290">
        <v>0.99595180000000005</v>
      </c>
      <c r="Q1290">
        <v>5.1601750000000002E-2</v>
      </c>
      <c r="R1290">
        <v>7.3603139999999997E-2</v>
      </c>
      <c r="S1290">
        <v>3.0119630000000002</v>
      </c>
      <c r="T1290">
        <v>-0.1535946</v>
      </c>
      <c r="U1290">
        <v>0.1177368</v>
      </c>
      <c r="V1290">
        <v>-7.3089360000000006E-2</v>
      </c>
      <c r="W1290">
        <v>7.7225790000000002E-2</v>
      </c>
      <c r="X1290">
        <v>0.99433099999999996</v>
      </c>
      <c r="Y1290">
        <v>-3.8506650000000003E-2</v>
      </c>
      <c r="Z1290">
        <v>9.551173E-4</v>
      </c>
      <c r="AA1290">
        <v>0.99925790000000003</v>
      </c>
      <c r="AB1290">
        <v>22</v>
      </c>
      <c r="AC1290">
        <v>22.222200000000001</v>
      </c>
      <c r="AD1290">
        <v>-1.139823</v>
      </c>
      <c r="AE1290">
        <v>0.87450000000001105</v>
      </c>
      <c r="AF1290">
        <v>-0.86103084941049701</v>
      </c>
      <c r="AG1290">
        <v>-1.139823</v>
      </c>
      <c r="AH1290">
        <v>22.164416493788401</v>
      </c>
      <c r="AI1290">
        <v>92.941673429059605</v>
      </c>
      <c r="AJ1290">
        <v>92.224675727970805</v>
      </c>
      <c r="AK1290">
        <v>22.210401371994202</v>
      </c>
      <c r="AL1290">
        <v>85.570878318228694</v>
      </c>
      <c r="AM1290">
        <v>94.204026572258798</v>
      </c>
      <c r="AN1290">
        <v>1.0000000073736599</v>
      </c>
    </row>
    <row r="1291" spans="1:40" x14ac:dyDescent="0.3">
      <c r="A1291" t="str">
        <f>"20200111145937163"</f>
        <v>20200111145937163</v>
      </c>
      <c r="B1291" t="str">
        <f>"1578725977156842"</f>
        <v>1578725977156842</v>
      </c>
      <c r="C1291" t="s">
        <v>40</v>
      </c>
      <c r="D1291">
        <v>4.2830510000000004</v>
      </c>
      <c r="E1291">
        <v>0.513957</v>
      </c>
      <c r="F1291" t="s">
        <v>43</v>
      </c>
      <c r="G1291">
        <v>-295.50700000000001</v>
      </c>
      <c r="H1291">
        <v>-0.05</v>
      </c>
      <c r="I1291">
        <v>368.46620000000001</v>
      </c>
      <c r="J1291">
        <v>-318.16140000000001</v>
      </c>
      <c r="K1291">
        <v>1.089016</v>
      </c>
      <c r="L1291">
        <v>367.63600000000002</v>
      </c>
      <c r="M1291">
        <v>0.99966290000000002</v>
      </c>
      <c r="N1291">
        <v>0</v>
      </c>
      <c r="O1291">
        <v>4.7255879999999999E-4</v>
      </c>
      <c r="P1291">
        <v>0.99607509999999999</v>
      </c>
      <c r="Q1291">
        <v>5.0690579999999999E-2</v>
      </c>
      <c r="R1291">
        <v>7.255876E-2</v>
      </c>
      <c r="S1291">
        <v>3.0119020000000001</v>
      </c>
      <c r="T1291">
        <v>-0.15082609999999999</v>
      </c>
      <c r="U1291">
        <v>0.1098633</v>
      </c>
      <c r="V1291">
        <v>-7.2076570000000006E-2</v>
      </c>
      <c r="W1291">
        <v>7.6543559999999997E-2</v>
      </c>
      <c r="X1291">
        <v>0.9944577</v>
      </c>
      <c r="Y1291">
        <v>-3.593536E-2</v>
      </c>
      <c r="Z1291">
        <v>8.752508E-4</v>
      </c>
      <c r="AA1291">
        <v>0.99935370000000001</v>
      </c>
      <c r="AB1291">
        <v>22</v>
      </c>
      <c r="AC1291">
        <v>22.654399999999999</v>
      </c>
      <c r="AD1291">
        <v>-1.139016</v>
      </c>
      <c r="AE1291">
        <v>0.83020000000004701</v>
      </c>
      <c r="AF1291">
        <v>-0.817427184955553</v>
      </c>
      <c r="AG1291">
        <v>-1.139016</v>
      </c>
      <c r="AH1291">
        <v>22.597742404620298</v>
      </c>
      <c r="AI1291">
        <v>92.883610217687803</v>
      </c>
      <c r="AJ1291">
        <v>92.071654561203303</v>
      </c>
      <c r="AK1291">
        <v>22.641190481874698</v>
      </c>
      <c r="AL1291">
        <v>85.6100833771672</v>
      </c>
      <c r="AM1291">
        <v>94.145450085590198</v>
      </c>
      <c r="AN1291">
        <v>1.0000000328048599</v>
      </c>
    </row>
    <row r="1292" spans="1:40" x14ac:dyDescent="0.3">
      <c r="A1292" t="str">
        <f>"20200111145937174"</f>
        <v>20200111145937174</v>
      </c>
      <c r="B1292" t="str">
        <f>"1578725977166602"</f>
        <v>1578725977166602</v>
      </c>
      <c r="C1292" t="s">
        <v>40</v>
      </c>
      <c r="D1292">
        <v>4.2733610000000004</v>
      </c>
      <c r="E1292">
        <v>0.51373610000000003</v>
      </c>
      <c r="F1292" t="s">
        <v>43</v>
      </c>
      <c r="G1292">
        <v>-295.54340000000002</v>
      </c>
      <c r="H1292">
        <v>-0.05</v>
      </c>
      <c r="I1292">
        <v>368.44549999999998</v>
      </c>
      <c r="J1292">
        <v>-318.05380000000002</v>
      </c>
      <c r="K1292">
        <v>1.088174</v>
      </c>
      <c r="L1292">
        <v>367.63600000000002</v>
      </c>
      <c r="M1292">
        <v>0.99965749999999998</v>
      </c>
      <c r="N1292">
        <v>0</v>
      </c>
      <c r="O1292">
        <v>4.4176330000000001E-4</v>
      </c>
      <c r="P1292">
        <v>0.99622880000000003</v>
      </c>
      <c r="Q1292">
        <v>4.9250380000000003E-2</v>
      </c>
      <c r="R1292">
        <v>7.1432689999999993E-2</v>
      </c>
      <c r="S1292">
        <v>3.0116879999999999</v>
      </c>
      <c r="T1292">
        <v>-0.15166470000000001</v>
      </c>
      <c r="U1292">
        <v>0.1077881</v>
      </c>
      <c r="V1292">
        <v>-7.0981660000000002E-2</v>
      </c>
      <c r="W1292">
        <v>7.531069E-2</v>
      </c>
      <c r="X1292">
        <v>0.99463049999999997</v>
      </c>
      <c r="Y1292">
        <v>-3.528129E-2</v>
      </c>
      <c r="Z1292">
        <v>8.6528069999999998E-4</v>
      </c>
      <c r="AA1292">
        <v>0.99937710000000002</v>
      </c>
      <c r="AB1292">
        <v>22</v>
      </c>
      <c r="AC1292">
        <v>22.510400000000001</v>
      </c>
      <c r="AD1292">
        <v>-1.138174</v>
      </c>
      <c r="AE1292">
        <v>0.80950000000001399</v>
      </c>
      <c r="AF1292">
        <v>-0.79751600592754202</v>
      </c>
      <c r="AG1292">
        <v>-1.138174</v>
      </c>
      <c r="AH1292">
        <v>22.453426809989999</v>
      </c>
      <c r="AI1292">
        <v>92.9000386834891</v>
      </c>
      <c r="AJ1292">
        <v>92.034215112695406</v>
      </c>
      <c r="AK1292">
        <v>22.49639631909</v>
      </c>
      <c r="AL1292">
        <v>85.680925825363602</v>
      </c>
      <c r="AM1292">
        <v>94.081984531599801</v>
      </c>
      <c r="AN1292">
        <v>0.99999996380744005</v>
      </c>
    </row>
    <row r="1293" spans="1:40" x14ac:dyDescent="0.3">
      <c r="A1293" t="str">
        <f>"20200111145937185"</f>
        <v>20200111145937185</v>
      </c>
      <c r="B1293" t="str">
        <f>"1578725977177338"</f>
        <v>1578725977177338</v>
      </c>
      <c r="C1293" t="s">
        <v>40</v>
      </c>
      <c r="D1293">
        <v>4.3556520000000001</v>
      </c>
      <c r="E1293">
        <v>0.51355039999999996</v>
      </c>
      <c r="F1293" t="s">
        <v>43</v>
      </c>
      <c r="G1293">
        <v>-296.08819999999997</v>
      </c>
      <c r="H1293">
        <v>-0.05</v>
      </c>
      <c r="I1293">
        <v>368.40640000000002</v>
      </c>
      <c r="J1293">
        <v>-317.94330000000002</v>
      </c>
      <c r="K1293">
        <v>1.0872729999999999</v>
      </c>
      <c r="L1293">
        <v>367.63600000000002</v>
      </c>
      <c r="M1293">
        <v>0.99965349999999997</v>
      </c>
      <c r="N1293">
        <v>0</v>
      </c>
      <c r="O1293">
        <v>4.1033999999999998E-4</v>
      </c>
      <c r="P1293">
        <v>0.99636789999999997</v>
      </c>
      <c r="Q1293">
        <v>4.7799229999999998E-2</v>
      </c>
      <c r="R1293">
        <v>7.0473670000000002E-2</v>
      </c>
      <c r="S1293">
        <v>3.0114749999999999</v>
      </c>
      <c r="T1293">
        <v>-0.15604299999999999</v>
      </c>
      <c r="U1293">
        <v>0.1056213</v>
      </c>
      <c r="V1293">
        <v>-7.0053610000000002E-2</v>
      </c>
      <c r="W1293">
        <v>7.4021589999999998E-2</v>
      </c>
      <c r="X1293">
        <v>0.99479309999999999</v>
      </c>
      <c r="Y1293">
        <v>-3.459537E-2</v>
      </c>
      <c r="Z1293">
        <v>8.7417500000000004E-4</v>
      </c>
      <c r="AA1293">
        <v>0.99940099999999998</v>
      </c>
      <c r="AB1293">
        <v>22</v>
      </c>
      <c r="AC1293">
        <v>21.8551</v>
      </c>
      <c r="AD1293">
        <v>-1.137273</v>
      </c>
      <c r="AE1293">
        <v>0.77040000000005104</v>
      </c>
      <c r="AF1293">
        <v>-0.75937508722741798</v>
      </c>
      <c r="AG1293">
        <v>-1.137273</v>
      </c>
      <c r="AH1293">
        <v>21.796466182401002</v>
      </c>
      <c r="AI1293">
        <v>92.985002449286696</v>
      </c>
      <c r="AJ1293">
        <v>91.995341655038402</v>
      </c>
      <c r="AK1293">
        <v>21.839321840207901</v>
      </c>
      <c r="AL1293">
        <v>85.754992761137899</v>
      </c>
      <c r="AM1293">
        <v>94.028135167741098</v>
      </c>
      <c r="AN1293">
        <v>1.00000000793388</v>
      </c>
    </row>
    <row r="1294" spans="1:40" x14ac:dyDescent="0.3">
      <c r="A1294" t="str">
        <f>"20200111145937196"</f>
        <v>20200111145937196</v>
      </c>
      <c r="B1294" t="str">
        <f>"1578725977187100"</f>
        <v>1578725977187100</v>
      </c>
      <c r="C1294" t="s">
        <v>40</v>
      </c>
      <c r="D1294">
        <v>4.22323</v>
      </c>
      <c r="E1294">
        <v>0.51348039999999995</v>
      </c>
      <c r="F1294" t="s">
        <v>43</v>
      </c>
      <c r="G1294">
        <v>-296.58229999999998</v>
      </c>
      <c r="H1294">
        <v>-0.05</v>
      </c>
      <c r="I1294">
        <v>368.37619999999998</v>
      </c>
      <c r="J1294">
        <v>-317.83109999999999</v>
      </c>
      <c r="K1294">
        <v>1.0863210000000001</v>
      </c>
      <c r="L1294">
        <v>367.63600000000002</v>
      </c>
      <c r="M1294">
        <v>0.99965099999999996</v>
      </c>
      <c r="N1294">
        <v>0</v>
      </c>
      <c r="O1294">
        <v>3.7869759999999998E-4</v>
      </c>
      <c r="P1294">
        <v>0.99649350000000003</v>
      </c>
      <c r="Q1294">
        <v>4.6550210000000002E-2</v>
      </c>
      <c r="R1294">
        <v>6.9528729999999997E-2</v>
      </c>
      <c r="S1294">
        <v>3.0112610000000002</v>
      </c>
      <c r="T1294">
        <v>-0.16032150000000001</v>
      </c>
      <c r="U1294">
        <v>0.1043396</v>
      </c>
      <c r="V1294">
        <v>-6.914062E-2</v>
      </c>
      <c r="W1294">
        <v>7.2873140000000003E-2</v>
      </c>
      <c r="X1294">
        <v>0.99494179999999999</v>
      </c>
      <c r="Y1294">
        <v>-3.4202580000000003E-2</v>
      </c>
      <c r="Z1294">
        <v>8.8941819999999996E-4</v>
      </c>
      <c r="AA1294">
        <v>0.99941449999999998</v>
      </c>
      <c r="AB1294">
        <v>22</v>
      </c>
      <c r="AC1294">
        <v>21.248799999999999</v>
      </c>
      <c r="AD1294">
        <v>-1.1363209999999999</v>
      </c>
      <c r="AE1294">
        <v>0.74020000000001496</v>
      </c>
      <c r="AF1294">
        <v>-0.73006497081188404</v>
      </c>
      <c r="AG1294">
        <v>-1.1363209999999999</v>
      </c>
      <c r="AH1294">
        <v>21.1885576255555</v>
      </c>
      <c r="AI1294">
        <v>93.067957125469704</v>
      </c>
      <c r="AJ1294">
        <v>91.973381146260806</v>
      </c>
      <c r="AK1294">
        <v>21.231561283337999</v>
      </c>
      <c r="AL1294">
        <v>85.820972493891901</v>
      </c>
      <c r="AM1294">
        <v>93.975214718792998</v>
      </c>
      <c r="AN1294">
        <v>1.00000005262734</v>
      </c>
    </row>
    <row r="1295" spans="1:40" x14ac:dyDescent="0.3">
      <c r="A1295" t="str">
        <f>"20200111145937209"</f>
        <v>20200111145937209</v>
      </c>
      <c r="B1295" t="str">
        <f>"1578725977196858"</f>
        <v>1578725977196858</v>
      </c>
      <c r="C1295" t="s">
        <v>40</v>
      </c>
      <c r="D1295">
        <v>4.2436299999999996</v>
      </c>
      <c r="E1295">
        <v>0.51317829999999998</v>
      </c>
      <c r="F1295" t="s">
        <v>43</v>
      </c>
      <c r="G1295">
        <v>-297.04219999999998</v>
      </c>
      <c r="H1295">
        <v>-0.05</v>
      </c>
      <c r="I1295">
        <v>368.34210000000002</v>
      </c>
      <c r="J1295">
        <v>-317.71559999999999</v>
      </c>
      <c r="K1295">
        <v>1.085277</v>
      </c>
      <c r="L1295">
        <v>367.63600000000002</v>
      </c>
      <c r="M1295">
        <v>0.99965159999999997</v>
      </c>
      <c r="N1295">
        <v>0</v>
      </c>
      <c r="O1295">
        <v>3.4428129999999999E-4</v>
      </c>
      <c r="P1295">
        <v>0.99656230000000001</v>
      </c>
      <c r="Q1295">
        <v>4.6114799999999997E-2</v>
      </c>
      <c r="R1295">
        <v>6.8827109999999997E-2</v>
      </c>
      <c r="S1295">
        <v>3.0111080000000001</v>
      </c>
      <c r="T1295">
        <v>-0.1645877</v>
      </c>
      <c r="U1295">
        <v>0.10226440000000001</v>
      </c>
      <c r="V1295">
        <v>-6.8473010000000001E-2</v>
      </c>
      <c r="W1295">
        <v>7.2415149999999998E-2</v>
      </c>
      <c r="X1295">
        <v>0.9950213</v>
      </c>
      <c r="Y1295">
        <v>-3.3549089999999997E-2</v>
      </c>
      <c r="Z1295">
        <v>8.9714699999999896E-4</v>
      </c>
      <c r="AA1295">
        <v>0.99943669999999996</v>
      </c>
      <c r="AB1295">
        <v>22</v>
      </c>
      <c r="AC1295">
        <v>20.673400000000001</v>
      </c>
      <c r="AD1295">
        <v>-1.1352770000000001</v>
      </c>
      <c r="AE1295">
        <v>0.70610000000004902</v>
      </c>
      <c r="AF1295">
        <v>-0.69688091790557904</v>
      </c>
      <c r="AG1295">
        <v>-1.1352770000000001</v>
      </c>
      <c r="AH1295">
        <v>20.6115572920834</v>
      </c>
      <c r="AI1295">
        <v>93.150848154061805</v>
      </c>
      <c r="AJ1295">
        <v>91.936444241324907</v>
      </c>
      <c r="AK1295">
        <v>20.6545585981717</v>
      </c>
      <c r="AL1295">
        <v>85.847282462530103</v>
      </c>
      <c r="AM1295">
        <v>93.936638450764406</v>
      </c>
      <c r="AN1295">
        <v>0.99999994725083396</v>
      </c>
    </row>
    <row r="1296" spans="1:40" x14ac:dyDescent="0.3">
      <c r="A1296" t="str">
        <f>"20200111145937221"</f>
        <v>20200111145937221</v>
      </c>
      <c r="B1296" t="str">
        <f>"1578725977217356"</f>
        <v>1578725977217356</v>
      </c>
      <c r="C1296" t="s">
        <v>40</v>
      </c>
      <c r="D1296">
        <v>4.1708699999999999</v>
      </c>
      <c r="E1296">
        <v>0.50472429999999902</v>
      </c>
      <c r="F1296" t="s">
        <v>43</v>
      </c>
      <c r="G1296">
        <v>-297.76769999999999</v>
      </c>
      <c r="H1296">
        <v>-0.05</v>
      </c>
      <c r="I1296">
        <v>368.3177</v>
      </c>
      <c r="J1296">
        <v>-317.6001</v>
      </c>
      <c r="K1296">
        <v>1.0842039999999999</v>
      </c>
      <c r="L1296">
        <v>367.63600000000002</v>
      </c>
      <c r="M1296">
        <v>0.99965360000000003</v>
      </c>
      <c r="N1296">
        <v>0</v>
      </c>
      <c r="O1296">
        <v>3.0902380000000001E-4</v>
      </c>
      <c r="P1296">
        <v>0.99657019999999996</v>
      </c>
      <c r="Q1296">
        <v>4.6275700000000003E-2</v>
      </c>
      <c r="R1296">
        <v>6.860347E-2</v>
      </c>
      <c r="S1296">
        <v>3.0111690000000002</v>
      </c>
      <c r="T1296">
        <v>-0.17137189999999999</v>
      </c>
      <c r="U1296">
        <v>0.10290530000000001</v>
      </c>
      <c r="V1296">
        <v>-6.8284239999999996E-2</v>
      </c>
      <c r="W1296">
        <v>7.2497430000000002E-2</v>
      </c>
      <c r="X1296">
        <v>0.99502829999999998</v>
      </c>
      <c r="Y1296">
        <v>-3.3791509999999997E-2</v>
      </c>
      <c r="Z1296">
        <v>9.4294189999999996E-4</v>
      </c>
      <c r="AA1296">
        <v>0.99942850000000005</v>
      </c>
      <c r="AB1296">
        <v>22</v>
      </c>
      <c r="AC1296">
        <v>19.8324</v>
      </c>
      <c r="AD1296">
        <v>-1.134204</v>
      </c>
      <c r="AE1296">
        <v>0.68170000000003395</v>
      </c>
      <c r="AF1296">
        <v>-0.67336941523830696</v>
      </c>
      <c r="AG1296">
        <v>-1.134204</v>
      </c>
      <c r="AH1296">
        <v>19.768032109383899</v>
      </c>
      <c r="AI1296">
        <v>93.281883964335606</v>
      </c>
      <c r="AJ1296">
        <v>91.950943495595098</v>
      </c>
      <c r="AK1296">
        <v>19.811989767830699</v>
      </c>
      <c r="AL1296">
        <v>85.842555821088396</v>
      </c>
      <c r="AM1296">
        <v>93.925792169144898</v>
      </c>
      <c r="AN1296">
        <v>0.99999996629493504</v>
      </c>
    </row>
    <row r="1297" spans="1:40" x14ac:dyDescent="0.3">
      <c r="A1297" t="str">
        <f>"20200111145937231"</f>
        <v>20200111145937231</v>
      </c>
      <c r="B1297" t="str">
        <f>"1578725977227115"</f>
        <v>1578725977227115</v>
      </c>
      <c r="C1297" t="s">
        <v>40</v>
      </c>
      <c r="D1297">
        <v>4.2173259999999999</v>
      </c>
      <c r="E1297">
        <v>0.50472429999999902</v>
      </c>
      <c r="F1297" t="s">
        <v>41</v>
      </c>
      <c r="G1297">
        <v>-316.6918</v>
      </c>
      <c r="H1297">
        <v>0.97943590000000003</v>
      </c>
      <c r="I1297">
        <v>367.68720000000002</v>
      </c>
      <c r="J1297">
        <v>-317.48599999999999</v>
      </c>
      <c r="K1297">
        <v>1.083059</v>
      </c>
      <c r="L1297">
        <v>367.63600000000002</v>
      </c>
      <c r="M1297">
        <v>0.99966029999999995</v>
      </c>
      <c r="N1297">
        <v>0</v>
      </c>
      <c r="O1297">
        <v>2.7701590000000001E-4</v>
      </c>
      <c r="P1297">
        <v>0.99654290000000001</v>
      </c>
      <c r="Q1297">
        <v>4.7012039999999998E-2</v>
      </c>
      <c r="R1297">
        <v>6.8498779999999995E-2</v>
      </c>
      <c r="S1297">
        <v>3.0147400000000002</v>
      </c>
      <c r="T1297">
        <v>-0.34782489999999999</v>
      </c>
      <c r="U1297">
        <v>0.17041020000000001</v>
      </c>
      <c r="V1297">
        <v>-6.8210629999999994E-2</v>
      </c>
      <c r="W1297">
        <v>7.2984430000000003E-2</v>
      </c>
      <c r="X1297">
        <v>0.99499780000000004</v>
      </c>
      <c r="Y1297">
        <v>-5.5791800000000003E-2</v>
      </c>
      <c r="Z1297">
        <v>3.1734689999999999E-3</v>
      </c>
      <c r="AA1297">
        <v>0.99843740000000003</v>
      </c>
      <c r="AB1297">
        <v>22</v>
      </c>
      <c r="AC1297">
        <v>0.79419999999998903</v>
      </c>
      <c r="AD1297">
        <v>-0.103623099999999</v>
      </c>
      <c r="AE1297">
        <v>5.1200000000051198E-2</v>
      </c>
      <c r="AF1297">
        <v>-5.0130051479534102E-2</v>
      </c>
      <c r="AG1297">
        <v>-0.103623099999999</v>
      </c>
      <c r="AH1297">
        <v>0.78097413154496198</v>
      </c>
      <c r="AI1297">
        <v>97.542765954623803</v>
      </c>
      <c r="AJ1297">
        <v>93.672727695424499</v>
      </c>
      <c r="AK1297">
        <v>0.78941203630129597</v>
      </c>
      <c r="AL1297">
        <v>85.814578883324899</v>
      </c>
      <c r="AM1297">
        <v>93.921693234566703</v>
      </c>
      <c r="AN1297">
        <v>1.00000001953613</v>
      </c>
    </row>
    <row r="1298" spans="1:40" x14ac:dyDescent="0.3">
      <c r="A1298" t="str">
        <f>"20200111145937243"</f>
        <v>20200111145937243</v>
      </c>
      <c r="B1298" t="str">
        <f>"1578725977236874"</f>
        <v>1578725977236874</v>
      </c>
      <c r="C1298" t="s">
        <v>40</v>
      </c>
      <c r="D1298">
        <v>4.1737640000000003</v>
      </c>
      <c r="E1298">
        <v>0.50741689999999995</v>
      </c>
      <c r="F1298" t="s">
        <v>43</v>
      </c>
      <c r="G1298">
        <v>-307.60149999999999</v>
      </c>
      <c r="H1298">
        <v>-0.05</v>
      </c>
      <c r="I1298">
        <v>368.19479999999999</v>
      </c>
      <c r="J1298">
        <v>-317.38119999999998</v>
      </c>
      <c r="K1298">
        <v>1.081998</v>
      </c>
      <c r="L1298">
        <v>367.63600000000002</v>
      </c>
      <c r="M1298">
        <v>0.99966659999999996</v>
      </c>
      <c r="N1298">
        <v>0</v>
      </c>
      <c r="O1298">
        <v>2.4726959999999998E-4</v>
      </c>
      <c r="P1298">
        <v>0.99644580000000005</v>
      </c>
      <c r="Q1298">
        <v>4.827911E-2</v>
      </c>
      <c r="R1298">
        <v>6.9027999999999895E-2</v>
      </c>
      <c r="S1298">
        <v>3.015015</v>
      </c>
      <c r="T1298">
        <v>-0.34561069999999999</v>
      </c>
      <c r="U1298">
        <v>0.1704407</v>
      </c>
      <c r="V1298">
        <v>-6.8768609999999994E-2</v>
      </c>
      <c r="W1298">
        <v>7.4003529999999998E-2</v>
      </c>
      <c r="X1298">
        <v>0.99488410000000005</v>
      </c>
      <c r="Y1298">
        <v>-5.583072E-2</v>
      </c>
      <c r="Z1298">
        <v>3.158732E-3</v>
      </c>
      <c r="AA1298">
        <v>0.99843530000000003</v>
      </c>
      <c r="AB1298">
        <v>22</v>
      </c>
      <c r="AC1298">
        <v>9.7796999999999894</v>
      </c>
      <c r="AD1298">
        <v>-1.1319980000000001</v>
      </c>
      <c r="AE1298">
        <v>0.55880000000001895</v>
      </c>
      <c r="AF1298">
        <v>-0.54904873281729905</v>
      </c>
      <c r="AG1298">
        <v>-1.1319980000000001</v>
      </c>
      <c r="AH1298">
        <v>9.6509551225161392</v>
      </c>
      <c r="AI1298">
        <v>96.679174583565995</v>
      </c>
      <c r="AJ1298">
        <v>93.256082110880101</v>
      </c>
      <c r="AK1298">
        <v>9.7326157203412098</v>
      </c>
      <c r="AL1298">
        <v>85.756030370315003</v>
      </c>
      <c r="AM1298">
        <v>93.9541227469619</v>
      </c>
      <c r="AN1298">
        <v>1.0000000083033</v>
      </c>
    </row>
    <row r="1299" spans="1:40" x14ac:dyDescent="0.3">
      <c r="A1299" t="str">
        <f>"20200111145937254"</f>
        <v>20200111145937254</v>
      </c>
      <c r="B1299" t="str">
        <f>"1578725977246634"</f>
        <v>1578725977246634</v>
      </c>
      <c r="C1299" t="s">
        <v>40</v>
      </c>
      <c r="D1299">
        <v>4.1255709999999999</v>
      </c>
      <c r="E1299">
        <v>0.50741689999999995</v>
      </c>
      <c r="F1299" t="s">
        <v>43</v>
      </c>
      <c r="G1299">
        <v>-301.1712</v>
      </c>
      <c r="H1299">
        <v>-0.05</v>
      </c>
      <c r="I1299">
        <v>368.44420000000002</v>
      </c>
      <c r="J1299">
        <v>-317.2688</v>
      </c>
      <c r="K1299">
        <v>1.08081</v>
      </c>
      <c r="L1299">
        <v>367.63589999999999</v>
      </c>
      <c r="M1299">
        <v>0.99967499999999998</v>
      </c>
      <c r="N1299">
        <v>0</v>
      </c>
      <c r="O1299">
        <v>2.1366159999999999E-4</v>
      </c>
      <c r="P1299">
        <v>0.99636670000000005</v>
      </c>
      <c r="Q1299">
        <v>4.9182950000000003E-2</v>
      </c>
      <c r="R1299">
        <v>6.9533139999999993E-2</v>
      </c>
      <c r="S1299">
        <v>3.0104980000000001</v>
      </c>
      <c r="T1299">
        <v>-0.21023269999999999</v>
      </c>
      <c r="U1299">
        <v>0.150116</v>
      </c>
      <c r="V1299">
        <v>-6.9306919999999994E-2</v>
      </c>
      <c r="W1299">
        <v>7.4581759999999997E-2</v>
      </c>
      <c r="X1299">
        <v>0.99480349999999995</v>
      </c>
      <c r="Y1299">
        <v>-4.946917E-2</v>
      </c>
      <c r="Z1299">
        <v>1.709229E-3</v>
      </c>
      <c r="AA1299">
        <v>0.99877419999999995</v>
      </c>
      <c r="AB1299">
        <v>22</v>
      </c>
      <c r="AC1299">
        <v>16.0976</v>
      </c>
      <c r="AD1299">
        <v>-1.1308100000000001</v>
      </c>
      <c r="AE1299">
        <v>0.80830000000003099</v>
      </c>
      <c r="AF1299">
        <v>-0.80091711251809095</v>
      </c>
      <c r="AG1299">
        <v>-1.1308100000000001</v>
      </c>
      <c r="AH1299">
        <v>16.018923292198899</v>
      </c>
      <c r="AI1299">
        <v>94.032911991059294</v>
      </c>
      <c r="AJ1299">
        <v>92.862301572992095</v>
      </c>
      <c r="AK1299">
        <v>16.078746932475099</v>
      </c>
      <c r="AL1299">
        <v>85.722808154482394</v>
      </c>
      <c r="AM1299">
        <v>93.985297496481095</v>
      </c>
      <c r="AN1299">
        <v>0.99999994584841501</v>
      </c>
    </row>
    <row r="1300" spans="1:40" x14ac:dyDescent="0.3">
      <c r="A1300" t="str">
        <f>"20200111145937265"</f>
        <v>20200111145937265</v>
      </c>
      <c r="B1300" t="str">
        <f>"1578725977257370"</f>
        <v>1578725977257370</v>
      </c>
      <c r="C1300" t="s">
        <v>40</v>
      </c>
      <c r="D1300">
        <v>4.2046519999999896</v>
      </c>
      <c r="E1300">
        <v>0.50723669999999998</v>
      </c>
      <c r="F1300" t="s">
        <v>43</v>
      </c>
      <c r="G1300">
        <v>-300.86430000000001</v>
      </c>
      <c r="H1300">
        <v>-0.05</v>
      </c>
      <c r="I1300">
        <v>368.46190000000001</v>
      </c>
      <c r="J1300">
        <v>-317.16520000000003</v>
      </c>
      <c r="K1300">
        <v>1.0797019999999999</v>
      </c>
      <c r="L1300">
        <v>367.63600000000002</v>
      </c>
      <c r="M1300">
        <v>0.99968279999999998</v>
      </c>
      <c r="N1300">
        <v>0</v>
      </c>
      <c r="O1300">
        <v>1.817779E-4</v>
      </c>
      <c r="P1300">
        <v>0.99628159999999999</v>
      </c>
      <c r="Q1300">
        <v>4.9756090000000003E-2</v>
      </c>
      <c r="R1300">
        <v>7.0337410000000003E-2</v>
      </c>
      <c r="S1300">
        <v>3.0105900000000001</v>
      </c>
      <c r="T1300">
        <v>-0.20752870000000001</v>
      </c>
      <c r="U1300">
        <v>0.15158079999999999</v>
      </c>
      <c r="V1300">
        <v>-7.014273E-2</v>
      </c>
      <c r="W1300">
        <v>7.4847559999999994E-2</v>
      </c>
      <c r="X1300">
        <v>0.99472499999999997</v>
      </c>
      <c r="Y1300">
        <v>-4.9986009999999997E-2</v>
      </c>
      <c r="Z1300">
        <v>1.707201E-3</v>
      </c>
      <c r="AA1300">
        <v>0.99874850000000004</v>
      </c>
      <c r="AB1300">
        <v>22</v>
      </c>
      <c r="AC1300">
        <v>16.300899999999999</v>
      </c>
      <c r="AD1300">
        <v>-1.129702</v>
      </c>
      <c r="AE1300">
        <v>0.82590000000004604</v>
      </c>
      <c r="AF1300">
        <v>-0.81901233061905798</v>
      </c>
      <c r="AG1300">
        <v>-1.129702</v>
      </c>
      <c r="AH1300">
        <v>16.2233301905964</v>
      </c>
      <c r="AI1300">
        <v>93.978277708556405</v>
      </c>
      <c r="AJ1300">
        <v>92.890044468552802</v>
      </c>
      <c r="AK1300">
        <v>16.283226040303798</v>
      </c>
      <c r="AL1300">
        <v>85.707536451291702</v>
      </c>
      <c r="AM1300">
        <v>94.033517942526402</v>
      </c>
      <c r="AN1300">
        <v>0.99999999271740303</v>
      </c>
    </row>
    <row r="1301" spans="1:40" x14ac:dyDescent="0.3">
      <c r="A1301" t="str">
        <f>"20200111145937275"</f>
        <v>20200111145937275</v>
      </c>
      <c r="B1301" t="str">
        <f>"1578725977267130"</f>
        <v>1578725977267130</v>
      </c>
      <c r="C1301" t="s">
        <v>40</v>
      </c>
      <c r="D1301">
        <v>4.1871939999999999</v>
      </c>
      <c r="E1301">
        <v>0.50623289999999999</v>
      </c>
      <c r="F1301" t="s">
        <v>43</v>
      </c>
      <c r="G1301">
        <v>-300.68810000000002</v>
      </c>
      <c r="H1301">
        <v>-0.05</v>
      </c>
      <c r="I1301">
        <v>368.48759999999999</v>
      </c>
      <c r="J1301">
        <v>-317.0566</v>
      </c>
      <c r="K1301">
        <v>1.0785260000000001</v>
      </c>
      <c r="L1301">
        <v>367.63589999999999</v>
      </c>
      <c r="M1301">
        <v>0.99969110000000005</v>
      </c>
      <c r="N1301">
        <v>0</v>
      </c>
      <c r="O1301">
        <v>1.4769659999999999E-4</v>
      </c>
      <c r="P1301">
        <v>0.9962105</v>
      </c>
      <c r="Q1301">
        <v>5.0222959999999997E-2</v>
      </c>
      <c r="R1301">
        <v>7.1009210000000003E-2</v>
      </c>
      <c r="S1301">
        <v>3.0105590000000002</v>
      </c>
      <c r="T1301">
        <v>-0.20641019999999999</v>
      </c>
      <c r="U1301">
        <v>0.1556091</v>
      </c>
      <c r="V1301">
        <v>-7.0848259999999996E-2</v>
      </c>
      <c r="W1301">
        <v>7.4980229999999995E-2</v>
      </c>
      <c r="X1301">
        <v>0.99466500000000002</v>
      </c>
      <c r="Y1301">
        <v>-5.135145E-2</v>
      </c>
      <c r="Z1301">
        <v>1.7470369999999999E-3</v>
      </c>
      <c r="AA1301">
        <v>0.99867910000000004</v>
      </c>
      <c r="AB1301">
        <v>22</v>
      </c>
      <c r="AC1301">
        <v>16.368499999999901</v>
      </c>
      <c r="AD1301">
        <v>-1.1285259999999999</v>
      </c>
      <c r="AE1301">
        <v>0.85169999999999302</v>
      </c>
      <c r="AF1301">
        <v>-0.84527458322666305</v>
      </c>
      <c r="AG1301">
        <v>-1.1285259999999999</v>
      </c>
      <c r="AH1301">
        <v>16.2913950515197</v>
      </c>
      <c r="AI1301">
        <v>93.957316518988193</v>
      </c>
      <c r="AJ1301">
        <v>92.970112578044606</v>
      </c>
      <c r="AK1301">
        <v>16.3522968655295</v>
      </c>
      <c r="AL1301">
        <v>85.6999135733424</v>
      </c>
      <c r="AM1301">
        <v>94.074198035598101</v>
      </c>
      <c r="AN1301">
        <v>0.99999998653043998</v>
      </c>
    </row>
    <row r="1302" spans="1:40" x14ac:dyDescent="0.3">
      <c r="A1302" t="str">
        <f>"20200111145937287"</f>
        <v>20200111145937287</v>
      </c>
      <c r="B1302" t="str">
        <f>"1578725977276890"</f>
        <v>1578725977276890</v>
      </c>
      <c r="C1302" t="s">
        <v>40</v>
      </c>
      <c r="D1302">
        <v>4.145022</v>
      </c>
      <c r="E1302">
        <v>0.50530589999999997</v>
      </c>
      <c r="F1302" t="s">
        <v>43</v>
      </c>
      <c r="G1302">
        <v>-300.06110000000001</v>
      </c>
      <c r="H1302">
        <v>-0.05</v>
      </c>
      <c r="I1302">
        <v>368.57249999999999</v>
      </c>
      <c r="J1302">
        <v>-316.94990000000001</v>
      </c>
      <c r="K1302">
        <v>1.077366</v>
      </c>
      <c r="L1302">
        <v>367.63589999999999</v>
      </c>
      <c r="M1302">
        <v>0.99969969999999997</v>
      </c>
      <c r="N1302">
        <v>0</v>
      </c>
      <c r="O1302">
        <v>1.143507E-4</v>
      </c>
      <c r="P1302">
        <v>0.99614559999999996</v>
      </c>
      <c r="Q1302">
        <v>5.0720660000000001E-2</v>
      </c>
      <c r="R1302">
        <v>7.1564279999999994E-2</v>
      </c>
      <c r="S1302">
        <v>3.009674</v>
      </c>
      <c r="T1302">
        <v>-0.19984679999999999</v>
      </c>
      <c r="U1302">
        <v>0.16586300000000001</v>
      </c>
      <c r="V1302">
        <v>-7.1436990000000006E-2</v>
      </c>
      <c r="W1302">
        <v>7.5129039999999994E-2</v>
      </c>
      <c r="X1302">
        <v>0.99461169999999999</v>
      </c>
      <c r="Y1302">
        <v>-5.4792210000000001E-2</v>
      </c>
      <c r="Z1302">
        <v>1.8081869999999999E-3</v>
      </c>
      <c r="AA1302">
        <v>0.9984961</v>
      </c>
      <c r="AB1302">
        <v>22</v>
      </c>
      <c r="AC1302">
        <v>16.8888</v>
      </c>
      <c r="AD1302">
        <v>-1.1273660000000001</v>
      </c>
      <c r="AE1302">
        <v>0.93659999999999799</v>
      </c>
      <c r="AF1302">
        <v>-0.93053454173761396</v>
      </c>
      <c r="AG1302">
        <v>-1.1273660000000001</v>
      </c>
      <c r="AH1302">
        <v>16.814214820318099</v>
      </c>
      <c r="AI1302">
        <v>93.830005320306</v>
      </c>
      <c r="AJ1302">
        <v>93.167639487576096</v>
      </c>
      <c r="AK1302">
        <v>16.877638124309001</v>
      </c>
      <c r="AL1302">
        <v>85.691363437481698</v>
      </c>
      <c r="AM1302">
        <v>94.108157484121804</v>
      </c>
      <c r="AN1302">
        <v>1.00000002498423</v>
      </c>
    </row>
    <row r="1303" spans="1:40" x14ac:dyDescent="0.3">
      <c r="A1303" t="str">
        <f>"20200111145937299"</f>
        <v>20200111145937299</v>
      </c>
      <c r="B1303" t="str">
        <f>"1578725977297386"</f>
        <v>1578725977297386</v>
      </c>
      <c r="C1303" t="s">
        <v>40</v>
      </c>
      <c r="D1303">
        <v>4.1325209999999997</v>
      </c>
      <c r="E1303">
        <v>0.50502130000000001</v>
      </c>
      <c r="F1303" t="s">
        <v>43</v>
      </c>
      <c r="G1303">
        <v>-299.33730000000003</v>
      </c>
      <c r="H1303">
        <v>-0.05</v>
      </c>
      <c r="I1303">
        <v>368.66050000000001</v>
      </c>
      <c r="J1303">
        <v>-316.83330000000001</v>
      </c>
      <c r="K1303">
        <v>1.0760940000000001</v>
      </c>
      <c r="L1303">
        <v>367.63589999999999</v>
      </c>
      <c r="M1303">
        <v>0.99970930000000002</v>
      </c>
      <c r="N1303">
        <v>0</v>
      </c>
      <c r="O1303" s="1">
        <v>7.7965580000000003E-5</v>
      </c>
      <c r="P1303">
        <v>0.99605909999999998</v>
      </c>
      <c r="Q1303">
        <v>5.14048E-2</v>
      </c>
      <c r="R1303">
        <v>7.227807E-2</v>
      </c>
      <c r="S1303">
        <v>3.0088200000000001</v>
      </c>
      <c r="T1303">
        <v>-0.19259190000000001</v>
      </c>
      <c r="U1303">
        <v>0.17504879999999901</v>
      </c>
      <c r="V1303">
        <v>-7.2187600000000005E-2</v>
      </c>
      <c r="W1303">
        <v>7.5417680000000001E-2</v>
      </c>
      <c r="X1303">
        <v>0.99453559999999996</v>
      </c>
      <c r="Y1303">
        <v>-5.7884610000000003E-2</v>
      </c>
      <c r="Z1303">
        <v>1.844137E-3</v>
      </c>
      <c r="AA1303">
        <v>0.99832160000000003</v>
      </c>
      <c r="AB1303">
        <v>22</v>
      </c>
      <c r="AC1303">
        <v>17.495999999999899</v>
      </c>
      <c r="AD1303">
        <v>-1.1260939999999999</v>
      </c>
      <c r="AE1303">
        <v>1.0246000000000199</v>
      </c>
      <c r="AF1303">
        <v>-1.01902852691435</v>
      </c>
      <c r="AG1303">
        <v>-1.1260939999999999</v>
      </c>
      <c r="AH1303">
        <v>17.424145495580198</v>
      </c>
      <c r="AI1303">
        <v>93.6914995945843</v>
      </c>
      <c r="AJ1303">
        <v>93.347056722250898</v>
      </c>
      <c r="AK1303">
        <v>17.4902073483035</v>
      </c>
      <c r="AL1303">
        <v>85.674778284052906</v>
      </c>
      <c r="AM1303">
        <v>94.151489544109694</v>
      </c>
      <c r="AN1303">
        <v>0.99999996785885004</v>
      </c>
    </row>
    <row r="1304" spans="1:40" x14ac:dyDescent="0.3">
      <c r="A1304" t="str">
        <f>"20200111145937311"</f>
        <v>20200111145937311</v>
      </c>
      <c r="B1304" t="str">
        <f>"1578725977307146"</f>
        <v>1578725977307146</v>
      </c>
      <c r="C1304" t="s">
        <v>40</v>
      </c>
      <c r="D1304">
        <v>4.107653</v>
      </c>
      <c r="E1304">
        <v>0.50487799999999905</v>
      </c>
      <c r="F1304" t="s">
        <v>43</v>
      </c>
      <c r="G1304">
        <v>-297.34280000000001</v>
      </c>
      <c r="H1304">
        <v>-0.05</v>
      </c>
      <c r="I1304">
        <v>368.79739999999998</v>
      </c>
      <c r="J1304">
        <v>-316.72449999999998</v>
      </c>
      <c r="K1304">
        <v>1.074918</v>
      </c>
      <c r="L1304">
        <v>367.63580000000002</v>
      </c>
      <c r="M1304">
        <v>0.99971940000000004</v>
      </c>
      <c r="N1304">
        <v>0</v>
      </c>
      <c r="O1304" s="1">
        <v>4.2707750000000001E-5</v>
      </c>
      <c r="P1304">
        <v>0.99595979999999995</v>
      </c>
      <c r="Q1304">
        <v>5.2253819999999999E-2</v>
      </c>
      <c r="R1304">
        <v>7.3031429999999994E-2</v>
      </c>
      <c r="S1304">
        <v>3.0078130000000001</v>
      </c>
      <c r="T1304">
        <v>-0.17378070000000001</v>
      </c>
      <c r="U1304">
        <v>0.17926029999999901</v>
      </c>
      <c r="V1304">
        <v>-7.2976699999999894E-2</v>
      </c>
      <c r="W1304">
        <v>7.5841800000000001E-2</v>
      </c>
      <c r="X1304">
        <v>0.99444580000000005</v>
      </c>
      <c r="Y1304">
        <v>-5.9351460000000002E-2</v>
      </c>
      <c r="Z1304">
        <v>1.7091509999999999E-3</v>
      </c>
      <c r="AA1304">
        <v>0.99823569999999995</v>
      </c>
      <c r="AB1304">
        <v>22</v>
      </c>
      <c r="AC1304">
        <v>19.381699999999899</v>
      </c>
      <c r="AD1304">
        <v>-1.1249180000000001</v>
      </c>
      <c r="AE1304">
        <v>1.16159999999996</v>
      </c>
      <c r="AF1304">
        <v>-1.1568887937845</v>
      </c>
      <c r="AG1304">
        <v>-1.1249180000000001</v>
      </c>
      <c r="AH1304">
        <v>19.316910279155199</v>
      </c>
      <c r="AI1304">
        <v>93.326901114420096</v>
      </c>
      <c r="AJ1304">
        <v>93.427347547520895</v>
      </c>
      <c r="AK1304">
        <v>19.3841908502996</v>
      </c>
      <c r="AL1304">
        <v>85.650408398250406</v>
      </c>
      <c r="AM1304">
        <v>94.197086821202006</v>
      </c>
      <c r="AN1304">
        <v>1.00000001325388</v>
      </c>
    </row>
    <row r="1305" spans="1:40" x14ac:dyDescent="0.3">
      <c r="A1305" t="str">
        <f>"20200111145937322"</f>
        <v>20200111145937322</v>
      </c>
      <c r="B1305" t="str">
        <f>"1578725977316906"</f>
        <v>1578725977316906</v>
      </c>
      <c r="C1305" t="s">
        <v>40</v>
      </c>
      <c r="D1305">
        <v>4.0940019999999997</v>
      </c>
      <c r="E1305">
        <v>0.50492530000000002</v>
      </c>
      <c r="F1305" t="s">
        <v>43</v>
      </c>
      <c r="G1305">
        <v>-296.44380000000001</v>
      </c>
      <c r="H1305">
        <v>-0.05</v>
      </c>
      <c r="I1305">
        <v>368.86540000000002</v>
      </c>
      <c r="J1305">
        <v>-316.61619999999999</v>
      </c>
      <c r="K1305">
        <v>1.073755</v>
      </c>
      <c r="L1305">
        <v>367.63580000000002</v>
      </c>
      <c r="M1305">
        <v>0.99972969999999906</v>
      </c>
      <c r="N1305">
        <v>0</v>
      </c>
      <c r="O1305" s="1">
        <v>7.3545819999999998E-6</v>
      </c>
      <c r="P1305">
        <v>0.99587079999999994</v>
      </c>
      <c r="Q1305">
        <v>5.3166640000000001E-2</v>
      </c>
      <c r="R1305">
        <v>7.3584709999999998E-2</v>
      </c>
      <c r="S1305">
        <v>3.0075379999999998</v>
      </c>
      <c r="T1305">
        <v>-0.1668211</v>
      </c>
      <c r="U1305">
        <v>0.18234249999999999</v>
      </c>
      <c r="V1305">
        <v>-7.3565790000000006E-2</v>
      </c>
      <c r="W1305">
        <v>7.6319629999999999E-2</v>
      </c>
      <c r="X1305">
        <v>0.99436579999999997</v>
      </c>
      <c r="Y1305">
        <v>-6.0417520000000002E-2</v>
      </c>
      <c r="Z1305">
        <v>1.6723829999999999E-3</v>
      </c>
      <c r="AA1305">
        <v>0.99817180000000005</v>
      </c>
      <c r="AB1305">
        <v>22</v>
      </c>
      <c r="AC1305">
        <v>20.1723999999999</v>
      </c>
      <c r="AD1305">
        <v>-1.1237549999999901</v>
      </c>
      <c r="AE1305">
        <v>1.2296</v>
      </c>
      <c r="AF1305">
        <v>-1.2256620449253199</v>
      </c>
      <c r="AG1305">
        <v>-1.1237549999999901</v>
      </c>
      <c r="AH1305">
        <v>20.110231354825501</v>
      </c>
      <c r="AI1305">
        <v>93.1924369907792</v>
      </c>
      <c r="AJ1305">
        <v>93.487702470958197</v>
      </c>
      <c r="AK1305">
        <v>20.178862155557798</v>
      </c>
      <c r="AL1305">
        <v>85.622951020213705</v>
      </c>
      <c r="AM1305">
        <v>94.2311835908517</v>
      </c>
      <c r="AN1305">
        <v>0.99999997779564997</v>
      </c>
    </row>
    <row r="1306" spans="1:40" x14ac:dyDescent="0.3">
      <c r="A1306" t="str">
        <f>"20200111145937332"</f>
        <v>20200111145937332</v>
      </c>
      <c r="B1306" t="str">
        <f>"1578725977326666"</f>
        <v>1578725977326666</v>
      </c>
      <c r="C1306" t="s">
        <v>40</v>
      </c>
      <c r="D1306">
        <v>4.0729980000000001</v>
      </c>
      <c r="E1306">
        <v>0.50480069999999999</v>
      </c>
      <c r="F1306" t="s">
        <v>43</v>
      </c>
      <c r="G1306">
        <v>-295.79340000000002</v>
      </c>
      <c r="H1306">
        <v>-0.05</v>
      </c>
      <c r="I1306">
        <v>368.90609999999998</v>
      </c>
      <c r="J1306">
        <v>-316.51310000000001</v>
      </c>
      <c r="K1306">
        <v>1.0726770000000001</v>
      </c>
      <c r="L1306">
        <v>367.63569999999999</v>
      </c>
      <c r="M1306">
        <v>0.99974019999999997</v>
      </c>
      <c r="N1306">
        <v>0</v>
      </c>
      <c r="O1306" s="1">
        <v>-2.6729830000000002E-5</v>
      </c>
      <c r="P1306">
        <v>0.99576980000000004</v>
      </c>
      <c r="Q1306">
        <v>5.3989339999999997E-2</v>
      </c>
      <c r="R1306">
        <v>7.4349250000000006E-2</v>
      </c>
      <c r="S1306">
        <v>3.0075379999999998</v>
      </c>
      <c r="T1306">
        <v>-0.1623096</v>
      </c>
      <c r="U1306">
        <v>0.18347169999999999</v>
      </c>
      <c r="V1306">
        <v>-7.4364520000000003E-2</v>
      </c>
      <c r="W1306">
        <v>7.6685719999999999E-2</v>
      </c>
      <c r="X1306">
        <v>0.99427829999999995</v>
      </c>
      <c r="Y1306">
        <v>-6.0829210000000002E-2</v>
      </c>
      <c r="Z1306">
        <v>1.640131E-3</v>
      </c>
      <c r="AA1306">
        <v>0.9981468</v>
      </c>
      <c r="AB1306">
        <v>22</v>
      </c>
      <c r="AC1306">
        <v>20.7196999999999</v>
      </c>
      <c r="AD1306">
        <v>-1.1226769999999999</v>
      </c>
      <c r="AE1306">
        <v>1.27039999999999</v>
      </c>
      <c r="AF1306">
        <v>-1.2672473877724699</v>
      </c>
      <c r="AG1306">
        <v>-1.1226769999999999</v>
      </c>
      <c r="AH1306">
        <v>20.659239525167301</v>
      </c>
      <c r="AI1306">
        <v>93.104718627231506</v>
      </c>
      <c r="AJ1306">
        <v>93.510151752148005</v>
      </c>
      <c r="AK1306">
        <v>20.728494816227698</v>
      </c>
      <c r="AL1306">
        <v>85.601914316773801</v>
      </c>
      <c r="AM1306">
        <v>94.277328494599999</v>
      </c>
      <c r="AN1306">
        <v>1.0000000596688099</v>
      </c>
    </row>
    <row r="1307" spans="1:40" x14ac:dyDescent="0.3">
      <c r="A1307" t="str">
        <f>"20200111145937344"</f>
        <v>20200111145937344</v>
      </c>
      <c r="B1307" t="str">
        <f>"1578725977337401"</f>
        <v>1578725977337401</v>
      </c>
      <c r="C1307" t="s">
        <v>40</v>
      </c>
      <c r="D1307">
        <v>4.1111370000000003</v>
      </c>
      <c r="E1307">
        <v>0.50463029999999998</v>
      </c>
      <c r="F1307" t="s">
        <v>43</v>
      </c>
      <c r="G1307">
        <v>-295.83890000000002</v>
      </c>
      <c r="H1307">
        <v>-0.05</v>
      </c>
      <c r="I1307">
        <v>368.92</v>
      </c>
      <c r="J1307">
        <v>-316.40589999999997</v>
      </c>
      <c r="K1307">
        <v>1.0715730000000001</v>
      </c>
      <c r="L1307">
        <v>367.63569999999999</v>
      </c>
      <c r="M1307">
        <v>0.99975099999999995</v>
      </c>
      <c r="N1307">
        <v>0</v>
      </c>
      <c r="O1307" s="1">
        <v>-6.1877459999999996E-5</v>
      </c>
      <c r="P1307">
        <v>0.99565800000000004</v>
      </c>
      <c r="Q1307">
        <v>5.5197429999999999E-2</v>
      </c>
      <c r="R1307">
        <v>7.4957819999999994E-2</v>
      </c>
      <c r="S1307">
        <v>3.0076900000000002</v>
      </c>
      <c r="T1307">
        <v>-0.1633271</v>
      </c>
      <c r="U1307">
        <v>0.18682860000000001</v>
      </c>
      <c r="V1307">
        <v>-7.5008359999999996E-2</v>
      </c>
      <c r="W1307">
        <v>7.7414049999999998E-2</v>
      </c>
      <c r="X1307">
        <v>0.99417339999999998</v>
      </c>
      <c r="Y1307">
        <v>-6.1968219999999997E-2</v>
      </c>
      <c r="Z1307">
        <v>1.6830370000000001E-3</v>
      </c>
      <c r="AA1307">
        <v>0.99807670000000004</v>
      </c>
      <c r="AB1307">
        <v>22</v>
      </c>
      <c r="AC1307">
        <v>20.566999999999901</v>
      </c>
      <c r="AD1307">
        <v>-1.1215729999999999</v>
      </c>
      <c r="AE1307">
        <v>1.28430000000003</v>
      </c>
      <c r="AF1307">
        <v>-1.2817759957486901</v>
      </c>
      <c r="AG1307">
        <v>-1.1215729999999999</v>
      </c>
      <c r="AH1307">
        <v>20.506175867666201</v>
      </c>
      <c r="AI1307">
        <v>93.124553157393905</v>
      </c>
      <c r="AJ1307">
        <v>93.576724034360694</v>
      </c>
      <c r="AK1307">
        <v>20.576786056458399</v>
      </c>
      <c r="AL1307">
        <v>85.560059257030801</v>
      </c>
      <c r="AM1307">
        <v>94.3146754182672</v>
      </c>
      <c r="AN1307">
        <v>0.99999996923742496</v>
      </c>
    </row>
    <row r="1308" spans="1:40" x14ac:dyDescent="0.3">
      <c r="A1308" t="str">
        <f>"20200111145937353"</f>
        <v>20200111145937353</v>
      </c>
      <c r="B1308" t="str">
        <f>"1578725977347161"</f>
        <v>1578725977347161</v>
      </c>
      <c r="C1308" t="s">
        <v>40</v>
      </c>
      <c r="D1308">
        <v>4.061979</v>
      </c>
      <c r="E1308">
        <v>0.50480340000000001</v>
      </c>
      <c r="F1308" t="s">
        <v>43</v>
      </c>
      <c r="G1308">
        <v>-295.4837</v>
      </c>
      <c r="H1308">
        <v>-0.05</v>
      </c>
      <c r="I1308">
        <v>368.95839999999998</v>
      </c>
      <c r="J1308">
        <v>-316.30360000000002</v>
      </c>
      <c r="K1308">
        <v>1.0705559999999901</v>
      </c>
      <c r="L1308">
        <v>367.63569999999999</v>
      </c>
      <c r="M1308">
        <v>0.99976129999999996</v>
      </c>
      <c r="N1308">
        <v>0</v>
      </c>
      <c r="O1308" s="1">
        <v>-9.4387240000000006E-5</v>
      </c>
      <c r="P1308">
        <v>0.99556679999999997</v>
      </c>
      <c r="Q1308">
        <v>5.6297199999999999E-2</v>
      </c>
      <c r="R1308">
        <v>7.5349120000000006E-2</v>
      </c>
      <c r="S1308">
        <v>3.0077210000000001</v>
      </c>
      <c r="T1308">
        <v>-0.16123379999999901</v>
      </c>
      <c r="U1308">
        <v>0.19015499999999999</v>
      </c>
      <c r="V1308">
        <v>-7.5431739999999997E-2</v>
      </c>
      <c r="W1308">
        <v>7.8046329999999997E-2</v>
      </c>
      <c r="X1308">
        <v>0.99409199999999998</v>
      </c>
      <c r="Y1308">
        <v>-6.3100169999999997E-2</v>
      </c>
      <c r="Z1308">
        <v>1.6934509999999999E-3</v>
      </c>
      <c r="AA1308">
        <v>0.9980057</v>
      </c>
      <c r="AB1308">
        <v>22</v>
      </c>
      <c r="AC1308">
        <v>20.819900000000001</v>
      </c>
      <c r="AD1308">
        <v>-1.1205560000000001</v>
      </c>
      <c r="AE1308">
        <v>1.32269999999999</v>
      </c>
      <c r="AF1308">
        <v>-1.3208548011618999</v>
      </c>
      <c r="AG1308">
        <v>-1.1205560000000001</v>
      </c>
      <c r="AH1308">
        <v>20.759880749198299</v>
      </c>
      <c r="AI1308">
        <v>93.083433017679098</v>
      </c>
      <c r="AJ1308">
        <v>93.640557104532405</v>
      </c>
      <c r="AK1308">
        <v>20.832017470130499</v>
      </c>
      <c r="AL1308">
        <v>85.523722660738699</v>
      </c>
      <c r="AM1308">
        <v>94.339290521132298</v>
      </c>
      <c r="AN1308">
        <v>1.0000000407449401</v>
      </c>
    </row>
    <row r="1309" spans="1:40" x14ac:dyDescent="0.3">
      <c r="A1309" t="str">
        <f>"20200111145937364"</f>
        <v>20200111145937364</v>
      </c>
      <c r="B1309" t="str">
        <f>"1578725977356922"</f>
        <v>1578725977356922</v>
      </c>
      <c r="C1309" t="s">
        <v>40</v>
      </c>
      <c r="D1309">
        <v>4.0332330000000001</v>
      </c>
      <c r="E1309">
        <v>0.50534679999999998</v>
      </c>
      <c r="F1309" t="s">
        <v>43</v>
      </c>
      <c r="G1309">
        <v>-294.5976</v>
      </c>
      <c r="H1309">
        <v>-0.05</v>
      </c>
      <c r="I1309">
        <v>369.00749999999999</v>
      </c>
      <c r="J1309">
        <v>-316.202</v>
      </c>
      <c r="K1309">
        <v>1.069577</v>
      </c>
      <c r="L1309">
        <v>367.63569999999999</v>
      </c>
      <c r="M1309">
        <v>0.99977119999999997</v>
      </c>
      <c r="N1309">
        <v>0</v>
      </c>
      <c r="O1309">
        <v>-1.2547369999999999E-4</v>
      </c>
      <c r="P1309">
        <v>0.99547450000000004</v>
      </c>
      <c r="Q1309">
        <v>5.730093E-2</v>
      </c>
      <c r="R1309">
        <v>7.5810680000000005E-2</v>
      </c>
      <c r="S1309">
        <v>3.0077509999999998</v>
      </c>
      <c r="T1309">
        <v>-0.15527249999999901</v>
      </c>
      <c r="U1309">
        <v>0.19009400000000001</v>
      </c>
      <c r="V1309">
        <v>-7.5924749999999999E-2</v>
      </c>
      <c r="W1309">
        <v>7.8593949999999996E-2</v>
      </c>
      <c r="X1309">
        <v>0.99401130000000004</v>
      </c>
      <c r="Y1309">
        <v>-6.3116909999999998E-2</v>
      </c>
      <c r="Z1309">
        <v>1.632943E-3</v>
      </c>
      <c r="AA1309">
        <v>0.99800480000000003</v>
      </c>
      <c r="AB1309">
        <v>22</v>
      </c>
      <c r="AC1309">
        <v>21.604399999999998</v>
      </c>
      <c r="AD1309">
        <v>-1.119577</v>
      </c>
      <c r="AE1309">
        <v>1.3717999999999999</v>
      </c>
      <c r="AF1309">
        <v>-1.3708447867384601</v>
      </c>
      <c r="AG1309">
        <v>-1.119577</v>
      </c>
      <c r="AH1309">
        <v>21.546596853225399</v>
      </c>
      <c r="AI1309">
        <v>92.968464743465901</v>
      </c>
      <c r="AJ1309">
        <v>93.640384674041002</v>
      </c>
      <c r="AK1309">
        <v>21.619169827809799</v>
      </c>
      <c r="AL1309">
        <v>85.492249578931904</v>
      </c>
      <c r="AM1309">
        <v>94.367895271170795</v>
      </c>
      <c r="AN1309">
        <v>1.0000000205834201</v>
      </c>
    </row>
    <row r="1310" spans="1:40" x14ac:dyDescent="0.3">
      <c r="A1310" t="str">
        <f>"20200111145937376"</f>
        <v>20200111145937376</v>
      </c>
      <c r="B1310" t="str">
        <f>"1578725977366708"</f>
        <v>1578725977366708</v>
      </c>
      <c r="C1310" t="s">
        <v>40</v>
      </c>
      <c r="D1310">
        <v>4.042789</v>
      </c>
      <c r="E1310">
        <v>0.50558619999999999</v>
      </c>
      <c r="F1310" t="s">
        <v>43</v>
      </c>
      <c r="G1310">
        <v>-293.90789999999998</v>
      </c>
      <c r="H1310">
        <v>-0.05</v>
      </c>
      <c r="I1310">
        <v>369.02420000000001</v>
      </c>
      <c r="J1310">
        <v>-316.08909999999997</v>
      </c>
      <c r="K1310">
        <v>1.068535</v>
      </c>
      <c r="L1310">
        <v>367.63560000000001</v>
      </c>
      <c r="M1310">
        <v>0.99978160000000005</v>
      </c>
      <c r="N1310">
        <v>0</v>
      </c>
      <c r="O1310">
        <v>-1.578951E-4</v>
      </c>
      <c r="P1310">
        <v>0.99541310000000005</v>
      </c>
      <c r="Q1310">
        <v>5.7908580000000001E-2</v>
      </c>
      <c r="R1310">
        <v>7.615516E-2</v>
      </c>
      <c r="S1310">
        <v>3.0080870000000002</v>
      </c>
      <c r="T1310">
        <v>-0.15106169999999999</v>
      </c>
      <c r="U1310">
        <v>0.1873474</v>
      </c>
      <c r="V1310">
        <v>-7.6300889999999996E-2</v>
      </c>
      <c r="W1310">
        <v>7.8708509999999995E-2</v>
      </c>
      <c r="X1310">
        <v>0.99397340000000001</v>
      </c>
      <c r="Y1310">
        <v>-6.2240089999999998E-2</v>
      </c>
      <c r="Z1310">
        <v>1.5682280000000001E-3</v>
      </c>
      <c r="AA1310">
        <v>0.99805999999999995</v>
      </c>
      <c r="AB1310">
        <v>22</v>
      </c>
      <c r="AC1310">
        <v>22.181199999999901</v>
      </c>
      <c r="AD1310">
        <v>-1.1185350000000001</v>
      </c>
      <c r="AE1310">
        <v>1.3885999999999901</v>
      </c>
      <c r="AF1310">
        <v>-1.38858580168376</v>
      </c>
      <c r="AG1310">
        <v>-1.1185350000000001</v>
      </c>
      <c r="AH1310">
        <v>22.1249385746342</v>
      </c>
      <c r="AI1310">
        <v>92.888473210869805</v>
      </c>
      <c r="AJ1310">
        <v>93.591236674277098</v>
      </c>
      <c r="AK1310">
        <v>22.1966708766473</v>
      </c>
      <c r="AL1310">
        <v>85.4856652289332</v>
      </c>
      <c r="AM1310">
        <v>94.389616682564693</v>
      </c>
      <c r="AN1310">
        <v>0.99999998763438602</v>
      </c>
    </row>
    <row r="1311" spans="1:40" x14ac:dyDescent="0.3">
      <c r="A1311" t="str">
        <f>"20200111145937388"</f>
        <v>20200111145937388</v>
      </c>
      <c r="B1311" t="str">
        <f>"1578725977377443"</f>
        <v>1578725977377443</v>
      </c>
      <c r="C1311" t="s">
        <v>40</v>
      </c>
      <c r="D1311">
        <v>4.0126759999999999</v>
      </c>
      <c r="E1311">
        <v>0.50571049999999995</v>
      </c>
      <c r="F1311" t="s">
        <v>43</v>
      </c>
      <c r="G1311">
        <v>-293.45170000000002</v>
      </c>
      <c r="H1311">
        <v>-0.05</v>
      </c>
      <c r="I1311">
        <v>369.0385</v>
      </c>
      <c r="J1311">
        <v>-315.97669999999999</v>
      </c>
      <c r="K1311">
        <v>1.067558</v>
      </c>
      <c r="L1311">
        <v>367.63560000000001</v>
      </c>
      <c r="M1311">
        <v>0.99979130000000005</v>
      </c>
      <c r="N1311">
        <v>0</v>
      </c>
      <c r="O1311">
        <v>-1.8810039999999999E-4</v>
      </c>
      <c r="P1311">
        <v>0.99536820000000004</v>
      </c>
      <c r="Q1311">
        <v>5.8451099999999999E-2</v>
      </c>
      <c r="R1311">
        <v>7.632717E-2</v>
      </c>
      <c r="S1311">
        <v>3.0082089999999999</v>
      </c>
      <c r="T1311">
        <v>-0.14863879999999999</v>
      </c>
      <c r="U1311">
        <v>0.18643190000000001</v>
      </c>
      <c r="V1311">
        <v>-7.6502799999999996E-2</v>
      </c>
      <c r="W1311">
        <v>7.8785519999999998E-2</v>
      </c>
      <c r="X1311">
        <v>0.99395180000000005</v>
      </c>
      <c r="Y1311">
        <v>-6.1967939999999999E-2</v>
      </c>
      <c r="Z1311">
        <v>1.5378360000000001E-3</v>
      </c>
      <c r="AA1311">
        <v>0.99807699999999999</v>
      </c>
      <c r="AB1311">
        <v>22</v>
      </c>
      <c r="AC1311">
        <v>22.524999999999899</v>
      </c>
      <c r="AD1311">
        <v>-1.1175580000000001</v>
      </c>
      <c r="AE1311">
        <v>1.4028999999999801</v>
      </c>
      <c r="AF1311">
        <v>-1.4036958898253999</v>
      </c>
      <c r="AG1311">
        <v>-1.1175580000000001</v>
      </c>
      <c r="AH1311">
        <v>22.469639002509201</v>
      </c>
      <c r="AI1311">
        <v>92.841806392455197</v>
      </c>
      <c r="AJ1311">
        <v>93.574666741767601</v>
      </c>
      <c r="AK1311">
        <v>22.541161792098499</v>
      </c>
      <c r="AL1311">
        <v>85.481239231396501</v>
      </c>
      <c r="AM1311">
        <v>94.401282323122103</v>
      </c>
      <c r="AN1311">
        <v>1.0000000086463701</v>
      </c>
    </row>
    <row r="1312" spans="1:40" x14ac:dyDescent="0.3">
      <c r="A1312" t="str">
        <f>"20200111145937400"</f>
        <v>20200111145937400</v>
      </c>
      <c r="B1312" t="str">
        <f>"1578725977396963"</f>
        <v>1578725977396963</v>
      </c>
      <c r="C1312" t="s">
        <v>40</v>
      </c>
      <c r="D1312">
        <v>4.0031600000000003</v>
      </c>
      <c r="E1312">
        <v>0.50609589999999904</v>
      </c>
      <c r="F1312" t="s">
        <v>43</v>
      </c>
      <c r="G1312">
        <v>-292.97019999999998</v>
      </c>
      <c r="H1312">
        <v>-0.05</v>
      </c>
      <c r="I1312">
        <v>369.05739999999997</v>
      </c>
      <c r="J1312">
        <v>-315.85840000000002</v>
      </c>
      <c r="K1312">
        <v>1.066559</v>
      </c>
      <c r="L1312">
        <v>367.63549999999998</v>
      </c>
      <c r="M1312">
        <v>0.99980100000000005</v>
      </c>
      <c r="N1312">
        <v>0</v>
      </c>
      <c r="O1312">
        <v>-2.1877490000000001E-4</v>
      </c>
      <c r="P1312">
        <v>0.99532869999999996</v>
      </c>
      <c r="Q1312">
        <v>5.8825710000000003E-2</v>
      </c>
      <c r="R1312">
        <v>7.655431E-2</v>
      </c>
      <c r="S1312">
        <v>3.00827</v>
      </c>
      <c r="T1312">
        <v>-0.14612849999999999</v>
      </c>
      <c r="U1312">
        <v>0.1859131</v>
      </c>
      <c r="V1312">
        <v>-7.6760780000000001E-2</v>
      </c>
      <c r="W1312">
        <v>7.8682859999999993E-2</v>
      </c>
      <c r="X1312">
        <v>0.99394009999999999</v>
      </c>
      <c r="Y1312">
        <v>-6.182849E-2</v>
      </c>
      <c r="Z1312">
        <v>1.5099779999999999E-3</v>
      </c>
      <c r="AA1312">
        <v>0.99808560000000002</v>
      </c>
      <c r="AB1312">
        <v>22</v>
      </c>
      <c r="AC1312">
        <v>22.888200000000001</v>
      </c>
      <c r="AD1312">
        <v>-1.1165590000000001</v>
      </c>
      <c r="AE1312">
        <v>1.4218999999999899</v>
      </c>
      <c r="AF1312">
        <v>-1.42353362801747</v>
      </c>
      <c r="AG1312">
        <v>-1.1165590000000001</v>
      </c>
      <c r="AH1312">
        <v>22.833757496470898</v>
      </c>
      <c r="AI1312">
        <v>92.794088222474201</v>
      </c>
      <c r="AJ1312">
        <v>93.567395558871695</v>
      </c>
      <c r="AK1312">
        <v>22.905318888813099</v>
      </c>
      <c r="AL1312">
        <v>85.487139792501296</v>
      </c>
      <c r="AM1312">
        <v>94.416117335758898</v>
      </c>
      <c r="AN1312">
        <v>1.00000006609599</v>
      </c>
    </row>
    <row r="1313" spans="1:40" x14ac:dyDescent="0.3">
      <c r="A1313" t="str">
        <f>"20200111145937412"</f>
        <v>20200111145937412</v>
      </c>
      <c r="B1313" t="str">
        <f>"1578725977406723"</f>
        <v>1578725977406723</v>
      </c>
      <c r="C1313" t="s">
        <v>40</v>
      </c>
      <c r="D1313">
        <v>4.001379</v>
      </c>
      <c r="E1313">
        <v>0.50624659999999999</v>
      </c>
      <c r="F1313" t="s">
        <v>43</v>
      </c>
      <c r="G1313">
        <v>-292.4701</v>
      </c>
      <c r="H1313">
        <v>-0.05</v>
      </c>
      <c r="I1313">
        <v>369.06270000000001</v>
      </c>
      <c r="J1313">
        <v>-315.74459999999999</v>
      </c>
      <c r="K1313">
        <v>1.0656859999999999</v>
      </c>
      <c r="L1313">
        <v>367.6354</v>
      </c>
      <c r="M1313">
        <v>0.99980950000000002</v>
      </c>
      <c r="N1313">
        <v>0</v>
      </c>
      <c r="O1313">
        <v>-2.4475130000000002E-4</v>
      </c>
      <c r="P1313">
        <v>0.99536009999999997</v>
      </c>
      <c r="Q1313">
        <v>5.8497540000000001E-2</v>
      </c>
      <c r="R1313">
        <v>7.6396930000000002E-2</v>
      </c>
      <c r="S1313">
        <v>3.0084529999999998</v>
      </c>
      <c r="T1313">
        <v>-0.1436239</v>
      </c>
      <c r="U1313">
        <v>0.1835938</v>
      </c>
      <c r="V1313">
        <v>-7.6628799999999997E-2</v>
      </c>
      <c r="W1313">
        <v>7.7933680000000005E-2</v>
      </c>
      <c r="X1313">
        <v>0.99400929999999998</v>
      </c>
      <c r="Y1313">
        <v>-6.1087389999999998E-2</v>
      </c>
      <c r="Z1313">
        <v>1.4676470000000001E-3</v>
      </c>
      <c r="AA1313">
        <v>0.99813130000000005</v>
      </c>
      <c r="AB1313">
        <v>22</v>
      </c>
      <c r="AC1313">
        <v>23.2744999999999</v>
      </c>
      <c r="AD1313">
        <v>-1.115686</v>
      </c>
      <c r="AE1313">
        <v>1.4273</v>
      </c>
      <c r="AF1313">
        <v>-1.4297245110064001</v>
      </c>
      <c r="AG1313">
        <v>-1.115686</v>
      </c>
      <c r="AH1313">
        <v>23.220991268830399</v>
      </c>
      <c r="AI1313">
        <v>92.745551796759401</v>
      </c>
      <c r="AJ1313">
        <v>93.523273434767702</v>
      </c>
      <c r="AK1313">
        <v>23.291700301503699</v>
      </c>
      <c r="AL1313">
        <v>85.530196835339694</v>
      </c>
      <c r="AM1313">
        <v>94.408248664462903</v>
      </c>
      <c r="AN1313">
        <v>1.0000000599771299</v>
      </c>
    </row>
    <row r="1314" spans="1:40" x14ac:dyDescent="0.3">
      <c r="A1314" t="str">
        <f>"20200111145937424"</f>
        <v>20200111145937424</v>
      </c>
      <c r="B1314" t="str">
        <f>"1578725977417459"</f>
        <v>1578725977417459</v>
      </c>
      <c r="C1314" t="s">
        <v>40</v>
      </c>
      <c r="D1314">
        <v>3.9721760000000002</v>
      </c>
      <c r="E1314">
        <v>0.50628700000000004</v>
      </c>
      <c r="F1314" t="s">
        <v>43</v>
      </c>
      <c r="G1314">
        <v>-292.34269999999998</v>
      </c>
      <c r="H1314">
        <v>-0.05</v>
      </c>
      <c r="I1314">
        <v>369.05070000000001</v>
      </c>
      <c r="J1314">
        <v>-315.637</v>
      </c>
      <c r="K1314">
        <v>1.0648850000000001</v>
      </c>
      <c r="L1314">
        <v>367.63529999999997</v>
      </c>
      <c r="M1314">
        <v>0.99981710000000001</v>
      </c>
      <c r="N1314">
        <v>0</v>
      </c>
      <c r="O1314">
        <v>-2.7038380000000002E-4</v>
      </c>
      <c r="P1314">
        <v>0.99536820000000004</v>
      </c>
      <c r="Q1314">
        <v>5.8465290000000003E-2</v>
      </c>
      <c r="R1314">
        <v>7.6318919999999998E-2</v>
      </c>
      <c r="S1314">
        <v>3.0084529999999998</v>
      </c>
      <c r="T1314">
        <v>-0.14342769999999999</v>
      </c>
      <c r="U1314">
        <v>0.18194579999999999</v>
      </c>
      <c r="V1314">
        <v>-7.6575879999999999E-2</v>
      </c>
      <c r="W1314">
        <v>7.7509610000000007E-2</v>
      </c>
      <c r="X1314">
        <v>0.9940464</v>
      </c>
      <c r="Y1314">
        <v>-6.056897E-2</v>
      </c>
      <c r="Z1314">
        <v>1.4545490000000001E-3</v>
      </c>
      <c r="AA1314">
        <v>0.99816289999999996</v>
      </c>
      <c r="AB1314">
        <v>22</v>
      </c>
      <c r="AC1314">
        <v>23.2943</v>
      </c>
      <c r="AD1314">
        <v>-1.1148849999999999</v>
      </c>
      <c r="AE1314">
        <v>1.41540000000003</v>
      </c>
      <c r="AF1314">
        <v>-1.41846223737505</v>
      </c>
      <c r="AG1314">
        <v>-1.1148849999999999</v>
      </c>
      <c r="AH1314">
        <v>23.240875237843198</v>
      </c>
      <c r="AI1314">
        <v>92.741329748037401</v>
      </c>
      <c r="AJ1314">
        <v>93.492605596933899</v>
      </c>
      <c r="AK1314">
        <v>23.3107976161923</v>
      </c>
      <c r="AL1314">
        <v>85.554567375227506</v>
      </c>
      <c r="AM1314">
        <v>94.405052541497398</v>
      </c>
      <c r="AN1314">
        <v>0.99999992519654002</v>
      </c>
    </row>
    <row r="1315" spans="1:40" x14ac:dyDescent="0.3">
      <c r="A1315" t="str">
        <f>"20200111145937436"</f>
        <v>20200111145937436</v>
      </c>
      <c r="B1315" t="str">
        <f>"1578725977427220"</f>
        <v>1578725977427220</v>
      </c>
      <c r="C1315" t="s">
        <v>40</v>
      </c>
      <c r="D1315">
        <v>3.995889</v>
      </c>
      <c r="E1315">
        <v>0.50629429999999997</v>
      </c>
      <c r="F1315" t="s">
        <v>43</v>
      </c>
      <c r="G1315">
        <v>-292.15640000000002</v>
      </c>
      <c r="H1315">
        <v>-0.05</v>
      </c>
      <c r="I1315">
        <v>369.05130000000003</v>
      </c>
      <c r="J1315">
        <v>-315.51170000000002</v>
      </c>
      <c r="K1315">
        <v>1.0640240000000001</v>
      </c>
      <c r="L1315">
        <v>367.63529999999997</v>
      </c>
      <c r="M1315">
        <v>0.99982519999999997</v>
      </c>
      <c r="N1315">
        <v>0</v>
      </c>
      <c r="O1315">
        <v>-3.0258930000000002E-4</v>
      </c>
      <c r="P1315">
        <v>0.99541840000000004</v>
      </c>
      <c r="Q1315">
        <v>5.8138799999999997E-2</v>
      </c>
      <c r="R1315">
        <v>7.5909229999999994E-2</v>
      </c>
      <c r="S1315">
        <v>3.0084230000000001</v>
      </c>
      <c r="T1315">
        <v>-0.14284330000000001</v>
      </c>
      <c r="U1315">
        <v>0.181427</v>
      </c>
      <c r="V1315">
        <v>-7.6198779999999994E-2</v>
      </c>
      <c r="W1315">
        <v>7.6753710000000003E-2</v>
      </c>
      <c r="X1315">
        <v>0.99413410000000002</v>
      </c>
      <c r="Y1315">
        <v>-6.0430909999999997E-2</v>
      </c>
      <c r="Z1315">
        <v>1.446906E-3</v>
      </c>
      <c r="AA1315">
        <v>0.99817129999999998</v>
      </c>
      <c r="AB1315">
        <v>22</v>
      </c>
      <c r="AC1315">
        <v>23.3553</v>
      </c>
      <c r="AD1315">
        <v>-1.1140239999999999</v>
      </c>
      <c r="AE1315">
        <v>1.4160000000000501</v>
      </c>
      <c r="AF1315">
        <v>-1.4198496336958699</v>
      </c>
      <c r="AG1315">
        <v>-1.1140239999999999</v>
      </c>
      <c r="AH1315">
        <v>23.3020479053258</v>
      </c>
      <c r="AI1315">
        <v>92.732052499546</v>
      </c>
      <c r="AJ1315">
        <v>93.486858161715304</v>
      </c>
      <c r="AK1315">
        <v>23.371830459700401</v>
      </c>
      <c r="AL1315">
        <v>85.598006987165803</v>
      </c>
      <c r="AM1315">
        <v>94.383059306795204</v>
      </c>
      <c r="AN1315">
        <v>0.99999999742753098</v>
      </c>
    </row>
    <row r="1316" spans="1:40" x14ac:dyDescent="0.3">
      <c r="A1316" t="str">
        <f>"20200111145937447"</f>
        <v>20200111145937447</v>
      </c>
      <c r="B1316" t="str">
        <f>"1578725977436979"</f>
        <v>1578725977436979</v>
      </c>
      <c r="C1316" t="s">
        <v>40</v>
      </c>
      <c r="D1316">
        <v>3.9904280000000001</v>
      </c>
      <c r="E1316">
        <v>0.50633760000000005</v>
      </c>
      <c r="F1316" t="s">
        <v>43</v>
      </c>
      <c r="G1316">
        <v>-291.94749999999999</v>
      </c>
      <c r="H1316">
        <v>-0.05</v>
      </c>
      <c r="I1316">
        <v>369.04489999999998</v>
      </c>
      <c r="J1316">
        <v>-315.40750000000003</v>
      </c>
      <c r="K1316">
        <v>1.0633539999999999</v>
      </c>
      <c r="L1316">
        <v>367.6352</v>
      </c>
      <c r="M1316">
        <v>0.99983160000000004</v>
      </c>
      <c r="N1316">
        <v>0</v>
      </c>
      <c r="O1316">
        <v>-3.327262E-4</v>
      </c>
      <c r="P1316">
        <v>0.99547030000000003</v>
      </c>
      <c r="Q1316">
        <v>5.7890089999999998E-2</v>
      </c>
      <c r="R1316">
        <v>7.5419570000000005E-2</v>
      </c>
      <c r="S1316">
        <v>3.0083920000000002</v>
      </c>
      <c r="T1316">
        <v>-0.14222470000000001</v>
      </c>
      <c r="U1316">
        <v>0.17996219999999999</v>
      </c>
      <c r="V1316">
        <v>-7.5739539999999994E-2</v>
      </c>
      <c r="W1316">
        <v>7.6165109999999994E-2</v>
      </c>
      <c r="X1316">
        <v>0.9942145</v>
      </c>
      <c r="Y1316">
        <v>-5.9978360000000001E-2</v>
      </c>
      <c r="Z1316">
        <v>1.4314229999999901E-3</v>
      </c>
      <c r="AA1316">
        <v>0.99819860000000005</v>
      </c>
      <c r="AB1316">
        <v>22</v>
      </c>
      <c r="AC1316">
        <v>23.46</v>
      </c>
      <c r="AD1316">
        <v>-1.113354</v>
      </c>
      <c r="AE1316">
        <v>1.40969999999998</v>
      </c>
      <c r="AF1316">
        <v>-1.4143330659550599</v>
      </c>
      <c r="AG1316">
        <v>-1.113354</v>
      </c>
      <c r="AH1316">
        <v>23.407001560182501</v>
      </c>
      <c r="AI1316">
        <v>92.718270993907495</v>
      </c>
      <c r="AJ1316">
        <v>93.457807733110002</v>
      </c>
      <c r="AK1316">
        <v>23.476107368751698</v>
      </c>
      <c r="AL1316">
        <v>85.631830467718601</v>
      </c>
      <c r="AM1316">
        <v>94.3563942362765</v>
      </c>
      <c r="AN1316">
        <v>1.00000003695548</v>
      </c>
    </row>
    <row r="1317" spans="1:40" x14ac:dyDescent="0.3">
      <c r="A1317" t="str">
        <f>"20200111145937459"</f>
        <v>20200111145937459</v>
      </c>
      <c r="B1317" t="str">
        <f>"1578725977456499"</f>
        <v>1578725977456499</v>
      </c>
      <c r="C1317" t="s">
        <v>40</v>
      </c>
      <c r="D1317">
        <v>3.902666</v>
      </c>
      <c r="E1317">
        <v>0.50635680000000005</v>
      </c>
      <c r="F1317" t="s">
        <v>43</v>
      </c>
      <c r="G1317">
        <v>-291.79849999999999</v>
      </c>
      <c r="H1317">
        <v>-0.05</v>
      </c>
      <c r="I1317">
        <v>369.03469999999999</v>
      </c>
      <c r="J1317">
        <v>-315.29109999999997</v>
      </c>
      <c r="K1317">
        <v>1.0626409999999999</v>
      </c>
      <c r="L1317">
        <v>367.63510000000002</v>
      </c>
      <c r="M1317">
        <v>0.99983820000000001</v>
      </c>
      <c r="N1317">
        <v>0</v>
      </c>
      <c r="O1317">
        <v>-3.683658E-4</v>
      </c>
      <c r="P1317">
        <v>0.99552430000000003</v>
      </c>
      <c r="Q1317">
        <v>5.7648520000000002E-2</v>
      </c>
      <c r="R1317">
        <v>7.4886430000000004E-2</v>
      </c>
      <c r="S1317">
        <v>3.0083920000000002</v>
      </c>
      <c r="T1317">
        <v>-0.14186949999999901</v>
      </c>
      <c r="U1317">
        <v>0.17834469999999999</v>
      </c>
      <c r="V1317">
        <v>-7.5242400000000001E-2</v>
      </c>
      <c r="W1317">
        <v>7.5555559999999994E-2</v>
      </c>
      <c r="X1317">
        <v>0.99429869999999998</v>
      </c>
      <c r="Y1317">
        <v>-5.9479999999999998E-2</v>
      </c>
      <c r="Z1317">
        <v>1.41782E-3</v>
      </c>
      <c r="AA1317">
        <v>0.99822849999999996</v>
      </c>
      <c r="AB1317">
        <v>22</v>
      </c>
      <c r="AC1317">
        <v>23.4925999999999</v>
      </c>
      <c r="AD1317">
        <v>-1.112641</v>
      </c>
      <c r="AE1317">
        <v>1.39959999999996</v>
      </c>
      <c r="AF1317">
        <v>-1.4051145150643201</v>
      </c>
      <c r="AG1317">
        <v>-1.112641</v>
      </c>
      <c r="AH1317">
        <v>23.439691223522399</v>
      </c>
      <c r="AI1317">
        <v>92.712827483233895</v>
      </c>
      <c r="AJ1317">
        <v>93.4305445194003</v>
      </c>
      <c r="AK1317">
        <v>23.508114374602599</v>
      </c>
      <c r="AL1317">
        <v>85.666855803443696</v>
      </c>
      <c r="AM1317">
        <v>94.327543583350106</v>
      </c>
      <c r="AN1317">
        <v>0.99999998311318095</v>
      </c>
    </row>
    <row r="1318" spans="1:40" x14ac:dyDescent="0.3">
      <c r="A1318" t="str">
        <f>"20200111145937471"</f>
        <v>20200111145937471</v>
      </c>
      <c r="B1318" t="str">
        <f>"1578725977467235"</f>
        <v>1578725977467235</v>
      </c>
      <c r="C1318" t="s">
        <v>40</v>
      </c>
      <c r="D1318">
        <v>3.863413</v>
      </c>
      <c r="E1318">
        <v>0.50629950000000001</v>
      </c>
      <c r="F1318" t="s">
        <v>43</v>
      </c>
      <c r="G1318">
        <v>-291.66809999999998</v>
      </c>
      <c r="H1318">
        <v>-0.05</v>
      </c>
      <c r="I1318">
        <v>369.0197</v>
      </c>
      <c r="J1318">
        <v>-315.18520000000001</v>
      </c>
      <c r="K1318">
        <v>1.062057</v>
      </c>
      <c r="L1318">
        <v>367.63499999999999</v>
      </c>
      <c r="M1318">
        <v>0.9998437</v>
      </c>
      <c r="N1318">
        <v>0</v>
      </c>
      <c r="O1318">
        <v>-3.9634810000000001E-4</v>
      </c>
      <c r="P1318">
        <v>0.99558120000000006</v>
      </c>
      <c r="Q1318">
        <v>5.7356560000000001E-2</v>
      </c>
      <c r="R1318">
        <v>7.4353909999999995E-2</v>
      </c>
      <c r="S1318">
        <v>3.0084230000000001</v>
      </c>
      <c r="T1318">
        <v>-0.14169660000000001</v>
      </c>
      <c r="U1318">
        <v>0.1763306</v>
      </c>
      <c r="V1318">
        <v>-7.4737999999999999E-2</v>
      </c>
      <c r="W1318">
        <v>7.4956460000000003E-2</v>
      </c>
      <c r="X1318">
        <v>0.99438210000000005</v>
      </c>
      <c r="Y1318">
        <v>-5.8842159999999998E-2</v>
      </c>
      <c r="Z1318">
        <v>1.4024230000000001E-3</v>
      </c>
      <c r="AA1318">
        <v>0.99826630000000005</v>
      </c>
      <c r="AB1318">
        <v>22</v>
      </c>
      <c r="AC1318">
        <v>23.517099999999999</v>
      </c>
      <c r="AD1318">
        <v>-1.1120570000000001</v>
      </c>
      <c r="AE1318">
        <v>1.3847</v>
      </c>
      <c r="AF1318">
        <v>-1.39092284184524</v>
      </c>
      <c r="AG1318">
        <v>-1.1120570000000001</v>
      </c>
      <c r="AH1318">
        <v>23.4642626416986</v>
      </c>
      <c r="AI1318">
        <v>92.708677847798498</v>
      </c>
      <c r="AJ1318">
        <v>93.392429576389304</v>
      </c>
      <c r="AK1318">
        <v>23.5317436336925</v>
      </c>
      <c r="AL1318">
        <v>85.701279396160601</v>
      </c>
      <c r="AM1318">
        <v>94.298283096067394</v>
      </c>
      <c r="AN1318">
        <v>1.00000000017007</v>
      </c>
    </row>
    <row r="1319" spans="1:40" x14ac:dyDescent="0.3">
      <c r="A1319" t="str">
        <f>"20200111145937481"</f>
        <v>20200111145937481</v>
      </c>
      <c r="B1319" t="str">
        <f>"1578725977476996"</f>
        <v>1578725977476996</v>
      </c>
      <c r="C1319" t="s">
        <v>40</v>
      </c>
      <c r="D1319">
        <v>3.880363</v>
      </c>
      <c r="E1319">
        <v>0.50635269999999999</v>
      </c>
      <c r="F1319" t="s">
        <v>43</v>
      </c>
      <c r="G1319">
        <v>-291.3365</v>
      </c>
      <c r="H1319">
        <v>-0.05</v>
      </c>
      <c r="I1319">
        <v>369.02289999999999</v>
      </c>
      <c r="J1319">
        <v>-315.07940000000002</v>
      </c>
      <c r="K1319">
        <v>1.0614840000000001</v>
      </c>
      <c r="L1319">
        <v>367.63490000000002</v>
      </c>
      <c r="M1319">
        <v>0.99984899999999999</v>
      </c>
      <c r="N1319">
        <v>0</v>
      </c>
      <c r="O1319">
        <v>-4.2418989999999998E-4</v>
      </c>
      <c r="P1319">
        <v>0.99563369999999995</v>
      </c>
      <c r="Q1319">
        <v>5.7196440000000001E-2</v>
      </c>
      <c r="R1319">
        <v>7.3772039999999997E-2</v>
      </c>
      <c r="S1319">
        <v>3.0083310000000001</v>
      </c>
      <c r="T1319">
        <v>-0.1402776</v>
      </c>
      <c r="U1319">
        <v>0.17507929999999999</v>
      </c>
      <c r="V1319">
        <v>-7.4183429999999995E-2</v>
      </c>
      <c r="W1319">
        <v>7.4493779999999996E-2</v>
      </c>
      <c r="X1319">
        <v>0.99445839999999996</v>
      </c>
      <c r="Y1319">
        <v>-5.8459610000000002E-2</v>
      </c>
      <c r="Z1319">
        <v>1.3808430000000001E-3</v>
      </c>
      <c r="AA1319">
        <v>0.99828879999999998</v>
      </c>
      <c r="AB1319">
        <v>22</v>
      </c>
      <c r="AC1319">
        <v>23.742899999999999</v>
      </c>
      <c r="AD1319">
        <v>-1.1114839999999999</v>
      </c>
      <c r="AE1319">
        <v>1.3879999999999699</v>
      </c>
      <c r="AF1319">
        <v>-1.39502612433222</v>
      </c>
      <c r="AG1319">
        <v>-1.1114839999999999</v>
      </c>
      <c r="AH1319">
        <v>23.6905682510052</v>
      </c>
      <c r="AI1319">
        <v>92.681522639884903</v>
      </c>
      <c r="AJ1319">
        <v>93.369987413266799</v>
      </c>
      <c r="AK1319">
        <v>23.757620222264698</v>
      </c>
      <c r="AL1319">
        <v>85.727863360797599</v>
      </c>
      <c r="AM1319">
        <v>94.266181096255707</v>
      </c>
      <c r="AN1319">
        <v>1.0000000069379</v>
      </c>
    </row>
    <row r="1320" spans="1:40" x14ac:dyDescent="0.3">
      <c r="A1320" t="str">
        <f>"20200111145937493"</f>
        <v>20200111145937493</v>
      </c>
      <c r="B1320" t="str">
        <f>"1578725977486755"</f>
        <v>1578725977486755</v>
      </c>
      <c r="C1320" t="s">
        <v>40</v>
      </c>
      <c r="D1320">
        <v>3.867826</v>
      </c>
      <c r="E1320">
        <v>0.5063571</v>
      </c>
      <c r="F1320" t="s">
        <v>43</v>
      </c>
      <c r="G1320">
        <v>-291.13380000000001</v>
      </c>
      <c r="H1320">
        <v>-0.05</v>
      </c>
      <c r="I1320">
        <v>369.01119999999997</v>
      </c>
      <c r="J1320">
        <v>-314.9622</v>
      </c>
      <c r="K1320">
        <v>1.060921</v>
      </c>
      <c r="L1320">
        <v>367.63479999999998</v>
      </c>
      <c r="M1320">
        <v>0.99985429999999997</v>
      </c>
      <c r="N1320">
        <v>0</v>
      </c>
      <c r="O1320">
        <v>-4.5833100000000003E-4</v>
      </c>
      <c r="P1320">
        <v>0.99568469999999998</v>
      </c>
      <c r="Q1320">
        <v>5.6894970000000003E-2</v>
      </c>
      <c r="R1320">
        <v>7.3314980000000002E-2</v>
      </c>
      <c r="S1320">
        <v>3.0083920000000002</v>
      </c>
      <c r="T1320">
        <v>-0.13964079999999901</v>
      </c>
      <c r="U1320">
        <v>0.1729126</v>
      </c>
      <c r="V1320">
        <v>-7.3760930000000002E-2</v>
      </c>
      <c r="W1320">
        <v>7.388844E-2</v>
      </c>
      <c r="X1320">
        <v>0.99453499999999995</v>
      </c>
      <c r="Y1320">
        <v>-5.7777179999999997E-2</v>
      </c>
      <c r="Z1320">
        <v>1.3603479999999999E-3</v>
      </c>
      <c r="AA1320">
        <v>0.99832860000000001</v>
      </c>
      <c r="AB1320">
        <v>22</v>
      </c>
      <c r="AC1320">
        <v>23.828399999999899</v>
      </c>
      <c r="AD1320">
        <v>-1.1109209999999901</v>
      </c>
      <c r="AE1320">
        <v>1.3763999999999801</v>
      </c>
      <c r="AF1320">
        <v>-1.38432380108371</v>
      </c>
      <c r="AG1320">
        <v>-1.1109209999999901</v>
      </c>
      <c r="AH1320">
        <v>23.776258702528501</v>
      </c>
      <c r="AI1320">
        <v>92.670624017108196</v>
      </c>
      <c r="AJ1320">
        <v>93.332167162599404</v>
      </c>
      <c r="AK1320">
        <v>23.8424196704959</v>
      </c>
      <c r="AL1320">
        <v>85.762642699434807</v>
      </c>
      <c r="AM1320">
        <v>94.241647152040201</v>
      </c>
      <c r="AN1320">
        <v>1.00000002129254</v>
      </c>
    </row>
    <row r="1321" spans="1:40" x14ac:dyDescent="0.3">
      <c r="A1321" t="str">
        <f>"20200111145937504"</f>
        <v>20200111145937504</v>
      </c>
      <c r="B1321" t="str">
        <f>"1578725977496515"</f>
        <v>1578725977496515</v>
      </c>
      <c r="C1321" t="s">
        <v>40</v>
      </c>
      <c r="D1321">
        <v>3.8215020000000002</v>
      </c>
      <c r="E1321">
        <v>0.5063571</v>
      </c>
      <c r="F1321" t="s">
        <v>43</v>
      </c>
      <c r="G1321">
        <v>-290.82220000000001</v>
      </c>
      <c r="H1321">
        <v>-0.05</v>
      </c>
      <c r="I1321">
        <v>369.01179999999999</v>
      </c>
      <c r="J1321">
        <v>-314.86099999999999</v>
      </c>
      <c r="K1321">
        <v>1.0604549999999999</v>
      </c>
      <c r="L1321">
        <v>367.63470000000001</v>
      </c>
      <c r="M1321">
        <v>0.99985849999999998</v>
      </c>
      <c r="N1321">
        <v>0</v>
      </c>
      <c r="O1321">
        <v>-4.8772300000000002E-4</v>
      </c>
      <c r="P1321">
        <v>0.99572989999999995</v>
      </c>
      <c r="Q1321">
        <v>5.6418049999999997E-2</v>
      </c>
      <c r="R1321">
        <v>7.3066930000000002E-2</v>
      </c>
      <c r="S1321">
        <v>3.0082399999999998</v>
      </c>
      <c r="T1321">
        <v>-0.138438899999999</v>
      </c>
      <c r="U1321">
        <v>0.17160029999999901</v>
      </c>
      <c r="V1321">
        <v>-7.3542469999999999E-2</v>
      </c>
      <c r="W1321">
        <v>7.31599E-2</v>
      </c>
      <c r="X1321">
        <v>0.99460499999999996</v>
      </c>
      <c r="Y1321">
        <v>-5.737681E-2</v>
      </c>
      <c r="Z1321">
        <v>1.3408879999999999E-3</v>
      </c>
      <c r="AA1321">
        <v>0.99835169999999995</v>
      </c>
      <c r="AB1321">
        <v>22</v>
      </c>
      <c r="AC1321">
        <v>24.038799999999899</v>
      </c>
      <c r="AD1321">
        <v>-1.110455</v>
      </c>
      <c r="AE1321">
        <v>1.37709999999998</v>
      </c>
      <c r="AF1321">
        <v>-1.38587810223079</v>
      </c>
      <c r="AG1321">
        <v>-1.110455</v>
      </c>
      <c r="AH1321">
        <v>23.987106475975299</v>
      </c>
      <c r="AI1321">
        <v>92.646142082013498</v>
      </c>
      <c r="AJ1321">
        <v>93.306642670905703</v>
      </c>
      <c r="AK1321">
        <v>24.052755466080001</v>
      </c>
      <c r="AL1321">
        <v>85.804498102870198</v>
      </c>
      <c r="AM1321">
        <v>94.2288336180778</v>
      </c>
      <c r="AN1321">
        <v>0.99999998594335504</v>
      </c>
    </row>
    <row r="1322" spans="1:40" x14ac:dyDescent="0.3">
      <c r="A1322" t="str">
        <f>"20200111145937515"</f>
        <v>20200111145937515</v>
      </c>
      <c r="B1322" t="str">
        <f>"1578725977507251"</f>
        <v>1578725977507251</v>
      </c>
      <c r="C1322" t="s">
        <v>40</v>
      </c>
      <c r="D1322">
        <v>3.9531290000000001</v>
      </c>
      <c r="E1322">
        <v>0.50666750000000005</v>
      </c>
      <c r="F1322" t="s">
        <v>43</v>
      </c>
      <c r="G1322">
        <v>-290.97789999999998</v>
      </c>
      <c r="H1322">
        <v>-0.05</v>
      </c>
      <c r="I1322">
        <v>368.9905</v>
      </c>
      <c r="J1322">
        <v>-314.75409999999999</v>
      </c>
      <c r="K1322">
        <v>1.0600039999999999</v>
      </c>
      <c r="L1322">
        <v>367.63459999999998</v>
      </c>
      <c r="M1322">
        <v>0.99986269999999999</v>
      </c>
      <c r="N1322">
        <v>0</v>
      </c>
      <c r="O1322">
        <v>-5.1898519999999998E-4</v>
      </c>
      <c r="P1322">
        <v>0.99578690000000003</v>
      </c>
      <c r="Q1322">
        <v>5.5720329999999998E-2</v>
      </c>
      <c r="R1322">
        <v>7.2827950000000002E-2</v>
      </c>
      <c r="S1322">
        <v>3.0083009999999999</v>
      </c>
      <c r="T1322">
        <v>-0.1398723</v>
      </c>
      <c r="U1322">
        <v>0.17077639999999999</v>
      </c>
      <c r="V1322">
        <v>-7.3335049999999999E-2</v>
      </c>
      <c r="W1322">
        <v>7.2215879999999996E-2</v>
      </c>
      <c r="X1322">
        <v>0.9946893</v>
      </c>
      <c r="Y1322">
        <v>-5.713327E-2</v>
      </c>
      <c r="Z1322">
        <v>1.350537E-3</v>
      </c>
      <c r="AA1322">
        <v>0.99836559999999996</v>
      </c>
      <c r="AB1322">
        <v>22</v>
      </c>
      <c r="AC1322">
        <v>23.776199999999999</v>
      </c>
      <c r="AD1322">
        <v>-1.110004</v>
      </c>
      <c r="AE1322">
        <v>1.3559000000000101</v>
      </c>
      <c r="AF1322">
        <v>-1.3652749849752599</v>
      </c>
      <c r="AG1322">
        <v>-1.110004</v>
      </c>
      <c r="AH1322">
        <v>23.723953394669302</v>
      </c>
      <c r="AI1322">
        <v>92.674401354006605</v>
      </c>
      <c r="AJ1322">
        <v>93.293646272679695</v>
      </c>
      <c r="AK1322">
        <v>23.789116194954701</v>
      </c>
      <c r="AL1322">
        <v>85.858729913569803</v>
      </c>
      <c r="AM1322">
        <v>94.216593556642593</v>
      </c>
      <c r="AN1322">
        <v>0.99999998320858297</v>
      </c>
    </row>
    <row r="1323" spans="1:40" x14ac:dyDescent="0.3">
      <c r="A1323" t="str">
        <f>"20200111145937525"</f>
        <v>20200111145937525</v>
      </c>
      <c r="B1323" t="str">
        <f>"1578725977517012"</f>
        <v>1578725977517012</v>
      </c>
      <c r="C1323" t="s">
        <v>40</v>
      </c>
      <c r="D1323">
        <v>3.9356960000000001</v>
      </c>
      <c r="E1323">
        <v>0.50672269999999997</v>
      </c>
      <c r="F1323" t="s">
        <v>43</v>
      </c>
      <c r="G1323">
        <v>-291.2088</v>
      </c>
      <c r="H1323">
        <v>-0.05</v>
      </c>
      <c r="I1323">
        <v>368.94420000000002</v>
      </c>
      <c r="J1323">
        <v>-314.65109999999999</v>
      </c>
      <c r="K1323">
        <v>1.0596000000000001</v>
      </c>
      <c r="L1323">
        <v>367.63459999999998</v>
      </c>
      <c r="M1323">
        <v>0.99986649999999999</v>
      </c>
      <c r="N1323">
        <v>0</v>
      </c>
      <c r="O1323">
        <v>-5.49275E-4</v>
      </c>
      <c r="P1323">
        <v>0.99584819999999996</v>
      </c>
      <c r="Q1323">
        <v>5.5294860000000001E-2</v>
      </c>
      <c r="R1323">
        <v>7.2312440000000006E-2</v>
      </c>
      <c r="S1323">
        <v>3.008362</v>
      </c>
      <c r="T1323">
        <v>-0.14182439999999999</v>
      </c>
      <c r="U1323">
        <v>0.1673279</v>
      </c>
      <c r="V1323">
        <v>-7.2849940000000002E-2</v>
      </c>
      <c r="W1323">
        <v>7.156622E-2</v>
      </c>
      <c r="X1323">
        <v>0.99477190000000004</v>
      </c>
      <c r="Y1323">
        <v>-5.602095E-2</v>
      </c>
      <c r="Z1323">
        <v>1.344622E-3</v>
      </c>
      <c r="AA1323">
        <v>0.99842869999999995</v>
      </c>
      <c r="AB1323">
        <v>22</v>
      </c>
      <c r="AC1323">
        <v>23.4422999999999</v>
      </c>
      <c r="AD1323">
        <v>-1.1095999999999999</v>
      </c>
      <c r="AE1323">
        <v>1.3096000000000401</v>
      </c>
      <c r="AF1323">
        <v>-1.31953066319457</v>
      </c>
      <c r="AG1323">
        <v>-1.1095999999999999</v>
      </c>
      <c r="AH1323">
        <v>23.389337764648801</v>
      </c>
      <c r="AI1323">
        <v>92.711793830192903</v>
      </c>
      <c r="AJ1323">
        <v>93.228970497578899</v>
      </c>
      <c r="AK1323">
        <v>23.452792891251502</v>
      </c>
      <c r="AL1323">
        <v>85.896049263787006</v>
      </c>
      <c r="AM1323">
        <v>94.188453903060307</v>
      </c>
      <c r="AN1323">
        <v>0.99999998531635004</v>
      </c>
    </row>
    <row r="1324" spans="1:40" x14ac:dyDescent="0.3">
      <c r="A1324" t="str">
        <f>"20200111145937536"</f>
        <v>20200111145937536</v>
      </c>
      <c r="B1324" t="str">
        <f>"1578725977526771"</f>
        <v>1578725977526771</v>
      </c>
      <c r="C1324" t="s">
        <v>40</v>
      </c>
      <c r="D1324">
        <v>3.9117419999999998</v>
      </c>
      <c r="E1324">
        <v>0.50668409999999997</v>
      </c>
      <c r="F1324" t="s">
        <v>43</v>
      </c>
      <c r="G1324">
        <v>-290.91820000000001</v>
      </c>
      <c r="H1324">
        <v>-0.05</v>
      </c>
      <c r="I1324">
        <v>368.9402</v>
      </c>
      <c r="J1324">
        <v>-314.54450000000003</v>
      </c>
      <c r="K1324">
        <v>1.059212</v>
      </c>
      <c r="L1324">
        <v>367.63440000000003</v>
      </c>
      <c r="M1324">
        <v>0.99987009999999998</v>
      </c>
      <c r="N1324">
        <v>0</v>
      </c>
      <c r="O1324">
        <v>-5.8082339999999998E-4</v>
      </c>
      <c r="P1324">
        <v>0.99591940000000001</v>
      </c>
      <c r="Q1324">
        <v>5.4806939999999998E-2</v>
      </c>
      <c r="R1324">
        <v>7.1700020000000003E-2</v>
      </c>
      <c r="S1324">
        <v>3.0083009999999999</v>
      </c>
      <c r="T1324">
        <v>-0.14064879999999999</v>
      </c>
      <c r="U1324">
        <v>0.165496799999999</v>
      </c>
      <c r="V1324">
        <v>-7.2269189999999997E-2</v>
      </c>
      <c r="W1324">
        <v>7.0859439999999996E-2</v>
      </c>
      <c r="X1324">
        <v>0.99486490000000005</v>
      </c>
      <c r="Y1324">
        <v>-5.5449329999999998E-2</v>
      </c>
      <c r="Z1324">
        <v>1.321666E-3</v>
      </c>
      <c r="AA1324">
        <v>0.99846069999999998</v>
      </c>
      <c r="AB1324">
        <v>22</v>
      </c>
      <c r="AC1324">
        <v>23.626300000000001</v>
      </c>
      <c r="AD1324">
        <v>-1.1092120000000001</v>
      </c>
      <c r="AE1324">
        <v>1.3057999999999701</v>
      </c>
      <c r="AF1324">
        <v>-1.31663107647855</v>
      </c>
      <c r="AG1324">
        <v>-1.1092120000000001</v>
      </c>
      <c r="AH1324">
        <v>23.5737360745742</v>
      </c>
      <c r="AI1324">
        <v>92.689758297714306</v>
      </c>
      <c r="AJ1324">
        <v>93.196740229788304</v>
      </c>
      <c r="AK1324">
        <v>23.636516265434999</v>
      </c>
      <c r="AL1324">
        <v>85.936648042954801</v>
      </c>
      <c r="AM1324">
        <v>94.154794458592406</v>
      </c>
      <c r="AN1324">
        <v>1.00000003265618</v>
      </c>
    </row>
    <row r="1325" spans="1:40" x14ac:dyDescent="0.3">
      <c r="A1325" t="str">
        <f>"20200111145937548"</f>
        <v>20200111145937548</v>
      </c>
      <c r="B1325" t="str">
        <f>"1578725977536531"</f>
        <v>1578725977536531</v>
      </c>
      <c r="C1325" t="s">
        <v>40</v>
      </c>
      <c r="D1325">
        <v>3.896039</v>
      </c>
      <c r="E1325">
        <v>0.50660899999999998</v>
      </c>
      <c r="F1325" t="s">
        <v>43</v>
      </c>
      <c r="G1325">
        <v>-290.56079999999997</v>
      </c>
      <c r="H1325">
        <v>-0.05</v>
      </c>
      <c r="I1325">
        <v>368.94369999999998</v>
      </c>
      <c r="J1325">
        <v>-314.44459999999998</v>
      </c>
      <c r="K1325">
        <v>1.0588820000000001</v>
      </c>
      <c r="L1325">
        <v>367.6343</v>
      </c>
      <c r="M1325">
        <v>0.99987300000000001</v>
      </c>
      <c r="N1325">
        <v>0</v>
      </c>
      <c r="O1325">
        <v>-6.1036979999999998E-4</v>
      </c>
      <c r="P1325">
        <v>0.99598569999999997</v>
      </c>
      <c r="Q1325">
        <v>5.4626710000000002E-2</v>
      </c>
      <c r="R1325">
        <v>7.0911740000000001E-2</v>
      </c>
      <c r="S1325">
        <v>3.0081180000000001</v>
      </c>
      <c r="T1325">
        <v>-0.13912089999999999</v>
      </c>
      <c r="U1325">
        <v>0.1642151</v>
      </c>
      <c r="V1325">
        <v>-7.1510610000000002E-2</v>
      </c>
      <c r="W1325">
        <v>7.0488910000000002E-2</v>
      </c>
      <c r="X1325">
        <v>0.994946</v>
      </c>
      <c r="Y1325">
        <v>-5.5059690000000001E-2</v>
      </c>
      <c r="Z1325">
        <v>1.2997849999999999E-3</v>
      </c>
      <c r="AA1325">
        <v>0.99848219999999999</v>
      </c>
      <c r="AB1325">
        <v>22</v>
      </c>
      <c r="AC1325">
        <v>23.883800000000001</v>
      </c>
      <c r="AD1325">
        <v>-1.1088819999999999</v>
      </c>
      <c r="AE1325">
        <v>1.3093999999999799</v>
      </c>
      <c r="AF1325">
        <v>-1.32114026769103</v>
      </c>
      <c r="AG1325">
        <v>-1.1088819999999999</v>
      </c>
      <c r="AH1325">
        <v>23.8317789044618</v>
      </c>
      <c r="AI1325">
        <v>92.659947328158097</v>
      </c>
      <c r="AJ1325">
        <v>93.173005370908598</v>
      </c>
      <c r="AK1325">
        <v>23.8941146864241</v>
      </c>
      <c r="AL1325">
        <v>85.957930927826496</v>
      </c>
      <c r="AM1325">
        <v>94.110999650463697</v>
      </c>
      <c r="AN1325">
        <v>0.99999999834578002</v>
      </c>
    </row>
    <row r="1326" spans="1:40" x14ac:dyDescent="0.3">
      <c r="A1326" t="str">
        <f>"20200111145937558"</f>
        <v>20200111145937558</v>
      </c>
      <c r="B1326" t="str">
        <f>"1578725977547267"</f>
        <v>1578725977547267</v>
      </c>
      <c r="C1326" t="s">
        <v>40</v>
      </c>
      <c r="D1326">
        <v>4.1226900000000004</v>
      </c>
      <c r="E1326">
        <v>0.50670909999999902</v>
      </c>
      <c r="F1326" t="s">
        <v>43</v>
      </c>
      <c r="G1326">
        <v>-290.09629999999999</v>
      </c>
      <c r="H1326">
        <v>-0.05</v>
      </c>
      <c r="I1326">
        <v>368.95370000000003</v>
      </c>
      <c r="J1326">
        <v>-314.3383</v>
      </c>
      <c r="K1326">
        <v>1.0585439999999999</v>
      </c>
      <c r="L1326">
        <v>367.63420000000002</v>
      </c>
      <c r="M1326">
        <v>0.99987619999999999</v>
      </c>
      <c r="N1326">
        <v>0</v>
      </c>
      <c r="O1326">
        <v>-6.4156619999999995E-4</v>
      </c>
      <c r="P1326">
        <v>0.99599870000000001</v>
      </c>
      <c r="Q1326">
        <v>5.4834840000000003E-2</v>
      </c>
      <c r="R1326">
        <v>7.0567630000000006E-2</v>
      </c>
      <c r="S1326">
        <v>3.0079959999999999</v>
      </c>
      <c r="T1326">
        <v>-0.13699149999999999</v>
      </c>
      <c r="U1326">
        <v>0.16299439999999901</v>
      </c>
      <c r="V1326">
        <v>-7.1197880000000005E-2</v>
      </c>
      <c r="W1326">
        <v>7.0500320000000005E-2</v>
      </c>
      <c r="X1326">
        <v>0.99496759999999995</v>
      </c>
      <c r="Y1326">
        <v>-5.4691169999999997E-2</v>
      </c>
      <c r="Z1326">
        <v>1.273015E-3</v>
      </c>
      <c r="AA1326">
        <v>0.99850249999999996</v>
      </c>
      <c r="AB1326">
        <v>22</v>
      </c>
      <c r="AC1326">
        <v>24.242000000000001</v>
      </c>
      <c r="AD1326">
        <v>-1.108544</v>
      </c>
      <c r="AE1326">
        <v>1.3194999999999999</v>
      </c>
      <c r="AF1326">
        <v>-1.3322768411905801</v>
      </c>
      <c r="AG1326">
        <v>-1.108544</v>
      </c>
      <c r="AH1326">
        <v>24.1907132584283</v>
      </c>
      <c r="AI1326">
        <v>92.619789818029105</v>
      </c>
      <c r="AJ1326">
        <v>93.152317277856199</v>
      </c>
      <c r="AK1326">
        <v>24.252720246046799</v>
      </c>
      <c r="AL1326">
        <v>85.957275474752294</v>
      </c>
      <c r="AM1326">
        <v>94.092994119708194</v>
      </c>
      <c r="AN1326">
        <v>0.99999997914317795</v>
      </c>
    </row>
    <row r="1327" spans="1:40" x14ac:dyDescent="0.3">
      <c r="A1327" t="str">
        <f>"20200111145937569"</f>
        <v>20200111145937569</v>
      </c>
      <c r="B1327" t="str">
        <f>"1578725977566789"</f>
        <v>1578725977566789</v>
      </c>
      <c r="C1327" t="s">
        <v>40</v>
      </c>
      <c r="D1327">
        <v>3.9523869999999999</v>
      </c>
      <c r="E1327">
        <v>0.50657980000000002</v>
      </c>
      <c r="F1327" t="s">
        <v>43</v>
      </c>
      <c r="G1327">
        <v>-289.54140000000001</v>
      </c>
      <c r="H1327">
        <v>-0.05</v>
      </c>
      <c r="I1327">
        <v>368.96120000000002</v>
      </c>
      <c r="J1327">
        <v>-314.23500000000001</v>
      </c>
      <c r="K1327">
        <v>1.0582510000000001</v>
      </c>
      <c r="L1327">
        <v>367.63420000000002</v>
      </c>
      <c r="M1327">
        <v>0.99987899999999996</v>
      </c>
      <c r="N1327">
        <v>0</v>
      </c>
      <c r="O1327">
        <v>-6.7165230000000001E-4</v>
      </c>
      <c r="P1327">
        <v>0.99602020000000002</v>
      </c>
      <c r="Q1327">
        <v>5.493907E-2</v>
      </c>
      <c r="R1327">
        <v>7.0182759999999997E-2</v>
      </c>
      <c r="S1327">
        <v>3.0080870000000002</v>
      </c>
      <c r="T1327">
        <v>-0.13447590000000001</v>
      </c>
      <c r="U1327">
        <v>0.16098019999999999</v>
      </c>
      <c r="V1327">
        <v>-7.0842409999999995E-2</v>
      </c>
      <c r="W1327">
        <v>7.0430400000000004E-2</v>
      </c>
      <c r="X1327">
        <v>0.99499789999999999</v>
      </c>
      <c r="Y1327">
        <v>-5.4055609999999997E-2</v>
      </c>
      <c r="Z1327">
        <v>1.236801E-3</v>
      </c>
      <c r="AA1327">
        <v>0.99853720000000001</v>
      </c>
      <c r="AB1327">
        <v>22</v>
      </c>
      <c r="AC1327">
        <v>24.6936</v>
      </c>
      <c r="AD1327">
        <v>-1.1082510000000001</v>
      </c>
      <c r="AE1327">
        <v>1.32699999999999</v>
      </c>
      <c r="AF1327">
        <v>-1.3408941352275501</v>
      </c>
      <c r="AG1327">
        <v>-1.1082510000000001</v>
      </c>
      <c r="AH1327">
        <v>24.6432090627038</v>
      </c>
      <c r="AI1327">
        <v>92.571164608692698</v>
      </c>
      <c r="AJ1327">
        <v>93.114524889589006</v>
      </c>
      <c r="AK1327">
        <v>24.7045333950879</v>
      </c>
      <c r="AL1327">
        <v>85.961291479785402</v>
      </c>
      <c r="AM1327">
        <v>94.072504338465293</v>
      </c>
      <c r="AN1327">
        <v>0.99999995465158797</v>
      </c>
    </row>
    <row r="1328" spans="1:40" x14ac:dyDescent="0.3">
      <c r="A1328" t="str">
        <f>"20200111145937580"</f>
        <v>20200111145937580</v>
      </c>
      <c r="B1328" t="str">
        <f>"1578725977576547"</f>
        <v>1578725977576547</v>
      </c>
      <c r="C1328" t="s">
        <v>40</v>
      </c>
      <c r="D1328">
        <v>3.9148480000000001</v>
      </c>
      <c r="E1328">
        <v>0.50645640000000003</v>
      </c>
      <c r="F1328" t="s">
        <v>43</v>
      </c>
      <c r="G1328">
        <v>-288.94119999999998</v>
      </c>
      <c r="H1328">
        <v>-0.05</v>
      </c>
      <c r="I1328">
        <v>368.98480000000001</v>
      </c>
      <c r="J1328">
        <v>-314.12860000000001</v>
      </c>
      <c r="K1328">
        <v>1.0579620000000001</v>
      </c>
      <c r="L1328">
        <v>367.63400000000001</v>
      </c>
      <c r="M1328">
        <v>0.99988169999999998</v>
      </c>
      <c r="N1328">
        <v>0</v>
      </c>
      <c r="O1328">
        <v>-7.0221960000000001E-4</v>
      </c>
      <c r="P1328">
        <v>0.99603330000000001</v>
      </c>
      <c r="Q1328">
        <v>5.4928970000000001E-2</v>
      </c>
      <c r="R1328">
        <v>7.0007509999999995E-2</v>
      </c>
      <c r="S1328">
        <v>3.0079349999999998</v>
      </c>
      <c r="T1328">
        <v>-0.13179260000000001</v>
      </c>
      <c r="U1328">
        <v>0.16061400000000001</v>
      </c>
      <c r="V1328">
        <v>-7.0698170000000005E-2</v>
      </c>
      <c r="W1328">
        <v>7.0243949999999999E-2</v>
      </c>
      <c r="X1328">
        <v>0.99502139999999994</v>
      </c>
      <c r="Y1328">
        <v>-5.3969820000000002E-2</v>
      </c>
      <c r="Z1328">
        <v>1.2116710000000001E-3</v>
      </c>
      <c r="AA1328">
        <v>0.99854180000000003</v>
      </c>
      <c r="AB1328">
        <v>21</v>
      </c>
      <c r="AC1328">
        <v>25.1874</v>
      </c>
      <c r="AD1328">
        <v>-1.1079619999999999</v>
      </c>
      <c r="AE1328">
        <v>1.35079999999999</v>
      </c>
      <c r="AF1328">
        <v>-1.3658534816854599</v>
      </c>
      <c r="AG1328">
        <v>-1.1079619999999999</v>
      </c>
      <c r="AH1328">
        <v>25.137942468330699</v>
      </c>
      <c r="AI1328">
        <v>92.519982275677094</v>
      </c>
      <c r="AJ1328">
        <v>93.110070161536498</v>
      </c>
      <c r="AK1328">
        <v>25.19939060906</v>
      </c>
      <c r="AL1328">
        <v>85.972001046348097</v>
      </c>
      <c r="AM1328">
        <v>94.064144589786295</v>
      </c>
      <c r="AN1328">
        <v>1.00000001510545</v>
      </c>
    </row>
    <row r="1329" spans="1:40" x14ac:dyDescent="0.3">
      <c r="A1329" t="str">
        <f>"20200111145937592"</f>
        <v>20200111145937592</v>
      </c>
      <c r="B1329" t="str">
        <f>"1578725977587283"</f>
        <v>1578725977587283</v>
      </c>
      <c r="C1329" t="s">
        <v>40</v>
      </c>
      <c r="D1329">
        <v>3.9817429999999998</v>
      </c>
      <c r="E1329">
        <v>0.506301</v>
      </c>
      <c r="F1329" t="s">
        <v>43</v>
      </c>
      <c r="G1329">
        <v>-288.59910000000002</v>
      </c>
      <c r="H1329">
        <v>-0.05</v>
      </c>
      <c r="I1329">
        <v>369.0009</v>
      </c>
      <c r="J1329">
        <v>-314.02100000000002</v>
      </c>
      <c r="K1329">
        <v>1.0577030000000001</v>
      </c>
      <c r="L1329">
        <v>367.63389999999998</v>
      </c>
      <c r="M1329">
        <v>0.99988410000000005</v>
      </c>
      <c r="N1329">
        <v>0</v>
      </c>
      <c r="O1329">
        <v>-7.3258190000000003E-4</v>
      </c>
      <c r="P1329">
        <v>0.99603660000000005</v>
      </c>
      <c r="Q1329">
        <v>5.5088860000000003E-2</v>
      </c>
      <c r="R1329">
        <v>6.9831190000000001E-2</v>
      </c>
      <c r="S1329">
        <v>3.0078429999999998</v>
      </c>
      <c r="T1329">
        <v>-0.13053809999999999</v>
      </c>
      <c r="U1329">
        <v>0.161041299999999</v>
      </c>
      <c r="V1329">
        <v>-7.0552019999999993E-2</v>
      </c>
      <c r="W1329">
        <v>7.0243949999999999E-2</v>
      </c>
      <c r="X1329">
        <v>0.99503180000000002</v>
      </c>
      <c r="Y1329">
        <v>-5.4143980000000001E-2</v>
      </c>
      <c r="Z1329">
        <v>1.2052720000000001E-3</v>
      </c>
      <c r="AA1329">
        <v>0.99853239999999999</v>
      </c>
      <c r="AB1329">
        <v>21</v>
      </c>
      <c r="AC1329">
        <v>25.421899999999901</v>
      </c>
      <c r="AD1329">
        <v>-1.1077030000000001</v>
      </c>
      <c r="AE1329">
        <v>1.36700000000001</v>
      </c>
      <c r="AF1329">
        <v>-1.3830072206575299</v>
      </c>
      <c r="AG1329">
        <v>-1.1077030000000001</v>
      </c>
      <c r="AH1329">
        <v>25.372857915543101</v>
      </c>
      <c r="AI1329">
        <v>92.496074302421405</v>
      </c>
      <c r="AJ1329">
        <v>93.119953645171805</v>
      </c>
      <c r="AK1329">
        <v>25.434654188939501</v>
      </c>
      <c r="AL1329">
        <v>85.972001152939498</v>
      </c>
      <c r="AM1329">
        <v>94.055728849346906</v>
      </c>
      <c r="AN1329">
        <v>1.0000000415244601</v>
      </c>
    </row>
    <row r="1330" spans="1:40" x14ac:dyDescent="0.3">
      <c r="A1330" t="str">
        <f>"20200111145937603"</f>
        <v>20200111145937603</v>
      </c>
      <c r="B1330" t="str">
        <f>"1578725977597044"</f>
        <v>1578725977597044</v>
      </c>
      <c r="C1330" t="s">
        <v>40</v>
      </c>
      <c r="D1330">
        <v>3.9324340000000002</v>
      </c>
      <c r="E1330">
        <v>0.506308599999999</v>
      </c>
      <c r="F1330" t="s">
        <v>43</v>
      </c>
      <c r="G1330">
        <v>-287.86799999999999</v>
      </c>
      <c r="H1330">
        <v>-0.05</v>
      </c>
      <c r="I1330">
        <v>369.04109999999997</v>
      </c>
      <c r="J1330">
        <v>-313.90390000000002</v>
      </c>
      <c r="K1330">
        <v>1.057434</v>
      </c>
      <c r="L1330">
        <v>367.63380000000001</v>
      </c>
      <c r="M1330">
        <v>0.99988670000000002</v>
      </c>
      <c r="N1330">
        <v>0</v>
      </c>
      <c r="O1330">
        <v>-7.6563300000000005E-4</v>
      </c>
      <c r="P1330">
        <v>0.99605359999999998</v>
      </c>
      <c r="Q1330">
        <v>5.4983789999999998E-2</v>
      </c>
      <c r="R1330">
        <v>6.9671319999999995E-2</v>
      </c>
      <c r="S1330">
        <v>3.00766</v>
      </c>
      <c r="T1330">
        <v>-0.12738869999999999</v>
      </c>
      <c r="U1330">
        <v>0.1618347</v>
      </c>
      <c r="V1330">
        <v>-7.0425269999999998E-2</v>
      </c>
      <c r="W1330">
        <v>6.997043E-2</v>
      </c>
      <c r="X1330">
        <v>0.99505999999999994</v>
      </c>
      <c r="Y1330">
        <v>-5.4445029999999998E-2</v>
      </c>
      <c r="Z1330">
        <v>1.184049E-3</v>
      </c>
      <c r="AA1330">
        <v>0.99851610000000002</v>
      </c>
      <c r="AB1330">
        <v>21</v>
      </c>
      <c r="AC1330">
        <v>26.035900000000002</v>
      </c>
      <c r="AD1330">
        <v>-1.107434</v>
      </c>
      <c r="AE1330">
        <v>1.40729999999996</v>
      </c>
      <c r="AF1330">
        <v>-1.42466576461401</v>
      </c>
      <c r="AG1330">
        <v>-1.107434</v>
      </c>
      <c r="AH1330">
        <v>25.987933943169502</v>
      </c>
      <c r="AI1330">
        <v>92.436437300315106</v>
      </c>
      <c r="AJ1330">
        <v>93.137829744485501</v>
      </c>
      <c r="AK1330">
        <v>26.050504663820998</v>
      </c>
      <c r="AL1330">
        <v>85.987711149074102</v>
      </c>
      <c r="AM1330">
        <v>94.048352440667699</v>
      </c>
      <c r="AN1330">
        <v>0.99999999166447795</v>
      </c>
    </row>
    <row r="1331" spans="1:40" x14ac:dyDescent="0.3">
      <c r="A1331" t="str">
        <f>"20200111145937615"</f>
        <v>20200111145937615</v>
      </c>
      <c r="B1331" t="str">
        <f>"1578725977606803"</f>
        <v>1578725977606803</v>
      </c>
      <c r="C1331" t="s">
        <v>40</v>
      </c>
      <c r="D1331">
        <v>3.9328289999999999</v>
      </c>
      <c r="E1331">
        <v>0.50633279999999903</v>
      </c>
      <c r="F1331" t="s">
        <v>43</v>
      </c>
      <c r="G1331">
        <v>-287.76150000000001</v>
      </c>
      <c r="H1331">
        <v>-0.05</v>
      </c>
      <c r="I1331">
        <v>369.03230000000002</v>
      </c>
      <c r="J1331">
        <v>-313.79079999999999</v>
      </c>
      <c r="K1331">
        <v>1.05719599999999</v>
      </c>
      <c r="L1331">
        <v>367.63369999999998</v>
      </c>
      <c r="M1331">
        <v>0.99988880000000002</v>
      </c>
      <c r="N1331">
        <v>0</v>
      </c>
      <c r="O1331">
        <v>-7.9717069999999995E-4</v>
      </c>
      <c r="P1331">
        <v>0.9960658</v>
      </c>
      <c r="Q1331">
        <v>5.4979159999999999E-2</v>
      </c>
      <c r="R1331">
        <v>6.9499759999999994E-2</v>
      </c>
      <c r="S1331">
        <v>3.00766</v>
      </c>
      <c r="T1331">
        <v>-0.12740889999999999</v>
      </c>
      <c r="U1331">
        <v>0.1608887</v>
      </c>
      <c r="V1331">
        <v>-7.0284170000000007E-2</v>
      </c>
      <c r="W1331">
        <v>6.9816799999999998E-2</v>
      </c>
      <c r="X1331">
        <v>0.99508079999999999</v>
      </c>
      <c r="Y1331">
        <v>-5.4163549999999998E-2</v>
      </c>
      <c r="Z1331">
        <v>1.1796249999999999E-3</v>
      </c>
      <c r="AA1331">
        <v>0.99853139999999996</v>
      </c>
      <c r="AB1331">
        <v>21</v>
      </c>
      <c r="AC1331">
        <v>26.0292999999999</v>
      </c>
      <c r="AD1331">
        <v>-1.1071959999999901</v>
      </c>
      <c r="AE1331">
        <v>1.39860000000004</v>
      </c>
      <c r="AF1331">
        <v>-1.4167955439942901</v>
      </c>
      <c r="AG1331">
        <v>-1.1071959999999901</v>
      </c>
      <c r="AH1331">
        <v>25.981302584113799</v>
      </c>
      <c r="AI1331">
        <v>92.436573626756996</v>
      </c>
      <c r="AJ1331">
        <v>93.1213248142585</v>
      </c>
      <c r="AK1331">
        <v>26.043449782299898</v>
      </c>
      <c r="AL1331">
        <v>85.996535210072494</v>
      </c>
      <c r="AM1331">
        <v>94.040184110616295</v>
      </c>
      <c r="AN1331">
        <v>1.00000002432173</v>
      </c>
    </row>
    <row r="1332" spans="1:40" x14ac:dyDescent="0.3">
      <c r="A1332" t="str">
        <f>"20200111145937626"</f>
        <v>20200111145937626</v>
      </c>
      <c r="B1332" t="str">
        <f>"1578725977616564"</f>
        <v>1578725977616564</v>
      </c>
      <c r="C1332" t="s">
        <v>40</v>
      </c>
      <c r="D1332">
        <v>3.907565</v>
      </c>
      <c r="E1332">
        <v>0.50638379999999905</v>
      </c>
      <c r="F1332" t="s">
        <v>43</v>
      </c>
      <c r="G1332">
        <v>-287.42910000000001</v>
      </c>
      <c r="H1332">
        <v>-0.05</v>
      </c>
      <c r="I1332">
        <v>369.0412</v>
      </c>
      <c r="J1332">
        <v>-313.68419999999998</v>
      </c>
      <c r="K1332">
        <v>1.0569900000000001</v>
      </c>
      <c r="L1332">
        <v>367.63350000000003</v>
      </c>
      <c r="M1332">
        <v>0.99989079999999997</v>
      </c>
      <c r="N1332">
        <v>0</v>
      </c>
      <c r="O1332">
        <v>-8.2681780000000004E-4</v>
      </c>
      <c r="P1332">
        <v>0.99607670000000004</v>
      </c>
      <c r="Q1332">
        <v>5.5069739999999999E-2</v>
      </c>
      <c r="R1332">
        <v>6.9273059999999997E-2</v>
      </c>
      <c r="S1332">
        <v>3.0076290000000001</v>
      </c>
      <c r="T1332">
        <v>-0.12632099999999999</v>
      </c>
      <c r="U1332">
        <v>0.16058349999999999</v>
      </c>
      <c r="V1332">
        <v>-7.0087460000000004E-2</v>
      </c>
      <c r="W1332">
        <v>6.9774459999999996E-2</v>
      </c>
      <c r="X1332">
        <v>0.99509760000000003</v>
      </c>
      <c r="Y1332">
        <v>-5.4093540000000002E-2</v>
      </c>
      <c r="Z1332">
        <v>1.1693529999999999E-3</v>
      </c>
      <c r="AA1332">
        <v>0.99853519999999896</v>
      </c>
      <c r="AB1332">
        <v>21</v>
      </c>
      <c r="AC1332">
        <v>26.255099999999899</v>
      </c>
      <c r="AD1332">
        <v>-1.1069899999999999</v>
      </c>
      <c r="AE1332">
        <v>1.40769999999997</v>
      </c>
      <c r="AF1332">
        <v>-1.4268807620134401</v>
      </c>
      <c r="AG1332">
        <v>-1.1069899999999999</v>
      </c>
      <c r="AH1332">
        <v>26.207471341532202</v>
      </c>
      <c r="AI1332">
        <v>92.415133515613604</v>
      </c>
      <c r="AJ1332">
        <v>93.116424546235706</v>
      </c>
      <c r="AK1332">
        <v>26.269620661256901</v>
      </c>
      <c r="AL1332">
        <v>85.998966867871403</v>
      </c>
      <c r="AM1332">
        <v>94.028846014286302</v>
      </c>
      <c r="AN1332">
        <v>0.99999998042165095</v>
      </c>
    </row>
    <row r="1333" spans="1:40" x14ac:dyDescent="0.3">
      <c r="A1333" t="str">
        <f>"20200111145937638"</f>
        <v>20200111145937638</v>
      </c>
      <c r="B1333" t="str">
        <f>"1578725977627299"</f>
        <v>1578725977627299</v>
      </c>
      <c r="C1333" t="s">
        <v>40</v>
      </c>
      <c r="D1333">
        <v>3.9717120000000001</v>
      </c>
      <c r="E1333">
        <v>0.50642869999999995</v>
      </c>
      <c r="F1333" t="s">
        <v>43</v>
      </c>
      <c r="G1333">
        <v>-287.19650000000001</v>
      </c>
      <c r="H1333">
        <v>-0.05</v>
      </c>
      <c r="I1333">
        <v>369.03859999999997</v>
      </c>
      <c r="J1333">
        <v>-313.57679999999999</v>
      </c>
      <c r="K1333">
        <v>1.0567949999999999</v>
      </c>
      <c r="L1333">
        <v>367.63350000000003</v>
      </c>
      <c r="M1333">
        <v>0.99989269999999997</v>
      </c>
      <c r="N1333">
        <v>0</v>
      </c>
      <c r="O1333">
        <v>-8.5675309999999995E-4</v>
      </c>
      <c r="P1333">
        <v>0.99608770000000002</v>
      </c>
      <c r="Q1333">
        <v>5.513962E-2</v>
      </c>
      <c r="R1333">
        <v>6.9060490000000002E-2</v>
      </c>
      <c r="S1333">
        <v>3.00766</v>
      </c>
      <c r="T1333">
        <v>-0.125698</v>
      </c>
      <c r="U1333">
        <v>0.15954589999999999</v>
      </c>
      <c r="V1333">
        <v>-6.9905049999999996E-2</v>
      </c>
      <c r="W1333">
        <v>6.9717860000000006E-2</v>
      </c>
      <c r="X1333">
        <v>0.99511439999999995</v>
      </c>
      <c r="Y1333">
        <v>-5.3780109999999999E-2</v>
      </c>
      <c r="Z1333">
        <v>1.158297E-3</v>
      </c>
      <c r="AA1333">
        <v>0.99855210000000005</v>
      </c>
      <c r="AB1333">
        <v>21</v>
      </c>
      <c r="AC1333">
        <v>26.380299999999899</v>
      </c>
      <c r="AD1333">
        <v>-1.106795</v>
      </c>
      <c r="AE1333">
        <v>1.4050999999999401</v>
      </c>
      <c r="AF1333">
        <v>-1.4252016875870499</v>
      </c>
      <c r="AG1333">
        <v>-1.106795</v>
      </c>
      <c r="AH1333">
        <v>26.332865006364699</v>
      </c>
      <c r="AI1333">
        <v>92.403265540391104</v>
      </c>
      <c r="AJ1333">
        <v>93.097970889363296</v>
      </c>
      <c r="AK1333">
        <v>26.394620180365401</v>
      </c>
      <c r="AL1333">
        <v>86.002217734172007</v>
      </c>
      <c r="AM1333">
        <v>94.018327294638098</v>
      </c>
      <c r="AN1333">
        <v>0.99999998255292</v>
      </c>
    </row>
    <row r="1334" spans="1:40" x14ac:dyDescent="0.3">
      <c r="A1334" t="str">
        <f>"20200111145937648"</f>
        <v>20200111145937648</v>
      </c>
      <c r="B1334" t="str">
        <f>"1578725977646821"</f>
        <v>1578725977646821</v>
      </c>
      <c r="C1334" t="s">
        <v>40</v>
      </c>
      <c r="D1334">
        <v>3.9045920000000001</v>
      </c>
      <c r="E1334">
        <v>0.50658400000000003</v>
      </c>
      <c r="F1334" t="s">
        <v>43</v>
      </c>
      <c r="G1334">
        <v>-286.53489999999999</v>
      </c>
      <c r="H1334">
        <v>-0.05</v>
      </c>
      <c r="I1334">
        <v>369.05799999999999</v>
      </c>
      <c r="J1334">
        <v>-313.47489999999999</v>
      </c>
      <c r="K1334">
        <v>1.05663</v>
      </c>
      <c r="L1334">
        <v>367.63330000000002</v>
      </c>
      <c r="M1334">
        <v>0.99989419999999996</v>
      </c>
      <c r="N1334">
        <v>0</v>
      </c>
      <c r="O1334">
        <v>-8.8561580000000003E-4</v>
      </c>
      <c r="P1334">
        <v>0.9960907</v>
      </c>
      <c r="Q1334">
        <v>5.4905469999999998E-2</v>
      </c>
      <c r="R1334">
        <v>6.9204189999999999E-2</v>
      </c>
      <c r="S1334">
        <v>3.0076290000000001</v>
      </c>
      <c r="T1334">
        <v>-0.1230985</v>
      </c>
      <c r="U1334">
        <v>0.15844730000000001</v>
      </c>
      <c r="V1334">
        <v>-7.007708E-2</v>
      </c>
      <c r="W1334">
        <v>6.9372500000000004E-2</v>
      </c>
      <c r="X1334">
        <v>0.99512639999999997</v>
      </c>
      <c r="Y1334">
        <v>-5.3447920000000003E-2</v>
      </c>
      <c r="Z1334">
        <v>1.128775E-3</v>
      </c>
      <c r="AA1334">
        <v>0.99856999999999996</v>
      </c>
      <c r="AB1334">
        <v>21</v>
      </c>
      <c r="AC1334">
        <v>26.94</v>
      </c>
      <c r="AD1334">
        <v>-1.10663</v>
      </c>
      <c r="AE1334">
        <v>1.4247000000000201</v>
      </c>
      <c r="AF1334">
        <v>-1.4461271034168499</v>
      </c>
      <c r="AG1334">
        <v>-1.10663</v>
      </c>
      <c r="AH1334">
        <v>26.8934749456083</v>
      </c>
      <c r="AI1334">
        <v>92.352918849095005</v>
      </c>
      <c r="AJ1334">
        <v>93.077968114228497</v>
      </c>
      <c r="AK1334">
        <v>26.955053481790699</v>
      </c>
      <c r="AL1334">
        <v>86.022053287266999</v>
      </c>
      <c r="AM1334">
        <v>94.028135105878107</v>
      </c>
      <c r="AN1334">
        <v>0.99999994643726597</v>
      </c>
    </row>
    <row r="1335" spans="1:40" x14ac:dyDescent="0.3">
      <c r="A1335" t="str">
        <f>"20200111145937658"</f>
        <v>20200111145937658</v>
      </c>
      <c r="B1335" t="str">
        <f>"1578725977656579"</f>
        <v>1578725977656579</v>
      </c>
      <c r="C1335" t="s">
        <v>40</v>
      </c>
      <c r="D1335">
        <v>3.9436710000000001</v>
      </c>
      <c r="E1335">
        <v>0.50652379999999997</v>
      </c>
      <c r="F1335" t="s">
        <v>43</v>
      </c>
      <c r="G1335">
        <v>-286.15210000000002</v>
      </c>
      <c r="H1335">
        <v>-0.05</v>
      </c>
      <c r="I1335">
        <v>369.06670000000003</v>
      </c>
      <c r="J1335">
        <v>-313.37020000000001</v>
      </c>
      <c r="K1335">
        <v>1.0564659999999999</v>
      </c>
      <c r="L1335">
        <v>367.63319999999999</v>
      </c>
      <c r="M1335">
        <v>0.9998958</v>
      </c>
      <c r="N1335">
        <v>0</v>
      </c>
      <c r="O1335">
        <v>-9.1543760000000005E-4</v>
      </c>
      <c r="P1335">
        <v>0.99607619999999997</v>
      </c>
      <c r="Q1335">
        <v>5.4679470000000001E-2</v>
      </c>
      <c r="R1335">
        <v>6.9588289999999997E-2</v>
      </c>
      <c r="S1335">
        <v>3.0075379999999998</v>
      </c>
      <c r="T1335">
        <v>-0.1218115</v>
      </c>
      <c r="U1335">
        <v>0.1577759</v>
      </c>
      <c r="V1335">
        <v>-7.0491090000000006E-2</v>
      </c>
      <c r="W1335">
        <v>6.9035719999999995E-2</v>
      </c>
      <c r="X1335">
        <v>0.99512060000000002</v>
      </c>
      <c r="Y1335">
        <v>-5.3258069999999998E-2</v>
      </c>
      <c r="Z1335">
        <v>1.11439E-3</v>
      </c>
      <c r="AA1335">
        <v>0.99858020000000003</v>
      </c>
      <c r="AB1335">
        <v>21</v>
      </c>
      <c r="AC1335">
        <v>27.2181</v>
      </c>
      <c r="AD1335">
        <v>-1.1064659999999999</v>
      </c>
      <c r="AE1335">
        <v>1.43350000000003</v>
      </c>
      <c r="AF1335">
        <v>-1.4560189364135301</v>
      </c>
      <c r="AG1335">
        <v>-1.1064659999999999</v>
      </c>
      <c r="AH1335">
        <v>27.171996691569099</v>
      </c>
      <c r="AI1335">
        <v>92.328505913376901</v>
      </c>
      <c r="AJ1335">
        <v>93.067276617152999</v>
      </c>
      <c r="AK1335">
        <v>27.233465852861801</v>
      </c>
      <c r="AL1335">
        <v>86.041395813568101</v>
      </c>
      <c r="AM1335">
        <v>94.051877523283906</v>
      </c>
      <c r="AN1335">
        <v>0.99999996647483202</v>
      </c>
    </row>
    <row r="1336" spans="1:40" x14ac:dyDescent="0.3">
      <c r="A1336" t="str">
        <f>"20200111145937671"</f>
        <v>20200111145937671</v>
      </c>
      <c r="B1336" t="str">
        <f>"1578725977666717"</f>
        <v>1578725977666717</v>
      </c>
      <c r="C1336" t="s">
        <v>40</v>
      </c>
      <c r="D1336">
        <v>3.9296069999999999</v>
      </c>
      <c r="E1336">
        <v>0.50648159999999998</v>
      </c>
      <c r="F1336" t="s">
        <v>43</v>
      </c>
      <c r="G1336">
        <v>-286.03989999999999</v>
      </c>
      <c r="H1336">
        <v>-0.05</v>
      </c>
      <c r="I1336">
        <v>369.0806</v>
      </c>
      <c r="J1336">
        <v>-313.26400000000001</v>
      </c>
      <c r="K1336">
        <v>1.056324</v>
      </c>
      <c r="L1336">
        <v>367.63310000000001</v>
      </c>
      <c r="M1336">
        <v>0.99989729999999999</v>
      </c>
      <c r="N1336">
        <v>0</v>
      </c>
      <c r="O1336">
        <v>-9.4663850000000003E-4</v>
      </c>
      <c r="P1336">
        <v>0.99609939999999997</v>
      </c>
      <c r="Q1336">
        <v>5.388242E-2</v>
      </c>
      <c r="R1336">
        <v>6.9877270000000005E-2</v>
      </c>
      <c r="S1336">
        <v>3.007355</v>
      </c>
      <c r="T1336">
        <v>-0.12175279999999999</v>
      </c>
      <c r="U1336">
        <v>0.1592712</v>
      </c>
      <c r="V1336">
        <v>-7.0811499999999999E-2</v>
      </c>
      <c r="W1336">
        <v>6.8137100000000006E-2</v>
      </c>
      <c r="X1336">
        <v>0.99515980000000004</v>
      </c>
      <c r="Y1336">
        <v>-5.3787139999999997E-2</v>
      </c>
      <c r="Z1336">
        <v>1.1258660000000001E-3</v>
      </c>
      <c r="AA1336">
        <v>0.99855179999999999</v>
      </c>
      <c r="AB1336">
        <v>21</v>
      </c>
      <c r="AC1336">
        <v>27.2241</v>
      </c>
      <c r="AD1336">
        <v>-1.1063240000000001</v>
      </c>
      <c r="AE1336">
        <v>1.44749999999999</v>
      </c>
      <c r="AF1336">
        <v>-1.47085122191236</v>
      </c>
      <c r="AG1336">
        <v>-1.1063240000000001</v>
      </c>
      <c r="AH1336">
        <v>27.1779616894794</v>
      </c>
      <c r="AI1336">
        <v>92.327630310713502</v>
      </c>
      <c r="AJ1336">
        <v>93.097783285782995</v>
      </c>
      <c r="AK1336">
        <v>27.2402084739598</v>
      </c>
      <c r="AL1336">
        <v>86.093004533427703</v>
      </c>
      <c r="AM1336">
        <v>94.070073364641701</v>
      </c>
      <c r="AN1336">
        <v>0.99999998023234904</v>
      </c>
    </row>
    <row r="1337" spans="1:40" x14ac:dyDescent="0.3">
      <c r="A1337" t="str">
        <f>"20200111145937684"</f>
        <v>20200111145937684</v>
      </c>
      <c r="B1337" t="str">
        <f>"1578725977677453"</f>
        <v>1578725977677453</v>
      </c>
      <c r="C1337" t="s">
        <v>40</v>
      </c>
      <c r="D1337">
        <v>3.927727</v>
      </c>
      <c r="E1337">
        <v>0.50645909999999905</v>
      </c>
      <c r="F1337" t="s">
        <v>43</v>
      </c>
      <c r="G1337">
        <v>-286.28879999999998</v>
      </c>
      <c r="H1337">
        <v>-0.05</v>
      </c>
      <c r="I1337">
        <v>369.07190000000003</v>
      </c>
      <c r="J1337">
        <v>-313.13529999999997</v>
      </c>
      <c r="K1337">
        <v>1.0561579999999999</v>
      </c>
      <c r="L1337">
        <v>367.63290000000001</v>
      </c>
      <c r="M1337">
        <v>0.99989890000000003</v>
      </c>
      <c r="N1337">
        <v>0</v>
      </c>
      <c r="O1337">
        <v>-9.8415909999999989E-4</v>
      </c>
      <c r="P1337">
        <v>0.99610279999999995</v>
      </c>
      <c r="Q1337">
        <v>5.3150540000000003E-2</v>
      </c>
      <c r="R1337">
        <v>7.0389579999999993E-2</v>
      </c>
      <c r="S1337">
        <v>3.0071720000000002</v>
      </c>
      <c r="T1337">
        <v>-0.12333189999999999</v>
      </c>
      <c r="U1337">
        <v>0.1604004</v>
      </c>
      <c r="V1337">
        <v>-7.1360839999999995E-2</v>
      </c>
      <c r="W1337">
        <v>6.7286470000000001E-2</v>
      </c>
      <c r="X1337">
        <v>0.99517849999999997</v>
      </c>
      <c r="Y1337">
        <v>-5.4200150000000002E-2</v>
      </c>
      <c r="Z1337">
        <v>1.1505109999999999E-3</v>
      </c>
      <c r="AA1337">
        <v>0.99852940000000001</v>
      </c>
      <c r="AB1337">
        <v>21</v>
      </c>
      <c r="AC1337">
        <v>26.846499999999899</v>
      </c>
      <c r="AD1337">
        <v>-1.106158</v>
      </c>
      <c r="AE1337">
        <v>1.43900000000002</v>
      </c>
      <c r="AF1337">
        <v>-1.4629466708124601</v>
      </c>
      <c r="AG1337">
        <v>-1.106158</v>
      </c>
      <c r="AH1337">
        <v>26.799703341874999</v>
      </c>
      <c r="AI1337">
        <v>92.360032538655602</v>
      </c>
      <c r="AJ1337">
        <v>93.124570417423399</v>
      </c>
      <c r="AK1337">
        <v>26.862388160681299</v>
      </c>
      <c r="AL1337">
        <v>86.141854399811095</v>
      </c>
      <c r="AM1337">
        <v>94.101463942673803</v>
      </c>
      <c r="AN1337">
        <v>1.0000000426964</v>
      </c>
    </row>
    <row r="1338" spans="1:40" x14ac:dyDescent="0.3">
      <c r="A1338" t="str">
        <f>"20200111145937695"</f>
        <v>20200111145937695</v>
      </c>
      <c r="B1338" t="str">
        <f>"1578725977687212"</f>
        <v>1578725977687212</v>
      </c>
      <c r="C1338" t="s">
        <v>40</v>
      </c>
      <c r="D1338">
        <v>3.9647169999999998</v>
      </c>
      <c r="E1338">
        <v>0.50640419999999997</v>
      </c>
      <c r="F1338" t="s">
        <v>43</v>
      </c>
      <c r="G1338">
        <v>-286.51440000000002</v>
      </c>
      <c r="H1338">
        <v>-0.05</v>
      </c>
      <c r="I1338">
        <v>369.06970000000001</v>
      </c>
      <c r="J1338">
        <v>-313.02330000000001</v>
      </c>
      <c r="K1338">
        <v>1.05603</v>
      </c>
      <c r="L1338">
        <v>367.63279999999997</v>
      </c>
      <c r="M1338">
        <v>0.99990029999999996</v>
      </c>
      <c r="N1338">
        <v>0</v>
      </c>
      <c r="O1338">
        <v>-1.0166159999999999E-3</v>
      </c>
      <c r="P1338">
        <v>0.99612160000000005</v>
      </c>
      <c r="Q1338">
        <v>5.2362869999999999E-2</v>
      </c>
      <c r="R1338">
        <v>7.0712339999999999E-2</v>
      </c>
      <c r="S1338">
        <v>3.006958</v>
      </c>
      <c r="T1338">
        <v>-0.1249463</v>
      </c>
      <c r="U1338">
        <v>0.16229250000000001</v>
      </c>
      <c r="V1338">
        <v>-7.1716240000000001E-2</v>
      </c>
      <c r="W1338">
        <v>6.6404379999999999E-2</v>
      </c>
      <c r="X1338">
        <v>0.99521210000000004</v>
      </c>
      <c r="Y1338">
        <v>-5.4861010000000002E-2</v>
      </c>
      <c r="Z1338">
        <v>1.180682E-3</v>
      </c>
      <c r="AA1338">
        <v>0.99849330000000003</v>
      </c>
      <c r="AB1338">
        <v>21</v>
      </c>
      <c r="AC1338">
        <v>26.508899999999901</v>
      </c>
      <c r="AD1338">
        <v>-1.1060299999999901</v>
      </c>
      <c r="AE1338">
        <v>1.43690000000003</v>
      </c>
      <c r="AF1338">
        <v>-1.4613148888163101</v>
      </c>
      <c r="AG1338">
        <v>-1.1060299999999901</v>
      </c>
      <c r="AH1338">
        <v>26.4614959906907</v>
      </c>
      <c r="AI1338">
        <v>92.389802247369701</v>
      </c>
      <c r="AJ1338">
        <v>93.160902789219506</v>
      </c>
      <c r="AK1338">
        <v>26.524884799571101</v>
      </c>
      <c r="AL1338">
        <v>86.192507345031501</v>
      </c>
      <c r="AM1338">
        <v>94.121681647090597</v>
      </c>
      <c r="AN1338">
        <v>0.99999994237466405</v>
      </c>
    </row>
    <row r="1339" spans="1:40" x14ac:dyDescent="0.3">
      <c r="A1339" t="str">
        <f>"20200111145937710"</f>
        <v>20200111145937710</v>
      </c>
      <c r="B1339" t="str">
        <f>"1578725977706733"</f>
        <v>1578725977706733</v>
      </c>
      <c r="C1339" t="s">
        <v>40</v>
      </c>
      <c r="D1339">
        <v>3.9929070000000002</v>
      </c>
      <c r="E1339">
        <v>0.50630129999999995</v>
      </c>
      <c r="F1339" t="s">
        <v>43</v>
      </c>
      <c r="G1339">
        <v>-286.89980000000003</v>
      </c>
      <c r="H1339">
        <v>-0.05</v>
      </c>
      <c r="I1339">
        <v>369.0505</v>
      </c>
      <c r="J1339">
        <v>-312.88369999999998</v>
      </c>
      <c r="K1339">
        <v>1.055893</v>
      </c>
      <c r="L1339">
        <v>367.63260000000002</v>
      </c>
      <c r="M1339">
        <v>0.99990179999999995</v>
      </c>
      <c r="N1339">
        <v>0</v>
      </c>
      <c r="O1339">
        <v>-1.0573189999999999E-3</v>
      </c>
      <c r="P1339">
        <v>0.99607900000000005</v>
      </c>
      <c r="Q1339">
        <v>5.1402620000000003E-2</v>
      </c>
      <c r="R1339">
        <v>7.2006000000000001E-2</v>
      </c>
      <c r="S1339">
        <v>3.0067750000000002</v>
      </c>
      <c r="T1339">
        <v>-0.12730230000000001</v>
      </c>
      <c r="U1339">
        <v>0.1631775</v>
      </c>
      <c r="V1339">
        <v>-7.3050569999999995E-2</v>
      </c>
      <c r="W1339">
        <v>6.5334329999999996E-2</v>
      </c>
      <c r="X1339">
        <v>0.99518589999999996</v>
      </c>
      <c r="Y1339">
        <v>-5.5195790000000002E-2</v>
      </c>
      <c r="Z1339">
        <v>1.2117899999999999E-3</v>
      </c>
      <c r="AA1339">
        <v>0.9984748</v>
      </c>
      <c r="AB1339">
        <v>21</v>
      </c>
      <c r="AC1339">
        <v>25.983899999999899</v>
      </c>
      <c r="AD1339">
        <v>-1.105893</v>
      </c>
      <c r="AE1339">
        <v>1.41789999999997</v>
      </c>
      <c r="AF1339">
        <v>-1.4427694684699099</v>
      </c>
      <c r="AG1339">
        <v>-1.105893</v>
      </c>
      <c r="AH1339">
        <v>25.935545640022202</v>
      </c>
      <c r="AI1339">
        <v>92.437851337776905</v>
      </c>
      <c r="AJ1339">
        <v>93.184027414100598</v>
      </c>
      <c r="AK1339">
        <v>25.999175192922401</v>
      </c>
      <c r="AL1339">
        <v>86.253950234608894</v>
      </c>
      <c r="AM1339">
        <v>94.198206816194897</v>
      </c>
      <c r="AN1339">
        <v>0.99999996800634094</v>
      </c>
    </row>
    <row r="1340" spans="1:40" x14ac:dyDescent="0.3">
      <c r="A1340" t="str">
        <f>"20200111145937722"</f>
        <v>20200111145937722</v>
      </c>
      <c r="B1340" t="str">
        <f>"1578725977717469"</f>
        <v>1578725977717469</v>
      </c>
      <c r="C1340" t="s">
        <v>40</v>
      </c>
      <c r="D1340">
        <v>3.9842409999999999</v>
      </c>
      <c r="E1340">
        <v>0.50617690000000004</v>
      </c>
      <c r="F1340" t="s">
        <v>43</v>
      </c>
      <c r="G1340">
        <v>-287.19900000000001</v>
      </c>
      <c r="H1340">
        <v>-0.05</v>
      </c>
      <c r="I1340">
        <v>369.06790000000001</v>
      </c>
      <c r="J1340">
        <v>-312.7715</v>
      </c>
      <c r="K1340">
        <v>1.055787</v>
      </c>
      <c r="L1340">
        <v>367.63240000000002</v>
      </c>
      <c r="M1340">
        <v>0.99990279999999998</v>
      </c>
      <c r="N1340">
        <v>0</v>
      </c>
      <c r="O1340">
        <v>-1.090468E-3</v>
      </c>
      <c r="P1340">
        <v>0.99602900000000005</v>
      </c>
      <c r="Q1340">
        <v>5.1616990000000001E-2</v>
      </c>
      <c r="R1340">
        <v>7.2538549999999993E-2</v>
      </c>
      <c r="S1340">
        <v>3.006348</v>
      </c>
      <c r="T1340">
        <v>-0.12944249999999999</v>
      </c>
      <c r="U1340">
        <v>0.16799929999999999</v>
      </c>
      <c r="V1340">
        <v>-7.3616070000000006E-2</v>
      </c>
      <c r="W1340">
        <v>6.5463720000000003E-2</v>
      </c>
      <c r="X1340">
        <v>0.99513580000000001</v>
      </c>
      <c r="Y1340">
        <v>-5.6829820000000003E-2</v>
      </c>
      <c r="Z1340">
        <v>1.2688230000000001E-3</v>
      </c>
      <c r="AA1340">
        <v>0.99838300000000002</v>
      </c>
      <c r="AB1340">
        <v>21</v>
      </c>
      <c r="AC1340">
        <v>25.572499999999899</v>
      </c>
      <c r="AD1340">
        <v>-1.1057870000000001</v>
      </c>
      <c r="AE1340">
        <v>1.43549999999999</v>
      </c>
      <c r="AF1340">
        <v>-1.46066525167613</v>
      </c>
      <c r="AG1340">
        <v>-1.1057870000000001</v>
      </c>
      <c r="AH1340">
        <v>25.5233454751748</v>
      </c>
      <c r="AI1340">
        <v>92.476714087434701</v>
      </c>
      <c r="AJ1340">
        <v>93.275384441122497</v>
      </c>
      <c r="AK1340">
        <v>25.589010768530098</v>
      </c>
      <c r="AL1340">
        <v>86.246521108234603</v>
      </c>
      <c r="AM1340">
        <v>94.230800698653198</v>
      </c>
      <c r="AN1340">
        <v>1.0000000424200599</v>
      </c>
    </row>
    <row r="1341" spans="1:40" x14ac:dyDescent="0.3">
      <c r="A1341" t="str">
        <f>"20200111145937733"</f>
        <v>20200111145937733</v>
      </c>
      <c r="B1341" t="str">
        <f>"1578725977727229"</f>
        <v>1578725977727229</v>
      </c>
      <c r="C1341" t="s">
        <v>40</v>
      </c>
      <c r="D1341">
        <v>3.981671</v>
      </c>
      <c r="E1341">
        <v>0.50600639999999997</v>
      </c>
      <c r="F1341" t="s">
        <v>43</v>
      </c>
      <c r="G1341">
        <v>-287.08350000000002</v>
      </c>
      <c r="H1341">
        <v>-0.05</v>
      </c>
      <c r="I1341">
        <v>369.08859999999999</v>
      </c>
      <c r="J1341">
        <v>-312.66829999999999</v>
      </c>
      <c r="K1341">
        <v>1.055701</v>
      </c>
      <c r="L1341">
        <v>367.63229999999999</v>
      </c>
      <c r="M1341">
        <v>0.99990380000000001</v>
      </c>
      <c r="N1341">
        <v>0</v>
      </c>
      <c r="O1341">
        <v>-1.122657E-3</v>
      </c>
      <c r="P1341">
        <v>0.99597400000000003</v>
      </c>
      <c r="Q1341">
        <v>5.1637089999999997E-2</v>
      </c>
      <c r="R1341">
        <v>7.3277699999999904E-2</v>
      </c>
      <c r="S1341">
        <v>3.0062259999999998</v>
      </c>
      <c r="T1341">
        <v>-0.12940839999999901</v>
      </c>
      <c r="U1341">
        <v>0.17041020000000001</v>
      </c>
      <c r="V1341">
        <v>-7.4386889999999997E-2</v>
      </c>
      <c r="W1341">
        <v>6.5413769999999996E-2</v>
      </c>
      <c r="X1341">
        <v>0.99508169999999996</v>
      </c>
      <c r="Y1341">
        <v>-5.7661560000000001E-2</v>
      </c>
      <c r="Z1341">
        <v>1.2877749999999999E-3</v>
      </c>
      <c r="AA1341">
        <v>0.99833539999999998</v>
      </c>
      <c r="AB1341">
        <v>21</v>
      </c>
      <c r="AC1341">
        <v>25.584799999999898</v>
      </c>
      <c r="AD1341">
        <v>-1.105701</v>
      </c>
      <c r="AE1341">
        <v>1.4562999999999899</v>
      </c>
      <c r="AF1341">
        <v>-1.48226526905913</v>
      </c>
      <c r="AG1341">
        <v>-1.105701</v>
      </c>
      <c r="AH1341">
        <v>25.535609494229</v>
      </c>
      <c r="AI1341">
        <v>92.475217555941498</v>
      </c>
      <c r="AJ1341">
        <v>93.322119645309698</v>
      </c>
      <c r="AK1341">
        <v>25.602481076470301</v>
      </c>
      <c r="AL1341">
        <v>86.249388946031502</v>
      </c>
      <c r="AM1341">
        <v>94.275168790966404</v>
      </c>
      <c r="AN1341">
        <v>0.99999998019218705</v>
      </c>
    </row>
    <row r="1342" spans="1:40" x14ac:dyDescent="0.3">
      <c r="A1342" t="str">
        <f>"20200111145937743"</f>
        <v>20200111145937743</v>
      </c>
      <c r="B1342" t="str">
        <f>"1578725977736989"</f>
        <v>1578725977736989</v>
      </c>
      <c r="C1342" t="s">
        <v>40</v>
      </c>
      <c r="D1342">
        <v>3.9888669999999999</v>
      </c>
      <c r="E1342">
        <v>0.50589759999999995</v>
      </c>
      <c r="F1342" t="s">
        <v>43</v>
      </c>
      <c r="G1342">
        <v>-286.93259999999998</v>
      </c>
      <c r="H1342">
        <v>-0.05</v>
      </c>
      <c r="I1342">
        <v>369.12119999999999</v>
      </c>
      <c r="J1342">
        <v>-312.56259999999997</v>
      </c>
      <c r="K1342">
        <v>1.0556219999999901</v>
      </c>
      <c r="L1342">
        <v>367.63209999999998</v>
      </c>
      <c r="M1342">
        <v>0.99990480000000004</v>
      </c>
      <c r="N1342">
        <v>0</v>
      </c>
      <c r="O1342">
        <v>-1.156769E-3</v>
      </c>
      <c r="P1342">
        <v>0.99592990000000003</v>
      </c>
      <c r="Q1342">
        <v>5.1514730000000002E-2</v>
      </c>
      <c r="R1342">
        <v>7.3960540000000005E-2</v>
      </c>
      <c r="S1342">
        <v>3.0060730000000002</v>
      </c>
      <c r="T1342">
        <v>-0.12915209999999999</v>
      </c>
      <c r="U1342">
        <v>0.17391970000000001</v>
      </c>
      <c r="V1342">
        <v>-7.5103370000000003E-2</v>
      </c>
      <c r="W1342">
        <v>6.5222009999999997E-2</v>
      </c>
      <c r="X1342">
        <v>0.99504049999999999</v>
      </c>
      <c r="Y1342">
        <v>-5.885924E-2</v>
      </c>
      <c r="Z1342">
        <v>1.3124079999999999E-3</v>
      </c>
      <c r="AA1342">
        <v>0.99826539999999997</v>
      </c>
      <c r="AB1342">
        <v>21</v>
      </c>
      <c r="AC1342">
        <v>25.6299999999999</v>
      </c>
      <c r="AD1342">
        <v>-1.1056220000000001</v>
      </c>
      <c r="AE1342">
        <v>1.4891000000000001</v>
      </c>
      <c r="AF1342">
        <v>-1.5159383215329201</v>
      </c>
      <c r="AG1342">
        <v>-1.1056220000000001</v>
      </c>
      <c r="AH1342">
        <v>25.580817700928002</v>
      </c>
      <c r="AI1342">
        <v>92.470497222509806</v>
      </c>
      <c r="AJ1342">
        <v>93.391424263899196</v>
      </c>
      <c r="AK1342">
        <v>25.6495361215302</v>
      </c>
      <c r="AL1342">
        <v>86.2603996159296</v>
      </c>
      <c r="AM1342">
        <v>94.316369549490602</v>
      </c>
      <c r="AN1342">
        <v>1.00000001170702</v>
      </c>
    </row>
    <row r="1343" spans="1:40" x14ac:dyDescent="0.3">
      <c r="A1343" t="str">
        <f>"20200111145937755"</f>
        <v>20200111145937755</v>
      </c>
      <c r="B1343" t="str">
        <f>"1578725977746749"</f>
        <v>1578725977746749</v>
      </c>
      <c r="C1343" t="s">
        <v>40</v>
      </c>
      <c r="D1343">
        <v>4.0008660000000003</v>
      </c>
      <c r="E1343">
        <v>0.50572499999999998</v>
      </c>
      <c r="F1343" t="s">
        <v>43</v>
      </c>
      <c r="G1343">
        <v>-286.89690000000002</v>
      </c>
      <c r="H1343">
        <v>-0.05</v>
      </c>
      <c r="I1343">
        <v>369.14109999999999</v>
      </c>
      <c r="J1343">
        <v>-312.45400000000001</v>
      </c>
      <c r="K1343">
        <v>1.055544</v>
      </c>
      <c r="L1343">
        <v>367.63200000000001</v>
      </c>
      <c r="M1343">
        <v>0.99990559999999995</v>
      </c>
      <c r="N1343">
        <v>0</v>
      </c>
      <c r="O1343">
        <v>-1.1943800000000001E-3</v>
      </c>
      <c r="P1343">
        <v>0.99587049999999999</v>
      </c>
      <c r="Q1343">
        <v>5.1570289999999998E-2</v>
      </c>
      <c r="R1343">
        <v>7.4717309999999995E-2</v>
      </c>
      <c r="S1343">
        <v>3.0058289999999999</v>
      </c>
      <c r="T1343">
        <v>-0.1294845</v>
      </c>
      <c r="U1343">
        <v>0.1767273</v>
      </c>
      <c r="V1343">
        <v>-7.5897660000000006E-2</v>
      </c>
      <c r="W1343">
        <v>6.5211549999999993E-2</v>
      </c>
      <c r="X1343">
        <v>0.99498089999999995</v>
      </c>
      <c r="Y1343">
        <v>-5.9829489999999999E-2</v>
      </c>
      <c r="Z1343">
        <v>1.3383430000000001E-3</v>
      </c>
      <c r="AA1343">
        <v>0.99820770000000003</v>
      </c>
      <c r="AB1343">
        <v>21</v>
      </c>
      <c r="AC1343">
        <v>25.557099999999899</v>
      </c>
      <c r="AD1343">
        <v>-1.1055440000000001</v>
      </c>
      <c r="AE1343">
        <v>1.5091000000000401</v>
      </c>
      <c r="AF1343">
        <v>-1.5367610192802701</v>
      </c>
      <c r="AG1343">
        <v>-1.1055440000000001</v>
      </c>
      <c r="AH1343">
        <v>25.507714012659601</v>
      </c>
      <c r="AI1343">
        <v>92.477248867611493</v>
      </c>
      <c r="AJ1343">
        <v>93.4477264629529</v>
      </c>
      <c r="AK1343">
        <v>25.5778680917301</v>
      </c>
      <c r="AL1343">
        <v>86.261000150324307</v>
      </c>
      <c r="AM1343">
        <v>94.362104299949706</v>
      </c>
      <c r="AN1343">
        <v>0.99999999620584401</v>
      </c>
    </row>
    <row r="1344" spans="1:40" x14ac:dyDescent="0.3">
      <c r="A1344" t="str">
        <f>"20200111145937766"</f>
        <v>20200111145937766</v>
      </c>
      <c r="B1344" t="str">
        <f>"1578725977757484"</f>
        <v>1578725977757484</v>
      </c>
      <c r="C1344" t="s">
        <v>40</v>
      </c>
      <c r="D1344">
        <v>3.9993370000000001</v>
      </c>
      <c r="E1344">
        <v>0.50565020000000005</v>
      </c>
      <c r="F1344" t="s">
        <v>43</v>
      </c>
      <c r="G1344">
        <v>-286.61349999999999</v>
      </c>
      <c r="H1344">
        <v>-0.05</v>
      </c>
      <c r="I1344">
        <v>369.18130000000002</v>
      </c>
      <c r="J1344">
        <v>-312.35419999999999</v>
      </c>
      <c r="K1344">
        <v>1.0554749999999999</v>
      </c>
      <c r="L1344">
        <v>367.6318</v>
      </c>
      <c r="M1344">
        <v>0.99990630000000003</v>
      </c>
      <c r="N1344">
        <v>0</v>
      </c>
      <c r="O1344">
        <v>-1.231825E-3</v>
      </c>
      <c r="P1344">
        <v>0.99582269999999995</v>
      </c>
      <c r="Q1344">
        <v>5.1725519999999997E-2</v>
      </c>
      <c r="R1344">
        <v>7.5245899999999893E-2</v>
      </c>
      <c r="S1344">
        <v>3.005585</v>
      </c>
      <c r="T1344">
        <v>-0.12858919999999999</v>
      </c>
      <c r="U1344">
        <v>0.18020630000000001</v>
      </c>
      <c r="V1344">
        <v>-7.6463160000000002E-2</v>
      </c>
      <c r="W1344">
        <v>6.5309549999999994E-2</v>
      </c>
      <c r="X1344">
        <v>0.99493120000000002</v>
      </c>
      <c r="Y1344">
        <v>-6.1022630000000001E-2</v>
      </c>
      <c r="Z1344">
        <v>1.35624799999999E-3</v>
      </c>
      <c r="AA1344">
        <v>0.99813540000000001</v>
      </c>
      <c r="AB1344">
        <v>21</v>
      </c>
      <c r="AC1344">
        <v>25.7407</v>
      </c>
      <c r="AD1344">
        <v>-1.105475</v>
      </c>
      <c r="AE1344">
        <v>1.5495000000000201</v>
      </c>
      <c r="AF1344">
        <v>-1.57830927241595</v>
      </c>
      <c r="AG1344">
        <v>-1.105475</v>
      </c>
      <c r="AH1344">
        <v>25.6915569353088</v>
      </c>
      <c r="AI1344">
        <v>92.459214174134701</v>
      </c>
      <c r="AJ1344">
        <v>93.515433311793501</v>
      </c>
      <c r="AK1344">
        <v>25.763719314090402</v>
      </c>
      <c r="AL1344">
        <v>86.255373267035296</v>
      </c>
      <c r="AM1344">
        <v>94.394697379961698</v>
      </c>
      <c r="AN1344">
        <v>1.00000002244591</v>
      </c>
    </row>
    <row r="1345" spans="1:40" x14ac:dyDescent="0.3">
      <c r="A1345" t="str">
        <f>"20200111145937777"</f>
        <v>20200111145937777</v>
      </c>
      <c r="B1345" t="str">
        <f>"1578725977767244"</f>
        <v>1578725977767244</v>
      </c>
      <c r="C1345" t="s">
        <v>40</v>
      </c>
      <c r="D1345">
        <v>4.0247129999999904</v>
      </c>
      <c r="E1345">
        <v>0.50556699999999999</v>
      </c>
      <c r="F1345" t="s">
        <v>43</v>
      </c>
      <c r="G1345">
        <v>-286.42349999999999</v>
      </c>
      <c r="H1345">
        <v>-0.05</v>
      </c>
      <c r="I1345">
        <v>369.20740000000001</v>
      </c>
      <c r="J1345">
        <v>-312.2432</v>
      </c>
      <c r="K1345">
        <v>1.0553999999999999</v>
      </c>
      <c r="L1345">
        <v>367.63170000000002</v>
      </c>
      <c r="M1345">
        <v>0.99990699999999999</v>
      </c>
      <c r="N1345">
        <v>0</v>
      </c>
      <c r="O1345">
        <v>-1.2767830000000001E-3</v>
      </c>
      <c r="P1345">
        <v>0.99580959999999996</v>
      </c>
      <c r="Q1345">
        <v>5.1929070000000001E-2</v>
      </c>
      <c r="R1345">
        <v>7.5279100000000002E-2</v>
      </c>
      <c r="S1345">
        <v>3.0054319999999999</v>
      </c>
      <c r="T1345">
        <v>-0.1281272</v>
      </c>
      <c r="U1345">
        <v>0.18261720000000001</v>
      </c>
      <c r="V1345">
        <v>-7.6540250000000004E-2</v>
      </c>
      <c r="W1345">
        <v>6.5453739999999996E-2</v>
      </c>
      <c r="X1345">
        <v>0.99491580000000002</v>
      </c>
      <c r="Y1345">
        <v>-6.1867869999999998E-2</v>
      </c>
      <c r="Z1345">
        <v>1.3713219999999999E-3</v>
      </c>
      <c r="AA1345">
        <v>0.99808339999999995</v>
      </c>
      <c r="AB1345">
        <v>21</v>
      </c>
      <c r="AC1345">
        <v>25.819700000000001</v>
      </c>
      <c r="AD1345">
        <v>-1.1053999999999999</v>
      </c>
      <c r="AE1345">
        <v>1.5756999999999799</v>
      </c>
      <c r="AF1345">
        <v>-1.6057356913660299</v>
      </c>
      <c r="AG1345">
        <v>-1.1053999999999999</v>
      </c>
      <c r="AH1345">
        <v>25.770607498375401</v>
      </c>
      <c r="AI1345">
        <v>92.451381529648202</v>
      </c>
      <c r="AJ1345">
        <v>93.565422057707394</v>
      </c>
      <c r="AK1345">
        <v>25.844235471490499</v>
      </c>
      <c r="AL1345">
        <v>86.247094085587705</v>
      </c>
      <c r="AM1345">
        <v>94.399178546435195</v>
      </c>
      <c r="AN1345">
        <v>1.00000002551984</v>
      </c>
    </row>
    <row r="1346" spans="1:40" x14ac:dyDescent="0.3">
      <c r="A1346" t="str">
        <f>"20200111145937789"</f>
        <v>20200111145937789</v>
      </c>
      <c r="B1346" t="str">
        <f>"1578725977786765"</f>
        <v>1578725977786765</v>
      </c>
      <c r="C1346" t="s">
        <v>40</v>
      </c>
      <c r="D1346">
        <v>4.0376110000000001</v>
      </c>
      <c r="E1346">
        <v>0.50547690000000001</v>
      </c>
      <c r="F1346" t="s">
        <v>43</v>
      </c>
      <c r="G1346">
        <v>-286.21089999999998</v>
      </c>
      <c r="H1346">
        <v>-0.05</v>
      </c>
      <c r="I1346">
        <v>369.22030000000001</v>
      </c>
      <c r="J1346">
        <v>-312.13260000000002</v>
      </c>
      <c r="K1346">
        <v>1.0553360000000001</v>
      </c>
      <c r="L1346">
        <v>367.63139999999999</v>
      </c>
      <c r="M1346">
        <v>0.99990769999999995</v>
      </c>
      <c r="N1346">
        <v>0</v>
      </c>
      <c r="O1346">
        <v>-1.32956E-3</v>
      </c>
      <c r="P1346">
        <v>0.99579189999999995</v>
      </c>
      <c r="Q1346">
        <v>5.2193089999999998E-2</v>
      </c>
      <c r="R1346">
        <v>7.5328489999999998E-2</v>
      </c>
      <c r="S1346">
        <v>3.0054020000000001</v>
      </c>
      <c r="T1346">
        <v>-0.12761700000000001</v>
      </c>
      <c r="U1346">
        <v>0.18341060000000001</v>
      </c>
      <c r="V1346">
        <v>-7.6640699999999895E-2</v>
      </c>
      <c r="W1346">
        <v>6.5663579999999999E-2</v>
      </c>
      <c r="X1346">
        <v>0.99489419999999995</v>
      </c>
      <c r="Y1346">
        <v>-6.2183809999999999E-2</v>
      </c>
      <c r="Z1346">
        <v>1.374807E-3</v>
      </c>
      <c r="AA1346">
        <v>0.9980637</v>
      </c>
      <c r="AB1346">
        <v>21</v>
      </c>
      <c r="AC1346">
        <v>25.921700000000001</v>
      </c>
      <c r="AD1346">
        <v>-1.1053360000000001</v>
      </c>
      <c r="AE1346">
        <v>1.58890000000002</v>
      </c>
      <c r="AF1346">
        <v>-1.62043082742538</v>
      </c>
      <c r="AG1346">
        <v>-1.1053360000000001</v>
      </c>
      <c r="AH1346">
        <v>25.872696540985501</v>
      </c>
      <c r="AI1346">
        <v>92.441530466614296</v>
      </c>
      <c r="AJ1346">
        <v>93.583806378739197</v>
      </c>
      <c r="AK1346">
        <v>25.946945678466498</v>
      </c>
      <c r="AL1346">
        <v>86.235045069650795</v>
      </c>
      <c r="AM1346">
        <v>94.405024496980204</v>
      </c>
      <c r="AN1346">
        <v>0.99999998591427297</v>
      </c>
    </row>
    <row r="1347" spans="1:40" x14ac:dyDescent="0.3">
      <c r="A1347" t="str">
        <f>"20200111145937802"</f>
        <v>20200111145937802</v>
      </c>
      <c r="B1347" t="str">
        <f>"1578725977797501"</f>
        <v>1578725977797501</v>
      </c>
      <c r="C1347" t="s">
        <v>40</v>
      </c>
      <c r="D1347">
        <v>4.0192540000000001</v>
      </c>
      <c r="E1347">
        <v>0.50547690000000001</v>
      </c>
      <c r="F1347" t="s">
        <v>43</v>
      </c>
      <c r="G1347">
        <v>-285.91559999999998</v>
      </c>
      <c r="H1347">
        <v>-0.05</v>
      </c>
      <c r="I1347">
        <v>369.24020000000002</v>
      </c>
      <c r="J1347">
        <v>-312.01100000000002</v>
      </c>
      <c r="K1347">
        <v>1.0552699999999999</v>
      </c>
      <c r="L1347">
        <v>367.63119999999998</v>
      </c>
      <c r="M1347">
        <v>0.99990840000000003</v>
      </c>
      <c r="N1347">
        <v>0</v>
      </c>
      <c r="O1347">
        <v>-1.3920040000000001E-3</v>
      </c>
      <c r="P1347">
        <v>0.99577530000000003</v>
      </c>
      <c r="Q1347">
        <v>5.252151E-2</v>
      </c>
      <c r="R1347">
        <v>7.5320029999999996E-2</v>
      </c>
      <c r="S1347">
        <v>3.0053709999999998</v>
      </c>
      <c r="T1347">
        <v>-0.12670989999999999</v>
      </c>
      <c r="U1347">
        <v>0.18441769999999999</v>
      </c>
      <c r="V1347">
        <v>-7.6692940000000001E-2</v>
      </c>
      <c r="W1347">
        <v>6.5935729999999998E-2</v>
      </c>
      <c r="X1347">
        <v>0.99487219999999998</v>
      </c>
      <c r="Y1347">
        <v>-6.2580350000000007E-2</v>
      </c>
      <c r="Z1347">
        <v>1.3760199999999999E-3</v>
      </c>
      <c r="AA1347">
        <v>0.99803900000000001</v>
      </c>
      <c r="AB1347">
        <v>21</v>
      </c>
      <c r="AC1347">
        <v>26.095399999999898</v>
      </c>
      <c r="AD1347">
        <v>-1.10527</v>
      </c>
      <c r="AE1347">
        <v>1.60900000000003</v>
      </c>
      <c r="AF1347">
        <v>-1.6423914353800599</v>
      </c>
      <c r="AG1347">
        <v>-1.10527</v>
      </c>
      <c r="AH1347">
        <v>26.046585631852601</v>
      </c>
      <c r="AI1347">
        <v>92.425041064169804</v>
      </c>
      <c r="AJ1347">
        <v>93.608061240176994</v>
      </c>
      <c r="AK1347">
        <v>26.1217092564277</v>
      </c>
      <c r="AL1347">
        <v>86.219418251921894</v>
      </c>
      <c r="AM1347">
        <v>94.408112321418301</v>
      </c>
      <c r="AN1347">
        <v>1.0000000109346501</v>
      </c>
    </row>
    <row r="1348" spans="1:40" x14ac:dyDescent="0.3">
      <c r="A1348" t="str">
        <f>"20200111145937812"</f>
        <v>20200111145937812</v>
      </c>
      <c r="B1348" t="str">
        <f>"1578725977807261"</f>
        <v>1578725977807261</v>
      </c>
      <c r="C1348" t="s">
        <v>40</v>
      </c>
      <c r="D1348">
        <v>4.0435410000000003</v>
      </c>
      <c r="E1348">
        <v>0.50540620000000003</v>
      </c>
      <c r="F1348" t="s">
        <v>43</v>
      </c>
      <c r="G1348">
        <v>-285.58640000000003</v>
      </c>
      <c r="H1348">
        <v>-0.05</v>
      </c>
      <c r="I1348">
        <v>369.25299999999999</v>
      </c>
      <c r="J1348">
        <v>-311.91250000000002</v>
      </c>
      <c r="K1348">
        <v>1.055221</v>
      </c>
      <c r="L1348">
        <v>367.63099999999997</v>
      </c>
      <c r="M1348">
        <v>0.99990900000000005</v>
      </c>
      <c r="N1348">
        <v>0</v>
      </c>
      <c r="O1348">
        <v>-1.4549319999999999E-3</v>
      </c>
      <c r="P1348">
        <v>0.99577499999999997</v>
      </c>
      <c r="Q1348">
        <v>5.2626649999999997E-2</v>
      </c>
      <c r="R1348">
        <v>7.5249910000000003E-2</v>
      </c>
      <c r="S1348">
        <v>3.0053709999999998</v>
      </c>
      <c r="T1348">
        <v>-0.1257067</v>
      </c>
      <c r="U1348">
        <v>0.18444820000000001</v>
      </c>
      <c r="V1348">
        <v>-7.6683609999999999E-2</v>
      </c>
      <c r="W1348">
        <v>6.5999950000000002E-2</v>
      </c>
      <c r="X1348">
        <v>0.99486859999999999</v>
      </c>
      <c r="Y1348">
        <v>-6.2654039999999994E-2</v>
      </c>
      <c r="Z1348">
        <v>1.369302E-3</v>
      </c>
      <c r="AA1348">
        <v>0.99803439999999999</v>
      </c>
      <c r="AB1348">
        <v>21</v>
      </c>
      <c r="AC1348">
        <v>26.3261</v>
      </c>
      <c r="AD1348">
        <v>-1.105221</v>
      </c>
      <c r="AE1348">
        <v>1.6220000000000701</v>
      </c>
      <c r="AF1348">
        <v>-1.65739432919967</v>
      </c>
      <c r="AG1348">
        <v>-1.105221</v>
      </c>
      <c r="AH1348">
        <v>26.2775733576958</v>
      </c>
      <c r="AI1348">
        <v>92.4036403901992</v>
      </c>
      <c r="AJ1348">
        <v>93.609011932184202</v>
      </c>
      <c r="AK1348">
        <v>26.3529757520927</v>
      </c>
      <c r="AL1348">
        <v>86.2157304549701</v>
      </c>
      <c r="AM1348">
        <v>94.407594056633499</v>
      </c>
      <c r="AN1348">
        <v>0.99999995035429601</v>
      </c>
    </row>
    <row r="1349" spans="1:40" x14ac:dyDescent="0.3">
      <c r="A1349" t="str">
        <f>"20200111145937822"</f>
        <v>20200111145937822</v>
      </c>
      <c r="B1349" t="str">
        <f>"1578725977817020"</f>
        <v>1578725977817020</v>
      </c>
      <c r="C1349" t="s">
        <v>40</v>
      </c>
      <c r="D1349">
        <v>4.0874160000000002</v>
      </c>
      <c r="E1349">
        <v>0.50535350000000001</v>
      </c>
      <c r="F1349" t="s">
        <v>43</v>
      </c>
      <c r="G1349">
        <v>-285.40440000000001</v>
      </c>
      <c r="H1349">
        <v>-0.05</v>
      </c>
      <c r="I1349">
        <v>369.25760000000002</v>
      </c>
      <c r="J1349">
        <v>-311.81450000000001</v>
      </c>
      <c r="K1349">
        <v>1.0551710000000001</v>
      </c>
      <c r="L1349">
        <v>367.6309</v>
      </c>
      <c r="M1349">
        <v>0.99990939999999995</v>
      </c>
      <c r="N1349">
        <v>0</v>
      </c>
      <c r="O1349">
        <v>-1.52002E-3</v>
      </c>
      <c r="P1349">
        <v>0.99575199999999997</v>
      </c>
      <c r="Q1349">
        <v>5.2871790000000002E-2</v>
      </c>
      <c r="R1349">
        <v>7.5384439999999997E-2</v>
      </c>
      <c r="S1349">
        <v>3.0054319999999999</v>
      </c>
      <c r="T1349">
        <v>-0.12530730000000001</v>
      </c>
      <c r="U1349">
        <v>0.18441769999999999</v>
      </c>
      <c r="V1349">
        <v>-7.68818E-2</v>
      </c>
      <c r="W1349">
        <v>6.6205020000000003E-2</v>
      </c>
      <c r="X1349">
        <v>0.99483969999999999</v>
      </c>
      <c r="Y1349">
        <v>-6.270792E-2</v>
      </c>
      <c r="Z1349">
        <v>1.368761E-3</v>
      </c>
      <c r="AA1349">
        <v>0.998031</v>
      </c>
      <c r="AB1349">
        <v>21</v>
      </c>
      <c r="AC1349">
        <v>26.4101</v>
      </c>
      <c r="AD1349">
        <v>-1.1051709999999999</v>
      </c>
      <c r="AE1349">
        <v>1.62670000000002</v>
      </c>
      <c r="AF1349">
        <v>-1.6639428207512099</v>
      </c>
      <c r="AG1349">
        <v>-1.1051709999999999</v>
      </c>
      <c r="AH1349">
        <v>26.361608462624801</v>
      </c>
      <c r="AI1349">
        <v>92.395871659894993</v>
      </c>
      <c r="AJ1349">
        <v>93.611714039840095</v>
      </c>
      <c r="AK1349">
        <v>26.437180435642201</v>
      </c>
      <c r="AL1349">
        <v>86.203955137475901</v>
      </c>
      <c r="AM1349">
        <v>94.419068352685201</v>
      </c>
      <c r="AN1349">
        <v>0.99999997227026405</v>
      </c>
    </row>
    <row r="1350" spans="1:40" x14ac:dyDescent="0.3">
      <c r="A1350" t="str">
        <f>"20200111145937833"</f>
        <v>20200111145937833</v>
      </c>
      <c r="B1350" t="str">
        <f>"1578725977826780"</f>
        <v>1578725977826780</v>
      </c>
      <c r="C1350" t="s">
        <v>40</v>
      </c>
      <c r="D1350">
        <v>4.0670630000000001</v>
      </c>
      <c r="E1350">
        <v>0.50531289999999995</v>
      </c>
      <c r="F1350" t="s">
        <v>43</v>
      </c>
      <c r="G1350">
        <v>-285.1721</v>
      </c>
      <c r="H1350">
        <v>-0.05</v>
      </c>
      <c r="I1350">
        <v>369.27190000000002</v>
      </c>
      <c r="J1350">
        <v>-311.70890000000003</v>
      </c>
      <c r="K1350">
        <v>1.055121</v>
      </c>
      <c r="L1350">
        <v>367.63060000000002</v>
      </c>
      <c r="M1350">
        <v>0.99990979999999996</v>
      </c>
      <c r="N1350">
        <v>0</v>
      </c>
      <c r="O1350">
        <v>-1.6024450000000001E-3</v>
      </c>
      <c r="P1350">
        <v>0.99576010000000004</v>
      </c>
      <c r="Q1350">
        <v>5.2690300000000002E-2</v>
      </c>
      <c r="R1350">
        <v>7.5405040000000007E-2</v>
      </c>
      <c r="S1350">
        <v>3.0054020000000001</v>
      </c>
      <c r="T1350">
        <v>-0.1246688</v>
      </c>
      <c r="U1350">
        <v>0.1851196</v>
      </c>
      <c r="V1350">
        <v>-7.6982540000000002E-2</v>
      </c>
      <c r="W1350">
        <v>6.5985680000000005E-2</v>
      </c>
      <c r="X1350">
        <v>0.99484649999999997</v>
      </c>
      <c r="Y1350">
        <v>-6.302323E-2</v>
      </c>
      <c r="Z1350">
        <v>1.3717410000000001E-3</v>
      </c>
      <c r="AA1350">
        <v>0.99801110000000004</v>
      </c>
      <c r="AB1350">
        <v>21</v>
      </c>
      <c r="AC1350">
        <v>26.536799999999999</v>
      </c>
      <c r="AD1350">
        <v>-1.105121</v>
      </c>
      <c r="AE1350">
        <v>1.6413</v>
      </c>
      <c r="AF1350">
        <v>-1.6809213348824701</v>
      </c>
      <c r="AG1350">
        <v>-1.105121</v>
      </c>
      <c r="AH1350">
        <v>26.488372053023699</v>
      </c>
      <c r="AI1350">
        <v>92.384260536267007</v>
      </c>
      <c r="AJ1350">
        <v>93.6310547498815</v>
      </c>
      <c r="AK1350">
        <v>26.564650251379401</v>
      </c>
      <c r="AL1350">
        <v>86.216550002190701</v>
      </c>
      <c r="AM1350">
        <v>94.424805654609003</v>
      </c>
      <c r="AN1350">
        <v>0.99999998999608197</v>
      </c>
    </row>
    <row r="1351" spans="1:40" x14ac:dyDescent="0.3">
      <c r="A1351" t="str">
        <f>"20200111145937844"</f>
        <v>20200111145937844</v>
      </c>
      <c r="B1351" t="str">
        <f>"1578725977837516"</f>
        <v>1578725977837516</v>
      </c>
      <c r="C1351" t="s">
        <v>40</v>
      </c>
      <c r="D1351">
        <v>4.0695249999999996</v>
      </c>
      <c r="E1351">
        <v>0.5052953</v>
      </c>
      <c r="F1351" t="s">
        <v>43</v>
      </c>
      <c r="G1351">
        <v>-285.19490000000002</v>
      </c>
      <c r="H1351">
        <v>-0.05</v>
      </c>
      <c r="I1351">
        <v>369.26589999999999</v>
      </c>
      <c r="J1351">
        <v>-311.60480000000001</v>
      </c>
      <c r="K1351">
        <v>1.0550740000000001</v>
      </c>
      <c r="L1351">
        <v>367.63029999999998</v>
      </c>
      <c r="M1351">
        <v>0.99991039999999998</v>
      </c>
      <c r="N1351">
        <v>0</v>
      </c>
      <c r="O1351">
        <v>-1.6897819999999999E-3</v>
      </c>
      <c r="P1351">
        <v>0.99576480000000001</v>
      </c>
      <c r="Q1351">
        <v>5.2348939999999997E-2</v>
      </c>
      <c r="R1351">
        <v>7.5580449999999993E-2</v>
      </c>
      <c r="S1351">
        <v>3.0053709999999998</v>
      </c>
      <c r="T1351">
        <v>-0.12526599999999999</v>
      </c>
      <c r="U1351">
        <v>0.1853638</v>
      </c>
      <c r="V1351">
        <v>-7.724251E-2</v>
      </c>
      <c r="W1351">
        <v>6.5608849999999996E-2</v>
      </c>
      <c r="X1351">
        <v>0.99485129999999999</v>
      </c>
      <c r="Y1351">
        <v>-6.3191049999999999E-2</v>
      </c>
      <c r="Z1351">
        <v>1.3854449999999999E-3</v>
      </c>
      <c r="AA1351">
        <v>0.99800049999999996</v>
      </c>
      <c r="AB1351">
        <v>21</v>
      </c>
      <c r="AC1351">
        <v>26.4099</v>
      </c>
      <c r="AD1351">
        <v>-1.1050739999999999</v>
      </c>
      <c r="AE1351">
        <v>1.6356000000000099</v>
      </c>
      <c r="AF1351">
        <v>-1.67730308606973</v>
      </c>
      <c r="AG1351">
        <v>-1.1050739999999999</v>
      </c>
      <c r="AH1351">
        <v>26.3611201897527</v>
      </c>
      <c r="AI1351">
        <v>92.395629217068404</v>
      </c>
      <c r="AJ1351">
        <v>93.640703076758996</v>
      </c>
      <c r="AK1351">
        <v>26.437533770127001</v>
      </c>
      <c r="AL1351">
        <v>86.238187764533507</v>
      </c>
      <c r="AM1351">
        <v>94.439667244929794</v>
      </c>
      <c r="AN1351">
        <v>1.0000000178305499</v>
      </c>
    </row>
    <row r="1352" spans="1:40" x14ac:dyDescent="0.3">
      <c r="A1352" t="str">
        <f>"20200111145937855"</f>
        <v>20200111145937855</v>
      </c>
      <c r="B1352" t="str">
        <f>"1578725977847276"</f>
        <v>1578725977847276</v>
      </c>
      <c r="C1352" t="s">
        <v>40</v>
      </c>
      <c r="D1352">
        <v>3.9924189999999999</v>
      </c>
      <c r="E1352">
        <v>0.5052603</v>
      </c>
      <c r="F1352" t="s">
        <v>43</v>
      </c>
      <c r="G1352">
        <v>-285.31650000000002</v>
      </c>
      <c r="H1352">
        <v>-0.05</v>
      </c>
      <c r="I1352">
        <v>369.25900000000001</v>
      </c>
      <c r="J1352">
        <v>-311.49770000000001</v>
      </c>
      <c r="K1352">
        <v>1.055023</v>
      </c>
      <c r="L1352">
        <v>367.63010000000003</v>
      </c>
      <c r="M1352">
        <v>0.99991070000000004</v>
      </c>
      <c r="N1352">
        <v>0</v>
      </c>
      <c r="O1352">
        <v>-1.7909899999999999E-3</v>
      </c>
      <c r="P1352">
        <v>0.99574980000000002</v>
      </c>
      <c r="Q1352">
        <v>5.2317139999999998E-2</v>
      </c>
      <c r="R1352">
        <v>7.5800290000000006E-2</v>
      </c>
      <c r="S1352">
        <v>3.0052490000000001</v>
      </c>
      <c r="T1352">
        <v>-0.12633050000000001</v>
      </c>
      <c r="U1352">
        <v>0.18618770000000001</v>
      </c>
      <c r="V1352">
        <v>-7.7560690000000002E-2</v>
      </c>
      <c r="W1352">
        <v>6.5543199999999996E-2</v>
      </c>
      <c r="X1352">
        <v>0.99483080000000002</v>
      </c>
      <c r="Y1352">
        <v>-6.3565750000000004E-2</v>
      </c>
      <c r="Z1352">
        <v>1.4093669999999999E-3</v>
      </c>
      <c r="AA1352">
        <v>0.99797670000000005</v>
      </c>
      <c r="AB1352">
        <v>21</v>
      </c>
      <c r="AC1352">
        <v>26.181199999999901</v>
      </c>
      <c r="AD1352">
        <v>-1.1050229999999901</v>
      </c>
      <c r="AE1352">
        <v>1.62889999999998</v>
      </c>
      <c r="AF1352">
        <v>-1.6728232758581301</v>
      </c>
      <c r="AG1352">
        <v>-1.1050229999999901</v>
      </c>
      <c r="AH1352">
        <v>26.131868369333102</v>
      </c>
      <c r="AI1352">
        <v>92.416450250229502</v>
      </c>
      <c r="AJ1352">
        <v>93.662773429961206</v>
      </c>
      <c r="AK1352">
        <v>26.208661889057399</v>
      </c>
      <c r="AL1352">
        <v>86.241957076417194</v>
      </c>
      <c r="AM1352">
        <v>94.457973200108</v>
      </c>
      <c r="AN1352">
        <v>0.99999994616407595</v>
      </c>
    </row>
    <row r="1353" spans="1:40" x14ac:dyDescent="0.3">
      <c r="A1353" t="str">
        <f>"20200111145937866"</f>
        <v>20200111145937866</v>
      </c>
      <c r="B1353" t="str">
        <f>"1578725977857037"</f>
        <v>1578725977857037</v>
      </c>
      <c r="C1353" t="s">
        <v>40</v>
      </c>
      <c r="D1353">
        <v>4.0519749999999997</v>
      </c>
      <c r="E1353">
        <v>0.50521110000000002</v>
      </c>
      <c r="F1353" t="s">
        <v>43</v>
      </c>
      <c r="G1353">
        <v>-285.69580000000002</v>
      </c>
      <c r="H1353">
        <v>-0.05</v>
      </c>
      <c r="I1353">
        <v>369.2364</v>
      </c>
      <c r="J1353">
        <v>-311.39100000000002</v>
      </c>
      <c r="K1353">
        <v>1.054975</v>
      </c>
      <c r="L1353">
        <v>367.62970000000001</v>
      </c>
      <c r="M1353">
        <v>0.99991079999999999</v>
      </c>
      <c r="N1353">
        <v>0</v>
      </c>
      <c r="O1353">
        <v>-1.9072270000000001E-3</v>
      </c>
      <c r="P1353">
        <v>0.99574569999999996</v>
      </c>
      <c r="Q1353">
        <v>5.2178679999999998E-2</v>
      </c>
      <c r="R1353">
        <v>7.5948089999999996E-2</v>
      </c>
      <c r="S1353">
        <v>3.0053100000000001</v>
      </c>
      <c r="T1353">
        <v>-0.12870909999999999</v>
      </c>
      <c r="U1353">
        <v>0.1871033</v>
      </c>
      <c r="V1353">
        <v>-7.7822450000000001E-2</v>
      </c>
      <c r="W1353">
        <v>6.5373319999999999E-2</v>
      </c>
      <c r="X1353">
        <v>0.99482159999999997</v>
      </c>
      <c r="Y1353">
        <v>-6.3980679999999998E-2</v>
      </c>
      <c r="Z1353">
        <v>1.449681E-3</v>
      </c>
      <c r="AA1353">
        <v>0.99795009999999995</v>
      </c>
      <c r="AB1353">
        <v>21</v>
      </c>
      <c r="AC1353">
        <v>25.6951999999999</v>
      </c>
      <c r="AD1353">
        <v>-1.104975</v>
      </c>
      <c r="AE1353">
        <v>1.60669999999998</v>
      </c>
      <c r="AF1353">
        <v>-1.6526636168197499</v>
      </c>
      <c r="AG1353">
        <v>-1.104975</v>
      </c>
      <c r="AH1353">
        <v>25.6448490383573</v>
      </c>
      <c r="AI1353">
        <v>92.462110514078503</v>
      </c>
      <c r="AJ1353">
        <v>93.687285906306201</v>
      </c>
      <c r="AK1353">
        <v>25.721791325277501</v>
      </c>
      <c r="AL1353">
        <v>86.251711644595304</v>
      </c>
      <c r="AM1353">
        <v>94.472998682781096</v>
      </c>
      <c r="AN1353">
        <v>1.0000000102591899</v>
      </c>
    </row>
    <row r="1354" spans="1:40" x14ac:dyDescent="0.3">
      <c r="A1354" t="str">
        <f>"20200111145937877"</f>
        <v>20200111145937877</v>
      </c>
      <c r="B1354" t="str">
        <f>"1578725977866797"</f>
        <v>1578725977866797</v>
      </c>
      <c r="C1354" t="s">
        <v>40</v>
      </c>
      <c r="D1354">
        <v>4.1326619999999998</v>
      </c>
      <c r="E1354">
        <v>0.50523960000000001</v>
      </c>
      <c r="F1354" t="s">
        <v>43</v>
      </c>
      <c r="G1354">
        <v>-286.14089999999999</v>
      </c>
      <c r="H1354">
        <v>-0.05</v>
      </c>
      <c r="I1354">
        <v>369.20890000000003</v>
      </c>
      <c r="J1354">
        <v>-311.28480000000002</v>
      </c>
      <c r="K1354">
        <v>1.0549329999999999</v>
      </c>
      <c r="L1354">
        <v>367.62939999999998</v>
      </c>
      <c r="M1354">
        <v>0.99991099999999999</v>
      </c>
      <c r="N1354">
        <v>0</v>
      </c>
      <c r="O1354">
        <v>-2.0345570000000002E-3</v>
      </c>
      <c r="P1354">
        <v>0.99570879999999995</v>
      </c>
      <c r="Q1354">
        <v>5.2180890000000001E-2</v>
      </c>
      <c r="R1354">
        <v>7.6428800000000005E-2</v>
      </c>
      <c r="S1354">
        <v>3.0054020000000001</v>
      </c>
      <c r="T1354">
        <v>-0.13152</v>
      </c>
      <c r="U1354">
        <v>0.18795780000000001</v>
      </c>
      <c r="V1354">
        <v>-7.8426930000000006E-2</v>
      </c>
      <c r="W1354">
        <v>6.5345249999999994E-2</v>
      </c>
      <c r="X1354">
        <v>0.99477599999999999</v>
      </c>
      <c r="Y1354">
        <v>-6.4385349999999994E-2</v>
      </c>
      <c r="Z1354">
        <v>1.4956590000000001E-3</v>
      </c>
      <c r="AA1354">
        <v>0.99792400000000003</v>
      </c>
      <c r="AB1354">
        <v>21</v>
      </c>
      <c r="AC1354">
        <v>25.143899999999999</v>
      </c>
      <c r="AD1354">
        <v>-1.1049329999999999</v>
      </c>
      <c r="AE1354">
        <v>1.5795000000000501</v>
      </c>
      <c r="AF1354">
        <v>-1.62752729794944</v>
      </c>
      <c r="AG1354">
        <v>-1.1049329999999999</v>
      </c>
      <c r="AH1354">
        <v>25.0923684732109</v>
      </c>
      <c r="AI1354">
        <v>92.516089007546995</v>
      </c>
      <c r="AJ1354">
        <v>93.711088731293302</v>
      </c>
      <c r="AK1354">
        <v>25.169359897213301</v>
      </c>
      <c r="AL1354">
        <v>86.253323485962099</v>
      </c>
      <c r="AM1354">
        <v>94.507805501327894</v>
      </c>
      <c r="AN1354">
        <v>1.00000003761139</v>
      </c>
    </row>
    <row r="1355" spans="1:40" x14ac:dyDescent="0.3">
      <c r="A1355" t="str">
        <f>"20200111145937889"</f>
        <v>20200111145937889</v>
      </c>
      <c r="B1355" t="str">
        <f>"1578725977887293"</f>
        <v>1578725977887293</v>
      </c>
      <c r="C1355" t="s">
        <v>40</v>
      </c>
      <c r="D1355">
        <v>4.1187519999999997</v>
      </c>
      <c r="E1355">
        <v>0.50519060000000005</v>
      </c>
      <c r="F1355" t="s">
        <v>43</v>
      </c>
      <c r="G1355">
        <v>-285.83260000000001</v>
      </c>
      <c r="H1355">
        <v>-0.05</v>
      </c>
      <c r="I1355">
        <v>369.23129999999998</v>
      </c>
      <c r="J1355">
        <v>-311.1814</v>
      </c>
      <c r="K1355">
        <v>1.0548930000000001</v>
      </c>
      <c r="L1355">
        <v>367.62900000000002</v>
      </c>
      <c r="M1355">
        <v>0.99991110000000005</v>
      </c>
      <c r="N1355">
        <v>0</v>
      </c>
      <c r="O1355">
        <v>-2.1770790000000002E-3</v>
      </c>
      <c r="P1355">
        <v>0.99570970000000003</v>
      </c>
      <c r="Q1355">
        <v>5.1996279999999999E-2</v>
      </c>
      <c r="R1355">
        <v>7.6543200000000006E-2</v>
      </c>
      <c r="S1355">
        <v>3.0052189999999999</v>
      </c>
      <c r="T1355">
        <v>-0.13046289999999999</v>
      </c>
      <c r="U1355">
        <v>0.18914790000000001</v>
      </c>
      <c r="V1355">
        <v>-7.8680849999999997E-2</v>
      </c>
      <c r="W1355">
        <v>6.5135419999999999E-2</v>
      </c>
      <c r="X1355">
        <v>0.99476969999999998</v>
      </c>
      <c r="Y1355">
        <v>-6.4925389999999999E-2</v>
      </c>
      <c r="Z1355">
        <v>1.5016039999999999E-3</v>
      </c>
      <c r="AA1355">
        <v>0.99788900000000003</v>
      </c>
      <c r="AB1355">
        <v>21</v>
      </c>
      <c r="AC1355">
        <v>25.348799999999901</v>
      </c>
      <c r="AD1355">
        <v>-1.1048929999999999</v>
      </c>
      <c r="AE1355">
        <v>1.6022999999999501</v>
      </c>
      <c r="AF1355">
        <v>-1.6543567507985399</v>
      </c>
      <c r="AG1355">
        <v>-1.1048929999999999</v>
      </c>
      <c r="AH1355">
        <v>25.297380621317402</v>
      </c>
      <c r="AI1355">
        <v>92.495547592531807</v>
      </c>
      <c r="AJ1355">
        <v>93.741607919115694</v>
      </c>
      <c r="AK1355">
        <v>25.3754832683078</v>
      </c>
      <c r="AL1355">
        <v>86.265371488765396</v>
      </c>
      <c r="AM1355">
        <v>94.522368336501401</v>
      </c>
      <c r="AN1355">
        <v>1.00000002756669</v>
      </c>
    </row>
    <row r="1356" spans="1:40" x14ac:dyDescent="0.3">
      <c r="A1356" t="str">
        <f>"20200111145937899"</f>
        <v>20200111145937899</v>
      </c>
      <c r="B1356" t="str">
        <f>"1578725977897052"</f>
        <v>1578725977897052</v>
      </c>
      <c r="C1356" t="s">
        <v>40</v>
      </c>
      <c r="D1356">
        <v>4.1432989999999998</v>
      </c>
      <c r="E1356">
        <v>0.50519729999999996</v>
      </c>
      <c r="F1356" t="s">
        <v>43</v>
      </c>
      <c r="G1356">
        <v>-285.75740000000002</v>
      </c>
      <c r="H1356">
        <v>-0.05</v>
      </c>
      <c r="I1356">
        <v>369.23599999999999</v>
      </c>
      <c r="J1356">
        <v>-311.07870000000003</v>
      </c>
      <c r="K1356">
        <v>1.0548519999999999</v>
      </c>
      <c r="L1356">
        <v>367.62869999999998</v>
      </c>
      <c r="M1356">
        <v>0.99991110000000005</v>
      </c>
      <c r="N1356">
        <v>0</v>
      </c>
      <c r="O1356">
        <v>-2.324146E-3</v>
      </c>
      <c r="P1356">
        <v>0.99566699999999997</v>
      </c>
      <c r="Q1356">
        <v>5.2016130000000001E-2</v>
      </c>
      <c r="R1356">
        <v>7.7083230000000003E-2</v>
      </c>
      <c r="S1356">
        <v>3.005188</v>
      </c>
      <c r="T1356">
        <v>-0.13060150000000001</v>
      </c>
      <c r="U1356">
        <v>0.18994140000000001</v>
      </c>
      <c r="V1356">
        <v>-7.9364370000000004E-2</v>
      </c>
      <c r="W1356">
        <v>6.5130179999999996E-2</v>
      </c>
      <c r="X1356">
        <v>0.99471569999999998</v>
      </c>
      <c r="Y1356">
        <v>-6.5334569999999995E-2</v>
      </c>
      <c r="Z1356">
        <v>1.5184619999999999E-3</v>
      </c>
      <c r="AA1356">
        <v>0.99786229999999998</v>
      </c>
      <c r="AB1356">
        <v>21</v>
      </c>
      <c r="AC1356">
        <v>25.321300000000001</v>
      </c>
      <c r="AD1356">
        <v>-1.1048519999999999</v>
      </c>
      <c r="AE1356">
        <v>1.6073</v>
      </c>
      <c r="AF1356">
        <v>-1.66299771182294</v>
      </c>
      <c r="AG1356">
        <v>-1.1048519999999999</v>
      </c>
      <c r="AH1356">
        <v>25.2695788715404</v>
      </c>
      <c r="AI1356">
        <v>92.498129687608795</v>
      </c>
      <c r="AJ1356">
        <v>93.765221051488197</v>
      </c>
      <c r="AK1356">
        <v>25.348330826238499</v>
      </c>
      <c r="AL1356">
        <v>86.265672193457803</v>
      </c>
      <c r="AM1356">
        <v>94.561736765421301</v>
      </c>
      <c r="AN1356">
        <v>0.99999998369940901</v>
      </c>
    </row>
    <row r="1357" spans="1:40" x14ac:dyDescent="0.3">
      <c r="A1357" t="str">
        <f>"20200111145937911"</f>
        <v>20200111145937911</v>
      </c>
      <c r="B1357" t="str">
        <f>"1578725977906812"</f>
        <v>1578725977906812</v>
      </c>
      <c r="C1357" t="s">
        <v>40</v>
      </c>
      <c r="D1357">
        <v>4.1252370000000003</v>
      </c>
      <c r="E1357">
        <v>0.50521119999999997</v>
      </c>
      <c r="F1357" t="s">
        <v>43</v>
      </c>
      <c r="G1357">
        <v>-285.58069999999998</v>
      </c>
      <c r="H1357">
        <v>-0.05</v>
      </c>
      <c r="I1357">
        <v>369.25229999999999</v>
      </c>
      <c r="J1357">
        <v>-310.97289999999998</v>
      </c>
      <c r="K1357">
        <v>1.0548109999999999</v>
      </c>
      <c r="L1357">
        <v>367.62819999999999</v>
      </c>
      <c r="M1357">
        <v>0.99991110000000005</v>
      </c>
      <c r="N1357">
        <v>0</v>
      </c>
      <c r="O1357">
        <v>-2.4980789999999998E-3</v>
      </c>
      <c r="P1357">
        <v>0.99568279999999998</v>
      </c>
      <c r="Q1357">
        <v>5.1762139999999998E-2</v>
      </c>
      <c r="R1357">
        <v>7.7050320000000005E-2</v>
      </c>
      <c r="S1357">
        <v>3.0050349999999999</v>
      </c>
      <c r="T1357">
        <v>-0.13021050000000001</v>
      </c>
      <c r="U1357">
        <v>0.19134519999999999</v>
      </c>
      <c r="V1357">
        <v>-7.9501929999999998E-2</v>
      </c>
      <c r="W1357">
        <v>6.4854190000000006E-2</v>
      </c>
      <c r="X1357">
        <v>0.99472280000000002</v>
      </c>
      <c r="Y1357">
        <v>-6.5975240000000004E-2</v>
      </c>
      <c r="Z1357">
        <v>1.5353610000000001E-3</v>
      </c>
      <c r="AA1357">
        <v>0.99782009999999999</v>
      </c>
      <c r="AB1357">
        <v>21</v>
      </c>
      <c r="AC1357">
        <v>25.392199999999999</v>
      </c>
      <c r="AD1357">
        <v>-1.104811</v>
      </c>
      <c r="AE1357">
        <v>1.6240999999999901</v>
      </c>
      <c r="AF1357">
        <v>-1.68435641827185</v>
      </c>
      <c r="AG1357">
        <v>-1.104811</v>
      </c>
      <c r="AH1357">
        <v>25.340286838935501</v>
      </c>
      <c r="AI1357">
        <v>92.490967521937606</v>
      </c>
      <c r="AJ1357">
        <v>93.802828355579393</v>
      </c>
      <c r="AK1357">
        <v>25.420224250958501</v>
      </c>
      <c r="AL1357">
        <v>86.281518953338704</v>
      </c>
      <c r="AM1357">
        <v>94.569577558049801</v>
      </c>
      <c r="AN1357">
        <v>1.00000003583706</v>
      </c>
    </row>
    <row r="1358" spans="1:40" x14ac:dyDescent="0.3">
      <c r="A1358" t="str">
        <f>"20200111145937923"</f>
        <v>20200111145937923</v>
      </c>
      <c r="B1358" t="str">
        <f>"1578725977917550"</f>
        <v>1578725977917550</v>
      </c>
      <c r="C1358" t="s">
        <v>40</v>
      </c>
      <c r="D1358">
        <v>4.1381610000000002</v>
      </c>
      <c r="E1358">
        <v>0.50521709999999997</v>
      </c>
      <c r="F1358" t="s">
        <v>43</v>
      </c>
      <c r="G1358">
        <v>-285.6728</v>
      </c>
      <c r="H1358">
        <v>-0.05</v>
      </c>
      <c r="I1358">
        <v>369.23719999999997</v>
      </c>
      <c r="J1358">
        <v>-310.8596</v>
      </c>
      <c r="K1358">
        <v>1.0547679999999999</v>
      </c>
      <c r="L1358">
        <v>367.6277</v>
      </c>
      <c r="M1358">
        <v>0.99991079999999999</v>
      </c>
      <c r="N1358">
        <v>0</v>
      </c>
      <c r="O1358">
        <v>-2.690624E-3</v>
      </c>
      <c r="P1358">
        <v>0.99570599999999998</v>
      </c>
      <c r="Q1358">
        <v>5.142451E-2</v>
      </c>
      <c r="R1358">
        <v>7.6977660000000003E-2</v>
      </c>
      <c r="S1358">
        <v>3.0050050000000001</v>
      </c>
      <c r="T1358">
        <v>-0.13122329999999999</v>
      </c>
      <c r="U1358">
        <v>0.1911011</v>
      </c>
      <c r="V1358">
        <v>-7.9618099999999997E-2</v>
      </c>
      <c r="W1358">
        <v>6.4493980000000006E-2</v>
      </c>
      <c r="X1358">
        <v>0.99473690000000003</v>
      </c>
      <c r="Y1358">
        <v>-6.6085980000000002E-2</v>
      </c>
      <c r="Z1358">
        <v>1.55812299999999E-3</v>
      </c>
      <c r="AA1358">
        <v>0.9978127</v>
      </c>
      <c r="AB1358">
        <v>21</v>
      </c>
      <c r="AC1358">
        <v>25.186800000000002</v>
      </c>
      <c r="AD1358">
        <v>-1.104768</v>
      </c>
      <c r="AE1358">
        <v>1.60949999999996</v>
      </c>
      <c r="AF1358">
        <v>-1.67406045411773</v>
      </c>
      <c r="AG1358">
        <v>-1.104768</v>
      </c>
      <c r="AH1358">
        <v>25.1342173050874</v>
      </c>
      <c r="AI1358">
        <v>92.511244234322703</v>
      </c>
      <c r="AJ1358">
        <v>93.810547932771996</v>
      </c>
      <c r="AK1358">
        <v>25.214120454166601</v>
      </c>
      <c r="AL1358">
        <v>86.302200660104603</v>
      </c>
      <c r="AM1358">
        <v>94.576161796263094</v>
      </c>
      <c r="AN1358">
        <v>1.00000000776273</v>
      </c>
    </row>
    <row r="1359" spans="1:40" x14ac:dyDescent="0.3">
      <c r="A1359" t="str">
        <f>"20200111145937933"</f>
        <v>20200111145937933</v>
      </c>
      <c r="B1359" t="str">
        <f>"1578725977927308"</f>
        <v>1578725977927308</v>
      </c>
      <c r="C1359" t="s">
        <v>40</v>
      </c>
      <c r="D1359">
        <v>4.1115779999999997</v>
      </c>
      <c r="E1359">
        <v>0.50518009999999902</v>
      </c>
      <c r="F1359" t="s">
        <v>43</v>
      </c>
      <c r="G1359">
        <v>-285.83580000000001</v>
      </c>
      <c r="H1359">
        <v>-0.05</v>
      </c>
      <c r="I1359">
        <v>369.21839999999997</v>
      </c>
      <c r="J1359">
        <v>-310.75380000000001</v>
      </c>
      <c r="K1359">
        <v>1.0547310000000001</v>
      </c>
      <c r="L1359">
        <v>367.62729999999999</v>
      </c>
      <c r="M1359">
        <v>0.99991059999999998</v>
      </c>
      <c r="N1359">
        <v>0</v>
      </c>
      <c r="O1359">
        <v>-2.8890119999999998E-3</v>
      </c>
      <c r="P1359">
        <v>0.99576180000000003</v>
      </c>
      <c r="Q1359">
        <v>5.0999059999999999E-2</v>
      </c>
      <c r="R1359">
        <v>7.6534249999999998E-2</v>
      </c>
      <c r="S1359">
        <v>3.0050349999999999</v>
      </c>
      <c r="T1359">
        <v>-0.132667799999999</v>
      </c>
      <c r="U1359">
        <v>0.1910095</v>
      </c>
      <c r="V1359">
        <v>-7.9369930000000005E-2</v>
      </c>
      <c r="W1359">
        <v>6.4049529999999993E-2</v>
      </c>
      <c r="X1359">
        <v>0.99478540000000004</v>
      </c>
      <c r="Y1359">
        <v>-6.6251240000000003E-2</v>
      </c>
      <c r="Z1359">
        <v>1.5876320000000001E-3</v>
      </c>
      <c r="AA1359">
        <v>0.99780170000000001</v>
      </c>
      <c r="AB1359">
        <v>21</v>
      </c>
      <c r="AC1359">
        <v>24.917999999999999</v>
      </c>
      <c r="AD1359">
        <v>-1.1047309999999999</v>
      </c>
      <c r="AE1359">
        <v>1.59109999999998</v>
      </c>
      <c r="AF1359">
        <v>-1.6598386283305799</v>
      </c>
      <c r="AG1359">
        <v>-1.1047309999999999</v>
      </c>
      <c r="AH1359">
        <v>24.864624396602299</v>
      </c>
      <c r="AI1359">
        <v>92.538326616236205</v>
      </c>
      <c r="AJ1359">
        <v>93.819114975343396</v>
      </c>
      <c r="AK1359">
        <v>24.944439084464701</v>
      </c>
      <c r="AL1359">
        <v>86.327718353827905</v>
      </c>
      <c r="AM1359">
        <v>94.5617367034382</v>
      </c>
      <c r="AN1359">
        <v>0.99999996006729197</v>
      </c>
    </row>
    <row r="1360" spans="1:40" x14ac:dyDescent="0.3">
      <c r="A1360" t="str">
        <f>"20200111145937945"</f>
        <v>20200111145937945</v>
      </c>
      <c r="B1360" t="str">
        <f>"1578725977937069"</f>
        <v>1578725977937069</v>
      </c>
      <c r="C1360" t="s">
        <v>40</v>
      </c>
      <c r="D1360">
        <v>4.1547739999999997</v>
      </c>
      <c r="E1360">
        <v>0.50518940000000001</v>
      </c>
      <c r="F1360" t="s">
        <v>43</v>
      </c>
      <c r="G1360">
        <v>-286.34739999999999</v>
      </c>
      <c r="H1360">
        <v>-0.05</v>
      </c>
      <c r="I1360">
        <v>369.17039999999997</v>
      </c>
      <c r="J1360">
        <v>-310.64260000000002</v>
      </c>
      <c r="K1360">
        <v>1.054691</v>
      </c>
      <c r="L1360">
        <v>367.62670000000003</v>
      </c>
      <c r="M1360">
        <v>0.99991019999999997</v>
      </c>
      <c r="N1360">
        <v>0</v>
      </c>
      <c r="O1360">
        <v>-3.1062310000000001E-3</v>
      </c>
      <c r="P1360">
        <v>0.99581620000000004</v>
      </c>
      <c r="Q1360">
        <v>5.0331760000000003E-2</v>
      </c>
      <c r="R1360">
        <v>7.6268420000000003E-2</v>
      </c>
      <c r="S1360">
        <v>3.0051269999999999</v>
      </c>
      <c r="T1360">
        <v>-0.13602359999999999</v>
      </c>
      <c r="U1360">
        <v>0.19000239999999999</v>
      </c>
      <c r="V1360">
        <v>-7.9318390000000003E-2</v>
      </c>
      <c r="W1360">
        <v>6.3363829999999996E-2</v>
      </c>
      <c r="X1360">
        <v>0.99483350000000004</v>
      </c>
      <c r="Y1360">
        <v>-6.6129489999999999E-2</v>
      </c>
      <c r="Z1360">
        <v>1.6347860000000001E-3</v>
      </c>
      <c r="AA1360">
        <v>0.99780970000000002</v>
      </c>
      <c r="AB1360">
        <v>21</v>
      </c>
      <c r="AC1360">
        <v>24.295200000000001</v>
      </c>
      <c r="AD1360">
        <v>-1.1046910000000001</v>
      </c>
      <c r="AE1360">
        <v>1.5436999999999399</v>
      </c>
      <c r="AF1360">
        <v>-1.6158381929230901</v>
      </c>
      <c r="AG1360">
        <v>-1.1046910000000001</v>
      </c>
      <c r="AH1360">
        <v>24.2403723828957</v>
      </c>
      <c r="AI1360">
        <v>92.603528684242804</v>
      </c>
      <c r="AJ1360">
        <v>93.813635651655403</v>
      </c>
      <c r="AK1360">
        <v>24.319270723700601</v>
      </c>
      <c r="AL1360">
        <v>86.367086322185003</v>
      </c>
      <c r="AM1360">
        <v>94.558567477250804</v>
      </c>
      <c r="AN1360">
        <v>1.00000003733335</v>
      </c>
    </row>
    <row r="1361" spans="1:40" x14ac:dyDescent="0.3">
      <c r="A1361" t="str">
        <f>"20200111145937958"</f>
        <v>20200111145937958</v>
      </c>
      <c r="B1361" t="str">
        <f>"1578725977946829"</f>
        <v>1578725977946829</v>
      </c>
      <c r="C1361" t="s">
        <v>40</v>
      </c>
      <c r="D1361">
        <v>4.1921119999999998</v>
      </c>
      <c r="E1361">
        <v>0.50517639999999997</v>
      </c>
      <c r="F1361" t="s">
        <v>43</v>
      </c>
      <c r="G1361">
        <v>-286.67910000000001</v>
      </c>
      <c r="H1361">
        <v>-0.05</v>
      </c>
      <c r="I1361">
        <v>369.13420000000002</v>
      </c>
      <c r="J1361">
        <v>-310.52100000000002</v>
      </c>
      <c r="K1361">
        <v>1.0546530000000001</v>
      </c>
      <c r="L1361">
        <v>367.62599999999998</v>
      </c>
      <c r="M1361">
        <v>0.99990959999999995</v>
      </c>
      <c r="N1361">
        <v>0</v>
      </c>
      <c r="O1361">
        <v>-3.3561099999999998E-3</v>
      </c>
      <c r="P1361">
        <v>0.9959287</v>
      </c>
      <c r="Q1361">
        <v>4.9568279999999999E-2</v>
      </c>
      <c r="R1361">
        <v>7.5294040000000007E-2</v>
      </c>
      <c r="S1361">
        <v>3.0051570000000001</v>
      </c>
      <c r="T1361">
        <v>-0.1385344</v>
      </c>
      <c r="U1361">
        <v>0.18905640000000001</v>
      </c>
      <c r="V1361">
        <v>-7.8590770000000004E-2</v>
      </c>
      <c r="W1361">
        <v>6.2581460000000005E-2</v>
      </c>
      <c r="X1361">
        <v>0.99494079999999996</v>
      </c>
      <c r="Y1361">
        <v>-6.606252E-2</v>
      </c>
      <c r="Z1361">
        <v>1.674891E-3</v>
      </c>
      <c r="AA1361">
        <v>0.99781410000000004</v>
      </c>
      <c r="AB1361">
        <v>21</v>
      </c>
      <c r="AC1361">
        <v>23.8418999999999</v>
      </c>
      <c r="AD1361">
        <v>-1.1046530000000001</v>
      </c>
      <c r="AE1361">
        <v>1.50820000000004</v>
      </c>
      <c r="AF1361">
        <v>-1.5848257518748701</v>
      </c>
      <c r="AG1361">
        <v>-1.1046530000000001</v>
      </c>
      <c r="AH1361">
        <v>23.7858461836035</v>
      </c>
      <c r="AI1361">
        <v>92.653123497601499</v>
      </c>
      <c r="AJ1361">
        <v>93.811922895353902</v>
      </c>
      <c r="AK1361">
        <v>23.864165805329598</v>
      </c>
      <c r="AL1361">
        <v>86.412002090990697</v>
      </c>
      <c r="AM1361">
        <v>94.516438604705897</v>
      </c>
      <c r="AN1361">
        <v>1.0000000718847799</v>
      </c>
    </row>
    <row r="1362" spans="1:40" x14ac:dyDescent="0.3">
      <c r="A1362" t="str">
        <f>"20200111145937970"</f>
        <v>20200111145937970</v>
      </c>
      <c r="B1362" t="str">
        <f>"1578725977967325"</f>
        <v>1578725977967325</v>
      </c>
      <c r="C1362" t="s">
        <v>40</v>
      </c>
      <c r="D1362">
        <v>4.153931</v>
      </c>
      <c r="E1362">
        <v>0.50515519999999903</v>
      </c>
      <c r="F1362" t="s">
        <v>43</v>
      </c>
      <c r="G1362">
        <v>-286.85640000000001</v>
      </c>
      <c r="H1362">
        <v>-0.05</v>
      </c>
      <c r="I1362">
        <v>369.09309999999999</v>
      </c>
      <c r="J1362">
        <v>-310.41070000000002</v>
      </c>
      <c r="K1362">
        <v>1.054624</v>
      </c>
      <c r="L1362">
        <v>367.62540000000001</v>
      </c>
      <c r="M1362">
        <v>0.99990919999999905</v>
      </c>
      <c r="N1362">
        <v>0</v>
      </c>
      <c r="O1362">
        <v>-3.59604E-3</v>
      </c>
      <c r="P1362">
        <v>0.99602880000000005</v>
      </c>
      <c r="Q1362">
        <v>4.8908479999999997E-2</v>
      </c>
      <c r="R1362">
        <v>7.4397270000000001E-2</v>
      </c>
      <c r="S1362">
        <v>3.005188</v>
      </c>
      <c r="T1362">
        <v>-0.14028070000000001</v>
      </c>
      <c r="U1362">
        <v>0.1863098</v>
      </c>
      <c r="V1362">
        <v>-7.7931749999999994E-2</v>
      </c>
      <c r="W1362">
        <v>6.1905189999999999E-2</v>
      </c>
      <c r="X1362">
        <v>0.99503490000000006</v>
      </c>
      <c r="Y1362">
        <v>-6.5391469999999993E-2</v>
      </c>
      <c r="Z1362">
        <v>1.691557E-3</v>
      </c>
      <c r="AA1362">
        <v>0.99785820000000003</v>
      </c>
      <c r="AB1362">
        <v>21</v>
      </c>
      <c r="AC1362">
        <v>23.554300000000001</v>
      </c>
      <c r="AD1362">
        <v>-1.1046240000000001</v>
      </c>
      <c r="AE1362">
        <v>1.46769999999997</v>
      </c>
      <c r="AF1362">
        <v>-1.5490062722614499</v>
      </c>
      <c r="AG1362">
        <v>-1.1046240000000001</v>
      </c>
      <c r="AH1362">
        <v>23.497390903679801</v>
      </c>
      <c r="AI1362">
        <v>92.685700602236594</v>
      </c>
      <c r="AJ1362">
        <v>93.771622633708901</v>
      </c>
      <c r="AK1362">
        <v>23.574286710168199</v>
      </c>
      <c r="AL1362">
        <v>86.450824638246502</v>
      </c>
      <c r="AM1362">
        <v>94.478299081421596</v>
      </c>
      <c r="AN1362">
        <v>1.0000000312124999</v>
      </c>
    </row>
    <row r="1363" spans="1:40" x14ac:dyDescent="0.3">
      <c r="A1363" t="str">
        <f>"20200111145937983"</f>
        <v>20200111145937983</v>
      </c>
      <c r="B1363" t="str">
        <f>"1578725977977085"</f>
        <v>1578725977977085</v>
      </c>
      <c r="C1363" t="s">
        <v>40</v>
      </c>
      <c r="D1363">
        <v>4.1905049999999999</v>
      </c>
      <c r="E1363">
        <v>0.50524199999999997</v>
      </c>
      <c r="F1363" t="s">
        <v>43</v>
      </c>
      <c r="G1363">
        <v>-287.53210000000001</v>
      </c>
      <c r="H1363">
        <v>-0.05</v>
      </c>
      <c r="I1363">
        <v>369.02409999999998</v>
      </c>
      <c r="J1363">
        <v>-310.28390000000002</v>
      </c>
      <c r="K1363">
        <v>1.054597</v>
      </c>
      <c r="L1363">
        <v>367.62459999999999</v>
      </c>
      <c r="M1363">
        <v>0.99990829999999997</v>
      </c>
      <c r="N1363">
        <v>0</v>
      </c>
      <c r="O1363">
        <v>-3.8779140000000001E-3</v>
      </c>
      <c r="P1363">
        <v>0.99614380000000002</v>
      </c>
      <c r="Q1363">
        <v>4.7968230000000001E-2</v>
      </c>
      <c r="R1363">
        <v>7.3461369999999998E-2</v>
      </c>
      <c r="S1363">
        <v>3.0053709999999998</v>
      </c>
      <c r="T1363">
        <v>-0.14510499999999901</v>
      </c>
      <c r="U1363">
        <v>0.1837463</v>
      </c>
      <c r="V1363">
        <v>-7.7275360000000001E-2</v>
      </c>
      <c r="W1363">
        <v>6.094712E-2</v>
      </c>
      <c r="X1363">
        <v>0.99514519999999995</v>
      </c>
      <c r="Y1363">
        <v>-6.4816209999999999E-2</v>
      </c>
      <c r="Z1363">
        <v>1.7493280000000001E-3</v>
      </c>
      <c r="AA1363">
        <v>0.99789570000000005</v>
      </c>
      <c r="AB1363">
        <v>21</v>
      </c>
      <c r="AC1363">
        <v>22.751799999999999</v>
      </c>
      <c r="AD1363">
        <v>-1.1045969999999901</v>
      </c>
      <c r="AE1363">
        <v>1.39949999999998</v>
      </c>
      <c r="AF1363">
        <v>-1.4842411238584301</v>
      </c>
      <c r="AG1363">
        <v>-1.1045969999999901</v>
      </c>
      <c r="AH1363">
        <v>22.6929136793349</v>
      </c>
      <c r="AI1363">
        <v>92.780789374242005</v>
      </c>
      <c r="AJ1363">
        <v>93.742128447092398</v>
      </c>
      <c r="AK1363">
        <v>22.7682111177823</v>
      </c>
      <c r="AL1363">
        <v>86.505821755120095</v>
      </c>
      <c r="AM1363">
        <v>94.440241317997305</v>
      </c>
      <c r="AN1363">
        <v>1.00000000089123</v>
      </c>
    </row>
    <row r="1364" spans="1:40" x14ac:dyDescent="0.3">
      <c r="A1364" t="str">
        <f>"20200111145937995"</f>
        <v>20200111145937995</v>
      </c>
      <c r="B1364" t="str">
        <f>"1578725977986845"</f>
        <v>1578725977986845</v>
      </c>
      <c r="C1364" t="s">
        <v>40</v>
      </c>
      <c r="D1364">
        <v>4.1717380000000004</v>
      </c>
      <c r="E1364">
        <v>0.50525730000000002</v>
      </c>
      <c r="F1364" t="s">
        <v>43</v>
      </c>
      <c r="G1364">
        <v>-287.6764</v>
      </c>
      <c r="H1364">
        <v>-0.05</v>
      </c>
      <c r="I1364">
        <v>368.98200000000003</v>
      </c>
      <c r="J1364">
        <v>-310.1678</v>
      </c>
      <c r="K1364">
        <v>1.054575</v>
      </c>
      <c r="L1364">
        <v>367.62380000000002</v>
      </c>
      <c r="M1364">
        <v>0.99990760000000001</v>
      </c>
      <c r="N1364">
        <v>0</v>
      </c>
      <c r="O1364">
        <v>-4.1460100000000003E-3</v>
      </c>
      <c r="P1364">
        <v>0.99627840000000001</v>
      </c>
      <c r="Q1364">
        <v>4.7149719999999999E-2</v>
      </c>
      <c r="R1364">
        <v>7.2154280000000001E-2</v>
      </c>
      <c r="S1364">
        <v>3.0053709999999998</v>
      </c>
      <c r="T1364">
        <v>-0.14684129999999901</v>
      </c>
      <c r="U1364">
        <v>0.18045040000000001</v>
      </c>
      <c r="V1364">
        <v>-7.6235709999999998E-2</v>
      </c>
      <c r="W1364">
        <v>6.0112760000000001E-2</v>
      </c>
      <c r="X1364">
        <v>0.99527619999999895</v>
      </c>
      <c r="Y1364">
        <v>-6.399212E-2</v>
      </c>
      <c r="Z1364">
        <v>1.763274E-3</v>
      </c>
      <c r="AA1364">
        <v>0.99794879999999997</v>
      </c>
      <c r="AB1364">
        <v>21</v>
      </c>
      <c r="AC1364">
        <v>22.491399999999999</v>
      </c>
      <c r="AD1364">
        <v>-1.1045750000000001</v>
      </c>
      <c r="AE1364">
        <v>1.3581999999999499</v>
      </c>
      <c r="AF1364">
        <v>-1.4479660640233201</v>
      </c>
      <c r="AG1364">
        <v>-1.1045750000000001</v>
      </c>
      <c r="AH1364">
        <v>22.431668943223301</v>
      </c>
      <c r="AI1364">
        <v>92.813222924135502</v>
      </c>
      <c r="AJ1364">
        <v>93.693323265908901</v>
      </c>
      <c r="AK1364">
        <v>22.5054762942613</v>
      </c>
      <c r="AL1364">
        <v>86.553715122126505</v>
      </c>
      <c r="AM1364">
        <v>94.380162802812094</v>
      </c>
      <c r="AN1364">
        <v>1.0000000708402199</v>
      </c>
    </row>
    <row r="1365" spans="1:40" x14ac:dyDescent="0.3">
      <c r="A1365" t="str">
        <f>"20200111145938008"</f>
        <v>20200111145938008</v>
      </c>
      <c r="B1365" t="str">
        <f>"1578725977997581"</f>
        <v>1578725977997581</v>
      </c>
      <c r="C1365" t="s">
        <v>40</v>
      </c>
      <c r="D1365">
        <v>4.1858570000000004</v>
      </c>
      <c r="E1365">
        <v>0.50527759999999999</v>
      </c>
      <c r="F1365" t="s">
        <v>43</v>
      </c>
      <c r="G1365">
        <v>-288.04109999999997</v>
      </c>
      <c r="H1365">
        <v>-0.05</v>
      </c>
      <c r="I1365">
        <v>368.92149999999998</v>
      </c>
      <c r="J1365">
        <v>-310.04840000000002</v>
      </c>
      <c r="K1365">
        <v>1.054556</v>
      </c>
      <c r="L1365">
        <v>367.62299999999999</v>
      </c>
      <c r="M1365">
        <v>0.99990650000000003</v>
      </c>
      <c r="N1365">
        <v>0</v>
      </c>
      <c r="O1365">
        <v>-4.4272820000000003E-3</v>
      </c>
      <c r="P1365">
        <v>0.99638340000000003</v>
      </c>
      <c r="Q1365">
        <v>4.6558620000000002E-2</v>
      </c>
      <c r="R1365">
        <v>7.1081560000000002E-2</v>
      </c>
      <c r="S1365">
        <v>3.0055540000000001</v>
      </c>
      <c r="T1365">
        <v>-0.15003820000000001</v>
      </c>
      <c r="U1365">
        <v>0.1762695</v>
      </c>
      <c r="V1365">
        <v>-7.5443979999999994E-2</v>
      </c>
      <c r="W1365">
        <v>5.9506360000000001E-2</v>
      </c>
      <c r="X1365">
        <v>0.9953729</v>
      </c>
      <c r="Y1365">
        <v>-6.288328E-2</v>
      </c>
      <c r="Z1365">
        <v>1.787966E-3</v>
      </c>
      <c r="AA1365">
        <v>0.99801930000000005</v>
      </c>
      <c r="AB1365">
        <v>21</v>
      </c>
      <c r="AC1365">
        <v>22.007300000000001</v>
      </c>
      <c r="AD1365">
        <v>-1.1045559999999901</v>
      </c>
      <c r="AE1365">
        <v>1.29849999999993</v>
      </c>
      <c r="AF1365">
        <v>-1.3924324711371101</v>
      </c>
      <c r="AG1365">
        <v>-1.1045559999999901</v>
      </c>
      <c r="AH1365">
        <v>21.946242433698501</v>
      </c>
      <c r="AI1365">
        <v>92.875497366209004</v>
      </c>
      <c r="AJ1365">
        <v>93.630403144733194</v>
      </c>
      <c r="AK1365">
        <v>22.018094129658</v>
      </c>
      <c r="AL1365">
        <v>86.588521368149998</v>
      </c>
      <c r="AM1365">
        <v>94.334428309685606</v>
      </c>
      <c r="AN1365">
        <v>1.0000000055265399</v>
      </c>
    </row>
    <row r="1366" spans="1:40" x14ac:dyDescent="0.3">
      <c r="A1366" t="str">
        <f>"20200111145938024"</f>
        <v>20200111145938024</v>
      </c>
      <c r="B1366" t="str">
        <f>"1578725978017103"</f>
        <v>1578725978017103</v>
      </c>
      <c r="C1366" t="s">
        <v>40</v>
      </c>
      <c r="D1366">
        <v>4.3012119999999996</v>
      </c>
      <c r="E1366">
        <v>0.50546559999999996</v>
      </c>
      <c r="F1366" t="s">
        <v>43</v>
      </c>
      <c r="G1366">
        <v>-288.2869</v>
      </c>
      <c r="H1366">
        <v>-0.05</v>
      </c>
      <c r="I1366">
        <v>368.87650000000002</v>
      </c>
      <c r="J1366">
        <v>-309.8922</v>
      </c>
      <c r="K1366">
        <v>1.0545370000000001</v>
      </c>
      <c r="L1366">
        <v>367.62189999999998</v>
      </c>
      <c r="M1366">
        <v>0.99990500000000004</v>
      </c>
      <c r="N1366">
        <v>0</v>
      </c>
      <c r="O1366">
        <v>-4.8016880000000001E-3</v>
      </c>
      <c r="P1366">
        <v>0.99654770000000004</v>
      </c>
      <c r="Q1366">
        <v>4.5682819999999999E-2</v>
      </c>
      <c r="R1366">
        <v>6.9326139999999994E-2</v>
      </c>
      <c r="S1366">
        <v>3.0056759999999998</v>
      </c>
      <c r="T1366">
        <v>-0.15256040000000001</v>
      </c>
      <c r="U1366">
        <v>0.17312620000000001</v>
      </c>
      <c r="V1366">
        <v>-7.4062870000000003E-2</v>
      </c>
      <c r="W1366">
        <v>5.8610519999999999E-2</v>
      </c>
      <c r="X1366">
        <v>0.99552980000000002</v>
      </c>
      <c r="Y1366">
        <v>-6.2211929999999999E-2</v>
      </c>
      <c r="Z1366">
        <v>1.81993E-3</v>
      </c>
      <c r="AA1366">
        <v>0.99806130000000004</v>
      </c>
      <c r="AB1366">
        <v>21</v>
      </c>
      <c r="AC1366">
        <v>21.6053</v>
      </c>
      <c r="AD1366">
        <v>-1.1045370000000001</v>
      </c>
      <c r="AE1366">
        <v>1.2546000000000299</v>
      </c>
      <c r="AF1366">
        <v>-1.35480707379527</v>
      </c>
      <c r="AG1366">
        <v>-1.1045370000000001</v>
      </c>
      <c r="AH1366">
        <v>21.5429107534708</v>
      </c>
      <c r="AI1366">
        <v>92.929292715997605</v>
      </c>
      <c r="AJ1366">
        <v>93.598521817324794</v>
      </c>
      <c r="AK1366">
        <v>21.613711109468898</v>
      </c>
      <c r="AL1366">
        <v>86.639939092218199</v>
      </c>
      <c r="AM1366">
        <v>94.254706366892705</v>
      </c>
      <c r="AN1366">
        <v>1.00000004222767</v>
      </c>
    </row>
    <row r="1367" spans="1:40" x14ac:dyDescent="0.3">
      <c r="A1367" t="str">
        <f>"20200111145938035"</f>
        <v>20200111145938035</v>
      </c>
      <c r="B1367" t="str">
        <f>"1578725978026860"</f>
        <v>1578725978026860</v>
      </c>
      <c r="C1367" t="s">
        <v>40</v>
      </c>
      <c r="D1367">
        <v>4.0520440000000004</v>
      </c>
      <c r="E1367">
        <v>0.5289526</v>
      </c>
      <c r="F1367" t="s">
        <v>43</v>
      </c>
      <c r="G1367">
        <v>-288.35629999999998</v>
      </c>
      <c r="H1367">
        <v>-0.05</v>
      </c>
      <c r="I1367">
        <v>368.815</v>
      </c>
      <c r="J1367">
        <v>-309.78539999999998</v>
      </c>
      <c r="K1367">
        <v>1.05453</v>
      </c>
      <c r="L1367">
        <v>367.62099999999998</v>
      </c>
      <c r="M1367">
        <v>0.99990400000000002</v>
      </c>
      <c r="N1367">
        <v>0</v>
      </c>
      <c r="O1367">
        <v>-5.0603480000000001E-3</v>
      </c>
      <c r="P1367">
        <v>0.99659260000000005</v>
      </c>
      <c r="Q1367">
        <v>4.5463620000000003E-2</v>
      </c>
      <c r="R1367">
        <v>6.8822700000000001E-2</v>
      </c>
      <c r="S1367">
        <v>3.0059200000000001</v>
      </c>
      <c r="T1367">
        <v>-0.15416820000000001</v>
      </c>
      <c r="U1367">
        <v>0.1665344</v>
      </c>
      <c r="V1367">
        <v>-7.3817969999999997E-2</v>
      </c>
      <c r="W1367">
        <v>5.8377739999999997E-2</v>
      </c>
      <c r="X1367">
        <v>0.99556160000000005</v>
      </c>
      <c r="Y1367">
        <v>-6.0283999999999997E-2</v>
      </c>
      <c r="Z1367">
        <v>1.802929E-3</v>
      </c>
      <c r="AA1367">
        <v>0.99817959999999994</v>
      </c>
      <c r="AB1367">
        <v>21</v>
      </c>
      <c r="AC1367">
        <v>21.429099999999998</v>
      </c>
      <c r="AD1367">
        <v>-1.10453</v>
      </c>
      <c r="AE1367">
        <v>1.1940000000000099</v>
      </c>
      <c r="AF1367">
        <v>-1.2989920473318399</v>
      </c>
      <c r="AG1367">
        <v>-1.10453</v>
      </c>
      <c r="AH1367">
        <v>21.3661945309929</v>
      </c>
      <c r="AI1367">
        <v>92.953839028931696</v>
      </c>
      <c r="AJ1367">
        <v>93.479106457361098</v>
      </c>
      <c r="AK1367">
        <v>21.434123159022899</v>
      </c>
      <c r="AL1367">
        <v>86.653299058322602</v>
      </c>
      <c r="AM1367">
        <v>94.240553988849499</v>
      </c>
      <c r="AN1367">
        <v>0.99999997630849402</v>
      </c>
    </row>
    <row r="1368" spans="1:40" x14ac:dyDescent="0.3">
      <c r="A1368" t="str">
        <f>"20200111145938047"</f>
        <v>20200111145938047</v>
      </c>
      <c r="B1368" t="str">
        <f>"1578725978036621"</f>
        <v>1578725978036621</v>
      </c>
      <c r="C1368" t="s">
        <v>40</v>
      </c>
      <c r="D1368">
        <v>4.1639559999999998</v>
      </c>
      <c r="E1368">
        <v>0.53293869999999999</v>
      </c>
      <c r="F1368" t="s">
        <v>42</v>
      </c>
      <c r="G1368">
        <v>-268.279</v>
      </c>
      <c r="H1368" s="1">
        <v>-1.184911E-6</v>
      </c>
      <c r="I1368">
        <v>367.31180000000001</v>
      </c>
      <c r="J1368">
        <v>-309.68329999999997</v>
      </c>
      <c r="K1368">
        <v>1.054524</v>
      </c>
      <c r="L1368">
        <v>367.62020000000001</v>
      </c>
      <c r="M1368">
        <v>0.99990299999999999</v>
      </c>
      <c r="N1368">
        <v>0</v>
      </c>
      <c r="O1368">
        <v>-5.3067260000000003E-3</v>
      </c>
      <c r="P1368">
        <v>0.99662260000000003</v>
      </c>
      <c r="Q1368">
        <v>4.5383800000000002E-2</v>
      </c>
      <c r="R1368">
        <v>6.8441199999999994E-2</v>
      </c>
      <c r="S1368">
        <v>3.0152589999999999</v>
      </c>
      <c r="T1368">
        <v>-7.6606930000000004E-2</v>
      </c>
      <c r="U1368">
        <v>-2.2460939999999999E-2</v>
      </c>
      <c r="V1368">
        <v>-7.3682600000000001E-2</v>
      </c>
      <c r="W1368">
        <v>5.8285869999999997E-2</v>
      </c>
      <c r="X1368">
        <v>0.99557700000000005</v>
      </c>
      <c r="Y1368">
        <v>2.1427820000000002E-3</v>
      </c>
      <c r="Z1368">
        <v>1.075959E-4</v>
      </c>
      <c r="AA1368">
        <v>0.99999769999999999</v>
      </c>
      <c r="AB1368">
        <v>21</v>
      </c>
      <c r="AC1368">
        <v>41.4042999999999</v>
      </c>
      <c r="AD1368">
        <v>-1.054525184911</v>
      </c>
      <c r="AE1368">
        <v>-0.308400000000006</v>
      </c>
      <c r="AF1368">
        <v>8.8598693054468394E-2</v>
      </c>
      <c r="AG1368">
        <v>-1.054525184911</v>
      </c>
      <c r="AH1368">
        <v>41.378514166231703</v>
      </c>
      <c r="AI1368">
        <v>91.459854949925401</v>
      </c>
      <c r="AJ1368">
        <v>89.877319823415704</v>
      </c>
      <c r="AK1368">
        <v>41.392044014509104</v>
      </c>
      <c r="AL1368">
        <v>86.658571763904007</v>
      </c>
      <c r="AM1368">
        <v>94.232740563876902</v>
      </c>
      <c r="AN1368">
        <v>0.999999965556707</v>
      </c>
    </row>
    <row r="1369" spans="1:40" x14ac:dyDescent="0.3">
      <c r="A1369" t="str">
        <f>"20200111145938059"</f>
        <v>20200111145938059</v>
      </c>
      <c r="B1369" t="str">
        <f>"1578725978057116"</f>
        <v>1578725978057116</v>
      </c>
      <c r="C1369" t="s">
        <v>40</v>
      </c>
      <c r="D1369">
        <v>4.1691669999999998</v>
      </c>
      <c r="E1369">
        <v>0.53607179999999999</v>
      </c>
      <c r="F1369" t="s">
        <v>42</v>
      </c>
      <c r="G1369">
        <v>-278.93470000000002</v>
      </c>
      <c r="H1369" s="1">
        <v>-1.029829E-6</v>
      </c>
      <c r="I1369">
        <v>367.05590000000001</v>
      </c>
      <c r="J1369">
        <v>-309.56299999999999</v>
      </c>
      <c r="K1369">
        <v>1.054522</v>
      </c>
      <c r="L1369">
        <v>367.61930000000001</v>
      </c>
      <c r="M1369">
        <v>0.9999015</v>
      </c>
      <c r="N1369">
        <v>0</v>
      </c>
      <c r="O1369">
        <v>-5.5967019999999899E-3</v>
      </c>
      <c r="P1369">
        <v>0.99662419999999996</v>
      </c>
      <c r="Q1369">
        <v>4.5377279999999999E-2</v>
      </c>
      <c r="R1369">
        <v>6.8418699999999999E-2</v>
      </c>
      <c r="S1369">
        <v>3.0186769999999998</v>
      </c>
      <c r="T1369">
        <v>-0.1035253</v>
      </c>
      <c r="U1369">
        <v>-5.5389399999999998E-2</v>
      </c>
      <c r="V1369">
        <v>-7.3949000000000001E-2</v>
      </c>
      <c r="W1369">
        <v>5.826539E-2</v>
      </c>
      <c r="X1369">
        <v>0.99555850000000001</v>
      </c>
      <c r="Y1369">
        <v>1.2745100000000001E-2</v>
      </c>
      <c r="Z1369" s="1">
        <v>-2.6584979999999999E-5</v>
      </c>
      <c r="AA1369">
        <v>0.9999188</v>
      </c>
      <c r="AB1369">
        <v>21</v>
      </c>
      <c r="AC1369">
        <v>30.6282999999999</v>
      </c>
      <c r="AD1369">
        <v>-1.054523029829</v>
      </c>
      <c r="AE1369">
        <v>-0.56340000000000101</v>
      </c>
      <c r="AF1369">
        <v>0.39149558258454997</v>
      </c>
      <c r="AG1369">
        <v>-1.054523029829</v>
      </c>
      <c r="AH1369">
        <v>30.594718841946399</v>
      </c>
      <c r="AI1369">
        <v>91.973898496824404</v>
      </c>
      <c r="AJ1369">
        <v>89.266872805307102</v>
      </c>
      <c r="AK1369">
        <v>30.615390061689101</v>
      </c>
      <c r="AL1369">
        <v>86.659747356460997</v>
      </c>
      <c r="AM1369">
        <v>94.248066799216204</v>
      </c>
      <c r="AN1369">
        <v>1.0000000185975499</v>
      </c>
    </row>
    <row r="1370" spans="1:40" x14ac:dyDescent="0.3">
      <c r="A1370" t="str">
        <f>"20200111145938071"</f>
        <v>20200111145938071</v>
      </c>
      <c r="B1370" t="str">
        <f>"1578725978066876"</f>
        <v>1578725978066876</v>
      </c>
      <c r="C1370" t="s">
        <v>40</v>
      </c>
      <c r="D1370">
        <v>4.1621629999999996</v>
      </c>
      <c r="E1370">
        <v>0.537192</v>
      </c>
      <c r="F1370" t="s">
        <v>43</v>
      </c>
      <c r="G1370">
        <v>-287.66340000000002</v>
      </c>
      <c r="H1370">
        <v>-0.05</v>
      </c>
      <c r="I1370">
        <v>367.03800000000001</v>
      </c>
      <c r="J1370">
        <v>-309.44929999999999</v>
      </c>
      <c r="K1370">
        <v>1.05452099999999</v>
      </c>
      <c r="L1370">
        <v>367.61829999999998</v>
      </c>
      <c r="M1370">
        <v>0.99990009999999996</v>
      </c>
      <c r="N1370">
        <v>0</v>
      </c>
      <c r="O1370">
        <v>-5.8668949999999996E-3</v>
      </c>
      <c r="P1370">
        <v>0.99662589999999995</v>
      </c>
      <c r="Q1370">
        <v>4.5378630000000003E-2</v>
      </c>
      <c r="R1370">
        <v>6.8395120000000004E-2</v>
      </c>
      <c r="S1370">
        <v>3.0226139999999999</v>
      </c>
      <c r="T1370">
        <v>-0.15244759999999999</v>
      </c>
      <c r="U1370">
        <v>-8.0230709999999997E-2</v>
      </c>
      <c r="V1370">
        <v>-7.4195910000000004E-2</v>
      </c>
      <c r="W1370">
        <v>5.8254449999999999E-2</v>
      </c>
      <c r="X1370">
        <v>0.99554069999999995</v>
      </c>
      <c r="Y1370">
        <v>2.0649600000000001E-2</v>
      </c>
      <c r="Z1370">
        <v>-2.2463800000000001E-4</v>
      </c>
      <c r="AA1370">
        <v>0.99978670000000003</v>
      </c>
      <c r="AB1370">
        <v>21</v>
      </c>
      <c r="AC1370">
        <v>21.785899999999899</v>
      </c>
      <c r="AD1370">
        <v>-1.1045210000000001</v>
      </c>
      <c r="AE1370">
        <v>-0.58029999999996495</v>
      </c>
      <c r="AF1370">
        <v>0.45130465271639902</v>
      </c>
      <c r="AG1370">
        <v>-1.1045210000000001</v>
      </c>
      <c r="AH1370">
        <v>21.733107147739101</v>
      </c>
      <c r="AI1370">
        <v>92.908759667153703</v>
      </c>
      <c r="AJ1370">
        <v>88.8103801321096</v>
      </c>
      <c r="AK1370">
        <v>21.765835357828799</v>
      </c>
      <c r="AL1370">
        <v>86.660375008351394</v>
      </c>
      <c r="AM1370">
        <v>94.262274509328606</v>
      </c>
      <c r="AN1370">
        <v>0.99999994968100903</v>
      </c>
    </row>
    <row r="1371" spans="1:40" x14ac:dyDescent="0.3">
      <c r="A1371" t="str">
        <f>"20200111145938084"</f>
        <v>20200111145938084</v>
      </c>
      <c r="B1371" t="str">
        <f>"1578725978076637"</f>
        <v>1578725978076637</v>
      </c>
      <c r="C1371" t="s">
        <v>40</v>
      </c>
      <c r="D1371">
        <v>4.1727869999999996</v>
      </c>
      <c r="E1371">
        <v>0.53764749999999994</v>
      </c>
      <c r="F1371" t="s">
        <v>43</v>
      </c>
      <c r="G1371">
        <v>-287.7996</v>
      </c>
      <c r="H1371">
        <v>-0.05</v>
      </c>
      <c r="I1371">
        <v>366.98129999999998</v>
      </c>
      <c r="J1371">
        <v>-309.32400000000001</v>
      </c>
      <c r="K1371">
        <v>1.0545150000000001</v>
      </c>
      <c r="L1371">
        <v>367.61720000000003</v>
      </c>
      <c r="M1371">
        <v>0.99989839999999997</v>
      </c>
      <c r="N1371">
        <v>0</v>
      </c>
      <c r="O1371">
        <v>-6.1615109999999997E-3</v>
      </c>
      <c r="P1371">
        <v>0.99660709999999997</v>
      </c>
      <c r="Q1371">
        <v>4.5466149999999997E-2</v>
      </c>
      <c r="R1371">
        <v>6.86113E-2</v>
      </c>
      <c r="S1371">
        <v>3.0232540000000001</v>
      </c>
      <c r="T1371">
        <v>-0.15424009999999999</v>
      </c>
      <c r="U1371">
        <v>-8.8958739999999994E-2</v>
      </c>
      <c r="V1371">
        <v>-7.4706359999999999E-2</v>
      </c>
      <c r="W1371">
        <v>5.8329190000000003E-2</v>
      </c>
      <c r="X1371">
        <v>0.9954982</v>
      </c>
      <c r="Y1371">
        <v>2.3230009999999999E-2</v>
      </c>
      <c r="Z1371">
        <v>-2.7796770000000003E-4</v>
      </c>
      <c r="AA1371">
        <v>0.99973009999999995</v>
      </c>
      <c r="AB1371">
        <v>21</v>
      </c>
      <c r="AC1371">
        <v>21.5244</v>
      </c>
      <c r="AD1371">
        <v>-1.1045149999999999</v>
      </c>
      <c r="AE1371">
        <v>-0.63590000000004898</v>
      </c>
      <c r="AF1371">
        <v>0.50193361135619696</v>
      </c>
      <c r="AG1371">
        <v>-1.1045149999999999</v>
      </c>
      <c r="AH1371">
        <v>21.471420890654201</v>
      </c>
      <c r="AI1371">
        <v>92.943963380748201</v>
      </c>
      <c r="AJ1371">
        <v>88.660850590706701</v>
      </c>
      <c r="AK1371">
        <v>21.505669154877602</v>
      </c>
      <c r="AL1371">
        <v>86.656085597360004</v>
      </c>
      <c r="AM1371">
        <v>94.291671283922796</v>
      </c>
      <c r="AN1371">
        <v>1.0000000004168701</v>
      </c>
    </row>
    <row r="1372" spans="1:40" x14ac:dyDescent="0.3">
      <c r="A1372" t="str">
        <f>"20200111145938096"</f>
        <v>20200111145938096</v>
      </c>
      <c r="B1372" t="str">
        <f>"1578725978087373"</f>
        <v>1578725978087373</v>
      </c>
      <c r="C1372" t="s">
        <v>40</v>
      </c>
      <c r="D1372">
        <v>4.2046760000000001</v>
      </c>
      <c r="E1372">
        <v>0.53765879999999999</v>
      </c>
      <c r="F1372" t="s">
        <v>43</v>
      </c>
      <c r="G1372">
        <v>-287.4203</v>
      </c>
      <c r="H1372">
        <v>-0.05</v>
      </c>
      <c r="I1372">
        <v>366.94979999999998</v>
      </c>
      <c r="J1372">
        <v>-309.21010000000001</v>
      </c>
      <c r="K1372">
        <v>1.054514</v>
      </c>
      <c r="L1372">
        <v>367.61619999999999</v>
      </c>
      <c r="M1372">
        <v>0.99989689999999998</v>
      </c>
      <c r="N1372">
        <v>0</v>
      </c>
      <c r="O1372">
        <v>-6.424913E-3</v>
      </c>
      <c r="P1372">
        <v>0.99657079999999998</v>
      </c>
      <c r="Q1372">
        <v>4.5782440000000001E-2</v>
      </c>
      <c r="R1372">
        <v>6.8926870000000001E-2</v>
      </c>
      <c r="S1372">
        <v>3.0235599999999998</v>
      </c>
      <c r="T1372">
        <v>-0.15246589999999999</v>
      </c>
      <c r="U1372">
        <v>-9.2132569999999997E-2</v>
      </c>
      <c r="V1372">
        <v>-7.5284119999999996E-2</v>
      </c>
      <c r="W1372">
        <v>5.8634310000000002E-2</v>
      </c>
      <c r="X1372">
        <v>0.99543669999999995</v>
      </c>
      <c r="Y1372">
        <v>2.401201E-2</v>
      </c>
      <c r="Z1372">
        <v>-2.811709E-4</v>
      </c>
      <c r="AA1372">
        <v>0.99971160000000003</v>
      </c>
      <c r="AB1372">
        <v>21</v>
      </c>
      <c r="AC1372">
        <v>21.7898</v>
      </c>
      <c r="AD1372">
        <v>-1.104514</v>
      </c>
      <c r="AE1372">
        <v>-0.66640000000000998</v>
      </c>
      <c r="AF1372">
        <v>0.52502936602126304</v>
      </c>
      <c r="AG1372">
        <v>-1.104514</v>
      </c>
      <c r="AH1372">
        <v>21.737830565432301</v>
      </c>
      <c r="AI1372">
        <v>92.907889587882707</v>
      </c>
      <c r="AJ1372">
        <v>88.616415780969703</v>
      </c>
      <c r="AK1372">
        <v>21.7722044061418</v>
      </c>
      <c r="AL1372">
        <v>86.638573375081904</v>
      </c>
      <c r="AM1372">
        <v>94.325002713103999</v>
      </c>
      <c r="AN1372">
        <v>0.99999995237011896</v>
      </c>
    </row>
    <row r="1373" spans="1:40" x14ac:dyDescent="0.3">
      <c r="A1373" t="str">
        <f>"20200111145938109"</f>
        <v>20200111145938109</v>
      </c>
      <c r="B1373" t="str">
        <f>"1578725978106894"</f>
        <v>1578725978106894</v>
      </c>
      <c r="C1373" t="s">
        <v>40</v>
      </c>
      <c r="D1373">
        <v>4.1770839999999998</v>
      </c>
      <c r="E1373">
        <v>0.53855909999999996</v>
      </c>
      <c r="F1373" t="s">
        <v>43</v>
      </c>
      <c r="G1373">
        <v>-289.54829999999998</v>
      </c>
      <c r="H1373">
        <v>-0.05</v>
      </c>
      <c r="I1373">
        <v>367.02499999999998</v>
      </c>
      <c r="J1373">
        <v>-309.09350000000001</v>
      </c>
      <c r="K1373">
        <v>1.054516</v>
      </c>
      <c r="L1373">
        <v>367.61520000000002</v>
      </c>
      <c r="M1373">
        <v>0.99989519999999998</v>
      </c>
      <c r="N1373">
        <v>0</v>
      </c>
      <c r="O1373">
        <v>-6.6892699999999998E-3</v>
      </c>
      <c r="P1373">
        <v>0.99656219999999995</v>
      </c>
      <c r="Q1373">
        <v>4.5814180000000003E-2</v>
      </c>
      <c r="R1373">
        <v>6.9029709999999994E-2</v>
      </c>
      <c r="S1373">
        <v>3.024384</v>
      </c>
      <c r="T1373">
        <v>-0.1698962</v>
      </c>
      <c r="U1373">
        <v>-9.0942380000000003E-2</v>
      </c>
      <c r="V1373">
        <v>-7.5650949999999995E-2</v>
      </c>
      <c r="W1373">
        <v>5.8655739999999998E-2</v>
      </c>
      <c r="X1373">
        <v>0.99540770000000001</v>
      </c>
      <c r="Y1373">
        <v>2.3342439999999999E-2</v>
      </c>
      <c r="Z1373">
        <v>-2.7956070000000001E-4</v>
      </c>
      <c r="AA1373">
        <v>0.99972749999999999</v>
      </c>
      <c r="AB1373">
        <v>21</v>
      </c>
      <c r="AC1373">
        <v>19.545200000000001</v>
      </c>
      <c r="AD1373">
        <v>-1.1045160000000001</v>
      </c>
      <c r="AE1373">
        <v>-0.59020000000003803</v>
      </c>
      <c r="AF1373">
        <v>0.457971705957403</v>
      </c>
      <c r="AG1373">
        <v>-1.1045160000000001</v>
      </c>
      <c r="AH1373">
        <v>19.486537850084002</v>
      </c>
      <c r="AI1373">
        <v>93.243215922867506</v>
      </c>
      <c r="AJ1373">
        <v>88.653685094364107</v>
      </c>
      <c r="AK1373">
        <v>19.523187523057601</v>
      </c>
      <c r="AL1373">
        <v>86.637343656255695</v>
      </c>
      <c r="AM1373">
        <v>94.346122340122093</v>
      </c>
      <c r="AN1373">
        <v>1.0000000256450601</v>
      </c>
    </row>
    <row r="1374" spans="1:40" x14ac:dyDescent="0.3">
      <c r="A1374" t="str">
        <f>"20200111145938124"</f>
        <v>20200111145938124</v>
      </c>
      <c r="B1374" t="str">
        <f>"1578725978116653"</f>
        <v>1578725978116653</v>
      </c>
      <c r="C1374" t="s">
        <v>40</v>
      </c>
      <c r="D1374">
        <v>4.1756250000000001</v>
      </c>
      <c r="E1374">
        <v>0.53826479999999999</v>
      </c>
      <c r="F1374" t="s">
        <v>43</v>
      </c>
      <c r="G1374">
        <v>-289.85120000000001</v>
      </c>
      <c r="H1374">
        <v>-0.05</v>
      </c>
      <c r="I1374">
        <v>366.99290000000002</v>
      </c>
      <c r="J1374">
        <v>-308.95</v>
      </c>
      <c r="K1374">
        <v>1.0545180000000001</v>
      </c>
      <c r="L1374">
        <v>367.61380000000003</v>
      </c>
      <c r="M1374">
        <v>0.99989320000000004</v>
      </c>
      <c r="N1374">
        <v>0</v>
      </c>
      <c r="O1374">
        <v>-7.0093809999999899E-3</v>
      </c>
      <c r="P1374">
        <v>0.99653239999999998</v>
      </c>
      <c r="Q1374">
        <v>4.5992980000000003E-2</v>
      </c>
      <c r="R1374">
        <v>6.9340180000000001E-2</v>
      </c>
      <c r="S1374">
        <v>3.0251160000000001</v>
      </c>
      <c r="T1374">
        <v>-0.17364299999999999</v>
      </c>
      <c r="U1374">
        <v>-9.783936E-2</v>
      </c>
      <c r="V1374">
        <v>-7.6281920000000003E-2</v>
      </c>
      <c r="W1374">
        <v>5.8821859999999997E-2</v>
      </c>
      <c r="X1374">
        <v>0.9953497</v>
      </c>
      <c r="Y1374">
        <v>2.52883E-2</v>
      </c>
      <c r="Z1374">
        <v>-3.2306890000000001E-4</v>
      </c>
      <c r="AA1374">
        <v>0.99968020000000002</v>
      </c>
      <c r="AB1374">
        <v>21</v>
      </c>
      <c r="AC1374">
        <v>19.098799999999901</v>
      </c>
      <c r="AD1374">
        <v>-1.1045180000000001</v>
      </c>
      <c r="AE1374">
        <v>-0.620900000000006</v>
      </c>
      <c r="AF1374">
        <v>0.485381316998864</v>
      </c>
      <c r="AG1374">
        <v>-1.1045180000000001</v>
      </c>
      <c r="AH1374">
        <v>19.0390739419698</v>
      </c>
      <c r="AI1374">
        <v>93.319115276419197</v>
      </c>
      <c r="AJ1374">
        <v>88.539620239616596</v>
      </c>
      <c r="AK1374">
        <v>19.0772611137713</v>
      </c>
      <c r="AL1374">
        <v>86.627809078408802</v>
      </c>
      <c r="AM1374">
        <v>94.382485100345605</v>
      </c>
      <c r="AN1374">
        <v>0.99999998391141798</v>
      </c>
    </row>
    <row r="1375" spans="1:40" x14ac:dyDescent="0.3">
      <c r="A1375" t="str">
        <f>"20200111145938137"</f>
        <v>20200111145938137</v>
      </c>
      <c r="B1375" t="str">
        <f>"1578725978127388"</f>
        <v>1578725978127388</v>
      </c>
      <c r="C1375" t="s">
        <v>40</v>
      </c>
      <c r="D1375">
        <v>4.208113</v>
      </c>
      <c r="E1375">
        <v>0.53882649999999999</v>
      </c>
      <c r="F1375" t="s">
        <v>43</v>
      </c>
      <c r="G1375">
        <v>-290.66789999999997</v>
      </c>
      <c r="H1375">
        <v>-0.05</v>
      </c>
      <c r="I1375">
        <v>367.04559999999998</v>
      </c>
      <c r="J1375">
        <v>-308.83089999999999</v>
      </c>
      <c r="K1375">
        <v>1.0545180000000001</v>
      </c>
      <c r="L1375">
        <v>367.61270000000002</v>
      </c>
      <c r="M1375">
        <v>0.99989139999999999</v>
      </c>
      <c r="N1375">
        <v>0</v>
      </c>
      <c r="O1375">
        <v>-7.2698049999999998E-3</v>
      </c>
      <c r="P1375">
        <v>0.99654430000000005</v>
      </c>
      <c r="Q1375">
        <v>4.5750819999999998E-2</v>
      </c>
      <c r="R1375">
        <v>6.9328780000000007E-2</v>
      </c>
      <c r="S1375">
        <v>3.0254210000000001</v>
      </c>
      <c r="T1375">
        <v>-0.18278150000000001</v>
      </c>
      <c r="U1375">
        <v>-9.4024659999999996E-2</v>
      </c>
      <c r="V1375">
        <v>-7.6530340000000002E-2</v>
      </c>
      <c r="W1375">
        <v>5.8570049999999999E-2</v>
      </c>
      <c r="X1375">
        <v>0.99534549999999999</v>
      </c>
      <c r="Y1375">
        <v>2.3765439999999999E-2</v>
      </c>
      <c r="Z1375">
        <v>-2.7834879999999999E-4</v>
      </c>
      <c r="AA1375">
        <v>0.99971750000000004</v>
      </c>
      <c r="AB1375">
        <v>21</v>
      </c>
      <c r="AC1375">
        <v>18.163</v>
      </c>
      <c r="AD1375">
        <v>-1.1045180000000001</v>
      </c>
      <c r="AE1375">
        <v>-0.56710000000003902</v>
      </c>
      <c r="AF1375">
        <v>0.43343141109738698</v>
      </c>
      <c r="AG1375">
        <v>-1.1045180000000001</v>
      </c>
      <c r="AH1375">
        <v>18.099774679932999</v>
      </c>
      <c r="AI1375">
        <v>93.491080468715396</v>
      </c>
      <c r="AJ1375">
        <v>88.628212468428401</v>
      </c>
      <c r="AK1375">
        <v>18.1386236044744</v>
      </c>
      <c r="AL1375">
        <v>86.642261714146301</v>
      </c>
      <c r="AM1375">
        <v>94.396719726780503</v>
      </c>
      <c r="AN1375">
        <v>1.0000000040338799</v>
      </c>
    </row>
    <row r="1376" spans="1:40" x14ac:dyDescent="0.3">
      <c r="A1376" t="str">
        <f>"20200111145938157"</f>
        <v>20200111145938157</v>
      </c>
      <c r="B1376" t="str">
        <f>"1578725978146908"</f>
        <v>1578725978146908</v>
      </c>
      <c r="C1376" t="s">
        <v>40</v>
      </c>
      <c r="D1376">
        <v>4.1018689999999998</v>
      </c>
      <c r="E1376">
        <v>0.539554599999999</v>
      </c>
      <c r="F1376" t="s">
        <v>43</v>
      </c>
      <c r="G1376">
        <v>-290.05880000000002</v>
      </c>
      <c r="H1376">
        <v>-0.05</v>
      </c>
      <c r="I1376">
        <v>367.00029999999998</v>
      </c>
      <c r="J1376">
        <v>-308.64139999999998</v>
      </c>
      <c r="K1376">
        <v>1.0545199999999999</v>
      </c>
      <c r="L1376">
        <v>367.61079999999998</v>
      </c>
      <c r="M1376">
        <v>0.99988849999999996</v>
      </c>
      <c r="N1376">
        <v>0</v>
      </c>
      <c r="O1376">
        <v>-7.6759319999999999E-3</v>
      </c>
      <c r="P1376">
        <v>0.99658749999999996</v>
      </c>
      <c r="Q1376">
        <v>4.5298900000000003E-2</v>
      </c>
      <c r="R1376">
        <v>6.9001030000000005E-2</v>
      </c>
      <c r="S1376">
        <v>3.025452</v>
      </c>
      <c r="T1376">
        <v>-0.17801259999999999</v>
      </c>
      <c r="U1376">
        <v>-9.869385E-2</v>
      </c>
      <c r="V1376">
        <v>-7.660931E-2</v>
      </c>
      <c r="W1376">
        <v>5.8104500000000003E-2</v>
      </c>
      <c r="X1376">
        <v>0.99536670000000005</v>
      </c>
      <c r="Y1376">
        <v>2.4900660000000002E-2</v>
      </c>
      <c r="Z1376">
        <v>-2.8058089999999998E-4</v>
      </c>
      <c r="AA1376">
        <v>0.99968990000000002</v>
      </c>
      <c r="AB1376">
        <v>21</v>
      </c>
      <c r="AC1376">
        <v>18.5825999999999</v>
      </c>
      <c r="AD1376">
        <v>-1.1045199999999999</v>
      </c>
      <c r="AE1376">
        <v>-0.61050000000000104</v>
      </c>
      <c r="AF1376">
        <v>0.46618631011935102</v>
      </c>
      <c r="AG1376">
        <v>-1.1045199999999999</v>
      </c>
      <c r="AH1376">
        <v>18.521374952873401</v>
      </c>
      <c r="AI1376">
        <v>93.411707200422498</v>
      </c>
      <c r="AJ1376">
        <v>88.558159448659794</v>
      </c>
      <c r="AK1376">
        <v>18.560135351097799</v>
      </c>
      <c r="AL1376">
        <v>86.668981234167504</v>
      </c>
      <c r="AM1376">
        <v>94.401145417301507</v>
      </c>
      <c r="AN1376">
        <v>0.99999999338390799</v>
      </c>
    </row>
    <row r="1377" spans="1:40" x14ac:dyDescent="0.3">
      <c r="A1377" t="str">
        <f>"20200111145938169"</f>
        <v>20200111145938169</v>
      </c>
      <c r="B1377" t="str">
        <f>"1578725978157645"</f>
        <v>1578725978157645</v>
      </c>
      <c r="C1377" t="s">
        <v>40</v>
      </c>
      <c r="D1377">
        <v>4.1150419999999999</v>
      </c>
      <c r="E1377">
        <v>0.53966119999999995</v>
      </c>
      <c r="F1377" t="s">
        <v>43</v>
      </c>
      <c r="G1377">
        <v>-291.71440000000001</v>
      </c>
      <c r="H1377">
        <v>-0.05</v>
      </c>
      <c r="I1377">
        <v>367.01960000000003</v>
      </c>
      <c r="J1377">
        <v>-308.52980000000002</v>
      </c>
      <c r="K1377">
        <v>1.0545199999999999</v>
      </c>
      <c r="L1377">
        <v>367.6096</v>
      </c>
      <c r="M1377">
        <v>0.99988690000000002</v>
      </c>
      <c r="N1377">
        <v>0</v>
      </c>
      <c r="O1377">
        <v>-7.9105129999999992E-3</v>
      </c>
      <c r="P1377">
        <v>0.99661250000000001</v>
      </c>
      <c r="Q1377">
        <v>4.47848E-2</v>
      </c>
      <c r="R1377">
        <v>6.8979680000000002E-2</v>
      </c>
      <c r="S1377">
        <v>3.0266109999999999</v>
      </c>
      <c r="T1377">
        <v>-0.1974928</v>
      </c>
      <c r="U1377">
        <v>-0.105712899999999</v>
      </c>
      <c r="V1377">
        <v>-7.6822849999999998E-2</v>
      </c>
      <c r="W1377">
        <v>5.7583240000000001E-2</v>
      </c>
      <c r="X1377">
        <v>0.9953805</v>
      </c>
      <c r="Y1377">
        <v>2.6958630000000001E-2</v>
      </c>
      <c r="Z1377">
        <v>-3.6285970000000001E-4</v>
      </c>
      <c r="AA1377">
        <v>0.99963650000000004</v>
      </c>
      <c r="AB1377">
        <v>21</v>
      </c>
      <c r="AC1377">
        <v>16.8154</v>
      </c>
      <c r="AD1377">
        <v>-1.1045199999999999</v>
      </c>
      <c r="AE1377">
        <v>-0.58999999999997499</v>
      </c>
      <c r="AF1377">
        <v>0.45499155575882599</v>
      </c>
      <c r="AG1377">
        <v>-1.1045199999999999</v>
      </c>
      <c r="AH1377">
        <v>16.747373290464601</v>
      </c>
      <c r="AI1377">
        <v>93.771909553727895</v>
      </c>
      <c r="AJ1377">
        <v>88.443774769453796</v>
      </c>
      <c r="AK1377">
        <v>16.789922390421498</v>
      </c>
      <c r="AL1377">
        <v>86.698897211990499</v>
      </c>
      <c r="AM1377">
        <v>94.413303778638294</v>
      </c>
      <c r="AN1377">
        <v>0.99999995979563405</v>
      </c>
    </row>
    <row r="1378" spans="1:40" x14ac:dyDescent="0.3">
      <c r="A1378" t="str">
        <f>"20200111145938180"</f>
        <v>20200111145938180</v>
      </c>
      <c r="B1378" t="str">
        <f>"1578725978177164"</f>
        <v>1578725978177164</v>
      </c>
      <c r="C1378" t="s">
        <v>40</v>
      </c>
      <c r="D1378">
        <v>4.1259969999999999</v>
      </c>
      <c r="E1378">
        <v>0.54017040000000005</v>
      </c>
      <c r="F1378" t="s">
        <v>41</v>
      </c>
      <c r="G1378">
        <v>-307.68950000000001</v>
      </c>
      <c r="H1378">
        <v>0.99751789999999996</v>
      </c>
      <c r="I1378">
        <v>367.58</v>
      </c>
      <c r="J1378">
        <v>-308.42270000000002</v>
      </c>
      <c r="K1378">
        <v>1.054522</v>
      </c>
      <c r="L1378">
        <v>367.60849999999999</v>
      </c>
      <c r="M1378">
        <v>0.99988509999999997</v>
      </c>
      <c r="N1378">
        <v>0</v>
      </c>
      <c r="O1378">
        <v>-8.1341360000000001E-3</v>
      </c>
      <c r="P1378">
        <v>0.99665219999999999</v>
      </c>
      <c r="Q1378">
        <v>4.4370529999999998E-2</v>
      </c>
      <c r="R1378">
        <v>6.8671289999999996E-2</v>
      </c>
      <c r="S1378">
        <v>3.026764</v>
      </c>
      <c r="T1378">
        <v>-0.2054002</v>
      </c>
      <c r="U1378">
        <v>-0.1065369</v>
      </c>
      <c r="V1378">
        <v>-7.6738799999999996E-2</v>
      </c>
      <c r="W1378">
        <v>5.716193E-2</v>
      </c>
      <c r="X1378">
        <v>0.9954113</v>
      </c>
      <c r="Y1378">
        <v>2.700222E-2</v>
      </c>
      <c r="Z1378">
        <v>-3.6365859999999998E-4</v>
      </c>
      <c r="AA1378">
        <v>0.9996353</v>
      </c>
      <c r="AB1378">
        <v>21</v>
      </c>
      <c r="AC1378">
        <v>0.73320000000000995</v>
      </c>
      <c r="AD1378">
        <v>-5.7004099999999898E-2</v>
      </c>
      <c r="AE1378">
        <v>-2.8500000000008099E-2</v>
      </c>
      <c r="AF1378">
        <v>2.2399429263040001E-2</v>
      </c>
      <c r="AG1378">
        <v>-5.7004099999999898E-2</v>
      </c>
      <c r="AH1378">
        <v>0.729007672842517</v>
      </c>
      <c r="AI1378">
        <v>94.468993747824598</v>
      </c>
      <c r="AJ1378">
        <v>88.240088327326902</v>
      </c>
      <c r="AK1378">
        <v>0.73157596250244805</v>
      </c>
      <c r="AL1378">
        <v>86.723076433615404</v>
      </c>
      <c r="AM1378">
        <v>94.408358465972597</v>
      </c>
      <c r="AN1378">
        <v>0.99999999291722697</v>
      </c>
    </row>
    <row r="1379" spans="1:40" x14ac:dyDescent="0.3">
      <c r="A1379" t="str">
        <f>"20200111145938190"</f>
        <v>20200111145938190</v>
      </c>
      <c r="B1379" t="str">
        <f>"1578725978186924"</f>
        <v>1578725978186924</v>
      </c>
      <c r="C1379" t="s">
        <v>40</v>
      </c>
      <c r="D1379">
        <v>4.1617709999999999</v>
      </c>
      <c r="E1379">
        <v>0.54003330000000005</v>
      </c>
      <c r="F1379" t="s">
        <v>43</v>
      </c>
      <c r="G1379">
        <v>-293.1746</v>
      </c>
      <c r="H1379">
        <v>-0.05</v>
      </c>
      <c r="I1379">
        <v>367.04790000000003</v>
      </c>
      <c r="J1379">
        <v>-308.32220000000001</v>
      </c>
      <c r="K1379">
        <v>1.0545260000000001</v>
      </c>
      <c r="L1379">
        <v>367.60739999999998</v>
      </c>
      <c r="M1379">
        <v>0.99988339999999998</v>
      </c>
      <c r="N1379">
        <v>0</v>
      </c>
      <c r="O1379">
        <v>-8.3403750000000006E-3</v>
      </c>
      <c r="P1379">
        <v>0.99670840000000005</v>
      </c>
      <c r="Q1379">
        <v>4.4113409999999999E-2</v>
      </c>
      <c r="R1379">
        <v>6.8017649999999999E-2</v>
      </c>
      <c r="S1379">
        <v>3.0275880000000002</v>
      </c>
      <c r="T1379">
        <v>-0.21930939999999999</v>
      </c>
      <c r="U1379">
        <v>-0.1113281</v>
      </c>
      <c r="V1379">
        <v>-7.6291869999999998E-2</v>
      </c>
      <c r="W1379">
        <v>5.6899150000000003E-2</v>
      </c>
      <c r="X1379">
        <v>0.99546069999999998</v>
      </c>
      <c r="Y1379">
        <v>2.8357319999999998E-2</v>
      </c>
      <c r="Z1379">
        <v>-4.2219129999999998E-4</v>
      </c>
      <c r="AA1379">
        <v>0.99959779999999998</v>
      </c>
      <c r="AB1379">
        <v>21</v>
      </c>
      <c r="AC1379">
        <v>15.147600000000001</v>
      </c>
      <c r="AD1379">
        <v>-1.1045259999999999</v>
      </c>
      <c r="AE1379">
        <v>-0.55949999999995703</v>
      </c>
      <c r="AF1379">
        <v>0.43084586150355803</v>
      </c>
      <c r="AG1379">
        <v>-1.1045259999999999</v>
      </c>
      <c r="AH1379">
        <v>15.0717132089754</v>
      </c>
      <c r="AI1379">
        <v>94.189705843168497</v>
      </c>
      <c r="AJ1379">
        <v>88.362566470200804</v>
      </c>
      <c r="AK1379">
        <v>15.1182718885015</v>
      </c>
      <c r="AL1379">
        <v>86.738157134375399</v>
      </c>
      <c r="AM1379">
        <v>94.382567678626799</v>
      </c>
      <c r="AN1379">
        <v>0.99999998397165402</v>
      </c>
    </row>
    <row r="1380" spans="1:40" x14ac:dyDescent="0.3">
      <c r="A1380" t="str">
        <f>"20200111145938202"</f>
        <v>20200111145938202</v>
      </c>
      <c r="B1380" t="str">
        <f>"1578725978196685"</f>
        <v>1578725978196685</v>
      </c>
      <c r="C1380" t="s">
        <v>40</v>
      </c>
      <c r="D1380">
        <v>4.1374630000000003</v>
      </c>
      <c r="E1380">
        <v>0.53999079999999999</v>
      </c>
      <c r="F1380" t="s">
        <v>41</v>
      </c>
      <c r="G1380">
        <v>-307.50459999999998</v>
      </c>
      <c r="H1380">
        <v>0.99356710000000004</v>
      </c>
      <c r="I1380">
        <v>367.57690000000002</v>
      </c>
      <c r="J1380">
        <v>-308.21809999999999</v>
      </c>
      <c r="K1380">
        <v>1.0545279999999999</v>
      </c>
      <c r="L1380">
        <v>367.60629999999998</v>
      </c>
      <c r="M1380">
        <v>0.99988180000000004</v>
      </c>
      <c r="N1380">
        <v>0</v>
      </c>
      <c r="O1380">
        <v>-8.5540010000000003E-3</v>
      </c>
      <c r="P1380">
        <v>0.99677640000000001</v>
      </c>
      <c r="Q1380">
        <v>4.393963E-2</v>
      </c>
      <c r="R1380">
        <v>6.7131179999999999E-2</v>
      </c>
      <c r="S1380">
        <v>3.0275880000000002</v>
      </c>
      <c r="T1380">
        <v>-0.2259409</v>
      </c>
      <c r="U1380">
        <v>-0.1120911</v>
      </c>
      <c r="V1380">
        <v>-7.5619549999999994E-2</v>
      </c>
      <c r="W1380">
        <v>5.6719199999999997E-2</v>
      </c>
      <c r="X1380">
        <v>0.99552229999999997</v>
      </c>
      <c r="Y1380">
        <v>2.83926E-2</v>
      </c>
      <c r="Z1380">
        <v>-4.2032080000000002E-4</v>
      </c>
      <c r="AA1380">
        <v>0.99959679999999995</v>
      </c>
      <c r="AB1380">
        <v>21</v>
      </c>
      <c r="AC1380">
        <v>0.71350000000001002</v>
      </c>
      <c r="AD1380">
        <v>-6.0960900000000103E-2</v>
      </c>
      <c r="AE1380">
        <v>-2.9399999999952801E-2</v>
      </c>
      <c r="AF1380">
        <v>2.31266113716601E-2</v>
      </c>
      <c r="AG1380">
        <v>-6.0960900000000103E-2</v>
      </c>
      <c r="AH1380">
        <v>0.708561762223618</v>
      </c>
      <c r="AI1380">
        <v>94.914712281462002</v>
      </c>
      <c r="AJ1380">
        <v>88.130597679726307</v>
      </c>
      <c r="AK1380">
        <v>0.71155522791121695</v>
      </c>
      <c r="AL1380">
        <v>86.748484294866699</v>
      </c>
      <c r="AM1380">
        <v>94.343827143042006</v>
      </c>
      <c r="AN1380">
        <v>1.0000000168940599</v>
      </c>
    </row>
    <row r="1381" spans="1:40" x14ac:dyDescent="0.3">
      <c r="A1381" t="str">
        <f>"20200111145938213"</f>
        <v>20200111145938213</v>
      </c>
      <c r="B1381" t="str">
        <f>"1578725978207421"</f>
        <v>1578725978207421</v>
      </c>
      <c r="C1381" t="s">
        <v>40</v>
      </c>
      <c r="D1381">
        <v>4.0770910000000002</v>
      </c>
      <c r="E1381">
        <v>0.53985879999999997</v>
      </c>
      <c r="F1381" t="s">
        <v>41</v>
      </c>
      <c r="G1381">
        <v>-307.322</v>
      </c>
      <c r="H1381">
        <v>0.98576529999999996</v>
      </c>
      <c r="I1381">
        <v>367.57240000000002</v>
      </c>
      <c r="J1381">
        <v>-308.10939999999999</v>
      </c>
      <c r="K1381">
        <v>1.054529</v>
      </c>
      <c r="L1381">
        <v>367.60509999999999</v>
      </c>
      <c r="M1381">
        <v>0.99987979999999999</v>
      </c>
      <c r="N1381">
        <v>0</v>
      </c>
      <c r="O1381">
        <v>-8.7740769999999999E-3</v>
      </c>
      <c r="P1381">
        <v>0.99682459999999995</v>
      </c>
      <c r="Q1381">
        <v>4.3974230000000003E-2</v>
      </c>
      <c r="R1381">
        <v>6.6384970000000001E-2</v>
      </c>
      <c r="S1381">
        <v>3.0276489999999998</v>
      </c>
      <c r="T1381">
        <v>-0.23243620000000001</v>
      </c>
      <c r="U1381">
        <v>-0.1139221</v>
      </c>
      <c r="V1381">
        <v>-7.509391E-2</v>
      </c>
      <c r="W1381">
        <v>5.6748710000000001E-2</v>
      </c>
      <c r="X1381">
        <v>0.99556040000000001</v>
      </c>
      <c r="Y1381">
        <v>2.8771850000000002E-2</v>
      </c>
      <c r="Z1381">
        <v>-4.3002319999999999E-4</v>
      </c>
      <c r="AA1381">
        <v>0.99958590000000003</v>
      </c>
      <c r="AB1381">
        <v>21</v>
      </c>
      <c r="AC1381">
        <v>0.78739999999999</v>
      </c>
      <c r="AD1381">
        <v>-6.87636999999999E-2</v>
      </c>
      <c r="AE1381">
        <v>-3.2699999999976997E-2</v>
      </c>
      <c r="AF1381">
        <v>2.5594606070225599E-2</v>
      </c>
      <c r="AG1381">
        <v>-6.87636999999999E-2</v>
      </c>
      <c r="AH1381">
        <v>0.78170517850745502</v>
      </c>
      <c r="AI1381">
        <v>95.024477950407402</v>
      </c>
      <c r="AJ1381">
        <v>88.124690423327095</v>
      </c>
      <c r="AK1381">
        <v>0.785141080572754</v>
      </c>
      <c r="AL1381">
        <v>86.746790748649104</v>
      </c>
      <c r="AM1381">
        <v>94.313582619153095</v>
      </c>
      <c r="AN1381">
        <v>1.00000001072695</v>
      </c>
    </row>
    <row r="1382" spans="1:40" x14ac:dyDescent="0.3">
      <c r="A1382" t="str">
        <f>"20200111145938224"</f>
        <v>20200111145938224</v>
      </c>
      <c r="B1382" t="str">
        <f>"1578725978217181"</f>
        <v>1578725978217181</v>
      </c>
      <c r="C1382" t="s">
        <v>40</v>
      </c>
      <c r="D1382">
        <v>4.0831780000000002</v>
      </c>
      <c r="E1382">
        <v>0.53956949999999904</v>
      </c>
      <c r="F1382" t="s">
        <v>41</v>
      </c>
      <c r="G1382">
        <v>-307.31740000000002</v>
      </c>
      <c r="H1382">
        <v>0.99230070000000004</v>
      </c>
      <c r="I1382">
        <v>367.57499999999999</v>
      </c>
      <c r="J1382">
        <v>-308.0068</v>
      </c>
      <c r="K1382">
        <v>1.05453</v>
      </c>
      <c r="L1382">
        <v>367.60390000000001</v>
      </c>
      <c r="M1382">
        <v>0.99987820000000005</v>
      </c>
      <c r="N1382">
        <v>0</v>
      </c>
      <c r="O1382">
        <v>-8.9814089999999992E-3</v>
      </c>
      <c r="P1382">
        <v>0.99686989999999998</v>
      </c>
      <c r="Q1382">
        <v>4.3678790000000002E-2</v>
      </c>
      <c r="R1382">
        <v>6.5898570000000004E-2</v>
      </c>
      <c r="S1382">
        <v>3.0277099999999999</v>
      </c>
      <c r="T1382">
        <v>-0.2380159</v>
      </c>
      <c r="U1382">
        <v>-0.1145325</v>
      </c>
      <c r="V1382">
        <v>-7.4815090000000001E-2</v>
      </c>
      <c r="W1382">
        <v>5.64483E-2</v>
      </c>
      <c r="X1382">
        <v>0.99559839999999999</v>
      </c>
      <c r="Y1382">
        <v>2.8762869999999999E-2</v>
      </c>
      <c r="Z1382">
        <v>-4.2368439999999999E-4</v>
      </c>
      <c r="AA1382">
        <v>0.99958619999999998</v>
      </c>
      <c r="AB1382">
        <v>21</v>
      </c>
      <c r="AC1382">
        <v>0.68939999999997703</v>
      </c>
      <c r="AD1382">
        <v>-6.2229300000000001E-2</v>
      </c>
      <c r="AE1382">
        <v>-2.8900000000021402E-2</v>
      </c>
      <c r="AF1382">
        <v>2.2523349627423001E-2</v>
      </c>
      <c r="AG1382">
        <v>-6.2229300000000001E-2</v>
      </c>
      <c r="AH1382">
        <v>0.68406781454844801</v>
      </c>
      <c r="AI1382">
        <v>95.195061326052993</v>
      </c>
      <c r="AJ1382">
        <v>88.114182818527695</v>
      </c>
      <c r="AK1382">
        <v>0.68726164010369395</v>
      </c>
      <c r="AL1382">
        <v>86.7640303834945</v>
      </c>
      <c r="AM1382">
        <v>94.297463197853304</v>
      </c>
      <c r="AN1382">
        <v>0.99999994117357704</v>
      </c>
    </row>
    <row r="1383" spans="1:40" x14ac:dyDescent="0.3">
      <c r="A1383" t="str">
        <f>"20200111145938234"</f>
        <v>20200111145938234</v>
      </c>
      <c r="B1383" t="str">
        <f>"1578725978226940"</f>
        <v>1578725978226940</v>
      </c>
      <c r="C1383" t="s">
        <v>40</v>
      </c>
      <c r="D1383">
        <v>4.080057</v>
      </c>
      <c r="E1383">
        <v>0.53940589999999999</v>
      </c>
      <c r="F1383" t="s">
        <v>41</v>
      </c>
      <c r="G1383">
        <v>-307.1343</v>
      </c>
      <c r="H1383">
        <v>0.98469099999999998</v>
      </c>
      <c r="I1383">
        <v>367.57100000000003</v>
      </c>
      <c r="J1383">
        <v>-307.90249999999997</v>
      </c>
      <c r="K1383">
        <v>1.05453</v>
      </c>
      <c r="L1383">
        <v>367.6028</v>
      </c>
      <c r="M1383">
        <v>0.99987630000000005</v>
      </c>
      <c r="N1383">
        <v>0</v>
      </c>
      <c r="O1383">
        <v>-9.1908999999999897E-3</v>
      </c>
      <c r="P1383">
        <v>0.99690590000000001</v>
      </c>
      <c r="Q1383">
        <v>4.3542850000000001E-2</v>
      </c>
      <c r="R1383">
        <v>6.5443619999999994E-2</v>
      </c>
      <c r="S1383">
        <v>3.0276179999999999</v>
      </c>
      <c r="T1383">
        <v>-0.242422</v>
      </c>
      <c r="U1383">
        <v>-0.1140747</v>
      </c>
      <c r="V1383">
        <v>-7.4568819999999994E-2</v>
      </c>
      <c r="W1383">
        <v>5.6307870000000003E-2</v>
      </c>
      <c r="X1383">
        <v>0.99562490000000003</v>
      </c>
      <c r="Y1383">
        <v>2.84032E-2</v>
      </c>
      <c r="Z1383">
        <v>-4.0040490000000002E-4</v>
      </c>
      <c r="AA1383">
        <v>0.9995965</v>
      </c>
      <c r="AB1383">
        <v>21</v>
      </c>
      <c r="AC1383">
        <v>0.76819999999997801</v>
      </c>
      <c r="AD1383">
        <v>-6.9838999999999901E-2</v>
      </c>
      <c r="AE1383">
        <v>-3.18000000000324E-2</v>
      </c>
      <c r="AF1383">
        <v>2.4535193463510199E-2</v>
      </c>
      <c r="AG1383">
        <v>-6.9838999999999901E-2</v>
      </c>
      <c r="AH1383">
        <v>0.76217120744145495</v>
      </c>
      <c r="AI1383">
        <v>95.232790538103501</v>
      </c>
      <c r="AJ1383">
        <v>88.156217738834002</v>
      </c>
      <c r="AK1383">
        <v>0.76575741007975695</v>
      </c>
      <c r="AL1383">
        <v>86.772089481119394</v>
      </c>
      <c r="AM1383">
        <v>94.283256321968906</v>
      </c>
      <c r="AN1383">
        <v>1.0000000133200599</v>
      </c>
    </row>
    <row r="1384" spans="1:40" x14ac:dyDescent="0.3">
      <c r="A1384" t="str">
        <f>"20200111145938247"</f>
        <v>20200111145938247</v>
      </c>
      <c r="B1384" t="str">
        <f>"1578725978236701"</f>
        <v>1578725978236701</v>
      </c>
      <c r="C1384" t="s">
        <v>40</v>
      </c>
      <c r="D1384">
        <v>4.1070779999999996</v>
      </c>
      <c r="E1384">
        <v>0.53913639999999996</v>
      </c>
      <c r="F1384" t="s">
        <v>41</v>
      </c>
      <c r="G1384">
        <v>-307.12970000000001</v>
      </c>
      <c r="H1384">
        <v>0.99153899999999995</v>
      </c>
      <c r="I1384">
        <v>367.57339999999999</v>
      </c>
      <c r="J1384">
        <v>-307.79419999999999</v>
      </c>
      <c r="K1384">
        <v>1.0545329999999999</v>
      </c>
      <c r="L1384">
        <v>367.60149999999999</v>
      </c>
      <c r="M1384">
        <v>0.99987420000000005</v>
      </c>
      <c r="N1384">
        <v>0</v>
      </c>
      <c r="O1384">
        <v>-9.4077929999999994E-3</v>
      </c>
      <c r="P1384">
        <v>0.99694470000000002</v>
      </c>
      <c r="Q1384">
        <v>4.3301800000000001E-2</v>
      </c>
      <c r="R1384">
        <v>6.5009449999999996E-2</v>
      </c>
      <c r="S1384">
        <v>3.0276179999999999</v>
      </c>
      <c r="T1384">
        <v>-0.2468514</v>
      </c>
      <c r="U1384">
        <v>-0.1144714</v>
      </c>
      <c r="V1384">
        <v>-7.4351940000000005E-2</v>
      </c>
      <c r="W1384">
        <v>5.6062210000000001E-2</v>
      </c>
      <c r="X1384">
        <v>0.99565490000000001</v>
      </c>
      <c r="Y1384">
        <v>2.8315920000000001E-2</v>
      </c>
      <c r="Z1384">
        <v>-3.864974E-4</v>
      </c>
      <c r="AA1384">
        <v>0.99959889999999996</v>
      </c>
      <c r="AB1384">
        <v>21</v>
      </c>
      <c r="AC1384">
        <v>0.664499999999975</v>
      </c>
      <c r="AD1384">
        <v>-6.2993999999999994E-2</v>
      </c>
      <c r="AE1384">
        <v>-2.80999999999949E-2</v>
      </c>
      <c r="AF1384">
        <v>2.16525269317559E-2</v>
      </c>
      <c r="AG1384">
        <v>-6.2993999999999994E-2</v>
      </c>
      <c r="AH1384">
        <v>0.65882476583597205</v>
      </c>
      <c r="AI1384">
        <v>95.458843187813301</v>
      </c>
      <c r="AJ1384">
        <v>88.117629919198905</v>
      </c>
      <c r="AK1384">
        <v>0.66218362108810402</v>
      </c>
      <c r="AL1384">
        <v>86.786186766621</v>
      </c>
      <c r="AM1384">
        <v>94.270716619489207</v>
      </c>
      <c r="AN1384">
        <v>0.99999993113292596</v>
      </c>
    </row>
    <row r="1385" spans="1:40" x14ac:dyDescent="0.3">
      <c r="A1385" t="str">
        <f>"20200111145938258"</f>
        <v>20200111145938258</v>
      </c>
      <c r="B1385" t="str">
        <f>"1578725978247437"</f>
        <v>1578725978247437</v>
      </c>
      <c r="C1385" t="s">
        <v>40</v>
      </c>
      <c r="D1385">
        <v>4.0908389999999999</v>
      </c>
      <c r="E1385">
        <v>0.5389967</v>
      </c>
      <c r="F1385" t="s">
        <v>41</v>
      </c>
      <c r="G1385">
        <v>-306.94630000000001</v>
      </c>
      <c r="H1385">
        <v>0.98447260000000003</v>
      </c>
      <c r="I1385">
        <v>367.56970000000001</v>
      </c>
      <c r="J1385">
        <v>-307.68779999999998</v>
      </c>
      <c r="K1385">
        <v>1.054532</v>
      </c>
      <c r="L1385">
        <v>367.60019999999997</v>
      </c>
      <c r="M1385">
        <v>0.99987219999999999</v>
      </c>
      <c r="N1385">
        <v>0</v>
      </c>
      <c r="O1385">
        <v>-9.6198110000000007E-3</v>
      </c>
      <c r="P1385">
        <v>0.99696779999999996</v>
      </c>
      <c r="Q1385">
        <v>4.3093319999999997E-2</v>
      </c>
      <c r="R1385">
        <v>6.4792020000000006E-2</v>
      </c>
      <c r="S1385">
        <v>3.027466</v>
      </c>
      <c r="T1385">
        <v>-0.25020239999999999</v>
      </c>
      <c r="U1385">
        <v>-0.1134338</v>
      </c>
      <c r="V1385">
        <v>-7.434665E-2</v>
      </c>
      <c r="W1385">
        <v>5.58494E-2</v>
      </c>
      <c r="X1385">
        <v>0.99566730000000003</v>
      </c>
      <c r="Y1385">
        <v>2.7764629999999998E-2</v>
      </c>
      <c r="Z1385">
        <v>-3.5152909999999998E-4</v>
      </c>
      <c r="AA1385">
        <v>0.99961440000000001</v>
      </c>
      <c r="AB1385">
        <v>21</v>
      </c>
      <c r="AC1385">
        <v>0.74149999999997296</v>
      </c>
      <c r="AD1385">
        <v>-7.0059399999999994E-2</v>
      </c>
      <c r="AE1385">
        <v>-3.0499999999960802E-2</v>
      </c>
      <c r="AF1385">
        <v>2.31585277070608E-2</v>
      </c>
      <c r="AG1385">
        <v>-7.0059399999999994E-2</v>
      </c>
      <c r="AH1385">
        <v>0.73520693043070795</v>
      </c>
      <c r="AI1385">
        <v>95.440715207375106</v>
      </c>
      <c r="AJ1385">
        <v>88.195817728853399</v>
      </c>
      <c r="AK1385">
        <v>0.73890044490936901</v>
      </c>
      <c r="AL1385">
        <v>86.7983991599219</v>
      </c>
      <c r="AM1385">
        <v>94.270360903340205</v>
      </c>
      <c r="AN1385">
        <v>0.999999976067936</v>
      </c>
    </row>
    <row r="1386" spans="1:40" x14ac:dyDescent="0.3">
      <c r="A1386" t="str">
        <f>"20200111145938269"</f>
        <v>20200111145938269</v>
      </c>
      <c r="B1386" t="str">
        <f>"1578725978266956"</f>
        <v>1578725978266956</v>
      </c>
      <c r="C1386" t="s">
        <v>40</v>
      </c>
      <c r="D1386">
        <v>4.0184170000000003</v>
      </c>
      <c r="E1386">
        <v>0.53909799999999997</v>
      </c>
      <c r="F1386" t="s">
        <v>41</v>
      </c>
      <c r="G1386">
        <v>-306.94099999999997</v>
      </c>
      <c r="H1386">
        <v>0.99201059999999996</v>
      </c>
      <c r="I1386">
        <v>367.57240000000002</v>
      </c>
      <c r="J1386">
        <v>-307.5829</v>
      </c>
      <c r="K1386">
        <v>1.0545310000000001</v>
      </c>
      <c r="L1386">
        <v>367.59890000000001</v>
      </c>
      <c r="M1386">
        <v>0.99987040000000005</v>
      </c>
      <c r="N1386">
        <v>0</v>
      </c>
      <c r="O1386">
        <v>-9.8290990000000009E-3</v>
      </c>
      <c r="P1386">
        <v>0.99701360000000006</v>
      </c>
      <c r="Q1386">
        <v>4.2875740000000002E-2</v>
      </c>
      <c r="R1386">
        <v>6.4233689999999996E-2</v>
      </c>
      <c r="S1386">
        <v>3.0274350000000001</v>
      </c>
      <c r="T1386">
        <v>-0.25348510000000002</v>
      </c>
      <c r="U1386">
        <v>-0.112915</v>
      </c>
      <c r="V1386">
        <v>-7.3997670000000002E-2</v>
      </c>
      <c r="W1386">
        <v>5.5628009999999999E-2</v>
      </c>
      <c r="X1386">
        <v>0.99570570000000003</v>
      </c>
      <c r="Y1386">
        <v>2.7385139999999999E-2</v>
      </c>
      <c r="Z1386">
        <v>-3.2278979999999998E-4</v>
      </c>
      <c r="AA1386">
        <v>0.99962490000000004</v>
      </c>
      <c r="AB1386">
        <v>21</v>
      </c>
      <c r="AC1386">
        <v>0.64190000000002101</v>
      </c>
      <c r="AD1386">
        <v>-6.2520399999999907E-2</v>
      </c>
      <c r="AE1386">
        <v>-2.6499999999998601E-2</v>
      </c>
      <c r="AF1386">
        <v>1.9999504410469299E-2</v>
      </c>
      <c r="AG1386">
        <v>-6.2520399999999907E-2</v>
      </c>
      <c r="AH1386">
        <v>0.636105295555352</v>
      </c>
      <c r="AI1386">
        <v>95.610603230596794</v>
      </c>
      <c r="AJ1386">
        <v>88.199182032047901</v>
      </c>
      <c r="AK1386">
        <v>0.639483172277728</v>
      </c>
      <c r="AL1386">
        <v>86.811103654550806</v>
      </c>
      <c r="AM1386">
        <v>94.250226324920106</v>
      </c>
      <c r="AN1386">
        <v>0.99999998583723904</v>
      </c>
    </row>
    <row r="1387" spans="1:40" x14ac:dyDescent="0.3">
      <c r="A1387" t="str">
        <f>"20200111145938279"</f>
        <v>20200111145938279</v>
      </c>
      <c r="B1387" t="str">
        <f>"1578725978276717"</f>
        <v>1578725978276717</v>
      </c>
      <c r="C1387" t="s">
        <v>40</v>
      </c>
      <c r="D1387">
        <v>4.0704690000000001</v>
      </c>
      <c r="E1387">
        <v>0.53928830000000005</v>
      </c>
      <c r="F1387" t="s">
        <v>41</v>
      </c>
      <c r="G1387">
        <v>-306.75729999999999</v>
      </c>
      <c r="H1387">
        <v>0.98651500000000003</v>
      </c>
      <c r="I1387">
        <v>367.56740000000002</v>
      </c>
      <c r="J1387">
        <v>-307.48200000000003</v>
      </c>
      <c r="K1387">
        <v>1.05453</v>
      </c>
      <c r="L1387">
        <v>367.59769999999997</v>
      </c>
      <c r="M1387">
        <v>0.99986839999999999</v>
      </c>
      <c r="N1387">
        <v>0</v>
      </c>
      <c r="O1387">
        <v>-1.003017E-2</v>
      </c>
      <c r="P1387">
        <v>0.99705010000000005</v>
      </c>
      <c r="Q1387">
        <v>4.2856989999999998E-2</v>
      </c>
      <c r="R1387">
        <v>6.3676819999999995E-2</v>
      </c>
      <c r="S1387">
        <v>3.0271300000000001</v>
      </c>
      <c r="T1387">
        <v>-0.24950939999999999</v>
      </c>
      <c r="U1387">
        <v>-0.115356399999999</v>
      </c>
      <c r="V1387">
        <v>-7.3641180000000001E-2</v>
      </c>
      <c r="W1387">
        <v>5.5605639999999998E-2</v>
      </c>
      <c r="X1387">
        <v>0.99573339999999999</v>
      </c>
      <c r="Y1387">
        <v>2.7993440000000001E-2</v>
      </c>
      <c r="Z1387">
        <v>-3.2625230000000001E-4</v>
      </c>
      <c r="AA1387">
        <v>0.99960800000000005</v>
      </c>
      <c r="AB1387">
        <v>21</v>
      </c>
      <c r="AC1387">
        <v>0.72470000000004098</v>
      </c>
      <c r="AD1387">
        <v>-6.8015000000000006E-2</v>
      </c>
      <c r="AE1387">
        <v>-3.02999999999542E-2</v>
      </c>
      <c r="AF1387">
        <v>2.2828292489908301E-2</v>
      </c>
      <c r="AG1387">
        <v>-6.8015000000000006E-2</v>
      </c>
      <c r="AH1387">
        <v>0.71864844190821697</v>
      </c>
      <c r="AI1387">
        <v>95.403827122129002</v>
      </c>
      <c r="AJ1387">
        <v>88.1805775009054</v>
      </c>
      <c r="AK1387">
        <v>0.72222071018499101</v>
      </c>
      <c r="AL1387">
        <v>86.812387416348599</v>
      </c>
      <c r="AM1387">
        <v>94.229707754703398</v>
      </c>
      <c r="AN1387">
        <v>1.00000000723358</v>
      </c>
    </row>
    <row r="1388" spans="1:40" x14ac:dyDescent="0.3">
      <c r="A1388" t="str">
        <f>"20200111145938291"</f>
        <v>20200111145938291</v>
      </c>
      <c r="B1388" t="str">
        <f>"1578725978287455"</f>
        <v>1578725978287455</v>
      </c>
      <c r="C1388" t="s">
        <v>40</v>
      </c>
      <c r="D1388">
        <v>4.0282299999999998</v>
      </c>
      <c r="E1388">
        <v>0.53944579999999998</v>
      </c>
      <c r="F1388" t="s">
        <v>41</v>
      </c>
      <c r="G1388">
        <v>-306.75049999999999</v>
      </c>
      <c r="H1388">
        <v>0.99497930000000001</v>
      </c>
      <c r="I1388">
        <v>367.56900000000002</v>
      </c>
      <c r="J1388">
        <v>-307.38249999999999</v>
      </c>
      <c r="K1388">
        <v>1.054529</v>
      </c>
      <c r="L1388">
        <v>367.59649999999999</v>
      </c>
      <c r="M1388">
        <v>0.99986649999999999</v>
      </c>
      <c r="N1388">
        <v>0</v>
      </c>
      <c r="O1388">
        <v>-1.022875E-2</v>
      </c>
      <c r="P1388">
        <v>0.99707290000000004</v>
      </c>
      <c r="Q1388">
        <v>4.2873210000000002E-2</v>
      </c>
      <c r="R1388">
        <v>6.3309569999999996E-2</v>
      </c>
      <c r="S1388">
        <v>3.0270389999999998</v>
      </c>
      <c r="T1388">
        <v>-0.2465736</v>
      </c>
      <c r="U1388">
        <v>-0.1183472</v>
      </c>
      <c r="V1388">
        <v>-7.3472099999999999E-2</v>
      </c>
      <c r="W1388">
        <v>5.5618969999999997E-2</v>
      </c>
      <c r="X1388">
        <v>0.99574510000000005</v>
      </c>
      <c r="Y1388">
        <v>2.878168E-2</v>
      </c>
      <c r="Z1388">
        <v>-3.3832769999999902E-4</v>
      </c>
      <c r="AA1388">
        <v>0.99958570000000002</v>
      </c>
      <c r="AB1388">
        <v>21</v>
      </c>
      <c r="AC1388">
        <v>0.632000000000005</v>
      </c>
      <c r="AD1388">
        <v>-5.9549699999999997E-2</v>
      </c>
      <c r="AE1388">
        <v>-2.7499999999974899E-2</v>
      </c>
      <c r="AF1388">
        <v>2.0848716946499399E-2</v>
      </c>
      <c r="AG1388">
        <v>-5.9549699999999997E-2</v>
      </c>
      <c r="AH1388">
        <v>0.62669483648758495</v>
      </c>
      <c r="AI1388">
        <v>95.425069636674394</v>
      </c>
      <c r="AJ1388">
        <v>88.094601984383203</v>
      </c>
      <c r="AK1388">
        <v>0.62986288495878695</v>
      </c>
      <c r="AL1388">
        <v>86.811622334620196</v>
      </c>
      <c r="AM1388">
        <v>94.219982071899295</v>
      </c>
      <c r="AN1388">
        <v>0.99999996173813899</v>
      </c>
    </row>
    <row r="1389" spans="1:40" x14ac:dyDescent="0.3">
      <c r="A1389" t="str">
        <f>"20200111145938302"</f>
        <v>20200111145938302</v>
      </c>
      <c r="B1389" t="str">
        <f>"1578725978297212"</f>
        <v>1578725978297212</v>
      </c>
      <c r="C1389" t="s">
        <v>40</v>
      </c>
      <c r="D1389">
        <v>4.0456519999999996</v>
      </c>
      <c r="E1389">
        <v>0.53947029999999996</v>
      </c>
      <c r="F1389" t="s">
        <v>41</v>
      </c>
      <c r="G1389">
        <v>-306.56819999999999</v>
      </c>
      <c r="H1389">
        <v>0.98892999999999998</v>
      </c>
      <c r="I1389">
        <v>367.56389999999999</v>
      </c>
      <c r="J1389">
        <v>-307.274</v>
      </c>
      <c r="K1389">
        <v>1.054527</v>
      </c>
      <c r="L1389">
        <v>367.5951</v>
      </c>
      <c r="M1389">
        <v>0.99986430000000004</v>
      </c>
      <c r="N1389">
        <v>0</v>
      </c>
      <c r="O1389">
        <v>-1.04452E-2</v>
      </c>
      <c r="P1389">
        <v>0.9970793</v>
      </c>
      <c r="Q1389">
        <v>4.310435E-2</v>
      </c>
      <c r="R1389">
        <v>6.3049690000000005E-2</v>
      </c>
      <c r="S1389">
        <v>3.0270079999999999</v>
      </c>
      <c r="T1389">
        <v>-0.24388969999999999</v>
      </c>
      <c r="U1389">
        <v>-0.1207886</v>
      </c>
      <c r="V1389">
        <v>-7.342796E-2</v>
      </c>
      <c r="W1389">
        <v>5.584654E-2</v>
      </c>
      <c r="X1389">
        <v>0.99573560000000005</v>
      </c>
      <c r="Y1389">
        <v>2.9370739999999999E-2</v>
      </c>
      <c r="Z1389">
        <v>-3.4093490000000002E-4</v>
      </c>
      <c r="AA1389">
        <v>0.99956849999999997</v>
      </c>
      <c r="AB1389">
        <v>21</v>
      </c>
      <c r="AC1389">
        <v>0.70580000000000997</v>
      </c>
      <c r="AD1389">
        <v>-6.5597000000000003E-2</v>
      </c>
      <c r="AE1389">
        <v>-3.1200000000012499E-2</v>
      </c>
      <c r="AF1389">
        <v>2.36218338264985E-2</v>
      </c>
      <c r="AG1389">
        <v>-6.5597000000000003E-2</v>
      </c>
      <c r="AH1389">
        <v>0.70005226804347398</v>
      </c>
      <c r="AI1389">
        <v>95.350128536856801</v>
      </c>
      <c r="AJ1389">
        <v>88.067404208988705</v>
      </c>
      <c r="AK1389">
        <v>0.70351555450831205</v>
      </c>
      <c r="AL1389">
        <v>86.798563176744395</v>
      </c>
      <c r="AM1389">
        <v>94.217496066427003</v>
      </c>
      <c r="AN1389">
        <v>0.99999994322354502</v>
      </c>
    </row>
    <row r="1390" spans="1:40" x14ac:dyDescent="0.3">
      <c r="A1390" t="str">
        <f>"20200111145938312"</f>
        <v>20200111145938312</v>
      </c>
      <c r="B1390" t="str">
        <f>"1578725978306973"</f>
        <v>1578725978306973</v>
      </c>
      <c r="C1390" t="s">
        <v>40</v>
      </c>
      <c r="D1390">
        <v>3.9580709999999999</v>
      </c>
      <c r="E1390">
        <v>0.5396299</v>
      </c>
      <c r="F1390" t="s">
        <v>41</v>
      </c>
      <c r="G1390">
        <v>-306.38369999999998</v>
      </c>
      <c r="H1390">
        <v>0.98240170000000004</v>
      </c>
      <c r="I1390">
        <v>367.55900000000003</v>
      </c>
      <c r="J1390">
        <v>-307.1687</v>
      </c>
      <c r="K1390">
        <v>1.05452099999999</v>
      </c>
      <c r="L1390">
        <v>367.59379999999999</v>
      </c>
      <c r="M1390">
        <v>0.99986200000000003</v>
      </c>
      <c r="N1390">
        <v>0</v>
      </c>
      <c r="O1390">
        <v>-1.0656540000000001E-2</v>
      </c>
      <c r="P1390">
        <v>0.99708790000000003</v>
      </c>
      <c r="Q1390">
        <v>4.3255729999999999E-2</v>
      </c>
      <c r="R1390">
        <v>6.2809420000000005E-2</v>
      </c>
      <c r="S1390">
        <v>3.027069</v>
      </c>
      <c r="T1390">
        <v>-0.24542530000000001</v>
      </c>
      <c r="U1390">
        <v>-0.1218872</v>
      </c>
      <c r="V1390">
        <v>-7.3398379999999999E-2</v>
      </c>
      <c r="W1390">
        <v>5.5995080000000003E-2</v>
      </c>
      <c r="X1390">
        <v>0.99572950000000005</v>
      </c>
      <c r="Y1390">
        <v>2.9520299999999999E-2</v>
      </c>
      <c r="Z1390">
        <v>-3.3201779999999999E-4</v>
      </c>
      <c r="AA1390">
        <v>0.99956409999999996</v>
      </c>
      <c r="AB1390">
        <v>21</v>
      </c>
      <c r="AC1390">
        <v>0.78500000000002501</v>
      </c>
      <c r="AD1390">
        <v>-7.2119299999999803E-2</v>
      </c>
      <c r="AE1390">
        <v>-3.4799999999961501E-2</v>
      </c>
      <c r="AF1390">
        <v>2.62111612186865E-2</v>
      </c>
      <c r="AG1390">
        <v>-7.2119299999999803E-2</v>
      </c>
      <c r="AH1390">
        <v>0.77876608141306503</v>
      </c>
      <c r="AI1390">
        <v>95.287930374817506</v>
      </c>
      <c r="AJ1390">
        <v>88.072306623765698</v>
      </c>
      <c r="AK1390">
        <v>0.78253742911402202</v>
      </c>
      <c r="AL1390">
        <v>86.790039318627194</v>
      </c>
      <c r="AM1390">
        <v>94.2158289345507</v>
      </c>
      <c r="AN1390">
        <v>1.0000000041705399</v>
      </c>
    </row>
    <row r="1391" spans="1:40" x14ac:dyDescent="0.3">
      <c r="A1391" t="str">
        <f>"20200111145938325"</f>
        <v>20200111145938325</v>
      </c>
      <c r="B1391" t="str">
        <f>"1578725978316732"</f>
        <v>1578725978316732</v>
      </c>
      <c r="C1391" t="s">
        <v>40</v>
      </c>
      <c r="D1391">
        <v>3.9516960000000001</v>
      </c>
      <c r="E1391">
        <v>0.53967430000000005</v>
      </c>
      <c r="F1391" t="s">
        <v>41</v>
      </c>
      <c r="G1391">
        <v>-306.3784</v>
      </c>
      <c r="H1391">
        <v>0.99128249999999996</v>
      </c>
      <c r="I1391">
        <v>367.56110000000001</v>
      </c>
      <c r="J1391">
        <v>-307.06200000000001</v>
      </c>
      <c r="K1391">
        <v>1.0545180000000001</v>
      </c>
      <c r="L1391">
        <v>367.5924</v>
      </c>
      <c r="M1391">
        <v>0.99985990000000002</v>
      </c>
      <c r="N1391">
        <v>0</v>
      </c>
      <c r="O1391">
        <v>-1.087133E-2</v>
      </c>
      <c r="P1391">
        <v>0.99710330000000003</v>
      </c>
      <c r="Q1391">
        <v>4.3271950000000003E-2</v>
      </c>
      <c r="R1391">
        <v>6.2551770000000007E-2</v>
      </c>
      <c r="S1391">
        <v>3.0270999999999999</v>
      </c>
      <c r="T1391">
        <v>-0.24247569999999999</v>
      </c>
      <c r="U1391">
        <v>-0.1239319</v>
      </c>
      <c r="V1391">
        <v>-7.3354169999999996E-2</v>
      </c>
      <c r="W1391">
        <v>5.6008410000000002E-2</v>
      </c>
      <c r="X1391">
        <v>0.99573199999999995</v>
      </c>
      <c r="Y1391">
        <v>2.9979909999999999E-2</v>
      </c>
      <c r="Z1391">
        <v>-3.2923449999999998E-4</v>
      </c>
      <c r="AA1391">
        <v>0.99955050000000001</v>
      </c>
      <c r="AB1391">
        <v>21</v>
      </c>
      <c r="AC1391">
        <v>0.68360000000001198</v>
      </c>
      <c r="AD1391">
        <v>-6.32355E-2</v>
      </c>
      <c r="AE1391">
        <v>-3.12999999999874E-2</v>
      </c>
      <c r="AF1391">
        <v>2.36638407078523E-2</v>
      </c>
      <c r="AG1391">
        <v>-6.32355E-2</v>
      </c>
      <c r="AH1391">
        <v>0.67810950258972902</v>
      </c>
      <c r="AI1391">
        <v>95.324352945469499</v>
      </c>
      <c r="AJ1391">
        <v>88.001372605942194</v>
      </c>
      <c r="AK1391">
        <v>0.681462547261246</v>
      </c>
      <c r="AL1391">
        <v>86.789274339279501</v>
      </c>
      <c r="AM1391">
        <v>94.213288223803701</v>
      </c>
      <c r="AN1391">
        <v>0.999999996035558</v>
      </c>
    </row>
    <row r="1392" spans="1:40" x14ac:dyDescent="0.3">
      <c r="A1392" t="str">
        <f>"20200111145938335"</f>
        <v>20200111145938335</v>
      </c>
      <c r="B1392" t="str">
        <f>"1578725978327468"</f>
        <v>1578725978327468</v>
      </c>
      <c r="C1392" t="s">
        <v>40</v>
      </c>
      <c r="D1392">
        <v>3.9500359999999999</v>
      </c>
      <c r="E1392">
        <v>0.53970580000000001</v>
      </c>
      <c r="F1392" t="s">
        <v>41</v>
      </c>
      <c r="G1392">
        <v>-306.1943</v>
      </c>
      <c r="H1392">
        <v>0.98596539999999999</v>
      </c>
      <c r="I1392">
        <v>367.55650000000003</v>
      </c>
      <c r="J1392">
        <v>-306.96069999999997</v>
      </c>
      <c r="K1392">
        <v>1.0545169999999999</v>
      </c>
      <c r="L1392">
        <v>367.59100000000001</v>
      </c>
      <c r="M1392">
        <v>0.99985749999999995</v>
      </c>
      <c r="N1392">
        <v>0</v>
      </c>
      <c r="O1392">
        <v>-1.1075160000000001E-2</v>
      </c>
      <c r="P1392">
        <v>0.99709970000000003</v>
      </c>
      <c r="Q1392">
        <v>4.3490399999999999E-2</v>
      </c>
      <c r="R1392">
        <v>6.2456449999999997E-2</v>
      </c>
      <c r="S1392">
        <v>3.0269469999999998</v>
      </c>
      <c r="T1392">
        <v>-0.2392688</v>
      </c>
      <c r="U1392">
        <v>-0.124816899999999</v>
      </c>
      <c r="V1392">
        <v>-7.3462E-2</v>
      </c>
      <c r="W1392">
        <v>5.6224549999999998E-2</v>
      </c>
      <c r="X1392">
        <v>0.99571189999999998</v>
      </c>
      <c r="Y1392">
        <v>3.0071899999999999E-2</v>
      </c>
      <c r="Z1392">
        <v>-3.1245840000000002E-4</v>
      </c>
      <c r="AA1392">
        <v>0.99954770000000004</v>
      </c>
      <c r="AB1392">
        <v>21</v>
      </c>
      <c r="AC1392">
        <v>0.76639999999997599</v>
      </c>
      <c r="AD1392">
        <v>-6.8551599999999893E-2</v>
      </c>
      <c r="AE1392">
        <v>-3.4499999999979901E-2</v>
      </c>
      <c r="AF1392">
        <v>2.5803168007507399E-2</v>
      </c>
      <c r="AG1392">
        <v>-6.8551599999999893E-2</v>
      </c>
      <c r="AH1392">
        <v>0.76066164672343906</v>
      </c>
      <c r="AI1392">
        <v>95.146698049944405</v>
      </c>
      <c r="AJ1392">
        <v>88.0571572768648</v>
      </c>
      <c r="AK1392">
        <v>0.76418012676187697</v>
      </c>
      <c r="AL1392">
        <v>86.776870983142501</v>
      </c>
      <c r="AM1392">
        <v>94.219544237612496</v>
      </c>
      <c r="AN1392">
        <v>1.00000002663415</v>
      </c>
    </row>
    <row r="1393" spans="1:40" x14ac:dyDescent="0.3">
      <c r="A1393" t="str">
        <f>"20200111145938346"</f>
        <v>20200111145938346</v>
      </c>
      <c r="B1393" t="str">
        <f>"1578725978337229"</f>
        <v>1578725978337229</v>
      </c>
      <c r="C1393" t="s">
        <v>40</v>
      </c>
      <c r="D1393">
        <v>3.9227560000000001</v>
      </c>
      <c r="E1393">
        <v>0.53968619999999901</v>
      </c>
      <c r="F1393" t="s">
        <v>41</v>
      </c>
      <c r="G1393">
        <v>-306.18810000000002</v>
      </c>
      <c r="H1393">
        <v>0.99427469999999996</v>
      </c>
      <c r="I1393">
        <v>367.55889999999999</v>
      </c>
      <c r="J1393">
        <v>-306.8562</v>
      </c>
      <c r="K1393">
        <v>1.0545199999999999</v>
      </c>
      <c r="L1393">
        <v>367.58960000000002</v>
      </c>
      <c r="M1393">
        <v>0.9998553</v>
      </c>
      <c r="N1393">
        <v>0</v>
      </c>
      <c r="O1393">
        <v>-1.128591E-2</v>
      </c>
      <c r="P1393">
        <v>0.9971023</v>
      </c>
      <c r="Q1393">
        <v>4.3533780000000001E-2</v>
      </c>
      <c r="R1393">
        <v>6.2385580000000003E-2</v>
      </c>
      <c r="S1393">
        <v>3.0268860000000002</v>
      </c>
      <c r="T1393">
        <v>-0.23617859999999999</v>
      </c>
      <c r="U1393">
        <v>-0.12561040000000001</v>
      </c>
      <c r="V1393">
        <v>-7.3601420000000001E-2</v>
      </c>
      <c r="W1393">
        <v>5.6264540000000002E-2</v>
      </c>
      <c r="X1393">
        <v>0.99569929999999995</v>
      </c>
      <c r="Y1393">
        <v>3.0125619999999999E-2</v>
      </c>
      <c r="Z1393">
        <v>-2.9412109999999998E-4</v>
      </c>
      <c r="AA1393">
        <v>0.99954609999999999</v>
      </c>
      <c r="AB1393">
        <v>21</v>
      </c>
      <c r="AC1393">
        <v>0.66809999999998104</v>
      </c>
      <c r="AD1393">
        <v>-6.0245300000000099E-2</v>
      </c>
      <c r="AE1393">
        <v>-3.0700000000024302E-2</v>
      </c>
      <c r="AF1393">
        <v>2.2970925752851E-2</v>
      </c>
      <c r="AG1393">
        <v>-6.0245300000000099E-2</v>
      </c>
      <c r="AH1393">
        <v>0.66302401891618101</v>
      </c>
      <c r="AI1393">
        <v>95.188794853965007</v>
      </c>
      <c r="AJ1393">
        <v>88.015741750557893</v>
      </c>
      <c r="AK1393">
        <v>0.66615164134136695</v>
      </c>
      <c r="AL1393">
        <v>86.7745759473097</v>
      </c>
      <c r="AM1393">
        <v>94.227576605222296</v>
      </c>
      <c r="AN1393">
        <v>0.99999998175395799</v>
      </c>
    </row>
    <row r="1394" spans="1:40" x14ac:dyDescent="0.3">
      <c r="A1394" t="str">
        <f>"20200111145938357"</f>
        <v>20200111145938357</v>
      </c>
      <c r="B1394" t="str">
        <f>"1578725978346988"</f>
        <v>1578725978346988</v>
      </c>
      <c r="C1394" t="s">
        <v>40</v>
      </c>
      <c r="D1394">
        <v>4.0050089999999896</v>
      </c>
      <c r="E1394">
        <v>0.53966329999999996</v>
      </c>
      <c r="F1394" t="s">
        <v>41</v>
      </c>
      <c r="G1394">
        <v>-306.00529999999998</v>
      </c>
      <c r="H1394">
        <v>0.98889839999999996</v>
      </c>
      <c r="I1394">
        <v>367.55419999999998</v>
      </c>
      <c r="J1394">
        <v>-306.7509</v>
      </c>
      <c r="K1394">
        <v>1.0545230000000001</v>
      </c>
      <c r="L1394">
        <v>367.58819999999997</v>
      </c>
      <c r="M1394">
        <v>0.99985290000000004</v>
      </c>
      <c r="N1394">
        <v>0</v>
      </c>
      <c r="O1394">
        <v>-1.1498680000000001E-2</v>
      </c>
      <c r="P1394">
        <v>0.99712129999999999</v>
      </c>
      <c r="Q1394">
        <v>4.346245E-2</v>
      </c>
      <c r="R1394">
        <v>6.2131640000000002E-2</v>
      </c>
      <c r="S1394">
        <v>3.026764</v>
      </c>
      <c r="T1394">
        <v>-0.23356950000000001</v>
      </c>
      <c r="U1394">
        <v>-0.12561040000000001</v>
      </c>
      <c r="V1394">
        <v>-7.3558990000000005E-2</v>
      </c>
      <c r="W1394">
        <v>5.6190749999999998E-2</v>
      </c>
      <c r="X1394">
        <v>0.9957066</v>
      </c>
      <c r="Y1394">
        <v>2.991707E-2</v>
      </c>
      <c r="Z1394">
        <v>-2.664756E-4</v>
      </c>
      <c r="AA1394">
        <v>0.99955240000000001</v>
      </c>
      <c r="AB1394">
        <v>21</v>
      </c>
      <c r="AC1394">
        <v>0.74560000000002402</v>
      </c>
      <c r="AD1394">
        <v>-6.5624599999999797E-2</v>
      </c>
      <c r="AE1394">
        <v>-3.3999999999991801E-2</v>
      </c>
      <c r="AF1394">
        <v>2.5228606620977902E-2</v>
      </c>
      <c r="AG1394">
        <v>-6.5624599999999797E-2</v>
      </c>
      <c r="AH1394">
        <v>0.74021926511974001</v>
      </c>
      <c r="AI1394">
        <v>95.063422454407501</v>
      </c>
      <c r="AJ1394">
        <v>88.047965739783905</v>
      </c>
      <c r="AK1394">
        <v>0.74355069172962496</v>
      </c>
      <c r="AL1394">
        <v>86.778810494346104</v>
      </c>
      <c r="AM1394">
        <v>94.225117441221599</v>
      </c>
      <c r="AN1394">
        <v>0.99999997933947105</v>
      </c>
    </row>
    <row r="1395" spans="1:40" x14ac:dyDescent="0.3">
      <c r="A1395" t="str">
        <f>"20200111145938369"</f>
        <v>20200111145938369</v>
      </c>
      <c r="B1395" t="str">
        <f>"1578725978367484"</f>
        <v>1578725978367484</v>
      </c>
      <c r="C1395" t="s">
        <v>40</v>
      </c>
      <c r="D1395">
        <v>3.9798369999999998</v>
      </c>
      <c r="E1395">
        <v>0.53979180000000004</v>
      </c>
      <c r="F1395" t="s">
        <v>41</v>
      </c>
      <c r="G1395">
        <v>-305.99779999999998</v>
      </c>
      <c r="H1395">
        <v>0.99726740000000003</v>
      </c>
      <c r="I1395">
        <v>367.55669999999998</v>
      </c>
      <c r="J1395">
        <v>-306.64859999999999</v>
      </c>
      <c r="K1395">
        <v>1.054524</v>
      </c>
      <c r="L1395">
        <v>367.58679999999998</v>
      </c>
      <c r="M1395">
        <v>0.99985049999999998</v>
      </c>
      <c r="N1395">
        <v>0</v>
      </c>
      <c r="O1395">
        <v>-1.170561E-2</v>
      </c>
      <c r="P1395">
        <v>0.99713450000000003</v>
      </c>
      <c r="Q1395">
        <v>4.3582919999999997E-2</v>
      </c>
      <c r="R1395">
        <v>6.1834E-2</v>
      </c>
      <c r="S1395">
        <v>3.0265200000000001</v>
      </c>
      <c r="T1395">
        <v>-0.23026849999999999</v>
      </c>
      <c r="U1395">
        <v>-0.1261902</v>
      </c>
      <c r="V1395">
        <v>-7.3467820000000003E-2</v>
      </c>
      <c r="W1395">
        <v>5.6309289999999998E-2</v>
      </c>
      <c r="X1395">
        <v>0.99570669999999994</v>
      </c>
      <c r="Y1395">
        <v>2.9906869999999999E-2</v>
      </c>
      <c r="Z1395">
        <v>-2.466406E-4</v>
      </c>
      <c r="AA1395">
        <v>0.99955269999999996</v>
      </c>
      <c r="AB1395">
        <v>21</v>
      </c>
      <c r="AC1395">
        <v>0.65080000000000304</v>
      </c>
      <c r="AD1395">
        <v>-5.7256599999999797E-2</v>
      </c>
      <c r="AE1395">
        <v>-3.0100000000004401E-2</v>
      </c>
      <c r="AF1395">
        <v>2.2307015738772799E-2</v>
      </c>
      <c r="AG1395">
        <v>-5.7256599999999797E-2</v>
      </c>
      <c r="AH1395">
        <v>0.64611732560854795</v>
      </c>
      <c r="AI1395">
        <v>95.061118433135107</v>
      </c>
      <c r="AJ1395">
        <v>88.022664993624502</v>
      </c>
      <c r="AK1395">
        <v>0.64903275699017904</v>
      </c>
      <c r="AL1395">
        <v>86.772008092806402</v>
      </c>
      <c r="AM1395">
        <v>94.219899280287095</v>
      </c>
      <c r="AN1395">
        <v>1.0000000445703701</v>
      </c>
    </row>
    <row r="1396" spans="1:40" x14ac:dyDescent="0.3">
      <c r="A1396" t="str">
        <f>"20200111145938389"</f>
        <v>20200111145938389</v>
      </c>
      <c r="B1396" t="str">
        <f>"1578725978387004"</f>
        <v>1578725978387004</v>
      </c>
      <c r="C1396" t="s">
        <v>40</v>
      </c>
      <c r="D1396">
        <v>3.9871720000000002</v>
      </c>
      <c r="E1396">
        <v>0.54001160000000004</v>
      </c>
      <c r="F1396" t="s">
        <v>41</v>
      </c>
      <c r="G1396">
        <v>-305.81610000000001</v>
      </c>
      <c r="H1396">
        <v>0.99114550000000001</v>
      </c>
      <c r="I1396">
        <v>367.55149999999998</v>
      </c>
      <c r="J1396">
        <v>-306.45409999999998</v>
      </c>
      <c r="K1396">
        <v>1.0545249999999999</v>
      </c>
      <c r="L1396">
        <v>367.584</v>
      </c>
      <c r="M1396">
        <v>0.99984569999999995</v>
      </c>
      <c r="N1396">
        <v>0</v>
      </c>
      <c r="O1396">
        <v>-1.209907E-2</v>
      </c>
      <c r="P1396">
        <v>0.99713459999999998</v>
      </c>
      <c r="Q1396">
        <v>4.3840490000000003E-2</v>
      </c>
      <c r="R1396">
        <v>6.1648729999999999E-2</v>
      </c>
      <c r="S1396">
        <v>3.0265810000000002</v>
      </c>
      <c r="T1396">
        <v>-0.23050760000000001</v>
      </c>
      <c r="U1396">
        <v>-0.12780759999999999</v>
      </c>
      <c r="V1396">
        <v>-7.3674719999999999E-2</v>
      </c>
      <c r="W1396">
        <v>5.656257E-2</v>
      </c>
      <c r="X1396">
        <v>0.99567700000000003</v>
      </c>
      <c r="Y1396">
        <v>3.0046529999999998E-2</v>
      </c>
      <c r="Z1396">
        <v>-2.2228999999999999E-4</v>
      </c>
      <c r="AA1396">
        <v>0.99954849999999995</v>
      </c>
      <c r="AB1396">
        <v>21</v>
      </c>
      <c r="AC1396">
        <v>0.63799999999997603</v>
      </c>
      <c r="AD1396">
        <v>-6.3379499999999894E-2</v>
      </c>
      <c r="AE1396">
        <v>-3.2500000000027202E-2</v>
      </c>
      <c r="AF1396">
        <v>2.45362756297582E-2</v>
      </c>
      <c r="AG1396">
        <v>-6.3379499999999894E-2</v>
      </c>
      <c r="AH1396">
        <v>0.63212449648202695</v>
      </c>
      <c r="AI1396">
        <v>95.7213045158542</v>
      </c>
      <c r="AJ1396">
        <v>87.777147293438404</v>
      </c>
      <c r="AK1396">
        <v>0.63576754312774297</v>
      </c>
      <c r="AL1396">
        <v>86.757472870796207</v>
      </c>
      <c r="AM1396">
        <v>94.231866015324002</v>
      </c>
      <c r="AN1396">
        <v>0.99999998851054095</v>
      </c>
    </row>
    <row r="1397" spans="1:40" x14ac:dyDescent="0.3">
      <c r="A1397" t="str">
        <f>"20200111145938403"</f>
        <v>20200111145938403</v>
      </c>
      <c r="B1397" t="str">
        <f>"1578725978396764"</f>
        <v>1578725978396764</v>
      </c>
      <c r="C1397" t="s">
        <v>40</v>
      </c>
      <c r="D1397">
        <v>4.0209519999999896</v>
      </c>
      <c r="E1397">
        <v>0.54009319999999905</v>
      </c>
      <c r="F1397" t="s">
        <v>41</v>
      </c>
      <c r="G1397">
        <v>-305.62650000000002</v>
      </c>
      <c r="H1397">
        <v>0.99382870000000001</v>
      </c>
      <c r="I1397">
        <v>367.54820000000001</v>
      </c>
      <c r="J1397">
        <v>-306.32589999999999</v>
      </c>
      <c r="K1397">
        <v>1.05453</v>
      </c>
      <c r="L1397">
        <v>367.58210000000003</v>
      </c>
      <c r="M1397">
        <v>0.99984260000000003</v>
      </c>
      <c r="N1397">
        <v>0</v>
      </c>
      <c r="O1397">
        <v>-1.2358920000000001E-2</v>
      </c>
      <c r="P1397">
        <v>0.99708660000000005</v>
      </c>
      <c r="Q1397">
        <v>4.4522930000000002E-2</v>
      </c>
      <c r="R1397">
        <v>6.1934980000000001E-2</v>
      </c>
      <c r="S1397">
        <v>3.026459</v>
      </c>
      <c r="T1397">
        <v>-0.2221841</v>
      </c>
      <c r="U1397">
        <v>-0.13027949999999999</v>
      </c>
      <c r="V1397">
        <v>-7.4218770000000003E-2</v>
      </c>
      <c r="W1397">
        <v>5.7241430000000003E-2</v>
      </c>
      <c r="X1397">
        <v>0.99559779999999998</v>
      </c>
      <c r="Y1397">
        <v>3.060626E-2</v>
      </c>
      <c r="Z1397">
        <v>-2.157603E-4</v>
      </c>
      <c r="AA1397">
        <v>0.99953150000000002</v>
      </c>
      <c r="AB1397">
        <v>21</v>
      </c>
      <c r="AC1397">
        <v>0.69939999999996805</v>
      </c>
      <c r="AD1397">
        <v>-6.0701299999999903E-2</v>
      </c>
      <c r="AE1397">
        <v>-3.3900000000016903E-2</v>
      </c>
      <c r="AF1397">
        <v>2.5064523037643199E-2</v>
      </c>
      <c r="AG1397">
        <v>-6.0701299999999903E-2</v>
      </c>
      <c r="AH1397">
        <v>0.69454610298994102</v>
      </c>
      <c r="AI1397">
        <v>94.991559552540096</v>
      </c>
      <c r="AJ1397">
        <v>87.933227973457406</v>
      </c>
      <c r="AK1397">
        <v>0.69764401188235603</v>
      </c>
      <c r="AL1397">
        <v>86.718513949778497</v>
      </c>
      <c r="AM1397">
        <v>94.263339262717395</v>
      </c>
      <c r="AN1397">
        <v>0.999999993246798</v>
      </c>
    </row>
    <row r="1398" spans="1:40" x14ac:dyDescent="0.3">
      <c r="A1398" t="str">
        <f>"20200111145938414"</f>
        <v>20200111145938414</v>
      </c>
      <c r="B1398" t="str">
        <f>"1578725978407501"</f>
        <v>1578725978407501</v>
      </c>
      <c r="C1398" t="s">
        <v>40</v>
      </c>
      <c r="D1398">
        <v>3.9875250000000002</v>
      </c>
      <c r="E1398">
        <v>0.54019680000000003</v>
      </c>
      <c r="F1398" t="s">
        <v>41</v>
      </c>
      <c r="G1398">
        <v>-305.4418</v>
      </c>
      <c r="H1398">
        <v>0.99122359999999998</v>
      </c>
      <c r="I1398">
        <v>367.54399999999998</v>
      </c>
      <c r="J1398">
        <v>-306.22219999999999</v>
      </c>
      <c r="K1398">
        <v>1.0545310000000001</v>
      </c>
      <c r="L1398">
        <v>367.5806</v>
      </c>
      <c r="M1398">
        <v>0.99984019999999996</v>
      </c>
      <c r="N1398">
        <v>0</v>
      </c>
      <c r="O1398">
        <v>-1.2568340000000001E-2</v>
      </c>
      <c r="P1398">
        <v>0.99705339999999998</v>
      </c>
      <c r="Q1398">
        <v>4.5068320000000002E-2</v>
      </c>
      <c r="R1398">
        <v>6.2079759999999998E-2</v>
      </c>
      <c r="S1398">
        <v>3.0265200000000001</v>
      </c>
      <c r="T1398">
        <v>-0.21685960000000001</v>
      </c>
      <c r="U1398">
        <v>-0.13015750000000001</v>
      </c>
      <c r="V1398">
        <v>-7.4571540000000006E-2</v>
      </c>
      <c r="W1398">
        <v>5.7784130000000003E-2</v>
      </c>
      <c r="X1398">
        <v>0.99554010000000004</v>
      </c>
      <c r="Y1398">
        <v>3.0359279999999999E-2</v>
      </c>
      <c r="Z1398">
        <v>-1.867878E-4</v>
      </c>
      <c r="AA1398">
        <v>0.99953899999999996</v>
      </c>
      <c r="AB1398">
        <v>21</v>
      </c>
      <c r="AC1398">
        <v>0.78039999999998599</v>
      </c>
      <c r="AD1398">
        <v>-6.33074E-2</v>
      </c>
      <c r="AE1398">
        <v>-3.6599999999964397E-2</v>
      </c>
      <c r="AF1398">
        <v>2.6613233210376199E-2</v>
      </c>
      <c r="AG1398">
        <v>-6.33074E-2</v>
      </c>
      <c r="AH1398">
        <v>0.77570488340798605</v>
      </c>
      <c r="AI1398">
        <v>94.662993498681701</v>
      </c>
      <c r="AJ1398">
        <v>88.035041261967805</v>
      </c>
      <c r="AK1398">
        <v>0.77873882477995604</v>
      </c>
      <c r="AL1398">
        <v>86.687368016473499</v>
      </c>
      <c r="AM1398">
        <v>94.283775480589895</v>
      </c>
      <c r="AN1398">
        <v>1.0000000054829099</v>
      </c>
    </row>
    <row r="1399" spans="1:40" x14ac:dyDescent="0.3">
      <c r="A1399" t="str">
        <f>"20200111145938425"</f>
        <v>20200111145938425</v>
      </c>
      <c r="B1399" t="str">
        <f>"1578725978417260"</f>
        <v>1578725978417260</v>
      </c>
      <c r="C1399" t="s">
        <v>40</v>
      </c>
      <c r="D1399">
        <v>3.982955</v>
      </c>
      <c r="E1399">
        <v>0.54028659999999995</v>
      </c>
      <c r="F1399" t="s">
        <v>41</v>
      </c>
      <c r="G1399">
        <v>-305.42779999999999</v>
      </c>
      <c r="H1399">
        <v>0.99896969999999996</v>
      </c>
      <c r="I1399">
        <v>367.5462</v>
      </c>
      <c r="J1399">
        <v>-306.1225</v>
      </c>
      <c r="K1399">
        <v>1.0545329999999999</v>
      </c>
      <c r="L1399">
        <v>367.57909999999998</v>
      </c>
      <c r="M1399">
        <v>0.99983759999999999</v>
      </c>
      <c r="N1399">
        <v>0</v>
      </c>
      <c r="O1399">
        <v>-1.2769300000000001E-2</v>
      </c>
      <c r="P1399">
        <v>0.99704470000000001</v>
      </c>
      <c r="Q1399">
        <v>4.5540690000000002E-2</v>
      </c>
      <c r="R1399">
        <v>6.1870109999999999E-2</v>
      </c>
      <c r="S1399">
        <v>3.0265810000000002</v>
      </c>
      <c r="T1399">
        <v>-0.21185419999999999</v>
      </c>
      <c r="U1399">
        <v>-0.1306763</v>
      </c>
      <c r="V1399">
        <v>-7.4561909999999995E-2</v>
      </c>
      <c r="W1399">
        <v>5.8253970000000002E-2</v>
      </c>
      <c r="X1399">
        <v>0.99551339999999999</v>
      </c>
      <c r="Y1399">
        <v>3.0331170000000001E-2</v>
      </c>
      <c r="Z1399">
        <v>-1.6745949999999999E-4</v>
      </c>
      <c r="AA1399">
        <v>0.99953990000000004</v>
      </c>
      <c r="AB1399">
        <v>21</v>
      </c>
      <c r="AC1399">
        <v>0.69470000000001098</v>
      </c>
      <c r="AD1399">
        <v>-5.5563299999999899E-2</v>
      </c>
      <c r="AE1399">
        <v>-3.2899999999983699E-2</v>
      </c>
      <c r="AF1399">
        <v>2.3873389006275302E-2</v>
      </c>
      <c r="AG1399">
        <v>-5.5563299999999899E-2</v>
      </c>
      <c r="AH1399">
        <v>0.69065520896819899</v>
      </c>
      <c r="AI1399">
        <v>94.596813164099203</v>
      </c>
      <c r="AJ1399">
        <v>88.020285628243002</v>
      </c>
      <c r="AK1399">
        <v>0.69329779798037905</v>
      </c>
      <c r="AL1399">
        <v>86.660402613381805</v>
      </c>
      <c r="AM1399">
        <v>94.283338792340899</v>
      </c>
      <c r="AN1399">
        <v>0.99999996651158296</v>
      </c>
    </row>
    <row r="1400" spans="1:40" x14ac:dyDescent="0.3">
      <c r="A1400" t="str">
        <f>"20200111145938435"</f>
        <v>20200111145938435</v>
      </c>
      <c r="B1400" t="str">
        <f>"1578725978427023"</f>
        <v>1578725978427023</v>
      </c>
      <c r="C1400" t="s">
        <v>40</v>
      </c>
      <c r="D1400">
        <v>4.0159849999999997</v>
      </c>
      <c r="E1400">
        <v>0.54023829999999995</v>
      </c>
      <c r="F1400" t="s">
        <v>41</v>
      </c>
      <c r="G1400">
        <v>-305.25139999999999</v>
      </c>
      <c r="H1400">
        <v>0.99494369999999999</v>
      </c>
      <c r="I1400">
        <v>367.541</v>
      </c>
      <c r="J1400">
        <v>-306.0204</v>
      </c>
      <c r="K1400">
        <v>1.0545359999999999</v>
      </c>
      <c r="L1400">
        <v>367.57749999999999</v>
      </c>
      <c r="M1400">
        <v>0.99983509999999998</v>
      </c>
      <c r="N1400">
        <v>0</v>
      </c>
      <c r="O1400">
        <v>-1.297443E-2</v>
      </c>
      <c r="P1400">
        <v>0.99703149999999996</v>
      </c>
      <c r="Q1400">
        <v>4.579714E-2</v>
      </c>
      <c r="R1400">
        <v>6.1895550000000001E-2</v>
      </c>
      <c r="S1400">
        <v>3.0265499999999999</v>
      </c>
      <c r="T1400">
        <v>-0.20718010000000001</v>
      </c>
      <c r="U1400">
        <v>-0.13195799999999999</v>
      </c>
      <c r="V1400">
        <v>-7.4791499999999997E-2</v>
      </c>
      <c r="W1400">
        <v>5.8508650000000002E-2</v>
      </c>
      <c r="X1400">
        <v>0.99548130000000001</v>
      </c>
      <c r="Y1400">
        <v>3.0550879999999999E-2</v>
      </c>
      <c r="Z1400">
        <v>-1.572647E-4</v>
      </c>
      <c r="AA1400">
        <v>0.99953320000000001</v>
      </c>
      <c r="AB1400">
        <v>21</v>
      </c>
      <c r="AC1400">
        <v>0.76900000000000501</v>
      </c>
      <c r="AD1400">
        <v>-5.9592300000000098E-2</v>
      </c>
      <c r="AE1400">
        <v>-3.6499999999989499E-2</v>
      </c>
      <c r="AF1400">
        <v>2.63608387925971E-2</v>
      </c>
      <c r="AG1400">
        <v>-5.9592300000000098E-2</v>
      </c>
      <c r="AH1400">
        <v>0.76482625447705699</v>
      </c>
      <c r="AI1400">
        <v>94.452630667232299</v>
      </c>
      <c r="AJ1400">
        <v>88.025999823732803</v>
      </c>
      <c r="AK1400">
        <v>0.76759711801083796</v>
      </c>
      <c r="AL1400">
        <v>86.6457857874436</v>
      </c>
      <c r="AM1400">
        <v>94.296616701643799</v>
      </c>
      <c r="AN1400">
        <v>1.00000002462338</v>
      </c>
    </row>
    <row r="1401" spans="1:40" x14ac:dyDescent="0.3">
      <c r="A1401" t="str">
        <f>"20200111145938447"</f>
        <v>20200111145938447</v>
      </c>
      <c r="B1401" t="str">
        <f>"1578725978436780"</f>
        <v>1578725978436780</v>
      </c>
      <c r="C1401" t="s">
        <v>40</v>
      </c>
      <c r="D1401">
        <v>4.0095939999999999</v>
      </c>
      <c r="E1401">
        <v>0.54021589999999997</v>
      </c>
      <c r="F1401" t="s">
        <v>43</v>
      </c>
      <c r="G1401">
        <v>-289.65820000000002</v>
      </c>
      <c r="H1401">
        <v>-0.05</v>
      </c>
      <c r="I1401">
        <v>366.86919999999998</v>
      </c>
      <c r="J1401">
        <v>-305.91410000000002</v>
      </c>
      <c r="K1401">
        <v>1.054541</v>
      </c>
      <c r="L1401">
        <v>367.57589999999999</v>
      </c>
      <c r="M1401">
        <v>0.99983230000000001</v>
      </c>
      <c r="N1401">
        <v>0</v>
      </c>
      <c r="O1401">
        <v>-1.3186949999999999E-2</v>
      </c>
      <c r="P1401">
        <v>0.99703439999999999</v>
      </c>
      <c r="Q1401">
        <v>4.6116240000000003E-2</v>
      </c>
      <c r="R1401">
        <v>6.161179E-2</v>
      </c>
      <c r="S1401">
        <v>3.026459</v>
      </c>
      <c r="T1401">
        <v>-0.2043024</v>
      </c>
      <c r="U1401">
        <v>-0.13101199999999999</v>
      </c>
      <c r="V1401">
        <v>-7.4719369999999993E-2</v>
      </c>
      <c r="W1401">
        <v>5.8825669999999997E-2</v>
      </c>
      <c r="X1401">
        <v>0.99546800000000002</v>
      </c>
      <c r="Y1401">
        <v>3.0030669999999999E-2</v>
      </c>
      <c r="Z1401">
        <v>-1.23239E-4</v>
      </c>
      <c r="AA1401">
        <v>0.99954900000000002</v>
      </c>
      <c r="AB1401">
        <v>21</v>
      </c>
      <c r="AC1401">
        <v>16.255899999999901</v>
      </c>
      <c r="AD1401">
        <v>-1.104541</v>
      </c>
      <c r="AE1401">
        <v>-0.70670000000001199</v>
      </c>
      <c r="AF1401">
        <v>0.489997535034152</v>
      </c>
      <c r="AG1401">
        <v>-1.104541</v>
      </c>
      <c r="AH1401">
        <v>16.1892048361732</v>
      </c>
      <c r="AI1401">
        <v>93.901289880897394</v>
      </c>
      <c r="AJ1401">
        <v>88.266361891267294</v>
      </c>
      <c r="AK1401">
        <v>16.234237328331599</v>
      </c>
      <c r="AL1401">
        <v>86.627590427985396</v>
      </c>
      <c r="AM1401">
        <v>94.292545613298103</v>
      </c>
      <c r="AN1401">
        <v>0.99999999136407203</v>
      </c>
    </row>
    <row r="1402" spans="1:40" x14ac:dyDescent="0.3">
      <c r="A1402" t="str">
        <f>"20200111145938459"</f>
        <v>20200111145938459</v>
      </c>
      <c r="B1402" t="str">
        <f>"1578725978447517"</f>
        <v>1578725978447517</v>
      </c>
      <c r="C1402" t="s">
        <v>40</v>
      </c>
      <c r="D1402">
        <v>4.0082639999999996</v>
      </c>
      <c r="E1402">
        <v>0.54030080000000003</v>
      </c>
      <c r="F1402" t="s">
        <v>41</v>
      </c>
      <c r="G1402">
        <v>-305.06180000000001</v>
      </c>
      <c r="H1402">
        <v>0.99790219999999996</v>
      </c>
      <c r="I1402">
        <v>367.53870000000001</v>
      </c>
      <c r="J1402">
        <v>-305.80689999999998</v>
      </c>
      <c r="K1402">
        <v>1.054541</v>
      </c>
      <c r="L1402">
        <v>367.57429999999999</v>
      </c>
      <c r="M1402">
        <v>0.99982939999999998</v>
      </c>
      <c r="N1402">
        <v>0</v>
      </c>
      <c r="O1402">
        <v>-1.340029E-2</v>
      </c>
      <c r="P1402">
        <v>0.99701890000000004</v>
      </c>
      <c r="Q1402">
        <v>4.6479189999999997E-2</v>
      </c>
      <c r="R1402">
        <v>6.1587999999999997E-2</v>
      </c>
      <c r="S1402">
        <v>3.026367</v>
      </c>
      <c r="T1402">
        <v>-0.20126559999999999</v>
      </c>
      <c r="U1402">
        <v>-0.13156129999999999</v>
      </c>
      <c r="V1402">
        <v>-7.4908130000000003E-2</v>
      </c>
      <c r="W1402">
        <v>5.9186009999999997E-2</v>
      </c>
      <c r="X1402">
        <v>0.9954324</v>
      </c>
      <c r="Y1402">
        <v>3.0001440000000001E-2</v>
      </c>
      <c r="Z1402">
        <v>-1.062799E-4</v>
      </c>
      <c r="AA1402">
        <v>0.99954989999999999</v>
      </c>
      <c r="AB1402">
        <v>21</v>
      </c>
      <c r="AC1402">
        <v>0.745099999999979</v>
      </c>
      <c r="AD1402">
        <v>-5.66388000000001E-2</v>
      </c>
      <c r="AE1402">
        <v>-3.5599999999988002E-2</v>
      </c>
      <c r="AF1402">
        <v>2.5464633312580798E-2</v>
      </c>
      <c r="AG1402">
        <v>-5.66388000000001E-2</v>
      </c>
      <c r="AH1402">
        <v>0.74123685448036103</v>
      </c>
      <c r="AI1402">
        <v>94.366982285265493</v>
      </c>
      <c r="AJ1402">
        <v>88.032420502114604</v>
      </c>
      <c r="AK1402">
        <v>0.74383363439355499</v>
      </c>
      <c r="AL1402">
        <v>86.606908247460694</v>
      </c>
      <c r="AM1402">
        <v>94.303502306701404</v>
      </c>
      <c r="AN1402">
        <v>0.99999993734478598</v>
      </c>
    </row>
    <row r="1403" spans="1:40" x14ac:dyDescent="0.3">
      <c r="A1403" t="str">
        <f>"20200111145938469"</f>
        <v>20200111145938469</v>
      </c>
      <c r="B1403" t="str">
        <f>"1578725978467037"</f>
        <v>1578725978467037</v>
      </c>
      <c r="C1403" t="s">
        <v>40</v>
      </c>
      <c r="D1403">
        <v>3.991895</v>
      </c>
      <c r="E1403">
        <v>0.54025219999999996</v>
      </c>
      <c r="F1403" t="s">
        <v>43</v>
      </c>
      <c r="G1403">
        <v>-288.83699999999999</v>
      </c>
      <c r="H1403">
        <v>-0.05</v>
      </c>
      <c r="I1403">
        <v>366.83179999999999</v>
      </c>
      <c r="J1403">
        <v>-305.71030000000002</v>
      </c>
      <c r="K1403">
        <v>1.0545450000000001</v>
      </c>
      <c r="L1403">
        <v>367.57279999999997</v>
      </c>
      <c r="M1403">
        <v>0.99982689999999996</v>
      </c>
      <c r="N1403">
        <v>0</v>
      </c>
      <c r="O1403">
        <v>-1.359051E-2</v>
      </c>
      <c r="P1403">
        <v>0.99701709999999999</v>
      </c>
      <c r="Q1403">
        <v>4.6435320000000002E-2</v>
      </c>
      <c r="R1403">
        <v>6.1650339999999998E-2</v>
      </c>
      <c r="S1403">
        <v>3.0263059999999999</v>
      </c>
      <c r="T1403">
        <v>-0.19697719999999999</v>
      </c>
      <c r="U1403">
        <v>-0.1324158</v>
      </c>
      <c r="V1403">
        <v>-7.5160359999999996E-2</v>
      </c>
      <c r="W1403">
        <v>5.9139839999999999E-2</v>
      </c>
      <c r="X1403">
        <v>0.99541619999999997</v>
      </c>
      <c r="Y1403">
        <v>3.009558E-2</v>
      </c>
      <c r="Z1403" s="1">
        <v>-9.4721439999999993E-5</v>
      </c>
      <c r="AA1403">
        <v>0.99954699999999996</v>
      </c>
      <c r="AB1403">
        <v>21</v>
      </c>
      <c r="AC1403">
        <v>16.8733</v>
      </c>
      <c r="AD1403">
        <v>-1.1045450000000001</v>
      </c>
      <c r="AE1403">
        <v>-0.740999999999985</v>
      </c>
      <c r="AF1403">
        <v>0.50941755290402102</v>
      </c>
      <c r="AG1403">
        <v>-1.1045450000000001</v>
      </c>
      <c r="AH1403">
        <v>16.809918300827999</v>
      </c>
      <c r="AI1403">
        <v>93.757662970093094</v>
      </c>
      <c r="AJ1403">
        <v>88.264206568757501</v>
      </c>
      <c r="AK1403">
        <v>16.8538683743745</v>
      </c>
      <c r="AL1403">
        <v>86.609558468032503</v>
      </c>
      <c r="AM1403">
        <v>94.318008316287703</v>
      </c>
      <c r="AN1403">
        <v>1.00000000580649</v>
      </c>
    </row>
    <row r="1404" spans="1:40" x14ac:dyDescent="0.3">
      <c r="A1404" t="str">
        <f>"20200111145938481"</f>
        <v>20200111145938481</v>
      </c>
      <c r="B1404" t="str">
        <f>"1578725978476796"</f>
        <v>1578725978476796</v>
      </c>
      <c r="C1404" t="s">
        <v>40</v>
      </c>
      <c r="D1404">
        <v>4.0249050000000004</v>
      </c>
      <c r="E1404">
        <v>0.54026399999999997</v>
      </c>
      <c r="F1404" t="s">
        <v>43</v>
      </c>
      <c r="G1404">
        <v>-288.42860000000002</v>
      </c>
      <c r="H1404">
        <v>-0.05</v>
      </c>
      <c r="I1404">
        <v>366.81920000000002</v>
      </c>
      <c r="J1404">
        <v>-305.6046</v>
      </c>
      <c r="K1404">
        <v>1.0545469999999999</v>
      </c>
      <c r="L1404">
        <v>367.5711</v>
      </c>
      <c r="M1404">
        <v>0.99982409999999999</v>
      </c>
      <c r="N1404">
        <v>0</v>
      </c>
      <c r="O1404">
        <v>-1.379788E-2</v>
      </c>
      <c r="P1404">
        <v>0.99699280000000001</v>
      </c>
      <c r="Q1404">
        <v>4.6588739999999997E-2</v>
      </c>
      <c r="R1404">
        <v>6.1927799999999998E-2</v>
      </c>
      <c r="S1404">
        <v>3.026154</v>
      </c>
      <c r="T1404">
        <v>-0.19341369999999999</v>
      </c>
      <c r="U1404">
        <v>-0.13195799999999999</v>
      </c>
      <c r="V1404">
        <v>-7.5643349999999998E-2</v>
      </c>
      <c r="W1404">
        <v>5.929073E-2</v>
      </c>
      <c r="X1404">
        <v>0.99537059999999999</v>
      </c>
      <c r="Y1404">
        <v>2.974195E-2</v>
      </c>
      <c r="Z1404" s="1">
        <v>-6.8499589999999996E-5</v>
      </c>
      <c r="AA1404">
        <v>0.99955760000000005</v>
      </c>
      <c r="AB1404">
        <v>21</v>
      </c>
      <c r="AC1404">
        <v>17.175999999999899</v>
      </c>
      <c r="AD1404">
        <v>-1.1045469999999999</v>
      </c>
      <c r="AE1404">
        <v>-0.75189999999997703</v>
      </c>
      <c r="AF1404">
        <v>0.51270069776731697</v>
      </c>
      <c r="AG1404">
        <v>-1.1045469999999999</v>
      </c>
      <c r="AH1404">
        <v>17.114100732719201</v>
      </c>
      <c r="AI1404">
        <v>93.691106443303894</v>
      </c>
      <c r="AJ1404">
        <v>88.284058074293995</v>
      </c>
      <c r="AK1404">
        <v>17.1573695527712</v>
      </c>
      <c r="AL1404">
        <v>86.600897786101797</v>
      </c>
      <c r="AM1404">
        <v>94.345848749584903</v>
      </c>
      <c r="AN1404">
        <v>0.999999969203757</v>
      </c>
    </row>
    <row r="1405" spans="1:40" x14ac:dyDescent="0.3">
      <c r="A1405" t="str">
        <f>"20200111145938491"</f>
        <v>20200111145938491</v>
      </c>
      <c r="B1405" t="str">
        <f>"1578725978487532"</f>
        <v>1578725978487532</v>
      </c>
      <c r="C1405" t="s">
        <v>40</v>
      </c>
      <c r="D1405">
        <v>4.179805</v>
      </c>
      <c r="E1405">
        <v>0.54026399999999997</v>
      </c>
      <c r="F1405" t="s">
        <v>41</v>
      </c>
      <c r="G1405">
        <v>-304.68939999999998</v>
      </c>
      <c r="H1405">
        <v>0.99687230000000004</v>
      </c>
      <c r="I1405">
        <v>367.53120000000001</v>
      </c>
      <c r="J1405">
        <v>-305.49810000000002</v>
      </c>
      <c r="K1405">
        <v>1.054548</v>
      </c>
      <c r="L1405">
        <v>367.56939999999997</v>
      </c>
      <c r="M1405">
        <v>0.99982119999999997</v>
      </c>
      <c r="N1405">
        <v>0</v>
      </c>
      <c r="O1405">
        <v>-1.4001660000000001E-2</v>
      </c>
      <c r="P1405">
        <v>0.99698019999999998</v>
      </c>
      <c r="Q1405">
        <v>4.6763840000000001E-2</v>
      </c>
      <c r="R1405">
        <v>6.1996000000000002E-2</v>
      </c>
      <c r="S1405">
        <v>3.0261230000000001</v>
      </c>
      <c r="T1405">
        <v>-0.19084999999999999</v>
      </c>
      <c r="U1405">
        <v>-0.13140869999999999</v>
      </c>
      <c r="V1405">
        <v>-7.5915490000000002E-2</v>
      </c>
      <c r="W1405">
        <v>5.9463519999999999E-2</v>
      </c>
      <c r="X1405">
        <v>0.99533959999999999</v>
      </c>
      <c r="Y1405">
        <v>2.935958E-2</v>
      </c>
      <c r="Z1405" s="1">
        <v>-4.2722970000000002E-5</v>
      </c>
      <c r="AA1405">
        <v>0.99956889999999998</v>
      </c>
      <c r="AB1405">
        <v>21</v>
      </c>
      <c r="AC1405">
        <v>0.80870000000004405</v>
      </c>
      <c r="AD1405">
        <v>-5.7675700000000003E-2</v>
      </c>
      <c r="AE1405">
        <v>-3.8199999999960703E-2</v>
      </c>
      <c r="AF1405">
        <v>2.6736507782464201E-2</v>
      </c>
      <c r="AG1405">
        <v>-5.7675700000000003E-2</v>
      </c>
      <c r="AH1405">
        <v>0.80506982455791898</v>
      </c>
      <c r="AI1405">
        <v>94.095454157410401</v>
      </c>
      <c r="AJ1405">
        <v>88.097896357422997</v>
      </c>
      <c r="AK1405">
        <v>0.80757584760356105</v>
      </c>
      <c r="AL1405">
        <v>86.590980239606495</v>
      </c>
      <c r="AM1405">
        <v>94.3615587834488</v>
      </c>
      <c r="AN1405">
        <v>0.99999999558044494</v>
      </c>
    </row>
    <row r="1406" spans="1:40" x14ac:dyDescent="0.3">
      <c r="A1406" t="str">
        <f>"20200111145938504"</f>
        <v>20200111145938504</v>
      </c>
      <c r="B1406" t="str">
        <f>"1578725978497292"</f>
        <v>1578725978497292</v>
      </c>
      <c r="C1406" t="s">
        <v>40</v>
      </c>
      <c r="D1406">
        <v>4.1533569999999997</v>
      </c>
      <c r="E1406">
        <v>0.51061239999999997</v>
      </c>
      <c r="F1406" t="s">
        <v>43</v>
      </c>
      <c r="G1406">
        <v>-287.92590000000001</v>
      </c>
      <c r="H1406">
        <v>-0.05</v>
      </c>
      <c r="I1406">
        <v>366.80790000000002</v>
      </c>
      <c r="J1406">
        <v>-305.38200000000001</v>
      </c>
      <c r="K1406">
        <v>1.0545519999999999</v>
      </c>
      <c r="L1406">
        <v>367.5675</v>
      </c>
      <c r="M1406">
        <v>0.99981810000000004</v>
      </c>
      <c r="N1406">
        <v>0</v>
      </c>
      <c r="O1406">
        <v>-1.4222230000000001E-2</v>
      </c>
      <c r="P1406">
        <v>0.99696079999999998</v>
      </c>
      <c r="Q1406">
        <v>4.6898410000000001E-2</v>
      </c>
      <c r="R1406">
        <v>6.2207999999999999E-2</v>
      </c>
      <c r="S1406">
        <v>3.026154</v>
      </c>
      <c r="T1406">
        <v>-0.19021679999999999</v>
      </c>
      <c r="U1406">
        <v>-0.131134</v>
      </c>
      <c r="V1406">
        <v>-7.6347230000000002E-2</v>
      </c>
      <c r="W1406">
        <v>5.9595370000000002E-2</v>
      </c>
      <c r="X1406">
        <v>0.99529869999999998</v>
      </c>
      <c r="Y1406">
        <v>2.904932E-2</v>
      </c>
      <c r="Z1406" s="1">
        <v>-1.9001719999999999E-5</v>
      </c>
      <c r="AA1406">
        <v>0.99957799999999997</v>
      </c>
      <c r="AB1406">
        <v>21</v>
      </c>
      <c r="AC1406">
        <v>17.4560999999999</v>
      </c>
      <c r="AD1406">
        <v>-1.104552</v>
      </c>
      <c r="AE1406">
        <v>-0.75959999999997696</v>
      </c>
      <c r="AF1406">
        <v>0.50920352083925402</v>
      </c>
      <c r="AG1406">
        <v>-1.104552</v>
      </c>
      <c r="AH1406">
        <v>17.395620430804101</v>
      </c>
      <c r="AI1406">
        <v>93.631622973487694</v>
      </c>
      <c r="AJ1406">
        <v>88.323320276892503</v>
      </c>
      <c r="AK1406">
        <v>17.438088585591899</v>
      </c>
      <c r="AL1406">
        <v>86.583412401808602</v>
      </c>
      <c r="AM1406">
        <v>94.386446476459497</v>
      </c>
      <c r="AN1406">
        <v>1.0000000049378901</v>
      </c>
    </row>
    <row r="1407" spans="1:40" x14ac:dyDescent="0.3">
      <c r="A1407" t="str">
        <f>"20200111145938514"</f>
        <v>20200111145938514</v>
      </c>
      <c r="B1407" t="str">
        <f>"1578725978507053"</f>
        <v>1578725978507053</v>
      </c>
      <c r="C1407" t="s">
        <v>40</v>
      </c>
      <c r="D1407">
        <v>4.1604190000000001</v>
      </c>
      <c r="E1407">
        <v>0.50716600000000001</v>
      </c>
      <c r="F1407" t="s">
        <v>42</v>
      </c>
      <c r="G1407">
        <v>-277.73910000000001</v>
      </c>
      <c r="H1407" s="1">
        <v>-1.1447339999999999E-6</v>
      </c>
      <c r="I1407">
        <v>368.53100000000001</v>
      </c>
      <c r="J1407">
        <v>-305.2801</v>
      </c>
      <c r="K1407">
        <v>1.0545549999999999</v>
      </c>
      <c r="L1407">
        <v>367.56580000000002</v>
      </c>
      <c r="M1407">
        <v>0.99981549999999997</v>
      </c>
      <c r="N1407">
        <v>0</v>
      </c>
      <c r="O1407">
        <v>-1.4412400000000001E-2</v>
      </c>
      <c r="P1407">
        <v>0.99695579999999995</v>
      </c>
      <c r="Q1407">
        <v>4.7016799999999997E-2</v>
      </c>
      <c r="R1407">
        <v>6.2198139999999999E-2</v>
      </c>
      <c r="S1407">
        <v>3.0079959999999999</v>
      </c>
      <c r="T1407">
        <v>-0.1147521</v>
      </c>
      <c r="U1407">
        <v>0.10485839999999901</v>
      </c>
      <c r="V1407">
        <v>-7.6527040000000005E-2</v>
      </c>
      <c r="W1407">
        <v>5.9711510000000002E-2</v>
      </c>
      <c r="X1407">
        <v>0.99527790000000005</v>
      </c>
      <c r="Y1407">
        <v>-4.9193710000000002E-2</v>
      </c>
      <c r="Z1407">
        <v>1.4872360000000001E-3</v>
      </c>
      <c r="AA1407">
        <v>0.99878820000000001</v>
      </c>
      <c r="AB1407">
        <v>21</v>
      </c>
      <c r="AC1407">
        <v>27.541</v>
      </c>
      <c r="AD1407">
        <v>-1.0545561447339999</v>
      </c>
      <c r="AE1407">
        <v>0.96519999999998096</v>
      </c>
      <c r="AF1407">
        <v>-1.36007201814263</v>
      </c>
      <c r="AG1407">
        <v>-1.0545561447339999</v>
      </c>
      <c r="AH1407">
        <v>27.483980693910599</v>
      </c>
      <c r="AI1407">
        <v>92.194669442893201</v>
      </c>
      <c r="AJ1407">
        <v>92.833027365482906</v>
      </c>
      <c r="AK1407">
        <v>27.537811811038701</v>
      </c>
      <c r="AL1407">
        <v>86.576746096742596</v>
      </c>
      <c r="AM1407">
        <v>94.396828327552996</v>
      </c>
      <c r="AN1407">
        <v>0.99999997525302498</v>
      </c>
    </row>
    <row r="1408" spans="1:40" x14ac:dyDescent="0.3">
      <c r="A1408" t="str">
        <f>"20200111145938527"</f>
        <v>20200111145938527</v>
      </c>
      <c r="B1408" t="str">
        <f>"1578725978516813"</f>
        <v>1578725978516813</v>
      </c>
      <c r="C1408" t="s">
        <v>40</v>
      </c>
      <c r="D1408">
        <v>4.1791580000000002</v>
      </c>
      <c r="E1408">
        <v>0.50604570000000004</v>
      </c>
      <c r="F1408" t="s">
        <v>43</v>
      </c>
      <c r="G1408">
        <v>-279.7013</v>
      </c>
      <c r="H1408">
        <v>-0.05</v>
      </c>
      <c r="I1408">
        <v>368.69170000000003</v>
      </c>
      <c r="J1408">
        <v>-305.16809999999998</v>
      </c>
      <c r="K1408">
        <v>1.0545599999999999</v>
      </c>
      <c r="L1408">
        <v>367.56389999999999</v>
      </c>
      <c r="M1408">
        <v>0.99981249999999999</v>
      </c>
      <c r="N1408">
        <v>0</v>
      </c>
      <c r="O1408">
        <v>-1.461602E-2</v>
      </c>
      <c r="P1408">
        <v>0.99696249999999997</v>
      </c>
      <c r="Q1408">
        <v>4.7066829999999997E-2</v>
      </c>
      <c r="R1408">
        <v>6.2052030000000001E-2</v>
      </c>
      <c r="S1408">
        <v>3.0070190000000001</v>
      </c>
      <c r="T1408">
        <v>-0.12985089999999999</v>
      </c>
      <c r="U1408">
        <v>0.13235469999999999</v>
      </c>
      <c r="V1408">
        <v>-7.6585210000000001E-2</v>
      </c>
      <c r="W1408">
        <v>5.975863E-2</v>
      </c>
      <c r="X1408">
        <v>0.99527060000000001</v>
      </c>
      <c r="Y1408">
        <v>-5.8503039999999999E-2</v>
      </c>
      <c r="Z1408">
        <v>1.892602E-3</v>
      </c>
      <c r="AA1408">
        <v>0.99828539999999999</v>
      </c>
      <c r="AB1408">
        <v>21</v>
      </c>
      <c r="AC1408">
        <v>25.4667999999999</v>
      </c>
      <c r="AD1408">
        <v>-1.10456</v>
      </c>
      <c r="AE1408">
        <v>1.1278000000000299</v>
      </c>
      <c r="AF1408">
        <v>-1.4971219574933701</v>
      </c>
      <c r="AG1408">
        <v>-1.10456</v>
      </c>
      <c r="AH1408">
        <v>25.399905710588801</v>
      </c>
      <c r="AI1408">
        <v>92.485731111760401</v>
      </c>
      <c r="AJ1408">
        <v>93.373226682193106</v>
      </c>
      <c r="AK1408">
        <v>25.467953138326799</v>
      </c>
      <c r="AL1408">
        <v>86.574041498358</v>
      </c>
      <c r="AM1408">
        <v>94.400189486632996</v>
      </c>
      <c r="AN1408">
        <v>0.99999997773728999</v>
      </c>
    </row>
    <row r="1409" spans="1:40" x14ac:dyDescent="0.3">
      <c r="A1409" t="str">
        <f>"20200111145938540"</f>
        <v>20200111145938540</v>
      </c>
      <c r="B1409" t="str">
        <f>"1578725978537308"</f>
        <v>1578725978537308</v>
      </c>
      <c r="C1409" t="s">
        <v>40</v>
      </c>
      <c r="D1409">
        <v>4.1730650000000002</v>
      </c>
      <c r="E1409">
        <v>0.50483919999999904</v>
      </c>
      <c r="F1409" t="s">
        <v>43</v>
      </c>
      <c r="G1409">
        <v>-280.87389999999999</v>
      </c>
      <c r="H1409">
        <v>-0.05</v>
      </c>
      <c r="I1409">
        <v>368.70209999999997</v>
      </c>
      <c r="J1409">
        <v>-305.04969999999997</v>
      </c>
      <c r="K1409">
        <v>1.0545659999999999</v>
      </c>
      <c r="L1409">
        <v>367.56200000000001</v>
      </c>
      <c r="M1409">
        <v>0.99980959999999997</v>
      </c>
      <c r="N1409">
        <v>0</v>
      </c>
      <c r="O1409">
        <v>-1.4827969999999999E-2</v>
      </c>
      <c r="P1409">
        <v>0.99698260000000005</v>
      </c>
      <c r="Q1409">
        <v>4.6906690000000001E-2</v>
      </c>
      <c r="R1409">
        <v>6.1852980000000002E-2</v>
      </c>
      <c r="S1409">
        <v>3.006866</v>
      </c>
      <c r="T1409">
        <v>-0.13671</v>
      </c>
      <c r="U1409">
        <v>0.1408691</v>
      </c>
      <c r="V1409">
        <v>-7.6597810000000002E-2</v>
      </c>
      <c r="W1409">
        <v>5.959631E-2</v>
      </c>
      <c r="X1409">
        <v>0.99527940000000004</v>
      </c>
      <c r="Y1409">
        <v>-6.1526879999999999E-2</v>
      </c>
      <c r="Z1409">
        <v>2.070746E-3</v>
      </c>
      <c r="AA1409">
        <v>0.99810330000000003</v>
      </c>
      <c r="AB1409">
        <v>21</v>
      </c>
      <c r="AC1409">
        <v>24.175799999999899</v>
      </c>
      <c r="AD1409">
        <v>-1.1045659999999999</v>
      </c>
      <c r="AE1409">
        <v>1.1401000000000101</v>
      </c>
      <c r="AF1409">
        <v>-1.49536689926883</v>
      </c>
      <c r="AG1409">
        <v>-1.1045659999999999</v>
      </c>
      <c r="AH1409">
        <v>24.106025842034601</v>
      </c>
      <c r="AI1409">
        <v>92.618497616426595</v>
      </c>
      <c r="AJ1409">
        <v>93.549675373092995</v>
      </c>
      <c r="AK1409">
        <v>24.1776067903468</v>
      </c>
      <c r="AL1409">
        <v>86.5833584801195</v>
      </c>
      <c r="AM1409">
        <v>94.400871814745898</v>
      </c>
      <c r="AN1409">
        <v>1.00000001436338</v>
      </c>
    </row>
    <row r="1410" spans="1:40" x14ac:dyDescent="0.3">
      <c r="A1410" t="str">
        <f>"20200111145938551"</f>
        <v>20200111145938551</v>
      </c>
      <c r="B1410" t="str">
        <f>"1578725978547069"</f>
        <v>1578725978547069</v>
      </c>
      <c r="C1410" t="s">
        <v>40</v>
      </c>
      <c r="D1410">
        <v>4.150722</v>
      </c>
      <c r="E1410">
        <v>0.50454679999999996</v>
      </c>
      <c r="F1410" t="s">
        <v>43</v>
      </c>
      <c r="G1410">
        <v>-281.77379999999999</v>
      </c>
      <c r="H1410">
        <v>-0.05</v>
      </c>
      <c r="I1410">
        <v>368.72269999999997</v>
      </c>
      <c r="J1410">
        <v>-304.9409</v>
      </c>
      <c r="K1410">
        <v>1.0545739999999999</v>
      </c>
      <c r="L1410">
        <v>367.56009999999998</v>
      </c>
      <c r="M1410">
        <v>0.99980659999999999</v>
      </c>
      <c r="N1410">
        <v>0</v>
      </c>
      <c r="O1410">
        <v>-1.501248E-2</v>
      </c>
      <c r="P1410">
        <v>0.99700849999999996</v>
      </c>
      <c r="Q1410">
        <v>4.6812090000000001E-2</v>
      </c>
      <c r="R1410">
        <v>6.1502979999999999E-2</v>
      </c>
      <c r="S1410">
        <v>3.0065</v>
      </c>
      <c r="T1410">
        <v>-0.1426743</v>
      </c>
      <c r="U1410">
        <v>0.14993290000000001</v>
      </c>
      <c r="V1410">
        <v>-7.6433589999999996E-2</v>
      </c>
      <c r="W1410">
        <v>5.949873E-2</v>
      </c>
      <c r="X1410">
        <v>0.99529780000000001</v>
      </c>
      <c r="Y1410">
        <v>-6.4707609999999999E-2</v>
      </c>
      <c r="Z1410">
        <v>2.2452269999999998E-3</v>
      </c>
      <c r="AA1410">
        <v>0.9979017</v>
      </c>
      <c r="AB1410">
        <v>21</v>
      </c>
      <c r="AC1410">
        <v>23.167100000000001</v>
      </c>
      <c r="AD1410">
        <v>-1.1045739999999999</v>
      </c>
      <c r="AE1410">
        <v>1.1625999999999901</v>
      </c>
      <c r="AF1410">
        <v>-1.5068757619086901</v>
      </c>
      <c r="AG1410">
        <v>-1.1045739999999999</v>
      </c>
      <c r="AH1410">
        <v>23.094665918553499</v>
      </c>
      <c r="AI1410">
        <v>92.732460213566</v>
      </c>
      <c r="AJ1410">
        <v>93.733130965295999</v>
      </c>
      <c r="AK1410">
        <v>23.170117655568799</v>
      </c>
      <c r="AL1410">
        <v>86.588959126811901</v>
      </c>
      <c r="AM1410">
        <v>94.391392753578998</v>
      </c>
      <c r="AN1410">
        <v>0.99999995161836897</v>
      </c>
    </row>
    <row r="1411" spans="1:40" x14ac:dyDescent="0.3">
      <c r="A1411" t="str">
        <f>"20200111145938563"</f>
        <v>20200111145938563</v>
      </c>
      <c r="B1411" t="str">
        <f>"1578725978556829"</f>
        <v>1578725978556829</v>
      </c>
      <c r="C1411" t="s">
        <v>40</v>
      </c>
      <c r="D1411">
        <v>4.1973019999999996</v>
      </c>
      <c r="E1411">
        <v>0.50429570000000001</v>
      </c>
      <c r="F1411" t="s">
        <v>43</v>
      </c>
      <c r="G1411">
        <v>-282.63799999999998</v>
      </c>
      <c r="H1411">
        <v>-0.05</v>
      </c>
      <c r="I1411">
        <v>368.68270000000001</v>
      </c>
      <c r="J1411">
        <v>-304.83100000000002</v>
      </c>
      <c r="K1411">
        <v>1.054581</v>
      </c>
      <c r="L1411">
        <v>367.55829999999997</v>
      </c>
      <c r="M1411">
        <v>0.99980400000000003</v>
      </c>
      <c r="N1411">
        <v>0</v>
      </c>
      <c r="O1411">
        <v>-1.5194839999999999E-2</v>
      </c>
      <c r="P1411">
        <v>0.99704060000000005</v>
      </c>
      <c r="Q1411">
        <v>4.6787660000000002E-2</v>
      </c>
      <c r="R1411">
        <v>6.100187E-2</v>
      </c>
      <c r="S1411">
        <v>3.006653</v>
      </c>
      <c r="T1411">
        <v>-0.1489077</v>
      </c>
      <c r="U1411">
        <v>0.15133669999999999</v>
      </c>
      <c r="V1411">
        <v>-7.6116199999999995E-2</v>
      </c>
      <c r="W1411">
        <v>5.9471129999999997E-2</v>
      </c>
      <c r="X1411">
        <v>0.99532379999999998</v>
      </c>
      <c r="Y1411">
        <v>-6.5342849999999994E-2</v>
      </c>
      <c r="Z1411">
        <v>2.3677910000000002E-3</v>
      </c>
      <c r="AA1411">
        <v>0.99786010000000003</v>
      </c>
      <c r="AB1411">
        <v>21</v>
      </c>
      <c r="AC1411">
        <v>22.192999999999898</v>
      </c>
      <c r="AD1411">
        <v>-1.104581</v>
      </c>
      <c r="AE1411">
        <v>1.12440000000003</v>
      </c>
      <c r="AF1411">
        <v>-1.4579141008646199</v>
      </c>
      <c r="AG1411">
        <v>-1.104581</v>
      </c>
      <c r="AH1411">
        <v>22.118698580062802</v>
      </c>
      <c r="AI1411">
        <v>92.852726842616804</v>
      </c>
      <c r="AJ1411">
        <v>93.771092988561094</v>
      </c>
      <c r="AK1411">
        <v>22.194198331697699</v>
      </c>
      <c r="AL1411">
        <v>86.590543389199794</v>
      </c>
      <c r="AM1411">
        <v>94.373114615773602</v>
      </c>
      <c r="AN1411">
        <v>0.99999997902617799</v>
      </c>
    </row>
    <row r="1412" spans="1:40" x14ac:dyDescent="0.3">
      <c r="A1412" t="str">
        <f>"20200111145938575"</f>
        <v>20200111145938575</v>
      </c>
      <c r="B1412" t="str">
        <f>"1578725978567564"</f>
        <v>1578725978567564</v>
      </c>
      <c r="C1412" t="s">
        <v>40</v>
      </c>
      <c r="D1412">
        <v>4.2208110000000003</v>
      </c>
      <c r="E1412">
        <v>0.50407449999999998</v>
      </c>
      <c r="F1412" t="s">
        <v>43</v>
      </c>
      <c r="G1412">
        <v>-283.01299999999998</v>
      </c>
      <c r="H1412">
        <v>-0.05</v>
      </c>
      <c r="I1412">
        <v>368.65879999999999</v>
      </c>
      <c r="J1412">
        <v>-304.71850000000001</v>
      </c>
      <c r="K1412">
        <v>1.054589</v>
      </c>
      <c r="L1412">
        <v>367.55630000000002</v>
      </c>
      <c r="M1412">
        <v>0.9998013</v>
      </c>
      <c r="N1412">
        <v>0</v>
      </c>
      <c r="O1412">
        <v>-1.53717E-2</v>
      </c>
      <c r="P1412">
        <v>0.99709740000000002</v>
      </c>
      <c r="Q1412">
        <v>4.673095E-2</v>
      </c>
      <c r="R1412">
        <v>6.0110549999999999E-2</v>
      </c>
      <c r="S1412">
        <v>3.0067439999999999</v>
      </c>
      <c r="T1412">
        <v>-0.1522223</v>
      </c>
      <c r="U1412">
        <v>0.15167240000000001</v>
      </c>
      <c r="V1412">
        <v>-7.5403109999999995E-2</v>
      </c>
      <c r="W1412">
        <v>5.941163E-2</v>
      </c>
      <c r="X1412">
        <v>0.99538170000000004</v>
      </c>
      <c r="Y1412">
        <v>-6.5623959999999995E-2</v>
      </c>
      <c r="Z1412">
        <v>2.4364009999999999E-3</v>
      </c>
      <c r="AA1412">
        <v>0.99784150000000005</v>
      </c>
      <c r="AB1412">
        <v>21</v>
      </c>
      <c r="AC1412">
        <v>21.705500000000001</v>
      </c>
      <c r="AD1412">
        <v>-1.104589</v>
      </c>
      <c r="AE1412">
        <v>1.1024999999999601</v>
      </c>
      <c r="AF1412">
        <v>-1.4323471159146399</v>
      </c>
      <c r="AG1412">
        <v>-1.104589</v>
      </c>
      <c r="AH1412">
        <v>21.630113433543599</v>
      </c>
      <c r="AI1412">
        <v>92.917017028662798</v>
      </c>
      <c r="AJ1412">
        <v>93.788597853982196</v>
      </c>
      <c r="AK1412">
        <v>21.7056108475978</v>
      </c>
      <c r="AL1412">
        <v>86.5939587679309</v>
      </c>
      <c r="AM1412">
        <v>94.332051022818703</v>
      </c>
      <c r="AN1412">
        <v>1.0000000497359001</v>
      </c>
    </row>
    <row r="1413" spans="1:40" x14ac:dyDescent="0.3">
      <c r="A1413" t="str">
        <f>"20200111145938586"</f>
        <v>20200111145938586</v>
      </c>
      <c r="B1413" t="str">
        <f>"1578725978577325"</f>
        <v>1578725978577325</v>
      </c>
      <c r="C1413" t="s">
        <v>40</v>
      </c>
      <c r="D1413">
        <v>4.2190329999999996</v>
      </c>
      <c r="E1413">
        <v>0.50386949999999997</v>
      </c>
      <c r="F1413" t="s">
        <v>43</v>
      </c>
      <c r="G1413">
        <v>-283.3922</v>
      </c>
      <c r="H1413">
        <v>-0.05</v>
      </c>
      <c r="I1413">
        <v>368.62360000000001</v>
      </c>
      <c r="J1413">
        <v>-304.61709999999999</v>
      </c>
      <c r="K1413">
        <v>1.0545949999999999</v>
      </c>
      <c r="L1413">
        <v>367.55459999999999</v>
      </c>
      <c r="M1413">
        <v>0.99979890000000005</v>
      </c>
      <c r="N1413">
        <v>0</v>
      </c>
      <c r="O1413">
        <v>-1.55246E-2</v>
      </c>
      <c r="P1413">
        <v>0.99716910000000003</v>
      </c>
      <c r="Q1413">
        <v>4.6180829999999999E-2</v>
      </c>
      <c r="R1413">
        <v>5.9339049999999997E-2</v>
      </c>
      <c r="S1413">
        <v>3.006958</v>
      </c>
      <c r="T1413">
        <v>-0.15574470000000001</v>
      </c>
      <c r="U1413">
        <v>0.15048220000000001</v>
      </c>
      <c r="V1413">
        <v>-7.4786630000000007E-2</v>
      </c>
      <c r="W1413">
        <v>5.885899E-2</v>
      </c>
      <c r="X1413">
        <v>0.99546100000000004</v>
      </c>
      <c r="Y1413">
        <v>-6.5374340000000003E-2</v>
      </c>
      <c r="Z1413">
        <v>2.4940069999999999E-3</v>
      </c>
      <c r="AA1413">
        <v>0.99785769999999996</v>
      </c>
      <c r="AB1413">
        <v>21</v>
      </c>
      <c r="AC1413">
        <v>21.224899999999899</v>
      </c>
      <c r="AD1413">
        <v>-1.104595</v>
      </c>
      <c r="AE1413">
        <v>1.0690000000000099</v>
      </c>
      <c r="AF1413">
        <v>-1.3946380870878301</v>
      </c>
      <c r="AG1413">
        <v>-1.104595</v>
      </c>
      <c r="AH1413">
        <v>21.148610324343</v>
      </c>
      <c r="AI1413">
        <v>92.983381997992396</v>
      </c>
      <c r="AJ1413">
        <v>93.772888434822903</v>
      </c>
      <c r="AK1413">
        <v>21.2233094534968</v>
      </c>
      <c r="AL1413">
        <v>86.625678087391904</v>
      </c>
      <c r="AM1413">
        <v>94.296425263096296</v>
      </c>
      <c r="AN1413">
        <v>1.0000000116257799</v>
      </c>
    </row>
    <row r="1414" spans="1:40" x14ac:dyDescent="0.3">
      <c r="A1414" t="str">
        <f>"20200111145938596"</f>
        <v>20200111145938596</v>
      </c>
      <c r="B1414" t="str">
        <f>"1578725978587085"</f>
        <v>1578725978587085</v>
      </c>
      <c r="C1414" t="s">
        <v>40</v>
      </c>
      <c r="D1414">
        <v>4.2915330000000003</v>
      </c>
      <c r="E1414">
        <v>0.50362799999999996</v>
      </c>
      <c r="F1414" t="s">
        <v>43</v>
      </c>
      <c r="G1414">
        <v>-283.51229999999998</v>
      </c>
      <c r="H1414">
        <v>-0.05</v>
      </c>
      <c r="I1414">
        <v>368.6044</v>
      </c>
      <c r="J1414">
        <v>-304.51459999999997</v>
      </c>
      <c r="K1414">
        <v>1.0546009999999999</v>
      </c>
      <c r="L1414">
        <v>367.55279999999999</v>
      </c>
      <c r="M1414">
        <v>0.99979669999999998</v>
      </c>
      <c r="N1414">
        <v>0</v>
      </c>
      <c r="O1414">
        <v>-1.5674159999999999E-2</v>
      </c>
      <c r="P1414">
        <v>0.99724999999999997</v>
      </c>
      <c r="Q1414">
        <v>4.552105E-2</v>
      </c>
      <c r="R1414">
        <v>5.8488289999999998E-2</v>
      </c>
      <c r="S1414">
        <v>3.006866</v>
      </c>
      <c r="T1414">
        <v>-0.1573746</v>
      </c>
      <c r="U1414">
        <v>0.1495667</v>
      </c>
      <c r="V1414">
        <v>-7.4087929999999996E-2</v>
      </c>
      <c r="W1414">
        <v>5.8197329999999999E-2</v>
      </c>
      <c r="X1414">
        <v>0.99555210000000005</v>
      </c>
      <c r="Y1414">
        <v>-6.5219769999999996E-2</v>
      </c>
      <c r="Z1414">
        <v>2.523946E-3</v>
      </c>
      <c r="AA1414">
        <v>0.99786770000000002</v>
      </c>
      <c r="AB1414">
        <v>21</v>
      </c>
      <c r="AC1414">
        <v>21.002299999999899</v>
      </c>
      <c r="AD1414">
        <v>-1.1046009999999999</v>
      </c>
      <c r="AE1414">
        <v>1.0516000000000001</v>
      </c>
      <c r="AF1414">
        <v>-1.3768915109842901</v>
      </c>
      <c r="AG1414">
        <v>-1.1046009999999999</v>
      </c>
      <c r="AH1414">
        <v>20.925496741030699</v>
      </c>
      <c r="AI1414">
        <v>93.015178239997297</v>
      </c>
      <c r="AJ1414">
        <v>93.764618545154505</v>
      </c>
      <c r="AK1414">
        <v>20.999818748291801</v>
      </c>
      <c r="AL1414">
        <v>86.6636533638152</v>
      </c>
      <c r="AM1414">
        <v>94.2560457194473</v>
      </c>
      <c r="AN1414">
        <v>0.99999996720261097</v>
      </c>
    </row>
    <row r="1415" spans="1:40" x14ac:dyDescent="0.3">
      <c r="A1415" t="str">
        <f>"20200111145938609"</f>
        <v>20200111145938609</v>
      </c>
      <c r="B1415" t="str">
        <f>"1578725978607581"</f>
        <v>1578725978607581</v>
      </c>
      <c r="C1415" t="s">
        <v>40</v>
      </c>
      <c r="D1415">
        <v>4.2304719999999998</v>
      </c>
      <c r="E1415">
        <v>0.50325580000000003</v>
      </c>
      <c r="F1415" t="s">
        <v>43</v>
      </c>
      <c r="G1415">
        <v>-283.69510000000002</v>
      </c>
      <c r="H1415">
        <v>-0.05</v>
      </c>
      <c r="I1415">
        <v>368.5806</v>
      </c>
      <c r="J1415">
        <v>-304.40660000000003</v>
      </c>
      <c r="K1415">
        <v>1.054608</v>
      </c>
      <c r="L1415">
        <v>367.55090000000001</v>
      </c>
      <c r="M1415">
        <v>0.99979419999999997</v>
      </c>
      <c r="N1415">
        <v>0</v>
      </c>
      <c r="O1415">
        <v>-1.5822159999999998E-2</v>
      </c>
      <c r="P1415">
        <v>0.99733850000000002</v>
      </c>
      <c r="Q1415">
        <v>4.469733E-2</v>
      </c>
      <c r="R1415">
        <v>5.760237E-2</v>
      </c>
      <c r="S1415">
        <v>3.006866</v>
      </c>
      <c r="T1415">
        <v>-0.15953229999999999</v>
      </c>
      <c r="U1415">
        <v>0.1484375</v>
      </c>
      <c r="V1415">
        <v>-7.3352749999999994E-2</v>
      </c>
      <c r="W1415">
        <v>5.7371400000000003E-2</v>
      </c>
      <c r="X1415">
        <v>0.9956545</v>
      </c>
      <c r="Y1415">
        <v>-6.4990740000000005E-2</v>
      </c>
      <c r="Z1415">
        <v>2.5603010000000001E-3</v>
      </c>
      <c r="AA1415">
        <v>0.99788259999999995</v>
      </c>
      <c r="AB1415">
        <v>21</v>
      </c>
      <c r="AC1415">
        <v>20.711500000000001</v>
      </c>
      <c r="AD1415">
        <v>-1.104608</v>
      </c>
      <c r="AE1415">
        <v>1.0296999999999901</v>
      </c>
      <c r="AF1415">
        <v>-1.35345786231087</v>
      </c>
      <c r="AG1415">
        <v>-1.104608</v>
      </c>
      <c r="AH1415">
        <v>20.634066385055</v>
      </c>
      <c r="AI1415">
        <v>93.057744142685905</v>
      </c>
      <c r="AJ1415">
        <v>93.752846984980806</v>
      </c>
      <c r="AK1415">
        <v>20.7078898635658</v>
      </c>
      <c r="AL1415">
        <v>86.711054960002798</v>
      </c>
      <c r="AM1415">
        <v>94.213533723669897</v>
      </c>
      <c r="AN1415">
        <v>0.99999999342038604</v>
      </c>
    </row>
    <row r="1416" spans="1:40" x14ac:dyDescent="0.3">
      <c r="A1416" t="str">
        <f>"20200111145938621"</f>
        <v>20200111145938621</v>
      </c>
      <c r="B1416" t="str">
        <f>"1578725978617341"</f>
        <v>1578725978617341</v>
      </c>
      <c r="C1416" t="s">
        <v>40</v>
      </c>
      <c r="D1416">
        <v>4.2150990000000004</v>
      </c>
      <c r="E1416">
        <v>0.5031312</v>
      </c>
      <c r="F1416" t="s">
        <v>43</v>
      </c>
      <c r="G1416">
        <v>-284.65260000000001</v>
      </c>
      <c r="H1416">
        <v>-0.05</v>
      </c>
      <c r="I1416">
        <v>368.52929999999998</v>
      </c>
      <c r="J1416">
        <v>-304.29270000000002</v>
      </c>
      <c r="K1416">
        <v>1.054616</v>
      </c>
      <c r="L1416">
        <v>367.54899999999998</v>
      </c>
      <c r="M1416">
        <v>0.99979200000000001</v>
      </c>
      <c r="N1416">
        <v>0</v>
      </c>
      <c r="O1416">
        <v>-1.5973959999999999E-2</v>
      </c>
      <c r="P1416">
        <v>0.99740300000000004</v>
      </c>
      <c r="Q1416">
        <v>4.4032439999999999E-2</v>
      </c>
      <c r="R1416">
        <v>5.699887E-2</v>
      </c>
      <c r="S1416">
        <v>3.0069270000000001</v>
      </c>
      <c r="T1416">
        <v>-0.1681424</v>
      </c>
      <c r="U1416">
        <v>0.148925799999999</v>
      </c>
      <c r="V1416">
        <v>-7.2903549999999998E-2</v>
      </c>
      <c r="W1416">
        <v>5.6703969999999999E-2</v>
      </c>
      <c r="X1416">
        <v>0.99572579999999999</v>
      </c>
      <c r="Y1416">
        <v>-6.5289650000000005E-2</v>
      </c>
      <c r="Z1416">
        <v>2.715032E-3</v>
      </c>
      <c r="AA1416">
        <v>0.99786260000000004</v>
      </c>
      <c r="AB1416">
        <v>21</v>
      </c>
      <c r="AC1416">
        <v>19.6401</v>
      </c>
      <c r="AD1416">
        <v>-1.104616</v>
      </c>
      <c r="AE1416">
        <v>0.980299999999942</v>
      </c>
      <c r="AF1416">
        <v>-1.28986027146928</v>
      </c>
      <c r="AG1416">
        <v>-1.104616</v>
      </c>
      <c r="AH1416">
        <v>19.560212820977</v>
      </c>
      <c r="AI1416">
        <v>93.225218365996099</v>
      </c>
      <c r="AJ1416">
        <v>93.772796653293199</v>
      </c>
      <c r="AK1416">
        <v>19.633793358118101</v>
      </c>
      <c r="AL1416">
        <v>86.749358483506299</v>
      </c>
      <c r="AM1416">
        <v>94.187524021440595</v>
      </c>
      <c r="AN1416">
        <v>1.00000006830099</v>
      </c>
    </row>
    <row r="1417" spans="1:40" x14ac:dyDescent="0.3">
      <c r="A1417" t="str">
        <f>"20200111145938632"</f>
        <v>20200111145938632</v>
      </c>
      <c r="B1417" t="str">
        <f>"1578725978627101"</f>
        <v>1578725978627101</v>
      </c>
      <c r="C1417" t="s">
        <v>40</v>
      </c>
      <c r="D1417">
        <v>4.2195109999999998</v>
      </c>
      <c r="E1417">
        <v>0.50300869999999998</v>
      </c>
      <c r="F1417" t="s">
        <v>43</v>
      </c>
      <c r="G1417">
        <v>-284.73390000000001</v>
      </c>
      <c r="H1417">
        <v>-0.05</v>
      </c>
      <c r="I1417">
        <v>368.51229999999998</v>
      </c>
      <c r="J1417">
        <v>-304.18029999999999</v>
      </c>
      <c r="K1417">
        <v>1.05462099999999</v>
      </c>
      <c r="L1417">
        <v>367.54700000000003</v>
      </c>
      <c r="M1417">
        <v>0.9997897</v>
      </c>
      <c r="N1417">
        <v>0</v>
      </c>
      <c r="O1417">
        <v>-1.61103999999999E-2</v>
      </c>
      <c r="P1417">
        <v>0.99743649999999995</v>
      </c>
      <c r="Q1417">
        <v>4.3673650000000001E-2</v>
      </c>
      <c r="R1417">
        <v>5.6686880000000002E-2</v>
      </c>
      <c r="S1417">
        <v>3.0068359999999998</v>
      </c>
      <c r="T1417">
        <v>-0.16981579999999999</v>
      </c>
      <c r="U1417">
        <v>0.14810179999999901</v>
      </c>
      <c r="V1417">
        <v>-7.2729840000000004E-2</v>
      </c>
      <c r="W1417">
        <v>5.6342620000000003E-2</v>
      </c>
      <c r="X1417">
        <v>0.99575899999999995</v>
      </c>
      <c r="Y1417">
        <v>-6.5152000000000002E-2</v>
      </c>
      <c r="Z1417">
        <v>2.7459250000000002E-3</v>
      </c>
      <c r="AA1417">
        <v>0.99787159999999997</v>
      </c>
      <c r="AB1417">
        <v>21</v>
      </c>
      <c r="AC1417">
        <v>19.446399999999901</v>
      </c>
      <c r="AD1417">
        <v>-1.1046210000000001</v>
      </c>
      <c r="AE1417">
        <v>0.96530000000001304</v>
      </c>
      <c r="AF1417">
        <v>-1.2743873495709299</v>
      </c>
      <c r="AG1417">
        <v>-1.1046210000000001</v>
      </c>
      <c r="AH1417">
        <v>19.365990051798299</v>
      </c>
      <c r="AI1417">
        <v>93.257539031982503</v>
      </c>
      <c r="AJ1417">
        <v>93.764945291512404</v>
      </c>
      <c r="AK1417">
        <v>19.4392855155928</v>
      </c>
      <c r="AL1417">
        <v>86.770095416136002</v>
      </c>
      <c r="AM1417">
        <v>94.177442826074198</v>
      </c>
      <c r="AN1417">
        <v>1.0000000532679401</v>
      </c>
    </row>
    <row r="1418" spans="1:40" x14ac:dyDescent="0.3">
      <c r="A1418" t="str">
        <f>"20200111145938644"</f>
        <v>20200111145938644</v>
      </c>
      <c r="B1418" t="str">
        <f>"1578725978636860"</f>
        <v>1578725978636860</v>
      </c>
      <c r="C1418" t="s">
        <v>40</v>
      </c>
      <c r="D1418">
        <v>4.2300550000000001</v>
      </c>
      <c r="E1418">
        <v>0.50287789999999999</v>
      </c>
      <c r="F1418" t="s">
        <v>43</v>
      </c>
      <c r="G1418">
        <v>-284.63119999999998</v>
      </c>
      <c r="H1418">
        <v>-0.05</v>
      </c>
      <c r="I1418">
        <v>368.51069999999999</v>
      </c>
      <c r="J1418">
        <v>-304.07459999999998</v>
      </c>
      <c r="K1418">
        <v>1.0546260000000001</v>
      </c>
      <c r="L1418">
        <v>367.54509999999999</v>
      </c>
      <c r="M1418">
        <v>0.99978769999999995</v>
      </c>
      <c r="N1418">
        <v>0</v>
      </c>
      <c r="O1418">
        <v>-1.6234579999999998E-2</v>
      </c>
      <c r="P1418">
        <v>0.99745980000000001</v>
      </c>
      <c r="Q1418">
        <v>4.335323E-2</v>
      </c>
      <c r="R1418">
        <v>5.6521170000000003E-2</v>
      </c>
      <c r="S1418">
        <v>3.0067439999999999</v>
      </c>
      <c r="T1418">
        <v>-0.16989609999999999</v>
      </c>
      <c r="U1418">
        <v>0.14822389999999999</v>
      </c>
      <c r="V1418">
        <v>-7.2689379999999998E-2</v>
      </c>
      <c r="W1418">
        <v>5.601888E-2</v>
      </c>
      <c r="X1418">
        <v>0.9957802</v>
      </c>
      <c r="Y1418">
        <v>-6.5317249999999993E-2</v>
      </c>
      <c r="Z1418">
        <v>2.7589730000000001E-3</v>
      </c>
      <c r="AA1418">
        <v>0.99786070000000004</v>
      </c>
      <c r="AB1418">
        <v>21</v>
      </c>
      <c r="AC1418">
        <v>19.4434</v>
      </c>
      <c r="AD1418">
        <v>-1.1046260000000001</v>
      </c>
      <c r="AE1418">
        <v>0.96559999999999402</v>
      </c>
      <c r="AF1418">
        <v>-1.27704186840578</v>
      </c>
      <c r="AG1418">
        <v>-1.1046260000000001</v>
      </c>
      <c r="AH1418">
        <v>19.362817187521401</v>
      </c>
      <c r="AI1418">
        <v>93.258054855491295</v>
      </c>
      <c r="AJ1418">
        <v>93.773381391902504</v>
      </c>
      <c r="AK1418">
        <v>19.436299132574302</v>
      </c>
      <c r="AL1418">
        <v>86.788673630554698</v>
      </c>
      <c r="AM1418">
        <v>94.1750385390243</v>
      </c>
      <c r="AN1418">
        <v>1.0000000337966299</v>
      </c>
    </row>
    <row r="1419" spans="1:40" x14ac:dyDescent="0.3">
      <c r="A1419" t="str">
        <f>"20200111145938660"</f>
        <v>20200111145938660</v>
      </c>
      <c r="B1419" t="str">
        <f>"1578725978657356"</f>
        <v>1578725978657356</v>
      </c>
      <c r="C1419" t="s">
        <v>40</v>
      </c>
      <c r="D1419">
        <v>4.3041689999999999</v>
      </c>
      <c r="E1419">
        <v>0.50259430000000005</v>
      </c>
      <c r="F1419" t="s">
        <v>43</v>
      </c>
      <c r="G1419">
        <v>-284.65519999999998</v>
      </c>
      <c r="H1419">
        <v>-0.05</v>
      </c>
      <c r="I1419">
        <v>368.5068</v>
      </c>
      <c r="J1419">
        <v>-303.9341</v>
      </c>
      <c r="K1419">
        <v>1.054629</v>
      </c>
      <c r="L1419">
        <v>367.54259999999999</v>
      </c>
      <c r="M1419">
        <v>0.99978520000000004</v>
      </c>
      <c r="N1419">
        <v>0</v>
      </c>
      <c r="O1419">
        <v>-1.638937E-2</v>
      </c>
      <c r="P1419">
        <v>0.99744710000000003</v>
      </c>
      <c r="Q1419">
        <v>4.2534259999999997E-2</v>
      </c>
      <c r="R1419">
        <v>5.735817E-2</v>
      </c>
      <c r="S1419">
        <v>3.0066220000000001</v>
      </c>
      <c r="T1419">
        <v>-0.17102410000000001</v>
      </c>
      <c r="U1419">
        <v>0.14889530000000001</v>
      </c>
      <c r="V1419">
        <v>-7.3682259999999999E-2</v>
      </c>
      <c r="W1419">
        <v>5.5196660000000002E-2</v>
      </c>
      <c r="X1419">
        <v>0.99575309999999995</v>
      </c>
      <c r="Y1419">
        <v>-6.5693399999999999E-2</v>
      </c>
      <c r="Z1419">
        <v>2.7968350000000001E-3</v>
      </c>
      <c r="AA1419">
        <v>0.9978359</v>
      </c>
      <c r="AB1419">
        <v>21</v>
      </c>
      <c r="AC1419">
        <v>19.2789</v>
      </c>
      <c r="AD1419">
        <v>-1.1046290000000001</v>
      </c>
      <c r="AE1419">
        <v>0.96420000000000505</v>
      </c>
      <c r="AF1419">
        <v>-1.27588666703604</v>
      </c>
      <c r="AG1419">
        <v>-1.1046290000000001</v>
      </c>
      <c r="AH1419">
        <v>19.197638011606902</v>
      </c>
      <c r="AI1419">
        <v>93.285925710084996</v>
      </c>
      <c r="AJ1419">
        <v>93.802320540642199</v>
      </c>
      <c r="AK1419">
        <v>19.271673441594501</v>
      </c>
      <c r="AL1419">
        <v>86.835856238250102</v>
      </c>
      <c r="AM1419">
        <v>94.231975261936896</v>
      </c>
      <c r="AN1419">
        <v>0.99999999143673601</v>
      </c>
    </row>
    <row r="1420" spans="1:40" x14ac:dyDescent="0.3">
      <c r="A1420" t="str">
        <f>"20200111145938671"</f>
        <v>20200111145938671</v>
      </c>
      <c r="B1420" t="str">
        <f>"1578725978667117"</f>
        <v>1578725978667117</v>
      </c>
      <c r="C1420" t="s">
        <v>40</v>
      </c>
      <c r="D1420">
        <v>4.3132239999999999</v>
      </c>
      <c r="E1420">
        <v>0.50234889999999999</v>
      </c>
      <c r="F1420" t="s">
        <v>43</v>
      </c>
      <c r="G1420">
        <v>-285.0324</v>
      </c>
      <c r="H1420">
        <v>-0.05</v>
      </c>
      <c r="I1420">
        <v>368.5093</v>
      </c>
      <c r="J1420">
        <v>-303.83629999999999</v>
      </c>
      <c r="K1420">
        <v>1.054635</v>
      </c>
      <c r="L1420">
        <v>367.54090000000002</v>
      </c>
      <c r="M1420">
        <v>0.99978370000000005</v>
      </c>
      <c r="N1420">
        <v>0</v>
      </c>
      <c r="O1420">
        <v>-1.6488320000000001E-2</v>
      </c>
      <c r="P1420">
        <v>0.99745039999999996</v>
      </c>
      <c r="Q1420">
        <v>4.2039630000000001E-2</v>
      </c>
      <c r="R1420">
        <v>5.7669600000000001E-2</v>
      </c>
      <c r="S1420">
        <v>3.0063170000000001</v>
      </c>
      <c r="T1420">
        <v>-0.17569089999999901</v>
      </c>
      <c r="U1420">
        <v>0.15374760000000001</v>
      </c>
      <c r="V1420">
        <v>-7.4093099999999995E-2</v>
      </c>
      <c r="W1420">
        <v>5.4699600000000001E-2</v>
      </c>
      <c r="X1420">
        <v>0.99575009999999997</v>
      </c>
      <c r="Y1420">
        <v>-6.7393140000000004E-2</v>
      </c>
      <c r="Z1420">
        <v>2.928571E-3</v>
      </c>
      <c r="AA1420">
        <v>0.9977222</v>
      </c>
      <c r="AB1420">
        <v>21</v>
      </c>
      <c r="AC1420">
        <v>18.803899999999999</v>
      </c>
      <c r="AD1420">
        <v>-1.104635</v>
      </c>
      <c r="AE1420">
        <v>0.96839999999997395</v>
      </c>
      <c r="AF1420">
        <v>-1.2739532163121301</v>
      </c>
      <c r="AG1420">
        <v>-1.104635</v>
      </c>
      <c r="AH1420">
        <v>18.720940196609099</v>
      </c>
      <c r="AI1420">
        <v>93.369066626742097</v>
      </c>
      <c r="AJ1420">
        <v>93.892955391442698</v>
      </c>
      <c r="AK1420">
        <v>18.796722510203502</v>
      </c>
      <c r="AL1420">
        <v>86.864378947035604</v>
      </c>
      <c r="AM1420">
        <v>94.255498380050298</v>
      </c>
      <c r="AN1420">
        <v>1.00000004767888</v>
      </c>
    </row>
    <row r="1421" spans="1:40" x14ac:dyDescent="0.3">
      <c r="A1421" t="str">
        <f>"20200111145938682"</f>
        <v>20200111145938682</v>
      </c>
      <c r="B1421" t="str">
        <f>"1578725978676876"</f>
        <v>1578725978676876</v>
      </c>
      <c r="C1421" t="s">
        <v>40</v>
      </c>
      <c r="D1421">
        <v>4.2889239999999997</v>
      </c>
      <c r="E1421">
        <v>0.50210500000000002</v>
      </c>
      <c r="F1421" t="s">
        <v>43</v>
      </c>
      <c r="G1421">
        <v>-285.36939999999998</v>
      </c>
      <c r="H1421">
        <v>-0.05</v>
      </c>
      <c r="I1421">
        <v>368.50150000000002</v>
      </c>
      <c r="J1421">
        <v>-303.7278</v>
      </c>
      <c r="K1421">
        <v>1.0546420000000001</v>
      </c>
      <c r="L1421">
        <v>367.53899999999999</v>
      </c>
      <c r="M1421">
        <v>0.9997819</v>
      </c>
      <c r="N1421">
        <v>0</v>
      </c>
      <c r="O1421">
        <v>-1.659596E-2</v>
      </c>
      <c r="P1421">
        <v>0.99741550000000001</v>
      </c>
      <c r="Q1421">
        <v>4.1881099999999997E-2</v>
      </c>
      <c r="R1421">
        <v>5.8381839999999997E-2</v>
      </c>
      <c r="S1421">
        <v>3.006195</v>
      </c>
      <c r="T1421">
        <v>-0.17982200000000001</v>
      </c>
      <c r="U1421">
        <v>0.15637210000000001</v>
      </c>
      <c r="V1421">
        <v>-7.4913259999999995E-2</v>
      </c>
      <c r="W1421">
        <v>5.4538660000000003E-2</v>
      </c>
      <c r="X1421">
        <v>0.99569750000000001</v>
      </c>
      <c r="Y1421">
        <v>-6.8362619999999999E-2</v>
      </c>
      <c r="Z1421">
        <v>3.0327459999999998E-3</v>
      </c>
      <c r="AA1421">
        <v>0.99765590000000004</v>
      </c>
      <c r="AB1421">
        <v>21</v>
      </c>
      <c r="AC1421">
        <v>18.3584</v>
      </c>
      <c r="AD1421">
        <v>-1.1046419999999999</v>
      </c>
      <c r="AE1421">
        <v>0.962500000000034</v>
      </c>
      <c r="AF1421">
        <v>-1.2625087460325399</v>
      </c>
      <c r="AG1421">
        <v>-1.1046419999999999</v>
      </c>
      <c r="AH1421">
        <v>18.273916236664999</v>
      </c>
      <c r="AI1421">
        <v>93.451063090385205</v>
      </c>
      <c r="AJ1421">
        <v>93.952172009277803</v>
      </c>
      <c r="AK1421">
        <v>18.350754123649001</v>
      </c>
      <c r="AL1421">
        <v>86.873613724022604</v>
      </c>
      <c r="AM1421">
        <v>94.302654357226302</v>
      </c>
      <c r="AN1421">
        <v>0.99999998673233603</v>
      </c>
    </row>
    <row r="1422" spans="1:40" x14ac:dyDescent="0.3">
      <c r="A1422" t="str">
        <f>"20200111145938693"</f>
        <v>20200111145938693</v>
      </c>
      <c r="B1422" t="str">
        <f>"1578725978686637"</f>
        <v>1578725978686637</v>
      </c>
      <c r="C1422" t="s">
        <v>40</v>
      </c>
      <c r="D1422">
        <v>4.2572749999999999</v>
      </c>
      <c r="E1422">
        <v>0.50199680000000002</v>
      </c>
      <c r="F1422" t="s">
        <v>43</v>
      </c>
      <c r="G1422">
        <v>-285.47179999999997</v>
      </c>
      <c r="H1422">
        <v>-0.05</v>
      </c>
      <c r="I1422">
        <v>368.51409999999998</v>
      </c>
      <c r="J1422">
        <v>-303.6232</v>
      </c>
      <c r="K1422">
        <v>1.0546469999999999</v>
      </c>
      <c r="L1422">
        <v>367.53710000000001</v>
      </c>
      <c r="M1422">
        <v>0.99978040000000001</v>
      </c>
      <c r="N1422">
        <v>0</v>
      </c>
      <c r="O1422">
        <v>-1.6691339999999999E-2</v>
      </c>
      <c r="P1422">
        <v>0.99735969999999996</v>
      </c>
      <c r="Q1422">
        <v>4.2071190000000001E-2</v>
      </c>
      <c r="R1422">
        <v>5.919613E-2</v>
      </c>
      <c r="S1422">
        <v>3.0060120000000001</v>
      </c>
      <c r="T1422">
        <v>-0.18188969999999999</v>
      </c>
      <c r="U1422">
        <v>0.160553</v>
      </c>
      <c r="V1422">
        <v>-7.5822139999999996E-2</v>
      </c>
      <c r="W1422">
        <v>5.4725299999999998E-2</v>
      </c>
      <c r="X1422">
        <v>0.99561849999999996</v>
      </c>
      <c r="Y1422">
        <v>-6.9838269999999994E-2</v>
      </c>
      <c r="Z1422">
        <v>3.117968E-3</v>
      </c>
      <c r="AA1422">
        <v>0.99755349999999998</v>
      </c>
      <c r="AB1422">
        <v>21</v>
      </c>
      <c r="AC1422">
        <v>18.151399999999999</v>
      </c>
      <c r="AD1422">
        <v>-1.1046469999999999</v>
      </c>
      <c r="AE1422">
        <v>0.976999999999975</v>
      </c>
      <c r="AF1422">
        <v>-1.27515035157337</v>
      </c>
      <c r="AG1422">
        <v>-1.1046469999999999</v>
      </c>
      <c r="AH1422">
        <v>18.065846371232301</v>
      </c>
      <c r="AI1422">
        <v>93.490366199508998</v>
      </c>
      <c r="AJ1422">
        <v>94.037439657184194</v>
      </c>
      <c r="AK1422">
        <v>18.144449799393101</v>
      </c>
      <c r="AL1422">
        <v>86.862904170042995</v>
      </c>
      <c r="AM1422">
        <v>94.355000620021798</v>
      </c>
      <c r="AN1422">
        <v>1.00000002645825</v>
      </c>
    </row>
    <row r="1423" spans="1:40" x14ac:dyDescent="0.3">
      <c r="A1423" t="str">
        <f>"20200111145938705"</f>
        <v>20200111145938705</v>
      </c>
      <c r="B1423" t="str">
        <f>"1578725978697372"</f>
        <v>1578725978697372</v>
      </c>
      <c r="C1423" t="s">
        <v>40</v>
      </c>
      <c r="D1423">
        <v>4.3008559999999996</v>
      </c>
      <c r="E1423">
        <v>0.50189470000000003</v>
      </c>
      <c r="F1423" t="s">
        <v>43</v>
      </c>
      <c r="G1423">
        <v>-285.22059999999999</v>
      </c>
      <c r="H1423">
        <v>-0.05</v>
      </c>
      <c r="I1423">
        <v>368.53969999999998</v>
      </c>
      <c r="J1423">
        <v>-303.51870000000002</v>
      </c>
      <c r="K1423">
        <v>1.0546519999999999</v>
      </c>
      <c r="L1423">
        <v>367.53530000000001</v>
      </c>
      <c r="M1423">
        <v>0.99977879999999997</v>
      </c>
      <c r="N1423">
        <v>0</v>
      </c>
      <c r="O1423">
        <v>-1.6784110000000001E-2</v>
      </c>
      <c r="P1423">
        <v>0.99732860000000001</v>
      </c>
      <c r="Q1423">
        <v>4.2186929999999997E-2</v>
      </c>
      <c r="R1423">
        <v>5.9632900000000003E-2</v>
      </c>
      <c r="S1423">
        <v>3.0058289999999999</v>
      </c>
      <c r="T1423">
        <v>-0.1804307</v>
      </c>
      <c r="U1423">
        <v>0.16375729999999999</v>
      </c>
      <c r="V1423">
        <v>-7.6351000000000002E-2</v>
      </c>
      <c r="W1423">
        <v>5.4838619999999998E-2</v>
      </c>
      <c r="X1423">
        <v>0.99557180000000001</v>
      </c>
      <c r="Y1423">
        <v>-7.0994619999999994E-2</v>
      </c>
      <c r="Z1423">
        <v>3.1333139999999999E-3</v>
      </c>
      <c r="AA1423">
        <v>0.99747169999999996</v>
      </c>
      <c r="AB1423">
        <v>21</v>
      </c>
      <c r="AC1423">
        <v>18.298100000000002</v>
      </c>
      <c r="AD1423">
        <v>-1.104652</v>
      </c>
      <c r="AE1423">
        <v>1.00439999999997</v>
      </c>
      <c r="AF1423">
        <v>-1.3066526872411801</v>
      </c>
      <c r="AG1423">
        <v>-1.104652</v>
      </c>
      <c r="AH1423">
        <v>18.212486571411699</v>
      </c>
      <c r="AI1423">
        <v>93.462063321800997</v>
      </c>
      <c r="AJ1423">
        <v>94.1036475986662</v>
      </c>
      <c r="AK1423">
        <v>18.292683357015498</v>
      </c>
      <c r="AL1423">
        <v>86.856401499195499</v>
      </c>
      <c r="AM1423">
        <v>94.385463601154797</v>
      </c>
      <c r="AN1423">
        <v>0.99999997919987205</v>
      </c>
    </row>
    <row r="1424" spans="1:40" x14ac:dyDescent="0.3">
      <c r="A1424" t="str">
        <f>"20200111145938714"</f>
        <v>20200111145938714</v>
      </c>
      <c r="B1424" t="str">
        <f>"1578725978707132"</f>
        <v>1578725978707132</v>
      </c>
      <c r="C1424" t="s">
        <v>40</v>
      </c>
      <c r="D1424">
        <v>4.2778239999999998</v>
      </c>
      <c r="E1424">
        <v>0.50186989999999998</v>
      </c>
      <c r="F1424" t="s">
        <v>43</v>
      </c>
      <c r="G1424">
        <v>-284.99959999999999</v>
      </c>
      <c r="H1424">
        <v>-0.05</v>
      </c>
      <c r="I1424">
        <v>368.55610000000001</v>
      </c>
      <c r="J1424">
        <v>-303.4171</v>
      </c>
      <c r="K1424">
        <v>1.054656</v>
      </c>
      <c r="L1424">
        <v>367.53339999999997</v>
      </c>
      <c r="M1424">
        <v>0.99977729999999998</v>
      </c>
      <c r="N1424">
        <v>0</v>
      </c>
      <c r="O1424">
        <v>-1.686986E-2</v>
      </c>
      <c r="P1424">
        <v>0.99727390000000005</v>
      </c>
      <c r="Q1424">
        <v>4.2169529999999997E-2</v>
      </c>
      <c r="R1424">
        <v>6.055497E-2</v>
      </c>
      <c r="S1424">
        <v>3.0056759999999998</v>
      </c>
      <c r="T1424">
        <v>-0.1792871</v>
      </c>
      <c r="U1424">
        <v>0.16567989999999999</v>
      </c>
      <c r="V1424">
        <v>-7.7358880000000005E-2</v>
      </c>
      <c r="W1424">
        <v>5.4818140000000001E-2</v>
      </c>
      <c r="X1424">
        <v>0.99549509999999997</v>
      </c>
      <c r="Y1424">
        <v>-7.171959E-2</v>
      </c>
      <c r="Z1424">
        <v>3.14029E-3</v>
      </c>
      <c r="AA1424">
        <v>0.99741990000000003</v>
      </c>
      <c r="AB1424">
        <v>21</v>
      </c>
      <c r="AC1424">
        <v>18.4175</v>
      </c>
      <c r="AD1424">
        <v>-1.1046559999999901</v>
      </c>
      <c r="AE1424">
        <v>1.0227000000000399</v>
      </c>
      <c r="AF1424">
        <v>-1.32851550866923</v>
      </c>
      <c r="AG1424">
        <v>-1.1046559999999901</v>
      </c>
      <c r="AH1424">
        <v>18.331879467431499</v>
      </c>
      <c r="AI1424">
        <v>93.439403600252902</v>
      </c>
      <c r="AJ1424">
        <v>94.144992006263607</v>
      </c>
      <c r="AK1424">
        <v>18.413120950657699</v>
      </c>
      <c r="AL1424">
        <v>86.857576622400302</v>
      </c>
      <c r="AM1424">
        <v>94.443465060606997</v>
      </c>
      <c r="AN1424">
        <v>0.99999995945596099</v>
      </c>
    </row>
    <row r="1425" spans="1:40" x14ac:dyDescent="0.3">
      <c r="A1425" t="str">
        <f>"20200111145938726"</f>
        <v>20200111145938726</v>
      </c>
      <c r="B1425" t="str">
        <f>"1578725978716892"</f>
        <v>1578725978716892</v>
      </c>
      <c r="C1425" t="s">
        <v>40</v>
      </c>
      <c r="D1425">
        <v>4.2814209999999999</v>
      </c>
      <c r="E1425">
        <v>0.50186999999999904</v>
      </c>
      <c r="F1425" t="s">
        <v>43</v>
      </c>
      <c r="G1425">
        <v>-284.91910000000001</v>
      </c>
      <c r="H1425">
        <v>-0.05</v>
      </c>
      <c r="I1425">
        <v>368.57100000000003</v>
      </c>
      <c r="J1425">
        <v>-303.31540000000001</v>
      </c>
      <c r="K1425">
        <v>1.0546599999999999</v>
      </c>
      <c r="L1425">
        <v>367.53160000000003</v>
      </c>
      <c r="M1425">
        <v>0.99977590000000005</v>
      </c>
      <c r="N1425">
        <v>0</v>
      </c>
      <c r="O1425">
        <v>-1.6953590000000001E-2</v>
      </c>
      <c r="P1425">
        <v>0.99725039999999998</v>
      </c>
      <c r="Q1425">
        <v>4.1756660000000001E-2</v>
      </c>
      <c r="R1425">
        <v>6.1223279999999998E-2</v>
      </c>
      <c r="S1425">
        <v>3.0055540000000001</v>
      </c>
      <c r="T1425">
        <v>-0.1794837</v>
      </c>
      <c r="U1425">
        <v>0.16857910000000001</v>
      </c>
      <c r="V1425">
        <v>-7.8110180000000001E-2</v>
      </c>
      <c r="W1425">
        <v>5.4403439999999997E-2</v>
      </c>
      <c r="X1425">
        <v>0.99545919999999999</v>
      </c>
      <c r="Y1425">
        <v>-7.2762099999999996E-2</v>
      </c>
      <c r="Z1425">
        <v>3.1798410000000001E-3</v>
      </c>
      <c r="AA1425">
        <v>0.99734429999999996</v>
      </c>
      <c r="AB1425">
        <v>21</v>
      </c>
      <c r="AC1425">
        <v>18.3963</v>
      </c>
      <c r="AD1425">
        <v>-1.10466</v>
      </c>
      <c r="AE1425">
        <v>1.0393999999999399</v>
      </c>
      <c r="AF1425">
        <v>-1.3463199324962201</v>
      </c>
      <c r="AG1425">
        <v>-1.10466</v>
      </c>
      <c r="AH1425">
        <v>18.310220547664201</v>
      </c>
      <c r="AI1425">
        <v>93.443210761364696</v>
      </c>
      <c r="AJ1425">
        <v>94.205295334828094</v>
      </c>
      <c r="AK1425">
        <v>18.3928526221558</v>
      </c>
      <c r="AL1425">
        <v>86.881372747548397</v>
      </c>
      <c r="AM1425">
        <v>94.486605248625693</v>
      </c>
      <c r="AN1425">
        <v>0.99999997668405205</v>
      </c>
    </row>
    <row r="1426" spans="1:40" x14ac:dyDescent="0.3">
      <c r="A1426" t="str">
        <f>"20200111145938738"</f>
        <v>20200111145938738</v>
      </c>
      <c r="B1426" t="str">
        <f>"1578725978726652"</f>
        <v>1578725978726652</v>
      </c>
      <c r="C1426" t="s">
        <v>40</v>
      </c>
      <c r="D1426">
        <v>4.2238910000000001</v>
      </c>
      <c r="E1426">
        <v>0.50186009999999903</v>
      </c>
      <c r="F1426" t="s">
        <v>43</v>
      </c>
      <c r="G1426">
        <v>-284.88040000000001</v>
      </c>
      <c r="H1426">
        <v>-0.05</v>
      </c>
      <c r="I1426">
        <v>368.57490000000001</v>
      </c>
      <c r="J1426">
        <v>-303.2063</v>
      </c>
      <c r="K1426">
        <v>1.054662</v>
      </c>
      <c r="L1426">
        <v>367.52969999999999</v>
      </c>
      <c r="M1426">
        <v>0.99977450000000001</v>
      </c>
      <c r="N1426">
        <v>0</v>
      </c>
      <c r="O1426">
        <v>-1.7041259999999999E-2</v>
      </c>
      <c r="P1426">
        <v>0.99722160000000004</v>
      </c>
      <c r="Q1426">
        <v>4.144544E-2</v>
      </c>
      <c r="R1426">
        <v>6.1897500000000001E-2</v>
      </c>
      <c r="S1426">
        <v>3.0053709999999998</v>
      </c>
      <c r="T1426">
        <v>-0.1800881</v>
      </c>
      <c r="U1426">
        <v>0.17007449999999999</v>
      </c>
      <c r="V1426">
        <v>-7.8871930000000007E-2</v>
      </c>
      <c r="W1426">
        <v>5.4090140000000002E-2</v>
      </c>
      <c r="X1426">
        <v>0.99541619999999997</v>
      </c>
      <c r="Y1426">
        <v>-7.334533E-2</v>
      </c>
      <c r="Z1426">
        <v>3.213371E-3</v>
      </c>
      <c r="AA1426">
        <v>0.9973014</v>
      </c>
      <c r="AB1426">
        <v>21</v>
      </c>
      <c r="AC1426">
        <v>18.325899999999901</v>
      </c>
      <c r="AD1426">
        <v>-1.104662</v>
      </c>
      <c r="AE1426">
        <v>1.0452000000000199</v>
      </c>
      <c r="AF1426">
        <v>-1.3524713920032201</v>
      </c>
      <c r="AG1426">
        <v>-1.104662</v>
      </c>
      <c r="AH1426">
        <v>18.239367137717799</v>
      </c>
      <c r="AI1426">
        <v>93.456402544353907</v>
      </c>
      <c r="AJ1426">
        <v>94.240790997654898</v>
      </c>
      <c r="AK1426">
        <v>18.3227719132475</v>
      </c>
      <c r="AL1426">
        <v>86.899349958941897</v>
      </c>
      <c r="AM1426">
        <v>94.530373371505704</v>
      </c>
      <c r="AN1426">
        <v>0.99999996790479095</v>
      </c>
    </row>
    <row r="1427" spans="1:40" x14ac:dyDescent="0.3">
      <c r="A1427" t="str">
        <f>"20200111145938750"</f>
        <v>20200111145938750</v>
      </c>
      <c r="B1427" t="str">
        <f>"1578725978747148"</f>
        <v>1578725978747148</v>
      </c>
      <c r="C1427" t="s">
        <v>40</v>
      </c>
      <c r="D1427">
        <v>4.2719239999999896</v>
      </c>
      <c r="E1427">
        <v>0.501722</v>
      </c>
      <c r="F1427" t="s">
        <v>43</v>
      </c>
      <c r="G1427">
        <v>-284.91770000000002</v>
      </c>
      <c r="H1427">
        <v>-0.05</v>
      </c>
      <c r="I1427">
        <v>368.57920000000001</v>
      </c>
      <c r="J1427">
        <v>-303.101</v>
      </c>
      <c r="K1427">
        <v>1.0546629999999999</v>
      </c>
      <c r="L1427">
        <v>367.52780000000001</v>
      </c>
      <c r="M1427">
        <v>0.99977309999999997</v>
      </c>
      <c r="N1427">
        <v>0</v>
      </c>
      <c r="O1427">
        <v>-1.7123699999999999E-2</v>
      </c>
      <c r="P1427">
        <v>0.99719979999999997</v>
      </c>
      <c r="Q1427">
        <v>4.1208599999999998E-2</v>
      </c>
      <c r="R1427">
        <v>6.2406679999999999E-2</v>
      </c>
      <c r="S1427">
        <v>3.005188</v>
      </c>
      <c r="T1427">
        <v>-0.1815186</v>
      </c>
      <c r="U1427">
        <v>0.17245479999999899</v>
      </c>
      <c r="V1427">
        <v>-7.9462930000000001E-2</v>
      </c>
      <c r="W1427">
        <v>5.3851110000000001E-2</v>
      </c>
      <c r="X1427">
        <v>0.99538219999999999</v>
      </c>
      <c r="Y1427">
        <v>-7.4214039999999995E-2</v>
      </c>
      <c r="Z1427">
        <v>3.2701380000000001E-3</v>
      </c>
      <c r="AA1427">
        <v>0.99723700000000004</v>
      </c>
      <c r="AB1427">
        <v>21</v>
      </c>
      <c r="AC1427">
        <v>18.1832999999999</v>
      </c>
      <c r="AD1427">
        <v>-1.104663</v>
      </c>
      <c r="AE1427">
        <v>1.0513999999999999</v>
      </c>
      <c r="AF1427">
        <v>-1.3576421702652</v>
      </c>
      <c r="AG1427">
        <v>-1.104663</v>
      </c>
      <c r="AH1427">
        <v>18.096062786395098</v>
      </c>
      <c r="AI1427">
        <v>93.483485095542704</v>
      </c>
      <c r="AJ1427">
        <v>94.290530669320404</v>
      </c>
      <c r="AK1427">
        <v>18.1805104706993</v>
      </c>
      <c r="AL1427">
        <v>86.913065494740295</v>
      </c>
      <c r="AM1427">
        <v>94.564332528789294</v>
      </c>
      <c r="AN1427">
        <v>1.0000000116846199</v>
      </c>
    </row>
    <row r="1428" spans="1:40" x14ac:dyDescent="0.3">
      <c r="A1428" t="str">
        <f>"20200111145938761"</f>
        <v>20200111145938761</v>
      </c>
      <c r="B1428" t="str">
        <f>"1578725978756909"</f>
        <v>1578725978756909</v>
      </c>
      <c r="C1428" t="s">
        <v>40</v>
      </c>
      <c r="D1428">
        <v>4.2813559999999997</v>
      </c>
      <c r="E1428">
        <v>0.50159469999999995</v>
      </c>
      <c r="F1428" t="s">
        <v>43</v>
      </c>
      <c r="G1428">
        <v>-284.7525</v>
      </c>
      <c r="H1428">
        <v>-0.05</v>
      </c>
      <c r="I1428">
        <v>368.59589999999997</v>
      </c>
      <c r="J1428">
        <v>-302.99239999999998</v>
      </c>
      <c r="K1428">
        <v>1.0546629999999999</v>
      </c>
      <c r="L1428">
        <v>367.5258</v>
      </c>
      <c r="M1428">
        <v>0.99977169999999904</v>
      </c>
      <c r="N1428">
        <v>0</v>
      </c>
      <c r="O1428">
        <v>-1.7207940000000001E-2</v>
      </c>
      <c r="P1428">
        <v>0.99717160000000005</v>
      </c>
      <c r="Q1428">
        <v>4.0770809999999998E-2</v>
      </c>
      <c r="R1428">
        <v>6.314148E-2</v>
      </c>
      <c r="S1428">
        <v>3.0049440000000001</v>
      </c>
      <c r="T1428">
        <v>-0.18091109999999999</v>
      </c>
      <c r="U1428">
        <v>0.17492679999999999</v>
      </c>
      <c r="V1428">
        <v>-8.0281649999999996E-2</v>
      </c>
      <c r="W1428">
        <v>5.3411630000000002E-2</v>
      </c>
      <c r="X1428">
        <v>0.99534020000000001</v>
      </c>
      <c r="Y1428">
        <v>-7.5119569999999997E-2</v>
      </c>
      <c r="Z1428">
        <v>3.2916759999999999E-3</v>
      </c>
      <c r="AA1428">
        <v>0.99716910000000003</v>
      </c>
      <c r="AB1428">
        <v>21</v>
      </c>
      <c r="AC1428">
        <v>18.239899999999899</v>
      </c>
      <c r="AD1428">
        <v>-1.104663</v>
      </c>
      <c r="AE1428">
        <v>1.0700999999999601</v>
      </c>
      <c r="AF1428">
        <v>-1.3787978998391199</v>
      </c>
      <c r="AG1428">
        <v>-1.104663</v>
      </c>
      <c r="AH1428">
        <v>18.152430642151501</v>
      </c>
      <c r="AI1428">
        <v>93.472452046780901</v>
      </c>
      <c r="AJ1428">
        <v>94.343655085973197</v>
      </c>
      <c r="AK1428">
        <v>18.2382044678277</v>
      </c>
      <c r="AL1428">
        <v>86.938282190588595</v>
      </c>
      <c r="AM1428">
        <v>94.611351581111506</v>
      </c>
      <c r="AN1428">
        <v>1.0000000296410001</v>
      </c>
    </row>
    <row r="1429" spans="1:40" x14ac:dyDescent="0.3">
      <c r="A1429" t="str">
        <f>"20200111145938772"</f>
        <v>20200111145938772</v>
      </c>
      <c r="B1429" t="str">
        <f>"1578725978766668"</f>
        <v>1578725978766668</v>
      </c>
      <c r="C1429" t="s">
        <v>40</v>
      </c>
      <c r="D1429">
        <v>4.2371819999999998</v>
      </c>
      <c r="E1429">
        <v>0.50148099999999995</v>
      </c>
      <c r="F1429" t="s">
        <v>43</v>
      </c>
      <c r="G1429">
        <v>-284.7312</v>
      </c>
      <c r="H1429">
        <v>-0.05</v>
      </c>
      <c r="I1429">
        <v>368.60750000000002</v>
      </c>
      <c r="J1429">
        <v>-302.88690000000003</v>
      </c>
      <c r="K1429">
        <v>1.054662</v>
      </c>
      <c r="L1429">
        <v>367.524</v>
      </c>
      <c r="M1429">
        <v>0.9997703</v>
      </c>
      <c r="N1429">
        <v>0</v>
      </c>
      <c r="O1429">
        <v>-1.7287779999999999E-2</v>
      </c>
      <c r="P1429">
        <v>0.99713090000000004</v>
      </c>
      <c r="Q1429">
        <v>4.0543419999999997E-2</v>
      </c>
      <c r="R1429">
        <v>6.392494E-2</v>
      </c>
      <c r="S1429">
        <v>3.0046689999999998</v>
      </c>
      <c r="T1429">
        <v>-0.1817597</v>
      </c>
      <c r="U1429">
        <v>0.17797850000000001</v>
      </c>
      <c r="V1429">
        <v>-8.1144499999999994E-2</v>
      </c>
      <c r="W1429">
        <v>5.3182119999999999E-2</v>
      </c>
      <c r="X1429">
        <v>0.99528249999999996</v>
      </c>
      <c r="Y1429">
        <v>-7.6210070000000005E-2</v>
      </c>
      <c r="Z1429">
        <v>3.3450400000000001E-3</v>
      </c>
      <c r="AA1429">
        <v>0.99708620000000003</v>
      </c>
      <c r="AB1429">
        <v>21</v>
      </c>
      <c r="AC1429">
        <v>18.1557</v>
      </c>
      <c r="AD1429">
        <v>-1.104662</v>
      </c>
      <c r="AE1429">
        <v>1.0835000000000099</v>
      </c>
      <c r="AF1429">
        <v>-1.3920997641722399</v>
      </c>
      <c r="AG1429">
        <v>-1.104662</v>
      </c>
      <c r="AH1429">
        <v>18.067605120920099</v>
      </c>
      <c r="AI1429">
        <v>93.488422275195902</v>
      </c>
      <c r="AJ1429">
        <v>94.405905628506403</v>
      </c>
      <c r="AK1429">
        <v>18.154794812752598</v>
      </c>
      <c r="AL1429">
        <v>86.951450805056794</v>
      </c>
      <c r="AM1429">
        <v>94.660965218452603</v>
      </c>
      <c r="AN1429">
        <v>1.0000000112870899</v>
      </c>
    </row>
    <row r="1430" spans="1:40" x14ac:dyDescent="0.3">
      <c r="A1430" t="str">
        <f>"20200111145938783"</f>
        <v>20200111145938783</v>
      </c>
      <c r="B1430" t="str">
        <f>"1578725978777404"</f>
        <v>1578725978777404</v>
      </c>
      <c r="C1430" t="s">
        <v>40</v>
      </c>
      <c r="D1430">
        <v>4.2355580000000002</v>
      </c>
      <c r="E1430">
        <v>0.50160859999999996</v>
      </c>
      <c r="F1430" t="s">
        <v>43</v>
      </c>
      <c r="G1430">
        <v>-284.64280000000002</v>
      </c>
      <c r="H1430">
        <v>-0.05</v>
      </c>
      <c r="I1430">
        <v>368.6241</v>
      </c>
      <c r="J1430">
        <v>-302.79160000000002</v>
      </c>
      <c r="K1430">
        <v>1.0546599999999999</v>
      </c>
      <c r="L1430">
        <v>367.5222</v>
      </c>
      <c r="M1430">
        <v>0.99976900000000002</v>
      </c>
      <c r="N1430">
        <v>0</v>
      </c>
      <c r="O1430">
        <v>-1.7359530000000001E-2</v>
      </c>
      <c r="P1430">
        <v>0.99712210000000001</v>
      </c>
      <c r="Q1430">
        <v>3.995104E-2</v>
      </c>
      <c r="R1430">
        <v>6.4432420000000004E-2</v>
      </c>
      <c r="S1430">
        <v>3.0044249999999999</v>
      </c>
      <c r="T1430">
        <v>-0.18191499999999999</v>
      </c>
      <c r="U1430">
        <v>0.18118290000000001</v>
      </c>
      <c r="V1430">
        <v>-8.1723210000000004E-2</v>
      </c>
      <c r="W1430">
        <v>5.2588820000000001E-2</v>
      </c>
      <c r="X1430">
        <v>0.99526669999999995</v>
      </c>
      <c r="Y1430">
        <v>-7.7343490000000001E-2</v>
      </c>
      <c r="Z1430">
        <v>3.3866479999999999E-3</v>
      </c>
      <c r="AA1430">
        <v>0.99699870000000002</v>
      </c>
      <c r="AB1430">
        <v>21</v>
      </c>
      <c r="AC1430">
        <v>18.148799999999898</v>
      </c>
      <c r="AD1430">
        <v>-1.10466</v>
      </c>
      <c r="AE1430">
        <v>1.1019000000000001</v>
      </c>
      <c r="AF1430">
        <v>-1.4116034083276701</v>
      </c>
      <c r="AG1430">
        <v>-1.10466</v>
      </c>
      <c r="AH1430">
        <v>18.0602713139283</v>
      </c>
      <c r="AI1430">
        <v>93.489530636885505</v>
      </c>
      <c r="AJ1430">
        <v>94.469191980956893</v>
      </c>
      <c r="AK1430">
        <v>18.1490026676593</v>
      </c>
      <c r="AL1430">
        <v>86.985492102297599</v>
      </c>
      <c r="AM1430">
        <v>94.694132664154907</v>
      </c>
      <c r="AN1430">
        <v>1.00000003558529</v>
      </c>
    </row>
    <row r="1431" spans="1:40" x14ac:dyDescent="0.3">
      <c r="A1431" t="str">
        <f>"20200111145938793"</f>
        <v>20200111145938793</v>
      </c>
      <c r="B1431" t="str">
        <f>"1578725978787165"</f>
        <v>1578725978787165</v>
      </c>
      <c r="C1431" t="s">
        <v>40</v>
      </c>
      <c r="D1431">
        <v>4.2496159999999996</v>
      </c>
      <c r="E1431">
        <v>0.50154560000000004</v>
      </c>
      <c r="F1431" t="s">
        <v>43</v>
      </c>
      <c r="G1431">
        <v>-284.79680000000002</v>
      </c>
      <c r="H1431">
        <v>-0.05</v>
      </c>
      <c r="I1431">
        <v>368.61219999999997</v>
      </c>
      <c r="J1431">
        <v>-302.6884</v>
      </c>
      <c r="K1431">
        <v>1.054656</v>
      </c>
      <c r="L1431">
        <v>367.5204</v>
      </c>
      <c r="M1431">
        <v>0.99976779999999998</v>
      </c>
      <c r="N1431">
        <v>0</v>
      </c>
      <c r="O1431">
        <v>-1.7436050000000002E-2</v>
      </c>
      <c r="P1431">
        <v>0.99708090000000005</v>
      </c>
      <c r="Q1431">
        <v>4.0145479999999997E-2</v>
      </c>
      <c r="R1431">
        <v>6.494933E-2</v>
      </c>
      <c r="S1431">
        <v>3.0042719999999998</v>
      </c>
      <c r="T1431">
        <v>-0.18442510000000001</v>
      </c>
      <c r="U1431">
        <v>0.18197630000000001</v>
      </c>
      <c r="V1431">
        <v>-8.2315589999999994E-2</v>
      </c>
      <c r="W1431">
        <v>5.2781670000000003E-2</v>
      </c>
      <c r="X1431">
        <v>0.99520759999999997</v>
      </c>
      <c r="Y1431">
        <v>-7.767963E-2</v>
      </c>
      <c r="Z1431">
        <v>3.4484279999999999E-3</v>
      </c>
      <c r="AA1431">
        <v>0.99697239999999998</v>
      </c>
      <c r="AB1431">
        <v>21</v>
      </c>
      <c r="AC1431">
        <v>17.891599999999901</v>
      </c>
      <c r="AD1431">
        <v>-1.1046559999999901</v>
      </c>
      <c r="AE1431">
        <v>1.0917999999999699</v>
      </c>
      <c r="AF1431">
        <v>-1.39830723535405</v>
      </c>
      <c r="AG1431">
        <v>-1.1046559999999901</v>
      </c>
      <c r="AH1431">
        <v>17.802230706164</v>
      </c>
      <c r="AI1431">
        <v>93.539864204924996</v>
      </c>
      <c r="AJ1431">
        <v>94.491175761007199</v>
      </c>
      <c r="AK1431">
        <v>17.891197447858801</v>
      </c>
      <c r="AL1431">
        <v>86.9744270277955</v>
      </c>
      <c r="AM1431">
        <v>94.728284413786199</v>
      </c>
      <c r="AN1431">
        <v>0.99999996407139702</v>
      </c>
    </row>
    <row r="1432" spans="1:40" x14ac:dyDescent="0.3">
      <c r="A1432" t="str">
        <f>"20200111145938805"</f>
        <v>20200111145938805</v>
      </c>
      <c r="B1432" t="str">
        <f>"1578725978796925"</f>
        <v>1578725978796925</v>
      </c>
      <c r="C1432" t="s">
        <v>40</v>
      </c>
      <c r="D1432">
        <v>4.2298200000000001</v>
      </c>
      <c r="E1432">
        <v>0.50151670000000004</v>
      </c>
      <c r="F1432" t="s">
        <v>43</v>
      </c>
      <c r="G1432">
        <v>-284.56889999999999</v>
      </c>
      <c r="H1432">
        <v>-0.05</v>
      </c>
      <c r="I1432">
        <v>368.62860000000001</v>
      </c>
      <c r="J1432">
        <v>-302.58909999999997</v>
      </c>
      <c r="K1432">
        <v>1.054656</v>
      </c>
      <c r="L1432">
        <v>367.51859999999999</v>
      </c>
      <c r="M1432">
        <v>0.99976640000000006</v>
      </c>
      <c r="N1432">
        <v>0</v>
      </c>
      <c r="O1432">
        <v>-1.7509009999999998E-2</v>
      </c>
      <c r="P1432">
        <v>0.99707009999999996</v>
      </c>
      <c r="Q1432">
        <v>4.0082779999999998E-2</v>
      </c>
      <c r="R1432">
        <v>6.5153879999999997E-2</v>
      </c>
      <c r="S1432">
        <v>3.004181</v>
      </c>
      <c r="T1432">
        <v>-0.1831506</v>
      </c>
      <c r="U1432">
        <v>0.1837463</v>
      </c>
      <c r="V1432">
        <v>-8.2592529999999997E-2</v>
      </c>
      <c r="W1432">
        <v>5.2717859999999998E-2</v>
      </c>
      <c r="X1432">
        <v>0.99518810000000002</v>
      </c>
      <c r="Y1432">
        <v>-7.8340519999999997E-2</v>
      </c>
      <c r="Z1432">
        <v>3.4492339999999998E-3</v>
      </c>
      <c r="AA1432">
        <v>0.99692069999999999</v>
      </c>
      <c r="AB1432">
        <v>21</v>
      </c>
      <c r="AC1432">
        <v>18.0201999999999</v>
      </c>
      <c r="AD1432">
        <v>-1.1046559999999901</v>
      </c>
      <c r="AE1432">
        <v>1.1100000000000101</v>
      </c>
      <c r="AF1432">
        <v>-1.42005488694506</v>
      </c>
      <c r="AG1432">
        <v>-1.1046559999999901</v>
      </c>
      <c r="AH1432">
        <v>17.9308744596735</v>
      </c>
      <c r="AI1432">
        <v>93.514353166007197</v>
      </c>
      <c r="AJ1432">
        <v>94.528149780784204</v>
      </c>
      <c r="AK1432">
        <v>18.020906737699001</v>
      </c>
      <c r="AL1432">
        <v>86.978088357863598</v>
      </c>
      <c r="AM1432">
        <v>94.744212152042294</v>
      </c>
      <c r="AN1432">
        <v>1.0000000265781901</v>
      </c>
    </row>
    <row r="1433" spans="1:40" x14ac:dyDescent="0.3">
      <c r="A1433" t="str">
        <f>"20200111145938816"</f>
        <v>20200111145938816</v>
      </c>
      <c r="B1433" t="str">
        <f>"1578725978806684"</f>
        <v>1578725978806684</v>
      </c>
      <c r="C1433" t="s">
        <v>40</v>
      </c>
      <c r="D1433">
        <v>4.2991849999999996</v>
      </c>
      <c r="E1433">
        <v>0.50155680000000002</v>
      </c>
      <c r="F1433" t="s">
        <v>43</v>
      </c>
      <c r="G1433">
        <v>-284.42329999999998</v>
      </c>
      <c r="H1433">
        <v>-0.05</v>
      </c>
      <c r="I1433">
        <v>368.63350000000003</v>
      </c>
      <c r="J1433">
        <v>-302.4794</v>
      </c>
      <c r="K1433">
        <v>1.054654</v>
      </c>
      <c r="L1433">
        <v>367.51650000000001</v>
      </c>
      <c r="M1433">
        <v>0.99976500000000001</v>
      </c>
      <c r="N1433">
        <v>0</v>
      </c>
      <c r="O1433">
        <v>-1.7589009999999999E-2</v>
      </c>
      <c r="P1433">
        <v>0.99705949999999999</v>
      </c>
      <c r="Q1433">
        <v>3.9988870000000003E-2</v>
      </c>
      <c r="R1433">
        <v>6.5371299999999993E-2</v>
      </c>
      <c r="S1433">
        <v>3.0041199999999999</v>
      </c>
      <c r="T1433">
        <v>-0.1826805</v>
      </c>
      <c r="U1433">
        <v>0.1843872</v>
      </c>
      <c r="V1433">
        <v>-8.2888589999999998E-2</v>
      </c>
      <c r="W1433">
        <v>5.2623099999999999E-2</v>
      </c>
      <c r="X1433">
        <v>0.99516839999999995</v>
      </c>
      <c r="Y1433">
        <v>-7.8633599999999998E-2</v>
      </c>
      <c r="Z1433">
        <v>3.4541950000000002E-3</v>
      </c>
      <c r="AA1433">
        <v>0.99689760000000005</v>
      </c>
      <c r="AB1433">
        <v>21</v>
      </c>
      <c r="AC1433">
        <v>18.056100000000001</v>
      </c>
      <c r="AD1433">
        <v>-1.104654</v>
      </c>
      <c r="AE1433">
        <v>1.11700000000001</v>
      </c>
      <c r="AF1433">
        <v>-1.42911300793171</v>
      </c>
      <c r="AG1433">
        <v>-1.104654</v>
      </c>
      <c r="AH1433">
        <v>17.966667285447699</v>
      </c>
      <c r="AI1433">
        <v>93.507267521406504</v>
      </c>
      <c r="AJ1433">
        <v>94.5478722111053</v>
      </c>
      <c r="AK1433">
        <v>18.057235607787099</v>
      </c>
      <c r="AL1433">
        <v>86.983524950873402</v>
      </c>
      <c r="AM1433">
        <v>94.7612339633706</v>
      </c>
      <c r="AN1433">
        <v>0.99999992668217597</v>
      </c>
    </row>
    <row r="1434" spans="1:40" x14ac:dyDescent="0.3">
      <c r="A1434" t="str">
        <f>"20200111145938829"</f>
        <v>20200111145938829</v>
      </c>
      <c r="B1434" t="str">
        <f>"1578725978817422"</f>
        <v>1578725978817422</v>
      </c>
      <c r="C1434" t="s">
        <v>40</v>
      </c>
      <c r="D1434">
        <v>4.2733179999999997</v>
      </c>
      <c r="E1434">
        <v>0.50162949999999995</v>
      </c>
      <c r="F1434" t="s">
        <v>43</v>
      </c>
      <c r="G1434">
        <v>-284.37520000000001</v>
      </c>
      <c r="H1434">
        <v>-0.05</v>
      </c>
      <c r="I1434">
        <v>368.63209999999998</v>
      </c>
      <c r="J1434">
        <v>-302.3741</v>
      </c>
      <c r="K1434">
        <v>1.0546489999999999</v>
      </c>
      <c r="L1434">
        <v>367.51459999999997</v>
      </c>
      <c r="M1434">
        <v>0.99976370000000003</v>
      </c>
      <c r="N1434">
        <v>0</v>
      </c>
      <c r="O1434">
        <v>-1.766531E-2</v>
      </c>
      <c r="P1434">
        <v>0.99703399999999998</v>
      </c>
      <c r="Q1434">
        <v>4.0275730000000003E-2</v>
      </c>
      <c r="R1434">
        <v>6.5584260000000005E-2</v>
      </c>
      <c r="S1434">
        <v>3.0040589999999998</v>
      </c>
      <c r="T1434">
        <v>-0.1832973</v>
      </c>
      <c r="U1434">
        <v>0.1851196</v>
      </c>
      <c r="V1434">
        <v>-8.3177260000000003E-2</v>
      </c>
      <c r="W1434">
        <v>5.2908799999999999E-2</v>
      </c>
      <c r="X1434">
        <v>0.99512920000000005</v>
      </c>
      <c r="Y1434">
        <v>-7.8951140000000003E-2</v>
      </c>
      <c r="Z1434">
        <v>3.4802000000000001E-3</v>
      </c>
      <c r="AA1434">
        <v>0.99687239999999999</v>
      </c>
      <c r="AB1434">
        <v>21</v>
      </c>
      <c r="AC1434">
        <v>17.9988999999999</v>
      </c>
      <c r="AD1434">
        <v>-1.104649</v>
      </c>
      <c r="AE1434">
        <v>1.1174999999999999</v>
      </c>
      <c r="AF1434">
        <v>-1.4299418320772499</v>
      </c>
      <c r="AG1434">
        <v>-1.104649</v>
      </c>
      <c r="AH1434">
        <v>17.909149685143799</v>
      </c>
      <c r="AI1434">
        <v>93.518403574447902</v>
      </c>
      <c r="AJ1434">
        <v>94.565051561883394</v>
      </c>
      <c r="AK1434">
        <v>18.000072930441402</v>
      </c>
      <c r="AL1434">
        <v>86.967132814260907</v>
      </c>
      <c r="AM1434">
        <v>94.777926268690507</v>
      </c>
      <c r="AN1434">
        <v>0.99999996119559298</v>
      </c>
    </row>
    <row r="1435" spans="1:40" x14ac:dyDescent="0.3">
      <c r="A1435" t="str">
        <f>"20200111145938840"</f>
        <v>20200111145938840</v>
      </c>
      <c r="B1435" t="str">
        <f>"1578725978836941"</f>
        <v>1578725978836941</v>
      </c>
      <c r="C1435" t="s">
        <v>40</v>
      </c>
      <c r="D1435">
        <v>4.2779600000000002</v>
      </c>
      <c r="E1435">
        <v>0.50170150000000002</v>
      </c>
      <c r="F1435" t="s">
        <v>43</v>
      </c>
      <c r="G1435">
        <v>-284.1995</v>
      </c>
      <c r="H1435">
        <v>-0.05</v>
      </c>
      <c r="I1435">
        <v>368.63260000000002</v>
      </c>
      <c r="J1435">
        <v>-302.26089999999999</v>
      </c>
      <c r="K1435">
        <v>1.0546450000000001</v>
      </c>
      <c r="L1435">
        <v>367.51249999999999</v>
      </c>
      <c r="M1435">
        <v>0.99976220000000005</v>
      </c>
      <c r="N1435">
        <v>0</v>
      </c>
      <c r="O1435">
        <v>-1.774746E-2</v>
      </c>
      <c r="P1435">
        <v>0.99702809999999997</v>
      </c>
      <c r="Q1435">
        <v>4.003872E-2</v>
      </c>
      <c r="R1435">
        <v>6.5819649999999993E-2</v>
      </c>
      <c r="S1435">
        <v>3.0041500000000001</v>
      </c>
      <c r="T1435">
        <v>-0.18259069999999999</v>
      </c>
      <c r="U1435">
        <v>0.18481449999999999</v>
      </c>
      <c r="V1435">
        <v>-8.3494349999999995E-2</v>
      </c>
      <c r="W1435">
        <v>5.2670719999999997E-2</v>
      </c>
      <c r="X1435">
        <v>0.99511530000000004</v>
      </c>
      <c r="Y1435">
        <v>-7.8931559999999998E-2</v>
      </c>
      <c r="Z1435">
        <v>3.471104E-3</v>
      </c>
      <c r="AA1435">
        <v>0.99687400000000004</v>
      </c>
      <c r="AB1435">
        <v>21</v>
      </c>
      <c r="AC1435">
        <v>18.0613999999999</v>
      </c>
      <c r="AD1435">
        <v>-1.1046450000000001</v>
      </c>
      <c r="AE1435">
        <v>1.1201000000000301</v>
      </c>
      <c r="AF1435">
        <v>-1.4351455149880501</v>
      </c>
      <c r="AG1435">
        <v>-1.1046450000000001</v>
      </c>
      <c r="AH1435">
        <v>17.971706752169801</v>
      </c>
      <c r="AI1435">
        <v>93.5061712058681</v>
      </c>
      <c r="AJ1435">
        <v>94.565713223201996</v>
      </c>
      <c r="AK1435">
        <v>18.062727557354201</v>
      </c>
      <c r="AL1435">
        <v>86.980792915124994</v>
      </c>
      <c r="AM1435">
        <v>94.796122648881905</v>
      </c>
      <c r="AN1435">
        <v>0.99999998576066496</v>
      </c>
    </row>
    <row r="1436" spans="1:40" x14ac:dyDescent="0.3">
      <c r="A1436" t="str">
        <f>"20200111145938852"</f>
        <v>20200111145938852</v>
      </c>
      <c r="B1436" t="str">
        <f>"1578725978846700"</f>
        <v>1578725978846700</v>
      </c>
      <c r="C1436" t="s">
        <v>40</v>
      </c>
      <c r="D1436">
        <v>4.2381089999999997</v>
      </c>
      <c r="E1436">
        <v>0.50169090000000005</v>
      </c>
      <c r="F1436" t="s">
        <v>43</v>
      </c>
      <c r="G1436">
        <v>-284.17430000000002</v>
      </c>
      <c r="H1436">
        <v>-0.05</v>
      </c>
      <c r="I1436">
        <v>368.62310000000002</v>
      </c>
      <c r="J1436">
        <v>-302.1551</v>
      </c>
      <c r="K1436">
        <v>1.0546420000000001</v>
      </c>
      <c r="L1436">
        <v>367.51049999999998</v>
      </c>
      <c r="M1436">
        <v>0.99976100000000001</v>
      </c>
      <c r="N1436">
        <v>0</v>
      </c>
      <c r="O1436">
        <v>-1.7824719999999999E-2</v>
      </c>
      <c r="P1436">
        <v>0.99705330000000003</v>
      </c>
      <c r="Q1436">
        <v>3.9438630000000002E-2</v>
      </c>
      <c r="R1436">
        <v>6.5800629999999999E-2</v>
      </c>
      <c r="S1436">
        <v>3.0041199999999999</v>
      </c>
      <c r="T1436">
        <v>-0.183478</v>
      </c>
      <c r="U1436">
        <v>0.1844788</v>
      </c>
      <c r="V1436">
        <v>-8.3552489999999993E-2</v>
      </c>
      <c r="W1436">
        <v>5.2070249999999998E-2</v>
      </c>
      <c r="X1436">
        <v>0.99514199999999997</v>
      </c>
      <c r="Y1436">
        <v>-7.8896419999999995E-2</v>
      </c>
      <c r="Z1436">
        <v>3.4916280000000001E-3</v>
      </c>
      <c r="AA1436">
        <v>0.99687669999999995</v>
      </c>
      <c r="AB1436">
        <v>21</v>
      </c>
      <c r="AC1436">
        <v>17.980799999999899</v>
      </c>
      <c r="AD1436">
        <v>-1.1046419999999999</v>
      </c>
      <c r="AE1436">
        <v>1.11260000000004</v>
      </c>
      <c r="AF1436">
        <v>-1.4275841743331299</v>
      </c>
      <c r="AG1436">
        <v>-1.1046419999999999</v>
      </c>
      <c r="AH1436">
        <v>17.8908434061387</v>
      </c>
      <c r="AI1436">
        <v>93.521986312463397</v>
      </c>
      <c r="AJ1436">
        <v>94.562200246376605</v>
      </c>
      <c r="AK1436">
        <v>17.981671454732599</v>
      </c>
      <c r="AL1436">
        <v>87.015244527556405</v>
      </c>
      <c r="AM1436">
        <v>94.799318590126106</v>
      </c>
      <c r="AN1436">
        <v>0.99999996484213005</v>
      </c>
    </row>
    <row r="1437" spans="1:40" x14ac:dyDescent="0.3">
      <c r="A1437" t="str">
        <f>"20200111145938864"</f>
        <v>20200111145938864</v>
      </c>
      <c r="B1437" t="str">
        <f>"1578725978857436"</f>
        <v>1578725978857436</v>
      </c>
      <c r="C1437" t="s">
        <v>40</v>
      </c>
      <c r="D1437">
        <v>4.2812219999999996</v>
      </c>
      <c r="E1437">
        <v>0.50167129999999904</v>
      </c>
      <c r="F1437" t="s">
        <v>43</v>
      </c>
      <c r="G1437">
        <v>-284.29360000000003</v>
      </c>
      <c r="H1437">
        <v>-0.05</v>
      </c>
      <c r="I1437">
        <v>368.60809999999998</v>
      </c>
      <c r="J1437">
        <v>-302.04820000000001</v>
      </c>
      <c r="K1437">
        <v>1.0546390000000001</v>
      </c>
      <c r="L1437">
        <v>367.50850000000003</v>
      </c>
      <c r="M1437">
        <v>0.99975959999999997</v>
      </c>
      <c r="N1437">
        <v>0</v>
      </c>
      <c r="O1437">
        <v>-1.7902689999999999E-2</v>
      </c>
      <c r="P1437">
        <v>0.99708629999999998</v>
      </c>
      <c r="Q1437">
        <v>3.8872820000000002E-2</v>
      </c>
      <c r="R1437">
        <v>6.5633449999999996E-2</v>
      </c>
      <c r="S1437">
        <v>3.0040279999999999</v>
      </c>
      <c r="T1437">
        <v>-0.18578449999999999</v>
      </c>
      <c r="U1437">
        <v>0.18460080000000001</v>
      </c>
      <c r="V1437">
        <v>-8.346336E-2</v>
      </c>
      <c r="W1437">
        <v>5.1504059999999997E-2</v>
      </c>
      <c r="X1437">
        <v>0.99517900000000004</v>
      </c>
      <c r="Y1437">
        <v>-7.901147E-2</v>
      </c>
      <c r="Z1437">
        <v>3.5439059999999999E-3</v>
      </c>
      <c r="AA1437">
        <v>0.99686739999999996</v>
      </c>
      <c r="AB1437">
        <v>21</v>
      </c>
      <c r="AC1437">
        <v>17.7545999999999</v>
      </c>
      <c r="AD1437">
        <v>-1.1046389999999999</v>
      </c>
      <c r="AE1437">
        <v>1.09959999999995</v>
      </c>
      <c r="AF1437">
        <v>-1.4118599384074799</v>
      </c>
      <c r="AG1437">
        <v>-1.1046389999999999</v>
      </c>
      <c r="AH1437">
        <v>17.663951488243399</v>
      </c>
      <c r="AI1437">
        <v>93.567062137444694</v>
      </c>
      <c r="AJ1437">
        <v>94.569872531022497</v>
      </c>
      <c r="AK1437">
        <v>17.754682705838899</v>
      </c>
      <c r="AL1437">
        <v>87.047728582181904</v>
      </c>
      <c r="AM1437">
        <v>94.794045356573903</v>
      </c>
      <c r="AN1437">
        <v>1.00000002134998</v>
      </c>
    </row>
    <row r="1438" spans="1:40" x14ac:dyDescent="0.3">
      <c r="A1438" t="str">
        <f>"20200111145938875"</f>
        <v>20200111145938875</v>
      </c>
      <c r="B1438" t="str">
        <f>"1578725978867197"</f>
        <v>1578725978867197</v>
      </c>
      <c r="C1438" t="s">
        <v>40</v>
      </c>
      <c r="D1438">
        <v>4.2605950000000004</v>
      </c>
      <c r="E1438">
        <v>0.50163250000000004</v>
      </c>
      <c r="F1438" t="s">
        <v>43</v>
      </c>
      <c r="G1438">
        <v>-284.42419999999998</v>
      </c>
      <c r="H1438">
        <v>-0.05</v>
      </c>
      <c r="I1438">
        <v>368.59030000000001</v>
      </c>
      <c r="J1438">
        <v>-301.9436</v>
      </c>
      <c r="K1438">
        <v>1.0546359999999999</v>
      </c>
      <c r="L1438">
        <v>367.50659999999999</v>
      </c>
      <c r="M1438">
        <v>0.99975820000000004</v>
      </c>
      <c r="N1438">
        <v>0</v>
      </c>
      <c r="O1438">
        <v>-1.7979229999999999E-2</v>
      </c>
      <c r="P1438">
        <v>0.99714060000000004</v>
      </c>
      <c r="Q1438">
        <v>3.8242579999999998E-2</v>
      </c>
      <c r="R1438">
        <v>6.5179299999999996E-2</v>
      </c>
      <c r="S1438">
        <v>3.0039669999999998</v>
      </c>
      <c r="T1438">
        <v>-0.1882827</v>
      </c>
      <c r="U1438">
        <v>0.1843872</v>
      </c>
      <c r="V1438">
        <v>-8.3086409999999999E-2</v>
      </c>
      <c r="W1438">
        <v>5.0873549999999997E-2</v>
      </c>
      <c r="X1438">
        <v>0.99524299999999999</v>
      </c>
      <c r="Y1438">
        <v>-7.9013260000000002E-2</v>
      </c>
      <c r="Z1438">
        <v>3.5963940000000002E-3</v>
      </c>
      <c r="AA1438">
        <v>0.99686710000000001</v>
      </c>
      <c r="AB1438">
        <v>21</v>
      </c>
      <c r="AC1438">
        <v>17.519400000000001</v>
      </c>
      <c r="AD1438">
        <v>-1.104636</v>
      </c>
      <c r="AE1438">
        <v>1.0837000000000201</v>
      </c>
      <c r="AF1438">
        <v>-1.39301843321327</v>
      </c>
      <c r="AG1438">
        <v>-1.104636</v>
      </c>
      <c r="AH1438">
        <v>17.428059613554801</v>
      </c>
      <c r="AI1438">
        <v>93.615205755454795</v>
      </c>
      <c r="AJ1438">
        <v>94.569915224084198</v>
      </c>
      <c r="AK1438">
        <v>17.518504015508501</v>
      </c>
      <c r="AL1438">
        <v>87.083901648633798</v>
      </c>
      <c r="AM1438">
        <v>94.7721885079076</v>
      </c>
      <c r="AN1438">
        <v>1.00000004933264</v>
      </c>
    </row>
    <row r="1439" spans="1:40" x14ac:dyDescent="0.3">
      <c r="A1439" t="str">
        <f>"20200111145938885"</f>
        <v>20200111145938885</v>
      </c>
      <c r="B1439" t="str">
        <f>"1578725978876956"</f>
        <v>1578725978876956</v>
      </c>
      <c r="C1439" t="s">
        <v>40</v>
      </c>
      <c r="D1439">
        <v>4.4844489999999997</v>
      </c>
      <c r="E1439">
        <v>0.50173179999999995</v>
      </c>
      <c r="F1439" t="s">
        <v>43</v>
      </c>
      <c r="G1439">
        <v>-284.53039999999999</v>
      </c>
      <c r="H1439">
        <v>-0.05</v>
      </c>
      <c r="I1439">
        <v>368.56869999999998</v>
      </c>
      <c r="J1439">
        <v>-301.84750000000003</v>
      </c>
      <c r="K1439">
        <v>1.0546329999999999</v>
      </c>
      <c r="L1439">
        <v>367.50470000000001</v>
      </c>
      <c r="M1439">
        <v>0.99975689999999995</v>
      </c>
      <c r="N1439">
        <v>0</v>
      </c>
      <c r="O1439">
        <v>-1.804921E-2</v>
      </c>
      <c r="P1439">
        <v>0.99722049999999995</v>
      </c>
      <c r="Q1439">
        <v>3.767243E-2</v>
      </c>
      <c r="R1439">
        <v>6.4282660000000005E-2</v>
      </c>
      <c r="S1439">
        <v>3.0039060000000002</v>
      </c>
      <c r="T1439">
        <v>-0.19055800000000001</v>
      </c>
      <c r="U1439">
        <v>0.18322749999999999</v>
      </c>
      <c r="V1439">
        <v>-8.2261100000000004E-2</v>
      </c>
      <c r="W1439">
        <v>5.0303979999999998E-2</v>
      </c>
      <c r="X1439">
        <v>0.99534049999999996</v>
      </c>
      <c r="Y1439">
        <v>-7.8696730000000006E-2</v>
      </c>
      <c r="Z1439">
        <v>3.6342940000000002E-3</v>
      </c>
      <c r="AA1439">
        <v>0.996892</v>
      </c>
      <c r="AB1439">
        <v>21</v>
      </c>
      <c r="AC1439">
        <v>17.3171</v>
      </c>
      <c r="AD1439">
        <v>-1.104633</v>
      </c>
      <c r="AE1439">
        <v>1.0639999999999601</v>
      </c>
      <c r="AF1439">
        <v>-1.3708546823236001</v>
      </c>
      <c r="AG1439">
        <v>-1.104633</v>
      </c>
      <c r="AH1439">
        <v>17.225247080564099</v>
      </c>
      <c r="AI1439">
        <v>93.657746828946401</v>
      </c>
      <c r="AJ1439">
        <v>94.550239052871703</v>
      </c>
      <c r="AK1439">
        <v>17.314981767568199</v>
      </c>
      <c r="AL1439">
        <v>87.1165774310915</v>
      </c>
      <c r="AM1439">
        <v>94.724540575958201</v>
      </c>
      <c r="AN1439">
        <v>1.0000000449586399</v>
      </c>
    </row>
    <row r="1440" spans="1:40" x14ac:dyDescent="0.3">
      <c r="A1440" t="str">
        <f>"20200111145938896"</f>
        <v>20200111145938896</v>
      </c>
      <c r="B1440" t="str">
        <f>"1578725978886716"</f>
        <v>1578725978886716</v>
      </c>
      <c r="C1440" t="s">
        <v>40</v>
      </c>
      <c r="D1440">
        <v>4.283226</v>
      </c>
      <c r="E1440">
        <v>0.50170720000000002</v>
      </c>
      <c r="F1440" t="s">
        <v>43</v>
      </c>
      <c r="G1440">
        <v>-284.51870000000002</v>
      </c>
      <c r="H1440">
        <v>-0.05</v>
      </c>
      <c r="I1440">
        <v>368.54410000000001</v>
      </c>
      <c r="J1440">
        <v>-301.74599999999998</v>
      </c>
      <c r="K1440">
        <v>1.054632</v>
      </c>
      <c r="L1440">
        <v>367.50279999999998</v>
      </c>
      <c r="M1440">
        <v>0.99975559999999997</v>
      </c>
      <c r="N1440">
        <v>0</v>
      </c>
      <c r="O1440">
        <v>-1.81236E-2</v>
      </c>
      <c r="P1440">
        <v>0.99726490000000001</v>
      </c>
      <c r="Q1440">
        <v>3.733363E-2</v>
      </c>
      <c r="R1440">
        <v>6.3792299999999996E-2</v>
      </c>
      <c r="S1440">
        <v>3.0039669999999998</v>
      </c>
      <c r="T1440">
        <v>-0.1914901</v>
      </c>
      <c r="U1440">
        <v>0.1801758</v>
      </c>
      <c r="V1440">
        <v>-8.1845799999999996E-2</v>
      </c>
      <c r="W1440">
        <v>4.9965379999999997E-2</v>
      </c>
      <c r="X1440">
        <v>0.99539169999999999</v>
      </c>
      <c r="Y1440">
        <v>-7.7760410000000002E-2</v>
      </c>
      <c r="Z1440">
        <v>3.6270180000000001E-3</v>
      </c>
      <c r="AA1440">
        <v>0.99696549999999995</v>
      </c>
      <c r="AB1440">
        <v>21</v>
      </c>
      <c r="AC1440">
        <v>17.2272999999999</v>
      </c>
      <c r="AD1440">
        <v>-1.1046320000000001</v>
      </c>
      <c r="AE1440">
        <v>1.0413000000000301</v>
      </c>
      <c r="AF1440">
        <v>-1.3478531298484699</v>
      </c>
      <c r="AG1440">
        <v>-1.1046320000000001</v>
      </c>
      <c r="AH1440">
        <v>17.135400597901199</v>
      </c>
      <c r="AI1440">
        <v>93.677136509923699</v>
      </c>
      <c r="AJ1440">
        <v>94.497566984814796</v>
      </c>
      <c r="AK1440">
        <v>17.2237880144183</v>
      </c>
      <c r="AL1440">
        <v>87.136001951578393</v>
      </c>
      <c r="AM1440">
        <v>94.700554905654201</v>
      </c>
      <c r="AN1440">
        <v>0.99999995530253605</v>
      </c>
    </row>
    <row r="1441" spans="1:40" x14ac:dyDescent="0.3">
      <c r="A1441" t="str">
        <f>"20200111145938907"</f>
        <v>20200111145938907</v>
      </c>
      <c r="B1441" t="str">
        <f>"1578725978897454"</f>
        <v>1578725978897454</v>
      </c>
      <c r="C1441" t="s">
        <v>40</v>
      </c>
      <c r="D1441">
        <v>4.3024300000000002</v>
      </c>
      <c r="E1441">
        <v>0.501722</v>
      </c>
      <c r="F1441" t="s">
        <v>43</v>
      </c>
      <c r="G1441">
        <v>-284.55430000000001</v>
      </c>
      <c r="H1441">
        <v>-0.05</v>
      </c>
      <c r="I1441">
        <v>368.52839999999998</v>
      </c>
      <c r="J1441">
        <v>-301.65170000000001</v>
      </c>
      <c r="K1441">
        <v>1.0546310000000001</v>
      </c>
      <c r="L1441">
        <v>367.50099999999998</v>
      </c>
      <c r="M1441">
        <v>0.99975440000000004</v>
      </c>
      <c r="N1441">
        <v>0</v>
      </c>
      <c r="O1441">
        <v>-1.8192150000000001E-2</v>
      </c>
      <c r="P1441">
        <v>0.99730830000000004</v>
      </c>
      <c r="Q1441">
        <v>3.7201749999999999E-2</v>
      </c>
      <c r="R1441">
        <v>6.3185809999999995E-2</v>
      </c>
      <c r="S1441">
        <v>3.0039980000000002</v>
      </c>
      <c r="T1441">
        <v>-0.19301769999999999</v>
      </c>
      <c r="U1441">
        <v>0.1791992</v>
      </c>
      <c r="V1441">
        <v>-8.1308539999999999E-2</v>
      </c>
      <c r="W1441">
        <v>4.9832500000000002E-2</v>
      </c>
      <c r="X1441">
        <v>0.99544250000000001</v>
      </c>
      <c r="Y1441">
        <v>-7.7502500000000002E-2</v>
      </c>
      <c r="Z1441">
        <v>3.652017E-3</v>
      </c>
      <c r="AA1441">
        <v>0.99698549999999997</v>
      </c>
      <c r="AB1441">
        <v>21</v>
      </c>
      <c r="AC1441">
        <v>17.097399999999901</v>
      </c>
      <c r="AD1441">
        <v>-1.1046309999999999</v>
      </c>
      <c r="AE1441">
        <v>1.0274000000000001</v>
      </c>
      <c r="AF1441">
        <v>-1.33275016447355</v>
      </c>
      <c r="AG1441">
        <v>-1.1046309999999999</v>
      </c>
      <c r="AH1441">
        <v>17.005150293004501</v>
      </c>
      <c r="AI1441">
        <v>93.705302256162</v>
      </c>
      <c r="AJ1441">
        <v>94.481300428545097</v>
      </c>
      <c r="AK1441">
        <v>17.0930269155213</v>
      </c>
      <c r="AL1441">
        <v>87.143625221321301</v>
      </c>
      <c r="AM1441">
        <v>94.669598729767202</v>
      </c>
      <c r="AN1441">
        <v>1.00000006376971</v>
      </c>
    </row>
    <row r="1442" spans="1:40" x14ac:dyDescent="0.3">
      <c r="A1442" t="str">
        <f>"20200111145938917"</f>
        <v>20200111145938917</v>
      </c>
      <c r="B1442" t="str">
        <f>"1578725978907212"</f>
        <v>1578725978907212</v>
      </c>
      <c r="C1442" t="s">
        <v>40</v>
      </c>
      <c r="D1442">
        <v>4.2798299999999996</v>
      </c>
      <c r="E1442">
        <v>0.50170769999999998</v>
      </c>
      <c r="F1442" t="s">
        <v>43</v>
      </c>
      <c r="G1442">
        <v>-284.55029999999999</v>
      </c>
      <c r="H1442">
        <v>-0.05</v>
      </c>
      <c r="I1442">
        <v>368.50810000000001</v>
      </c>
      <c r="J1442">
        <v>-301.5496</v>
      </c>
      <c r="K1442">
        <v>1.0546310000000001</v>
      </c>
      <c r="L1442">
        <v>367.4991</v>
      </c>
      <c r="M1442">
        <v>0.99975309999999995</v>
      </c>
      <c r="N1442">
        <v>0</v>
      </c>
      <c r="O1442">
        <v>-1.8266290000000001E-2</v>
      </c>
      <c r="P1442">
        <v>0.99736089999999999</v>
      </c>
      <c r="Q1442">
        <v>3.7169569999999999E-2</v>
      </c>
      <c r="R1442">
        <v>6.2373690000000002E-2</v>
      </c>
      <c r="S1442">
        <v>3.004089</v>
      </c>
      <c r="T1442">
        <v>-0.19404350000000001</v>
      </c>
      <c r="U1442">
        <v>0.1769104</v>
      </c>
      <c r="V1442">
        <v>-8.0571500000000004E-2</v>
      </c>
      <c r="W1442">
        <v>4.9800120000000003E-2</v>
      </c>
      <c r="X1442">
        <v>0.99550400000000006</v>
      </c>
      <c r="Y1442">
        <v>-7.6816839999999997E-2</v>
      </c>
      <c r="Z1442">
        <v>3.6540330000000001E-3</v>
      </c>
      <c r="AA1442">
        <v>0.99703850000000005</v>
      </c>
      <c r="AB1442">
        <v>21</v>
      </c>
      <c r="AC1442">
        <v>16.999300000000002</v>
      </c>
      <c r="AD1442">
        <v>-1.1046309999999999</v>
      </c>
      <c r="AE1442">
        <v>1.0090000000000101</v>
      </c>
      <c r="AF1442">
        <v>-1.31384237150974</v>
      </c>
      <c r="AG1442">
        <v>-1.1046309999999999</v>
      </c>
      <c r="AH1442">
        <v>16.906892005805499</v>
      </c>
      <c r="AI1442">
        <v>93.726967047705102</v>
      </c>
      <c r="AJ1442">
        <v>94.443551053720299</v>
      </c>
      <c r="AK1442">
        <v>16.993804421591602</v>
      </c>
      <c r="AL1442">
        <v>87.145482629231793</v>
      </c>
      <c r="AM1442">
        <v>94.627170108162701</v>
      </c>
      <c r="AN1442">
        <v>1.0000000162901299</v>
      </c>
    </row>
    <row r="1443" spans="1:40" x14ac:dyDescent="0.3">
      <c r="A1443" t="str">
        <f>"20200111145938928"</f>
        <v>20200111145938928</v>
      </c>
      <c r="B1443" t="str">
        <f>"1578725978916973"</f>
        <v>1578725978916973</v>
      </c>
      <c r="C1443" t="s">
        <v>40</v>
      </c>
      <c r="D1443">
        <v>4.309272</v>
      </c>
      <c r="E1443">
        <v>0.50166980000000005</v>
      </c>
      <c r="F1443" t="s">
        <v>43</v>
      </c>
      <c r="G1443">
        <v>-284.48930000000001</v>
      </c>
      <c r="H1443">
        <v>-0.05</v>
      </c>
      <c r="I1443">
        <v>368.48790000000002</v>
      </c>
      <c r="J1443">
        <v>-301.4547</v>
      </c>
      <c r="K1443">
        <v>1.054629</v>
      </c>
      <c r="L1443">
        <v>367.4973</v>
      </c>
      <c r="M1443">
        <v>0.99975170000000002</v>
      </c>
      <c r="N1443">
        <v>0</v>
      </c>
      <c r="O1443">
        <v>-1.8333039999999998E-2</v>
      </c>
      <c r="P1443">
        <v>0.99741080000000004</v>
      </c>
      <c r="Q1443">
        <v>3.6900250000000002E-2</v>
      </c>
      <c r="R1443">
        <v>6.1727839999999999E-2</v>
      </c>
      <c r="S1443">
        <v>3.0043329999999999</v>
      </c>
      <c r="T1443">
        <v>-0.19452620000000001</v>
      </c>
      <c r="U1443">
        <v>0.17413329999999999</v>
      </c>
      <c r="V1443">
        <v>-7.9992949999999993E-2</v>
      </c>
      <c r="W1443">
        <v>4.9530570000000003E-2</v>
      </c>
      <c r="X1443">
        <v>0.99556409999999995</v>
      </c>
      <c r="Y1443">
        <v>-7.5960810000000004E-2</v>
      </c>
      <c r="Z1443">
        <v>3.6395569999999999E-3</v>
      </c>
      <c r="AA1443">
        <v>0.9971042</v>
      </c>
      <c r="AB1443">
        <v>21</v>
      </c>
      <c r="AC1443">
        <v>16.965399999999899</v>
      </c>
      <c r="AD1443">
        <v>-1.1046290000000001</v>
      </c>
      <c r="AE1443">
        <v>0.99060000000002901</v>
      </c>
      <c r="AF1443">
        <v>-1.2960101581599801</v>
      </c>
      <c r="AG1443">
        <v>-1.1046290000000001</v>
      </c>
      <c r="AH1443">
        <v>16.873097290123301</v>
      </c>
      <c r="AI1443">
        <v>93.734661603329101</v>
      </c>
      <c r="AJ1443">
        <v>94.392222569189997</v>
      </c>
      <c r="AK1443">
        <v>16.958810681167002</v>
      </c>
      <c r="AL1443">
        <v>87.160945780780807</v>
      </c>
      <c r="AM1443">
        <v>94.5938109376239</v>
      </c>
      <c r="AN1443">
        <v>1.0000000133115099</v>
      </c>
    </row>
    <row r="1444" spans="1:40" x14ac:dyDescent="0.3">
      <c r="A1444" t="str">
        <f>"20200111145938940"</f>
        <v>20200111145938940</v>
      </c>
      <c r="B1444" t="str">
        <f>"1578725978937469"</f>
        <v>1578725978937469</v>
      </c>
      <c r="C1444" t="s">
        <v>40</v>
      </c>
      <c r="D1444">
        <v>4.2907279999999997</v>
      </c>
      <c r="E1444">
        <v>0.50191889999999995</v>
      </c>
      <c r="F1444" t="s">
        <v>43</v>
      </c>
      <c r="G1444">
        <v>-284.45269999999999</v>
      </c>
      <c r="H1444">
        <v>-0.05</v>
      </c>
      <c r="I1444">
        <v>368.47390000000001</v>
      </c>
      <c r="J1444">
        <v>-301.34120000000001</v>
      </c>
      <c r="K1444">
        <v>1.0546279999999999</v>
      </c>
      <c r="L1444">
        <v>367.49509999999998</v>
      </c>
      <c r="M1444">
        <v>0.99975040000000004</v>
      </c>
      <c r="N1444">
        <v>0</v>
      </c>
      <c r="O1444">
        <v>-1.84123E-2</v>
      </c>
      <c r="P1444">
        <v>0.99747370000000002</v>
      </c>
      <c r="Q1444">
        <v>3.65095E-2</v>
      </c>
      <c r="R1444">
        <v>6.0940689999999999E-2</v>
      </c>
      <c r="S1444">
        <v>3.0043639999999998</v>
      </c>
      <c r="T1444">
        <v>-0.19519510000000001</v>
      </c>
      <c r="U1444">
        <v>0.17257690000000001</v>
      </c>
      <c r="V1444">
        <v>-7.9286179999999998E-2</v>
      </c>
      <c r="W1444">
        <v>4.9139549999999997E-2</v>
      </c>
      <c r="X1444">
        <v>0.99563999999999997</v>
      </c>
      <c r="Y1444">
        <v>-7.552383E-2</v>
      </c>
      <c r="Z1444">
        <v>3.6430329999999999E-3</v>
      </c>
      <c r="AA1444">
        <v>0.99713739999999995</v>
      </c>
      <c r="AB1444">
        <v>21</v>
      </c>
      <c r="AC1444">
        <v>16.888500000000001</v>
      </c>
      <c r="AD1444">
        <v>-1.1046279999999999</v>
      </c>
      <c r="AE1444">
        <v>0.97880000000003498</v>
      </c>
      <c r="AF1444">
        <v>-1.2841397993095101</v>
      </c>
      <c r="AG1444">
        <v>-1.1046279999999999</v>
      </c>
      <c r="AH1444">
        <v>16.795998938938499</v>
      </c>
      <c r="AI1444">
        <v>93.751853453217507</v>
      </c>
      <c r="AJ1444">
        <v>94.372049095168194</v>
      </c>
      <c r="AK1444">
        <v>16.881196592640499</v>
      </c>
      <c r="AL1444">
        <v>87.1833768581876</v>
      </c>
      <c r="AM1444">
        <v>94.553048543780093</v>
      </c>
      <c r="AN1444">
        <v>1.00000000165659</v>
      </c>
    </row>
    <row r="1445" spans="1:40" x14ac:dyDescent="0.3">
      <c r="A1445" t="str">
        <f>"20200111145938952"</f>
        <v>20200111145938952</v>
      </c>
      <c r="B1445" t="str">
        <f>"1578725978947229"</f>
        <v>1578725978947229</v>
      </c>
      <c r="C1445" t="s">
        <v>40</v>
      </c>
      <c r="D1445">
        <v>4.2410129999999997</v>
      </c>
      <c r="E1445">
        <v>0.50191889999999995</v>
      </c>
      <c r="F1445" t="s">
        <v>43</v>
      </c>
      <c r="G1445">
        <v>-284.4255</v>
      </c>
      <c r="H1445">
        <v>-0.05</v>
      </c>
      <c r="I1445">
        <v>368.44170000000003</v>
      </c>
      <c r="J1445">
        <v>-301.23099999999999</v>
      </c>
      <c r="K1445">
        <v>1.0546260000000001</v>
      </c>
      <c r="L1445">
        <v>367.49299999999999</v>
      </c>
      <c r="M1445">
        <v>0.999749</v>
      </c>
      <c r="N1445">
        <v>0</v>
      </c>
      <c r="O1445">
        <v>-1.8486289999999999E-2</v>
      </c>
      <c r="P1445">
        <v>0.99753060000000005</v>
      </c>
      <c r="Q1445">
        <v>3.5991799999999997E-2</v>
      </c>
      <c r="R1445">
        <v>6.0313609999999997E-2</v>
      </c>
      <c r="S1445">
        <v>3.0045169999999999</v>
      </c>
      <c r="T1445">
        <v>-0.1962006</v>
      </c>
      <c r="U1445">
        <v>0.16815189999999999</v>
      </c>
      <c r="V1445">
        <v>-7.8734609999999997E-2</v>
      </c>
      <c r="W1445">
        <v>4.8621379999999999E-2</v>
      </c>
      <c r="X1445">
        <v>0.99570919999999896</v>
      </c>
      <c r="Y1445">
        <v>-7.4131539999999996E-2</v>
      </c>
      <c r="Z1445">
        <v>3.6211709999999999E-3</v>
      </c>
      <c r="AA1445">
        <v>0.99724190000000001</v>
      </c>
      <c r="AB1445">
        <v>21</v>
      </c>
      <c r="AC1445">
        <v>16.805499999999899</v>
      </c>
      <c r="AD1445">
        <v>-1.1046260000000001</v>
      </c>
      <c r="AE1445">
        <v>0.94869999999997401</v>
      </c>
      <c r="AF1445">
        <v>-1.25383418505211</v>
      </c>
      <c r="AG1445">
        <v>-1.1046260000000001</v>
      </c>
      <c r="AH1445">
        <v>16.713109814325801</v>
      </c>
      <c r="AI1445">
        <v>93.770806563224895</v>
      </c>
      <c r="AJ1445">
        <v>94.290349718354307</v>
      </c>
      <c r="AK1445">
        <v>16.796438266168099</v>
      </c>
      <c r="AL1445">
        <v>87.213101323295902</v>
      </c>
      <c r="AM1445">
        <v>94.521193223089597</v>
      </c>
      <c r="AN1445">
        <v>0.99999999418479801</v>
      </c>
    </row>
    <row r="1446" spans="1:40" x14ac:dyDescent="0.3">
      <c r="A1446" t="str">
        <f>"20200111145938965"</f>
        <v>20200111145938965</v>
      </c>
      <c r="B1446" t="str">
        <f>"1578725978956989"</f>
        <v>1578725978956989</v>
      </c>
      <c r="C1446" t="s">
        <v>40</v>
      </c>
      <c r="D1446">
        <v>4.3031309999999996</v>
      </c>
      <c r="E1446">
        <v>0.52611269999999999</v>
      </c>
      <c r="F1446" t="s">
        <v>43</v>
      </c>
      <c r="G1446">
        <v>-284.44799999999998</v>
      </c>
      <c r="H1446">
        <v>-0.05</v>
      </c>
      <c r="I1446">
        <v>368.423</v>
      </c>
      <c r="J1446">
        <v>-301.1157</v>
      </c>
      <c r="K1446">
        <v>1.0546260000000001</v>
      </c>
      <c r="L1446">
        <v>367.4907</v>
      </c>
      <c r="M1446">
        <v>0.99974759999999996</v>
      </c>
      <c r="N1446">
        <v>0</v>
      </c>
      <c r="O1446">
        <v>-1.856242E-2</v>
      </c>
      <c r="P1446">
        <v>0.99757479999999998</v>
      </c>
      <c r="Q1446">
        <v>3.5563629999999999E-2</v>
      </c>
      <c r="R1446">
        <v>5.9834289999999998E-2</v>
      </c>
      <c r="S1446">
        <v>3.0044559999999998</v>
      </c>
      <c r="T1446">
        <v>-0.19774729999999999</v>
      </c>
      <c r="U1446">
        <v>0.16650390000000001</v>
      </c>
      <c r="V1446">
        <v>-7.8332659999999998E-2</v>
      </c>
      <c r="W1446">
        <v>4.8192720000000001E-2</v>
      </c>
      <c r="X1446">
        <v>0.99576180000000003</v>
      </c>
      <c r="Y1446">
        <v>-7.3661039999999997E-2</v>
      </c>
      <c r="Z1446">
        <v>3.6393329999999998E-3</v>
      </c>
      <c r="AA1446">
        <v>0.99727670000000002</v>
      </c>
      <c r="AB1446">
        <v>21</v>
      </c>
      <c r="AC1446">
        <v>16.6677</v>
      </c>
      <c r="AD1446">
        <v>-1.1046260000000001</v>
      </c>
      <c r="AE1446">
        <v>0.93229999999999802</v>
      </c>
      <c r="AF1446">
        <v>-1.2361445474732</v>
      </c>
      <c r="AG1446">
        <v>-1.1046260000000001</v>
      </c>
      <c r="AH1446">
        <v>16.5749476859535</v>
      </c>
      <c r="AI1446">
        <v>93.802271295637794</v>
      </c>
      <c r="AJ1446">
        <v>94.265171217484607</v>
      </c>
      <c r="AK1446">
        <v>16.657645173739901</v>
      </c>
      <c r="AL1446">
        <v>87.237690721541995</v>
      </c>
      <c r="AM1446">
        <v>94.497970297188303</v>
      </c>
      <c r="AN1446">
        <v>1.0000000531114499</v>
      </c>
    </row>
    <row r="1447" spans="1:40" x14ac:dyDescent="0.3">
      <c r="A1447" t="str">
        <f>"20200111145938977"</f>
        <v>20200111145938977</v>
      </c>
      <c r="B1447" t="str">
        <f>"1578725978966748"</f>
        <v>1578725978966748</v>
      </c>
      <c r="C1447" t="s">
        <v>40</v>
      </c>
      <c r="D1447">
        <v>4.2574040000000002</v>
      </c>
      <c r="E1447">
        <v>0.52737339999999999</v>
      </c>
      <c r="F1447" t="s">
        <v>42</v>
      </c>
      <c r="G1447">
        <v>-272.6952</v>
      </c>
      <c r="H1447" s="1">
        <v>-3.539763E-6</v>
      </c>
      <c r="I1447">
        <v>367.2276</v>
      </c>
      <c r="J1447">
        <v>-300.99590000000001</v>
      </c>
      <c r="K1447">
        <v>1.054627</v>
      </c>
      <c r="L1447">
        <v>367.48840000000001</v>
      </c>
      <c r="M1447">
        <v>0.99974620000000003</v>
      </c>
      <c r="N1447">
        <v>0</v>
      </c>
      <c r="O1447">
        <v>-1.8639139999999998E-2</v>
      </c>
      <c r="P1447">
        <v>0.99761409999999995</v>
      </c>
      <c r="Q1447">
        <v>3.5260619999999999E-2</v>
      </c>
      <c r="R1447">
        <v>5.9355150000000002E-2</v>
      </c>
      <c r="S1447">
        <v>3.0129700000000001</v>
      </c>
      <c r="T1447">
        <v>-0.11180519999999999</v>
      </c>
      <c r="U1447">
        <v>-2.7893069999999999E-2</v>
      </c>
      <c r="V1447">
        <v>-7.7930669999999994E-2</v>
      </c>
      <c r="W1447">
        <v>4.7888380000000001E-2</v>
      </c>
      <c r="X1447">
        <v>0.99580789999999997</v>
      </c>
      <c r="Y1447">
        <v>-9.3649049999999998E-3</v>
      </c>
      <c r="Z1447">
        <v>8.6511119999999996E-4</v>
      </c>
      <c r="AA1447">
        <v>0.99995579999999995</v>
      </c>
      <c r="AB1447">
        <v>21</v>
      </c>
      <c r="AC1447">
        <v>28.300699999999999</v>
      </c>
      <c r="AD1447">
        <v>-1.054630539763</v>
      </c>
      <c r="AE1447">
        <v>-0.26080000000001702</v>
      </c>
      <c r="AF1447">
        <v>-0.26641831819064898</v>
      </c>
      <c r="AG1447">
        <v>-1.054630539763</v>
      </c>
      <c r="AH1447">
        <v>28.261401097714501</v>
      </c>
      <c r="AI1447">
        <v>92.1370197537954</v>
      </c>
      <c r="AJ1447">
        <v>90.540107442442107</v>
      </c>
      <c r="AK1447">
        <v>28.282326925158898</v>
      </c>
      <c r="AL1447">
        <v>87.255147936725194</v>
      </c>
      <c r="AM1447">
        <v>94.474775146049694</v>
      </c>
      <c r="AN1447">
        <v>0.99999992998403897</v>
      </c>
    </row>
    <row r="1448" spans="1:40" x14ac:dyDescent="0.3">
      <c r="A1448" t="str">
        <f>"20200111145938990"</f>
        <v>20200111145938990</v>
      </c>
      <c r="B1448" t="str">
        <f>"1578725978987245"</f>
        <v>1578725978987245</v>
      </c>
      <c r="C1448" t="s">
        <v>40</v>
      </c>
      <c r="D1448">
        <v>4.2267000000000001</v>
      </c>
      <c r="E1448">
        <v>0.52750010000000003</v>
      </c>
      <c r="F1448" t="s">
        <v>42</v>
      </c>
      <c r="G1448">
        <v>-275.0917</v>
      </c>
      <c r="H1448" s="1">
        <v>-2.5254809999999999E-6</v>
      </c>
      <c r="I1448">
        <v>367.1497</v>
      </c>
      <c r="J1448">
        <v>-300.88819999999998</v>
      </c>
      <c r="K1448">
        <v>1.0546230000000001</v>
      </c>
      <c r="L1448">
        <v>367.48630000000003</v>
      </c>
      <c r="M1448">
        <v>0.99974510000000005</v>
      </c>
      <c r="N1448">
        <v>0</v>
      </c>
      <c r="O1448">
        <v>-1.8704769999999999E-2</v>
      </c>
      <c r="P1448">
        <v>0.99761369999999905</v>
      </c>
      <c r="Q1448">
        <v>3.5222799999999999E-2</v>
      </c>
      <c r="R1448">
        <v>5.9386550000000003E-2</v>
      </c>
      <c r="S1448">
        <v>3.013855</v>
      </c>
      <c r="T1448">
        <v>-0.12270209999999999</v>
      </c>
      <c r="U1448">
        <v>-3.939819E-2</v>
      </c>
      <c r="V1448">
        <v>-7.8027689999999997E-2</v>
      </c>
      <c r="W1448">
        <v>4.7848839999999997E-2</v>
      </c>
      <c r="X1448">
        <v>0.99580230000000003</v>
      </c>
      <c r="Y1448">
        <v>-5.6155679999999996E-3</v>
      </c>
      <c r="Z1448">
        <v>8.7543769999999998E-4</v>
      </c>
      <c r="AA1448">
        <v>0.99998379999999998</v>
      </c>
      <c r="AB1448">
        <v>21</v>
      </c>
      <c r="AC1448">
        <v>25.796499999999899</v>
      </c>
      <c r="AD1448">
        <v>-1.054625525481</v>
      </c>
      <c r="AE1448">
        <v>-0.33660000000003198</v>
      </c>
      <c r="AF1448">
        <v>-0.14577147264998699</v>
      </c>
      <c r="AG1448">
        <v>-1.054625525481</v>
      </c>
      <c r="AH1448">
        <v>25.755243272809899</v>
      </c>
      <c r="AI1448">
        <v>92.344799699330693</v>
      </c>
      <c r="AJ1448">
        <v>90.324283521042503</v>
      </c>
      <c r="AK1448">
        <v>25.777238804085599</v>
      </c>
      <c r="AL1448">
        <v>87.257416276365802</v>
      </c>
      <c r="AM1448">
        <v>94.480348454886794</v>
      </c>
      <c r="AN1448">
        <v>1.0000000262906801</v>
      </c>
    </row>
    <row r="1449" spans="1:40" x14ac:dyDescent="0.3">
      <c r="A1449" t="str">
        <f>"20200111145939002"</f>
        <v>20200111145939002</v>
      </c>
      <c r="B1449" t="str">
        <f>"1578725978997006"</f>
        <v>1578725978997006</v>
      </c>
      <c r="C1449" t="s">
        <v>40</v>
      </c>
      <c r="D1449">
        <v>4.2611150000000002</v>
      </c>
      <c r="E1449">
        <v>0.52808140000000003</v>
      </c>
      <c r="F1449" t="s">
        <v>42</v>
      </c>
      <c r="G1449">
        <v>-277.0598</v>
      </c>
      <c r="H1449" s="1">
        <v>-1.678042E-6</v>
      </c>
      <c r="I1449">
        <v>367.16730000000001</v>
      </c>
      <c r="J1449">
        <v>-300.7731</v>
      </c>
      <c r="K1449">
        <v>1.0546249999999999</v>
      </c>
      <c r="L1449">
        <v>367.48410000000001</v>
      </c>
      <c r="M1449">
        <v>0.99974370000000001</v>
      </c>
      <c r="N1449">
        <v>0</v>
      </c>
      <c r="O1449">
        <v>-1.8772540000000001E-2</v>
      </c>
      <c r="P1449">
        <v>0.99762589999999995</v>
      </c>
      <c r="Q1449">
        <v>3.4901950000000001E-2</v>
      </c>
      <c r="R1449">
        <v>5.9368919999999999E-2</v>
      </c>
      <c r="S1449">
        <v>3.014313</v>
      </c>
      <c r="T1449">
        <v>-0.13341059999999999</v>
      </c>
      <c r="U1449">
        <v>-4.0344240000000003E-2</v>
      </c>
      <c r="V1449">
        <v>-7.8078750000000002E-2</v>
      </c>
      <c r="W1449">
        <v>4.7526400000000003E-2</v>
      </c>
      <c r="X1449">
        <v>0.99581370000000002</v>
      </c>
      <c r="Y1449">
        <v>-5.3680660000000003E-3</v>
      </c>
      <c r="Z1449">
        <v>9.4914399999999996E-4</v>
      </c>
      <c r="AA1449">
        <v>0.99998520000000002</v>
      </c>
      <c r="AB1449">
        <v>21</v>
      </c>
      <c r="AC1449">
        <v>23.7133</v>
      </c>
      <c r="AD1449">
        <v>-1.0546266780419999</v>
      </c>
      <c r="AE1449">
        <v>-0.31680000000000003</v>
      </c>
      <c r="AF1449">
        <v>-0.128196832528295</v>
      </c>
      <c r="AG1449">
        <v>-1.0546266780419999</v>
      </c>
      <c r="AH1449">
        <v>23.668262106264699</v>
      </c>
      <c r="AI1449">
        <v>92.551299672244696</v>
      </c>
      <c r="AJ1449">
        <v>90.310333964952207</v>
      </c>
      <c r="AK1449">
        <v>23.692093680988901</v>
      </c>
      <c r="AL1449">
        <v>87.275911663719995</v>
      </c>
      <c r="AM1449">
        <v>94.483217255431498</v>
      </c>
      <c r="AN1449">
        <v>0.99999998750310604</v>
      </c>
    </row>
    <row r="1450" spans="1:40" x14ac:dyDescent="0.3">
      <c r="A1450" t="str">
        <f>"20200111145939015"</f>
        <v>20200111145939015</v>
      </c>
      <c r="B1450" t="str">
        <f>"1578725979006766"</f>
        <v>1578725979006766</v>
      </c>
      <c r="C1450" t="s">
        <v>40</v>
      </c>
      <c r="D1450">
        <v>4.2323389999999996</v>
      </c>
      <c r="E1450">
        <v>0.52803559999999905</v>
      </c>
      <c r="F1450" t="s">
        <v>42</v>
      </c>
      <c r="G1450">
        <v>-277.16149999999999</v>
      </c>
      <c r="H1450" s="1">
        <v>-1.640974E-6</v>
      </c>
      <c r="I1450">
        <v>367.13049999999998</v>
      </c>
      <c r="J1450">
        <v>-300.6465</v>
      </c>
      <c r="K1450">
        <v>1.0546279999999999</v>
      </c>
      <c r="L1450">
        <v>367.48160000000001</v>
      </c>
      <c r="M1450">
        <v>0.99974240000000003</v>
      </c>
      <c r="N1450">
        <v>0</v>
      </c>
      <c r="O1450">
        <v>-1.8840880000000001E-2</v>
      </c>
      <c r="P1450">
        <v>0.99758179999999996</v>
      </c>
      <c r="Q1450">
        <v>3.5214160000000001E-2</v>
      </c>
      <c r="R1450">
        <v>5.9923320000000002E-2</v>
      </c>
      <c r="S1450">
        <v>3.014526</v>
      </c>
      <c r="T1450">
        <v>-0.13464519999999999</v>
      </c>
      <c r="U1450">
        <v>-4.5135500000000002E-2</v>
      </c>
      <c r="V1450">
        <v>-7.8701030000000005E-2</v>
      </c>
      <c r="W1450">
        <v>4.7835990000000002E-2</v>
      </c>
      <c r="X1450">
        <v>0.99574989999999997</v>
      </c>
      <c r="Y1450">
        <v>-3.849328E-3</v>
      </c>
      <c r="Z1450">
        <v>9.2698900000000002E-4</v>
      </c>
      <c r="AA1450">
        <v>0.99999210000000005</v>
      </c>
      <c r="AB1450">
        <v>21</v>
      </c>
      <c r="AC1450">
        <v>23.484999999999999</v>
      </c>
      <c r="AD1450">
        <v>-1.0546296409739999</v>
      </c>
      <c r="AE1450">
        <v>-0.35110000000003</v>
      </c>
      <c r="AF1450">
        <v>-9.1291778142228094E-2</v>
      </c>
      <c r="AG1450">
        <v>-1.0546296409739999</v>
      </c>
      <c r="AH1450">
        <v>23.440187370340901</v>
      </c>
      <c r="AI1450">
        <v>92.576116176681595</v>
      </c>
      <c r="AJ1450">
        <v>90.223146985240703</v>
      </c>
      <c r="AK1450">
        <v>23.464078115814999</v>
      </c>
      <c r="AL1450">
        <v>87.258153295472994</v>
      </c>
      <c r="AM1450">
        <v>94.519088987225999</v>
      </c>
      <c r="AN1450">
        <v>0.99999999870617495</v>
      </c>
    </row>
    <row r="1451" spans="1:40" x14ac:dyDescent="0.3">
      <c r="A1451" t="str">
        <f>"20200111145939028"</f>
        <v>20200111145939028</v>
      </c>
      <c r="B1451" t="str">
        <f>"1578725979017500"</f>
        <v>1578725979017500</v>
      </c>
      <c r="C1451" t="s">
        <v>40</v>
      </c>
      <c r="D1451">
        <v>4.1906919999999896</v>
      </c>
      <c r="E1451">
        <v>0.52840980000000004</v>
      </c>
      <c r="F1451" t="s">
        <v>42</v>
      </c>
      <c r="G1451">
        <v>-277.637</v>
      </c>
      <c r="H1451" s="1">
        <v>-1.4455890000000001E-6</v>
      </c>
      <c r="I1451">
        <v>367.15309999999999</v>
      </c>
      <c r="J1451">
        <v>-300.53539999999998</v>
      </c>
      <c r="K1451">
        <v>1.0546409999999999</v>
      </c>
      <c r="L1451">
        <v>367.4794</v>
      </c>
      <c r="M1451">
        <v>0.99974149999999995</v>
      </c>
      <c r="N1451">
        <v>0</v>
      </c>
      <c r="O1451">
        <v>-1.889658E-2</v>
      </c>
      <c r="P1451">
        <v>0.99751369999999895</v>
      </c>
      <c r="Q1451">
        <v>3.5356520000000002E-2</v>
      </c>
      <c r="R1451">
        <v>6.0967489999999999E-2</v>
      </c>
      <c r="S1451">
        <v>3.0147089999999999</v>
      </c>
      <c r="T1451">
        <v>-0.13817739999999901</v>
      </c>
      <c r="U1451">
        <v>-4.3029789999999998E-2</v>
      </c>
      <c r="V1451">
        <v>-7.9799640000000005E-2</v>
      </c>
      <c r="W1451">
        <v>4.7976009999999999E-2</v>
      </c>
      <c r="X1451">
        <v>0.99565570000000003</v>
      </c>
      <c r="Y1451">
        <v>-4.6022249999999997E-3</v>
      </c>
      <c r="Z1451">
        <v>9.7102579999999998E-4</v>
      </c>
      <c r="AA1451">
        <v>0.99998889999999996</v>
      </c>
      <c r="AB1451">
        <v>21</v>
      </c>
      <c r="AC1451">
        <v>22.898399999999899</v>
      </c>
      <c r="AD1451">
        <v>-1.054642445589</v>
      </c>
      <c r="AE1451">
        <v>-0.32630000000000298</v>
      </c>
      <c r="AF1451">
        <v>-0.10626892651502499</v>
      </c>
      <c r="AG1451">
        <v>-1.054642445589</v>
      </c>
      <c r="AH1451">
        <v>22.852011218747201</v>
      </c>
      <c r="AI1451">
        <v>92.642352225977206</v>
      </c>
      <c r="AJ1451">
        <v>90.266441191298</v>
      </c>
      <c r="AK1451">
        <v>22.8765814866324</v>
      </c>
      <c r="AL1451">
        <v>87.250121457630897</v>
      </c>
      <c r="AM1451">
        <v>94.5823371162722</v>
      </c>
      <c r="AN1451">
        <v>0.99999997651106898</v>
      </c>
    </row>
    <row r="1452" spans="1:40" x14ac:dyDescent="0.3">
      <c r="A1452" t="str">
        <f>"20200111145939039"</f>
        <v>20200111145939039</v>
      </c>
      <c r="B1452" t="str">
        <f>"1578725979037020"</f>
        <v>1578725979037020</v>
      </c>
      <c r="C1452" t="s">
        <v>40</v>
      </c>
      <c r="D1452">
        <v>4.1835370000000003</v>
      </c>
      <c r="E1452">
        <v>0.52900550000000002</v>
      </c>
      <c r="F1452" t="s">
        <v>42</v>
      </c>
      <c r="G1452">
        <v>-277.97620000000001</v>
      </c>
      <c r="H1452" s="1">
        <v>-1.3282310000000001E-6</v>
      </c>
      <c r="I1452">
        <v>367.16039999999998</v>
      </c>
      <c r="J1452">
        <v>-300.43009999999998</v>
      </c>
      <c r="K1452">
        <v>1.0546469999999999</v>
      </c>
      <c r="L1452">
        <v>367.47739999999999</v>
      </c>
      <c r="M1452">
        <v>0.99974039999999997</v>
      </c>
      <c r="N1452">
        <v>0</v>
      </c>
      <c r="O1452">
        <v>-1.894668E-2</v>
      </c>
      <c r="P1452">
        <v>0.99747819999999998</v>
      </c>
      <c r="Q1452">
        <v>3.5636809999999998E-2</v>
      </c>
      <c r="R1452">
        <v>6.137811E-2</v>
      </c>
      <c r="S1452">
        <v>3.0150760000000001</v>
      </c>
      <c r="T1452">
        <v>-0.14095429999999901</v>
      </c>
      <c r="U1452">
        <v>-4.263306E-2</v>
      </c>
      <c r="V1452">
        <v>-8.0259549999999999E-2</v>
      </c>
      <c r="W1452">
        <v>4.8253690000000002E-2</v>
      </c>
      <c r="X1452">
        <v>0.99560530000000003</v>
      </c>
      <c r="Y1452">
        <v>-4.7843800000000004E-3</v>
      </c>
      <c r="Z1452">
        <v>9.9699550000000004E-4</v>
      </c>
      <c r="AA1452">
        <v>0.99998810000000005</v>
      </c>
      <c r="AB1452">
        <v>21</v>
      </c>
      <c r="AC1452">
        <v>22.453899999999901</v>
      </c>
      <c r="AD1452">
        <v>-1.054648328231</v>
      </c>
      <c r="AE1452">
        <v>-0.317000000000007</v>
      </c>
      <c r="AF1452">
        <v>-0.10827901114698001</v>
      </c>
      <c r="AG1452">
        <v>-1.054648328231</v>
      </c>
      <c r="AH1452">
        <v>22.406453582730801</v>
      </c>
      <c r="AI1452">
        <v>92.694832008492298</v>
      </c>
      <c r="AJ1452">
        <v>90.2768792496733</v>
      </c>
      <c r="AK1452">
        <v>22.431521785103399</v>
      </c>
      <c r="AL1452">
        <v>87.234193081577601</v>
      </c>
      <c r="AM1452">
        <v>94.608865397051801</v>
      </c>
      <c r="AN1452">
        <v>0.99999996367645305</v>
      </c>
    </row>
    <row r="1453" spans="1:40" x14ac:dyDescent="0.3">
      <c r="A1453" t="str">
        <f>"20200111145939050"</f>
        <v>20200111145939050</v>
      </c>
      <c r="B1453" t="str">
        <f>"1578725979046781"</f>
        <v>1578725979046781</v>
      </c>
      <c r="C1453" t="s">
        <v>40</v>
      </c>
      <c r="D1453">
        <v>4.4151759999999998</v>
      </c>
      <c r="E1453">
        <v>0.5294065</v>
      </c>
      <c r="F1453" t="s">
        <v>42</v>
      </c>
      <c r="G1453">
        <v>-279.22480000000002</v>
      </c>
      <c r="H1453" s="1">
        <v>-9.0499379999999997E-7</v>
      </c>
      <c r="I1453">
        <v>367.15410000000003</v>
      </c>
      <c r="J1453">
        <v>-300.33260000000001</v>
      </c>
      <c r="K1453">
        <v>1.054657</v>
      </c>
      <c r="L1453">
        <v>367.47550000000001</v>
      </c>
      <c r="M1453">
        <v>0.99973970000000001</v>
      </c>
      <c r="N1453">
        <v>0</v>
      </c>
      <c r="O1453">
        <v>-1.8986050000000001E-2</v>
      </c>
      <c r="P1453">
        <v>0.99746120000000005</v>
      </c>
      <c r="Q1453">
        <v>3.5780510000000001E-2</v>
      </c>
      <c r="R1453">
        <v>6.1571300000000002E-2</v>
      </c>
      <c r="S1453">
        <v>3.0157470000000002</v>
      </c>
      <c r="T1453">
        <v>-0.14998729999999999</v>
      </c>
      <c r="U1453">
        <v>-4.5959470000000002E-2</v>
      </c>
      <c r="V1453">
        <v>-8.0492099999999997E-2</v>
      </c>
      <c r="W1453">
        <v>4.8395149999999998E-2</v>
      </c>
      <c r="X1453">
        <v>0.99557969999999896</v>
      </c>
      <c r="Y1453">
        <v>-3.721991E-3</v>
      </c>
      <c r="Z1453">
        <v>1.03612E-3</v>
      </c>
      <c r="AA1453">
        <v>0.99999249999999995</v>
      </c>
      <c r="AB1453">
        <v>21</v>
      </c>
      <c r="AC1453">
        <v>21.107800000000001</v>
      </c>
      <c r="AD1453">
        <v>-1.0546579049938001</v>
      </c>
      <c r="AE1453">
        <v>-0.32139999999998198</v>
      </c>
      <c r="AF1453">
        <v>-7.9245970524908907E-2</v>
      </c>
      <c r="AG1453">
        <v>-1.0546579049938001</v>
      </c>
      <c r="AH1453">
        <v>21.057538636452598</v>
      </c>
      <c r="AI1453">
        <v>92.867218728911695</v>
      </c>
      <c r="AJ1453">
        <v>90.215620557480605</v>
      </c>
      <c r="AK1453">
        <v>21.0840820679039</v>
      </c>
      <c r="AL1453">
        <v>87.226078651633998</v>
      </c>
      <c r="AM1453">
        <v>94.622280024593195</v>
      </c>
      <c r="AN1453">
        <v>1.00000000387901</v>
      </c>
    </row>
    <row r="1454" spans="1:40" x14ac:dyDescent="0.3">
      <c r="A1454" t="str">
        <f>"20200111145939063"</f>
        <v>20200111145939063</v>
      </c>
      <c r="B1454" t="str">
        <f>"1578725979057516"</f>
        <v>1578725979057516</v>
      </c>
      <c r="C1454" t="s">
        <v>40</v>
      </c>
      <c r="D1454">
        <v>4.2285450000000004</v>
      </c>
      <c r="E1454">
        <v>0.52927539999999995</v>
      </c>
      <c r="F1454" t="s">
        <v>42</v>
      </c>
      <c r="G1454">
        <v>-278.6884</v>
      </c>
      <c r="H1454" s="1">
        <v>-1.094866E-6</v>
      </c>
      <c r="I1454">
        <v>367.1266</v>
      </c>
      <c r="J1454">
        <v>-300.21980000000002</v>
      </c>
      <c r="K1454">
        <v>1.0546660000000001</v>
      </c>
      <c r="L1454">
        <v>367.47320000000002</v>
      </c>
      <c r="M1454">
        <v>0.99973900000000004</v>
      </c>
      <c r="N1454">
        <v>0</v>
      </c>
      <c r="O1454">
        <v>-1.9029210000000001E-2</v>
      </c>
      <c r="P1454">
        <v>0.99743910000000002</v>
      </c>
      <c r="Q1454">
        <v>3.5901669999999997E-2</v>
      </c>
      <c r="R1454">
        <v>6.1857580000000002E-2</v>
      </c>
      <c r="S1454">
        <v>3.0158689999999999</v>
      </c>
      <c r="T1454">
        <v>-0.14695359999999999</v>
      </c>
      <c r="U1454">
        <v>-4.8614499999999998E-2</v>
      </c>
      <c r="V1454">
        <v>-8.0822039999999998E-2</v>
      </c>
      <c r="W1454">
        <v>4.851374E-2</v>
      </c>
      <c r="X1454">
        <v>0.99554719999999997</v>
      </c>
      <c r="Y1454">
        <v>-2.8877130000000001E-3</v>
      </c>
      <c r="Z1454">
        <v>9.9692740000000002E-4</v>
      </c>
      <c r="AA1454">
        <v>0.99999539999999998</v>
      </c>
      <c r="AB1454">
        <v>21</v>
      </c>
      <c r="AC1454">
        <v>21.531400000000001</v>
      </c>
      <c r="AD1454">
        <v>-1.054667094866</v>
      </c>
      <c r="AE1454">
        <v>-0.346600000000023</v>
      </c>
      <c r="AF1454">
        <v>-6.3069762351359901E-2</v>
      </c>
      <c r="AG1454">
        <v>-1.054667094866</v>
      </c>
      <c r="AH1454">
        <v>21.4825667271014</v>
      </c>
      <c r="AI1454">
        <v>92.810615507568002</v>
      </c>
      <c r="AJ1454">
        <v>90.168211781269306</v>
      </c>
      <c r="AK1454">
        <v>21.508532578032298</v>
      </c>
      <c r="AL1454">
        <v>87.219275961334901</v>
      </c>
      <c r="AM1454">
        <v>94.641295161951703</v>
      </c>
      <c r="AN1454">
        <v>1.00000000627319</v>
      </c>
    </row>
    <row r="1455" spans="1:40" x14ac:dyDescent="0.3">
      <c r="A1455" t="str">
        <f>"20200111145939074"</f>
        <v>20200111145939074</v>
      </c>
      <c r="B1455" t="str">
        <f>"1578725979067277"</f>
        <v>1578725979067277</v>
      </c>
      <c r="C1455" t="s">
        <v>40</v>
      </c>
      <c r="D1455">
        <v>4.3231440000000001</v>
      </c>
      <c r="E1455">
        <v>0.52925529999999998</v>
      </c>
      <c r="F1455" t="s">
        <v>42</v>
      </c>
      <c r="G1455">
        <v>-279.00009999999997</v>
      </c>
      <c r="H1455" s="1">
        <v>-9.8381220000000001E-7</v>
      </c>
      <c r="I1455">
        <v>367.14530000000002</v>
      </c>
      <c r="J1455">
        <v>-300.11759999999998</v>
      </c>
      <c r="K1455">
        <v>1.054673</v>
      </c>
      <c r="L1455">
        <v>367.47129999999999</v>
      </c>
      <c r="M1455">
        <v>0.99973829999999997</v>
      </c>
      <c r="N1455">
        <v>0</v>
      </c>
      <c r="O1455">
        <v>-1.905985E-2</v>
      </c>
      <c r="P1455">
        <v>0.99743599999999999</v>
      </c>
      <c r="Q1455">
        <v>3.6243030000000002E-2</v>
      </c>
      <c r="R1455">
        <v>6.1708829999999999E-2</v>
      </c>
      <c r="S1455">
        <v>3.0159910000000001</v>
      </c>
      <c r="T1455">
        <v>-0.14990059999999999</v>
      </c>
      <c r="U1455">
        <v>-4.6600339999999997E-2</v>
      </c>
      <c r="V1455">
        <v>-8.0704860000000003E-2</v>
      </c>
      <c r="W1455">
        <v>4.8853319999999999E-2</v>
      </c>
      <c r="X1455">
        <v>0.99554010000000004</v>
      </c>
      <c r="Y1455">
        <v>-3.5847259999999999E-3</v>
      </c>
      <c r="Z1455">
        <v>1.0356919999999999E-3</v>
      </c>
      <c r="AA1455">
        <v>0.99999300000000002</v>
      </c>
      <c r="AB1455">
        <v>21</v>
      </c>
      <c r="AC1455">
        <v>21.1175</v>
      </c>
      <c r="AD1455">
        <v>-1.0546739838121999</v>
      </c>
      <c r="AE1455">
        <v>-0.32599999999996498</v>
      </c>
      <c r="AF1455">
        <v>-7.6397312269120193E-2</v>
      </c>
      <c r="AG1455">
        <v>-1.0546739838121999</v>
      </c>
      <c r="AH1455">
        <v>21.067341200816301</v>
      </c>
      <c r="AI1455">
        <v>92.865931913167003</v>
      </c>
      <c r="AJ1455">
        <v>90.207772985218597</v>
      </c>
      <c r="AK1455">
        <v>21.093862591594299</v>
      </c>
      <c r="AL1455">
        <v>87.199796361948103</v>
      </c>
      <c r="AM1455">
        <v>94.634628215293702</v>
      </c>
      <c r="AN1455">
        <v>1.00000000600532</v>
      </c>
    </row>
    <row r="1456" spans="1:40" x14ac:dyDescent="0.3">
      <c r="A1456" t="str">
        <f>"20200111145939084"</f>
        <v>20200111145939084</v>
      </c>
      <c r="B1456" t="str">
        <f>"1578725979077036"</f>
        <v>1578725979077036</v>
      </c>
      <c r="C1456" t="s">
        <v>40</v>
      </c>
      <c r="D1456">
        <v>4.2774890000000001</v>
      </c>
      <c r="E1456">
        <v>0.52949239999999997</v>
      </c>
      <c r="F1456" t="s">
        <v>42</v>
      </c>
      <c r="G1456">
        <v>-278.18349999999998</v>
      </c>
      <c r="H1456" s="1">
        <v>-1.2659259999999999E-6</v>
      </c>
      <c r="I1456">
        <v>367.12939999999998</v>
      </c>
      <c r="J1456">
        <v>-300.01479999999998</v>
      </c>
      <c r="K1456">
        <v>1.0546819999999999</v>
      </c>
      <c r="L1456">
        <v>367.46929999999998</v>
      </c>
      <c r="M1456">
        <v>0.99973769999999995</v>
      </c>
      <c r="N1456">
        <v>0</v>
      </c>
      <c r="O1456">
        <v>-1.9086559999999999E-2</v>
      </c>
      <c r="P1456">
        <v>0.997444</v>
      </c>
      <c r="Q1456">
        <v>3.6065060000000003E-2</v>
      </c>
      <c r="R1456">
        <v>6.1682809999999998E-2</v>
      </c>
      <c r="S1456">
        <v>3.01593</v>
      </c>
      <c r="T1456">
        <v>-0.14501639999999999</v>
      </c>
      <c r="U1456">
        <v>-4.6997070000000002E-2</v>
      </c>
      <c r="V1456">
        <v>-8.0706050000000001E-2</v>
      </c>
      <c r="W1456">
        <v>4.8672809999999997E-2</v>
      </c>
      <c r="X1456">
        <v>0.99554880000000001</v>
      </c>
      <c r="Y1456">
        <v>-3.4814920000000001E-3</v>
      </c>
      <c r="Z1456">
        <v>1.0008079999999999E-3</v>
      </c>
      <c r="AA1456">
        <v>0.99999340000000003</v>
      </c>
      <c r="AB1456">
        <v>21</v>
      </c>
      <c r="AC1456">
        <v>21.831299999999999</v>
      </c>
      <c r="AD1456">
        <v>-1.0546832659259999</v>
      </c>
      <c r="AE1456">
        <v>-0.33989999999999998</v>
      </c>
      <c r="AF1456">
        <v>-7.6700763105822106E-2</v>
      </c>
      <c r="AG1456">
        <v>-1.0546832659259999</v>
      </c>
      <c r="AH1456">
        <v>21.782983209480701</v>
      </c>
      <c r="AI1456">
        <v>92.771951440866204</v>
      </c>
      <c r="AJ1456">
        <v>90.201745179123705</v>
      </c>
      <c r="AK1456">
        <v>21.808635842321799</v>
      </c>
      <c r="AL1456">
        <v>87.210151015885302</v>
      </c>
      <c r="AM1456">
        <v>94.634655929871897</v>
      </c>
      <c r="AN1456">
        <v>0.99999996106066802</v>
      </c>
    </row>
    <row r="1457" spans="1:40" x14ac:dyDescent="0.3">
      <c r="A1457" t="str">
        <f>"20200111145939107"</f>
        <v>20200111145939107</v>
      </c>
      <c r="B1457" t="str">
        <f>"1578725979097534"</f>
        <v>1578725979097534</v>
      </c>
      <c r="C1457" t="s">
        <v>40</v>
      </c>
      <c r="D1457">
        <v>4.191192</v>
      </c>
      <c r="E1457">
        <v>0.53009830000000002</v>
      </c>
      <c r="F1457" t="s">
        <v>42</v>
      </c>
      <c r="G1457">
        <v>-276.57850000000002</v>
      </c>
      <c r="H1457" s="1">
        <v>-1.8985910000000001E-6</v>
      </c>
      <c r="I1457">
        <v>367.0881</v>
      </c>
      <c r="J1457">
        <v>-299.81040000000002</v>
      </c>
      <c r="K1457">
        <v>1.054697</v>
      </c>
      <c r="L1457">
        <v>367.46519999999998</v>
      </c>
      <c r="M1457">
        <v>0.99973730000000005</v>
      </c>
      <c r="N1457">
        <v>0</v>
      </c>
      <c r="O1457">
        <v>-1.9120290000000002E-2</v>
      </c>
      <c r="P1457">
        <v>0.99749670000000001</v>
      </c>
      <c r="Q1457">
        <v>3.5424520000000001E-2</v>
      </c>
      <c r="R1457">
        <v>6.1202720000000002E-2</v>
      </c>
      <c r="S1457">
        <v>3.0156559999999999</v>
      </c>
      <c r="T1457">
        <v>-0.13571069999999999</v>
      </c>
      <c r="U1457">
        <v>-4.9041750000000002E-2</v>
      </c>
      <c r="V1457">
        <v>-8.0262319999999998E-2</v>
      </c>
      <c r="W1457">
        <v>4.802936E-2</v>
      </c>
      <c r="X1457">
        <v>0.99561599999999995</v>
      </c>
      <c r="Y1457">
        <v>-2.8398149999999999E-3</v>
      </c>
      <c r="Z1457">
        <v>9.2381899999999999E-4</v>
      </c>
      <c r="AA1457">
        <v>0.99999550000000004</v>
      </c>
      <c r="AB1457">
        <v>20</v>
      </c>
      <c r="AC1457">
        <v>23.2319</v>
      </c>
      <c r="AD1457">
        <v>-1.054698898591</v>
      </c>
      <c r="AE1457">
        <v>-0.377099999999984</v>
      </c>
      <c r="AF1457">
        <v>-6.7066905974036195E-2</v>
      </c>
      <c r="AG1457">
        <v>-1.054698898591</v>
      </c>
      <c r="AH1457">
        <v>23.187086102378199</v>
      </c>
      <c r="AI1457">
        <v>92.604377189529103</v>
      </c>
      <c r="AJ1457">
        <v>90.165723279086095</v>
      </c>
      <c r="AK1457">
        <v>23.211157869776098</v>
      </c>
      <c r="AL1457">
        <v>87.247061373263193</v>
      </c>
      <c r="AM1457">
        <v>94.608974457332806</v>
      </c>
      <c r="AN1457">
        <v>1.00000003944489</v>
      </c>
    </row>
    <row r="1458" spans="1:40" x14ac:dyDescent="0.3">
      <c r="A1458" t="str">
        <f>"20200111145939132"</f>
        <v>20200111145939132</v>
      </c>
      <c r="B1458" t="str">
        <f>"1578725979126812"</f>
        <v>1578725979126812</v>
      </c>
      <c r="C1458" t="s">
        <v>40</v>
      </c>
      <c r="D1458">
        <v>4.1643319999999999</v>
      </c>
      <c r="E1458">
        <v>0.53079500000000002</v>
      </c>
      <c r="F1458" t="s">
        <v>42</v>
      </c>
      <c r="G1458">
        <v>-276.8664</v>
      </c>
      <c r="H1458" s="1">
        <v>-1.7826509999999901E-6</v>
      </c>
      <c r="I1458">
        <v>367.04539999999997</v>
      </c>
      <c r="J1458">
        <v>-299.58030000000002</v>
      </c>
      <c r="K1458">
        <v>1.054713</v>
      </c>
      <c r="L1458">
        <v>367.46080000000001</v>
      </c>
      <c r="M1458">
        <v>0.99973699999999999</v>
      </c>
      <c r="N1458">
        <v>0</v>
      </c>
      <c r="O1458">
        <v>-1.9133859999999999E-2</v>
      </c>
      <c r="P1458">
        <v>0.99756529999999999</v>
      </c>
      <c r="Q1458">
        <v>3.4579600000000002E-2</v>
      </c>
      <c r="R1458">
        <v>6.0565830000000001E-2</v>
      </c>
      <c r="S1458">
        <v>3.0158390000000002</v>
      </c>
      <c r="T1458">
        <v>-0.13863300000000001</v>
      </c>
      <c r="U1458">
        <v>-5.5175780000000001E-2</v>
      </c>
      <c r="V1458">
        <v>-7.9642669999999999E-2</v>
      </c>
      <c r="W1458">
        <v>4.7180119999999999E-2</v>
      </c>
      <c r="X1458">
        <v>0.99570630000000004</v>
      </c>
      <c r="Y1458">
        <v>-8.2219509999999999E-4</v>
      </c>
      <c r="Z1458">
        <v>8.9789089999999904E-4</v>
      </c>
      <c r="AA1458">
        <v>0.99999930000000004</v>
      </c>
      <c r="AB1458">
        <v>20</v>
      </c>
      <c r="AC1458">
        <v>22.713899999999999</v>
      </c>
      <c r="AD1458">
        <v>-1.0547147826509999</v>
      </c>
      <c r="AE1458">
        <v>-0.41540000000003302</v>
      </c>
      <c r="AF1458">
        <v>-1.9273832354398598E-2</v>
      </c>
      <c r="AG1458">
        <v>-1.0547147826509999</v>
      </c>
      <c r="AH1458">
        <v>22.6688280487014</v>
      </c>
      <c r="AI1458">
        <v>92.663884257798799</v>
      </c>
      <c r="AJ1458">
        <v>90.0487148687385</v>
      </c>
      <c r="AK1458">
        <v>22.693359377909399</v>
      </c>
      <c r="AL1458">
        <v>87.295774300641796</v>
      </c>
      <c r="AM1458">
        <v>94.573130273530197</v>
      </c>
      <c r="AN1458">
        <v>0.99999997723381595</v>
      </c>
    </row>
    <row r="1459" spans="1:40" x14ac:dyDescent="0.3">
      <c r="A1459" t="str">
        <f>"20200111145939187"</f>
        <v>20200111145939187</v>
      </c>
      <c r="B1459" t="str">
        <f>"1578725979176622"</f>
        <v>1578725979176622</v>
      </c>
      <c r="C1459" t="s">
        <v>40</v>
      </c>
      <c r="D1459">
        <v>3.8105349999999998</v>
      </c>
      <c r="E1459">
        <v>0.57010479999999997</v>
      </c>
      <c r="F1459" t="s">
        <v>42</v>
      </c>
      <c r="G1459">
        <v>-278.10879999999997</v>
      </c>
      <c r="H1459" s="1">
        <v>-1.3221039999999999E-6</v>
      </c>
      <c r="I1459">
        <v>367.01389999999998</v>
      </c>
      <c r="J1459">
        <v>-299.08100000000002</v>
      </c>
      <c r="K1459">
        <v>1.054735</v>
      </c>
      <c r="L1459">
        <v>367.4513</v>
      </c>
      <c r="M1459">
        <v>0.99973730000000005</v>
      </c>
      <c r="N1459">
        <v>0</v>
      </c>
      <c r="O1459">
        <v>-1.9118110000000001E-2</v>
      </c>
      <c r="P1459">
        <v>0.99757030000000002</v>
      </c>
      <c r="Q1459">
        <v>3.5240889999999997E-2</v>
      </c>
      <c r="R1459">
        <v>6.0098579999999999E-2</v>
      </c>
      <c r="S1459">
        <v>3.0162960000000001</v>
      </c>
      <c r="T1459">
        <v>-0.14816460000000001</v>
      </c>
      <c r="U1459">
        <v>-6.2774659999999996E-2</v>
      </c>
      <c r="V1459">
        <v>-7.9162079999999996E-2</v>
      </c>
      <c r="W1459">
        <v>4.7833609999999999E-2</v>
      </c>
      <c r="X1459">
        <v>0.99571350000000003</v>
      </c>
      <c r="Y1459">
        <v>1.70901E-3</v>
      </c>
      <c r="Z1459">
        <v>8.9648119999999895E-4</v>
      </c>
      <c r="AA1459">
        <v>0.99999819999999995</v>
      </c>
      <c r="AB1459">
        <v>20</v>
      </c>
      <c r="AC1459">
        <v>20.972199999999901</v>
      </c>
      <c r="AD1459">
        <v>-1.054736322104</v>
      </c>
      <c r="AE1459">
        <v>-0.43740000000002499</v>
      </c>
      <c r="AF1459">
        <v>3.62475317083659E-2</v>
      </c>
      <c r="AG1459">
        <v>-1.054736322104</v>
      </c>
      <c r="AH1459">
        <v>20.923829706009599</v>
      </c>
      <c r="AI1459">
        <v>92.8857404263712</v>
      </c>
      <c r="AJ1459">
        <v>89.900743385112705</v>
      </c>
      <c r="AK1459">
        <v>20.950427970779199</v>
      </c>
      <c r="AL1459">
        <v>87.258289906014596</v>
      </c>
      <c r="AM1459">
        <v>94.545617773482803</v>
      </c>
      <c r="AN1459">
        <v>1.0000000316188999</v>
      </c>
    </row>
    <row r="1460" spans="1:40" x14ac:dyDescent="0.3">
      <c r="A1460" t="str">
        <f>"20200111145939199"</f>
        <v>20200111145939199</v>
      </c>
      <c r="B1460" t="str">
        <f>"1578725979197120"</f>
        <v>1578725979197120</v>
      </c>
      <c r="C1460" t="s">
        <v>40</v>
      </c>
      <c r="D1460">
        <v>3.818946</v>
      </c>
      <c r="E1460">
        <v>0.565121599999999</v>
      </c>
      <c r="F1460" t="s">
        <v>41</v>
      </c>
      <c r="G1460">
        <v>-298.32990000000001</v>
      </c>
      <c r="H1460">
        <v>0.7912768</v>
      </c>
      <c r="I1460">
        <v>367.35930000000002</v>
      </c>
      <c r="J1460">
        <v>-298.97000000000003</v>
      </c>
      <c r="K1460">
        <v>1.0547359999999999</v>
      </c>
      <c r="L1460">
        <v>367.44920000000002</v>
      </c>
      <c r="M1460">
        <v>0.9997376</v>
      </c>
      <c r="N1460">
        <v>0</v>
      </c>
      <c r="O1460">
        <v>-1.9105560000000001E-2</v>
      </c>
      <c r="P1460">
        <v>0.99759070000000005</v>
      </c>
      <c r="Q1460">
        <v>3.4902139999999998E-2</v>
      </c>
      <c r="R1460">
        <v>5.9956250000000003E-2</v>
      </c>
      <c r="S1460">
        <v>3.0678709999999998</v>
      </c>
      <c r="T1460">
        <v>-1.076041</v>
      </c>
      <c r="U1460">
        <v>-0.37445070000000003</v>
      </c>
      <c r="V1460">
        <v>-7.9008099999999998E-2</v>
      </c>
      <c r="W1460">
        <v>4.7493540000000001E-2</v>
      </c>
      <c r="X1460">
        <v>0.99574200000000002</v>
      </c>
      <c r="Y1460">
        <v>9.7552169999999994E-2</v>
      </c>
      <c r="Z1460">
        <v>-1.0072390000000001E-2</v>
      </c>
      <c r="AA1460">
        <v>0.99517940000000005</v>
      </c>
      <c r="AB1460">
        <v>20</v>
      </c>
      <c r="AC1460">
        <v>0.64010000000001799</v>
      </c>
      <c r="AD1460">
        <v>-0.2634592</v>
      </c>
      <c r="AE1460">
        <v>-8.9899999999999994E-2</v>
      </c>
      <c r="AF1460">
        <v>6.6590471924477701E-2</v>
      </c>
      <c r="AG1460">
        <v>-0.2634592</v>
      </c>
      <c r="AH1460">
        <v>0.55028248126396695</v>
      </c>
      <c r="AI1460">
        <v>115.4218980583</v>
      </c>
      <c r="AJ1460">
        <v>83.100105212662896</v>
      </c>
      <c r="AK1460">
        <v>0.61372294254149595</v>
      </c>
      <c r="AL1460">
        <v>87.277796629272601</v>
      </c>
      <c r="AM1460">
        <v>94.536683623924304</v>
      </c>
      <c r="AN1460">
        <v>1.0000000233856701</v>
      </c>
    </row>
    <row r="1461" spans="1:40" x14ac:dyDescent="0.3">
      <c r="A1461" t="str">
        <f>"20200111145939211"</f>
        <v>20200111145939211</v>
      </c>
      <c r="B1461" t="str">
        <f>"1578725979206878"</f>
        <v>1578725979206878</v>
      </c>
      <c r="C1461" t="s">
        <v>40</v>
      </c>
      <c r="D1461">
        <v>4.230499</v>
      </c>
      <c r="E1461">
        <v>0.56389199999999995</v>
      </c>
      <c r="F1461" t="s">
        <v>41</v>
      </c>
      <c r="G1461">
        <v>-298.2987</v>
      </c>
      <c r="H1461">
        <v>0.86623510000000004</v>
      </c>
      <c r="I1461">
        <v>367.37520000000001</v>
      </c>
      <c r="J1461">
        <v>-298.86439999999999</v>
      </c>
      <c r="K1461">
        <v>1.0547359999999999</v>
      </c>
      <c r="L1461">
        <v>367.44709999999998</v>
      </c>
      <c r="M1461">
        <v>0.99973800000000002</v>
      </c>
      <c r="N1461">
        <v>0</v>
      </c>
      <c r="O1461">
        <v>-1.908489E-2</v>
      </c>
      <c r="P1461">
        <v>0.99761250000000001</v>
      </c>
      <c r="Q1461">
        <v>3.4703829999999998E-2</v>
      </c>
      <c r="R1461">
        <v>5.9710069999999997E-2</v>
      </c>
      <c r="S1461">
        <v>3.0574949999999999</v>
      </c>
      <c r="T1461">
        <v>-0.85862729999999998</v>
      </c>
      <c r="U1461">
        <v>-0.33581539999999999</v>
      </c>
      <c r="V1461">
        <v>-7.8741999999999895E-2</v>
      </c>
      <c r="W1461">
        <v>4.729444E-2</v>
      </c>
      <c r="X1461">
        <v>0.99577249999999995</v>
      </c>
      <c r="Y1461">
        <v>8.756796E-2</v>
      </c>
      <c r="Z1461">
        <v>-6.7864559999999997E-3</v>
      </c>
      <c r="AA1461">
        <v>0.9961354</v>
      </c>
      <c r="AB1461">
        <v>20</v>
      </c>
      <c r="AC1461">
        <v>0.56569999999999199</v>
      </c>
      <c r="AD1461">
        <v>-0.1885009</v>
      </c>
      <c r="AE1461">
        <v>-7.1899999999970904E-2</v>
      </c>
      <c r="AF1461">
        <v>5.5072076283519102E-2</v>
      </c>
      <c r="AG1461">
        <v>-0.1885009</v>
      </c>
      <c r="AH1461">
        <v>0.51111996482403599</v>
      </c>
      <c r="AI1461">
        <v>110.136844191439</v>
      </c>
      <c r="AJ1461">
        <v>83.850228616463397</v>
      </c>
      <c r="AK1461">
        <v>0.54754830045276504</v>
      </c>
      <c r="AL1461">
        <v>87.289216905128498</v>
      </c>
      <c r="AM1461">
        <v>94.521329579304805</v>
      </c>
      <c r="AN1461">
        <v>0.99999996918758105</v>
      </c>
    </row>
    <row r="1462" spans="1:40" x14ac:dyDescent="0.3">
      <c r="A1462" t="str">
        <f>"20200111145939222"</f>
        <v>20200111145939222</v>
      </c>
      <c r="B1462" t="str">
        <f>"1578725979216638"</f>
        <v>1578725979216638</v>
      </c>
      <c r="C1462" t="s">
        <v>40</v>
      </c>
      <c r="D1462">
        <v>7.832363</v>
      </c>
      <c r="E1462">
        <v>0.56216460000000001</v>
      </c>
      <c r="F1462" t="s">
        <v>41</v>
      </c>
      <c r="G1462">
        <v>-298.11720000000003</v>
      </c>
      <c r="H1462">
        <v>0.86462559999999999</v>
      </c>
      <c r="I1462">
        <v>367.36689999999999</v>
      </c>
      <c r="J1462">
        <v>-298.75689999999997</v>
      </c>
      <c r="K1462">
        <v>1.0547390000000001</v>
      </c>
      <c r="L1462">
        <v>367.44510000000002</v>
      </c>
      <c r="M1462">
        <v>0.99973849999999997</v>
      </c>
      <c r="N1462">
        <v>0</v>
      </c>
      <c r="O1462">
        <v>-1.9060629999999999E-2</v>
      </c>
      <c r="P1462">
        <v>0.9976372</v>
      </c>
      <c r="Q1462">
        <v>3.4238570000000003E-2</v>
      </c>
      <c r="R1462">
        <v>5.956703E-2</v>
      </c>
      <c r="S1462">
        <v>3.053741</v>
      </c>
      <c r="T1462">
        <v>-0.77709779999999995</v>
      </c>
      <c r="U1462">
        <v>-0.32690429999999998</v>
      </c>
      <c r="V1462">
        <v>-7.8575640000000002E-2</v>
      </c>
      <c r="W1462">
        <v>4.6828139999999997E-2</v>
      </c>
      <c r="X1462">
        <v>0.99580769999999996</v>
      </c>
      <c r="Y1462">
        <v>8.5380079999999997E-2</v>
      </c>
      <c r="Z1462">
        <v>-5.9036959999999999E-3</v>
      </c>
      <c r="AA1462">
        <v>0.99633099999999997</v>
      </c>
      <c r="AB1462">
        <v>20</v>
      </c>
      <c r="AC1462">
        <v>0.63969999999994798</v>
      </c>
      <c r="AD1462">
        <v>-0.19011339999999899</v>
      </c>
      <c r="AE1462">
        <v>-7.8200000000038003E-2</v>
      </c>
      <c r="AF1462">
        <v>6.0708718035003301E-2</v>
      </c>
      <c r="AG1462">
        <v>-0.19011339999999899</v>
      </c>
      <c r="AH1462">
        <v>0.58975276098835705</v>
      </c>
      <c r="AI1462">
        <v>107.77931539055299</v>
      </c>
      <c r="AJ1462">
        <v>84.122715544311305</v>
      </c>
      <c r="AK1462">
        <v>0.62260498905678796</v>
      </c>
      <c r="AL1462">
        <v>87.315963621000606</v>
      </c>
      <c r="AM1462">
        <v>94.511657919613896</v>
      </c>
      <c r="AN1462">
        <v>0.99999999063827905</v>
      </c>
    </row>
    <row r="1463" spans="1:40" x14ac:dyDescent="0.3">
      <c r="A1463" t="str">
        <f>"20200111145939234"</f>
        <v>20200111145939234</v>
      </c>
      <c r="B1463" t="str">
        <f>"1578725979227374"</f>
        <v>1578725979227374</v>
      </c>
      <c r="C1463" t="s">
        <v>40</v>
      </c>
      <c r="D1463">
        <v>3.8090790000000001</v>
      </c>
      <c r="E1463">
        <v>0.56159579999999998</v>
      </c>
      <c r="F1463" t="s">
        <v>41</v>
      </c>
      <c r="G1463">
        <v>-297.935</v>
      </c>
      <c r="H1463">
        <v>0.86482669999999995</v>
      </c>
      <c r="I1463">
        <v>367.3603</v>
      </c>
      <c r="J1463">
        <v>-298.6465</v>
      </c>
      <c r="K1463">
        <v>1.0547439999999999</v>
      </c>
      <c r="L1463">
        <v>367.44299999999998</v>
      </c>
      <c r="M1463">
        <v>0.99973909999999999</v>
      </c>
      <c r="N1463">
        <v>0</v>
      </c>
      <c r="O1463">
        <v>-1.902715E-2</v>
      </c>
      <c r="P1463">
        <v>0.99767260000000002</v>
      </c>
      <c r="Q1463">
        <v>3.4049139999999999E-2</v>
      </c>
      <c r="R1463">
        <v>5.9076869999999997E-2</v>
      </c>
      <c r="S1463">
        <v>3.0500790000000002</v>
      </c>
      <c r="T1463">
        <v>-0.70491610000000005</v>
      </c>
      <c r="U1463">
        <v>-0.31353760000000003</v>
      </c>
      <c r="V1463">
        <v>-7.8053999999999998E-2</v>
      </c>
      <c r="W1463">
        <v>4.6637129999999999E-2</v>
      </c>
      <c r="X1463">
        <v>0.99585769999999996</v>
      </c>
      <c r="Y1463">
        <v>8.167671E-2</v>
      </c>
      <c r="Z1463">
        <v>-4.9636189999999998E-3</v>
      </c>
      <c r="AA1463">
        <v>0.99664649999999999</v>
      </c>
      <c r="AB1463">
        <v>20</v>
      </c>
      <c r="AC1463">
        <v>0.71150000000000002</v>
      </c>
      <c r="AD1463">
        <v>-0.18991730000000001</v>
      </c>
      <c r="AE1463">
        <v>-8.2700000000045196E-2</v>
      </c>
      <c r="AF1463">
        <v>6.4604477005226105E-2</v>
      </c>
      <c r="AG1463">
        <v>-0.18991730000000001</v>
      </c>
      <c r="AH1463">
        <v>0.66611725502049302</v>
      </c>
      <c r="AI1463">
        <v>105.842847884766</v>
      </c>
      <c r="AJ1463">
        <v>84.460400526718104</v>
      </c>
      <c r="AK1463">
        <v>0.69566839566308103</v>
      </c>
      <c r="AL1463">
        <v>87.326919693183896</v>
      </c>
      <c r="AM1463">
        <v>94.481604708857404</v>
      </c>
      <c r="AN1463">
        <v>1.0000000037299599</v>
      </c>
    </row>
    <row r="1464" spans="1:40" x14ac:dyDescent="0.3">
      <c r="A1464" t="str">
        <f>"20200111145939245"</f>
        <v>20200111145939245</v>
      </c>
      <c r="B1464" t="str">
        <f>"1578725979237134"</f>
        <v>1578725979237134</v>
      </c>
      <c r="C1464" t="s">
        <v>40</v>
      </c>
      <c r="D1464">
        <v>5.0936490000000001</v>
      </c>
      <c r="E1464">
        <v>0.56159579999999998</v>
      </c>
      <c r="F1464" t="s">
        <v>41</v>
      </c>
      <c r="G1464">
        <v>-297.91759999999999</v>
      </c>
      <c r="H1464">
        <v>0.89991390000000004</v>
      </c>
      <c r="I1464">
        <v>367.36840000000001</v>
      </c>
      <c r="J1464">
        <v>-298.54239999999999</v>
      </c>
      <c r="K1464">
        <v>1.0547519999999999</v>
      </c>
      <c r="L1464">
        <v>367.44110000000001</v>
      </c>
      <c r="M1464">
        <v>0.99973979999999996</v>
      </c>
      <c r="N1464">
        <v>0</v>
      </c>
      <c r="O1464">
        <v>-1.899269E-2</v>
      </c>
      <c r="P1464">
        <v>0.99769600000000003</v>
      </c>
      <c r="Q1464">
        <v>3.3970559999999997E-2</v>
      </c>
      <c r="R1464">
        <v>5.8726100000000003E-2</v>
      </c>
      <c r="S1464">
        <v>3.047485</v>
      </c>
      <c r="T1464">
        <v>-0.64752299999999996</v>
      </c>
      <c r="U1464">
        <v>-0.31069950000000002</v>
      </c>
      <c r="V1464">
        <v>-7.7669660000000001E-2</v>
      </c>
      <c r="W1464">
        <v>4.6556630000000002E-2</v>
      </c>
      <c r="X1464">
        <v>0.99589150000000004</v>
      </c>
      <c r="Y1464">
        <v>8.1139829999999996E-2</v>
      </c>
      <c r="Z1464">
        <v>-4.5235459999999998E-3</v>
      </c>
      <c r="AA1464">
        <v>0.99669249999999998</v>
      </c>
      <c r="AB1464">
        <v>20</v>
      </c>
      <c r="AC1464">
        <v>0.62479999999999303</v>
      </c>
      <c r="AD1464">
        <v>-0.15483809999999901</v>
      </c>
      <c r="AE1464">
        <v>-7.2699999999997503E-2</v>
      </c>
      <c r="AF1464">
        <v>5.73445412094023E-2</v>
      </c>
      <c r="AG1464">
        <v>-0.15483809999999901</v>
      </c>
      <c r="AH1464">
        <v>0.59029927548549799</v>
      </c>
      <c r="AI1464">
        <v>104.631915290712</v>
      </c>
      <c r="AJ1464">
        <v>84.451419953230996</v>
      </c>
      <c r="AK1464">
        <v>0.61295715042475096</v>
      </c>
      <c r="AL1464">
        <v>87.331536976403697</v>
      </c>
      <c r="AM1464">
        <v>94.459475658729104</v>
      </c>
      <c r="AN1464">
        <v>0.99999998782686095</v>
      </c>
    </row>
    <row r="1465" spans="1:40" x14ac:dyDescent="0.3">
      <c r="A1465" t="str">
        <f>"20200111145939256"</f>
        <v>20200111145939256</v>
      </c>
      <c r="B1465" t="str">
        <f>"1578725979246895"</f>
        <v>1578725979246895</v>
      </c>
      <c r="C1465" t="s">
        <v>40</v>
      </c>
      <c r="D1465">
        <v>4.1669589999999896</v>
      </c>
      <c r="E1465">
        <v>0.54545330000000003</v>
      </c>
      <c r="F1465" t="s">
        <v>41</v>
      </c>
      <c r="G1465">
        <v>-297.74299999999999</v>
      </c>
      <c r="H1465">
        <v>0.88483909999999999</v>
      </c>
      <c r="I1465">
        <v>367.35919999999999</v>
      </c>
      <c r="J1465">
        <v>-298.43939999999998</v>
      </c>
      <c r="K1465">
        <v>1.054765</v>
      </c>
      <c r="L1465">
        <v>367.4391</v>
      </c>
      <c r="M1465">
        <v>0.99974050000000003</v>
      </c>
      <c r="N1465">
        <v>0</v>
      </c>
      <c r="O1465">
        <v>-1.8955110000000001E-2</v>
      </c>
      <c r="P1465">
        <v>0.99774019999999997</v>
      </c>
      <c r="Q1465">
        <v>3.3541120000000001E-2</v>
      </c>
      <c r="R1465">
        <v>5.8220260000000003E-2</v>
      </c>
      <c r="S1465">
        <v>3.0473330000000001</v>
      </c>
      <c r="T1465">
        <v>-0.64769209999999899</v>
      </c>
      <c r="U1465">
        <v>-0.31179810000000002</v>
      </c>
      <c r="V1465">
        <v>-7.71284E-2</v>
      </c>
      <c r="W1465">
        <v>4.6125560000000003E-2</v>
      </c>
      <c r="X1465">
        <v>0.99595359999999999</v>
      </c>
      <c r="Y1465">
        <v>8.1527760000000005E-2</v>
      </c>
      <c r="Z1465">
        <v>-4.5733869999999999E-3</v>
      </c>
      <c r="AA1465">
        <v>0.99666060000000001</v>
      </c>
      <c r="AB1465">
        <v>20</v>
      </c>
      <c r="AC1465">
        <v>0.69639999999998203</v>
      </c>
      <c r="AD1465">
        <v>-0.16992589999999899</v>
      </c>
      <c r="AE1465">
        <v>-7.9900000000009103E-2</v>
      </c>
      <c r="AF1465">
        <v>6.2983024643368204E-2</v>
      </c>
      <c r="AG1465">
        <v>-0.16992589999999899</v>
      </c>
      <c r="AH1465">
        <v>0.65905956665617305</v>
      </c>
      <c r="AI1465">
        <v>104.39490249736799</v>
      </c>
      <c r="AJ1465">
        <v>84.541106886108494</v>
      </c>
      <c r="AK1465">
        <v>0.68352116666937301</v>
      </c>
      <c r="AL1465">
        <v>87.356261971900494</v>
      </c>
      <c r="AM1465">
        <v>94.428247737300495</v>
      </c>
      <c r="AN1465">
        <v>0.99999996536241598</v>
      </c>
    </row>
    <row r="1466" spans="1:40" x14ac:dyDescent="0.3">
      <c r="A1466" t="str">
        <f>"20200111145939268"</f>
        <v>20200111145939268</v>
      </c>
      <c r="B1466" t="str">
        <f>"1578725979256655"</f>
        <v>1578725979256655</v>
      </c>
      <c r="C1466" t="s">
        <v>40</v>
      </c>
      <c r="D1466">
        <v>4.100117</v>
      </c>
      <c r="E1466">
        <v>0.54545330000000003</v>
      </c>
      <c r="F1466" t="s">
        <v>44</v>
      </c>
      <c r="G1466">
        <v>-158.19499999999999</v>
      </c>
      <c r="H1466">
        <v>2.5340850000000001</v>
      </c>
      <c r="I1466">
        <v>358.745</v>
      </c>
      <c r="J1466">
        <v>-298.33909999999997</v>
      </c>
      <c r="K1466">
        <v>1.054772</v>
      </c>
      <c r="L1466">
        <v>367.43729999999999</v>
      </c>
      <c r="M1466">
        <v>0.9997414</v>
      </c>
      <c r="N1466">
        <v>0</v>
      </c>
      <c r="O1466">
        <v>-1.8908009999999999E-2</v>
      </c>
      <c r="P1466">
        <v>0.9977587</v>
      </c>
      <c r="Q1466">
        <v>3.3799490000000001E-2</v>
      </c>
      <c r="R1466">
        <v>5.775106E-2</v>
      </c>
      <c r="S1466">
        <v>3.0166629999999999</v>
      </c>
      <c r="T1466">
        <v>3.1822089999999997E-2</v>
      </c>
      <c r="U1466">
        <v>-0.1870117</v>
      </c>
      <c r="V1466">
        <v>-7.6613639999999997E-2</v>
      </c>
      <c r="W1466">
        <v>4.6382300000000001E-2</v>
      </c>
      <c r="X1466">
        <v>0.99598149999999996</v>
      </c>
      <c r="Y1466">
        <v>4.2988449999999997E-2</v>
      </c>
      <c r="Z1466" s="1">
        <v>2.7276689999999999E-5</v>
      </c>
      <c r="AA1466">
        <v>0.99907559999999995</v>
      </c>
      <c r="AB1466">
        <v>20</v>
      </c>
      <c r="AC1466">
        <v>140.14409999999901</v>
      </c>
      <c r="AD1466">
        <v>1.4793129999999901</v>
      </c>
      <c r="AE1466">
        <v>-8.6922999999999799</v>
      </c>
      <c r="AF1466">
        <v>6.0400178432768996</v>
      </c>
      <c r="AG1466">
        <v>1.4793129999999901</v>
      </c>
      <c r="AH1466">
        <v>140.267840302878</v>
      </c>
      <c r="AI1466">
        <v>89.396320733664098</v>
      </c>
      <c r="AJ1466">
        <v>87.534332367952501</v>
      </c>
      <c r="AK1466">
        <v>140.40561671718399</v>
      </c>
      <c r="AL1466">
        <v>87.341536338374098</v>
      </c>
      <c r="AM1466">
        <v>94.398686966674205</v>
      </c>
      <c r="AN1466">
        <v>1.0000000579647901</v>
      </c>
    </row>
    <row r="1467" spans="1:40" x14ac:dyDescent="0.3">
      <c r="A1467" t="str">
        <f>"20200111145939279"</f>
        <v>20200111145939279</v>
      </c>
      <c r="B1467" t="str">
        <f>"1578725979277149"</f>
        <v>1578725979277149</v>
      </c>
      <c r="C1467" t="s">
        <v>40</v>
      </c>
      <c r="D1467">
        <v>3.8453369999999998</v>
      </c>
      <c r="E1467">
        <v>0.55818500000000004</v>
      </c>
      <c r="F1467" t="s">
        <v>44</v>
      </c>
      <c r="G1467">
        <v>-158.19499999999999</v>
      </c>
      <c r="H1467">
        <v>2.569591</v>
      </c>
      <c r="I1467">
        <v>358.68529999999998</v>
      </c>
      <c r="J1467">
        <v>-298.24020000000002</v>
      </c>
      <c r="K1467">
        <v>1.0547799999999901</v>
      </c>
      <c r="L1467">
        <v>367.43549999999999</v>
      </c>
      <c r="M1467">
        <v>0.99974240000000003</v>
      </c>
      <c r="N1467">
        <v>0</v>
      </c>
      <c r="O1467">
        <v>-1.885746E-2</v>
      </c>
      <c r="P1467">
        <v>0.99779130000000005</v>
      </c>
      <c r="Q1467">
        <v>3.3759820000000003E-2</v>
      </c>
      <c r="R1467">
        <v>5.7207050000000002E-2</v>
      </c>
      <c r="S1467">
        <v>3.0165709999999999</v>
      </c>
      <c r="T1467">
        <v>3.2608030000000003E-2</v>
      </c>
      <c r="U1467">
        <v>-0.188385</v>
      </c>
      <c r="V1467">
        <v>-7.6021060000000001E-2</v>
      </c>
      <c r="W1467">
        <v>4.634038E-2</v>
      </c>
      <c r="X1467">
        <v>0.99602880000000005</v>
      </c>
      <c r="Y1467">
        <v>4.3493829999999997E-2</v>
      </c>
      <c r="Z1467" s="1">
        <v>3.1225400000000001E-5</v>
      </c>
      <c r="AA1467">
        <v>0.99905370000000004</v>
      </c>
      <c r="AB1467">
        <v>20</v>
      </c>
      <c r="AC1467">
        <v>140.04519999999999</v>
      </c>
      <c r="AD1467">
        <v>1.5148109999999999</v>
      </c>
      <c r="AE1467">
        <v>-8.7501999999999995</v>
      </c>
      <c r="AF1467">
        <v>6.1068246667649397</v>
      </c>
      <c r="AG1467">
        <v>1.5148109999999999</v>
      </c>
      <c r="AH1467">
        <v>140.168977427226</v>
      </c>
      <c r="AI1467">
        <v>89.381413384370703</v>
      </c>
      <c r="AJ1467">
        <v>87.505338520586704</v>
      </c>
      <c r="AK1467">
        <v>140.310121491183</v>
      </c>
      <c r="AL1467">
        <v>87.343940612373501</v>
      </c>
      <c r="AM1467">
        <v>94.364590154417101</v>
      </c>
      <c r="AN1467">
        <v>1.00000000140575</v>
      </c>
    </row>
    <row r="1468" spans="1:40" x14ac:dyDescent="0.3">
      <c r="A1468" t="str">
        <f>"20200111145939290"</f>
        <v>20200111145939290</v>
      </c>
      <c r="B1468" t="str">
        <f>"1578725979286909"</f>
        <v>1578725979286909</v>
      </c>
      <c r="C1468" t="s">
        <v>40</v>
      </c>
      <c r="D1468">
        <v>4.1289629999999997</v>
      </c>
      <c r="E1468">
        <v>0.55748109999999995</v>
      </c>
      <c r="F1468" t="s">
        <v>41</v>
      </c>
      <c r="G1468">
        <v>-297.52710000000002</v>
      </c>
      <c r="H1468">
        <v>0.9527987</v>
      </c>
      <c r="I1468">
        <v>367.36689999999999</v>
      </c>
      <c r="J1468">
        <v>-298.13929999999999</v>
      </c>
      <c r="K1468">
        <v>1.054789</v>
      </c>
      <c r="L1468">
        <v>367.43369999999999</v>
      </c>
      <c r="M1468">
        <v>0.99974359999999995</v>
      </c>
      <c r="N1468">
        <v>0</v>
      </c>
      <c r="O1468">
        <v>-1.879188E-2</v>
      </c>
      <c r="P1468">
        <v>0.99783279999999996</v>
      </c>
      <c r="Q1468">
        <v>3.3502360000000002E-2</v>
      </c>
      <c r="R1468">
        <v>5.6633349999999999E-2</v>
      </c>
      <c r="S1468">
        <v>3.0379939999999999</v>
      </c>
      <c r="T1468">
        <v>-0.4347917</v>
      </c>
      <c r="U1468">
        <v>-0.29025269999999997</v>
      </c>
      <c r="V1468">
        <v>-7.5383640000000002E-2</v>
      </c>
      <c r="W1468">
        <v>4.6079830000000002E-2</v>
      </c>
      <c r="X1468">
        <v>0.99608929999999996</v>
      </c>
      <c r="Y1468">
        <v>7.5807340000000001E-2</v>
      </c>
      <c r="Z1468">
        <v>-2.7157869999999999E-3</v>
      </c>
      <c r="AA1468">
        <v>0.99711879999999997</v>
      </c>
      <c r="AB1468">
        <v>20</v>
      </c>
      <c r="AC1468">
        <v>0.61219999999997299</v>
      </c>
      <c r="AD1468">
        <v>-0.10199030000000001</v>
      </c>
      <c r="AE1468">
        <v>-6.6800000000000595E-2</v>
      </c>
      <c r="AF1468">
        <v>5.3807085511103303E-2</v>
      </c>
      <c r="AG1468">
        <v>-0.10199030000000001</v>
      </c>
      <c r="AH1468">
        <v>0.59697360607169303</v>
      </c>
      <c r="AI1468">
        <v>99.656721256193805</v>
      </c>
      <c r="AJ1468">
        <v>84.849670378973599</v>
      </c>
      <c r="AK1468">
        <v>0.60800880757726705</v>
      </c>
      <c r="AL1468">
        <v>87.358884905866802</v>
      </c>
      <c r="AM1468">
        <v>94.327871782047595</v>
      </c>
      <c r="AN1468">
        <v>0.99999996874348296</v>
      </c>
    </row>
    <row r="1469" spans="1:40" x14ac:dyDescent="0.3">
      <c r="A1469" t="str">
        <f>"20200111145939302"</f>
        <v>20200111145939302</v>
      </c>
      <c r="B1469" t="str">
        <f>"1578725979296670"</f>
        <v>1578725979296670</v>
      </c>
      <c r="C1469" t="s">
        <v>40</v>
      </c>
      <c r="D1469">
        <v>4.1033749999999998</v>
      </c>
      <c r="E1469">
        <v>0.55689730000000004</v>
      </c>
      <c r="F1469" t="s">
        <v>41</v>
      </c>
      <c r="G1469">
        <v>-297.34910000000002</v>
      </c>
      <c r="H1469">
        <v>0.94493930000000004</v>
      </c>
      <c r="I1469">
        <v>367.35910000000001</v>
      </c>
      <c r="J1469">
        <v>-298.03309999999999</v>
      </c>
      <c r="K1469">
        <v>1.0547959999999901</v>
      </c>
      <c r="L1469">
        <v>367.43169999999998</v>
      </c>
      <c r="M1469">
        <v>0.99974499999999999</v>
      </c>
      <c r="N1469">
        <v>0</v>
      </c>
      <c r="O1469">
        <v>-1.8719260000000001E-2</v>
      </c>
      <c r="P1469">
        <v>0.99784399999999995</v>
      </c>
      <c r="Q1469">
        <v>3.3562830000000002E-2</v>
      </c>
      <c r="R1469">
        <v>5.6401560000000003E-2</v>
      </c>
      <c r="S1469">
        <v>3.0369259999999998</v>
      </c>
      <c r="T1469">
        <v>-0.42219040000000002</v>
      </c>
      <c r="U1469">
        <v>-0.28631590000000001</v>
      </c>
      <c r="V1469">
        <v>-7.5080859999999999E-2</v>
      </c>
      <c r="W1469">
        <v>4.6135559999999999E-2</v>
      </c>
      <c r="X1469">
        <v>0.99610960000000004</v>
      </c>
      <c r="Y1469">
        <v>7.4674260000000006E-2</v>
      </c>
      <c r="Z1469">
        <v>-2.5707070000000002E-3</v>
      </c>
      <c r="AA1469">
        <v>0.99720469999999894</v>
      </c>
      <c r="AB1469">
        <v>20</v>
      </c>
      <c r="AC1469">
        <v>0.68399999999996897</v>
      </c>
      <c r="AD1469">
        <v>-0.109856699999999</v>
      </c>
      <c r="AE1469">
        <v>-7.2599999999965803E-2</v>
      </c>
      <c r="AF1469">
        <v>5.8295288315078402E-2</v>
      </c>
      <c r="AG1469">
        <v>-0.109856699999999</v>
      </c>
      <c r="AH1469">
        <v>0.66819497155493901</v>
      </c>
      <c r="AI1469">
        <v>99.301659365391899</v>
      </c>
      <c r="AJ1469">
        <v>85.013972741314205</v>
      </c>
      <c r="AK1469">
        <v>0.67967003405029802</v>
      </c>
      <c r="AL1469">
        <v>87.355688443065404</v>
      </c>
      <c r="AM1469">
        <v>94.310466927287706</v>
      </c>
      <c r="AN1469">
        <v>0.99999998032350601</v>
      </c>
    </row>
    <row r="1470" spans="1:40" x14ac:dyDescent="0.3">
      <c r="A1470" t="str">
        <f>"20200111145939313"</f>
        <v>20200111145939313</v>
      </c>
      <c r="B1470" t="str">
        <f>"1578725979307406"</f>
        <v>1578725979307406</v>
      </c>
      <c r="C1470" t="s">
        <v>40</v>
      </c>
      <c r="D1470">
        <v>4.115723</v>
      </c>
      <c r="E1470">
        <v>0.55700479999999997</v>
      </c>
      <c r="F1470" t="s">
        <v>41</v>
      </c>
      <c r="G1470">
        <v>-297.17110000000002</v>
      </c>
      <c r="H1470">
        <v>0.93706920000000005</v>
      </c>
      <c r="I1470">
        <v>367.35129999999998</v>
      </c>
      <c r="J1470">
        <v>-297.92500000000001</v>
      </c>
      <c r="K1470">
        <v>1.0548040000000001</v>
      </c>
      <c r="L1470">
        <v>367.4298</v>
      </c>
      <c r="M1470">
        <v>0.99974680000000005</v>
      </c>
      <c r="N1470">
        <v>0</v>
      </c>
      <c r="O1470">
        <v>-1.8634319999999999E-2</v>
      </c>
      <c r="P1470">
        <v>0.99785789999999996</v>
      </c>
      <c r="Q1470">
        <v>3.3597290000000002E-2</v>
      </c>
      <c r="R1470">
        <v>5.6133660000000002E-2</v>
      </c>
      <c r="S1470">
        <v>3.0364070000000001</v>
      </c>
      <c r="T1470">
        <v>-0.41479379999999999</v>
      </c>
      <c r="U1470">
        <v>-0.28234860000000001</v>
      </c>
      <c r="V1470">
        <v>-7.4729290000000004E-2</v>
      </c>
      <c r="W1470">
        <v>4.6161279999999999E-2</v>
      </c>
      <c r="X1470">
        <v>0.99613490000000005</v>
      </c>
      <c r="Y1470">
        <v>7.3511370000000006E-2</v>
      </c>
      <c r="Z1470">
        <v>-2.4592809999999998E-3</v>
      </c>
      <c r="AA1470">
        <v>0.99729129999999999</v>
      </c>
      <c r="AB1470">
        <v>20</v>
      </c>
      <c r="AC1470">
        <v>0.75389999999998702</v>
      </c>
      <c r="AD1470">
        <v>-0.1177348</v>
      </c>
      <c r="AE1470">
        <v>-7.8500000000019499E-2</v>
      </c>
      <c r="AF1470">
        <v>6.2918809358769603E-2</v>
      </c>
      <c r="AG1470">
        <v>-0.1177348</v>
      </c>
      <c r="AH1470">
        <v>0.73743995405930496</v>
      </c>
      <c r="AI1470">
        <v>99.038619057031099</v>
      </c>
      <c r="AJ1470">
        <v>85.1233010825229</v>
      </c>
      <c r="AK1470">
        <v>0.74942507667221503</v>
      </c>
      <c r="AL1470">
        <v>87.354213368053706</v>
      </c>
      <c r="AM1470">
        <v>94.290249924517198</v>
      </c>
      <c r="AN1470">
        <v>1.0000000347765701</v>
      </c>
    </row>
    <row r="1471" spans="1:40" x14ac:dyDescent="0.3">
      <c r="A1471" t="str">
        <f>"20200111145939324"</f>
        <v>20200111145939324</v>
      </c>
      <c r="B1471" t="str">
        <f>"1578725979317166"</f>
        <v>1578725979317166</v>
      </c>
      <c r="C1471" t="s">
        <v>40</v>
      </c>
      <c r="D1471">
        <v>3.8827069999999999</v>
      </c>
      <c r="E1471">
        <v>0.55700479999999997</v>
      </c>
      <c r="F1471" t="s">
        <v>41</v>
      </c>
      <c r="G1471">
        <v>-297.16379999999998</v>
      </c>
      <c r="H1471">
        <v>0.95151289999999999</v>
      </c>
      <c r="I1471">
        <v>367.35829999999999</v>
      </c>
      <c r="J1471">
        <v>-297.82130000000001</v>
      </c>
      <c r="K1471">
        <v>1.054813</v>
      </c>
      <c r="L1471">
        <v>367.42790000000002</v>
      </c>
      <c r="M1471">
        <v>0.99974850000000004</v>
      </c>
      <c r="N1471">
        <v>0</v>
      </c>
      <c r="O1471">
        <v>-1.8548419999999999E-2</v>
      </c>
      <c r="P1471">
        <v>0.99788359999999998</v>
      </c>
      <c r="Q1471">
        <v>3.3682730000000001E-2</v>
      </c>
      <c r="R1471">
        <v>5.5626790000000002E-2</v>
      </c>
      <c r="S1471">
        <v>3.0363159999999998</v>
      </c>
      <c r="T1471">
        <v>-0.41215249999999998</v>
      </c>
      <c r="U1471">
        <v>-0.28405760000000002</v>
      </c>
      <c r="V1471">
        <v>-7.4138629999999997E-2</v>
      </c>
      <c r="W1471">
        <v>4.623559E-2</v>
      </c>
      <c r="X1471">
        <v>0.99617549999999999</v>
      </c>
      <c r="Y1471">
        <v>7.4156050000000001E-2</v>
      </c>
      <c r="Z1471">
        <v>-2.4988129999999999E-3</v>
      </c>
      <c r="AA1471">
        <v>0.99724349999999995</v>
      </c>
      <c r="AB1471">
        <v>20</v>
      </c>
      <c r="AC1471">
        <v>0.65750000000002695</v>
      </c>
      <c r="AD1471">
        <v>-0.10330009999999901</v>
      </c>
      <c r="AE1471">
        <v>-6.9600000000036702E-2</v>
      </c>
      <c r="AF1471">
        <v>5.6023916514185097E-2</v>
      </c>
      <c r="AG1471">
        <v>-0.10330009999999901</v>
      </c>
      <c r="AH1471">
        <v>0.64298263269665201</v>
      </c>
      <c r="AI1471">
        <v>99.093142129930897</v>
      </c>
      <c r="AJ1471">
        <v>85.020320177125399</v>
      </c>
      <c r="AK1471">
        <v>0.65363312020667697</v>
      </c>
      <c r="AL1471">
        <v>87.349950933949401</v>
      </c>
      <c r="AM1471">
        <v>94.256292088721594</v>
      </c>
      <c r="AN1471">
        <v>0.99999994652058599</v>
      </c>
    </row>
    <row r="1472" spans="1:40" x14ac:dyDescent="0.3">
      <c r="A1472" t="str">
        <f>"20200111145939337"</f>
        <v>20200111145939337</v>
      </c>
      <c r="B1472" t="str">
        <f>"1578725979326927"</f>
        <v>1578725979326927</v>
      </c>
      <c r="C1472" t="s">
        <v>40</v>
      </c>
      <c r="D1472">
        <v>4.2107580000000002</v>
      </c>
      <c r="E1472">
        <v>0.55699319999999997</v>
      </c>
      <c r="F1472" t="s">
        <v>41</v>
      </c>
      <c r="G1472">
        <v>-296.98689999999999</v>
      </c>
      <c r="H1472">
        <v>0.94163560000000002</v>
      </c>
      <c r="I1472">
        <v>367.34930000000003</v>
      </c>
      <c r="J1472">
        <v>-297.70729999999998</v>
      </c>
      <c r="K1472">
        <v>1.054824</v>
      </c>
      <c r="L1472">
        <v>367.42590000000001</v>
      </c>
      <c r="M1472">
        <v>0.99975049999999999</v>
      </c>
      <c r="N1472">
        <v>0</v>
      </c>
      <c r="O1472">
        <v>-1.8447580000000002E-2</v>
      </c>
      <c r="P1472">
        <v>0.99788270000000001</v>
      </c>
      <c r="Q1472">
        <v>3.3741790000000001E-2</v>
      </c>
      <c r="R1472">
        <v>5.5604239999999999E-2</v>
      </c>
      <c r="S1472">
        <v>3.036133</v>
      </c>
      <c r="T1472">
        <v>-0.41199619999999998</v>
      </c>
      <c r="U1472">
        <v>-0.2852478</v>
      </c>
      <c r="V1472">
        <v>-7.4016399999999996E-2</v>
      </c>
      <c r="W1472">
        <v>4.6277980000000003E-2</v>
      </c>
      <c r="X1472">
        <v>0.99618269999999998</v>
      </c>
      <c r="Y1472">
        <v>7.4644710000000003E-2</v>
      </c>
      <c r="Z1472">
        <v>-2.5444970000000002E-3</v>
      </c>
      <c r="AA1472">
        <v>0.99720690000000001</v>
      </c>
      <c r="AB1472">
        <v>20</v>
      </c>
      <c r="AC1472">
        <v>0.72039999999998305</v>
      </c>
      <c r="AD1472">
        <v>-0.113188399999999</v>
      </c>
      <c r="AE1472">
        <v>-7.6599999999984902E-2</v>
      </c>
      <c r="AF1472">
        <v>6.1788005780585097E-2</v>
      </c>
      <c r="AG1472">
        <v>-0.113188399999999</v>
      </c>
      <c r="AH1472">
        <v>0.70449365602053104</v>
      </c>
      <c r="AI1472">
        <v>99.093177103475796</v>
      </c>
      <c r="AJ1472">
        <v>84.987667769222696</v>
      </c>
      <c r="AK1472">
        <v>0.71619877333466297</v>
      </c>
      <c r="AL1472">
        <v>87.3475197723604</v>
      </c>
      <c r="AM1472">
        <v>94.249269999878607</v>
      </c>
      <c r="AN1472">
        <v>1.0000000253405601</v>
      </c>
    </row>
    <row r="1473" spans="1:40" x14ac:dyDescent="0.3">
      <c r="A1473" t="str">
        <f>"20200111145939353"</f>
        <v>20200111145939353</v>
      </c>
      <c r="B1473" t="str">
        <f>"1578725979347422"</f>
        <v>1578725979347422</v>
      </c>
      <c r="C1473" t="s">
        <v>40</v>
      </c>
      <c r="D1473">
        <v>4.1603209999999997</v>
      </c>
      <c r="E1473">
        <v>0.55562690000000003</v>
      </c>
      <c r="F1473" t="s">
        <v>41</v>
      </c>
      <c r="G1473">
        <v>-296.97730000000001</v>
      </c>
      <c r="H1473">
        <v>0.96082690000000004</v>
      </c>
      <c r="I1473">
        <v>367.35700000000003</v>
      </c>
      <c r="J1473">
        <v>-297.5718</v>
      </c>
      <c r="K1473">
        <v>1.0548280000000001</v>
      </c>
      <c r="L1473">
        <v>367.42360000000002</v>
      </c>
      <c r="M1473">
        <v>0.99975320000000001</v>
      </c>
      <c r="N1473">
        <v>0</v>
      </c>
      <c r="O1473">
        <v>-1.832023E-2</v>
      </c>
      <c r="P1473">
        <v>0.99784240000000002</v>
      </c>
      <c r="Q1473">
        <v>3.4315850000000002E-2</v>
      </c>
      <c r="R1473">
        <v>5.5973309999999998E-2</v>
      </c>
      <c r="S1473">
        <v>3.0355219999999998</v>
      </c>
      <c r="T1473">
        <v>-0.39099089999999997</v>
      </c>
      <c r="U1473">
        <v>-0.28546139999999998</v>
      </c>
      <c r="V1473">
        <v>-7.4259119999999998E-2</v>
      </c>
      <c r="W1473">
        <v>4.6825270000000002E-2</v>
      </c>
      <c r="X1473">
        <v>0.996139</v>
      </c>
      <c r="Y1473">
        <v>7.4907100000000004E-2</v>
      </c>
      <c r="Z1473">
        <v>-2.4494109999999999E-3</v>
      </c>
      <c r="AA1473">
        <v>0.9971875</v>
      </c>
      <c r="AB1473">
        <v>20</v>
      </c>
      <c r="AC1473">
        <v>0.59449999999998204</v>
      </c>
      <c r="AD1473">
        <v>-9.4001100000000004E-2</v>
      </c>
      <c r="AE1473">
        <v>-6.6600000000050799E-2</v>
      </c>
      <c r="AF1473">
        <v>5.4354495602326601E-2</v>
      </c>
      <c r="AG1473">
        <v>-9.4001100000000004E-2</v>
      </c>
      <c r="AH1473">
        <v>0.58126811154060898</v>
      </c>
      <c r="AI1473">
        <v>99.146962939446496</v>
      </c>
      <c r="AJ1473">
        <v>84.657795254996799</v>
      </c>
      <c r="AK1473">
        <v>0.59132329185258703</v>
      </c>
      <c r="AL1473">
        <v>87.316128171792997</v>
      </c>
      <c r="AM1473">
        <v>94.263339559915806</v>
      </c>
      <c r="AN1473">
        <v>0.99999996506737299</v>
      </c>
    </row>
    <row r="1474" spans="1:40" x14ac:dyDescent="0.3">
      <c r="A1474" t="str">
        <f>"20200111145939364"</f>
        <v>20200111145939364</v>
      </c>
      <c r="B1474" t="str">
        <f>"1578725979357182"</f>
        <v>1578725979357182</v>
      </c>
      <c r="C1474" t="s">
        <v>40</v>
      </c>
      <c r="D1474">
        <v>4.1133009999999999</v>
      </c>
      <c r="E1474">
        <v>0.55481969999999903</v>
      </c>
      <c r="F1474" t="s">
        <v>41</v>
      </c>
      <c r="G1474">
        <v>-296.79849999999999</v>
      </c>
      <c r="H1474">
        <v>0.95474210000000004</v>
      </c>
      <c r="I1474">
        <v>367.35340000000002</v>
      </c>
      <c r="J1474">
        <v>-297.46589999999998</v>
      </c>
      <c r="K1474">
        <v>1.054829</v>
      </c>
      <c r="L1474">
        <v>367.42169999999999</v>
      </c>
      <c r="M1474">
        <v>0.99975530000000001</v>
      </c>
      <c r="N1474">
        <v>0</v>
      </c>
      <c r="O1474">
        <v>-1.8217509999999999E-2</v>
      </c>
      <c r="P1474">
        <v>0.99780860000000005</v>
      </c>
      <c r="Q1474">
        <v>3.4302850000000003E-2</v>
      </c>
      <c r="R1474">
        <v>5.6578259999999998E-2</v>
      </c>
      <c r="S1474">
        <v>3.0353699999999999</v>
      </c>
      <c r="T1474">
        <v>-0.39309100000000002</v>
      </c>
      <c r="U1474">
        <v>-0.2739258</v>
      </c>
      <c r="V1474">
        <v>-7.4761320000000006E-2</v>
      </c>
      <c r="W1474">
        <v>4.6788120000000002E-2</v>
      </c>
      <c r="X1474">
        <v>0.99610319999999997</v>
      </c>
      <c r="Y1474">
        <v>7.1279880000000004E-2</v>
      </c>
      <c r="Z1474">
        <v>-2.2427760000000001E-3</v>
      </c>
      <c r="AA1474">
        <v>0.99745379999999995</v>
      </c>
      <c r="AB1474">
        <v>20</v>
      </c>
      <c r="AC1474">
        <v>0.667399999999986</v>
      </c>
      <c r="AD1474">
        <v>-0.10008689999999899</v>
      </c>
      <c r="AE1474">
        <v>-6.8299999999965097E-2</v>
      </c>
      <c r="AF1474">
        <v>5.4907294486176199E-2</v>
      </c>
      <c r="AG1474">
        <v>-0.10008689999999899</v>
      </c>
      <c r="AH1474">
        <v>0.65397829467684099</v>
      </c>
      <c r="AI1474">
        <v>98.671169882584195</v>
      </c>
      <c r="AJ1474">
        <v>85.200765342236394</v>
      </c>
      <c r="AK1474">
        <v>0.66386731238089303</v>
      </c>
      <c r="AL1474">
        <v>87.318259096653193</v>
      </c>
      <c r="AM1474">
        <v>94.292217995186505</v>
      </c>
      <c r="AN1474">
        <v>0.99999998409575797</v>
      </c>
    </row>
    <row r="1475" spans="1:40" x14ac:dyDescent="0.3">
      <c r="A1475" t="str">
        <f>"20200111145939386"</f>
        <v>20200111145939386</v>
      </c>
      <c r="B1475" t="str">
        <f>"1578725979376702"</f>
        <v>1578725979376702</v>
      </c>
      <c r="C1475" t="s">
        <v>40</v>
      </c>
      <c r="D1475">
        <v>4.104095</v>
      </c>
      <c r="E1475">
        <v>0.55416259999999995</v>
      </c>
      <c r="F1475" t="s">
        <v>41</v>
      </c>
      <c r="G1475">
        <v>-296.62150000000003</v>
      </c>
      <c r="H1475">
        <v>0.94504790000000005</v>
      </c>
      <c r="I1475">
        <v>367.34750000000003</v>
      </c>
      <c r="J1475">
        <v>-297.2704</v>
      </c>
      <c r="K1475">
        <v>1.054818</v>
      </c>
      <c r="L1475">
        <v>367.41840000000002</v>
      </c>
      <c r="M1475">
        <v>0.99975959999999997</v>
      </c>
      <c r="N1475">
        <v>0</v>
      </c>
      <c r="O1475">
        <v>-1.8021209999999999E-2</v>
      </c>
      <c r="P1475">
        <v>0.99772190000000005</v>
      </c>
      <c r="Q1475">
        <v>3.4274840000000001E-2</v>
      </c>
      <c r="R1475">
        <v>5.810485E-2</v>
      </c>
      <c r="S1475">
        <v>3.0352480000000002</v>
      </c>
      <c r="T1475">
        <v>-0.39481319999999998</v>
      </c>
      <c r="U1475">
        <v>-0.26571660000000002</v>
      </c>
      <c r="V1475">
        <v>-7.6090530000000003E-2</v>
      </c>
      <c r="W1475">
        <v>4.6706669999999999E-2</v>
      </c>
      <c r="X1475">
        <v>0.99600639999999996</v>
      </c>
      <c r="Y1475">
        <v>6.8817439999999994E-2</v>
      </c>
      <c r="Z1475">
        <v>-2.1190509999999998E-3</v>
      </c>
      <c r="AA1475">
        <v>0.99762700000000004</v>
      </c>
      <c r="AB1475">
        <v>20</v>
      </c>
      <c r="AC1475">
        <v>0.64889999999996895</v>
      </c>
      <c r="AD1475">
        <v>-0.1097701</v>
      </c>
      <c r="AE1475">
        <v>-7.0899999999994606E-2</v>
      </c>
      <c r="AF1475">
        <v>5.7565728284407799E-2</v>
      </c>
      <c r="AG1475">
        <v>-0.1097701</v>
      </c>
      <c r="AH1475">
        <v>0.63219479624040198</v>
      </c>
      <c r="AI1475">
        <v>99.8104577258635</v>
      </c>
      <c r="AJ1475">
        <v>84.797169092494698</v>
      </c>
      <c r="AK1475">
        <v>0.64423097435653198</v>
      </c>
      <c r="AL1475">
        <v>87.322931029124405</v>
      </c>
      <c r="AM1475">
        <v>94.368661064172201</v>
      </c>
      <c r="AN1475">
        <v>1.0000000153095601</v>
      </c>
    </row>
    <row r="1476" spans="1:40" x14ac:dyDescent="0.3">
      <c r="A1476" t="str">
        <f>"20200111145939398"</f>
        <v>20200111145939398</v>
      </c>
      <c r="B1476" t="str">
        <f>"1578725979387438"</f>
        <v>1578725979387438</v>
      </c>
      <c r="C1476" t="s">
        <v>40</v>
      </c>
      <c r="D1476">
        <v>4.1559210000000002</v>
      </c>
      <c r="E1476">
        <v>0.55373079999999997</v>
      </c>
      <c r="F1476" t="s">
        <v>41</v>
      </c>
      <c r="G1476">
        <v>-296.4427</v>
      </c>
      <c r="H1476">
        <v>0.93873989999999996</v>
      </c>
      <c r="I1476">
        <v>367.3485</v>
      </c>
      <c r="J1476">
        <v>-297.15859999999998</v>
      </c>
      <c r="K1476">
        <v>1.0548090000000001</v>
      </c>
      <c r="L1476">
        <v>367.41649999999998</v>
      </c>
      <c r="M1476">
        <v>0.99976200000000004</v>
      </c>
      <c r="N1476">
        <v>0</v>
      </c>
      <c r="O1476">
        <v>-1.790827E-2</v>
      </c>
      <c r="P1476">
        <v>0.99767669999999997</v>
      </c>
      <c r="Q1476">
        <v>3.4382599999999999E-2</v>
      </c>
      <c r="R1476">
        <v>5.8818170000000003E-2</v>
      </c>
      <c r="S1476">
        <v>3.0363769999999999</v>
      </c>
      <c r="T1476">
        <v>-0.4259464</v>
      </c>
      <c r="U1476">
        <v>-0.2557373</v>
      </c>
      <c r="V1476">
        <v>-7.6690110000000006E-2</v>
      </c>
      <c r="W1476">
        <v>4.6780019999999999E-2</v>
      </c>
      <c r="X1476">
        <v>0.99595699999999998</v>
      </c>
      <c r="Y1476">
        <v>6.5603869999999995E-2</v>
      </c>
      <c r="Z1476">
        <v>-2.075875E-3</v>
      </c>
      <c r="AA1476">
        <v>0.99784360000000005</v>
      </c>
      <c r="AB1476">
        <v>20</v>
      </c>
      <c r="AC1476">
        <v>0.715899999999976</v>
      </c>
      <c r="AD1476">
        <v>-0.11606909999999999</v>
      </c>
      <c r="AE1476">
        <v>-6.7999999999983601E-2</v>
      </c>
      <c r="AF1476">
        <v>5.3766875908469701E-2</v>
      </c>
      <c r="AG1476">
        <v>-0.11606909999999999</v>
      </c>
      <c r="AH1476">
        <v>0.69879849178942899</v>
      </c>
      <c r="AI1476">
        <v>99.403328633044694</v>
      </c>
      <c r="AJ1476">
        <v>85.6002231407777</v>
      </c>
      <c r="AK1476">
        <v>0.71040991339292803</v>
      </c>
      <c r="AL1476">
        <v>87.318723863406802</v>
      </c>
      <c r="AM1476">
        <v>94.403168037150905</v>
      </c>
      <c r="AN1476">
        <v>1.000000044546</v>
      </c>
    </row>
    <row r="1477" spans="1:40" x14ac:dyDescent="0.3">
      <c r="A1477" t="str">
        <f>"20200111145939409"</f>
        <v>20200111145939409</v>
      </c>
      <c r="B1477" t="str">
        <f>"1578725979406957"</f>
        <v>1578725979406957</v>
      </c>
      <c r="C1477" t="s">
        <v>40</v>
      </c>
      <c r="D1477">
        <v>4.2632199999999996</v>
      </c>
      <c r="E1477">
        <v>0.55362040000000001</v>
      </c>
      <c r="F1477" t="s">
        <v>41</v>
      </c>
      <c r="G1477">
        <v>-296.43639999999999</v>
      </c>
      <c r="H1477">
        <v>0.95109759999999999</v>
      </c>
      <c r="I1477">
        <v>367.35680000000002</v>
      </c>
      <c r="J1477">
        <v>-297.05560000000003</v>
      </c>
      <c r="K1477">
        <v>1.054799</v>
      </c>
      <c r="L1477">
        <v>367.41480000000001</v>
      </c>
      <c r="M1477">
        <v>0.99976430000000005</v>
      </c>
      <c r="N1477">
        <v>0</v>
      </c>
      <c r="O1477">
        <v>-1.7804540000000001E-2</v>
      </c>
      <c r="P1477">
        <v>0.9976313</v>
      </c>
      <c r="Q1477">
        <v>3.4352519999999998E-2</v>
      </c>
      <c r="R1477">
        <v>5.9598390000000001E-2</v>
      </c>
      <c r="S1477">
        <v>3.0367739999999999</v>
      </c>
      <c r="T1477">
        <v>-0.43622830000000001</v>
      </c>
      <c r="U1477">
        <v>-0.25009160000000002</v>
      </c>
      <c r="V1477">
        <v>-7.7365630000000005E-2</v>
      </c>
      <c r="W1477">
        <v>4.6716199999999999E-2</v>
      </c>
      <c r="X1477">
        <v>0.99590769999999995</v>
      </c>
      <c r="Y1477">
        <v>6.3848370000000002E-2</v>
      </c>
      <c r="Z1477">
        <v>-2.0149209999999998E-3</v>
      </c>
      <c r="AA1477">
        <v>0.9979576</v>
      </c>
      <c r="AB1477">
        <v>20</v>
      </c>
      <c r="AC1477">
        <v>0.61920000000003395</v>
      </c>
      <c r="AD1477">
        <v>-0.103701399999999</v>
      </c>
      <c r="AE1477">
        <v>-5.7999999999992703E-2</v>
      </c>
      <c r="AF1477">
        <v>4.5694864562003397E-2</v>
      </c>
      <c r="AG1477">
        <v>-0.103701399999999</v>
      </c>
      <c r="AH1477">
        <v>0.60335855506625202</v>
      </c>
      <c r="AI1477">
        <v>99.725030558733394</v>
      </c>
      <c r="AJ1477">
        <v>85.669018928381504</v>
      </c>
      <c r="AK1477">
        <v>0.61390841905037896</v>
      </c>
      <c r="AL1477">
        <v>87.322384350546201</v>
      </c>
      <c r="AM1477">
        <v>94.442017527804197</v>
      </c>
      <c r="AN1477">
        <v>0.99999999548351304</v>
      </c>
    </row>
    <row r="1478" spans="1:40" x14ac:dyDescent="0.3">
      <c r="A1478" t="str">
        <f>"20200111145939422"</f>
        <v>20200111145939422</v>
      </c>
      <c r="B1478" t="str">
        <f>"1578725979416718"</f>
        <v>1578725979416718</v>
      </c>
      <c r="C1478" t="s">
        <v>40</v>
      </c>
      <c r="D1478">
        <v>4.1376569999999999</v>
      </c>
      <c r="E1478">
        <v>0.55245080000000002</v>
      </c>
      <c r="F1478" t="s">
        <v>41</v>
      </c>
      <c r="G1478">
        <v>-296.26170000000002</v>
      </c>
      <c r="H1478">
        <v>0.9369248</v>
      </c>
      <c r="I1478">
        <v>367.3501</v>
      </c>
      <c r="J1478">
        <v>-296.93880000000001</v>
      </c>
      <c r="K1478">
        <v>1.0547869999999999</v>
      </c>
      <c r="L1478">
        <v>367.41289999999998</v>
      </c>
      <c r="M1478">
        <v>0.99976679999999996</v>
      </c>
      <c r="N1478">
        <v>0</v>
      </c>
      <c r="O1478">
        <v>-1.768695E-2</v>
      </c>
      <c r="P1478">
        <v>0.99759629999999999</v>
      </c>
      <c r="Q1478">
        <v>3.4062099999999998E-2</v>
      </c>
      <c r="R1478">
        <v>6.0341430000000001E-2</v>
      </c>
      <c r="S1478">
        <v>3.0373540000000001</v>
      </c>
      <c r="T1478">
        <v>-0.4511387</v>
      </c>
      <c r="U1478">
        <v>-0.246582</v>
      </c>
      <c r="V1478">
        <v>-7.7990340000000005E-2</v>
      </c>
      <c r="W1478">
        <v>4.6387060000000001E-2</v>
      </c>
      <c r="X1478">
        <v>0.99587429999999999</v>
      </c>
      <c r="Y1478">
        <v>6.2782699999999997E-2</v>
      </c>
      <c r="Z1478">
        <v>-2.021508E-3</v>
      </c>
      <c r="AA1478">
        <v>0.99802519999999995</v>
      </c>
      <c r="AB1478">
        <v>20</v>
      </c>
      <c r="AC1478">
        <v>0.67709999999999504</v>
      </c>
      <c r="AD1478">
        <v>-0.1178622</v>
      </c>
      <c r="AE1478">
        <v>-6.2799999999981496E-2</v>
      </c>
      <c r="AF1478">
        <v>4.9331425225746697E-2</v>
      </c>
      <c r="AG1478">
        <v>-0.1178622</v>
      </c>
      <c r="AH1478">
        <v>0.65832765641912705</v>
      </c>
      <c r="AI1478">
        <v>100.122492956749</v>
      </c>
      <c r="AJ1478">
        <v>85.714581041524895</v>
      </c>
      <c r="AK1478">
        <v>0.67061195255523498</v>
      </c>
      <c r="AL1478">
        <v>87.341262994594302</v>
      </c>
      <c r="AM1478">
        <v>94.477890094041598</v>
      </c>
      <c r="AN1478">
        <v>0.99999993693462197</v>
      </c>
    </row>
    <row r="1479" spans="1:40" x14ac:dyDescent="0.3">
      <c r="A1479" t="str">
        <f>"20200111145939434"</f>
        <v>20200111145939434</v>
      </c>
      <c r="B1479" t="str">
        <f>"1578725979427454"</f>
        <v>1578725979427454</v>
      </c>
      <c r="C1479" t="s">
        <v>40</v>
      </c>
      <c r="D1479">
        <v>4.1645969999999997</v>
      </c>
      <c r="E1479">
        <v>0.5523825</v>
      </c>
      <c r="F1479" t="s">
        <v>41</v>
      </c>
      <c r="G1479">
        <v>-296.08429999999998</v>
      </c>
      <c r="H1479">
        <v>0.9278573</v>
      </c>
      <c r="I1479">
        <v>367.34649999999999</v>
      </c>
      <c r="J1479">
        <v>-296.82909999999998</v>
      </c>
      <c r="K1479">
        <v>1.054775</v>
      </c>
      <c r="L1479">
        <v>367.41109999999998</v>
      </c>
      <c r="M1479">
        <v>0.99976920000000002</v>
      </c>
      <c r="N1479">
        <v>0</v>
      </c>
      <c r="O1479">
        <v>-1.757891E-2</v>
      </c>
      <c r="P1479">
        <v>0.99756440000000002</v>
      </c>
      <c r="Q1479">
        <v>3.4132250000000003E-2</v>
      </c>
      <c r="R1479">
        <v>6.0832200000000003E-2</v>
      </c>
      <c r="S1479">
        <v>3.036835</v>
      </c>
      <c r="T1479">
        <v>-0.45126509999999997</v>
      </c>
      <c r="U1479">
        <v>-0.2349243</v>
      </c>
      <c r="V1479">
        <v>-7.8372020000000001E-2</v>
      </c>
      <c r="W1479">
        <v>4.6418969999999997E-2</v>
      </c>
      <c r="X1479">
        <v>0.99584289999999998</v>
      </c>
      <c r="Y1479">
        <v>5.9134619999999999E-2</v>
      </c>
      <c r="Z1479">
        <v>-1.7694570000000001E-3</v>
      </c>
      <c r="AA1479">
        <v>0.99824849999999998</v>
      </c>
      <c r="AB1479">
        <v>20</v>
      </c>
      <c r="AC1479">
        <v>0.74479999999999702</v>
      </c>
      <c r="AD1479">
        <v>-0.12691769999999999</v>
      </c>
      <c r="AE1479">
        <v>-6.4599999999984406E-2</v>
      </c>
      <c r="AF1479">
        <v>5.0053645924927399E-2</v>
      </c>
      <c r="AG1479">
        <v>-0.12691769999999999</v>
      </c>
      <c r="AH1479">
        <v>0.72492739519834903</v>
      </c>
      <c r="AI1479">
        <v>99.907375259001498</v>
      </c>
      <c r="AJ1479">
        <v>86.050199996563705</v>
      </c>
      <c r="AK1479">
        <v>0.73765384724322502</v>
      </c>
      <c r="AL1479">
        <v>87.339432850237998</v>
      </c>
      <c r="AM1479">
        <v>94.499856135456497</v>
      </c>
      <c r="AN1479">
        <v>0.99999998788757505</v>
      </c>
    </row>
    <row r="1480" spans="1:40" x14ac:dyDescent="0.3">
      <c r="A1480" t="str">
        <f>"20200111145939446"</f>
        <v>20200111145939446</v>
      </c>
      <c r="B1480" t="str">
        <f>"1578725979437214"</f>
        <v>1578725979437214</v>
      </c>
      <c r="C1480" t="s">
        <v>40</v>
      </c>
      <c r="D1480">
        <v>4.2193779999999999</v>
      </c>
      <c r="E1480">
        <v>0.55269820000000003</v>
      </c>
      <c r="F1480" t="s">
        <v>41</v>
      </c>
      <c r="G1480">
        <v>-296.07769999999999</v>
      </c>
      <c r="H1480">
        <v>0.94085969999999997</v>
      </c>
      <c r="I1480">
        <v>367.35320000000002</v>
      </c>
      <c r="J1480">
        <v>-296.7199</v>
      </c>
      <c r="K1480">
        <v>1.054765</v>
      </c>
      <c r="L1480">
        <v>367.40929999999997</v>
      </c>
      <c r="M1480">
        <v>0.99977150000000004</v>
      </c>
      <c r="N1480">
        <v>0</v>
      </c>
      <c r="O1480">
        <v>-1.7472890000000001E-2</v>
      </c>
      <c r="P1480">
        <v>0.9975347</v>
      </c>
      <c r="Q1480">
        <v>3.4002099999999903E-2</v>
      </c>
      <c r="R1480">
        <v>6.1387169999999998E-2</v>
      </c>
      <c r="S1480">
        <v>3.0372309999999998</v>
      </c>
      <c r="T1480">
        <v>-0.46064630000000001</v>
      </c>
      <c r="U1480">
        <v>-0.23260500000000001</v>
      </c>
      <c r="V1480">
        <v>-7.8820409999999994E-2</v>
      </c>
      <c r="W1480">
        <v>4.624988E-2</v>
      </c>
      <c r="X1480">
        <v>0.99581540000000002</v>
      </c>
      <c r="Y1480">
        <v>5.8460239999999997E-2</v>
      </c>
      <c r="Z1480">
        <v>-1.7708299999999999E-3</v>
      </c>
      <c r="AA1480">
        <v>0.99828819999999996</v>
      </c>
      <c r="AB1480">
        <v>20</v>
      </c>
      <c r="AC1480">
        <v>0.64220000000000199</v>
      </c>
      <c r="AD1480">
        <v>-0.1139053</v>
      </c>
      <c r="AE1480">
        <v>-5.6099999999958003E-2</v>
      </c>
      <c r="AF1480">
        <v>4.3511038743720198E-2</v>
      </c>
      <c r="AG1480">
        <v>-0.1139053</v>
      </c>
      <c r="AH1480">
        <v>0.623612492156144</v>
      </c>
      <c r="AI1480">
        <v>100.326631119119</v>
      </c>
      <c r="AJ1480">
        <v>86.008795191563294</v>
      </c>
      <c r="AK1480">
        <v>0.63542125258276105</v>
      </c>
      <c r="AL1480">
        <v>87.349131467879204</v>
      </c>
      <c r="AM1480">
        <v>94.525618987033297</v>
      </c>
      <c r="AN1480">
        <v>1.00000000965487</v>
      </c>
    </row>
    <row r="1481" spans="1:40" x14ac:dyDescent="0.3">
      <c r="A1481" t="str">
        <f>"20200111145939458"</f>
        <v>20200111145939458</v>
      </c>
      <c r="B1481" t="str">
        <f>"1578725979446975"</f>
        <v>1578725979446975</v>
      </c>
      <c r="C1481" t="s">
        <v>40</v>
      </c>
      <c r="D1481">
        <v>4.2196720000000001</v>
      </c>
      <c r="E1481">
        <v>0.55191619999999997</v>
      </c>
      <c r="F1481" t="s">
        <v>41</v>
      </c>
      <c r="G1481">
        <v>-295.90230000000003</v>
      </c>
      <c r="H1481">
        <v>0.92765180000000003</v>
      </c>
      <c r="I1481">
        <v>367.34620000000001</v>
      </c>
      <c r="J1481">
        <v>-296.61279999999999</v>
      </c>
      <c r="K1481">
        <v>1.054756</v>
      </c>
      <c r="L1481">
        <v>367.40750000000003</v>
      </c>
      <c r="M1481">
        <v>0.99977380000000005</v>
      </c>
      <c r="N1481">
        <v>0</v>
      </c>
      <c r="O1481">
        <v>-1.7370190000000001E-2</v>
      </c>
      <c r="P1481">
        <v>0.99751120000000004</v>
      </c>
      <c r="Q1481">
        <v>3.3939799999999999E-2</v>
      </c>
      <c r="R1481">
        <v>6.18019E-2</v>
      </c>
      <c r="S1481">
        <v>3.0378720000000001</v>
      </c>
      <c r="T1481">
        <v>-0.47250989999999998</v>
      </c>
      <c r="U1481">
        <v>-0.23345949999999999</v>
      </c>
      <c r="V1481">
        <v>-7.9131320000000005E-2</v>
      </c>
      <c r="W1481">
        <v>4.6149370000000002E-2</v>
      </c>
      <c r="X1481">
        <v>0.9957954</v>
      </c>
      <c r="Y1481">
        <v>5.87967E-2</v>
      </c>
      <c r="Z1481">
        <v>-1.8573299999999999E-3</v>
      </c>
      <c r="AA1481">
        <v>0.99826820000000005</v>
      </c>
      <c r="AB1481">
        <v>20</v>
      </c>
      <c r="AC1481">
        <v>0.71049999999996705</v>
      </c>
      <c r="AD1481">
        <v>-0.1271042</v>
      </c>
      <c r="AE1481">
        <v>-6.1300000000017001E-2</v>
      </c>
      <c r="AF1481">
        <v>4.7441252895556597E-2</v>
      </c>
      <c r="AG1481">
        <v>-0.1271042</v>
      </c>
      <c r="AH1481">
        <v>0.68955290548923698</v>
      </c>
      <c r="AI1481">
        <v>100.41991799609301</v>
      </c>
      <c r="AJ1481">
        <v>86.064251350533297</v>
      </c>
      <c r="AK1481">
        <v>0.70277262297459198</v>
      </c>
      <c r="AL1481">
        <v>87.354896408399597</v>
      </c>
      <c r="AM1481">
        <v>94.5434867327169</v>
      </c>
      <c r="AN1481">
        <v>1.00000000440874</v>
      </c>
    </row>
    <row r="1482" spans="1:40" x14ac:dyDescent="0.3">
      <c r="A1482" t="str">
        <f>"20200111145939469"</f>
        <v>20200111145939469</v>
      </c>
      <c r="B1482" t="str">
        <f>"1578725979467470"</f>
        <v>1578725979467470</v>
      </c>
      <c r="C1482" t="s">
        <v>40</v>
      </c>
      <c r="D1482">
        <v>4.292967</v>
      </c>
      <c r="E1482">
        <v>0.55173319999999904</v>
      </c>
      <c r="F1482" t="s">
        <v>41</v>
      </c>
      <c r="G1482">
        <v>-295.89429999999999</v>
      </c>
      <c r="H1482">
        <v>0.94347389999999998</v>
      </c>
      <c r="I1482">
        <v>367.35390000000001</v>
      </c>
      <c r="J1482">
        <v>-296.51220000000001</v>
      </c>
      <c r="K1482">
        <v>1.054748</v>
      </c>
      <c r="L1482">
        <v>367.40589999999997</v>
      </c>
      <c r="M1482">
        <v>0.99977590000000005</v>
      </c>
      <c r="N1482">
        <v>0</v>
      </c>
      <c r="O1482">
        <v>-1.727716E-2</v>
      </c>
      <c r="P1482">
        <v>0.99751230000000002</v>
      </c>
      <c r="Q1482">
        <v>3.3734840000000002E-2</v>
      </c>
      <c r="R1482">
        <v>6.189824E-2</v>
      </c>
      <c r="S1482">
        <v>3.0374759999999998</v>
      </c>
      <c r="T1482">
        <v>-0.47072029999999898</v>
      </c>
      <c r="U1482">
        <v>-0.2256775</v>
      </c>
      <c r="V1482">
        <v>-7.9135049999999998E-2</v>
      </c>
      <c r="W1482">
        <v>4.5910260000000001E-2</v>
      </c>
      <c r="X1482">
        <v>0.99580619999999997</v>
      </c>
      <c r="Y1482">
        <v>5.6387329999999999E-2</v>
      </c>
      <c r="Z1482">
        <v>-1.679755E-3</v>
      </c>
      <c r="AA1482">
        <v>0.9984075</v>
      </c>
      <c r="AB1482">
        <v>20</v>
      </c>
      <c r="AC1482">
        <v>0.61790000000001999</v>
      </c>
      <c r="AD1482">
        <v>-0.1112741</v>
      </c>
      <c r="AE1482">
        <v>-5.1999999999963999E-2</v>
      </c>
      <c r="AF1482">
        <v>4.0026922348380199E-2</v>
      </c>
      <c r="AG1482">
        <v>-0.1112741</v>
      </c>
      <c r="AH1482">
        <v>0.59940404978371498</v>
      </c>
      <c r="AI1482">
        <v>100.493886841717</v>
      </c>
      <c r="AJ1482">
        <v>86.179582243560105</v>
      </c>
      <c r="AK1482">
        <v>0.61095768653861104</v>
      </c>
      <c r="AL1482">
        <v>87.368611053582399</v>
      </c>
      <c r="AM1482">
        <v>94.543650929260707</v>
      </c>
      <c r="AN1482">
        <v>1.0000000480350999</v>
      </c>
    </row>
    <row r="1483" spans="1:40" x14ac:dyDescent="0.3">
      <c r="A1483" t="str">
        <f>"20200111145939481"</f>
        <v>20200111145939481</v>
      </c>
      <c r="B1483" t="str">
        <f>"1578725979477230"</f>
        <v>1578725979477230</v>
      </c>
      <c r="C1483" t="s">
        <v>40</v>
      </c>
      <c r="D1483">
        <v>4.2406439999999996</v>
      </c>
      <c r="E1483">
        <v>0.55108550000000001</v>
      </c>
      <c r="F1483" t="s">
        <v>41</v>
      </c>
      <c r="G1483">
        <v>-295.71910000000003</v>
      </c>
      <c r="H1483">
        <v>0.92991539999999995</v>
      </c>
      <c r="I1483">
        <v>367.34719999999999</v>
      </c>
      <c r="J1483">
        <v>-296.40949999999998</v>
      </c>
      <c r="K1483">
        <v>1.0547409999999999</v>
      </c>
      <c r="L1483">
        <v>367.4042</v>
      </c>
      <c r="M1483">
        <v>0.99977800000000006</v>
      </c>
      <c r="N1483">
        <v>0</v>
      </c>
      <c r="O1483">
        <v>-1.7183159999999999E-2</v>
      </c>
      <c r="P1483">
        <v>0.99750459999999996</v>
      </c>
      <c r="Q1483">
        <v>3.3667290000000002E-2</v>
      </c>
      <c r="R1483">
        <v>6.2059610000000001E-2</v>
      </c>
      <c r="S1483">
        <v>3.0375369999999999</v>
      </c>
      <c r="T1483">
        <v>-0.47827380000000003</v>
      </c>
      <c r="U1483">
        <v>-0.2237854</v>
      </c>
      <c r="V1483">
        <v>-7.9201889999999997E-2</v>
      </c>
      <c r="W1483">
        <v>4.580737E-2</v>
      </c>
      <c r="X1483">
        <v>0.99580559999999996</v>
      </c>
      <c r="Y1483">
        <v>5.5851659999999997E-2</v>
      </c>
      <c r="Z1483">
        <v>-1.6792139999999901E-3</v>
      </c>
      <c r="AA1483">
        <v>0.99843760000000004</v>
      </c>
      <c r="AB1483">
        <v>20</v>
      </c>
      <c r="AC1483">
        <v>0.69039999999995405</v>
      </c>
      <c r="AD1483">
        <v>-0.124825599999999</v>
      </c>
      <c r="AE1483">
        <v>-5.7000000000016302E-2</v>
      </c>
      <c r="AF1483">
        <v>4.3708325580503797E-2</v>
      </c>
      <c r="AG1483">
        <v>-0.124825599999999</v>
      </c>
      <c r="AH1483">
        <v>0.66953897534029305</v>
      </c>
      <c r="AI1483">
        <v>100.538776418637</v>
      </c>
      <c r="AJ1483">
        <v>86.264961012301896</v>
      </c>
      <c r="AK1483">
        <v>0.68247658395005895</v>
      </c>
      <c r="AL1483">
        <v>87.374512360921997</v>
      </c>
      <c r="AM1483">
        <v>94.547475281309303</v>
      </c>
      <c r="AN1483">
        <v>1.00000002375862</v>
      </c>
    </row>
    <row r="1484" spans="1:40" x14ac:dyDescent="0.3">
      <c r="A1484" t="str">
        <f>"20200111145939491"</f>
        <v>20200111145939491</v>
      </c>
      <c r="B1484" t="str">
        <f>"1578725979486990"</f>
        <v>1578725979486990</v>
      </c>
      <c r="C1484" t="s">
        <v>40</v>
      </c>
      <c r="D1484">
        <v>4.2130380000000001</v>
      </c>
      <c r="E1484">
        <v>0.55125360000000001</v>
      </c>
      <c r="F1484" t="s">
        <v>41</v>
      </c>
      <c r="G1484">
        <v>-295.5421</v>
      </c>
      <c r="H1484">
        <v>0.91988919999999996</v>
      </c>
      <c r="I1484">
        <v>367.3415</v>
      </c>
      <c r="J1484">
        <v>-296.30189999999999</v>
      </c>
      <c r="K1484">
        <v>1.0547329999999999</v>
      </c>
      <c r="L1484">
        <v>367.40249999999997</v>
      </c>
      <c r="M1484">
        <v>0.99978</v>
      </c>
      <c r="N1484">
        <v>0</v>
      </c>
      <c r="O1484">
        <v>-1.7087359999999999E-2</v>
      </c>
      <c r="P1484">
        <v>0.9975136</v>
      </c>
      <c r="Q1484">
        <v>3.3569340000000003E-2</v>
      </c>
      <c r="R1484">
        <v>6.1966930000000003E-2</v>
      </c>
      <c r="S1484">
        <v>3.0370180000000002</v>
      </c>
      <c r="T1484">
        <v>-0.4722539</v>
      </c>
      <c r="U1484">
        <v>-0.21878049999999999</v>
      </c>
      <c r="V1484">
        <v>-7.9014340000000002E-2</v>
      </c>
      <c r="W1484">
        <v>4.5674939999999997E-2</v>
      </c>
      <c r="X1484">
        <v>0.99582649999999995</v>
      </c>
      <c r="Y1484">
        <v>5.4351410000000003E-2</v>
      </c>
      <c r="Z1484">
        <v>-1.557681E-3</v>
      </c>
      <c r="AA1484">
        <v>0.99852070000000004</v>
      </c>
      <c r="AB1484">
        <v>20</v>
      </c>
      <c r="AC1484">
        <v>0.75979999999998404</v>
      </c>
      <c r="AD1484">
        <v>-0.13484379999999899</v>
      </c>
      <c r="AE1484">
        <v>-6.0999999999978599E-2</v>
      </c>
      <c r="AF1484">
        <v>4.6550368363099497E-2</v>
      </c>
      <c r="AG1484">
        <v>-0.13484379999999899</v>
      </c>
      <c r="AH1484">
        <v>0.73764689835342401</v>
      </c>
      <c r="AI1484">
        <v>100.339314796653</v>
      </c>
      <c r="AJ1484">
        <v>86.389048052941604</v>
      </c>
      <c r="AK1484">
        <v>0.75131400482328803</v>
      </c>
      <c r="AL1484">
        <v>87.382107777020195</v>
      </c>
      <c r="AM1484">
        <v>94.536657052366294</v>
      </c>
      <c r="AN1484">
        <v>0.99999994208594201</v>
      </c>
    </row>
    <row r="1485" spans="1:40" x14ac:dyDescent="0.3">
      <c r="A1485" t="str">
        <f>"20200111145939503"</f>
        <v>20200111145939503</v>
      </c>
      <c r="B1485" t="str">
        <f>"1578725979496750"</f>
        <v>1578725979496750</v>
      </c>
      <c r="C1485" t="s">
        <v>40</v>
      </c>
      <c r="D1485">
        <v>4.2320520000000004</v>
      </c>
      <c r="E1485">
        <v>0.55135319999999899</v>
      </c>
      <c r="F1485" t="s">
        <v>41</v>
      </c>
      <c r="G1485">
        <v>-295.53489999999999</v>
      </c>
      <c r="H1485">
        <v>0.93426659999999995</v>
      </c>
      <c r="I1485">
        <v>367.34660000000002</v>
      </c>
      <c r="J1485">
        <v>-296.20089999999999</v>
      </c>
      <c r="K1485">
        <v>1.054729</v>
      </c>
      <c r="L1485">
        <v>367.4008</v>
      </c>
      <c r="M1485">
        <v>0.99978180000000005</v>
      </c>
      <c r="N1485">
        <v>0</v>
      </c>
      <c r="O1485">
        <v>-1.6998260000000001E-2</v>
      </c>
      <c r="P1485">
        <v>0.99751199999999995</v>
      </c>
      <c r="Q1485">
        <v>3.3468919999999999E-2</v>
      </c>
      <c r="R1485">
        <v>6.2045080000000002E-2</v>
      </c>
      <c r="S1485">
        <v>3.0372309999999998</v>
      </c>
      <c r="T1485">
        <v>-0.47714210000000001</v>
      </c>
      <c r="U1485">
        <v>-0.2204285</v>
      </c>
      <c r="V1485">
        <v>-7.9003420000000005E-2</v>
      </c>
      <c r="W1485">
        <v>4.5543E-2</v>
      </c>
      <c r="X1485">
        <v>0.99583350000000004</v>
      </c>
      <c r="Y1485">
        <v>5.4956720000000001E-2</v>
      </c>
      <c r="Z1485">
        <v>-1.6345610000000001E-3</v>
      </c>
      <c r="AA1485">
        <v>0.99848740000000002</v>
      </c>
      <c r="AB1485">
        <v>20</v>
      </c>
      <c r="AC1485">
        <v>0.66599999999999604</v>
      </c>
      <c r="AD1485">
        <v>-0.1204624</v>
      </c>
      <c r="AE1485">
        <v>-5.4199999999980202E-2</v>
      </c>
      <c r="AF1485">
        <v>4.1521044740306302E-2</v>
      </c>
      <c r="AG1485">
        <v>-0.1204624</v>
      </c>
      <c r="AH1485">
        <v>0.64583527674483199</v>
      </c>
      <c r="AI1485">
        <v>100.54422710534401</v>
      </c>
      <c r="AJ1485">
        <v>86.321490689727796</v>
      </c>
      <c r="AK1485">
        <v>0.65828443066668396</v>
      </c>
      <c r="AL1485">
        <v>87.389675493663603</v>
      </c>
      <c r="AM1485">
        <v>94.536000938516693</v>
      </c>
      <c r="AN1485">
        <v>1.00000003247147</v>
      </c>
    </row>
    <row r="1486" spans="1:40" x14ac:dyDescent="0.3">
      <c r="A1486" t="str">
        <f>"20200111145939514"</f>
        <v>20200111145939514</v>
      </c>
      <c r="B1486" t="str">
        <f>"1578725979507486"</f>
        <v>1578725979507486</v>
      </c>
      <c r="C1486" t="s">
        <v>40</v>
      </c>
      <c r="D1486">
        <v>4.255458</v>
      </c>
      <c r="E1486">
        <v>0.55143769999999903</v>
      </c>
      <c r="F1486" t="s">
        <v>41</v>
      </c>
      <c r="G1486">
        <v>-295.35939999999999</v>
      </c>
      <c r="H1486">
        <v>0.92116960000000003</v>
      </c>
      <c r="I1486">
        <v>367.33929999999998</v>
      </c>
      <c r="J1486">
        <v>-296.10169999999999</v>
      </c>
      <c r="K1486">
        <v>1.054724</v>
      </c>
      <c r="L1486">
        <v>367.39920000000001</v>
      </c>
      <c r="M1486">
        <v>0.99978370000000005</v>
      </c>
      <c r="N1486">
        <v>0</v>
      </c>
      <c r="O1486">
        <v>-1.6912610000000002E-2</v>
      </c>
      <c r="P1486">
        <v>0.99750669999999997</v>
      </c>
      <c r="Q1486">
        <v>3.3723580000000003E-2</v>
      </c>
      <c r="R1486">
        <v>6.1994260000000002E-2</v>
      </c>
      <c r="S1486">
        <v>3.0374150000000002</v>
      </c>
      <c r="T1486">
        <v>-0.48239290000000001</v>
      </c>
      <c r="U1486">
        <v>-0.22103880000000001</v>
      </c>
      <c r="V1486">
        <v>-7.8867259999999995E-2</v>
      </c>
      <c r="W1486">
        <v>4.5768789999999997E-2</v>
      </c>
      <c r="X1486">
        <v>0.99583390000000005</v>
      </c>
      <c r="Y1486">
        <v>5.5223000000000001E-2</v>
      </c>
      <c r="Z1486">
        <v>-1.686702E-3</v>
      </c>
      <c r="AA1486">
        <v>0.99847260000000004</v>
      </c>
      <c r="AB1486">
        <v>20</v>
      </c>
      <c r="AC1486">
        <v>0.74229999999999996</v>
      </c>
      <c r="AD1486">
        <v>-0.13355439999999899</v>
      </c>
      <c r="AE1486">
        <v>-5.9900000000027299E-2</v>
      </c>
      <c r="AF1486">
        <v>4.5861304785275898E-2</v>
      </c>
      <c r="AG1486">
        <v>-0.13355439999999899</v>
      </c>
      <c r="AH1486">
        <v>0.72004897340903296</v>
      </c>
      <c r="AI1486">
        <v>100.487009133193</v>
      </c>
      <c r="AJ1486">
        <v>86.3556441949289</v>
      </c>
      <c r="AK1486">
        <v>0.73376464969591604</v>
      </c>
      <c r="AL1486">
        <v>87.376725068488497</v>
      </c>
      <c r="AM1486">
        <v>94.528214007570597</v>
      </c>
      <c r="AN1486">
        <v>0.99999999161358999</v>
      </c>
    </row>
    <row r="1487" spans="1:40" x14ac:dyDescent="0.3">
      <c r="A1487" t="str">
        <f>"20200111145939526"</f>
        <v>20200111145939526</v>
      </c>
      <c r="B1487" t="str">
        <f>"1578725979517246"</f>
        <v>1578725979517246</v>
      </c>
      <c r="C1487" t="s">
        <v>40</v>
      </c>
      <c r="D1487">
        <v>4.2354690000000002</v>
      </c>
      <c r="E1487">
        <v>0.5515428</v>
      </c>
      <c r="F1487" t="s">
        <v>41</v>
      </c>
      <c r="G1487">
        <v>-295.3526</v>
      </c>
      <c r="H1487">
        <v>0.93483510000000003</v>
      </c>
      <c r="I1487">
        <v>367.34399999999999</v>
      </c>
      <c r="J1487">
        <v>-295.9941</v>
      </c>
      <c r="K1487">
        <v>1.054719</v>
      </c>
      <c r="L1487">
        <v>367.39749999999998</v>
      </c>
      <c r="M1487">
        <v>0.9997857</v>
      </c>
      <c r="N1487">
        <v>0</v>
      </c>
      <c r="O1487">
        <v>-1.681993E-2</v>
      </c>
      <c r="P1487">
        <v>0.99749370000000004</v>
      </c>
      <c r="Q1487">
        <v>3.3700010000000002E-2</v>
      </c>
      <c r="R1487">
        <v>6.2218290000000002E-2</v>
      </c>
      <c r="S1487">
        <v>3.03775</v>
      </c>
      <c r="T1487">
        <v>-0.48647299999999899</v>
      </c>
      <c r="U1487">
        <v>-0.2225647</v>
      </c>
      <c r="V1487">
        <v>-7.8998990000000005E-2</v>
      </c>
      <c r="W1487">
        <v>4.5714490000000003E-2</v>
      </c>
      <c r="X1487">
        <v>0.99582590000000004</v>
      </c>
      <c r="Y1487">
        <v>5.5790149999999997E-2</v>
      </c>
      <c r="Z1487">
        <v>-1.76036799999999E-3</v>
      </c>
      <c r="AA1487">
        <v>0.99844100000000002</v>
      </c>
      <c r="AB1487">
        <v>20</v>
      </c>
      <c r="AC1487">
        <v>0.64150000000000695</v>
      </c>
      <c r="AD1487">
        <v>-0.119883899999999</v>
      </c>
      <c r="AE1487">
        <v>-5.34999999999854E-2</v>
      </c>
      <c r="AF1487">
        <v>4.1270277392783702E-2</v>
      </c>
      <c r="AG1487">
        <v>-0.119883899999999</v>
      </c>
      <c r="AH1487">
        <v>0.62077862597295896</v>
      </c>
      <c r="AI1487">
        <v>100.90682793956999</v>
      </c>
      <c r="AJ1487">
        <v>86.196489166743405</v>
      </c>
      <c r="AK1487">
        <v>0.63359410330286603</v>
      </c>
      <c r="AL1487">
        <v>87.379839351411505</v>
      </c>
      <c r="AM1487">
        <v>94.535782122051103</v>
      </c>
      <c r="AN1487">
        <v>0.99999993906389295</v>
      </c>
    </row>
    <row r="1488" spans="1:40" x14ac:dyDescent="0.3">
      <c r="A1488" t="str">
        <f>"20200111145939536"</f>
        <v>20200111145939536</v>
      </c>
      <c r="B1488" t="str">
        <f>"1578725979527007"</f>
        <v>1578725979527007</v>
      </c>
      <c r="C1488" t="s">
        <v>40</v>
      </c>
      <c r="D1488">
        <v>4.2810649999999999</v>
      </c>
      <c r="E1488">
        <v>0.55184889999999998</v>
      </c>
      <c r="F1488" t="s">
        <v>41</v>
      </c>
      <c r="G1488">
        <v>-295.17700000000002</v>
      </c>
      <c r="H1488">
        <v>0.92190380000000005</v>
      </c>
      <c r="I1488">
        <v>367.3374</v>
      </c>
      <c r="J1488">
        <v>-295.89060000000001</v>
      </c>
      <c r="K1488">
        <v>1.054718</v>
      </c>
      <c r="L1488">
        <v>367.39589999999998</v>
      </c>
      <c r="M1488">
        <v>0.99978739999999999</v>
      </c>
      <c r="N1488">
        <v>0</v>
      </c>
      <c r="O1488">
        <v>-1.673096E-2</v>
      </c>
      <c r="P1488">
        <v>0.99747229999999998</v>
      </c>
      <c r="Q1488">
        <v>3.3438639999999999E-2</v>
      </c>
      <c r="R1488">
        <v>6.2698599999999993E-2</v>
      </c>
      <c r="S1488">
        <v>3.0381469999999999</v>
      </c>
      <c r="T1488">
        <v>-0.49389480000000002</v>
      </c>
      <c r="U1488">
        <v>-0.2232056</v>
      </c>
      <c r="V1488">
        <v>-7.9389899999999902E-2</v>
      </c>
      <c r="W1488">
        <v>4.5424869999999999E-2</v>
      </c>
      <c r="X1488">
        <v>0.99580809999999997</v>
      </c>
      <c r="Y1488">
        <v>5.6059379999999999E-2</v>
      </c>
      <c r="Z1488">
        <v>-1.822696E-3</v>
      </c>
      <c r="AA1488">
        <v>0.99842580000000003</v>
      </c>
      <c r="AB1488">
        <v>20</v>
      </c>
      <c r="AC1488">
        <v>0.71359999999998502</v>
      </c>
      <c r="AD1488">
        <v>-0.13281419999999999</v>
      </c>
      <c r="AE1488">
        <v>-5.8499999999980901E-2</v>
      </c>
      <c r="AF1488">
        <v>4.5003220312769203E-2</v>
      </c>
      <c r="AG1488">
        <v>-0.13281419999999999</v>
      </c>
      <c r="AH1488">
        <v>0.69071230295627295</v>
      </c>
      <c r="AI1488">
        <v>100.861838922506</v>
      </c>
      <c r="AJ1488">
        <v>86.272174180024194</v>
      </c>
      <c r="AK1488">
        <v>0.70480379327534703</v>
      </c>
      <c r="AL1488">
        <v>87.396450702344893</v>
      </c>
      <c r="AM1488">
        <v>94.558213277586106</v>
      </c>
      <c r="AN1488">
        <v>0.99999997353106795</v>
      </c>
    </row>
    <row r="1489" spans="1:40" x14ac:dyDescent="0.3">
      <c r="A1489" t="str">
        <f>"20200111145939548"</f>
        <v>20200111145939548</v>
      </c>
      <c r="B1489" t="str">
        <f>"1578725979536767"</f>
        <v>1578725979536767</v>
      </c>
      <c r="C1489" t="s">
        <v>40</v>
      </c>
      <c r="D1489">
        <v>4.2742069999999996</v>
      </c>
      <c r="E1489">
        <v>0.55202819999999997</v>
      </c>
      <c r="F1489" t="s">
        <v>41</v>
      </c>
      <c r="G1489">
        <v>-295.16989999999998</v>
      </c>
      <c r="H1489">
        <v>0.93611149999999999</v>
      </c>
      <c r="I1489">
        <v>367.34269999999998</v>
      </c>
      <c r="J1489">
        <v>-295.7921</v>
      </c>
      <c r="K1489">
        <v>1.0547139999999999</v>
      </c>
      <c r="L1489">
        <v>367.39429999999999</v>
      </c>
      <c r="M1489">
        <v>0.99978920000000004</v>
      </c>
      <c r="N1489">
        <v>0</v>
      </c>
      <c r="O1489">
        <v>-1.664595E-2</v>
      </c>
      <c r="P1489">
        <v>0.99745200000000001</v>
      </c>
      <c r="Q1489">
        <v>3.3349919999999998E-2</v>
      </c>
      <c r="R1489">
        <v>6.3067970000000001E-2</v>
      </c>
      <c r="S1489">
        <v>3.0384220000000002</v>
      </c>
      <c r="T1489">
        <v>-0.5001196</v>
      </c>
      <c r="U1489">
        <v>-0.22402949999999999</v>
      </c>
      <c r="V1489">
        <v>-7.967378E-2</v>
      </c>
      <c r="W1489">
        <v>4.531197E-2</v>
      </c>
      <c r="X1489">
        <v>0.99579059999999997</v>
      </c>
      <c r="Y1489">
        <v>5.6388599999999997E-2</v>
      </c>
      <c r="Z1489">
        <v>-1.8859409999999999E-3</v>
      </c>
      <c r="AA1489">
        <v>0.99840709999999999</v>
      </c>
      <c r="AB1489">
        <v>20</v>
      </c>
      <c r="AC1489">
        <v>0.62220000000001996</v>
      </c>
      <c r="AD1489">
        <v>-0.118602499999999</v>
      </c>
      <c r="AE1489">
        <v>-5.1600000000007598E-2</v>
      </c>
      <c r="AF1489">
        <v>3.9798772352156897E-2</v>
      </c>
      <c r="AG1489">
        <v>-0.118602499999999</v>
      </c>
      <c r="AH1489">
        <v>0.60127456747457897</v>
      </c>
      <c r="AI1489">
        <v>101.134695265415</v>
      </c>
      <c r="AJ1489">
        <v>86.213077388762599</v>
      </c>
      <c r="AK1489">
        <v>0.61415112210166301</v>
      </c>
      <c r="AL1489">
        <v>87.402926138703904</v>
      </c>
      <c r="AM1489">
        <v>94.574523395726203</v>
      </c>
      <c r="AN1489">
        <v>1.0000000024465601</v>
      </c>
    </row>
    <row r="1490" spans="1:40" x14ac:dyDescent="0.3">
      <c r="A1490" t="str">
        <f>"20200111145939560"</f>
        <v>20200111145939560</v>
      </c>
      <c r="B1490" t="str">
        <f>"1578725979557262"</f>
        <v>1578725979557262</v>
      </c>
      <c r="C1490" t="s">
        <v>40</v>
      </c>
      <c r="D1490">
        <v>4.2625799999999998</v>
      </c>
      <c r="E1490">
        <v>0.55213559999999995</v>
      </c>
      <c r="F1490" t="s">
        <v>41</v>
      </c>
      <c r="G1490">
        <v>-294.99470000000002</v>
      </c>
      <c r="H1490">
        <v>0.92226019999999997</v>
      </c>
      <c r="I1490">
        <v>367.33510000000001</v>
      </c>
      <c r="J1490">
        <v>-295.68900000000002</v>
      </c>
      <c r="K1490">
        <v>1.05471</v>
      </c>
      <c r="L1490">
        <v>367.39269999999999</v>
      </c>
      <c r="M1490">
        <v>0.99979090000000004</v>
      </c>
      <c r="N1490">
        <v>0</v>
      </c>
      <c r="O1490">
        <v>-1.655653E-2</v>
      </c>
      <c r="P1490">
        <v>0.99745229999999996</v>
      </c>
      <c r="Q1490">
        <v>3.3499500000000001E-2</v>
      </c>
      <c r="R1490">
        <v>6.2983919999999999E-2</v>
      </c>
      <c r="S1490">
        <v>3.0387270000000002</v>
      </c>
      <c r="T1490">
        <v>-0.50498319999999997</v>
      </c>
      <c r="U1490">
        <v>-0.2244263</v>
      </c>
      <c r="V1490">
        <v>-7.9500959999999996E-2</v>
      </c>
      <c r="W1490">
        <v>4.5437249999999998E-2</v>
      </c>
      <c r="X1490">
        <v>0.99579870000000004</v>
      </c>
      <c r="Y1490">
        <v>5.6586070000000002E-2</v>
      </c>
      <c r="Z1490">
        <v>-1.934849E-3</v>
      </c>
      <c r="AA1490">
        <v>0.9983959</v>
      </c>
      <c r="AB1490">
        <v>20</v>
      </c>
      <c r="AC1490">
        <v>0.69429999999999803</v>
      </c>
      <c r="AD1490">
        <v>-0.13244980000000001</v>
      </c>
      <c r="AE1490">
        <v>-5.7599999999979397E-2</v>
      </c>
      <c r="AF1490">
        <v>4.4488123241989898E-2</v>
      </c>
      <c r="AG1490">
        <v>-0.13244980000000001</v>
      </c>
      <c r="AH1490">
        <v>0.67090956600437901</v>
      </c>
      <c r="AI1490">
        <v>101.143770289152</v>
      </c>
      <c r="AJ1490">
        <v>86.206261372525901</v>
      </c>
      <c r="AK1490">
        <v>0.68530415757225505</v>
      </c>
      <c r="AL1490">
        <v>87.395740712823596</v>
      </c>
      <c r="AM1490">
        <v>94.564605824797496</v>
      </c>
      <c r="AN1490">
        <v>0.99999999862508704</v>
      </c>
    </row>
    <row r="1491" spans="1:40" x14ac:dyDescent="0.3">
      <c r="A1491" t="str">
        <f>"20200111145939575"</f>
        <v>20200111145939575</v>
      </c>
      <c r="B1491" t="str">
        <f>"1578725979567025"</f>
        <v>1578725979567025</v>
      </c>
      <c r="C1491" t="s">
        <v>40</v>
      </c>
      <c r="D1491">
        <v>4.3011350000000004</v>
      </c>
      <c r="E1491">
        <v>0.55216259999999995</v>
      </c>
      <c r="F1491" t="s">
        <v>41</v>
      </c>
      <c r="G1491">
        <v>-294.98790000000002</v>
      </c>
      <c r="H1491">
        <v>0.93574000000000002</v>
      </c>
      <c r="I1491">
        <v>367.34050000000002</v>
      </c>
      <c r="J1491">
        <v>-295.5496</v>
      </c>
      <c r="K1491">
        <v>1.054711</v>
      </c>
      <c r="L1491">
        <v>367.39049999999997</v>
      </c>
      <c r="M1491">
        <v>0.99979340000000005</v>
      </c>
      <c r="N1491">
        <v>0</v>
      </c>
      <c r="O1491">
        <v>-1.6434520000000001E-2</v>
      </c>
      <c r="P1491">
        <v>0.99744869999999997</v>
      </c>
      <c r="Q1491">
        <v>3.3664350000000003E-2</v>
      </c>
      <c r="R1491">
        <v>6.2954070000000001E-2</v>
      </c>
      <c r="S1491">
        <v>3.0391539999999999</v>
      </c>
      <c r="T1491">
        <v>-0.51607530000000001</v>
      </c>
      <c r="U1491">
        <v>-0.22470090000000001</v>
      </c>
      <c r="V1491">
        <v>-7.9349470000000005E-2</v>
      </c>
      <c r="W1491">
        <v>4.556967E-2</v>
      </c>
      <c r="X1491">
        <v>0.99580469999999999</v>
      </c>
      <c r="Y1491">
        <v>5.6759219999999999E-2</v>
      </c>
      <c r="Z1491">
        <v>-2.0115929999999999E-3</v>
      </c>
      <c r="AA1491">
        <v>0.99838579999999999</v>
      </c>
      <c r="AB1491">
        <v>20</v>
      </c>
      <c r="AC1491">
        <v>0.561699999999973</v>
      </c>
      <c r="AD1491">
        <v>-0.11897099999999899</v>
      </c>
      <c r="AE1491">
        <v>-4.9999999999954498E-2</v>
      </c>
      <c r="AF1491">
        <v>3.9024388037596801E-2</v>
      </c>
      <c r="AG1491">
        <v>-0.11897099999999899</v>
      </c>
      <c r="AH1491">
        <v>0.53847887504952097</v>
      </c>
      <c r="AI1491">
        <v>102.427151691823</v>
      </c>
      <c r="AJ1491">
        <v>85.854933849453204</v>
      </c>
      <c r="AK1491">
        <v>0.55284401107121195</v>
      </c>
      <c r="AL1491">
        <v>87.388145655689499</v>
      </c>
      <c r="AM1491">
        <v>94.555917232258295</v>
      </c>
      <c r="AN1491">
        <v>0.99999996687763903</v>
      </c>
    </row>
    <row r="1492" spans="1:40" x14ac:dyDescent="0.3">
      <c r="A1492" t="str">
        <f>"20200111145939587"</f>
        <v>20200111145939587</v>
      </c>
      <c r="B1492" t="str">
        <f>"1578725979577380"</f>
        <v>1578725979577380</v>
      </c>
      <c r="C1492" t="s">
        <v>40</v>
      </c>
      <c r="D1492">
        <v>4.307938</v>
      </c>
      <c r="E1492">
        <v>0.55220029999999998</v>
      </c>
      <c r="F1492" t="s">
        <v>41</v>
      </c>
      <c r="G1492">
        <v>-294.80959999999999</v>
      </c>
      <c r="H1492">
        <v>0.92809489999999994</v>
      </c>
      <c r="I1492">
        <v>367.33580000000001</v>
      </c>
      <c r="J1492">
        <v>-295.44229999999999</v>
      </c>
      <c r="K1492">
        <v>1.054708</v>
      </c>
      <c r="L1492">
        <v>367.38889999999998</v>
      </c>
      <c r="M1492">
        <v>0.99979530000000005</v>
      </c>
      <c r="N1492">
        <v>0</v>
      </c>
      <c r="O1492">
        <v>-1.6339840000000001E-2</v>
      </c>
      <c r="P1492">
        <v>0.99744920000000004</v>
      </c>
      <c r="Q1492">
        <v>3.3700800000000003E-2</v>
      </c>
      <c r="R1492">
        <v>6.2925439999999999E-2</v>
      </c>
      <c r="S1492">
        <v>3.0393680000000001</v>
      </c>
      <c r="T1492">
        <v>-0.52019300000000002</v>
      </c>
      <c r="U1492">
        <v>-0.22396849999999999</v>
      </c>
      <c r="V1492">
        <v>-7.9226459999999999E-2</v>
      </c>
      <c r="W1492">
        <v>4.5577769999999997E-2</v>
      </c>
      <c r="X1492">
        <v>0.99581410000000004</v>
      </c>
      <c r="Y1492">
        <v>5.6601169999999999E-2</v>
      </c>
      <c r="Z1492">
        <v>-2.0299430000000002E-3</v>
      </c>
      <c r="AA1492">
        <v>0.99839480000000003</v>
      </c>
      <c r="AB1492">
        <v>20</v>
      </c>
      <c r="AC1492">
        <v>0.63269999999999904</v>
      </c>
      <c r="AD1492">
        <v>-0.12661309999999901</v>
      </c>
      <c r="AE1492">
        <v>-5.30999999999721E-2</v>
      </c>
      <c r="AF1492">
        <v>4.1118820706060599E-2</v>
      </c>
      <c r="AG1492">
        <v>-0.12661309999999901</v>
      </c>
      <c r="AH1492">
        <v>0.60925549279220403</v>
      </c>
      <c r="AI1492">
        <v>101.71397434104</v>
      </c>
      <c r="AJ1492">
        <v>86.138947269378406</v>
      </c>
      <c r="AK1492">
        <v>0.62362960962845404</v>
      </c>
      <c r="AL1492">
        <v>87.387681015832996</v>
      </c>
      <c r="AM1492">
        <v>94.548841413764805</v>
      </c>
      <c r="AN1492">
        <v>0.99999994342055498</v>
      </c>
    </row>
    <row r="1493" spans="1:40" x14ac:dyDescent="0.3">
      <c r="A1493" t="str">
        <f>"20200111145939597"</f>
        <v>20200111145939597</v>
      </c>
      <c r="B1493" t="str">
        <f>"1578725979587140"</f>
        <v>1578725979587140</v>
      </c>
      <c r="C1493" t="s">
        <v>40</v>
      </c>
      <c r="D1493">
        <v>4.2617269999999996</v>
      </c>
      <c r="E1493">
        <v>0.55232209999999904</v>
      </c>
      <c r="F1493" t="s">
        <v>41</v>
      </c>
      <c r="G1493">
        <v>-294.63369999999998</v>
      </c>
      <c r="H1493">
        <v>0.91531859999999998</v>
      </c>
      <c r="I1493">
        <v>367.32889999999998</v>
      </c>
      <c r="J1493">
        <v>-295.33949999999999</v>
      </c>
      <c r="K1493">
        <v>1.054702</v>
      </c>
      <c r="L1493">
        <v>367.38740000000001</v>
      </c>
      <c r="M1493">
        <v>0.99979709999999999</v>
      </c>
      <c r="N1493">
        <v>0</v>
      </c>
      <c r="O1493">
        <v>-1.6248970000000001E-2</v>
      </c>
      <c r="P1493">
        <v>0.99744730000000004</v>
      </c>
      <c r="Q1493">
        <v>3.4007419999999997E-2</v>
      </c>
      <c r="R1493">
        <v>6.2791109999999997E-2</v>
      </c>
      <c r="S1493">
        <v>3.0395509999999999</v>
      </c>
      <c r="T1493">
        <v>-0.52421439999999997</v>
      </c>
      <c r="U1493">
        <v>-0.22451779999999999</v>
      </c>
      <c r="V1493">
        <v>-7.9001340000000003E-2</v>
      </c>
      <c r="W1493">
        <v>4.5855E-2</v>
      </c>
      <c r="X1493">
        <v>0.99581929999999996</v>
      </c>
      <c r="Y1493">
        <v>5.6853050000000002E-2</v>
      </c>
      <c r="Z1493">
        <v>-2.0823410000000001E-3</v>
      </c>
      <c r="AA1493">
        <v>0.99838039999999995</v>
      </c>
      <c r="AB1493">
        <v>20</v>
      </c>
      <c r="AC1493">
        <v>0.70580000000000997</v>
      </c>
      <c r="AD1493">
        <v>-0.13938339999999999</v>
      </c>
      <c r="AE1493">
        <v>-5.8500000000037702E-2</v>
      </c>
      <c r="AF1493">
        <v>4.5269498780381397E-2</v>
      </c>
      <c r="AG1493">
        <v>-0.13938339999999999</v>
      </c>
      <c r="AH1493">
        <v>0.68030684959467802</v>
      </c>
      <c r="AI1493">
        <v>101.55383792630001</v>
      </c>
      <c r="AJ1493">
        <v>86.192992858038494</v>
      </c>
      <c r="AK1493">
        <v>0.69591268800103301</v>
      </c>
      <c r="AL1493">
        <v>87.371780391735101</v>
      </c>
      <c r="AM1493">
        <v>94.535946423176696</v>
      </c>
      <c r="AN1493">
        <v>0.99999998549964197</v>
      </c>
    </row>
    <row r="1494" spans="1:40" x14ac:dyDescent="0.3">
      <c r="A1494" t="str">
        <f>"20200111145939609"</f>
        <v>20200111145939609</v>
      </c>
      <c r="B1494" t="str">
        <f>"1578725979596900"</f>
        <v>1578725979596900</v>
      </c>
      <c r="C1494" t="s">
        <v>40</v>
      </c>
      <c r="D1494">
        <v>4.2945379999999904</v>
      </c>
      <c r="E1494">
        <v>0.55245180000000005</v>
      </c>
      <c r="F1494" t="s">
        <v>41</v>
      </c>
      <c r="G1494">
        <v>-294.62580000000003</v>
      </c>
      <c r="H1494">
        <v>0.93106630000000001</v>
      </c>
      <c r="I1494">
        <v>367.334</v>
      </c>
      <c r="J1494">
        <v>-295.24369999999999</v>
      </c>
      <c r="K1494">
        <v>1.0546960000000001</v>
      </c>
      <c r="L1494">
        <v>367.38589999999999</v>
      </c>
      <c r="M1494">
        <v>0.99979879999999999</v>
      </c>
      <c r="N1494">
        <v>0</v>
      </c>
      <c r="O1494">
        <v>-1.6164029999999999E-2</v>
      </c>
      <c r="P1494">
        <v>0.99746409999999996</v>
      </c>
      <c r="Q1494">
        <v>3.3770700000000001E-2</v>
      </c>
      <c r="R1494">
        <v>6.2648960000000004E-2</v>
      </c>
      <c r="S1494">
        <v>3.0398559999999999</v>
      </c>
      <c r="T1494">
        <v>-0.5268486</v>
      </c>
      <c r="U1494">
        <v>-0.22573850000000001</v>
      </c>
      <c r="V1494">
        <v>-7.8774380000000005E-2</v>
      </c>
      <c r="W1494">
        <v>4.558396E-2</v>
      </c>
      <c r="X1494">
        <v>0.99584969999999995</v>
      </c>
      <c r="Y1494">
        <v>5.73153E-2</v>
      </c>
      <c r="Z1494">
        <v>-2.1467130000000002E-3</v>
      </c>
      <c r="AA1494">
        <v>0.99835379999999996</v>
      </c>
      <c r="AB1494">
        <v>20</v>
      </c>
      <c r="AC1494">
        <v>0.61789999999996303</v>
      </c>
      <c r="AD1494">
        <v>-0.123629699999999</v>
      </c>
      <c r="AE1494">
        <v>-5.1899999999989101E-2</v>
      </c>
      <c r="AF1494">
        <v>4.0302659269519099E-2</v>
      </c>
      <c r="AG1494">
        <v>-0.123629699999999</v>
      </c>
      <c r="AH1494">
        <v>0.59500572709549204</v>
      </c>
      <c r="AI1494">
        <v>101.711753888421</v>
      </c>
      <c r="AJ1494">
        <v>86.124994506559105</v>
      </c>
      <c r="AK1494">
        <v>0.60904878486269098</v>
      </c>
      <c r="AL1494">
        <v>87.387326036270494</v>
      </c>
      <c r="AM1494">
        <v>94.522831920477998</v>
      </c>
      <c r="AN1494">
        <v>0.99999996267187696</v>
      </c>
    </row>
    <row r="1495" spans="1:40" x14ac:dyDescent="0.3">
      <c r="A1495" t="str">
        <f>"20200111145939619"</f>
        <v>20200111145939619</v>
      </c>
      <c r="B1495" t="str">
        <f>"1578725979617395"</f>
        <v>1578725979617395</v>
      </c>
      <c r="C1495" t="s">
        <v>40</v>
      </c>
      <c r="D1495">
        <v>4.3249879999999896</v>
      </c>
      <c r="E1495">
        <v>0.55192790000000003</v>
      </c>
      <c r="F1495" t="s">
        <v>41</v>
      </c>
      <c r="G1495">
        <v>-294.45089999999999</v>
      </c>
      <c r="H1495">
        <v>0.91616520000000001</v>
      </c>
      <c r="I1495">
        <v>367.3263</v>
      </c>
      <c r="J1495">
        <v>-295.14120000000003</v>
      </c>
      <c r="K1495">
        <v>1.0546869999999999</v>
      </c>
      <c r="L1495">
        <v>367.3843</v>
      </c>
      <c r="M1495">
        <v>0.99980080000000005</v>
      </c>
      <c r="N1495">
        <v>0</v>
      </c>
      <c r="O1495">
        <v>-1.60731E-2</v>
      </c>
      <c r="P1495">
        <v>0.99747750000000002</v>
      </c>
      <c r="Q1495">
        <v>3.3670869999999999E-2</v>
      </c>
      <c r="R1495">
        <v>6.2490410000000003E-2</v>
      </c>
      <c r="S1495">
        <v>3.039917</v>
      </c>
      <c r="T1495">
        <v>-0.53136219999999901</v>
      </c>
      <c r="U1495">
        <v>-0.22772220000000001</v>
      </c>
      <c r="V1495">
        <v>-7.8525570000000003E-2</v>
      </c>
      <c r="W1495">
        <v>4.5445819999999998E-2</v>
      </c>
      <c r="X1495">
        <v>0.99587570000000003</v>
      </c>
      <c r="Y1495">
        <v>5.8029959999999998E-2</v>
      </c>
      <c r="Z1495">
        <v>-2.2423970000000001E-3</v>
      </c>
      <c r="AA1495">
        <v>0.99831230000000004</v>
      </c>
      <c r="AB1495">
        <v>20</v>
      </c>
      <c r="AC1495">
        <v>0.690300000000036</v>
      </c>
      <c r="AD1495">
        <v>-0.1385218</v>
      </c>
      <c r="AE1495">
        <v>-5.7999999999992703E-2</v>
      </c>
      <c r="AF1495">
        <v>4.5093375900957897E-2</v>
      </c>
      <c r="AG1495">
        <v>-0.1385218</v>
      </c>
      <c r="AH1495">
        <v>0.66456979244874304</v>
      </c>
      <c r="AI1495">
        <v>101.747793301678</v>
      </c>
      <c r="AJ1495">
        <v>86.118231778045498</v>
      </c>
      <c r="AK1495">
        <v>0.68034896241616405</v>
      </c>
      <c r="AL1495">
        <v>87.395249180629804</v>
      </c>
      <c r="AM1495">
        <v>94.5084882586671</v>
      </c>
      <c r="AN1495">
        <v>0.99999999877489298</v>
      </c>
    </row>
    <row r="1496" spans="1:40" x14ac:dyDescent="0.3">
      <c r="A1496" t="str">
        <f>"20200111145939633"</f>
        <v>20200111145939633</v>
      </c>
      <c r="B1496" t="str">
        <f>"1578725979627156"</f>
        <v>1578725979627156</v>
      </c>
      <c r="C1496" t="s">
        <v>40</v>
      </c>
      <c r="D1496">
        <v>4.3028740000000001</v>
      </c>
      <c r="E1496">
        <v>0.55146010000000001</v>
      </c>
      <c r="F1496" t="s">
        <v>41</v>
      </c>
      <c r="G1496">
        <v>-294.44369999999998</v>
      </c>
      <c r="H1496">
        <v>0.93045739999999999</v>
      </c>
      <c r="I1496">
        <v>367.33269999999999</v>
      </c>
      <c r="J1496">
        <v>-295.0274</v>
      </c>
      <c r="K1496">
        <v>1.054675</v>
      </c>
      <c r="L1496">
        <v>367.38260000000002</v>
      </c>
      <c r="M1496">
        <v>0.999803</v>
      </c>
      <c r="N1496">
        <v>0</v>
      </c>
      <c r="O1496">
        <v>-1.5971590000000001E-2</v>
      </c>
      <c r="P1496">
        <v>0.9975077</v>
      </c>
      <c r="Q1496">
        <v>3.323226E-2</v>
      </c>
      <c r="R1496">
        <v>6.2242270000000002E-2</v>
      </c>
      <c r="S1496">
        <v>3.0398559999999999</v>
      </c>
      <c r="T1496">
        <v>-0.54161190000000003</v>
      </c>
      <c r="U1496">
        <v>-0.22402949999999999</v>
      </c>
      <c r="V1496">
        <v>-7.8176860000000001E-2</v>
      </c>
      <c r="W1496">
        <v>4.4952800000000001E-2</v>
      </c>
      <c r="X1496">
        <v>0.99592550000000002</v>
      </c>
      <c r="Y1496">
        <v>5.6918040000000003E-2</v>
      </c>
      <c r="Z1496">
        <v>-2.204892E-3</v>
      </c>
      <c r="AA1496">
        <v>0.99837640000000005</v>
      </c>
      <c r="AB1496">
        <v>20</v>
      </c>
      <c r="AC1496">
        <v>0.58370000000002098</v>
      </c>
      <c r="AD1496">
        <v>-0.124217599999999</v>
      </c>
      <c r="AE1496">
        <v>-4.9900000000036401E-2</v>
      </c>
      <c r="AF1496">
        <v>3.8824813613805097E-2</v>
      </c>
      <c r="AG1496">
        <v>-0.124217599999999</v>
      </c>
      <c r="AH1496">
        <v>0.55927756324850697</v>
      </c>
      <c r="AI1496">
        <v>102.493215278961</v>
      </c>
      <c r="AJ1496">
        <v>86.028921844970796</v>
      </c>
      <c r="AK1496">
        <v>0.57422014163132096</v>
      </c>
      <c r="AL1496">
        <v>87.423526019226799</v>
      </c>
      <c r="AM1496">
        <v>94.488325796594594</v>
      </c>
      <c r="AN1496">
        <v>0.99999998860877404</v>
      </c>
    </row>
    <row r="1497" spans="1:40" x14ac:dyDescent="0.3">
      <c r="A1497" t="str">
        <f>"20200111145939645"</f>
        <v>20200111145939645</v>
      </c>
      <c r="B1497" t="str">
        <f>"1578725979636915"</f>
        <v>1578725979636915</v>
      </c>
      <c r="C1497" t="s">
        <v>40</v>
      </c>
      <c r="D1497">
        <v>4.3009040000000001</v>
      </c>
      <c r="E1497">
        <v>0.55098590000000003</v>
      </c>
      <c r="F1497" t="s">
        <v>41</v>
      </c>
      <c r="G1497">
        <v>-294.26710000000003</v>
      </c>
      <c r="H1497">
        <v>0.91846939999999999</v>
      </c>
      <c r="I1497">
        <v>367.32709999999997</v>
      </c>
      <c r="J1497">
        <v>-294.91210000000001</v>
      </c>
      <c r="K1497">
        <v>1.054664</v>
      </c>
      <c r="L1497">
        <v>367.3809</v>
      </c>
      <c r="M1497">
        <v>0.99980550000000001</v>
      </c>
      <c r="N1497">
        <v>0</v>
      </c>
      <c r="O1497">
        <v>-1.5868980000000001E-2</v>
      </c>
      <c r="P1497">
        <v>0.99754419999999999</v>
      </c>
      <c r="Q1497">
        <v>3.3089500000000001E-2</v>
      </c>
      <c r="R1497">
        <v>6.1733389999999999E-2</v>
      </c>
      <c r="S1497">
        <v>3.0394290000000002</v>
      </c>
      <c r="T1497">
        <v>-0.54465969999999997</v>
      </c>
      <c r="U1497">
        <v>-0.2209778</v>
      </c>
      <c r="V1497">
        <v>-7.7566360000000001E-2</v>
      </c>
      <c r="W1497">
        <v>4.4751779999999998E-2</v>
      </c>
      <c r="X1497">
        <v>0.99598229999999999</v>
      </c>
      <c r="Y1497">
        <v>5.6038560000000001E-2</v>
      </c>
      <c r="Z1497">
        <v>-2.1576239999999999E-3</v>
      </c>
      <c r="AA1497">
        <v>0.99842629999999999</v>
      </c>
      <c r="AB1497">
        <v>20</v>
      </c>
      <c r="AC1497">
        <v>0.64499999999998103</v>
      </c>
      <c r="AD1497">
        <v>-0.1361946</v>
      </c>
      <c r="AE1497">
        <v>-5.3800000000023801E-2</v>
      </c>
      <c r="AF1497">
        <v>4.1710181742488403E-2</v>
      </c>
      <c r="AG1497">
        <v>-0.1361946</v>
      </c>
      <c r="AH1497">
        <v>0.61839136718366405</v>
      </c>
      <c r="AI1497">
        <v>102.393255410663</v>
      </c>
      <c r="AJ1497">
        <v>86.141273538724903</v>
      </c>
      <c r="AK1497">
        <v>0.63458379378726104</v>
      </c>
      <c r="AL1497">
        <v>87.435055253901993</v>
      </c>
      <c r="AM1497">
        <v>94.453164087960005</v>
      </c>
      <c r="AN1497">
        <v>1.0000000019650499</v>
      </c>
    </row>
    <row r="1498" spans="1:40" x14ac:dyDescent="0.3">
      <c r="A1498" t="str">
        <f>"20200111145939656"</f>
        <v>20200111145939656</v>
      </c>
      <c r="B1498" t="str">
        <f>"1578725979646677"</f>
        <v>1578725979646677</v>
      </c>
      <c r="C1498" t="s">
        <v>40</v>
      </c>
      <c r="D1498">
        <v>4.2585989999999896</v>
      </c>
      <c r="E1498">
        <v>0.55057219999999996</v>
      </c>
      <c r="F1498" t="s">
        <v>41</v>
      </c>
      <c r="G1498">
        <v>-294.08999999999997</v>
      </c>
      <c r="H1498">
        <v>0.90704890000000005</v>
      </c>
      <c r="I1498">
        <v>367.32139999999998</v>
      </c>
      <c r="J1498">
        <v>-294.80279999999999</v>
      </c>
      <c r="K1498">
        <v>1.0546530000000001</v>
      </c>
      <c r="L1498">
        <v>367.37920000000003</v>
      </c>
      <c r="M1498">
        <v>0.99980760000000002</v>
      </c>
      <c r="N1498">
        <v>0</v>
      </c>
      <c r="O1498">
        <v>-1.5771130000000001E-2</v>
      </c>
      <c r="P1498">
        <v>0.99756109999999998</v>
      </c>
      <c r="Q1498">
        <v>3.2946879999999998E-2</v>
      </c>
      <c r="R1498">
        <v>6.1533450000000003E-2</v>
      </c>
      <c r="S1498">
        <v>3.0390320000000002</v>
      </c>
      <c r="T1498">
        <v>-0.54584440000000001</v>
      </c>
      <c r="U1498">
        <v>-0.21878049999999999</v>
      </c>
      <c r="V1498">
        <v>-7.7268820000000002E-2</v>
      </c>
      <c r="W1498">
        <v>4.4547900000000001E-2</v>
      </c>
      <c r="X1498">
        <v>0.99601459999999997</v>
      </c>
      <c r="Y1498">
        <v>5.5432710000000003E-2</v>
      </c>
      <c r="Z1498">
        <v>-2.1260720000000001E-3</v>
      </c>
      <c r="AA1498">
        <v>0.99846020000000002</v>
      </c>
      <c r="AB1498">
        <v>20</v>
      </c>
      <c r="AC1498">
        <v>0.71280000000001498</v>
      </c>
      <c r="AD1498">
        <v>-0.14760409999999999</v>
      </c>
      <c r="AE1498">
        <v>-5.78000000000429E-2</v>
      </c>
      <c r="AF1498">
        <v>4.4648340492003398E-2</v>
      </c>
      <c r="AG1498">
        <v>-0.14760409999999999</v>
      </c>
      <c r="AH1498">
        <v>0.68446441160381799</v>
      </c>
      <c r="AI1498">
        <v>102.144378381141</v>
      </c>
      <c r="AJ1498">
        <v>86.267823043936502</v>
      </c>
      <c r="AK1498">
        <v>0.701620962769543</v>
      </c>
      <c r="AL1498">
        <v>87.446748462570895</v>
      </c>
      <c r="AM1498">
        <v>94.436007041910898</v>
      </c>
      <c r="AN1498">
        <v>1.0000000346758799</v>
      </c>
    </row>
    <row r="1499" spans="1:40" x14ac:dyDescent="0.3">
      <c r="A1499" t="str">
        <f>"20200111145939668"</f>
        <v>20200111145939668</v>
      </c>
      <c r="B1499" t="str">
        <f>"1578725979657412"</f>
        <v>1578725979657412</v>
      </c>
      <c r="C1499" t="s">
        <v>40</v>
      </c>
      <c r="D1499">
        <v>4.2628159999999999</v>
      </c>
      <c r="E1499">
        <v>0.55013919999999905</v>
      </c>
      <c r="F1499" t="s">
        <v>41</v>
      </c>
      <c r="G1499">
        <v>-294.08109999999999</v>
      </c>
      <c r="H1499">
        <v>0.92479230000000001</v>
      </c>
      <c r="I1499">
        <v>367.32769999999999</v>
      </c>
      <c r="J1499">
        <v>-294.7047</v>
      </c>
      <c r="K1499">
        <v>1.054646</v>
      </c>
      <c r="L1499">
        <v>367.37779999999998</v>
      </c>
      <c r="M1499">
        <v>0.99980970000000002</v>
      </c>
      <c r="N1499">
        <v>0</v>
      </c>
      <c r="O1499">
        <v>-1.568379E-2</v>
      </c>
      <c r="P1499">
        <v>0.99754019999999999</v>
      </c>
      <c r="Q1499">
        <v>3.2973990000000002E-2</v>
      </c>
      <c r="R1499">
        <v>6.1855899999999998E-2</v>
      </c>
      <c r="S1499">
        <v>3.0387270000000002</v>
      </c>
      <c r="T1499">
        <v>-0.54706250000000001</v>
      </c>
      <c r="U1499">
        <v>-0.21600340000000001</v>
      </c>
      <c r="V1499">
        <v>-7.7503539999999996E-2</v>
      </c>
      <c r="W1499">
        <v>4.451836E-2</v>
      </c>
      <c r="X1499">
        <v>0.99599769999999999</v>
      </c>
      <c r="Y1499">
        <v>5.4627759999999997E-2</v>
      </c>
      <c r="Z1499">
        <v>-2.0748020000000002E-3</v>
      </c>
      <c r="AA1499">
        <v>0.99850459999999996</v>
      </c>
      <c r="AB1499">
        <v>20</v>
      </c>
      <c r="AC1499">
        <v>0.62360000000001004</v>
      </c>
      <c r="AD1499">
        <v>-0.12985369999999899</v>
      </c>
      <c r="AE1499">
        <v>-5.0099999999986197E-2</v>
      </c>
      <c r="AF1499">
        <v>3.8647721494055001E-2</v>
      </c>
      <c r="AG1499">
        <v>-0.12985369999999899</v>
      </c>
      <c r="AH1499">
        <v>0.59852314248198102</v>
      </c>
      <c r="AI1499">
        <v>102.216327661449</v>
      </c>
      <c r="AJ1499">
        <v>86.305437073397201</v>
      </c>
      <c r="AK1499">
        <v>0.61366569226809298</v>
      </c>
      <c r="AL1499">
        <v>87.448442701673898</v>
      </c>
      <c r="AM1499">
        <v>94.449503494194502</v>
      </c>
      <c r="AN1499">
        <v>1.00000005074745</v>
      </c>
    </row>
    <row r="1500" spans="1:40" x14ac:dyDescent="0.3">
      <c r="A1500" t="str">
        <f>"20200111145939679"</f>
        <v>20200111145939679</v>
      </c>
      <c r="B1500" t="str">
        <f>"1578725979676646"</f>
        <v>1578725979676646</v>
      </c>
      <c r="C1500" t="s">
        <v>40</v>
      </c>
      <c r="D1500">
        <v>4.2265040000000003</v>
      </c>
      <c r="E1500">
        <v>0.54934589999999905</v>
      </c>
      <c r="F1500" t="s">
        <v>41</v>
      </c>
      <c r="G1500">
        <v>-293.9051</v>
      </c>
      <c r="H1500">
        <v>0.91068039999999995</v>
      </c>
      <c r="I1500">
        <v>367.32190000000003</v>
      </c>
      <c r="J1500">
        <v>-294.59609999999998</v>
      </c>
      <c r="K1500">
        <v>1.0546310000000001</v>
      </c>
      <c r="L1500">
        <v>367.37619999999998</v>
      </c>
      <c r="M1500">
        <v>0.99981189999999998</v>
      </c>
      <c r="N1500">
        <v>0</v>
      </c>
      <c r="O1500">
        <v>-1.558734E-2</v>
      </c>
      <c r="P1500">
        <v>0.99751369999999895</v>
      </c>
      <c r="Q1500">
        <v>3.314077E-2</v>
      </c>
      <c r="R1500">
        <v>6.2196710000000002E-2</v>
      </c>
      <c r="S1500">
        <v>3.0385740000000001</v>
      </c>
      <c r="T1500">
        <v>-0.54726090000000005</v>
      </c>
      <c r="U1500">
        <v>-0.21124270000000001</v>
      </c>
      <c r="V1500">
        <v>-7.7748239999999996E-2</v>
      </c>
      <c r="W1500">
        <v>4.4620300000000002E-2</v>
      </c>
      <c r="X1500">
        <v>0.99597400000000003</v>
      </c>
      <c r="Y1500">
        <v>5.319169E-2</v>
      </c>
      <c r="Z1500">
        <v>-1.9648159999999999E-3</v>
      </c>
      <c r="AA1500">
        <v>0.99858239999999998</v>
      </c>
      <c r="AB1500">
        <v>20</v>
      </c>
      <c r="AC1500">
        <v>0.69099999999997397</v>
      </c>
      <c r="AD1500">
        <v>-0.14395059999999901</v>
      </c>
      <c r="AE1500">
        <v>-5.4299999999955099E-2</v>
      </c>
      <c r="AF1500">
        <v>4.1722277123039102E-2</v>
      </c>
      <c r="AG1500">
        <v>-0.14395059999999901</v>
      </c>
      <c r="AH1500">
        <v>0.66315925440550805</v>
      </c>
      <c r="AI1500">
        <v>102.223640823447</v>
      </c>
      <c r="AJ1500">
        <v>86.400014346148794</v>
      </c>
      <c r="AK1500">
        <v>0.67988434336463499</v>
      </c>
      <c r="AL1500">
        <v>87.442595990505097</v>
      </c>
      <c r="AM1500">
        <v>94.463600904049798</v>
      </c>
      <c r="AN1500">
        <v>0.99999998433559301</v>
      </c>
    </row>
    <row r="1501" spans="1:40" x14ac:dyDescent="0.3">
      <c r="A1501" t="str">
        <f>"20200111145939692"</f>
        <v>20200111145939692</v>
      </c>
      <c r="B1501" t="str">
        <f>"1578725979687382"</f>
        <v>1578725979687382</v>
      </c>
      <c r="C1501" t="s">
        <v>40</v>
      </c>
      <c r="D1501">
        <v>4.1822089999999896</v>
      </c>
      <c r="E1501">
        <v>0.54910329999999996</v>
      </c>
      <c r="F1501" t="s">
        <v>41</v>
      </c>
      <c r="G1501">
        <v>-293.89620000000002</v>
      </c>
      <c r="H1501">
        <v>0.928346</v>
      </c>
      <c r="I1501">
        <v>367.3288</v>
      </c>
      <c r="J1501">
        <v>-294.4853</v>
      </c>
      <c r="K1501">
        <v>1.054619</v>
      </c>
      <c r="L1501">
        <v>367.37459999999999</v>
      </c>
      <c r="M1501">
        <v>0.99981439999999999</v>
      </c>
      <c r="N1501">
        <v>0</v>
      </c>
      <c r="O1501">
        <v>-1.548944E-2</v>
      </c>
      <c r="P1501">
        <v>0.99748930000000002</v>
      </c>
      <c r="Q1501">
        <v>3.3230419999999997E-2</v>
      </c>
      <c r="R1501">
        <v>6.2540719999999994E-2</v>
      </c>
      <c r="S1501">
        <v>3.0384519999999999</v>
      </c>
      <c r="T1501">
        <v>-0.54849539999999997</v>
      </c>
      <c r="U1501">
        <v>-0.2042542</v>
      </c>
      <c r="V1501">
        <v>-7.7994179999999996E-2</v>
      </c>
      <c r="W1501">
        <v>4.464079E-2</v>
      </c>
      <c r="X1501">
        <v>0.99595389999999995</v>
      </c>
      <c r="Y1501">
        <v>5.1036270000000002E-2</v>
      </c>
      <c r="Z1501">
        <v>-1.794131E-3</v>
      </c>
      <c r="AA1501">
        <v>0.99869520000000001</v>
      </c>
      <c r="AB1501">
        <v>20</v>
      </c>
      <c r="AC1501">
        <v>0.58909999999997298</v>
      </c>
      <c r="AD1501">
        <v>-0.126273</v>
      </c>
      <c r="AE1501">
        <v>-4.5799999999985602E-2</v>
      </c>
      <c r="AF1501">
        <v>3.5067560482400902E-2</v>
      </c>
      <c r="AG1501">
        <v>-0.126273</v>
      </c>
      <c r="AH1501">
        <v>0.56398202961834298</v>
      </c>
      <c r="AI1501">
        <v>102.596583439607</v>
      </c>
      <c r="AJ1501">
        <v>86.442014519297302</v>
      </c>
      <c r="AK1501">
        <v>0.57900806044442199</v>
      </c>
      <c r="AL1501">
        <v>87.441420949960303</v>
      </c>
      <c r="AM1501">
        <v>94.477753224500006</v>
      </c>
      <c r="AN1501">
        <v>1.00000003158545</v>
      </c>
    </row>
    <row r="1502" spans="1:40" x14ac:dyDescent="0.3">
      <c r="A1502" t="str">
        <f>"20200111145939702"</f>
        <v>20200111145939702</v>
      </c>
      <c r="B1502" t="str">
        <f>"1578725979697142"</f>
        <v>1578725979697142</v>
      </c>
      <c r="C1502" t="s">
        <v>40</v>
      </c>
      <c r="D1502">
        <v>4.186286</v>
      </c>
      <c r="E1502">
        <v>0.54888249999999905</v>
      </c>
      <c r="F1502" t="s">
        <v>41</v>
      </c>
      <c r="G1502">
        <v>-293.71929999999998</v>
      </c>
      <c r="H1502">
        <v>0.9157575</v>
      </c>
      <c r="I1502">
        <v>367.32380000000001</v>
      </c>
      <c r="J1502">
        <v>-294.38</v>
      </c>
      <c r="K1502">
        <v>1.0546089999999999</v>
      </c>
      <c r="L1502">
        <v>367.37299999999999</v>
      </c>
      <c r="M1502">
        <v>0.99981640000000005</v>
      </c>
      <c r="N1502">
        <v>0</v>
      </c>
      <c r="O1502">
        <v>-1.5395610000000001E-2</v>
      </c>
      <c r="P1502">
        <v>0.99745280000000003</v>
      </c>
      <c r="Q1502">
        <v>3.3322190000000002E-2</v>
      </c>
      <c r="R1502">
        <v>6.3068810000000003E-2</v>
      </c>
      <c r="S1502">
        <v>3.0385439999999999</v>
      </c>
      <c r="T1502">
        <v>-0.55084569999999999</v>
      </c>
      <c r="U1502">
        <v>-0.20108029999999999</v>
      </c>
      <c r="V1502">
        <v>-7.8428129999999999E-2</v>
      </c>
      <c r="W1502">
        <v>4.4665070000000001E-2</v>
      </c>
      <c r="X1502">
        <v>0.99591870000000005</v>
      </c>
      <c r="Y1502">
        <v>5.0098240000000002E-2</v>
      </c>
      <c r="Z1502">
        <v>-1.7343020000000001E-3</v>
      </c>
      <c r="AA1502">
        <v>0.99874280000000004</v>
      </c>
      <c r="AB1502">
        <v>20</v>
      </c>
      <c r="AC1502">
        <v>0.66070000000001905</v>
      </c>
      <c r="AD1502">
        <v>-0.13885149999999899</v>
      </c>
      <c r="AE1502">
        <v>-4.9200000000041599E-2</v>
      </c>
      <c r="AF1502">
        <v>3.7379797820637897E-2</v>
      </c>
      <c r="AG1502">
        <v>-0.13885149999999899</v>
      </c>
      <c r="AH1502">
        <v>0.63355177197300705</v>
      </c>
      <c r="AI1502">
        <v>102.34090010799299</v>
      </c>
      <c r="AJ1502">
        <v>86.623441362193503</v>
      </c>
      <c r="AK1502">
        <v>0.649665172306088</v>
      </c>
      <c r="AL1502">
        <v>87.440028334839397</v>
      </c>
      <c r="AM1502">
        <v>94.502723214660904</v>
      </c>
      <c r="AN1502">
        <v>0.99999999853154597</v>
      </c>
    </row>
    <row r="1503" spans="1:40" x14ac:dyDescent="0.3">
      <c r="A1503" t="str">
        <f>"20200111145939713"</f>
        <v>20200111145939713</v>
      </c>
      <c r="B1503" t="str">
        <f>"1578725979706903"</f>
        <v>1578725979706903</v>
      </c>
      <c r="C1503" t="s">
        <v>40</v>
      </c>
      <c r="D1503">
        <v>4.1807689999999997</v>
      </c>
      <c r="E1503">
        <v>0.54848059999999998</v>
      </c>
      <c r="F1503" t="s">
        <v>41</v>
      </c>
      <c r="G1503">
        <v>-293.54239999999999</v>
      </c>
      <c r="H1503">
        <v>0.902088</v>
      </c>
      <c r="I1503">
        <v>367.31830000000002</v>
      </c>
      <c r="J1503">
        <v>-294.27800000000002</v>
      </c>
      <c r="K1503">
        <v>1.054603</v>
      </c>
      <c r="L1503">
        <v>367.3716</v>
      </c>
      <c r="M1503">
        <v>0.99981869999999995</v>
      </c>
      <c r="N1503">
        <v>0</v>
      </c>
      <c r="O1503">
        <v>-1.530523E-2</v>
      </c>
      <c r="P1503">
        <v>0.99742209999999998</v>
      </c>
      <c r="Q1503">
        <v>3.3404799999999998E-2</v>
      </c>
      <c r="R1503">
        <v>6.3510049999999998E-2</v>
      </c>
      <c r="S1503">
        <v>3.0386350000000002</v>
      </c>
      <c r="T1503">
        <v>-0.55359459999999905</v>
      </c>
      <c r="U1503">
        <v>-0.1975403</v>
      </c>
      <c r="V1503">
        <v>-7.8778559999999997E-2</v>
      </c>
      <c r="W1503">
        <v>4.467985E-2</v>
      </c>
      <c r="X1503">
        <v>0.99589039999999995</v>
      </c>
      <c r="Y1503">
        <v>4.9038239999999997E-2</v>
      </c>
      <c r="Z1503">
        <v>-1.663465E-3</v>
      </c>
      <c r="AA1503">
        <v>0.99879549999999995</v>
      </c>
      <c r="AB1503">
        <v>21</v>
      </c>
      <c r="AC1503">
        <v>0.73560000000003301</v>
      </c>
      <c r="AD1503">
        <v>-0.15251500000000001</v>
      </c>
      <c r="AE1503">
        <v>-5.3299999999978802E-2</v>
      </c>
      <c r="AF1503">
        <v>4.0310702417351199E-2</v>
      </c>
      <c r="AG1503">
        <v>-0.15251500000000001</v>
      </c>
      <c r="AH1503">
        <v>0.70613331283219005</v>
      </c>
      <c r="AI1503">
        <v>102.168653704118</v>
      </c>
      <c r="AJ1503">
        <v>86.732728739574</v>
      </c>
      <c r="AK1503">
        <v>0.72353993217081203</v>
      </c>
      <c r="AL1503">
        <v>87.439180711116506</v>
      </c>
      <c r="AM1503">
        <v>94.522886837739193</v>
      </c>
      <c r="AN1503">
        <v>1.0000000196619201</v>
      </c>
    </row>
    <row r="1504" spans="1:40" x14ac:dyDescent="0.3">
      <c r="A1504" t="str">
        <f>"20200111145939724"</f>
        <v>20200111145939724</v>
      </c>
      <c r="B1504" t="str">
        <f>"1578725979716662"</f>
        <v>1578725979716662</v>
      </c>
      <c r="C1504" t="s">
        <v>40</v>
      </c>
      <c r="D1504">
        <v>4.1691719999999997</v>
      </c>
      <c r="E1504">
        <v>0.54823630000000001</v>
      </c>
      <c r="F1504" t="s">
        <v>41</v>
      </c>
      <c r="G1504">
        <v>-293.53399999999999</v>
      </c>
      <c r="H1504">
        <v>0.9191144</v>
      </c>
      <c r="I1504">
        <v>367.32409999999999</v>
      </c>
      <c r="J1504">
        <v>-294.18029999999999</v>
      </c>
      <c r="K1504">
        <v>1.054594</v>
      </c>
      <c r="L1504">
        <v>367.37020000000001</v>
      </c>
      <c r="M1504">
        <v>0.99982070000000001</v>
      </c>
      <c r="N1504">
        <v>0</v>
      </c>
      <c r="O1504">
        <v>-1.521832E-2</v>
      </c>
      <c r="P1504">
        <v>0.99740600000000001</v>
      </c>
      <c r="Q1504">
        <v>3.3520380000000002E-2</v>
      </c>
      <c r="R1504">
        <v>6.3700389999999996E-2</v>
      </c>
      <c r="S1504">
        <v>3.038513</v>
      </c>
      <c r="T1504">
        <v>-0.55362670000000003</v>
      </c>
      <c r="U1504">
        <v>-0.19247439999999999</v>
      </c>
      <c r="V1504">
        <v>-7.8882369999999993E-2</v>
      </c>
      <c r="W1504">
        <v>4.4729390000000001E-2</v>
      </c>
      <c r="X1504">
        <v>0.99587990000000004</v>
      </c>
      <c r="Y1504">
        <v>4.7492930000000003E-2</v>
      </c>
      <c r="Z1504">
        <v>-1.5398969999999999E-3</v>
      </c>
      <c r="AA1504">
        <v>0.99887040000000005</v>
      </c>
      <c r="AB1504">
        <v>21</v>
      </c>
      <c r="AC1504">
        <v>0.64629999999999599</v>
      </c>
      <c r="AD1504">
        <v>-0.13547960000000001</v>
      </c>
      <c r="AE1504">
        <v>-4.6100000000023997E-2</v>
      </c>
      <c r="AF1504">
        <v>3.4739635483124302E-2</v>
      </c>
      <c r="AG1504">
        <v>-0.13547960000000001</v>
      </c>
      <c r="AH1504">
        <v>0.61982815906036903</v>
      </c>
      <c r="AI1504">
        <v>102.310846014609</v>
      </c>
      <c r="AJ1504">
        <v>86.792087922091497</v>
      </c>
      <c r="AK1504">
        <v>0.63541207971978797</v>
      </c>
      <c r="AL1504">
        <v>87.436339287007002</v>
      </c>
      <c r="AM1504">
        <v>94.528869619591902</v>
      </c>
      <c r="AN1504">
        <v>0.99999996092529797</v>
      </c>
    </row>
    <row r="1505" spans="1:40" x14ac:dyDescent="0.3">
      <c r="A1505" t="str">
        <f>"20200111145939736"</f>
        <v>20200111145939736</v>
      </c>
      <c r="B1505" t="str">
        <f>"1578725979727398"</f>
        <v>1578725979727398</v>
      </c>
      <c r="C1505" t="s">
        <v>40</v>
      </c>
      <c r="D1505">
        <v>4.0871740000000001</v>
      </c>
      <c r="E1505">
        <v>0.54797810000000002</v>
      </c>
      <c r="F1505" t="s">
        <v>41</v>
      </c>
      <c r="G1505">
        <v>-293.35739999999998</v>
      </c>
      <c r="H1505">
        <v>0.90432319999999999</v>
      </c>
      <c r="I1505">
        <v>367.3186</v>
      </c>
      <c r="J1505">
        <v>-294.0761</v>
      </c>
      <c r="K1505">
        <v>1.054583</v>
      </c>
      <c r="L1505">
        <v>367.36869999999999</v>
      </c>
      <c r="M1505">
        <v>0.99982300000000002</v>
      </c>
      <c r="N1505">
        <v>0</v>
      </c>
      <c r="O1505">
        <v>-1.5125420000000001E-2</v>
      </c>
      <c r="P1505">
        <v>0.99737819999999999</v>
      </c>
      <c r="Q1505">
        <v>3.3759230000000001E-2</v>
      </c>
      <c r="R1505">
        <v>6.400902E-2</v>
      </c>
      <c r="S1505">
        <v>3.0385439999999999</v>
      </c>
      <c r="T1505">
        <v>-0.554979</v>
      </c>
      <c r="U1505">
        <v>-0.18951419999999999</v>
      </c>
      <c r="V1505">
        <v>-7.9097849999999997E-2</v>
      </c>
      <c r="W1505">
        <v>4.4896110000000003E-2</v>
      </c>
      <c r="X1505">
        <v>0.9958553</v>
      </c>
      <c r="Y1505">
        <v>4.6625979999999997E-2</v>
      </c>
      <c r="Z1505">
        <v>-1.4819849999999999E-3</v>
      </c>
      <c r="AA1505">
        <v>0.99891129999999995</v>
      </c>
      <c r="AB1505">
        <v>21</v>
      </c>
      <c r="AC1505">
        <v>0.718700000000012</v>
      </c>
      <c r="AD1505">
        <v>-0.1502598</v>
      </c>
      <c r="AE1505">
        <v>-5.0099999999986197E-2</v>
      </c>
      <c r="AF1505">
        <v>3.7587890831246598E-2</v>
      </c>
      <c r="AG1505">
        <v>-0.1502598</v>
      </c>
      <c r="AH1505">
        <v>0.68938753806257502</v>
      </c>
      <c r="AI1505">
        <v>102.278271704445</v>
      </c>
      <c r="AJ1505">
        <v>86.879117959967203</v>
      </c>
      <c r="AK1505">
        <v>0.706573446054379</v>
      </c>
      <c r="AL1505">
        <v>87.426777311948499</v>
      </c>
      <c r="AM1505">
        <v>94.541300995545598</v>
      </c>
      <c r="AN1505">
        <v>0.99999995455292101</v>
      </c>
    </row>
    <row r="1506" spans="1:40" x14ac:dyDescent="0.3">
      <c r="A1506" t="str">
        <f>"20200111145939746"</f>
        <v>20200111145939746</v>
      </c>
      <c r="B1506" t="str">
        <f>"1578725979737159"</f>
        <v>1578725979737159</v>
      </c>
      <c r="C1506" t="s">
        <v>40</v>
      </c>
      <c r="D1506">
        <v>4.1200199999999896</v>
      </c>
      <c r="E1506">
        <v>0.54765640000000004</v>
      </c>
      <c r="F1506" t="s">
        <v>41</v>
      </c>
      <c r="G1506">
        <v>-293.34879999999998</v>
      </c>
      <c r="H1506">
        <v>0.92163289999999998</v>
      </c>
      <c r="I1506">
        <v>367.32380000000001</v>
      </c>
      <c r="J1506">
        <v>-293.976</v>
      </c>
      <c r="K1506">
        <v>1.0545770000000001</v>
      </c>
      <c r="L1506">
        <v>367.3673</v>
      </c>
      <c r="M1506">
        <v>0.99982519999999997</v>
      </c>
      <c r="N1506">
        <v>0</v>
      </c>
      <c r="O1506">
        <v>-1.5036229999999999E-2</v>
      </c>
      <c r="P1506">
        <v>0.99737220000000004</v>
      </c>
      <c r="Q1506">
        <v>3.3881300000000003E-2</v>
      </c>
      <c r="R1506">
        <v>6.4037579999999997E-2</v>
      </c>
      <c r="S1506">
        <v>3.0386660000000001</v>
      </c>
      <c r="T1506">
        <v>-0.55567599999999995</v>
      </c>
      <c r="U1506">
        <v>-0.18658449999999999</v>
      </c>
      <c r="V1506">
        <v>-7.9037350000000006E-2</v>
      </c>
      <c r="W1506">
        <v>4.4948040000000002E-2</v>
      </c>
      <c r="X1506">
        <v>0.99585780000000002</v>
      </c>
      <c r="Y1506">
        <v>4.5764630000000001E-2</v>
      </c>
      <c r="Z1506">
        <v>-1.4219180000000001E-3</v>
      </c>
      <c r="AA1506">
        <v>0.99895129999999999</v>
      </c>
      <c r="AB1506">
        <v>21</v>
      </c>
      <c r="AC1506">
        <v>0.62720000000001597</v>
      </c>
      <c r="AD1506">
        <v>-0.13294410000000001</v>
      </c>
      <c r="AE1506">
        <v>-4.3499999999994501E-2</v>
      </c>
      <c r="AF1506">
        <v>3.2605843401785399E-2</v>
      </c>
      <c r="AG1506">
        <v>-0.13294410000000001</v>
      </c>
      <c r="AH1506">
        <v>0.60091402756214796</v>
      </c>
      <c r="AI1506">
        <v>102.45722357865</v>
      </c>
      <c r="AJ1506">
        <v>86.894153012988994</v>
      </c>
      <c r="AK1506">
        <v>0.61630750706908799</v>
      </c>
      <c r="AL1506">
        <v>87.423799035459197</v>
      </c>
      <c r="AM1506">
        <v>94.537830634770401</v>
      </c>
      <c r="AN1506">
        <v>0.99999999340785195</v>
      </c>
    </row>
    <row r="1507" spans="1:40" x14ac:dyDescent="0.3">
      <c r="A1507" t="str">
        <f>"20200111145939758"</f>
        <v>20200111145939758</v>
      </c>
      <c r="B1507" t="str">
        <f>"1578725979746918"</f>
        <v>1578725979746918</v>
      </c>
      <c r="C1507" t="s">
        <v>40</v>
      </c>
      <c r="D1507">
        <v>4.103351</v>
      </c>
      <c r="E1507">
        <v>0.54748149999999995</v>
      </c>
      <c r="F1507" t="s">
        <v>41</v>
      </c>
      <c r="G1507">
        <v>-293.17149999999998</v>
      </c>
      <c r="H1507">
        <v>0.90790800000000005</v>
      </c>
      <c r="I1507">
        <v>367.31810000000002</v>
      </c>
      <c r="J1507">
        <v>-293.86669999999998</v>
      </c>
      <c r="K1507">
        <v>1.054567</v>
      </c>
      <c r="L1507">
        <v>367.36579999999998</v>
      </c>
      <c r="M1507">
        <v>0.99982729999999997</v>
      </c>
      <c r="N1507">
        <v>0</v>
      </c>
      <c r="O1507">
        <v>-1.4938770000000001E-2</v>
      </c>
      <c r="P1507">
        <v>0.99735280000000004</v>
      </c>
      <c r="Q1507">
        <v>3.396979E-2</v>
      </c>
      <c r="R1507">
        <v>6.4293600000000006E-2</v>
      </c>
      <c r="S1507">
        <v>3.0385740000000001</v>
      </c>
      <c r="T1507">
        <v>-0.55436589999999997</v>
      </c>
      <c r="U1507">
        <v>-0.18420410000000001</v>
      </c>
      <c r="V1507">
        <v>-7.9195929999999998E-2</v>
      </c>
      <c r="W1507">
        <v>4.4959470000000001E-2</v>
      </c>
      <c r="X1507">
        <v>0.99584470000000003</v>
      </c>
      <c r="Y1507">
        <v>4.5095879999999998E-2</v>
      </c>
      <c r="Z1507">
        <v>-1.375856E-3</v>
      </c>
      <c r="AA1507">
        <v>0.99898169999999997</v>
      </c>
      <c r="AB1507">
        <v>21</v>
      </c>
      <c r="AC1507">
        <v>0.69519999999999904</v>
      </c>
      <c r="AD1507">
        <v>-0.14665900000000001</v>
      </c>
      <c r="AE1507">
        <v>-4.7699999999963397E-2</v>
      </c>
      <c r="AF1507">
        <v>3.5726108498761802E-2</v>
      </c>
      <c r="AG1507">
        <v>-0.14665900000000001</v>
      </c>
      <c r="AH1507">
        <v>0.66632015165978598</v>
      </c>
      <c r="AI1507">
        <v>102.395788864743</v>
      </c>
      <c r="AJ1507">
        <v>86.930909132356007</v>
      </c>
      <c r="AK1507">
        <v>0.68320404098437904</v>
      </c>
      <c r="AL1507">
        <v>87.423143519331305</v>
      </c>
      <c r="AM1507">
        <v>94.546956729443593</v>
      </c>
      <c r="AN1507">
        <v>1.00000000789466</v>
      </c>
    </row>
    <row r="1508" spans="1:40" x14ac:dyDescent="0.3">
      <c r="A1508" t="str">
        <f>"20200111145939771"</f>
        <v>20200111145939771</v>
      </c>
      <c r="B1508" t="str">
        <f>"1578725979767414"</f>
        <v>1578725979767414</v>
      </c>
      <c r="C1508" t="s">
        <v>40</v>
      </c>
      <c r="D1508">
        <v>4.0825490000000002</v>
      </c>
      <c r="E1508">
        <v>0.54711880000000002</v>
      </c>
      <c r="F1508" t="s">
        <v>41</v>
      </c>
      <c r="G1508">
        <v>-293.1626</v>
      </c>
      <c r="H1508">
        <v>0.9259309</v>
      </c>
      <c r="I1508">
        <v>367.32319999999999</v>
      </c>
      <c r="J1508">
        <v>-293.75979999999998</v>
      </c>
      <c r="K1508">
        <v>1.0545549999999999</v>
      </c>
      <c r="L1508">
        <v>367.36430000000001</v>
      </c>
      <c r="M1508">
        <v>0.99982969999999904</v>
      </c>
      <c r="N1508">
        <v>0</v>
      </c>
      <c r="O1508">
        <v>-1.4843459999999999E-2</v>
      </c>
      <c r="P1508">
        <v>0.99736599999999997</v>
      </c>
      <c r="Q1508">
        <v>3.4160099999999999E-2</v>
      </c>
      <c r="R1508">
        <v>6.3985509999999995E-2</v>
      </c>
      <c r="S1508">
        <v>3.038605</v>
      </c>
      <c r="T1508">
        <v>-0.55549559999999998</v>
      </c>
      <c r="U1508">
        <v>-0.18212890000000001</v>
      </c>
      <c r="V1508">
        <v>-7.879332E-2</v>
      </c>
      <c r="W1508">
        <v>4.5070939999999997E-2</v>
      </c>
      <c r="X1508">
        <v>0.99587159999999997</v>
      </c>
      <c r="Y1508">
        <v>4.4516699999999999E-2</v>
      </c>
      <c r="Z1508">
        <v>-1.3434289999999999E-3</v>
      </c>
      <c r="AA1508">
        <v>0.9990078</v>
      </c>
      <c r="AB1508">
        <v>21</v>
      </c>
      <c r="AC1508">
        <v>0.59719999999998596</v>
      </c>
      <c r="AD1508">
        <v>-0.12862409999999899</v>
      </c>
      <c r="AE1508">
        <v>-4.1100000000028503E-2</v>
      </c>
      <c r="AF1508">
        <v>3.0808039535667998E-2</v>
      </c>
      <c r="AG1508">
        <v>-0.12862409999999899</v>
      </c>
      <c r="AH1508">
        <v>0.57136480674131496</v>
      </c>
      <c r="AI1508">
        <v>102.668971925335</v>
      </c>
      <c r="AJ1508">
        <v>86.913595436366904</v>
      </c>
      <c r="AK1508">
        <v>0.58647338966348805</v>
      </c>
      <c r="AL1508">
        <v>87.416750284231597</v>
      </c>
      <c r="AM1508">
        <v>94.5238157758847</v>
      </c>
      <c r="AN1508">
        <v>1.0000000102978299</v>
      </c>
    </row>
    <row r="1509" spans="1:40" x14ac:dyDescent="0.3">
      <c r="A1509" t="str">
        <f>"20200111145939784"</f>
        <v>20200111145939784</v>
      </c>
      <c r="B1509" t="str">
        <f>"1578725979777174"</f>
        <v>1578725979777174</v>
      </c>
      <c r="C1509" t="s">
        <v>40</v>
      </c>
      <c r="D1509">
        <v>4.0962550000000002</v>
      </c>
      <c r="E1509">
        <v>0.54694509999999996</v>
      </c>
      <c r="F1509" t="s">
        <v>41</v>
      </c>
      <c r="G1509">
        <v>-292.9846</v>
      </c>
      <c r="H1509">
        <v>0.9127499</v>
      </c>
      <c r="I1509">
        <v>367.31810000000002</v>
      </c>
      <c r="J1509">
        <v>-293.63979999999998</v>
      </c>
      <c r="K1509">
        <v>1.054543</v>
      </c>
      <c r="L1509">
        <v>367.36259999999999</v>
      </c>
      <c r="M1509">
        <v>0.99983219999999995</v>
      </c>
      <c r="N1509">
        <v>0</v>
      </c>
      <c r="O1509">
        <v>-1.473616E-2</v>
      </c>
      <c r="P1509">
        <v>0.9973516</v>
      </c>
      <c r="Q1509">
        <v>3.422037E-2</v>
      </c>
      <c r="R1509">
        <v>6.4177990000000004E-2</v>
      </c>
      <c r="S1509">
        <v>3.0385439999999999</v>
      </c>
      <c r="T1509">
        <v>-0.55596440000000003</v>
      </c>
      <c r="U1509">
        <v>-0.1801758</v>
      </c>
      <c r="V1509">
        <v>-7.8878909999999997E-2</v>
      </c>
      <c r="W1509">
        <v>4.5039019999999999E-2</v>
      </c>
      <c r="X1509">
        <v>0.99586620000000003</v>
      </c>
      <c r="Y1509">
        <v>4.3991280000000001E-2</v>
      </c>
      <c r="Z1509">
        <v>-1.31641299999999E-3</v>
      </c>
      <c r="AA1509">
        <v>0.99903109999999995</v>
      </c>
      <c r="AB1509">
        <v>21</v>
      </c>
      <c r="AC1509">
        <v>0.65519999999997902</v>
      </c>
      <c r="AD1509">
        <v>-0.14179310000000001</v>
      </c>
      <c r="AE1509">
        <v>-4.4499999999970799E-2</v>
      </c>
      <c r="AF1509">
        <v>3.3287625343878503E-2</v>
      </c>
      <c r="AG1509">
        <v>-0.14179310000000001</v>
      </c>
      <c r="AH1509">
        <v>0.62657432869892005</v>
      </c>
      <c r="AI1509">
        <v>102.733830125881</v>
      </c>
      <c r="AJ1509">
        <v>86.958941584565494</v>
      </c>
      <c r="AK1509">
        <v>0.64327967369811001</v>
      </c>
      <c r="AL1509">
        <v>87.418580848258401</v>
      </c>
      <c r="AM1509">
        <v>94.5287338383053</v>
      </c>
      <c r="AN1509">
        <v>0.99999994203389198</v>
      </c>
    </row>
    <row r="1510" spans="1:40" x14ac:dyDescent="0.3">
      <c r="A1510" t="str">
        <f>"20200111145939795"</f>
        <v>20200111145939795</v>
      </c>
      <c r="B1510" t="str">
        <f>"1578725979786933"</f>
        <v>1578725979786933</v>
      </c>
      <c r="C1510" t="s">
        <v>40</v>
      </c>
      <c r="D1510">
        <v>4.0329980000000001</v>
      </c>
      <c r="E1510">
        <v>0.54674080000000003</v>
      </c>
      <c r="F1510" t="s">
        <v>41</v>
      </c>
      <c r="G1510">
        <v>-292.80500000000001</v>
      </c>
      <c r="H1510">
        <v>0.90185269999999995</v>
      </c>
      <c r="I1510">
        <v>367.31319999999999</v>
      </c>
      <c r="J1510">
        <v>-293.52719999999999</v>
      </c>
      <c r="K1510">
        <v>1.0545310000000001</v>
      </c>
      <c r="L1510">
        <v>367.36099999999999</v>
      </c>
      <c r="M1510">
        <v>0.99983500000000003</v>
      </c>
      <c r="N1510">
        <v>0</v>
      </c>
      <c r="O1510">
        <v>-1.463541E-2</v>
      </c>
      <c r="P1510">
        <v>0.99736749999999996</v>
      </c>
      <c r="Q1510">
        <v>3.4229349999999999E-2</v>
      </c>
      <c r="R1510">
        <v>6.3926720000000006E-2</v>
      </c>
      <c r="S1510">
        <v>3.0385740000000001</v>
      </c>
      <c r="T1510">
        <v>-0.55604750000000003</v>
      </c>
      <c r="U1510">
        <v>-0.17861939999999901</v>
      </c>
      <c r="V1510">
        <v>-7.8527319999999998E-2</v>
      </c>
      <c r="W1510">
        <v>4.4955189999999999E-2</v>
      </c>
      <c r="X1510">
        <v>0.99589780000000006</v>
      </c>
      <c r="Y1510">
        <v>4.3586310000000003E-2</v>
      </c>
      <c r="Z1510">
        <v>-1.2981609999999999E-3</v>
      </c>
      <c r="AA1510">
        <v>0.99904879999999996</v>
      </c>
      <c r="AB1510">
        <v>21</v>
      </c>
      <c r="AC1510">
        <v>0.72219999999998596</v>
      </c>
      <c r="AD1510">
        <v>-0.15267829999999899</v>
      </c>
      <c r="AE1510">
        <v>-4.7799999999995103E-2</v>
      </c>
      <c r="AF1510">
        <v>3.5638720069605001E-2</v>
      </c>
      <c r="AG1510">
        <v>-0.15267829999999899</v>
      </c>
      <c r="AH1510">
        <v>0.69202831949258403</v>
      </c>
      <c r="AI1510">
        <v>102.425581506117</v>
      </c>
      <c r="AJ1510">
        <v>87.051932877195497</v>
      </c>
      <c r="AK1510">
        <v>0.70956604811590296</v>
      </c>
      <c r="AL1510">
        <v>87.4233888920688</v>
      </c>
      <c r="AM1510">
        <v>94.508488681651002</v>
      </c>
      <c r="AN1510">
        <v>0.99999996856957796</v>
      </c>
    </row>
    <row r="1511" spans="1:40" x14ac:dyDescent="0.3">
      <c r="A1511" t="str">
        <f>"20200111145939855"</f>
        <v>20200111145939855</v>
      </c>
      <c r="B1511" t="str">
        <f>"1578725979847446"</f>
        <v>1578725979847446</v>
      </c>
      <c r="C1511" t="s">
        <v>40</v>
      </c>
      <c r="D1511">
        <v>3.8578399999999999</v>
      </c>
      <c r="E1511">
        <v>0.55758289999999999</v>
      </c>
      <c r="F1511" t="s">
        <v>41</v>
      </c>
      <c r="G1511">
        <v>-292.79539999999997</v>
      </c>
      <c r="H1511">
        <v>0.92148669999999999</v>
      </c>
      <c r="I1511">
        <v>367.31790000000001</v>
      </c>
      <c r="J1511">
        <v>-292.97300000000001</v>
      </c>
      <c r="K1511">
        <v>1.0544579999999999</v>
      </c>
      <c r="L1511">
        <v>367.35359999999997</v>
      </c>
      <c r="M1511">
        <v>0.99984740000000005</v>
      </c>
      <c r="N1511">
        <v>0</v>
      </c>
      <c r="O1511">
        <v>-1.4139850000000001E-2</v>
      </c>
      <c r="P1511">
        <v>0.99736919999999996</v>
      </c>
      <c r="Q1511">
        <v>3.5156180000000002E-2</v>
      </c>
      <c r="R1511">
        <v>6.3396980000000006E-2</v>
      </c>
      <c r="S1511">
        <v>3.0382690000000001</v>
      </c>
      <c r="T1511">
        <v>-0.55262809999999996</v>
      </c>
      <c r="U1511">
        <v>-0.1778564</v>
      </c>
      <c r="V1511">
        <v>-7.750435E-2</v>
      </c>
      <c r="W1511">
        <v>4.5366749999999997E-2</v>
      </c>
      <c r="X1511">
        <v>0.99595929999999999</v>
      </c>
      <c r="Y1511">
        <v>4.3831019999999998E-2</v>
      </c>
      <c r="Z1511">
        <v>-1.4018209999999999E-3</v>
      </c>
      <c r="AA1511">
        <v>0.99903799999999998</v>
      </c>
      <c r="AB1511">
        <v>21</v>
      </c>
      <c r="AC1511">
        <v>0.17760000000004</v>
      </c>
      <c r="AD1511">
        <v>-0.13297129999999899</v>
      </c>
      <c r="AE1511">
        <v>-3.56999999999629E-2</v>
      </c>
      <c r="AF1511">
        <v>2.15655576180767E-2</v>
      </c>
      <c r="AG1511">
        <v>-0.13297129999999899</v>
      </c>
      <c r="AH1511">
        <v>0.11573119575640201</v>
      </c>
      <c r="AI1511">
        <v>138.480606073084</v>
      </c>
      <c r="AJ1511">
        <v>79.4444652062231</v>
      </c>
      <c r="AK1511">
        <v>0.17759546607465801</v>
      </c>
      <c r="AL1511">
        <v>87.399784230137101</v>
      </c>
      <c r="AM1511">
        <v>94.449720676760705</v>
      </c>
      <c r="AN1511">
        <v>0.99999999676548701</v>
      </c>
    </row>
    <row r="1512" spans="1:40" x14ac:dyDescent="0.3">
      <c r="A1512" t="str">
        <f>"20200111145939866"</f>
        <v>20200111145939866</v>
      </c>
      <c r="B1512" t="str">
        <f>"1578725979857205"</f>
        <v>1578725979857205</v>
      </c>
      <c r="C1512" t="s">
        <v>40</v>
      </c>
      <c r="D1512">
        <v>3.9742190000000002</v>
      </c>
      <c r="E1512">
        <v>0.56117600000000001</v>
      </c>
      <c r="F1512" t="s">
        <v>44</v>
      </c>
      <c r="G1512">
        <v>-169.2955</v>
      </c>
      <c r="H1512">
        <v>2.297053</v>
      </c>
      <c r="I1512">
        <v>356.40320000000003</v>
      </c>
      <c r="J1512">
        <v>-292.86989999999997</v>
      </c>
      <c r="K1512">
        <v>1.0544439999999999</v>
      </c>
      <c r="L1512">
        <v>367.35219999999998</v>
      </c>
      <c r="M1512">
        <v>0.99984980000000001</v>
      </c>
      <c r="N1512">
        <v>0</v>
      </c>
      <c r="O1512">
        <v>-1.404793E-2</v>
      </c>
      <c r="P1512">
        <v>0.9973767</v>
      </c>
      <c r="Q1512">
        <v>3.4945820000000002E-2</v>
      </c>
      <c r="R1512">
        <v>6.3392390000000007E-2</v>
      </c>
      <c r="S1512">
        <v>3.0238339999999999</v>
      </c>
      <c r="T1512">
        <v>3.038275E-2</v>
      </c>
      <c r="U1512">
        <v>-0.26773069999999999</v>
      </c>
      <c r="V1512">
        <v>-7.7407619999999996E-2</v>
      </c>
      <c r="W1512">
        <v>4.5056640000000002E-2</v>
      </c>
      <c r="X1512">
        <v>0.99598089999999995</v>
      </c>
      <c r="Y1512">
        <v>7.418951E-2</v>
      </c>
      <c r="Z1512">
        <v>2.3112910000000001E-4</v>
      </c>
      <c r="AA1512">
        <v>0.99724409999999997</v>
      </c>
      <c r="AB1512">
        <v>21</v>
      </c>
      <c r="AC1512">
        <v>123.574399999999</v>
      </c>
      <c r="AD1512">
        <v>1.2426090000000001</v>
      </c>
      <c r="AE1512">
        <v>-10.9489999999999</v>
      </c>
      <c r="AF1512">
        <v>9.2109414129643703</v>
      </c>
      <c r="AG1512">
        <v>1.2426090000000001</v>
      </c>
      <c r="AH1512">
        <v>123.703612740561</v>
      </c>
      <c r="AI1512">
        <v>89.426069079299893</v>
      </c>
      <c r="AJ1512">
        <v>85.741628196246793</v>
      </c>
      <c r="AK1512">
        <v>124.052284637997</v>
      </c>
      <c r="AL1512">
        <v>87.417570412192404</v>
      </c>
      <c r="AM1512">
        <v>94.444093429118297</v>
      </c>
      <c r="AN1512">
        <v>0.99999999680348195</v>
      </c>
    </row>
    <row r="1513" spans="1:40" x14ac:dyDescent="0.3">
      <c r="A1513" t="str">
        <f>"20200111145939878"</f>
        <v>20200111145939878</v>
      </c>
      <c r="B1513" t="str">
        <f>"1578725979866967"</f>
        <v>1578725979866967</v>
      </c>
      <c r="C1513" t="s">
        <v>40</v>
      </c>
      <c r="D1513">
        <v>3.948645</v>
      </c>
      <c r="E1513">
        <v>0.5632376</v>
      </c>
      <c r="F1513" t="s">
        <v>44</v>
      </c>
      <c r="G1513">
        <v>-169.2955</v>
      </c>
      <c r="H1513">
        <v>1.80444</v>
      </c>
      <c r="I1513">
        <v>355.24650000000003</v>
      </c>
      <c r="J1513">
        <v>-292.75819999999999</v>
      </c>
      <c r="K1513">
        <v>1.0544249999999999</v>
      </c>
      <c r="L1513">
        <v>367.35070000000002</v>
      </c>
      <c r="M1513">
        <v>0.99985230000000003</v>
      </c>
      <c r="N1513">
        <v>0</v>
      </c>
      <c r="O1513">
        <v>-1.39481E-2</v>
      </c>
      <c r="P1513">
        <v>0.99738689999999997</v>
      </c>
      <c r="Q1513">
        <v>3.4673240000000001E-2</v>
      </c>
      <c r="R1513">
        <v>6.3382919999999995E-2</v>
      </c>
      <c r="S1513">
        <v>3.0261230000000001</v>
      </c>
      <c r="T1513">
        <v>1.8368240000000001E-2</v>
      </c>
      <c r="U1513">
        <v>-0.29644779999999998</v>
      </c>
      <c r="V1513">
        <v>-7.7298759999999994E-2</v>
      </c>
      <c r="W1513">
        <v>4.4676519999999997E-2</v>
      </c>
      <c r="X1513">
        <v>0.99600650000000002</v>
      </c>
      <c r="Y1513">
        <v>8.3603079999999996E-2</v>
      </c>
      <c r="Z1513">
        <v>1.68674399999999E-4</v>
      </c>
      <c r="AA1513">
        <v>0.99649909999999997</v>
      </c>
      <c r="AB1513">
        <v>21</v>
      </c>
      <c r="AC1513">
        <v>123.462699999999</v>
      </c>
      <c r="AD1513">
        <v>0.75001499999999999</v>
      </c>
      <c r="AE1513">
        <v>-12.104199999999899</v>
      </c>
      <c r="AF1513">
        <v>10.380486051520201</v>
      </c>
      <c r="AG1513">
        <v>0.75001499999999999</v>
      </c>
      <c r="AH1513">
        <v>123.615009100614</v>
      </c>
      <c r="AI1513">
        <v>89.653590172556406</v>
      </c>
      <c r="AJ1513">
        <v>85.199887828369995</v>
      </c>
      <c r="AK1513">
        <v>124.052357849865</v>
      </c>
      <c r="AL1513">
        <v>87.439371694791802</v>
      </c>
      <c r="AM1513">
        <v>94.437754979734095</v>
      </c>
      <c r="AN1513">
        <v>1.0000000188895399</v>
      </c>
    </row>
    <row r="1514" spans="1:40" x14ac:dyDescent="0.3">
      <c r="A1514" t="str">
        <f>"20200111145939889"</f>
        <v>20200111145939889</v>
      </c>
      <c r="B1514" t="str">
        <f>"1578725979887462"</f>
        <v>1578725979887462</v>
      </c>
      <c r="C1514" t="s">
        <v>40</v>
      </c>
      <c r="D1514">
        <v>4.0614679999999996</v>
      </c>
      <c r="E1514">
        <v>0.56471819999999995</v>
      </c>
      <c r="F1514" t="s">
        <v>44</v>
      </c>
      <c r="G1514">
        <v>-169.2955</v>
      </c>
      <c r="H1514">
        <v>1.6680980000000001</v>
      </c>
      <c r="I1514">
        <v>354.58580000000001</v>
      </c>
      <c r="J1514">
        <v>-292.6576</v>
      </c>
      <c r="K1514">
        <v>1.054411</v>
      </c>
      <c r="L1514">
        <v>367.34949999999998</v>
      </c>
      <c r="M1514">
        <v>0.99985449999999998</v>
      </c>
      <c r="N1514">
        <v>0</v>
      </c>
      <c r="O1514">
        <v>-1.385834E-2</v>
      </c>
      <c r="P1514">
        <v>0.99738380000000004</v>
      </c>
      <c r="Q1514">
        <v>3.4554370000000001E-2</v>
      </c>
      <c r="R1514">
        <v>6.3495350000000006E-2</v>
      </c>
      <c r="S1514">
        <v>3.0272220000000001</v>
      </c>
      <c r="T1514">
        <v>1.504898E-2</v>
      </c>
      <c r="U1514">
        <v>-0.3129883</v>
      </c>
      <c r="V1514">
        <v>-7.7321829999999994E-2</v>
      </c>
      <c r="W1514">
        <v>4.4461680000000003E-2</v>
      </c>
      <c r="X1514">
        <v>0.99601430000000002</v>
      </c>
      <c r="Y1514">
        <v>8.9046710000000001E-2</v>
      </c>
      <c r="Z1514">
        <v>1.520468E-4</v>
      </c>
      <c r="AA1514">
        <v>0.99602740000000001</v>
      </c>
      <c r="AB1514">
        <v>21</v>
      </c>
      <c r="AC1514">
        <v>123.3621</v>
      </c>
      <c r="AD1514">
        <v>0.61368699999999898</v>
      </c>
      <c r="AE1514">
        <v>-12.763699999999901</v>
      </c>
      <c r="AF1514">
        <v>11.052525045820801</v>
      </c>
      <c r="AG1514">
        <v>0.61368699999999898</v>
      </c>
      <c r="AH1514">
        <v>123.524120107803</v>
      </c>
      <c r="AI1514">
        <v>89.716480673753097</v>
      </c>
      <c r="AJ1514">
        <v>84.886981373591198</v>
      </c>
      <c r="AK1514">
        <v>124.019124210863</v>
      </c>
      <c r="AL1514">
        <v>87.451693305718095</v>
      </c>
      <c r="AM1514">
        <v>94.439039520956001</v>
      </c>
      <c r="AN1514">
        <v>0.99999999609373003</v>
      </c>
    </row>
    <row r="1515" spans="1:40" x14ac:dyDescent="0.3">
      <c r="A1515" t="str">
        <f>"20200111145939901"</f>
        <v>20200111145939901</v>
      </c>
      <c r="B1515" t="str">
        <f>"1578725979897223"</f>
        <v>1578725979897223</v>
      </c>
      <c r="C1515" t="s">
        <v>40</v>
      </c>
      <c r="D1515">
        <v>3.962113</v>
      </c>
      <c r="E1515">
        <v>0.56545540000000005</v>
      </c>
      <c r="F1515" t="s">
        <v>44</v>
      </c>
      <c r="G1515">
        <v>-169.2955</v>
      </c>
      <c r="H1515">
        <v>2.185209</v>
      </c>
      <c r="I1515">
        <v>354.13130000000001</v>
      </c>
      <c r="J1515">
        <v>-292.55009999999999</v>
      </c>
      <c r="K1515">
        <v>1.0544009999999999</v>
      </c>
      <c r="L1515">
        <v>367.34809999999999</v>
      </c>
      <c r="M1515">
        <v>0.99985670000000004</v>
      </c>
      <c r="N1515">
        <v>0</v>
      </c>
      <c r="O1515">
        <v>-1.37626E-2</v>
      </c>
      <c r="P1515">
        <v>0.99738839999999995</v>
      </c>
      <c r="Q1515">
        <v>3.4400460000000001E-2</v>
      </c>
      <c r="R1515">
        <v>6.3506399999999893E-2</v>
      </c>
      <c r="S1515">
        <v>3.0275569999999998</v>
      </c>
      <c r="T1515">
        <v>2.7754190000000001E-2</v>
      </c>
      <c r="U1515">
        <v>-0.32440190000000002</v>
      </c>
      <c r="V1515">
        <v>-7.7237699999999895E-2</v>
      </c>
      <c r="W1515">
        <v>4.4206339999999997E-2</v>
      </c>
      <c r="X1515">
        <v>0.99603220000000003</v>
      </c>
      <c r="Y1515">
        <v>9.284154E-2</v>
      </c>
      <c r="Z1515">
        <v>2.985428E-4</v>
      </c>
      <c r="AA1515">
        <v>0.99568089999999998</v>
      </c>
      <c r="AB1515">
        <v>21</v>
      </c>
      <c r="AC1515">
        <v>123.254599999999</v>
      </c>
      <c r="AD1515">
        <v>1.130808</v>
      </c>
      <c r="AE1515">
        <v>-13.2167999999999</v>
      </c>
      <c r="AF1515">
        <v>11.5182034510975</v>
      </c>
      <c r="AG1515">
        <v>1.130808</v>
      </c>
      <c r="AH1515">
        <v>123.41456185713599</v>
      </c>
      <c r="AI1515">
        <v>89.477303240661001</v>
      </c>
      <c r="AJ1515">
        <v>84.668066173297703</v>
      </c>
      <c r="AK1515">
        <v>123.956047919667</v>
      </c>
      <c r="AL1515">
        <v>87.466337626763107</v>
      </c>
      <c r="AM1515">
        <v>94.434149527036595</v>
      </c>
      <c r="AN1515">
        <v>1.0000000031171601</v>
      </c>
    </row>
    <row r="1516" spans="1:40" x14ac:dyDescent="0.3">
      <c r="A1516" t="str">
        <f>"20200111145939910"</f>
        <v>20200111145939910</v>
      </c>
      <c r="B1516" t="str">
        <f>"1578725979906981"</f>
        <v>1578725979906981</v>
      </c>
      <c r="C1516" t="s">
        <v>40</v>
      </c>
      <c r="D1516">
        <v>3.9793509999999999</v>
      </c>
      <c r="E1516">
        <v>0.56520530000000002</v>
      </c>
      <c r="F1516" t="s">
        <v>44</v>
      </c>
      <c r="G1516">
        <v>-169.2955</v>
      </c>
      <c r="H1516">
        <v>2.451632</v>
      </c>
      <c r="I1516">
        <v>353.9049</v>
      </c>
      <c r="J1516">
        <v>-292.45420000000001</v>
      </c>
      <c r="K1516">
        <v>1.0543910000000001</v>
      </c>
      <c r="L1516">
        <v>367.34679999999997</v>
      </c>
      <c r="M1516">
        <v>0.99985880000000005</v>
      </c>
      <c r="N1516">
        <v>0</v>
      </c>
      <c r="O1516">
        <v>-1.367731E-2</v>
      </c>
      <c r="P1516">
        <v>0.99738680000000002</v>
      </c>
      <c r="Q1516">
        <v>3.4486379999999997E-2</v>
      </c>
      <c r="R1516">
        <v>6.348811E-2</v>
      </c>
      <c r="S1516">
        <v>3.0277400000000001</v>
      </c>
      <c r="T1516">
        <v>3.4325000000000001E-2</v>
      </c>
      <c r="U1516">
        <v>-0.33023069999999999</v>
      </c>
      <c r="V1516">
        <v>-7.7134149999999999E-2</v>
      </c>
      <c r="W1516">
        <v>4.4205389999999997E-2</v>
      </c>
      <c r="X1516">
        <v>0.99604029999999999</v>
      </c>
      <c r="Y1516">
        <v>9.4812750000000001E-2</v>
      </c>
      <c r="Z1516">
        <v>3.8126330000000001E-4</v>
      </c>
      <c r="AA1516">
        <v>0.99549509999999997</v>
      </c>
      <c r="AB1516">
        <v>21</v>
      </c>
      <c r="AC1516">
        <v>123.1587</v>
      </c>
      <c r="AD1516">
        <v>1.397241</v>
      </c>
      <c r="AE1516">
        <v>-13.441899999999899</v>
      </c>
      <c r="AF1516">
        <v>11.7545874181275</v>
      </c>
      <c r="AG1516">
        <v>1.397241</v>
      </c>
      <c r="AH1516">
        <v>123.315351501506</v>
      </c>
      <c r="AI1516">
        <v>89.353759360257001</v>
      </c>
      <c r="AJ1516">
        <v>84.554939983514004</v>
      </c>
      <c r="AK1516">
        <v>123.882196153129</v>
      </c>
      <c r="AL1516">
        <v>87.466392195427801</v>
      </c>
      <c r="AM1516">
        <v>94.428192603697099</v>
      </c>
      <c r="AN1516">
        <v>1.00000003641268</v>
      </c>
    </row>
    <row r="1517" spans="1:40" x14ac:dyDescent="0.3">
      <c r="A1517" t="str">
        <f>"20200111145939922"</f>
        <v>20200111145939922</v>
      </c>
      <c r="B1517" t="str">
        <f>"1578725979917718"</f>
        <v>1578725979917718</v>
      </c>
      <c r="C1517" t="s">
        <v>40</v>
      </c>
      <c r="D1517">
        <v>3.862984</v>
      </c>
      <c r="E1517">
        <v>0.56422099999999997</v>
      </c>
      <c r="F1517" t="s">
        <v>44</v>
      </c>
      <c r="G1517">
        <v>-169.2955</v>
      </c>
      <c r="H1517">
        <v>2.527749</v>
      </c>
      <c r="I1517">
        <v>353.99979999999999</v>
      </c>
      <c r="J1517">
        <v>-292.34820000000002</v>
      </c>
      <c r="K1517">
        <v>1.0543800000000001</v>
      </c>
      <c r="L1517">
        <v>367.34550000000002</v>
      </c>
      <c r="M1517">
        <v>0.999861</v>
      </c>
      <c r="N1517">
        <v>0</v>
      </c>
      <c r="O1517">
        <v>-1.3582800000000001E-2</v>
      </c>
      <c r="P1517">
        <v>0.99737019999999998</v>
      </c>
      <c r="Q1517">
        <v>3.4727889999999997E-2</v>
      </c>
      <c r="R1517">
        <v>6.3613589999999998E-2</v>
      </c>
      <c r="S1517">
        <v>3.027466</v>
      </c>
      <c r="T1517">
        <v>3.6219950000000001E-2</v>
      </c>
      <c r="U1517">
        <v>-0.32809450000000001</v>
      </c>
      <c r="V1517">
        <v>-7.716547E-2</v>
      </c>
      <c r="W1517">
        <v>4.4351149999999999E-2</v>
      </c>
      <c r="X1517">
        <v>0.99603129999999995</v>
      </c>
      <c r="Y1517">
        <v>9.4221819999999998E-2</v>
      </c>
      <c r="Z1517">
        <v>3.9996390000000001E-4</v>
      </c>
      <c r="AA1517">
        <v>0.99555119999999997</v>
      </c>
      <c r="AB1517">
        <v>21</v>
      </c>
      <c r="AC1517">
        <v>123.0527</v>
      </c>
      <c r="AD1517">
        <v>1.4733689999999999</v>
      </c>
      <c r="AE1517">
        <v>-13.345700000000001</v>
      </c>
      <c r="AF1517">
        <v>11.671336591297401</v>
      </c>
      <c r="AG1517">
        <v>1.4733689999999999</v>
      </c>
      <c r="AH1517">
        <v>123.20516985157499</v>
      </c>
      <c r="AI1517">
        <v>89.317905204442297</v>
      </c>
      <c r="AJ1517">
        <v>84.588468292366699</v>
      </c>
      <c r="AK1517">
        <v>123.765523439256</v>
      </c>
      <c r="AL1517">
        <v>87.4580323250063</v>
      </c>
      <c r="AM1517">
        <v>94.430023366344301</v>
      </c>
      <c r="AN1517">
        <v>0.99999994242316503</v>
      </c>
    </row>
    <row r="1518" spans="1:40" x14ac:dyDescent="0.3">
      <c r="A1518" t="str">
        <f>"20200111145939933"</f>
        <v>20200111145939933</v>
      </c>
      <c r="B1518" t="str">
        <f>"1578725979927478"</f>
        <v>1578725979927478</v>
      </c>
      <c r="C1518" t="s">
        <v>40</v>
      </c>
      <c r="D1518">
        <v>3.9798469999999999</v>
      </c>
      <c r="E1518">
        <v>0.5642665</v>
      </c>
      <c r="F1518" t="s">
        <v>44</v>
      </c>
      <c r="G1518">
        <v>-169.2955</v>
      </c>
      <c r="H1518">
        <v>2.8552970000000002</v>
      </c>
      <c r="I1518">
        <v>354.33940000000001</v>
      </c>
      <c r="J1518">
        <v>-292.24310000000003</v>
      </c>
      <c r="K1518">
        <v>1.0543709999999999</v>
      </c>
      <c r="L1518">
        <v>367.34410000000003</v>
      </c>
      <c r="M1518">
        <v>0.99986330000000001</v>
      </c>
      <c r="N1518">
        <v>0</v>
      </c>
      <c r="O1518">
        <v>-1.348916E-2</v>
      </c>
      <c r="P1518">
        <v>0.99734869999999998</v>
      </c>
      <c r="Q1518">
        <v>3.490567E-2</v>
      </c>
      <c r="R1518">
        <v>6.3857029999999995E-2</v>
      </c>
      <c r="S1518">
        <v>3.026764</v>
      </c>
      <c r="T1518">
        <v>4.429984E-2</v>
      </c>
      <c r="U1518">
        <v>-0.31991579999999997</v>
      </c>
      <c r="V1518">
        <v>-7.7315259999999997E-2</v>
      </c>
      <c r="W1518">
        <v>4.4437860000000003E-2</v>
      </c>
      <c r="X1518">
        <v>0.99601589999999995</v>
      </c>
      <c r="Y1518">
        <v>9.167728E-2</v>
      </c>
      <c r="Z1518">
        <v>4.7215879999999998E-4</v>
      </c>
      <c r="AA1518">
        <v>0.99578860000000002</v>
      </c>
      <c r="AB1518">
        <v>21</v>
      </c>
      <c r="AC1518">
        <v>122.94759999999999</v>
      </c>
      <c r="AD1518">
        <v>1.800926</v>
      </c>
      <c r="AE1518">
        <v>-13.0047</v>
      </c>
      <c r="AF1518">
        <v>11.3425742708658</v>
      </c>
      <c r="AG1518">
        <v>1.800926</v>
      </c>
      <c r="AH1518">
        <v>123.08572610926601</v>
      </c>
      <c r="AI1518">
        <v>89.165274153741393</v>
      </c>
      <c r="AJ1518">
        <v>84.734959266120001</v>
      </c>
      <c r="AK1518">
        <v>123.620359558581</v>
      </c>
      <c r="AL1518">
        <v>87.453059509876795</v>
      </c>
      <c r="AM1518">
        <v>94.438656743413702</v>
      </c>
      <c r="AN1518">
        <v>1.00000002294152</v>
      </c>
    </row>
    <row r="1519" spans="1:40" x14ac:dyDescent="0.3">
      <c r="A1519" t="str">
        <f>"20200111145939945"</f>
        <v>20200111145939945</v>
      </c>
      <c r="B1519" t="str">
        <f>"1578725979937238"</f>
        <v>1578725979937238</v>
      </c>
      <c r="C1519" t="s">
        <v>40</v>
      </c>
      <c r="D1519">
        <v>3.9985080000000002</v>
      </c>
      <c r="E1519">
        <v>0.56471499999999997</v>
      </c>
      <c r="F1519" t="s">
        <v>44</v>
      </c>
      <c r="G1519">
        <v>-169.2955</v>
      </c>
      <c r="H1519">
        <v>2.6580900000000001</v>
      </c>
      <c r="I1519">
        <v>354.36410000000001</v>
      </c>
      <c r="J1519">
        <v>-292.13569999999999</v>
      </c>
      <c r="K1519">
        <v>1.0543610000000001</v>
      </c>
      <c r="L1519">
        <v>367.34280000000001</v>
      </c>
      <c r="M1519">
        <v>0.99986520000000001</v>
      </c>
      <c r="N1519">
        <v>0</v>
      </c>
      <c r="O1519">
        <v>-1.339337E-2</v>
      </c>
      <c r="P1519">
        <v>0.99732609999999999</v>
      </c>
      <c r="Q1519">
        <v>3.518661E-2</v>
      </c>
      <c r="R1519">
        <v>6.4052280000000003E-2</v>
      </c>
      <c r="S1519">
        <v>3.027069</v>
      </c>
      <c r="T1519">
        <v>3.9487000000000001E-2</v>
      </c>
      <c r="U1519">
        <v>-0.31958009999999998</v>
      </c>
      <c r="V1519">
        <v>-7.7414819999999995E-2</v>
      </c>
      <c r="W1519">
        <v>4.4628399999999999E-2</v>
      </c>
      <c r="X1519">
        <v>0.99599959999999998</v>
      </c>
      <c r="Y1519">
        <v>9.1654659999999999E-2</v>
      </c>
      <c r="Z1519">
        <v>4.2192560000000001E-4</v>
      </c>
      <c r="AA1519">
        <v>0.99579079999999998</v>
      </c>
      <c r="AB1519">
        <v>21</v>
      </c>
      <c r="AC1519">
        <v>122.840199999999</v>
      </c>
      <c r="AD1519">
        <v>1.603729</v>
      </c>
      <c r="AE1519">
        <v>-12.9787</v>
      </c>
      <c r="AF1519">
        <v>11.330307453623201</v>
      </c>
      <c r="AG1519">
        <v>1.603729</v>
      </c>
      <c r="AH1519">
        <v>122.98228705643299</v>
      </c>
      <c r="AI1519">
        <v>89.256037056676305</v>
      </c>
      <c r="AJ1519">
        <v>84.736222609297897</v>
      </c>
      <c r="AK1519">
        <v>123.51352453609999</v>
      </c>
      <c r="AL1519">
        <v>87.442131410114598</v>
      </c>
      <c r="AM1519">
        <v>94.444422024584199</v>
      </c>
      <c r="AN1519">
        <v>0.99999997582117495</v>
      </c>
    </row>
    <row r="1520" spans="1:40" x14ac:dyDescent="0.3">
      <c r="A1520" t="str">
        <f>"20200111145939956"</f>
        <v>20200111145939956</v>
      </c>
      <c r="B1520" t="str">
        <f>"1578725979946999"</f>
        <v>1578725979946999</v>
      </c>
      <c r="C1520" t="s">
        <v>40</v>
      </c>
      <c r="D1520">
        <v>3.7349399999999999</v>
      </c>
      <c r="E1520">
        <v>0.56511369999999905</v>
      </c>
      <c r="F1520" t="s">
        <v>44</v>
      </c>
      <c r="G1520">
        <v>-169.2955</v>
      </c>
      <c r="H1520">
        <v>2.6356350000000002</v>
      </c>
      <c r="I1520">
        <v>354.25049999999999</v>
      </c>
      <c r="J1520">
        <v>-292.01960000000003</v>
      </c>
      <c r="K1520">
        <v>1.054352</v>
      </c>
      <c r="L1520">
        <v>367.34140000000002</v>
      </c>
      <c r="M1520">
        <v>0.99986750000000002</v>
      </c>
      <c r="N1520">
        <v>0</v>
      </c>
      <c r="O1520">
        <v>-1.328995E-2</v>
      </c>
      <c r="P1520">
        <v>0.99732710000000002</v>
      </c>
      <c r="Q1520">
        <v>3.5417039999999997E-2</v>
      </c>
      <c r="R1520">
        <v>6.3908140000000002E-2</v>
      </c>
      <c r="S1520">
        <v>3.0274049999999999</v>
      </c>
      <c r="T1520">
        <v>3.8972739999999999E-2</v>
      </c>
      <c r="U1520">
        <v>-0.32266240000000002</v>
      </c>
      <c r="V1520">
        <v>-7.7167849999999996E-2</v>
      </c>
      <c r="W1520">
        <v>4.4765590000000001E-2</v>
      </c>
      <c r="X1520">
        <v>0.99601260000000003</v>
      </c>
      <c r="Y1520">
        <v>9.2748720000000007E-2</v>
      </c>
      <c r="Z1520">
        <v>4.2471229999999999E-4</v>
      </c>
      <c r="AA1520">
        <v>0.99568950000000001</v>
      </c>
      <c r="AB1520">
        <v>21</v>
      </c>
      <c r="AC1520">
        <v>122.72410000000001</v>
      </c>
      <c r="AD1520">
        <v>1.58128299999999</v>
      </c>
      <c r="AE1520">
        <v>-13.0909</v>
      </c>
      <c r="AF1520">
        <v>11.456793902341101</v>
      </c>
      <c r="AG1520">
        <v>1.58128299999999</v>
      </c>
      <c r="AH1520">
        <v>122.867076860895</v>
      </c>
      <c r="AI1520">
        <v>89.265836030328202</v>
      </c>
      <c r="AJ1520">
        <v>84.672833928984204</v>
      </c>
      <c r="AK1520">
        <v>123.410198763262</v>
      </c>
      <c r="AL1520">
        <v>87.4342631162651</v>
      </c>
      <c r="AM1520">
        <v>94.4302423013078</v>
      </c>
      <c r="AN1520">
        <v>0.999999967240214</v>
      </c>
    </row>
    <row r="1521" spans="1:40" x14ac:dyDescent="0.3">
      <c r="A1521" t="str">
        <f>"20200111145939970"</f>
        <v>20200111145939970</v>
      </c>
      <c r="B1521" t="str">
        <f>"1578725979967494"</f>
        <v>1578725979967494</v>
      </c>
      <c r="C1521" t="s">
        <v>40</v>
      </c>
      <c r="D1521">
        <v>3.9986540000000002</v>
      </c>
      <c r="E1521">
        <v>0.56531609999999999</v>
      </c>
      <c r="F1521" t="s">
        <v>44</v>
      </c>
      <c r="G1521">
        <v>-169.2955</v>
      </c>
      <c r="H1521">
        <v>2.905643</v>
      </c>
      <c r="I1521">
        <v>354.12</v>
      </c>
      <c r="J1521">
        <v>-291.8972</v>
      </c>
      <c r="K1521">
        <v>1.054346</v>
      </c>
      <c r="L1521">
        <v>367.33980000000003</v>
      </c>
      <c r="M1521">
        <v>0.99986989999999998</v>
      </c>
      <c r="N1521">
        <v>0</v>
      </c>
      <c r="O1521">
        <v>-1.3181170000000001E-2</v>
      </c>
      <c r="P1521">
        <v>0.99731020000000004</v>
      </c>
      <c r="Q1521">
        <v>3.5546559999999998E-2</v>
      </c>
      <c r="R1521">
        <v>6.4103090000000001E-2</v>
      </c>
      <c r="S1521">
        <v>3.0273129999999999</v>
      </c>
      <c r="T1521">
        <v>4.5669080000000001E-2</v>
      </c>
      <c r="U1521">
        <v>-0.32614140000000003</v>
      </c>
      <c r="V1521">
        <v>-7.7254169999999997E-2</v>
      </c>
      <c r="W1521">
        <v>4.4802269999999998E-2</v>
      </c>
      <c r="X1521">
        <v>0.99600429999999995</v>
      </c>
      <c r="Y1521">
        <v>9.3988840000000004E-2</v>
      </c>
      <c r="Z1521">
        <v>5.0862659999999997E-4</v>
      </c>
      <c r="AA1521">
        <v>0.99557309999999999</v>
      </c>
      <c r="AB1521">
        <v>21</v>
      </c>
      <c r="AC1521">
        <v>122.60169999999999</v>
      </c>
      <c r="AD1521">
        <v>1.851297</v>
      </c>
      <c r="AE1521">
        <v>-13.219799999999999</v>
      </c>
      <c r="AF1521">
        <v>11.599933191294699</v>
      </c>
      <c r="AG1521">
        <v>1.851297</v>
      </c>
      <c r="AH1521">
        <v>122.737643860746</v>
      </c>
      <c r="AI1521">
        <v>89.139685328338103</v>
      </c>
      <c r="AJ1521">
        <v>84.601013312777994</v>
      </c>
      <c r="AK1521">
        <v>123.298479192211</v>
      </c>
      <c r="AL1521">
        <v>87.432159500809206</v>
      </c>
      <c r="AM1521">
        <v>94.435215023204407</v>
      </c>
      <c r="AN1521">
        <v>1.0000000078990099</v>
      </c>
    </row>
    <row r="1522" spans="1:40" x14ac:dyDescent="0.3">
      <c r="A1522" t="str">
        <f>"20200111145939983"</f>
        <v>20200111145939983</v>
      </c>
      <c r="B1522" t="str">
        <f>"1578725979977254"</f>
        <v>1578725979977254</v>
      </c>
      <c r="C1522" t="s">
        <v>40</v>
      </c>
      <c r="D1522">
        <v>3.9357730000000002</v>
      </c>
      <c r="E1522">
        <v>0.56509580000000004</v>
      </c>
      <c r="F1522" t="s">
        <v>44</v>
      </c>
      <c r="G1522">
        <v>-169.2955</v>
      </c>
      <c r="H1522">
        <v>2.8475410000000001</v>
      </c>
      <c r="I1522">
        <v>354.08940000000001</v>
      </c>
      <c r="J1522">
        <v>-291.77390000000003</v>
      </c>
      <c r="K1522">
        <v>1.054341</v>
      </c>
      <c r="L1522">
        <v>367.3383</v>
      </c>
      <c r="M1522">
        <v>0.99987199999999998</v>
      </c>
      <c r="N1522">
        <v>0</v>
      </c>
      <c r="O1522">
        <v>-1.307109E-2</v>
      </c>
      <c r="P1522">
        <v>0.99730909999999995</v>
      </c>
      <c r="Q1522">
        <v>3.5721639999999999E-2</v>
      </c>
      <c r="R1522">
        <v>6.4020019999999997E-2</v>
      </c>
      <c r="S1522">
        <v>3.0275569999999998</v>
      </c>
      <c r="T1522">
        <v>4.4283749999999997E-2</v>
      </c>
      <c r="U1522">
        <v>-0.32720949999999999</v>
      </c>
      <c r="V1522">
        <v>-7.7061500000000005E-2</v>
      </c>
      <c r="W1522">
        <v>4.4888490000000003E-2</v>
      </c>
      <c r="X1522">
        <v>0.99601530000000005</v>
      </c>
      <c r="Y1522">
        <v>9.4437579999999993E-2</v>
      </c>
      <c r="Z1522">
        <v>4.9802769999999998E-4</v>
      </c>
      <c r="AA1522">
        <v>0.99553069999999999</v>
      </c>
      <c r="AB1522">
        <v>21</v>
      </c>
      <c r="AC1522">
        <v>122.47839999999999</v>
      </c>
      <c r="AD1522">
        <v>1.7931999999999999</v>
      </c>
      <c r="AE1522">
        <v>-13.2488999999999</v>
      </c>
      <c r="AF1522">
        <v>11.644306534576099</v>
      </c>
      <c r="AG1522">
        <v>1.7931999999999999</v>
      </c>
      <c r="AH1522">
        <v>122.615141210071</v>
      </c>
      <c r="AI1522">
        <v>89.165882963409004</v>
      </c>
      <c r="AJ1522">
        <v>84.575100989329897</v>
      </c>
      <c r="AK1522">
        <v>123.17986156379899</v>
      </c>
      <c r="AL1522">
        <v>87.427214372215303</v>
      </c>
      <c r="AM1522">
        <v>94.424149009548003</v>
      </c>
      <c r="AN1522">
        <v>0.99999996457540896</v>
      </c>
    </row>
    <row r="1523" spans="1:40" x14ac:dyDescent="0.3">
      <c r="A1523" t="str">
        <f>"20200111145939995"</f>
        <v>20200111145939995</v>
      </c>
      <c r="B1523" t="str">
        <f>"1578725979987014"</f>
        <v>1578725979987014</v>
      </c>
      <c r="C1523" t="s">
        <v>40</v>
      </c>
      <c r="D1523">
        <v>3.9184679999999998</v>
      </c>
      <c r="E1523">
        <v>0.56496040000000003</v>
      </c>
      <c r="F1523" t="s">
        <v>44</v>
      </c>
      <c r="G1523">
        <v>-169.2955</v>
      </c>
      <c r="H1523">
        <v>3.022259</v>
      </c>
      <c r="I1523">
        <v>354.1592</v>
      </c>
      <c r="J1523">
        <v>-291.64580000000001</v>
      </c>
      <c r="K1523">
        <v>1.054335</v>
      </c>
      <c r="L1523">
        <v>367.33679999999998</v>
      </c>
      <c r="M1523">
        <v>0.99987440000000005</v>
      </c>
      <c r="N1523">
        <v>0</v>
      </c>
      <c r="O1523">
        <v>-1.295758E-2</v>
      </c>
      <c r="P1523">
        <v>0.99731559999999997</v>
      </c>
      <c r="Q1523">
        <v>3.5697310000000003E-2</v>
      </c>
      <c r="R1523">
        <v>6.3931639999999998E-2</v>
      </c>
      <c r="S1523">
        <v>3.0272519999999998</v>
      </c>
      <c r="T1523">
        <v>4.8642400000000002E-2</v>
      </c>
      <c r="U1523">
        <v>-0.3257446</v>
      </c>
      <c r="V1523">
        <v>-7.6860040000000004E-2</v>
      </c>
      <c r="W1523">
        <v>4.4779409999999999E-2</v>
      </c>
      <c r="X1523">
        <v>0.99603580000000003</v>
      </c>
      <c r="Y1523">
        <v>9.4083379999999994E-2</v>
      </c>
      <c r="Z1523">
        <v>5.4608979999999998E-4</v>
      </c>
      <c r="AA1523">
        <v>0.99556420000000001</v>
      </c>
      <c r="AB1523">
        <v>21</v>
      </c>
      <c r="AC1523">
        <v>122.3503</v>
      </c>
      <c r="AD1523">
        <v>1.967924</v>
      </c>
      <c r="AE1523">
        <v>-13.177599999999901</v>
      </c>
      <c r="AF1523">
        <v>11.588100251928401</v>
      </c>
      <c r="AG1523">
        <v>1.967924</v>
      </c>
      <c r="AH1523">
        <v>122.479461563456</v>
      </c>
      <c r="AI1523">
        <v>89.083578025035806</v>
      </c>
      <c r="AJ1523">
        <v>84.595186181730696</v>
      </c>
      <c r="AK1523">
        <v>123.04216877637</v>
      </c>
      <c r="AL1523">
        <v>87.433470547292103</v>
      </c>
      <c r="AM1523">
        <v>94.412538343743407</v>
      </c>
      <c r="AN1523">
        <v>0.99999998809519397</v>
      </c>
    </row>
    <row r="1524" spans="1:40" x14ac:dyDescent="0.3">
      <c r="A1524" t="str">
        <f>"20200111145940012"</f>
        <v>20200111145940012</v>
      </c>
      <c r="B1524" t="str">
        <f>"1578725980007510"</f>
        <v>1578725980007510</v>
      </c>
      <c r="C1524" t="s">
        <v>40</v>
      </c>
      <c r="D1524">
        <v>3.9895200000000002</v>
      </c>
      <c r="E1524">
        <v>0.56484309999999904</v>
      </c>
      <c r="F1524" t="s">
        <v>44</v>
      </c>
      <c r="G1524">
        <v>-169.2955</v>
      </c>
      <c r="H1524">
        <v>2.9859909999999998</v>
      </c>
      <c r="I1524">
        <v>354.20319999999998</v>
      </c>
      <c r="J1524">
        <v>-291.50040000000001</v>
      </c>
      <c r="K1524">
        <v>1.05433</v>
      </c>
      <c r="L1524">
        <v>367.33510000000001</v>
      </c>
      <c r="M1524">
        <v>0.99987689999999996</v>
      </c>
      <c r="N1524">
        <v>0</v>
      </c>
      <c r="O1524">
        <v>-1.2828569999999999E-2</v>
      </c>
      <c r="P1524">
        <v>0.99732690000000002</v>
      </c>
      <c r="Q1524">
        <v>3.566805E-2</v>
      </c>
      <c r="R1524">
        <v>6.3772079999999995E-2</v>
      </c>
      <c r="S1524">
        <v>3.0271910000000002</v>
      </c>
      <c r="T1524">
        <v>4.779518E-2</v>
      </c>
      <c r="U1524">
        <v>-0.3249512</v>
      </c>
      <c r="V1524">
        <v>-7.6571669999999994E-2</v>
      </c>
      <c r="W1524">
        <v>4.4663649999999999E-2</v>
      </c>
      <c r="X1524">
        <v>0.99606320000000004</v>
      </c>
      <c r="Y1524">
        <v>9.3956380000000006E-2</v>
      </c>
      <c r="Z1524">
        <v>5.3762839999999998E-4</v>
      </c>
      <c r="AA1524">
        <v>0.99557609999999996</v>
      </c>
      <c r="AB1524">
        <v>21</v>
      </c>
      <c r="AC1524">
        <v>122.20489999999999</v>
      </c>
      <c r="AD1524">
        <v>1.9316610000000001</v>
      </c>
      <c r="AE1524">
        <v>-13.1319</v>
      </c>
      <c r="AF1524">
        <v>11.5601858283695</v>
      </c>
      <c r="AG1524">
        <v>1.9316610000000001</v>
      </c>
      <c r="AH1524">
        <v>122.333096996677</v>
      </c>
      <c r="AI1524">
        <v>89.099376389885293</v>
      </c>
      <c r="AJ1524">
        <v>84.601715965783995</v>
      </c>
      <c r="AK1524">
        <v>122.893270081823</v>
      </c>
      <c r="AL1524">
        <v>87.440109729511406</v>
      </c>
      <c r="AM1524">
        <v>94.395927572319295</v>
      </c>
      <c r="AN1524">
        <v>0.99999998033607496</v>
      </c>
    </row>
    <row r="1525" spans="1:40" x14ac:dyDescent="0.3">
      <c r="A1525" t="str">
        <f>"20200111145940025"</f>
        <v>20200111145940025</v>
      </c>
      <c r="B1525" t="str">
        <f>"1578725980017270"</f>
        <v>1578725980017270</v>
      </c>
      <c r="C1525" t="s">
        <v>40</v>
      </c>
      <c r="D1525">
        <v>3.9471850000000002</v>
      </c>
      <c r="E1525">
        <v>0.56468189999999996</v>
      </c>
      <c r="F1525" t="s">
        <v>44</v>
      </c>
      <c r="G1525">
        <v>-169.2955</v>
      </c>
      <c r="H1525">
        <v>2.806209</v>
      </c>
      <c r="I1525">
        <v>354.24059999999997</v>
      </c>
      <c r="J1525">
        <v>-291.37560000000002</v>
      </c>
      <c r="K1525">
        <v>1.054327</v>
      </c>
      <c r="L1525">
        <v>367.33359999999999</v>
      </c>
      <c r="M1525">
        <v>0.99987890000000001</v>
      </c>
      <c r="N1525">
        <v>0</v>
      </c>
      <c r="O1525">
        <v>-1.271741E-2</v>
      </c>
      <c r="P1525">
        <v>0.99733550000000004</v>
      </c>
      <c r="Q1525">
        <v>3.572931E-2</v>
      </c>
      <c r="R1525">
        <v>6.3604270000000004E-2</v>
      </c>
      <c r="S1525">
        <v>3.0272220000000001</v>
      </c>
      <c r="T1525">
        <v>4.3399100000000003E-2</v>
      </c>
      <c r="U1525">
        <v>-0.32437129999999997</v>
      </c>
      <c r="V1525">
        <v>-7.6293830000000007E-2</v>
      </c>
      <c r="W1525">
        <v>4.465794E-2</v>
      </c>
      <c r="X1525">
        <v>0.99608479999999999</v>
      </c>
      <c r="Y1525">
        <v>9.3879240000000003E-2</v>
      </c>
      <c r="Z1525">
        <v>4.8922120000000004E-4</v>
      </c>
      <c r="AA1525">
        <v>0.99558349999999995</v>
      </c>
      <c r="AB1525">
        <v>21</v>
      </c>
      <c r="AC1525">
        <v>122.0801</v>
      </c>
      <c r="AD1525">
        <v>1.7518819999999999</v>
      </c>
      <c r="AE1525">
        <v>-13.093</v>
      </c>
      <c r="AF1525">
        <v>11.536987151786301</v>
      </c>
      <c r="AG1525">
        <v>1.7518819999999999</v>
      </c>
      <c r="AH1525">
        <v>122.211861475761</v>
      </c>
      <c r="AI1525">
        <v>89.182367636226601</v>
      </c>
      <c r="AJ1525">
        <v>84.607172313514198</v>
      </c>
      <c r="AK1525">
        <v>122.767708492311</v>
      </c>
      <c r="AL1525">
        <v>87.440437276933295</v>
      </c>
      <c r="AM1525">
        <v>94.379944538853493</v>
      </c>
      <c r="AN1525">
        <v>1.00000000444607</v>
      </c>
    </row>
    <row r="1526" spans="1:40" x14ac:dyDescent="0.3">
      <c r="A1526" t="str">
        <f>"20200111145940035"</f>
        <v>20200111145940035</v>
      </c>
      <c r="B1526" t="str">
        <f>"1578725980027029"</f>
        <v>1578725980027029</v>
      </c>
      <c r="C1526" t="s">
        <v>40</v>
      </c>
      <c r="D1526">
        <v>3.9787919999999999</v>
      </c>
      <c r="E1526">
        <v>0.56467519999999904</v>
      </c>
      <c r="F1526" t="s">
        <v>44</v>
      </c>
      <c r="G1526">
        <v>-169.2955</v>
      </c>
      <c r="H1526">
        <v>2.7516720000000001</v>
      </c>
      <c r="I1526">
        <v>354.27330000000001</v>
      </c>
      <c r="J1526">
        <v>-291.26960000000003</v>
      </c>
      <c r="K1526">
        <v>1.054327</v>
      </c>
      <c r="L1526">
        <v>367.33229999999998</v>
      </c>
      <c r="M1526">
        <v>0.9998804</v>
      </c>
      <c r="N1526">
        <v>0</v>
      </c>
      <c r="O1526">
        <v>-1.262278E-2</v>
      </c>
      <c r="P1526">
        <v>0.99735560000000001</v>
      </c>
      <c r="Q1526">
        <v>3.5653490000000003E-2</v>
      </c>
      <c r="R1526">
        <v>6.3329930000000006E-2</v>
      </c>
      <c r="S1526">
        <v>3.0271910000000002</v>
      </c>
      <c r="T1526">
        <v>4.209077E-2</v>
      </c>
      <c r="U1526">
        <v>-0.32385249999999999</v>
      </c>
      <c r="V1526">
        <v>-7.5925190000000004E-2</v>
      </c>
      <c r="W1526">
        <v>4.4533129999999997E-2</v>
      </c>
      <c r="X1526">
        <v>0.99611850000000002</v>
      </c>
      <c r="Y1526">
        <v>9.3806329999999993E-2</v>
      </c>
      <c r="Z1526">
        <v>4.7528959999999998E-4</v>
      </c>
      <c r="AA1526">
        <v>0.99559030000000004</v>
      </c>
      <c r="AB1526">
        <v>21</v>
      </c>
      <c r="AC1526">
        <v>121.97410000000001</v>
      </c>
      <c r="AD1526">
        <v>1.6973450000000001</v>
      </c>
      <c r="AE1526">
        <v>-13.0589999999999</v>
      </c>
      <c r="AF1526">
        <v>11.5160410502082</v>
      </c>
      <c r="AG1526">
        <v>1.6973450000000001</v>
      </c>
      <c r="AH1526">
        <v>122.105851802891</v>
      </c>
      <c r="AI1526">
        <v>89.207123352287695</v>
      </c>
      <c r="AJ1526">
        <v>84.612259754989097</v>
      </c>
      <c r="AK1526">
        <v>122.65944409636199</v>
      </c>
      <c r="AL1526">
        <v>87.447595345852093</v>
      </c>
      <c r="AM1526">
        <v>94.358716184685093</v>
      </c>
      <c r="AN1526">
        <v>0.99999995009318998</v>
      </c>
    </row>
    <row r="1527" spans="1:40" x14ac:dyDescent="0.3">
      <c r="A1527" t="str">
        <f>"20200111145940046"</f>
        <v>20200111145940046</v>
      </c>
      <c r="B1527" t="str">
        <f>"1578725980036790"</f>
        <v>1578725980036790</v>
      </c>
      <c r="C1527" t="s">
        <v>40</v>
      </c>
      <c r="D1527">
        <v>4.0058569999999998</v>
      </c>
      <c r="E1527">
        <v>0.56450859999999903</v>
      </c>
      <c r="F1527" t="s">
        <v>44</v>
      </c>
      <c r="G1527">
        <v>-169.2955</v>
      </c>
      <c r="H1527">
        <v>2.6601330000000001</v>
      </c>
      <c r="I1527">
        <v>354.24759999999998</v>
      </c>
      <c r="J1527">
        <v>-291.16609999999997</v>
      </c>
      <c r="K1527">
        <v>1.0543229999999999</v>
      </c>
      <c r="L1527">
        <v>367.33120000000002</v>
      </c>
      <c r="M1527">
        <v>0.99988220000000005</v>
      </c>
      <c r="N1527">
        <v>0</v>
      </c>
      <c r="O1527">
        <v>-1.253057E-2</v>
      </c>
      <c r="P1527">
        <v>0.99734120000000004</v>
      </c>
      <c r="Q1527">
        <v>3.5868009999999999E-2</v>
      </c>
      <c r="R1527">
        <v>6.3438560000000005E-2</v>
      </c>
      <c r="S1527">
        <v>3.027161</v>
      </c>
      <c r="T1527">
        <v>3.9855120000000001E-2</v>
      </c>
      <c r="U1527">
        <v>-0.32473750000000001</v>
      </c>
      <c r="V1527">
        <v>-7.5942190000000007E-2</v>
      </c>
      <c r="W1527">
        <v>4.470557E-2</v>
      </c>
      <c r="X1527">
        <v>0.99610949999999998</v>
      </c>
      <c r="Y1527">
        <v>9.4187729999999997E-2</v>
      </c>
      <c r="Z1527">
        <v>4.5375809999999999E-4</v>
      </c>
      <c r="AA1527">
        <v>0.9955543</v>
      </c>
      <c r="AB1527">
        <v>21</v>
      </c>
      <c r="AC1527">
        <v>121.870599999999</v>
      </c>
      <c r="AD1527">
        <v>1.60581</v>
      </c>
      <c r="AE1527">
        <v>-13.083600000000001</v>
      </c>
      <c r="AF1527">
        <v>11.5534216291192</v>
      </c>
      <c r="AG1527">
        <v>1.60581</v>
      </c>
      <c r="AH1527">
        <v>122.004041973759</v>
      </c>
      <c r="AI1527">
        <v>89.249278035318497</v>
      </c>
      <c r="AJ1527">
        <v>84.5903910696982</v>
      </c>
      <c r="AK1527">
        <v>122.560378732407</v>
      </c>
      <c r="AL1527">
        <v>87.437705462652701</v>
      </c>
      <c r="AM1527">
        <v>94.359727597679395</v>
      </c>
      <c r="AN1527">
        <v>0.99999997010063502</v>
      </c>
    </row>
    <row r="1528" spans="1:40" x14ac:dyDescent="0.3">
      <c r="A1528" t="str">
        <f>"20200111145940059"</f>
        <v>20200111145940059</v>
      </c>
      <c r="B1528" t="str">
        <f>"1578725980047526"</f>
        <v>1578725980047526</v>
      </c>
      <c r="C1528" t="s">
        <v>40</v>
      </c>
      <c r="D1528">
        <v>3.8474159999999999</v>
      </c>
      <c r="E1528">
        <v>0.56403440000000005</v>
      </c>
      <c r="F1528" t="s">
        <v>44</v>
      </c>
      <c r="G1528">
        <v>-169.2955</v>
      </c>
      <c r="H1528">
        <v>2.7768109999999999</v>
      </c>
      <c r="I1528">
        <v>354.32339999999999</v>
      </c>
      <c r="J1528">
        <v>-291.04809999999998</v>
      </c>
      <c r="K1528">
        <v>1.0543229999999999</v>
      </c>
      <c r="L1528">
        <v>367.32979999999998</v>
      </c>
      <c r="M1528">
        <v>0.99988379999999999</v>
      </c>
      <c r="N1528">
        <v>0</v>
      </c>
      <c r="O1528">
        <v>-1.2425719999999999E-2</v>
      </c>
      <c r="P1528">
        <v>0.99733110000000003</v>
      </c>
      <c r="Q1528">
        <v>3.6074090000000003E-2</v>
      </c>
      <c r="R1528">
        <v>6.3479869999999994E-2</v>
      </c>
      <c r="S1528">
        <v>3.0270389999999998</v>
      </c>
      <c r="T1528">
        <v>4.2785530000000002E-2</v>
      </c>
      <c r="U1528">
        <v>-0.32308959999999998</v>
      </c>
      <c r="V1528">
        <v>-7.5878929999999997E-2</v>
      </c>
      <c r="W1528">
        <v>4.4868480000000002E-2</v>
      </c>
      <c r="X1528">
        <v>0.99610699999999996</v>
      </c>
      <c r="Y1528">
        <v>9.3759480000000006E-2</v>
      </c>
      <c r="Z1528">
        <v>4.8561090000000002E-4</v>
      </c>
      <c r="AA1528">
        <v>0.99559470000000005</v>
      </c>
      <c r="AB1528">
        <v>21</v>
      </c>
      <c r="AC1528">
        <v>121.75259999999901</v>
      </c>
      <c r="AD1528">
        <v>1.722488</v>
      </c>
      <c r="AE1528">
        <v>-13.0063999999999</v>
      </c>
      <c r="AF1528">
        <v>11.490199269004</v>
      </c>
      <c r="AG1528">
        <v>1.722488</v>
      </c>
      <c r="AH1528">
        <v>121.88070068558</v>
      </c>
      <c r="AI1528">
        <v>89.193890864267203</v>
      </c>
      <c r="AJ1528">
        <v>84.614406565158504</v>
      </c>
      <c r="AK1528">
        <v>122.433234228944</v>
      </c>
      <c r="AL1528">
        <v>87.4283620413172</v>
      </c>
      <c r="AM1528">
        <v>94.356120810821594</v>
      </c>
      <c r="AN1528">
        <v>0.99999997398222695</v>
      </c>
    </row>
    <row r="1529" spans="1:40" x14ac:dyDescent="0.3">
      <c r="A1529" t="str">
        <f>"20200111145940070"</f>
        <v>20200111145940070</v>
      </c>
      <c r="B1529" t="str">
        <f>"1578725980067046"</f>
        <v>1578725980067046</v>
      </c>
      <c r="C1529" t="s">
        <v>40</v>
      </c>
      <c r="D1529">
        <v>3.9837389999999999</v>
      </c>
      <c r="E1529">
        <v>0.56386849999999999</v>
      </c>
      <c r="F1529" t="s">
        <v>44</v>
      </c>
      <c r="G1529">
        <v>-169.2955</v>
      </c>
      <c r="H1529">
        <v>2.8213689999999998</v>
      </c>
      <c r="I1529">
        <v>354.4896</v>
      </c>
      <c r="J1529">
        <v>-290.93610000000001</v>
      </c>
      <c r="K1529">
        <v>1.054322</v>
      </c>
      <c r="L1529">
        <v>367.32850000000002</v>
      </c>
      <c r="M1529">
        <v>0.99988529999999998</v>
      </c>
      <c r="N1529">
        <v>0</v>
      </c>
      <c r="O1529">
        <v>-1.2325920000000001E-2</v>
      </c>
      <c r="P1529">
        <v>0.99731809999999999</v>
      </c>
      <c r="Q1529">
        <v>3.6083780000000003E-2</v>
      </c>
      <c r="R1529">
        <v>6.3674149999999999E-2</v>
      </c>
      <c r="S1529">
        <v>3.0268250000000001</v>
      </c>
      <c r="T1529">
        <v>4.393172E-2</v>
      </c>
      <c r="U1529">
        <v>-0.31921389999999999</v>
      </c>
      <c r="V1529">
        <v>-7.5973529999999997E-2</v>
      </c>
      <c r="W1529">
        <v>4.4845610000000001E-2</v>
      </c>
      <c r="X1529">
        <v>0.99610080000000001</v>
      </c>
      <c r="Y1529">
        <v>9.260525E-2</v>
      </c>
      <c r="Z1529">
        <v>4.9177809999999896E-4</v>
      </c>
      <c r="AA1529">
        <v>0.9957028</v>
      </c>
      <c r="AB1529">
        <v>21</v>
      </c>
      <c r="AC1529">
        <v>121.64060000000001</v>
      </c>
      <c r="AD1529">
        <v>1.76704699999999</v>
      </c>
      <c r="AE1529">
        <v>-12.838900000000001</v>
      </c>
      <c r="AF1529">
        <v>11.336168328775701</v>
      </c>
      <c r="AG1529">
        <v>1.76704699999999</v>
      </c>
      <c r="AH1529">
        <v>121.764203497743</v>
      </c>
      <c r="AI1529">
        <v>89.172159123216701</v>
      </c>
      <c r="AJ1529">
        <v>84.681131827867006</v>
      </c>
      <c r="AK1529">
        <v>122.303525791035</v>
      </c>
      <c r="AL1529">
        <v>87.429673667004494</v>
      </c>
      <c r="AM1529">
        <v>94.361557785992701</v>
      </c>
      <c r="AN1529">
        <v>0.99999995487878501</v>
      </c>
    </row>
    <row r="1530" spans="1:40" x14ac:dyDescent="0.3">
      <c r="A1530" t="str">
        <f>"20200111145940082"</f>
        <v>20200111145940082</v>
      </c>
      <c r="B1530" t="str">
        <f>"1578725980076807"</f>
        <v>1578725980076807</v>
      </c>
      <c r="C1530" t="s">
        <v>40</v>
      </c>
      <c r="D1530">
        <v>3.9612820000000002</v>
      </c>
      <c r="E1530">
        <v>0.56373169999999995</v>
      </c>
      <c r="F1530" t="s">
        <v>44</v>
      </c>
      <c r="G1530">
        <v>-169.2955</v>
      </c>
      <c r="H1530">
        <v>2.7660450000000001</v>
      </c>
      <c r="I1530">
        <v>354.58210000000003</v>
      </c>
      <c r="J1530">
        <v>-290.82510000000002</v>
      </c>
      <c r="K1530">
        <v>1.0543199999999999</v>
      </c>
      <c r="L1530">
        <v>367.32729999999998</v>
      </c>
      <c r="M1530">
        <v>0.99988690000000002</v>
      </c>
      <c r="N1530">
        <v>0</v>
      </c>
      <c r="O1530">
        <v>-1.2227210000000001E-2</v>
      </c>
      <c r="P1530">
        <v>0.99729679999999998</v>
      </c>
      <c r="Q1530">
        <v>3.6289410000000001E-2</v>
      </c>
      <c r="R1530">
        <v>6.3895259999999995E-2</v>
      </c>
      <c r="S1530">
        <v>3.026764</v>
      </c>
      <c r="T1530">
        <v>4.2594670000000001E-2</v>
      </c>
      <c r="U1530">
        <v>-0.31716919999999998</v>
      </c>
      <c r="V1530">
        <v>-7.6095949999999996E-2</v>
      </c>
      <c r="W1530">
        <v>4.5021390000000001E-2</v>
      </c>
      <c r="X1530">
        <v>0.99608359999999996</v>
      </c>
      <c r="Y1530">
        <v>9.204089E-2</v>
      </c>
      <c r="Z1530">
        <v>4.7426359999999998E-4</v>
      </c>
      <c r="AA1530">
        <v>0.9957551</v>
      </c>
      <c r="AB1530">
        <v>21</v>
      </c>
      <c r="AC1530">
        <v>121.5296</v>
      </c>
      <c r="AD1530">
        <v>1.7117249999999999</v>
      </c>
      <c r="AE1530">
        <v>-12.745199999999899</v>
      </c>
      <c r="AF1530">
        <v>11.256013533886501</v>
      </c>
      <c r="AG1530">
        <v>1.7117249999999999</v>
      </c>
      <c r="AH1530">
        <v>121.652487347928</v>
      </c>
      <c r="AI1530">
        <v>89.197294717508399</v>
      </c>
      <c r="AJ1530">
        <v>84.713703965078295</v>
      </c>
      <c r="AK1530">
        <v>122.184105026343</v>
      </c>
      <c r="AL1530">
        <v>87.419592222319096</v>
      </c>
      <c r="AM1530">
        <v>94.368633743391399</v>
      </c>
      <c r="AN1530">
        <v>1.0000000286764399</v>
      </c>
    </row>
    <row r="1531" spans="1:40" x14ac:dyDescent="0.3">
      <c r="A1531" t="str">
        <f>"20200111145940092"</f>
        <v>20200111145940092</v>
      </c>
      <c r="B1531" t="str">
        <f>"1578725980087542"</f>
        <v>1578725980087542</v>
      </c>
      <c r="C1531" t="s">
        <v>40</v>
      </c>
      <c r="D1531">
        <v>4.0104340000000001</v>
      </c>
      <c r="E1531">
        <v>0.5638147</v>
      </c>
      <c r="F1531" t="s">
        <v>44</v>
      </c>
      <c r="G1531">
        <v>-169.2955</v>
      </c>
      <c r="H1531">
        <v>2.7714560000000001</v>
      </c>
      <c r="I1531">
        <v>354.65370000000001</v>
      </c>
      <c r="J1531">
        <v>-290.72340000000003</v>
      </c>
      <c r="K1531">
        <v>1.0543199999999999</v>
      </c>
      <c r="L1531">
        <v>367.3261</v>
      </c>
      <c r="M1531">
        <v>0.99988790000000005</v>
      </c>
      <c r="N1531">
        <v>0</v>
      </c>
      <c r="O1531">
        <v>-1.213677E-2</v>
      </c>
      <c r="P1531">
        <v>0.99729100000000004</v>
      </c>
      <c r="Q1531">
        <v>3.6174240000000003E-2</v>
      </c>
      <c r="R1531">
        <v>6.4050640000000006E-2</v>
      </c>
      <c r="S1531">
        <v>3.026764</v>
      </c>
      <c r="T1531">
        <v>4.2768359999999998E-2</v>
      </c>
      <c r="U1531">
        <v>-0.31564330000000002</v>
      </c>
      <c r="V1531">
        <v>-7.6161000000000006E-2</v>
      </c>
      <c r="W1531">
        <v>4.4888020000000001E-2</v>
      </c>
      <c r="X1531">
        <v>0.99608459999999999</v>
      </c>
      <c r="Y1531">
        <v>9.1634370000000007E-2</v>
      </c>
      <c r="Z1531">
        <v>4.7461950000000003E-4</v>
      </c>
      <c r="AA1531">
        <v>0.99579260000000003</v>
      </c>
      <c r="AB1531">
        <v>22</v>
      </c>
      <c r="AC1531">
        <v>121.42789999999999</v>
      </c>
      <c r="AD1531">
        <v>1.717136</v>
      </c>
      <c r="AE1531">
        <v>-12.6723999999999</v>
      </c>
      <c r="AF1531">
        <v>11.195452738677499</v>
      </c>
      <c r="AG1531">
        <v>1.717136</v>
      </c>
      <c r="AH1531">
        <v>121.548719020155</v>
      </c>
      <c r="AI1531">
        <v>89.1940393036665</v>
      </c>
      <c r="AJ1531">
        <v>84.737522341373705</v>
      </c>
      <c r="AK1531">
        <v>122.07529567241301</v>
      </c>
      <c r="AL1531">
        <v>87.427241371484101</v>
      </c>
      <c r="AM1531">
        <v>94.372349386114095</v>
      </c>
      <c r="AN1531">
        <v>0.99999998130884005</v>
      </c>
    </row>
    <row r="1532" spans="1:40" x14ac:dyDescent="0.3">
      <c r="A1532" t="str">
        <f>"20200111145940103"</f>
        <v>20200111145940103</v>
      </c>
      <c r="B1532" t="str">
        <f>"1578725980097302"</f>
        <v>1578725980097302</v>
      </c>
      <c r="C1532" t="s">
        <v>40</v>
      </c>
      <c r="D1532">
        <v>3.9928360000000001</v>
      </c>
      <c r="E1532">
        <v>0.56364019999999904</v>
      </c>
      <c r="F1532" t="s">
        <v>44</v>
      </c>
      <c r="G1532">
        <v>-169.2955</v>
      </c>
      <c r="H1532">
        <v>2.6875930000000001</v>
      </c>
      <c r="I1532">
        <v>354.66849999999999</v>
      </c>
      <c r="J1532">
        <v>-290.62790000000001</v>
      </c>
      <c r="K1532">
        <v>1.0543199999999999</v>
      </c>
      <c r="L1532">
        <v>367.32499999999999</v>
      </c>
      <c r="M1532">
        <v>0.99988909999999998</v>
      </c>
      <c r="N1532">
        <v>0</v>
      </c>
      <c r="O1532">
        <v>-1.205171E-2</v>
      </c>
      <c r="P1532">
        <v>0.99729559999999995</v>
      </c>
      <c r="Q1532">
        <v>3.5797059999999999E-2</v>
      </c>
      <c r="R1532">
        <v>6.4190609999999995E-2</v>
      </c>
      <c r="S1532">
        <v>3.0268860000000002</v>
      </c>
      <c r="T1532">
        <v>4.0715460000000002E-2</v>
      </c>
      <c r="U1532">
        <v>-0.3155212</v>
      </c>
      <c r="V1532">
        <v>-7.6216019999999995E-2</v>
      </c>
      <c r="W1532">
        <v>4.4494539999999999E-2</v>
      </c>
      <c r="X1532">
        <v>0.99609800000000004</v>
      </c>
      <c r="Y1532">
        <v>9.1675939999999997E-2</v>
      </c>
      <c r="Z1532">
        <v>4.5324200000000002E-4</v>
      </c>
      <c r="AA1532">
        <v>0.99578880000000003</v>
      </c>
      <c r="AB1532">
        <v>22</v>
      </c>
      <c r="AC1532">
        <v>121.33240000000001</v>
      </c>
      <c r="AD1532">
        <v>1.633273</v>
      </c>
      <c r="AE1532">
        <v>-12.6564999999999</v>
      </c>
      <c r="AF1532">
        <v>11.191255837895101</v>
      </c>
      <c r="AG1532">
        <v>1.633273</v>
      </c>
      <c r="AH1532">
        <v>121.45435499627</v>
      </c>
      <c r="AI1532">
        <v>89.232803755350403</v>
      </c>
      <c r="AJ1532">
        <v>84.735419841539894</v>
      </c>
      <c r="AK1532">
        <v>121.97980216200401</v>
      </c>
      <c r="AL1532">
        <v>87.449808547195005</v>
      </c>
      <c r="AM1532">
        <v>94.375437150913001</v>
      </c>
      <c r="AN1532">
        <v>0.99999993569922396</v>
      </c>
    </row>
    <row r="1533" spans="1:40" x14ac:dyDescent="0.3">
      <c r="A1533" t="str">
        <f>"20200111145940113"</f>
        <v>20200111145940113</v>
      </c>
      <c r="B1533" t="str">
        <f>"1578725980107061"</f>
        <v>1578725980107061</v>
      </c>
      <c r="C1533" t="s">
        <v>40</v>
      </c>
      <c r="D1533">
        <v>4.0853299999999999</v>
      </c>
      <c r="E1533">
        <v>0.56348959999999904</v>
      </c>
      <c r="F1533" t="s">
        <v>44</v>
      </c>
      <c r="G1533">
        <v>-169.2955</v>
      </c>
      <c r="H1533">
        <v>2.4426169999999998</v>
      </c>
      <c r="I1533">
        <v>354.7577</v>
      </c>
      <c r="J1533">
        <v>-290.52089999999998</v>
      </c>
      <c r="K1533">
        <v>1.054325</v>
      </c>
      <c r="L1533">
        <v>367.32389999999998</v>
      </c>
      <c r="M1533">
        <v>0.99989030000000001</v>
      </c>
      <c r="N1533">
        <v>0</v>
      </c>
      <c r="O1533">
        <v>-1.195689E-2</v>
      </c>
      <c r="P1533">
        <v>0.99728559999999999</v>
      </c>
      <c r="Q1533">
        <v>3.545616E-2</v>
      </c>
      <c r="R1533">
        <v>6.4531530000000004E-2</v>
      </c>
      <c r="S1533">
        <v>3.027069</v>
      </c>
      <c r="T1533">
        <v>3.4638170000000003E-2</v>
      </c>
      <c r="U1533">
        <v>-0.31353760000000003</v>
      </c>
      <c r="V1533">
        <v>-7.6462290000000002E-2</v>
      </c>
      <c r="W1533">
        <v>4.414394E-2</v>
      </c>
      <c r="X1533">
        <v>0.99609479999999995</v>
      </c>
      <c r="Y1533">
        <v>9.1120560000000003E-2</v>
      </c>
      <c r="Z1533">
        <v>3.8349709999999998E-4</v>
      </c>
      <c r="AA1533">
        <v>0.99583980000000005</v>
      </c>
      <c r="AB1533">
        <v>22</v>
      </c>
      <c r="AC1533">
        <v>121.225399999999</v>
      </c>
      <c r="AD1533">
        <v>1.3882920000000001</v>
      </c>
      <c r="AE1533">
        <v>-12.566199999999901</v>
      </c>
      <c r="AF1533">
        <v>11.1143252929766</v>
      </c>
      <c r="AG1533">
        <v>1.3882920000000001</v>
      </c>
      <c r="AH1533">
        <v>121.351245571127</v>
      </c>
      <c r="AI1533">
        <v>89.347280613060903</v>
      </c>
      <c r="AJ1533">
        <v>84.766990203945497</v>
      </c>
      <c r="AK1533">
        <v>121.867060287263</v>
      </c>
      <c r="AL1533">
        <v>87.469916394157707</v>
      </c>
      <c r="AM1533">
        <v>94.389533988632195</v>
      </c>
      <c r="AN1533">
        <v>1.0000000099088999</v>
      </c>
    </row>
    <row r="1534" spans="1:40" x14ac:dyDescent="0.3">
      <c r="A1534" t="str">
        <f>"20200111145940125"</f>
        <v>20200111145940125</v>
      </c>
      <c r="B1534" t="str">
        <f>"1578725980116822"</f>
        <v>1578725980116822</v>
      </c>
      <c r="C1534" t="s">
        <v>40</v>
      </c>
      <c r="D1534">
        <v>4.0543339999999999</v>
      </c>
      <c r="E1534">
        <v>0.56342320000000001</v>
      </c>
      <c r="F1534" t="s">
        <v>44</v>
      </c>
      <c r="G1534">
        <v>-169.2955</v>
      </c>
      <c r="H1534">
        <v>2.194016</v>
      </c>
      <c r="I1534">
        <v>354.85039999999998</v>
      </c>
      <c r="J1534">
        <v>-290.4033</v>
      </c>
      <c r="K1534">
        <v>1.054327</v>
      </c>
      <c r="L1534">
        <v>367.32260000000002</v>
      </c>
      <c r="M1534">
        <v>0.99989170000000005</v>
      </c>
      <c r="N1534">
        <v>0</v>
      </c>
      <c r="O1534">
        <v>-1.18522E-2</v>
      </c>
      <c r="P1534">
        <v>0.997282</v>
      </c>
      <c r="Q1534">
        <v>3.5171889999999997E-2</v>
      </c>
      <c r="R1534">
        <v>6.4742729999999998E-2</v>
      </c>
      <c r="S1534">
        <v>3.0272830000000002</v>
      </c>
      <c r="T1534">
        <v>2.8462890000000001E-2</v>
      </c>
      <c r="U1534">
        <v>-0.31149290000000002</v>
      </c>
      <c r="V1534">
        <v>-7.6569189999999995E-2</v>
      </c>
      <c r="W1534">
        <v>4.3853349999999999E-2</v>
      </c>
      <c r="X1534">
        <v>0.99609939999999997</v>
      </c>
      <c r="Y1534">
        <v>9.0553789999999995E-2</v>
      </c>
      <c r="Z1534">
        <v>3.1344350000000001E-4</v>
      </c>
      <c r="AA1534">
        <v>0.99589150000000004</v>
      </c>
      <c r="AB1534">
        <v>22</v>
      </c>
      <c r="AC1534">
        <v>121.1078</v>
      </c>
      <c r="AD1534">
        <v>1.139689</v>
      </c>
      <c r="AE1534">
        <v>-12.472200000000001</v>
      </c>
      <c r="AF1534">
        <v>11.0349084163744</v>
      </c>
      <c r="AG1534">
        <v>1.139689</v>
      </c>
      <c r="AH1534">
        <v>121.236497595854</v>
      </c>
      <c r="AI1534">
        <v>89.463621505975297</v>
      </c>
      <c r="AJ1534">
        <v>84.799286240704504</v>
      </c>
      <c r="AK1534">
        <v>121.74299340859</v>
      </c>
      <c r="AL1534">
        <v>87.486582053529901</v>
      </c>
      <c r="AM1534">
        <v>94.395626630777898</v>
      </c>
      <c r="AN1534">
        <v>0.99999998592191897</v>
      </c>
    </row>
    <row r="1535" spans="1:40" x14ac:dyDescent="0.3">
      <c r="A1535" t="str">
        <f>"20200111145940137"</f>
        <v>20200111145940137</v>
      </c>
      <c r="B1535" t="str">
        <f>"1578725980127558"</f>
        <v>1578725980127558</v>
      </c>
      <c r="C1535" t="s">
        <v>40</v>
      </c>
      <c r="D1535">
        <v>3.951473</v>
      </c>
      <c r="E1535">
        <v>0.56310389999999999</v>
      </c>
      <c r="F1535" t="s">
        <v>44</v>
      </c>
      <c r="G1535">
        <v>-169.2955</v>
      </c>
      <c r="H1535">
        <v>1.9997799999999999</v>
      </c>
      <c r="I1535">
        <v>354.91210000000001</v>
      </c>
      <c r="J1535">
        <v>-290.29079999999999</v>
      </c>
      <c r="K1535">
        <v>1.05433</v>
      </c>
      <c r="L1535">
        <v>367.32139999999998</v>
      </c>
      <c r="M1535">
        <v>0.99989280000000003</v>
      </c>
      <c r="N1535">
        <v>0</v>
      </c>
      <c r="O1535">
        <v>-1.1751940000000001E-2</v>
      </c>
      <c r="P1535">
        <v>0.99727949999999999</v>
      </c>
      <c r="Q1535">
        <v>3.4856100000000001E-2</v>
      </c>
      <c r="R1535">
        <v>6.4951620000000002E-2</v>
      </c>
      <c r="S1535">
        <v>3.0274960000000002</v>
      </c>
      <c r="T1535">
        <v>2.3636939999999999E-2</v>
      </c>
      <c r="U1535">
        <v>-0.31024170000000001</v>
      </c>
      <c r="V1535">
        <v>-7.6678070000000001E-2</v>
      </c>
      <c r="W1535">
        <v>4.3537979999999997E-2</v>
      </c>
      <c r="X1535">
        <v>0.99610489999999996</v>
      </c>
      <c r="Y1535">
        <v>9.0240269999999997E-2</v>
      </c>
      <c r="Z1535">
        <v>2.5984700000000001E-4</v>
      </c>
      <c r="AA1535">
        <v>0.99592000000000003</v>
      </c>
      <c r="AB1535">
        <v>22</v>
      </c>
      <c r="AC1535">
        <v>120.9953</v>
      </c>
      <c r="AD1535">
        <v>0.94545000000000001</v>
      </c>
      <c r="AE1535">
        <v>-12.409299999999901</v>
      </c>
      <c r="AF1535">
        <v>10.9857954661371</v>
      </c>
      <c r="AG1535">
        <v>0.94545000000000001</v>
      </c>
      <c r="AH1535">
        <v>121.125464115386</v>
      </c>
      <c r="AI1535">
        <v>89.554612487543196</v>
      </c>
      <c r="AJ1535">
        <v>84.817586450321897</v>
      </c>
      <c r="AK1535">
        <v>121.62631144162</v>
      </c>
      <c r="AL1535">
        <v>87.504668801086595</v>
      </c>
      <c r="AM1535">
        <v>94.401828374028497</v>
      </c>
      <c r="AN1535">
        <v>1.0000000269627001</v>
      </c>
    </row>
    <row r="1536" spans="1:40" x14ac:dyDescent="0.3">
      <c r="A1536" t="str">
        <f>"20200111145940150"</f>
        <v>20200111145940150</v>
      </c>
      <c r="B1536" t="str">
        <f>"1578725980147078"</f>
        <v>1578725980147078</v>
      </c>
      <c r="C1536" t="s">
        <v>40</v>
      </c>
      <c r="D1536">
        <v>4.0691629999999996</v>
      </c>
      <c r="E1536">
        <v>0.56259019999999904</v>
      </c>
      <c r="F1536" t="s">
        <v>44</v>
      </c>
      <c r="G1536">
        <v>-169.2955</v>
      </c>
      <c r="H1536">
        <v>1.8507910000000001</v>
      </c>
      <c r="I1536">
        <v>355.05279999999999</v>
      </c>
      <c r="J1536">
        <v>-290.17079999999999</v>
      </c>
      <c r="K1536">
        <v>1.054332</v>
      </c>
      <c r="L1536">
        <v>367.32010000000002</v>
      </c>
      <c r="M1536">
        <v>0.99989399999999995</v>
      </c>
      <c r="N1536">
        <v>0</v>
      </c>
      <c r="O1536">
        <v>-1.1645640000000001E-2</v>
      </c>
      <c r="P1536">
        <v>0.99726930000000003</v>
      </c>
      <c r="Q1536">
        <v>3.4803569999999999E-2</v>
      </c>
      <c r="R1536">
        <v>6.5136449999999999E-2</v>
      </c>
      <c r="S1536">
        <v>3.027466</v>
      </c>
      <c r="T1536">
        <v>1.9930719999999999E-2</v>
      </c>
      <c r="U1536">
        <v>-0.30697629999999998</v>
      </c>
      <c r="V1536">
        <v>-7.675659E-2</v>
      </c>
      <c r="W1536">
        <v>4.349368E-2</v>
      </c>
      <c r="X1536">
        <v>0.99610080000000001</v>
      </c>
      <c r="Y1536">
        <v>8.9284669999999997E-2</v>
      </c>
      <c r="Z1536">
        <v>2.16679E-4</v>
      </c>
      <c r="AA1536">
        <v>0.99600610000000001</v>
      </c>
      <c r="AB1536">
        <v>22</v>
      </c>
      <c r="AC1536">
        <v>120.875299999999</v>
      </c>
      <c r="AD1536">
        <v>0.79645900000000003</v>
      </c>
      <c r="AE1536">
        <v>-12.267300000000001</v>
      </c>
      <c r="AF1536">
        <v>10.8582774557711</v>
      </c>
      <c r="AG1536">
        <v>0.79645900000000003</v>
      </c>
      <c r="AH1536">
        <v>121.004768492699</v>
      </c>
      <c r="AI1536">
        <v>89.624391138514497</v>
      </c>
      <c r="AJ1536">
        <v>84.872337317468705</v>
      </c>
      <c r="AK1536">
        <v>121.493582275843</v>
      </c>
      <c r="AL1536">
        <v>87.507209440785999</v>
      </c>
      <c r="AM1536">
        <v>94.406336263733493</v>
      </c>
      <c r="AN1536">
        <v>1.0000000390345001</v>
      </c>
    </row>
    <row r="1537" spans="1:40" x14ac:dyDescent="0.3">
      <c r="A1537" t="str">
        <f>"20200111145940162"</f>
        <v>20200111145940162</v>
      </c>
      <c r="B1537" t="str">
        <f>"1578725980156837"</f>
        <v>1578725980156837</v>
      </c>
      <c r="C1537" t="s">
        <v>40</v>
      </c>
      <c r="D1537">
        <v>4.0605779999999996</v>
      </c>
      <c r="E1537">
        <v>0.56266680000000002</v>
      </c>
      <c r="F1537" t="s">
        <v>44</v>
      </c>
      <c r="G1537">
        <v>-169.2955</v>
      </c>
      <c r="H1537">
        <v>1.613194</v>
      </c>
      <c r="I1537">
        <v>355.24529999999999</v>
      </c>
      <c r="J1537">
        <v>-290.04840000000002</v>
      </c>
      <c r="K1537">
        <v>1.054338</v>
      </c>
      <c r="L1537">
        <v>367.31880000000001</v>
      </c>
      <c r="M1537">
        <v>0.99989530000000004</v>
      </c>
      <c r="N1537">
        <v>0</v>
      </c>
      <c r="O1537">
        <v>-1.153734E-2</v>
      </c>
      <c r="P1537">
        <v>0.99725790000000003</v>
      </c>
      <c r="Q1537">
        <v>3.4782319999999999E-2</v>
      </c>
      <c r="R1537">
        <v>6.5324049999999995E-2</v>
      </c>
      <c r="S1537">
        <v>3.0274960000000002</v>
      </c>
      <c r="T1537">
        <v>1.39997E-2</v>
      </c>
      <c r="U1537">
        <v>-0.30242920000000001</v>
      </c>
      <c r="V1537">
        <v>-7.6836409999999994E-2</v>
      </c>
      <c r="W1537">
        <v>4.3486539999999997E-2</v>
      </c>
      <c r="X1537">
        <v>0.99609490000000001</v>
      </c>
      <c r="Y1537">
        <v>8.7911379999999997E-2</v>
      </c>
      <c r="Z1537">
        <v>1.4954200000000001E-4</v>
      </c>
      <c r="AA1537">
        <v>0.99612829999999997</v>
      </c>
      <c r="AB1537">
        <v>22</v>
      </c>
      <c r="AC1537">
        <v>120.7529</v>
      </c>
      <c r="AD1537">
        <v>0.55885600000000002</v>
      </c>
      <c r="AE1537">
        <v>-12.073499999999999</v>
      </c>
      <c r="AF1537">
        <v>10.679249480323501</v>
      </c>
      <c r="AG1537">
        <v>0.55885600000000002</v>
      </c>
      <c r="AH1537">
        <v>120.881600216945</v>
      </c>
      <c r="AI1537">
        <v>89.736141510922394</v>
      </c>
      <c r="AJ1537">
        <v>84.951328557414499</v>
      </c>
      <c r="AK1537">
        <v>121.353697761959</v>
      </c>
      <c r="AL1537">
        <v>87.507618776409501</v>
      </c>
      <c r="AM1537">
        <v>94.410926409305404</v>
      </c>
      <c r="AN1537">
        <v>0.99999998143443403</v>
      </c>
    </row>
    <row r="1538" spans="1:40" x14ac:dyDescent="0.3">
      <c r="A1538" t="str">
        <f>"20200111145940173"</f>
        <v>20200111145940173</v>
      </c>
      <c r="B1538" t="str">
        <f>"1578725980167574"</f>
        <v>1578725980167574</v>
      </c>
      <c r="C1538" t="s">
        <v>40</v>
      </c>
      <c r="D1538">
        <v>4.1174299999999997</v>
      </c>
      <c r="E1538">
        <v>0.56257109999999899</v>
      </c>
      <c r="F1538" t="s">
        <v>44</v>
      </c>
      <c r="G1538">
        <v>-169.2955</v>
      </c>
      <c r="H1538">
        <v>1.5180119999999999</v>
      </c>
      <c r="I1538">
        <v>355.25319999999999</v>
      </c>
      <c r="J1538">
        <v>-289.93400000000003</v>
      </c>
      <c r="K1538">
        <v>1.054341</v>
      </c>
      <c r="L1538">
        <v>367.31760000000003</v>
      </c>
      <c r="M1538">
        <v>0.99989609999999995</v>
      </c>
      <c r="N1538">
        <v>0</v>
      </c>
      <c r="O1538">
        <v>-1.1435870000000001E-2</v>
      </c>
      <c r="P1538">
        <v>0.99724120000000005</v>
      </c>
      <c r="Q1538">
        <v>3.5057440000000002E-2</v>
      </c>
      <c r="R1538">
        <v>6.5431429999999999E-2</v>
      </c>
      <c r="S1538">
        <v>3.0276489999999998</v>
      </c>
      <c r="T1538">
        <v>1.162791E-2</v>
      </c>
      <c r="U1538">
        <v>-0.30252079999999998</v>
      </c>
      <c r="V1538">
        <v>-7.6842540000000001E-2</v>
      </c>
      <c r="W1538">
        <v>4.3785230000000001E-2</v>
      </c>
      <c r="X1538">
        <v>0.99608140000000001</v>
      </c>
      <c r="Y1538">
        <v>8.8037569999999996E-2</v>
      </c>
      <c r="Z1538">
        <v>1.2483120000000001E-4</v>
      </c>
      <c r="AA1538">
        <v>0.99611719999999904</v>
      </c>
      <c r="AB1538">
        <v>22</v>
      </c>
      <c r="AC1538">
        <v>120.63849999999999</v>
      </c>
      <c r="AD1538">
        <v>0.463671</v>
      </c>
      <c r="AE1538">
        <v>-12.064399999999999</v>
      </c>
      <c r="AF1538">
        <v>10.6837954383292</v>
      </c>
      <c r="AG1538">
        <v>0.463671</v>
      </c>
      <c r="AH1538">
        <v>120.766816520444</v>
      </c>
      <c r="AI1538">
        <v>89.780875978622504</v>
      </c>
      <c r="AJ1538">
        <v>84.944414834365901</v>
      </c>
      <c r="AK1538">
        <v>121.239360144496</v>
      </c>
      <c r="AL1538">
        <v>87.490488927580103</v>
      </c>
      <c r="AM1538">
        <v>94.411336474100693</v>
      </c>
      <c r="AN1538">
        <v>1.00000003887288</v>
      </c>
    </row>
    <row r="1539" spans="1:40" x14ac:dyDescent="0.3">
      <c r="A1539" t="str">
        <f>"20200111145940184"</f>
        <v>20200111145940184</v>
      </c>
      <c r="B1539" t="str">
        <f>"1578725980177335"</f>
        <v>1578725980177335</v>
      </c>
      <c r="C1539" t="s">
        <v>40</v>
      </c>
      <c r="D1539">
        <v>4.0003339999999996</v>
      </c>
      <c r="E1539">
        <v>0.56247709999999995</v>
      </c>
      <c r="F1539" t="s">
        <v>44</v>
      </c>
      <c r="G1539">
        <v>-169.2955</v>
      </c>
      <c r="H1539">
        <v>1.4622539999999999</v>
      </c>
      <c r="I1539">
        <v>355.30610000000001</v>
      </c>
      <c r="J1539">
        <v>-289.83109999999999</v>
      </c>
      <c r="K1539">
        <v>1.054352</v>
      </c>
      <c r="L1539">
        <v>367.31650000000002</v>
      </c>
      <c r="M1539">
        <v>0.99989689999999998</v>
      </c>
      <c r="N1539">
        <v>0</v>
      </c>
      <c r="O1539">
        <v>-1.134478E-2</v>
      </c>
      <c r="P1539">
        <v>0.99721689999999996</v>
      </c>
      <c r="Q1539">
        <v>3.5094750000000001E-2</v>
      </c>
      <c r="R1539">
        <v>6.5778169999999997E-2</v>
      </c>
      <c r="S1539">
        <v>3.027679</v>
      </c>
      <c r="T1539">
        <v>1.02396E-2</v>
      </c>
      <c r="U1539">
        <v>-0.30145260000000001</v>
      </c>
      <c r="V1539">
        <v>-7.7098319999999998E-2</v>
      </c>
      <c r="W1539">
        <v>4.3847629999999999E-2</v>
      </c>
      <c r="X1539">
        <v>0.99605880000000002</v>
      </c>
      <c r="Y1539">
        <v>8.7779499999999996E-2</v>
      </c>
      <c r="Z1539">
        <v>1.0979970000000001E-4</v>
      </c>
      <c r="AA1539">
        <v>0.99613989999999997</v>
      </c>
      <c r="AB1539">
        <v>22</v>
      </c>
      <c r="AC1539">
        <v>120.5356</v>
      </c>
      <c r="AD1539">
        <v>0.40790199999999999</v>
      </c>
      <c r="AE1539">
        <v>-12.010400000000001</v>
      </c>
      <c r="AF1539">
        <v>10.6420035018534</v>
      </c>
      <c r="AG1539">
        <v>0.40790199999999999</v>
      </c>
      <c r="AH1539">
        <v>120.662734821333</v>
      </c>
      <c r="AI1539">
        <v>89.8070605221059</v>
      </c>
      <c r="AJ1539">
        <v>84.959767411613498</v>
      </c>
      <c r="AK1539">
        <v>121.131805060183</v>
      </c>
      <c r="AL1539">
        <v>87.4869100089239</v>
      </c>
      <c r="AM1539">
        <v>94.426061934736396</v>
      </c>
      <c r="AN1539">
        <v>0.99999994933043801</v>
      </c>
    </row>
    <row r="1540" spans="1:40" x14ac:dyDescent="0.3">
      <c r="A1540" t="str">
        <f>"20200111145940194"</f>
        <v>20200111145940194</v>
      </c>
      <c r="B1540" t="str">
        <f>"1578725980187094"</f>
        <v>1578725980187094</v>
      </c>
      <c r="C1540" t="s">
        <v>40</v>
      </c>
      <c r="D1540">
        <v>3.998996</v>
      </c>
      <c r="E1540">
        <v>0.56235639999999998</v>
      </c>
      <c r="F1540" t="s">
        <v>44</v>
      </c>
      <c r="G1540">
        <v>-169.2955</v>
      </c>
      <c r="H1540">
        <v>1.504027</v>
      </c>
      <c r="I1540">
        <v>355.3836</v>
      </c>
      <c r="J1540">
        <v>-289.7217</v>
      </c>
      <c r="K1540">
        <v>1.05436</v>
      </c>
      <c r="L1540">
        <v>367.31540000000001</v>
      </c>
      <c r="M1540">
        <v>0.9998977</v>
      </c>
      <c r="N1540">
        <v>0</v>
      </c>
      <c r="O1540">
        <v>-1.124813E-2</v>
      </c>
      <c r="P1540">
        <v>0.99719000000000002</v>
      </c>
      <c r="Q1540">
        <v>3.5269120000000001E-2</v>
      </c>
      <c r="R1540">
        <v>6.6091839999999999E-2</v>
      </c>
      <c r="S1540">
        <v>3.0277400000000001</v>
      </c>
      <c r="T1540">
        <v>1.129758E-2</v>
      </c>
      <c r="U1540">
        <v>-0.2997437</v>
      </c>
      <c r="V1540">
        <v>-7.7315149999999999E-2</v>
      </c>
      <c r="W1540">
        <v>4.4055810000000001E-2</v>
      </c>
      <c r="X1540">
        <v>0.99603280000000005</v>
      </c>
      <c r="Y1540">
        <v>8.7316939999999996E-2</v>
      </c>
      <c r="Z1540">
        <v>1.2064420000000001E-4</v>
      </c>
      <c r="AA1540">
        <v>0.99618059999999997</v>
      </c>
      <c r="AB1540">
        <v>22</v>
      </c>
      <c r="AC1540">
        <v>120.42619999999999</v>
      </c>
      <c r="AD1540">
        <v>0.44966699999999998</v>
      </c>
      <c r="AE1540">
        <v>-11.931800000000001</v>
      </c>
      <c r="AF1540">
        <v>10.5762766518143</v>
      </c>
      <c r="AG1540">
        <v>0.44966699999999998</v>
      </c>
      <c r="AH1540">
        <v>120.551132211264</v>
      </c>
      <c r="AI1540">
        <v>89.787100143739195</v>
      </c>
      <c r="AJ1540">
        <v>84.986124087297299</v>
      </c>
      <c r="AK1540">
        <v>121.01502099179299</v>
      </c>
      <c r="AL1540">
        <v>87.474970618739505</v>
      </c>
      <c r="AM1540">
        <v>94.438575442548995</v>
      </c>
      <c r="AN1540">
        <v>0.99999994274505699</v>
      </c>
    </row>
    <row r="1541" spans="1:40" x14ac:dyDescent="0.3">
      <c r="A1541" t="str">
        <f>"20200111145940206"</f>
        <v>20200111145940206</v>
      </c>
      <c r="B1541" t="str">
        <f>"1578725980196854"</f>
        <v>1578725980196854</v>
      </c>
      <c r="C1541" t="s">
        <v>40</v>
      </c>
      <c r="D1541">
        <v>4.0991589999999896</v>
      </c>
      <c r="E1541">
        <v>0.56285490000000005</v>
      </c>
      <c r="F1541" t="s">
        <v>44</v>
      </c>
      <c r="G1541">
        <v>-169.2955</v>
      </c>
      <c r="H1541">
        <v>1.5082059999999999</v>
      </c>
      <c r="I1541">
        <v>355.47230000000002</v>
      </c>
      <c r="J1541">
        <v>-289.61700000000002</v>
      </c>
      <c r="K1541">
        <v>1.054368</v>
      </c>
      <c r="L1541">
        <v>367.3143</v>
      </c>
      <c r="M1541">
        <v>0.99989839999999997</v>
      </c>
      <c r="N1541">
        <v>0</v>
      </c>
      <c r="O1541">
        <v>-1.1155780000000001E-2</v>
      </c>
      <c r="P1541">
        <v>0.99714579999999997</v>
      </c>
      <c r="Q1541">
        <v>3.5673049999999998E-2</v>
      </c>
      <c r="R1541">
        <v>6.6540650000000007E-2</v>
      </c>
      <c r="S1541">
        <v>3.027771</v>
      </c>
      <c r="T1541">
        <v>1.141286E-2</v>
      </c>
      <c r="U1541">
        <v>-0.29776000000000002</v>
      </c>
      <c r="V1541">
        <v>-7.7671729999999994E-2</v>
      </c>
      <c r="W1541">
        <v>4.4495970000000003E-2</v>
      </c>
      <c r="X1541">
        <v>0.99598560000000003</v>
      </c>
      <c r="Y1541">
        <v>8.6761580000000005E-2</v>
      </c>
      <c r="Z1541">
        <v>1.211808E-4</v>
      </c>
      <c r="AA1541">
        <v>0.99622909999999998</v>
      </c>
      <c r="AB1541">
        <v>22</v>
      </c>
      <c r="AC1541">
        <v>120.3215</v>
      </c>
      <c r="AD1541">
        <v>0.45383800000000002</v>
      </c>
      <c r="AE1541">
        <v>-11.841999999999899</v>
      </c>
      <c r="AF1541">
        <v>10.498782077476999</v>
      </c>
      <c r="AG1541">
        <v>0.45383800000000002</v>
      </c>
      <c r="AH1541">
        <v>120.44442690297301</v>
      </c>
      <c r="AI1541">
        <v>89.784924435243596</v>
      </c>
      <c r="AJ1541">
        <v>85.018289193351507</v>
      </c>
      <c r="AK1541">
        <v>120.901986609096</v>
      </c>
      <c r="AL1541">
        <v>87.449726830296399</v>
      </c>
      <c r="AM1541">
        <v>94.459174390460802</v>
      </c>
      <c r="AN1541">
        <v>1.00000005219739</v>
      </c>
    </row>
    <row r="1542" spans="1:40" x14ac:dyDescent="0.3">
      <c r="A1542" t="str">
        <f>"20200111145940217"</f>
        <v>20200111145940217</v>
      </c>
      <c r="B1542" t="str">
        <f>"1578725980207590"</f>
        <v>1578725980207590</v>
      </c>
      <c r="C1542" t="s">
        <v>40</v>
      </c>
      <c r="D1542">
        <v>4.064692</v>
      </c>
      <c r="E1542">
        <v>0.56285490000000005</v>
      </c>
      <c r="F1542" t="s">
        <v>44</v>
      </c>
      <c r="G1542">
        <v>-169.2955</v>
      </c>
      <c r="H1542">
        <v>1.553868</v>
      </c>
      <c r="I1542">
        <v>355.38229999999999</v>
      </c>
      <c r="J1542">
        <v>-289.50599999999997</v>
      </c>
      <c r="K1542">
        <v>1.054378</v>
      </c>
      <c r="L1542">
        <v>367.31310000000002</v>
      </c>
      <c r="M1542">
        <v>0.99989910000000004</v>
      </c>
      <c r="N1542">
        <v>0</v>
      </c>
      <c r="O1542">
        <v>-1.105749E-2</v>
      </c>
      <c r="P1542">
        <v>0.99710759999999998</v>
      </c>
      <c r="Q1542">
        <v>3.5505889999999998E-2</v>
      </c>
      <c r="R1542">
        <v>6.7198279999999999E-2</v>
      </c>
      <c r="S1542">
        <v>3.0281370000000001</v>
      </c>
      <c r="T1542">
        <v>1.257312E-2</v>
      </c>
      <c r="U1542">
        <v>-0.30029299999999998</v>
      </c>
      <c r="V1542">
        <v>-7.8230659999999994E-2</v>
      </c>
      <c r="W1542">
        <v>4.4370680000000003E-2</v>
      </c>
      <c r="X1542">
        <v>0.99594740000000004</v>
      </c>
      <c r="Y1542">
        <v>8.767287E-2</v>
      </c>
      <c r="Z1542">
        <v>1.35773E-4</v>
      </c>
      <c r="AA1542">
        <v>0.99614930000000002</v>
      </c>
      <c r="AB1542">
        <v>22</v>
      </c>
      <c r="AC1542">
        <v>120.210499999999</v>
      </c>
      <c r="AD1542">
        <v>0.49948999999999999</v>
      </c>
      <c r="AE1542">
        <v>-11.9308</v>
      </c>
      <c r="AF1542">
        <v>10.6006100504469</v>
      </c>
      <c r="AG1542">
        <v>0.49948999999999999</v>
      </c>
      <c r="AH1542">
        <v>120.333022889497</v>
      </c>
      <c r="AI1542">
        <v>89.763089966868193</v>
      </c>
      <c r="AJ1542">
        <v>84.965585479935001</v>
      </c>
      <c r="AK1542">
        <v>120.800077903228</v>
      </c>
      <c r="AL1542">
        <v>87.456912403835602</v>
      </c>
      <c r="AM1542">
        <v>94.491303595254905</v>
      </c>
      <c r="AN1542">
        <v>1.00000000848722</v>
      </c>
    </row>
    <row r="1543" spans="1:40" x14ac:dyDescent="0.3">
      <c r="A1543" t="str">
        <f>"20200111145940229"</f>
        <v>20200111145940229</v>
      </c>
      <c r="B1543" t="str">
        <f>"1578725980227110"</f>
        <v>1578725980227110</v>
      </c>
      <c r="C1543" t="s">
        <v>40</v>
      </c>
      <c r="D1543">
        <v>4.1124729999999996</v>
      </c>
      <c r="E1543">
        <v>0.60142150000000005</v>
      </c>
      <c r="F1543" t="s">
        <v>44</v>
      </c>
      <c r="G1543">
        <v>-169.2955</v>
      </c>
      <c r="H1543">
        <v>1.5363180000000001</v>
      </c>
      <c r="I1543">
        <v>355.4864</v>
      </c>
      <c r="J1543">
        <v>-289.39679999999998</v>
      </c>
      <c r="K1543">
        <v>1.0543849999999999</v>
      </c>
      <c r="L1543">
        <v>367.31200000000001</v>
      </c>
      <c r="M1543">
        <v>0.99989969999999995</v>
      </c>
      <c r="N1543">
        <v>0</v>
      </c>
      <c r="O1543">
        <v>-1.0960889999999999E-2</v>
      </c>
      <c r="P1543">
        <v>0.99709320000000001</v>
      </c>
      <c r="Q1543">
        <v>3.5429460000000003E-2</v>
      </c>
      <c r="R1543">
        <v>6.7453600000000002E-2</v>
      </c>
      <c r="S1543">
        <v>3.028381</v>
      </c>
      <c r="T1543">
        <v>1.2143370000000001E-2</v>
      </c>
      <c r="U1543">
        <v>-0.29794310000000002</v>
      </c>
      <c r="V1543">
        <v>-7.8389879999999995E-2</v>
      </c>
      <c r="W1543">
        <v>4.4341159999999998E-2</v>
      </c>
      <c r="X1543">
        <v>0.99593620000000005</v>
      </c>
      <c r="Y1543">
        <v>8.6995740000000002E-2</v>
      </c>
      <c r="Z1543">
        <v>1.301587E-4</v>
      </c>
      <c r="AA1543">
        <v>0.99620869999999995</v>
      </c>
      <c r="AB1543">
        <v>22</v>
      </c>
      <c r="AC1543">
        <v>120.101299999999</v>
      </c>
      <c r="AD1543">
        <v>0.481933</v>
      </c>
      <c r="AE1543">
        <v>-11.8255999999999</v>
      </c>
      <c r="AF1543">
        <v>10.508251879248</v>
      </c>
      <c r="AG1543">
        <v>0.481933</v>
      </c>
      <c r="AH1543">
        <v>120.22179175079199</v>
      </c>
      <c r="AI1543">
        <v>89.771192061306394</v>
      </c>
      <c r="AJ1543">
        <v>85.004631297778204</v>
      </c>
      <c r="AK1543">
        <v>120.68112871839099</v>
      </c>
      <c r="AL1543">
        <v>87.458605453298901</v>
      </c>
      <c r="AM1543">
        <v>94.500457470105403</v>
      </c>
      <c r="AN1543">
        <v>1.0000000131135001</v>
      </c>
    </row>
    <row r="1544" spans="1:40" x14ac:dyDescent="0.3">
      <c r="A1544" t="str">
        <f>"20200111145940241"</f>
        <v>20200111145940241</v>
      </c>
      <c r="B1544" t="str">
        <f>"1578725980236869"</f>
        <v>1578725980236869</v>
      </c>
      <c r="C1544" t="s">
        <v>40</v>
      </c>
      <c r="D1544">
        <v>4.109172</v>
      </c>
      <c r="E1544">
        <v>0.60164399999999996</v>
      </c>
      <c r="F1544" t="s">
        <v>48</v>
      </c>
      <c r="G1544">
        <v>-162.75319999999999</v>
      </c>
      <c r="H1544">
        <v>3.387203</v>
      </c>
      <c r="I1544">
        <v>342.18990000000002</v>
      </c>
      <c r="J1544">
        <v>-289.27949999999998</v>
      </c>
      <c r="K1544">
        <v>1.054392</v>
      </c>
      <c r="L1544">
        <v>367.3109</v>
      </c>
      <c r="M1544">
        <v>0.99990049999999997</v>
      </c>
      <c r="N1544">
        <v>0</v>
      </c>
      <c r="O1544">
        <v>-1.0857520000000001E-2</v>
      </c>
      <c r="P1544">
        <v>0.99709449999999999</v>
      </c>
      <c r="Q1544">
        <v>3.5246640000000003E-2</v>
      </c>
      <c r="R1544">
        <v>6.7533369999999995E-2</v>
      </c>
      <c r="S1544">
        <v>3.0476380000000001</v>
      </c>
      <c r="T1544">
        <v>5.6138630000000002E-2</v>
      </c>
      <c r="U1544">
        <v>-0.60455319999999901</v>
      </c>
      <c r="V1544">
        <v>-7.8367049999999994E-2</v>
      </c>
      <c r="W1544">
        <v>4.4209680000000001E-2</v>
      </c>
      <c r="X1544">
        <v>0.99594380000000005</v>
      </c>
      <c r="Y1544">
        <v>0.1838863</v>
      </c>
      <c r="Z1544">
        <v>1.4791429999999901E-3</v>
      </c>
      <c r="AA1544">
        <v>0.9829464</v>
      </c>
      <c r="AB1544">
        <v>22</v>
      </c>
      <c r="AC1544">
        <v>126.52630000000001</v>
      </c>
      <c r="AD1544">
        <v>2.332811</v>
      </c>
      <c r="AE1544">
        <v>-25.120999999999899</v>
      </c>
      <c r="AF1544">
        <v>23.737938229710402</v>
      </c>
      <c r="AG1544">
        <v>2.332811</v>
      </c>
      <c r="AH1544">
        <v>126.75015125818901</v>
      </c>
      <c r="AI1544">
        <v>88.963616311719505</v>
      </c>
      <c r="AJ1544">
        <v>79.392447984072803</v>
      </c>
      <c r="AK1544">
        <v>128.97492997684901</v>
      </c>
      <c r="AL1544">
        <v>87.466145991534205</v>
      </c>
      <c r="AM1544">
        <v>94.499117962573294</v>
      </c>
      <c r="AN1544">
        <v>0.99999997154492204</v>
      </c>
    </row>
    <row r="1545" spans="1:40" x14ac:dyDescent="0.3">
      <c r="A1545" t="str">
        <f>"20200111145940253"</f>
        <v>20200111145940253</v>
      </c>
      <c r="B1545" t="str">
        <f>"1578725980247606"</f>
        <v>1578725980247606</v>
      </c>
      <c r="C1545" t="s">
        <v>40</v>
      </c>
      <c r="D1545">
        <v>4.0954990000000002</v>
      </c>
      <c r="E1545">
        <v>0.60157859999999996</v>
      </c>
      <c r="F1545" t="s">
        <v>48</v>
      </c>
      <c r="G1545">
        <v>-162.86359999999999</v>
      </c>
      <c r="H1545">
        <v>2.9738660000000001</v>
      </c>
      <c r="I1545">
        <v>342.18990000000002</v>
      </c>
      <c r="J1545">
        <v>-289.1542</v>
      </c>
      <c r="K1545">
        <v>1.054397</v>
      </c>
      <c r="L1545">
        <v>367.30959999999999</v>
      </c>
      <c r="M1545">
        <v>0.99990109999999999</v>
      </c>
      <c r="N1545">
        <v>0</v>
      </c>
      <c r="O1545">
        <v>-1.074643E-2</v>
      </c>
      <c r="P1545">
        <v>0.99711130000000003</v>
      </c>
      <c r="Q1545">
        <v>3.501079E-2</v>
      </c>
      <c r="R1545">
        <v>6.7404149999999996E-2</v>
      </c>
      <c r="S1545">
        <v>3.0481259999999999</v>
      </c>
      <c r="T1545">
        <v>4.6282289999999997E-2</v>
      </c>
      <c r="U1545">
        <v>-0.6057129</v>
      </c>
      <c r="V1545">
        <v>-7.8126890000000004E-2</v>
      </c>
      <c r="W1545">
        <v>4.4031510000000003E-2</v>
      </c>
      <c r="X1545">
        <v>0.99597060000000004</v>
      </c>
      <c r="Y1545">
        <v>0.1843342</v>
      </c>
      <c r="Z1545">
        <v>1.2242799999999999E-3</v>
      </c>
      <c r="AA1545">
        <v>0.98286289999999998</v>
      </c>
      <c r="AB1545">
        <v>22</v>
      </c>
      <c r="AC1545">
        <v>126.2906</v>
      </c>
      <c r="AD1545">
        <v>1.9194689999999901</v>
      </c>
      <c r="AE1545">
        <v>-25.119699999999899</v>
      </c>
      <c r="AF1545">
        <v>23.755741574034701</v>
      </c>
      <c r="AG1545">
        <v>1.9194689999999901</v>
      </c>
      <c r="AH1545">
        <v>126.5251494828</v>
      </c>
      <c r="AI1545">
        <v>89.1457762106416</v>
      </c>
      <c r="AJ1545">
        <v>79.366225848130597</v>
      </c>
      <c r="AK1545">
        <v>128.750274060365</v>
      </c>
      <c r="AL1545">
        <v>87.476364429585601</v>
      </c>
      <c r="AM1545">
        <v>94.485266322922101</v>
      </c>
      <c r="AN1545">
        <v>1.00000001043915</v>
      </c>
    </row>
    <row r="1546" spans="1:40" x14ac:dyDescent="0.3">
      <c r="A1546" t="str">
        <f>"20200111145940268"</f>
        <v>20200111145940268</v>
      </c>
      <c r="B1546" t="str">
        <f>"1578725980257366"</f>
        <v>1578725980257366</v>
      </c>
      <c r="C1546" t="s">
        <v>40</v>
      </c>
      <c r="D1546">
        <v>4.0685219999999997</v>
      </c>
      <c r="E1546">
        <v>0.60161769999999903</v>
      </c>
      <c r="F1546" t="s">
        <v>48</v>
      </c>
      <c r="G1546">
        <v>-162.7766</v>
      </c>
      <c r="H1546">
        <v>2.4864329999999999</v>
      </c>
      <c r="I1546">
        <v>342.18990000000002</v>
      </c>
      <c r="J1546">
        <v>-289.01920000000001</v>
      </c>
      <c r="K1546">
        <v>1.0544100000000001</v>
      </c>
      <c r="L1546">
        <v>367.30829999999997</v>
      </c>
      <c r="M1546">
        <v>0.99990179999999995</v>
      </c>
      <c r="N1546">
        <v>0</v>
      </c>
      <c r="O1546">
        <v>-1.0627019999999999E-2</v>
      </c>
      <c r="P1546">
        <v>0.99717460000000002</v>
      </c>
      <c r="Q1546">
        <v>3.4862789999999998E-2</v>
      </c>
      <c r="R1546">
        <v>6.654148E-2</v>
      </c>
      <c r="S1546">
        <v>3.0484309999999999</v>
      </c>
      <c r="T1546">
        <v>3.4543160000000003E-2</v>
      </c>
      <c r="U1546">
        <v>-0.60592650000000003</v>
      </c>
      <c r="V1546">
        <v>-7.7146439999999997E-2</v>
      </c>
      <c r="W1546">
        <v>4.3945770000000002E-2</v>
      </c>
      <c r="X1546">
        <v>0.99605080000000001</v>
      </c>
      <c r="Y1546">
        <v>0.18450759999999999</v>
      </c>
      <c r="Z1546">
        <v>9.159897E-4</v>
      </c>
      <c r="AA1546">
        <v>0.9828306</v>
      </c>
      <c r="AB1546">
        <v>22</v>
      </c>
      <c r="AC1546">
        <v>126.2426</v>
      </c>
      <c r="AD1546">
        <v>1.432023</v>
      </c>
      <c r="AE1546">
        <v>-25.118399999999902</v>
      </c>
      <c r="AF1546">
        <v>23.772400480250699</v>
      </c>
      <c r="AG1546">
        <v>1.432023</v>
      </c>
      <c r="AH1546">
        <v>126.486759901252</v>
      </c>
      <c r="AI1546">
        <v>89.362512411977505</v>
      </c>
      <c r="AJ1546">
        <v>79.355783219414107</v>
      </c>
      <c r="AK1546">
        <v>128.70927761736101</v>
      </c>
      <c r="AL1546">
        <v>87.481281703261899</v>
      </c>
      <c r="AM1546">
        <v>94.428848851051995</v>
      </c>
      <c r="AN1546">
        <v>1.0000000000431</v>
      </c>
    </row>
    <row r="1547" spans="1:40" x14ac:dyDescent="0.3">
      <c r="A1547" t="str">
        <f>"20200111145940279"</f>
        <v>20200111145940279</v>
      </c>
      <c r="B1547" t="str">
        <f>"1578725980276886"</f>
        <v>1578725980276886</v>
      </c>
      <c r="C1547" t="s">
        <v>40</v>
      </c>
      <c r="D1547">
        <v>4.1397449999999996</v>
      </c>
      <c r="E1547">
        <v>0.60152299999999903</v>
      </c>
      <c r="F1547" t="s">
        <v>48</v>
      </c>
      <c r="G1547">
        <v>-163.25389999999999</v>
      </c>
      <c r="H1547">
        <v>2.3065600000000002</v>
      </c>
      <c r="I1547">
        <v>342.18990000000002</v>
      </c>
      <c r="J1547">
        <v>-288.9006</v>
      </c>
      <c r="K1547">
        <v>1.0544180000000001</v>
      </c>
      <c r="L1547">
        <v>367.30720000000002</v>
      </c>
      <c r="M1547">
        <v>0.99990239999999997</v>
      </c>
      <c r="N1547">
        <v>0</v>
      </c>
      <c r="O1547">
        <v>-1.052235E-2</v>
      </c>
      <c r="P1547">
        <v>0.99720039999999999</v>
      </c>
      <c r="Q1547">
        <v>3.5207469999999998E-2</v>
      </c>
      <c r="R1547">
        <v>6.5970539999999994E-2</v>
      </c>
      <c r="S1547">
        <v>3.048035</v>
      </c>
      <c r="T1547">
        <v>3.034711E-2</v>
      </c>
      <c r="U1547">
        <v>-0.60876459999999999</v>
      </c>
      <c r="V1547">
        <v>-7.6471579999999997E-2</v>
      </c>
      <c r="W1547">
        <v>4.4344010000000003E-2</v>
      </c>
      <c r="X1547">
        <v>0.9960852</v>
      </c>
      <c r="Y1547">
        <v>0.1855174</v>
      </c>
      <c r="Z1547">
        <v>8.1076729999999999E-4</v>
      </c>
      <c r="AA1547">
        <v>0.98264059999999998</v>
      </c>
      <c r="AB1547">
        <v>22</v>
      </c>
      <c r="AC1547">
        <v>125.6467</v>
      </c>
      <c r="AD1547">
        <v>1.2521419999999901</v>
      </c>
      <c r="AE1547">
        <v>-25.1173</v>
      </c>
      <c r="AF1547">
        <v>23.791482951265401</v>
      </c>
      <c r="AG1547">
        <v>1.2521419999999901</v>
      </c>
      <c r="AH1547">
        <v>125.892025359439</v>
      </c>
      <c r="AI1547">
        <v>89.440056631624898</v>
      </c>
      <c r="AJ1547">
        <v>79.298269619123701</v>
      </c>
      <c r="AK1547">
        <v>128.12651782402401</v>
      </c>
      <c r="AL1547">
        <v>87.458441990910003</v>
      </c>
      <c r="AM1547">
        <v>94.390107367451506</v>
      </c>
      <c r="AN1547">
        <v>1.0000000097148001</v>
      </c>
    </row>
    <row r="1548" spans="1:40" x14ac:dyDescent="0.3">
      <c r="A1548" t="str">
        <f>"20200111145940290"</f>
        <v>20200111145940290</v>
      </c>
      <c r="B1548" t="str">
        <f>"1578725980287622"</f>
        <v>1578725980287622</v>
      </c>
      <c r="C1548" t="s">
        <v>40</v>
      </c>
      <c r="D1548">
        <v>4.1371190000000002</v>
      </c>
      <c r="E1548">
        <v>0.60138919999999996</v>
      </c>
      <c r="F1548" t="s">
        <v>48</v>
      </c>
      <c r="G1548">
        <v>-163.33860000000001</v>
      </c>
      <c r="H1548">
        <v>1.880598</v>
      </c>
      <c r="I1548">
        <v>342.18990000000002</v>
      </c>
      <c r="J1548">
        <v>-288.79660000000001</v>
      </c>
      <c r="K1548">
        <v>1.054422</v>
      </c>
      <c r="L1548">
        <v>367.30619999999999</v>
      </c>
      <c r="M1548">
        <v>0.99990310000000004</v>
      </c>
      <c r="N1548">
        <v>0</v>
      </c>
      <c r="O1548">
        <v>-1.0430170000000001E-2</v>
      </c>
      <c r="P1548">
        <v>0.99721309999999996</v>
      </c>
      <c r="Q1548">
        <v>3.5392170000000001E-2</v>
      </c>
      <c r="R1548">
        <v>6.5679109999999999E-2</v>
      </c>
      <c r="S1548">
        <v>3.0481259999999999</v>
      </c>
      <c r="T1548">
        <v>2.005637E-2</v>
      </c>
      <c r="U1548">
        <v>-0.60974119999999998</v>
      </c>
      <c r="V1548">
        <v>-7.6088439999999993E-2</v>
      </c>
      <c r="W1548">
        <v>4.457552E-2</v>
      </c>
      <c r="X1548">
        <v>0.9961042</v>
      </c>
      <c r="Y1548">
        <v>0.18590970000000001</v>
      </c>
      <c r="Z1548">
        <v>5.3768809999999996E-4</v>
      </c>
      <c r="AA1548">
        <v>0.98256670000000002</v>
      </c>
      <c r="AB1548">
        <v>22</v>
      </c>
      <c r="AC1548">
        <v>125.458</v>
      </c>
      <c r="AD1548">
        <v>0.82617600000000002</v>
      </c>
      <c r="AE1548">
        <v>-25.116299999999899</v>
      </c>
      <c r="AF1548">
        <v>23.805337219500299</v>
      </c>
      <c r="AG1548">
        <v>0.82617600000000002</v>
      </c>
      <c r="AH1548">
        <v>125.707912087361</v>
      </c>
      <c r="AI1548">
        <v>89.630022086933593</v>
      </c>
      <c r="AJ1548">
        <v>79.276862438462004</v>
      </c>
      <c r="AK1548">
        <v>127.944737321551</v>
      </c>
      <c r="AL1548">
        <v>87.445164297288898</v>
      </c>
      <c r="AM1548">
        <v>94.3681142792354</v>
      </c>
      <c r="AN1548">
        <v>1.0000000024712701</v>
      </c>
    </row>
    <row r="1549" spans="1:40" x14ac:dyDescent="0.3">
      <c r="A1549" t="str">
        <f>"20200111145940302"</f>
        <v>20200111145940302</v>
      </c>
      <c r="B1549" t="str">
        <f>"1578725980297382"</f>
        <v>1578725980297382</v>
      </c>
      <c r="C1549" t="s">
        <v>40</v>
      </c>
      <c r="D1549">
        <v>4.142144</v>
      </c>
      <c r="E1549">
        <v>0.60119809999999996</v>
      </c>
      <c r="F1549" t="s">
        <v>48</v>
      </c>
      <c r="G1549">
        <v>-163.20310000000001</v>
      </c>
      <c r="H1549">
        <v>1.898795</v>
      </c>
      <c r="I1549">
        <v>342.18990000000002</v>
      </c>
      <c r="J1549">
        <v>-288.68900000000002</v>
      </c>
      <c r="K1549">
        <v>1.0544249999999999</v>
      </c>
      <c r="L1549">
        <v>367.30520000000001</v>
      </c>
      <c r="M1549">
        <v>0.9999036</v>
      </c>
      <c r="N1549">
        <v>0</v>
      </c>
      <c r="O1549">
        <v>-1.033502E-2</v>
      </c>
      <c r="P1549">
        <v>0.99723010000000001</v>
      </c>
      <c r="Q1549">
        <v>3.537966E-2</v>
      </c>
      <c r="R1549">
        <v>6.5428059999999996E-2</v>
      </c>
      <c r="S1549">
        <v>3.0477910000000001</v>
      </c>
      <c r="T1549">
        <v>2.0490649999999999E-2</v>
      </c>
      <c r="U1549">
        <v>-0.60949709999999901</v>
      </c>
      <c r="V1549">
        <v>-7.5742999999999894E-2</v>
      </c>
      <c r="W1549">
        <v>4.4611249999999998E-2</v>
      </c>
      <c r="X1549">
        <v>0.99612889999999998</v>
      </c>
      <c r="Y1549">
        <v>0.18594820000000001</v>
      </c>
      <c r="Z1549">
        <v>5.5015510000000001E-4</v>
      </c>
      <c r="AA1549">
        <v>0.98255939999999997</v>
      </c>
      <c r="AB1549">
        <v>22</v>
      </c>
      <c r="AC1549">
        <v>125.4859</v>
      </c>
      <c r="AD1549">
        <v>0.84436999999999995</v>
      </c>
      <c r="AE1549">
        <v>-25.115299999999898</v>
      </c>
      <c r="AF1549">
        <v>23.815966711170201</v>
      </c>
      <c r="AG1549">
        <v>0.84436999999999995</v>
      </c>
      <c r="AH1549">
        <v>125.73330224815101</v>
      </c>
      <c r="AI1549">
        <v>89.621954244055104</v>
      </c>
      <c r="AJ1549">
        <v>79.274301548649007</v>
      </c>
      <c r="AK1549">
        <v>127.971780191218</v>
      </c>
      <c r="AL1549">
        <v>87.443115011680405</v>
      </c>
      <c r="AM1549">
        <v>94.348251952558996</v>
      </c>
      <c r="AN1549">
        <v>0.999999975545385</v>
      </c>
    </row>
    <row r="1550" spans="1:40" x14ac:dyDescent="0.3">
      <c r="A1550" t="str">
        <f>"20200111145940312"</f>
        <v>20200111145940312</v>
      </c>
      <c r="B1550" t="str">
        <f>"1578725980307142"</f>
        <v>1578725980307142</v>
      </c>
      <c r="C1550" t="s">
        <v>40</v>
      </c>
      <c r="D1550">
        <v>4.1595430000000002</v>
      </c>
      <c r="E1550">
        <v>0.60119609999999901</v>
      </c>
      <c r="F1550" t="s">
        <v>48</v>
      </c>
      <c r="G1550">
        <v>-163.0187</v>
      </c>
      <c r="H1550">
        <v>1.959201</v>
      </c>
      <c r="I1550">
        <v>342.18990000000002</v>
      </c>
      <c r="J1550">
        <v>-288.57369999999997</v>
      </c>
      <c r="K1550">
        <v>1.0544249999999999</v>
      </c>
      <c r="L1550">
        <v>367.30410000000001</v>
      </c>
      <c r="M1550">
        <v>0.99990400000000002</v>
      </c>
      <c r="N1550">
        <v>0</v>
      </c>
      <c r="O1550">
        <v>-1.0232730000000001E-2</v>
      </c>
      <c r="P1550">
        <v>0.99724939999999995</v>
      </c>
      <c r="Q1550">
        <v>3.5178929999999997E-2</v>
      </c>
      <c r="R1550">
        <v>6.5236749999999996E-2</v>
      </c>
      <c r="S1550">
        <v>3.047485</v>
      </c>
      <c r="T1550">
        <v>2.1940830000000001E-2</v>
      </c>
      <c r="U1550">
        <v>-0.60903929999999995</v>
      </c>
      <c r="V1550">
        <v>-7.5449489999999994E-2</v>
      </c>
      <c r="W1550">
        <v>4.4461189999999998E-2</v>
      </c>
      <c r="X1550">
        <v>0.99615790000000004</v>
      </c>
      <c r="Y1550">
        <v>0.18592510000000001</v>
      </c>
      <c r="Z1550">
        <v>5.8980329999999996E-4</v>
      </c>
      <c r="AA1550">
        <v>0.98256370000000004</v>
      </c>
      <c r="AB1550">
        <v>22</v>
      </c>
      <c r="AC1550">
        <v>125.554999999999</v>
      </c>
      <c r="AD1550">
        <v>0.90477599999999903</v>
      </c>
      <c r="AE1550">
        <v>-25.114199999999901</v>
      </c>
      <c r="AF1550">
        <v>23.82686880836</v>
      </c>
      <c r="AG1550">
        <v>0.90477599999999903</v>
      </c>
      <c r="AH1550">
        <v>125.799142575877</v>
      </c>
      <c r="AI1550">
        <v>89.595120908999505</v>
      </c>
      <c r="AJ1550">
        <v>79.274991472955804</v>
      </c>
      <c r="AK1550">
        <v>128.03891037355299</v>
      </c>
      <c r="AL1550">
        <v>87.451721398881602</v>
      </c>
      <c r="AM1550">
        <v>94.331340771495405</v>
      </c>
      <c r="AN1550">
        <v>0.99999999234494297</v>
      </c>
    </row>
    <row r="1551" spans="1:40" x14ac:dyDescent="0.3">
      <c r="A1551" t="str">
        <f>"20200111145940323"</f>
        <v>20200111145940323</v>
      </c>
      <c r="B1551" t="str">
        <f>"1578725980316902"</f>
        <v>1578725980316902</v>
      </c>
      <c r="C1551" t="s">
        <v>40</v>
      </c>
      <c r="D1551">
        <v>4.1591459999999998</v>
      </c>
      <c r="E1551">
        <v>0.60107670000000002</v>
      </c>
      <c r="F1551" t="s">
        <v>48</v>
      </c>
      <c r="G1551">
        <v>-163.0093</v>
      </c>
      <c r="H1551">
        <v>1.8161560000000001</v>
      </c>
      <c r="I1551">
        <v>342.18990000000002</v>
      </c>
      <c r="J1551">
        <v>-288.46769999999998</v>
      </c>
      <c r="K1551">
        <v>1.0544249999999999</v>
      </c>
      <c r="L1551">
        <v>367.3032</v>
      </c>
      <c r="M1551">
        <v>0.99990460000000003</v>
      </c>
      <c r="N1551">
        <v>0</v>
      </c>
      <c r="O1551">
        <v>-1.0138879999999999E-2</v>
      </c>
      <c r="P1551">
        <v>0.99725940000000002</v>
      </c>
      <c r="Q1551">
        <v>3.4957599999999998E-2</v>
      </c>
      <c r="R1551">
        <v>6.5207420000000002E-2</v>
      </c>
      <c r="S1551">
        <v>3.047485</v>
      </c>
      <c r="T1551">
        <v>1.8487569999999998E-2</v>
      </c>
      <c r="U1551">
        <v>-0.60952759999999995</v>
      </c>
      <c r="V1551">
        <v>-7.5327060000000001E-2</v>
      </c>
      <c r="W1551">
        <v>4.428638E-2</v>
      </c>
      <c r="X1551">
        <v>0.99617489999999997</v>
      </c>
      <c r="Y1551">
        <v>0.18617</v>
      </c>
      <c r="Z1551">
        <v>4.9826739999999997E-4</v>
      </c>
      <c r="AA1551">
        <v>0.98251739999999999</v>
      </c>
      <c r="AB1551">
        <v>22</v>
      </c>
      <c r="AC1551">
        <v>125.458399999999</v>
      </c>
      <c r="AD1551">
        <v>0.76173100000000005</v>
      </c>
      <c r="AE1551">
        <v>-25.113299999999899</v>
      </c>
      <c r="AF1551">
        <v>23.839100486922799</v>
      </c>
      <c r="AG1551">
        <v>0.76173100000000005</v>
      </c>
      <c r="AH1551">
        <v>125.702127463643</v>
      </c>
      <c r="AI1551">
        <v>89.658882726492806</v>
      </c>
      <c r="AJ1551">
        <v>79.261524475574106</v>
      </c>
      <c r="AK1551">
        <v>127.944940482334</v>
      </c>
      <c r="AL1551">
        <v>87.4617470176468</v>
      </c>
      <c r="AM1551">
        <v>94.324265578704697</v>
      </c>
      <c r="AN1551">
        <v>0.99999994040587703</v>
      </c>
    </row>
    <row r="1552" spans="1:40" x14ac:dyDescent="0.3">
      <c r="A1552" t="str">
        <f>"20200111145940335"</f>
        <v>20200111145940335</v>
      </c>
      <c r="B1552" t="str">
        <f>"1578725980327638"</f>
        <v>1578725980327638</v>
      </c>
      <c r="C1552" t="s">
        <v>40</v>
      </c>
      <c r="D1552">
        <v>4.1640839999999999</v>
      </c>
      <c r="E1552">
        <v>0.60091059999999996</v>
      </c>
      <c r="F1552" t="s">
        <v>48</v>
      </c>
      <c r="G1552">
        <v>-162.67009999999999</v>
      </c>
      <c r="H1552">
        <v>1.7213639999999999</v>
      </c>
      <c r="I1552">
        <v>342.18990000000002</v>
      </c>
      <c r="J1552">
        <v>-288.35520000000002</v>
      </c>
      <c r="K1552">
        <v>1.0544279999999999</v>
      </c>
      <c r="L1552">
        <v>367.3021</v>
      </c>
      <c r="M1552">
        <v>0.99990520000000005</v>
      </c>
      <c r="N1552">
        <v>0</v>
      </c>
      <c r="O1552">
        <v>-1.0039319999999999E-2</v>
      </c>
      <c r="P1552">
        <v>0.9972782</v>
      </c>
      <c r="Q1552">
        <v>3.4493500000000003E-2</v>
      </c>
      <c r="R1552">
        <v>6.5165440000000005E-2</v>
      </c>
      <c r="S1552">
        <v>3.0474549999999998</v>
      </c>
      <c r="T1552">
        <v>1.6156790000000001E-2</v>
      </c>
      <c r="U1552">
        <v>-0.60836789999999996</v>
      </c>
      <c r="V1552">
        <v>-7.5185459999999996E-2</v>
      </c>
      <c r="W1552">
        <v>4.3871449999999999E-2</v>
      </c>
      <c r="X1552">
        <v>0.99620399999999998</v>
      </c>
      <c r="Y1552">
        <v>0.18591089999999999</v>
      </c>
      <c r="Z1552">
        <v>4.3531290000000002E-4</v>
      </c>
      <c r="AA1552">
        <v>0.98256650000000001</v>
      </c>
      <c r="AB1552">
        <v>22</v>
      </c>
      <c r="AC1552">
        <v>125.68510000000001</v>
      </c>
      <c r="AD1552">
        <v>0.66693599999999897</v>
      </c>
      <c r="AE1552">
        <v>-25.112199999999898</v>
      </c>
      <c r="AF1552">
        <v>23.848439640851701</v>
      </c>
      <c r="AG1552">
        <v>0.66693599999999897</v>
      </c>
      <c r="AH1552">
        <v>125.92747637597201</v>
      </c>
      <c r="AI1552">
        <v>89.701852856396698</v>
      </c>
      <c r="AJ1552">
        <v>79.276193268639204</v>
      </c>
      <c r="AK1552">
        <v>128.16755511186301</v>
      </c>
      <c r="AL1552">
        <v>87.485543994943299</v>
      </c>
      <c r="AM1552">
        <v>94.316041957228506</v>
      </c>
      <c r="AN1552">
        <v>0.99999998356825603</v>
      </c>
    </row>
    <row r="1553" spans="1:40" x14ac:dyDescent="0.3">
      <c r="A1553" t="str">
        <f>"20200111145940346"</f>
        <v>20200111145940346</v>
      </c>
      <c r="B1553" t="str">
        <f>"1578725980337399"</f>
        <v>1578725980337399</v>
      </c>
      <c r="C1553" t="s">
        <v>40</v>
      </c>
      <c r="D1553">
        <v>4.2191219999999996</v>
      </c>
      <c r="E1553">
        <v>0.60078540000000002</v>
      </c>
      <c r="F1553" t="s">
        <v>48</v>
      </c>
      <c r="G1553">
        <v>-162.62780000000001</v>
      </c>
      <c r="H1553">
        <v>1.5866169999999999</v>
      </c>
      <c r="I1553">
        <v>342.25779999999997</v>
      </c>
      <c r="J1553">
        <v>-288.2525</v>
      </c>
      <c r="K1553">
        <v>1.05443</v>
      </c>
      <c r="L1553">
        <v>367.30119999999999</v>
      </c>
      <c r="M1553">
        <v>0.99990579999999996</v>
      </c>
      <c r="N1553">
        <v>0</v>
      </c>
      <c r="O1553">
        <v>-9.9483330000000002E-3</v>
      </c>
      <c r="P1553">
        <v>0.99728269999999997</v>
      </c>
      <c r="Q1553">
        <v>3.4476859999999998E-2</v>
      </c>
      <c r="R1553">
        <v>6.5106129999999998E-2</v>
      </c>
      <c r="S1553">
        <v>3.0473940000000002</v>
      </c>
      <c r="T1553">
        <v>1.28994E-2</v>
      </c>
      <c r="U1553">
        <v>-0.60702509999999998</v>
      </c>
      <c r="V1553">
        <v>-7.5035710000000005E-2</v>
      </c>
      <c r="W1553">
        <v>4.3899550000000002E-2</v>
      </c>
      <c r="X1553">
        <v>0.99621409999999999</v>
      </c>
      <c r="Y1553">
        <v>0.18558859999999999</v>
      </c>
      <c r="Z1553">
        <v>3.4727699999999903E-4</v>
      </c>
      <c r="AA1553">
        <v>0.98262749999999999</v>
      </c>
      <c r="AB1553">
        <v>22</v>
      </c>
      <c r="AC1553">
        <v>125.6247</v>
      </c>
      <c r="AD1553">
        <v>0.53218699999999997</v>
      </c>
      <c r="AE1553">
        <v>-25.043399999999998</v>
      </c>
      <c r="AF1553">
        <v>23.791937703414099</v>
      </c>
      <c r="AG1553">
        <v>0.53218699999999997</v>
      </c>
      <c r="AH1553">
        <v>125.865461515962</v>
      </c>
      <c r="AI1553">
        <v>89.761957604282799</v>
      </c>
      <c r="AJ1553">
        <v>79.295863336880402</v>
      </c>
      <c r="AK1553">
        <v>128.09548752907801</v>
      </c>
      <c r="AL1553">
        <v>87.483932549421397</v>
      </c>
      <c r="AM1553">
        <v>94.307434397683295</v>
      </c>
      <c r="AN1553">
        <v>1.0000000306521</v>
      </c>
    </row>
    <row r="1554" spans="1:40" x14ac:dyDescent="0.3">
      <c r="A1554" t="str">
        <f>"20200111145940356"</f>
        <v>20200111145940356</v>
      </c>
      <c r="B1554" t="str">
        <f>"1578725980347158"</f>
        <v>1578725980347158</v>
      </c>
      <c r="C1554" t="s">
        <v>40</v>
      </c>
      <c r="D1554">
        <v>4.1844900000000003</v>
      </c>
      <c r="E1554">
        <v>0.60070539999999994</v>
      </c>
      <c r="F1554" t="s">
        <v>48</v>
      </c>
      <c r="G1554">
        <v>-162.62780000000001</v>
      </c>
      <c r="H1554">
        <v>1.571763</v>
      </c>
      <c r="I1554">
        <v>342.29419999999999</v>
      </c>
      <c r="J1554">
        <v>-288.13670000000002</v>
      </c>
      <c r="K1554">
        <v>1.054432</v>
      </c>
      <c r="L1554">
        <v>367.30009999999999</v>
      </c>
      <c r="M1554">
        <v>0.99990630000000003</v>
      </c>
      <c r="N1554">
        <v>0</v>
      </c>
      <c r="O1554">
        <v>-9.845922E-3</v>
      </c>
      <c r="P1554">
        <v>0.99725609999999998</v>
      </c>
      <c r="Q1554">
        <v>3.432992E-2</v>
      </c>
      <c r="R1554">
        <v>6.5590309999999999E-2</v>
      </c>
      <c r="S1554">
        <v>3.0473020000000002</v>
      </c>
      <c r="T1554">
        <v>1.254916E-2</v>
      </c>
      <c r="U1554">
        <v>-0.60659790000000002</v>
      </c>
      <c r="V1554">
        <v>-7.5417499999999998E-2</v>
      </c>
      <c r="W1554">
        <v>4.3800949999999998E-2</v>
      </c>
      <c r="X1554">
        <v>0.99618960000000001</v>
      </c>
      <c r="Y1554">
        <v>0.18556239999999999</v>
      </c>
      <c r="Z1554">
        <v>3.382266E-4</v>
      </c>
      <c r="AA1554">
        <v>0.98263239999999996</v>
      </c>
      <c r="AB1554">
        <v>22</v>
      </c>
      <c r="AC1554">
        <v>125.5089</v>
      </c>
      <c r="AD1554">
        <v>0.51733099999999999</v>
      </c>
      <c r="AE1554">
        <v>-25.0059</v>
      </c>
      <c r="AF1554">
        <v>23.768492664060101</v>
      </c>
      <c r="AG1554">
        <v>0.51733099999999999</v>
      </c>
      <c r="AH1554">
        <v>125.746978177971</v>
      </c>
      <c r="AI1554">
        <v>89.768384103248593</v>
      </c>
      <c r="AJ1554">
        <v>79.296324607288298</v>
      </c>
      <c r="AK1554">
        <v>127.97465137978</v>
      </c>
      <c r="AL1554">
        <v>87.489587327725204</v>
      </c>
      <c r="AM1554">
        <v>94.329374054076595</v>
      </c>
      <c r="AN1554">
        <v>1.00000002083765</v>
      </c>
    </row>
    <row r="1555" spans="1:40" x14ac:dyDescent="0.3">
      <c r="A1555" t="str">
        <f>"20200111145940369"</f>
        <v>20200111145940369</v>
      </c>
      <c r="B1555" t="str">
        <f>"1578725980367655"</f>
        <v>1578725980367655</v>
      </c>
      <c r="C1555" t="s">
        <v>40</v>
      </c>
      <c r="D1555">
        <v>4.2105790000000001</v>
      </c>
      <c r="E1555">
        <v>0.60051489999999996</v>
      </c>
      <c r="F1555" t="s">
        <v>48</v>
      </c>
      <c r="G1555">
        <v>-162.62780000000001</v>
      </c>
      <c r="H1555">
        <v>1.5278080000000001</v>
      </c>
      <c r="I1555">
        <v>342.41300000000001</v>
      </c>
      <c r="J1555">
        <v>-288.02339999999998</v>
      </c>
      <c r="K1555">
        <v>1.0544340000000001</v>
      </c>
      <c r="L1555">
        <v>367.29919999999998</v>
      </c>
      <c r="M1555">
        <v>0.99990679999999998</v>
      </c>
      <c r="N1555">
        <v>0</v>
      </c>
      <c r="O1555">
        <v>-9.7455249999999997E-3</v>
      </c>
      <c r="P1555">
        <v>0.99722710000000003</v>
      </c>
      <c r="Q1555">
        <v>3.4351119999999999E-2</v>
      </c>
      <c r="R1555">
        <v>6.6017960000000001E-2</v>
      </c>
      <c r="S1555">
        <v>3.0476070000000002</v>
      </c>
      <c r="T1555">
        <v>1.149464E-2</v>
      </c>
      <c r="U1555">
        <v>-0.60430909999999904</v>
      </c>
      <c r="V1555">
        <v>-7.5744549999999994E-2</v>
      </c>
      <c r="W1555">
        <v>4.3868589999999999E-2</v>
      </c>
      <c r="X1555">
        <v>0.99616179999999999</v>
      </c>
      <c r="Y1555">
        <v>0.1849325</v>
      </c>
      <c r="Z1555">
        <v>3.0899550000000001E-4</v>
      </c>
      <c r="AA1555">
        <v>0.98275120000000005</v>
      </c>
      <c r="AB1555">
        <v>22</v>
      </c>
      <c r="AC1555">
        <v>125.39559999999901</v>
      </c>
      <c r="AD1555">
        <v>0.47337400000000002</v>
      </c>
      <c r="AE1555">
        <v>-24.886199999999899</v>
      </c>
      <c r="AF1555">
        <v>23.662591825273498</v>
      </c>
      <c r="AG1555">
        <v>0.47337400000000002</v>
      </c>
      <c r="AH1555">
        <v>125.63046223444201</v>
      </c>
      <c r="AI1555">
        <v>89.787841678529006</v>
      </c>
      <c r="AJ1555">
        <v>79.333263057007201</v>
      </c>
      <c r="AK1555">
        <v>127.840351126211</v>
      </c>
      <c r="AL1555">
        <v>87.485708087582296</v>
      </c>
      <c r="AM1555">
        <v>94.348197532799702</v>
      </c>
      <c r="AN1555">
        <v>1.0000000109112599</v>
      </c>
    </row>
    <row r="1556" spans="1:40" x14ac:dyDescent="0.3">
      <c r="A1556" t="str">
        <f>"20200111145940380"</f>
        <v>20200111145940380</v>
      </c>
      <c r="B1556" t="str">
        <f>"1578725980377414"</f>
        <v>1578725980377414</v>
      </c>
      <c r="C1556" t="s">
        <v>40</v>
      </c>
      <c r="D1556">
        <v>4.1680250000000001</v>
      </c>
      <c r="E1556">
        <v>0.60041959999999905</v>
      </c>
      <c r="F1556" t="s">
        <v>48</v>
      </c>
      <c r="G1556">
        <v>-162.6277</v>
      </c>
      <c r="H1556">
        <v>1.461929</v>
      </c>
      <c r="I1556">
        <v>342.55169999999998</v>
      </c>
      <c r="J1556">
        <v>-287.91390000000001</v>
      </c>
      <c r="K1556">
        <v>1.05444</v>
      </c>
      <c r="L1556">
        <v>367.29820000000001</v>
      </c>
      <c r="M1556">
        <v>0.99990730000000005</v>
      </c>
      <c r="N1556">
        <v>0</v>
      </c>
      <c r="O1556">
        <v>-9.64834E-3</v>
      </c>
      <c r="P1556">
        <v>0.99718050000000003</v>
      </c>
      <c r="Q1556">
        <v>3.4363520000000002E-2</v>
      </c>
      <c r="R1556">
        <v>6.6712770000000005E-2</v>
      </c>
      <c r="S1556">
        <v>3.0478209999999999</v>
      </c>
      <c r="T1556">
        <v>9.9045039999999997E-3</v>
      </c>
      <c r="U1556">
        <v>-0.60150150000000002</v>
      </c>
      <c r="V1556">
        <v>-7.6342389999999996E-2</v>
      </c>
      <c r="W1556">
        <v>4.3924320000000003E-2</v>
      </c>
      <c r="X1556">
        <v>0.99611369999999999</v>
      </c>
      <c r="Y1556">
        <v>0.1841439</v>
      </c>
      <c r="Z1556">
        <v>2.652989E-4</v>
      </c>
      <c r="AA1556">
        <v>0.98289919999999997</v>
      </c>
      <c r="AB1556">
        <v>22</v>
      </c>
      <c r="AC1556">
        <v>125.28619999999999</v>
      </c>
      <c r="AD1556">
        <v>0.40748899999999999</v>
      </c>
      <c r="AE1556">
        <v>-24.746500000000001</v>
      </c>
      <c r="AF1556">
        <v>23.536248759665099</v>
      </c>
      <c r="AG1556">
        <v>0.40748899999999999</v>
      </c>
      <c r="AH1556">
        <v>125.517863579311</v>
      </c>
      <c r="AI1556">
        <v>89.817178393230805</v>
      </c>
      <c r="AJ1556">
        <v>79.379617413173307</v>
      </c>
      <c r="AK1556">
        <v>127.70612800675001</v>
      </c>
      <c r="AL1556">
        <v>87.482511897751095</v>
      </c>
      <c r="AM1556">
        <v>94.382594797080998</v>
      </c>
      <c r="AN1556">
        <v>1.00000000486303</v>
      </c>
    </row>
    <row r="1557" spans="1:40" x14ac:dyDescent="0.3">
      <c r="A1557" t="str">
        <f>"20200111145940391"</f>
        <v>20200111145940391</v>
      </c>
      <c r="B1557" t="str">
        <f>"1578725980387175"</f>
        <v>1578725980387175</v>
      </c>
      <c r="C1557" t="s">
        <v>40</v>
      </c>
      <c r="D1557">
        <v>4.1484120000000004</v>
      </c>
      <c r="E1557">
        <v>0.60036049999999996</v>
      </c>
      <c r="F1557" t="s">
        <v>48</v>
      </c>
      <c r="G1557">
        <v>-162.3742</v>
      </c>
      <c r="H1557">
        <v>1.414544</v>
      </c>
      <c r="I1557">
        <v>342.64389999999997</v>
      </c>
      <c r="J1557">
        <v>-287.8091</v>
      </c>
      <c r="K1557">
        <v>1.054441</v>
      </c>
      <c r="L1557">
        <v>367.29730000000001</v>
      </c>
      <c r="M1557">
        <v>0.99990789999999996</v>
      </c>
      <c r="N1557">
        <v>0</v>
      </c>
      <c r="O1557">
        <v>-9.555539E-3</v>
      </c>
      <c r="P1557">
        <v>0.99716139999999998</v>
      </c>
      <c r="Q1557">
        <v>3.4341679999999999E-2</v>
      </c>
      <c r="R1557">
        <v>6.7009340000000001E-2</v>
      </c>
      <c r="S1557">
        <v>3.0482480000000001</v>
      </c>
      <c r="T1557">
        <v>8.7438819999999997E-3</v>
      </c>
      <c r="U1557">
        <v>-0.59863279999999996</v>
      </c>
      <c r="V1557">
        <v>-7.6546100000000006E-2</v>
      </c>
      <c r="W1557">
        <v>4.3941479999999998E-2</v>
      </c>
      <c r="X1557">
        <v>0.99609729999999996</v>
      </c>
      <c r="Y1557">
        <v>0.1833186</v>
      </c>
      <c r="Z1557">
        <v>2.33291E-4</v>
      </c>
      <c r="AA1557">
        <v>0.98305350000000002</v>
      </c>
      <c r="AB1557">
        <v>22</v>
      </c>
      <c r="AC1557">
        <v>125.4349</v>
      </c>
      <c r="AD1557">
        <v>0.36010300000000001</v>
      </c>
      <c r="AE1557">
        <v>-24.653400000000001</v>
      </c>
      <c r="AF1557">
        <v>23.4534344848696</v>
      </c>
      <c r="AG1557">
        <v>0.36010300000000001</v>
      </c>
      <c r="AH1557">
        <v>125.663763015356</v>
      </c>
      <c r="AI1557">
        <v>89.838600198655399</v>
      </c>
      <c r="AJ1557">
        <v>79.428151406692706</v>
      </c>
      <c r="AK1557">
        <v>127.834168352934</v>
      </c>
      <c r="AL1557">
        <v>87.481527727313207</v>
      </c>
      <c r="AM1557">
        <v>94.394315517937201</v>
      </c>
      <c r="AN1557">
        <v>0.99999999507854498</v>
      </c>
    </row>
    <row r="1558" spans="1:40" x14ac:dyDescent="0.3">
      <c r="A1558" t="str">
        <f>"20200111145940401"</f>
        <v>20200111145940401</v>
      </c>
      <c r="B1558" t="str">
        <f>"1578725980396934"</f>
        <v>1578725980396934</v>
      </c>
      <c r="C1558" t="s">
        <v>40</v>
      </c>
      <c r="D1558">
        <v>4.1665619999999999</v>
      </c>
      <c r="E1558">
        <v>0.60034339999999997</v>
      </c>
      <c r="F1558" t="s">
        <v>48</v>
      </c>
      <c r="G1558">
        <v>-161.96459999999999</v>
      </c>
      <c r="H1558">
        <v>1.3323240000000001</v>
      </c>
      <c r="I1558">
        <v>342.64389999999997</v>
      </c>
      <c r="J1558">
        <v>-287.69909999999999</v>
      </c>
      <c r="K1558">
        <v>1.0544450000000001</v>
      </c>
      <c r="L1558">
        <v>367.29640000000001</v>
      </c>
      <c r="M1558">
        <v>0.99990829999999997</v>
      </c>
      <c r="N1558">
        <v>0</v>
      </c>
      <c r="O1558">
        <v>-9.4580970000000004E-3</v>
      </c>
      <c r="P1558">
        <v>0.99713030000000002</v>
      </c>
      <c r="Q1558">
        <v>3.4117330000000001E-2</v>
      </c>
      <c r="R1558">
        <v>6.7582669999999997E-2</v>
      </c>
      <c r="S1558">
        <v>3.0484309999999999</v>
      </c>
      <c r="T1558">
        <v>6.7315099999999996E-3</v>
      </c>
      <c r="U1558">
        <v>-0.59719849999999997</v>
      </c>
      <c r="V1558">
        <v>-7.7022170000000001E-2</v>
      </c>
      <c r="W1558">
        <v>4.3756650000000001E-2</v>
      </c>
      <c r="X1558">
        <v>0.99606870000000003</v>
      </c>
      <c r="Y1558">
        <v>0.18295810000000001</v>
      </c>
      <c r="Z1558">
        <v>1.794163E-4</v>
      </c>
      <c r="AA1558">
        <v>0.98312069999999996</v>
      </c>
      <c r="AB1558">
        <v>22</v>
      </c>
      <c r="AC1558">
        <v>125.7345</v>
      </c>
      <c r="AD1558">
        <v>0.27787899999999999</v>
      </c>
      <c r="AE1558">
        <v>-24.6525</v>
      </c>
      <c r="AF1558">
        <v>23.4620219103845</v>
      </c>
      <c r="AG1558">
        <v>0.27787899999999999</v>
      </c>
      <c r="AH1558">
        <v>125.961459748563</v>
      </c>
      <c r="AI1558">
        <v>89.875739238830903</v>
      </c>
      <c r="AJ1558">
        <v>79.448800352897905</v>
      </c>
      <c r="AK1558">
        <v>128.12818983678301</v>
      </c>
      <c r="AL1558">
        <v>87.492127806610597</v>
      </c>
      <c r="AM1558">
        <v>94.421663885887298</v>
      </c>
      <c r="AN1558">
        <v>0.99999995710520895</v>
      </c>
    </row>
    <row r="1559" spans="1:40" x14ac:dyDescent="0.3">
      <c r="A1559" t="str">
        <f>"20200111145940413"</f>
        <v>20200111145940413</v>
      </c>
      <c r="B1559" t="str">
        <f>"1578725980407670"</f>
        <v>1578725980407670</v>
      </c>
      <c r="C1559" t="s">
        <v>40</v>
      </c>
      <c r="D1559">
        <v>4.1911750000000003</v>
      </c>
      <c r="E1559">
        <v>0.60042600000000002</v>
      </c>
      <c r="F1559" t="s">
        <v>48</v>
      </c>
      <c r="G1559">
        <v>-161.48320000000001</v>
      </c>
      <c r="H1559">
        <v>1.2906329999999999</v>
      </c>
      <c r="I1559">
        <v>342.64389999999997</v>
      </c>
      <c r="J1559">
        <v>-287.58699999999999</v>
      </c>
      <c r="K1559">
        <v>1.0544469999999999</v>
      </c>
      <c r="L1559">
        <v>367.29539999999997</v>
      </c>
      <c r="M1559">
        <v>0.99990880000000004</v>
      </c>
      <c r="N1559">
        <v>0</v>
      </c>
      <c r="O1559">
        <v>-9.3588560000000005E-3</v>
      </c>
      <c r="P1559">
        <v>0.99710109999999996</v>
      </c>
      <c r="Q1559">
        <v>3.4241189999999998E-2</v>
      </c>
      <c r="R1559">
        <v>6.7947480000000005E-2</v>
      </c>
      <c r="S1559">
        <v>3.0487980000000001</v>
      </c>
      <c r="T1559">
        <v>5.7053570000000003E-3</v>
      </c>
      <c r="U1559">
        <v>-0.5954895</v>
      </c>
      <c r="V1559">
        <v>-7.7288079999999995E-2</v>
      </c>
      <c r="W1559">
        <v>4.3918619999999998E-2</v>
      </c>
      <c r="X1559">
        <v>0.99604099999999995</v>
      </c>
      <c r="Y1559">
        <v>0.18250269999999999</v>
      </c>
      <c r="Z1559">
        <v>1.518181E-4</v>
      </c>
      <c r="AA1559">
        <v>0.98320529999999995</v>
      </c>
      <c r="AB1559">
        <v>22</v>
      </c>
      <c r="AC1559">
        <v>126.103799999999</v>
      </c>
      <c r="AD1559">
        <v>0.23618600000000001</v>
      </c>
      <c r="AE1559">
        <v>-24.651499999999999</v>
      </c>
      <c r="AF1559">
        <v>23.470097730558301</v>
      </c>
      <c r="AG1559">
        <v>0.23618600000000001</v>
      </c>
      <c r="AH1559">
        <v>126.328570688187</v>
      </c>
      <c r="AI1559">
        <v>89.894681175534302</v>
      </c>
      <c r="AJ1559">
        <v>79.475235956439406</v>
      </c>
      <c r="AK1559">
        <v>128.490501763472</v>
      </c>
      <c r="AL1559">
        <v>87.4828387443076</v>
      </c>
      <c r="AM1559">
        <v>94.436991208871802</v>
      </c>
      <c r="AN1559">
        <v>0.99999998308689497</v>
      </c>
    </row>
    <row r="1560" spans="1:40" x14ac:dyDescent="0.3">
      <c r="A1560" t="str">
        <f>"20200111145940425"</f>
        <v>20200111145940425</v>
      </c>
      <c r="B1560" t="str">
        <f>"1578725980417430"</f>
        <v>1578725980417430</v>
      </c>
      <c r="C1560" t="s">
        <v>40</v>
      </c>
      <c r="D1560">
        <v>4.0630129999999998</v>
      </c>
      <c r="E1560">
        <v>0.6002748</v>
      </c>
      <c r="F1560" t="s">
        <v>48</v>
      </c>
      <c r="G1560">
        <v>-161.2688</v>
      </c>
      <c r="H1560">
        <v>1.312829</v>
      </c>
      <c r="I1560">
        <v>342.64389999999997</v>
      </c>
      <c r="J1560">
        <v>-287.47519999999997</v>
      </c>
      <c r="K1560">
        <v>1.054449</v>
      </c>
      <c r="L1560">
        <v>367.29450000000003</v>
      </c>
      <c r="M1560">
        <v>0.99990950000000001</v>
      </c>
      <c r="N1560">
        <v>0</v>
      </c>
      <c r="O1560">
        <v>-9.2599659999999997E-3</v>
      </c>
      <c r="P1560">
        <v>0.99709219999999998</v>
      </c>
      <c r="Q1560">
        <v>3.4211930000000002E-2</v>
      </c>
      <c r="R1560">
        <v>6.8095909999999996E-2</v>
      </c>
      <c r="S1560">
        <v>3.049042</v>
      </c>
      <c r="T1560">
        <v>6.2369110000000004E-3</v>
      </c>
      <c r="U1560">
        <v>-0.59503169999999905</v>
      </c>
      <c r="V1560">
        <v>-7.7337920000000004E-2</v>
      </c>
      <c r="W1560">
        <v>4.3925289999999999E-2</v>
      </c>
      <c r="X1560">
        <v>0.99603680000000006</v>
      </c>
      <c r="Y1560">
        <v>0.18244279999999999</v>
      </c>
      <c r="Z1560">
        <v>1.660915E-4</v>
      </c>
      <c r="AA1560">
        <v>0.98321650000000005</v>
      </c>
      <c r="AB1560">
        <v>22</v>
      </c>
      <c r="AC1560">
        <v>126.20639999999899</v>
      </c>
      <c r="AD1560">
        <v>0.25838</v>
      </c>
      <c r="AE1560">
        <v>-24.650600000000001</v>
      </c>
      <c r="AF1560">
        <v>23.480725588225301</v>
      </c>
      <c r="AG1560">
        <v>0.25838</v>
      </c>
      <c r="AH1560">
        <v>126.428752613993</v>
      </c>
      <c r="AI1560">
        <v>89.884874559549203</v>
      </c>
      <c r="AJ1560">
        <v>79.478733757029005</v>
      </c>
      <c r="AK1560">
        <v>128.59098227288001</v>
      </c>
      <c r="AL1560">
        <v>87.482456118773598</v>
      </c>
      <c r="AM1560">
        <v>94.439859657734701</v>
      </c>
      <c r="AN1560">
        <v>0.999999945962873</v>
      </c>
    </row>
    <row r="1561" spans="1:40" x14ac:dyDescent="0.3">
      <c r="A1561" t="str">
        <f>"20200111145940434"</f>
        <v>20200111145940434</v>
      </c>
      <c r="B1561" t="str">
        <f>"1578725980427190"</f>
        <v>1578725980427190</v>
      </c>
      <c r="C1561" t="s">
        <v>40</v>
      </c>
      <c r="D1561">
        <v>4.4071259999999999</v>
      </c>
      <c r="E1561">
        <v>0.6002748</v>
      </c>
      <c r="F1561" t="s">
        <v>48</v>
      </c>
      <c r="G1561">
        <v>-160.7927</v>
      </c>
      <c r="H1561">
        <v>1.377265</v>
      </c>
      <c r="I1561">
        <v>342.64389999999997</v>
      </c>
      <c r="J1561">
        <v>-287.36470000000003</v>
      </c>
      <c r="K1561">
        <v>1.0544519999999999</v>
      </c>
      <c r="L1561">
        <v>367.29349999999999</v>
      </c>
      <c r="M1561">
        <v>0.99990990000000002</v>
      </c>
      <c r="N1561">
        <v>0</v>
      </c>
      <c r="O1561">
        <v>-9.1620179999999992E-3</v>
      </c>
      <c r="P1561">
        <v>0.99706550000000005</v>
      </c>
      <c r="Q1561">
        <v>3.4269670000000002E-2</v>
      </c>
      <c r="R1561">
        <v>6.845379E-2</v>
      </c>
      <c r="S1561">
        <v>3.0490110000000001</v>
      </c>
      <c r="T1561">
        <v>7.7697039999999997E-3</v>
      </c>
      <c r="U1561">
        <v>-0.59329219999999905</v>
      </c>
      <c r="V1561">
        <v>-7.7597390000000002E-2</v>
      </c>
      <c r="W1561">
        <v>4.4016739999999999E-2</v>
      </c>
      <c r="X1561">
        <v>0.99601260000000003</v>
      </c>
      <c r="Y1561">
        <v>0.18200040000000001</v>
      </c>
      <c r="Z1561">
        <v>2.0661209999999999E-4</v>
      </c>
      <c r="AA1561">
        <v>0.98329840000000002</v>
      </c>
      <c r="AB1561">
        <v>22</v>
      </c>
      <c r="AC1561">
        <v>126.572</v>
      </c>
      <c r="AD1561">
        <v>0.32281300000000002</v>
      </c>
      <c r="AE1561">
        <v>-24.6496</v>
      </c>
      <c r="AF1561">
        <v>23.488707345084102</v>
      </c>
      <c r="AG1561">
        <v>0.32281300000000002</v>
      </c>
      <c r="AH1561">
        <v>126.791743330984</v>
      </c>
      <c r="AI1561">
        <v>89.8565652142875</v>
      </c>
      <c r="AJ1561">
        <v>79.504697978414498</v>
      </c>
      <c r="AK1561">
        <v>128.94948529515801</v>
      </c>
      <c r="AL1561">
        <v>87.477211391892595</v>
      </c>
      <c r="AM1561">
        <v>94.454803402625203</v>
      </c>
      <c r="AN1561">
        <v>0.99999996384689904</v>
      </c>
    </row>
    <row r="1562" spans="1:40" x14ac:dyDescent="0.3">
      <c r="A1562" t="str">
        <f>"20200111145940447"</f>
        <v>20200111145940447</v>
      </c>
      <c r="B1562" t="str">
        <f>"1578725980436951"</f>
        <v>1578725980436951</v>
      </c>
      <c r="C1562" t="s">
        <v>40</v>
      </c>
      <c r="D1562">
        <v>4.3011229999999996</v>
      </c>
      <c r="E1562">
        <v>0.54470090000000004</v>
      </c>
      <c r="F1562" t="s">
        <v>48</v>
      </c>
      <c r="G1562">
        <v>-160.4837</v>
      </c>
      <c r="H1562">
        <v>1.3792279999999999</v>
      </c>
      <c r="I1562">
        <v>342.64389999999997</v>
      </c>
      <c r="J1562">
        <v>-287.25020000000001</v>
      </c>
      <c r="K1562">
        <v>1.054454</v>
      </c>
      <c r="L1562">
        <v>367.29259999999999</v>
      </c>
      <c r="M1562">
        <v>0.99991070000000004</v>
      </c>
      <c r="N1562">
        <v>0</v>
      </c>
      <c r="O1562">
        <v>-9.0609729999999999E-3</v>
      </c>
      <c r="P1562">
        <v>0.99703629999999999</v>
      </c>
      <c r="Q1562">
        <v>3.470997E-2</v>
      </c>
      <c r="R1562">
        <v>6.8659220000000007E-2</v>
      </c>
      <c r="S1562">
        <v>3.049194</v>
      </c>
      <c r="T1562">
        <v>7.8051090000000002E-3</v>
      </c>
      <c r="U1562">
        <v>-0.59237669999999998</v>
      </c>
      <c r="V1562">
        <v>-7.770262E-2</v>
      </c>
      <c r="W1562">
        <v>4.4491210000000003E-2</v>
      </c>
      <c r="X1562">
        <v>0.99598339999999996</v>
      </c>
      <c r="Y1562">
        <v>0.1818042</v>
      </c>
      <c r="Z1562">
        <v>2.075546E-4</v>
      </c>
      <c r="AA1562">
        <v>0.98333470000000001</v>
      </c>
      <c r="AB1562">
        <v>22</v>
      </c>
      <c r="AC1562">
        <v>126.76649999999999</v>
      </c>
      <c r="AD1562">
        <v>0.32477400000000001</v>
      </c>
      <c r="AE1562">
        <v>-24.648700000000002</v>
      </c>
      <c r="AF1562">
        <v>23.4988561613497</v>
      </c>
      <c r="AG1562">
        <v>0.32477400000000001</v>
      </c>
      <c r="AH1562">
        <v>126.983844400566</v>
      </c>
      <c r="AI1562">
        <v>89.855907029004101</v>
      </c>
      <c r="AJ1562">
        <v>79.515795613540703</v>
      </c>
      <c r="AK1562">
        <v>129.14022788345301</v>
      </c>
      <c r="AL1562">
        <v>87.449999820389294</v>
      </c>
      <c r="AM1562">
        <v>94.460950458580797</v>
      </c>
      <c r="AN1562">
        <v>1.0000000489988401</v>
      </c>
    </row>
    <row r="1563" spans="1:40" x14ac:dyDescent="0.3">
      <c r="A1563" t="str">
        <f>"20200111145940472"</f>
        <v>20200111145940472</v>
      </c>
      <c r="B1563" t="str">
        <f>"1578725980467206"</f>
        <v>1578725980467206</v>
      </c>
      <c r="C1563" t="s">
        <v>40</v>
      </c>
      <c r="D1563">
        <v>4.3262179999999999</v>
      </c>
      <c r="E1563">
        <v>0.53432230000000003</v>
      </c>
      <c r="F1563" t="s">
        <v>44</v>
      </c>
      <c r="G1563">
        <v>-158.19499999999999</v>
      </c>
      <c r="H1563">
        <v>4.342212</v>
      </c>
      <c r="I1563">
        <v>360.8938</v>
      </c>
      <c r="J1563">
        <v>-287.00779999999997</v>
      </c>
      <c r="K1563">
        <v>1.05446</v>
      </c>
      <c r="L1563">
        <v>367.29070000000002</v>
      </c>
      <c r="M1563">
        <v>0.99991180000000002</v>
      </c>
      <c r="N1563">
        <v>0</v>
      </c>
      <c r="O1563">
        <v>-8.8467370000000004E-3</v>
      </c>
      <c r="P1563">
        <v>0.99695900000000004</v>
      </c>
      <c r="Q1563">
        <v>3.496527E-2</v>
      </c>
      <c r="R1563">
        <v>6.9643319999999995E-2</v>
      </c>
      <c r="S1563">
        <v>3.0165410000000001</v>
      </c>
      <c r="T1563">
        <v>7.6850180000000004E-2</v>
      </c>
      <c r="U1563">
        <v>-0.1495667</v>
      </c>
      <c r="V1563">
        <v>-7.8472260000000002E-2</v>
      </c>
      <c r="W1563">
        <v>4.4816080000000001E-2</v>
      </c>
      <c r="X1563">
        <v>0.99590840000000003</v>
      </c>
      <c r="Y1563">
        <v>4.067279E-2</v>
      </c>
      <c r="Z1563">
        <v>2.9248989999999998E-4</v>
      </c>
      <c r="AA1563">
        <v>0.99917239999999996</v>
      </c>
      <c r="AB1563">
        <v>22</v>
      </c>
      <c r="AC1563">
        <v>128.81279999999899</v>
      </c>
      <c r="AD1563">
        <v>3.2877519999999998</v>
      </c>
      <c r="AE1563">
        <v>-6.3969000000000102</v>
      </c>
      <c r="AF1563">
        <v>5.2536067305263598</v>
      </c>
      <c r="AG1563">
        <v>3.2877519999999998</v>
      </c>
      <c r="AH1563">
        <v>128.780665545186</v>
      </c>
      <c r="AI1563">
        <v>88.538779473623606</v>
      </c>
      <c r="AJ1563">
        <v>87.663914260973797</v>
      </c>
      <c r="AK1563">
        <v>128.92970765170301</v>
      </c>
      <c r="AL1563">
        <v>87.4313673246006</v>
      </c>
      <c r="AM1563">
        <v>94.505292785768802</v>
      </c>
      <c r="AN1563">
        <v>0.99999995890331606</v>
      </c>
    </row>
    <row r="1564" spans="1:40" x14ac:dyDescent="0.3">
      <c r="A1564" t="str">
        <f>"20200111145940482"</f>
        <v>20200111145940482</v>
      </c>
      <c r="B1564" t="str">
        <f>"1578725980476966"</f>
        <v>1578725980476966</v>
      </c>
      <c r="C1564" t="s">
        <v>40</v>
      </c>
      <c r="D1564">
        <v>4.208666</v>
      </c>
      <c r="E1564">
        <v>0.53272219999999904</v>
      </c>
      <c r="F1564" t="s">
        <v>44</v>
      </c>
      <c r="G1564">
        <v>-158.19499999999999</v>
      </c>
      <c r="H1564">
        <v>3.9121130000000002</v>
      </c>
      <c r="I1564">
        <v>364.54930000000002</v>
      </c>
      <c r="J1564">
        <v>-286.89580000000001</v>
      </c>
      <c r="K1564">
        <v>1.0544639999999901</v>
      </c>
      <c r="L1564">
        <v>367.28980000000001</v>
      </c>
      <c r="M1564">
        <v>0.99991240000000003</v>
      </c>
      <c r="N1564">
        <v>0</v>
      </c>
      <c r="O1564">
        <v>-8.7477089999999993E-3</v>
      </c>
      <c r="P1564">
        <v>0.99693120000000002</v>
      </c>
      <c r="Q1564">
        <v>3.521386E-2</v>
      </c>
      <c r="R1564">
        <v>6.9918220000000003E-2</v>
      </c>
      <c r="S1564">
        <v>3.0112920000000001</v>
      </c>
      <c r="T1564">
        <v>6.6806080000000004E-2</v>
      </c>
      <c r="U1564">
        <v>-6.4086909999999997E-2</v>
      </c>
      <c r="V1564">
        <v>-7.8648399999999993E-2</v>
      </c>
      <c r="W1564">
        <v>4.5096190000000001E-2</v>
      </c>
      <c r="X1564">
        <v>0.99588189999999999</v>
      </c>
      <c r="Y1564">
        <v>1.2529480000000001E-2</v>
      </c>
      <c r="Z1564" s="1">
        <v>-5.5075360000000002E-5</v>
      </c>
      <c r="AA1564">
        <v>0.99992150000000002</v>
      </c>
      <c r="AB1564">
        <v>22</v>
      </c>
      <c r="AC1564">
        <v>128.70079999999999</v>
      </c>
      <c r="AD1564">
        <v>2.8576489999999999</v>
      </c>
      <c r="AE1564">
        <v>-2.7404999999999902</v>
      </c>
      <c r="AF1564">
        <v>1.61370722669822</v>
      </c>
      <c r="AG1564">
        <v>2.8576489999999999</v>
      </c>
      <c r="AH1564">
        <v>128.65644934802401</v>
      </c>
      <c r="AI1564">
        <v>88.727685716842402</v>
      </c>
      <c r="AJ1564">
        <v>89.281390355252896</v>
      </c>
      <c r="AK1564">
        <v>128.698299008422</v>
      </c>
      <c r="AL1564">
        <v>87.4153020614132</v>
      </c>
      <c r="AM1564">
        <v>94.515483315355297</v>
      </c>
      <c r="AN1564">
        <v>0.99999999796134298</v>
      </c>
    </row>
    <row r="1565" spans="1:40" x14ac:dyDescent="0.3">
      <c r="A1565" t="str">
        <f>"20200111145940494"</f>
        <v>20200111145940494</v>
      </c>
      <c r="B1565" t="str">
        <f>"1578725980487703"</f>
        <v>1578725980487703</v>
      </c>
      <c r="C1565" t="s">
        <v>40</v>
      </c>
      <c r="D1565">
        <v>4.2001140000000001</v>
      </c>
      <c r="E1565">
        <v>0.53166959999999996</v>
      </c>
      <c r="F1565" t="s">
        <v>44</v>
      </c>
      <c r="G1565">
        <v>-158.19499999999999</v>
      </c>
      <c r="H1565">
        <v>3.0186869999999999</v>
      </c>
      <c r="I1565">
        <v>365.13240000000002</v>
      </c>
      <c r="J1565">
        <v>-286.78300000000002</v>
      </c>
      <c r="K1565">
        <v>1.054467</v>
      </c>
      <c r="L1565">
        <v>367.28890000000001</v>
      </c>
      <c r="M1565">
        <v>0.99991300000000005</v>
      </c>
      <c r="N1565">
        <v>0</v>
      </c>
      <c r="O1565">
        <v>-8.6480810000000002E-3</v>
      </c>
      <c r="P1565">
        <v>0.99689689999999997</v>
      </c>
      <c r="Q1565">
        <v>3.5730810000000002E-2</v>
      </c>
      <c r="R1565">
        <v>7.0144680000000001E-2</v>
      </c>
      <c r="S1565">
        <v>3.0111690000000002</v>
      </c>
      <c r="T1565">
        <v>4.5958279999999997E-2</v>
      </c>
      <c r="U1565">
        <v>-5.0476069999999998E-2</v>
      </c>
      <c r="V1565">
        <v>-7.8775129999999999E-2</v>
      </c>
      <c r="W1565">
        <v>4.5643509999999998E-2</v>
      </c>
      <c r="X1565">
        <v>0.99584689999999998</v>
      </c>
      <c r="Y1565">
        <v>8.1127339999999999E-3</v>
      </c>
      <c r="Z1565" s="1">
        <v>-7.0075429999999999E-5</v>
      </c>
      <c r="AA1565">
        <v>0.9999671</v>
      </c>
      <c r="AB1565">
        <v>22</v>
      </c>
      <c r="AC1565">
        <v>128.58799999999999</v>
      </c>
      <c r="AD1565">
        <v>1.9642200000000001</v>
      </c>
      <c r="AE1565">
        <v>-2.1564999999999901</v>
      </c>
      <c r="AF1565">
        <v>1.04408119439851</v>
      </c>
      <c r="AG1565">
        <v>1.9642200000000001</v>
      </c>
      <c r="AH1565">
        <v>128.57184959944399</v>
      </c>
      <c r="AI1565">
        <v>89.124776905294198</v>
      </c>
      <c r="AJ1565">
        <v>89.534733838030704</v>
      </c>
      <c r="AK1565">
        <v>128.59109135228201</v>
      </c>
      <c r="AL1565">
        <v>87.383910483413004</v>
      </c>
      <c r="AM1565">
        <v>94.522887467173305</v>
      </c>
      <c r="AN1565">
        <v>0.999999949675622</v>
      </c>
    </row>
    <row r="1566" spans="1:40" x14ac:dyDescent="0.3">
      <c r="A1566" t="str">
        <f>"20200111145940504"</f>
        <v>20200111145940504</v>
      </c>
      <c r="B1566" t="str">
        <f>"1578725980497462"</f>
        <v>1578725980497462</v>
      </c>
      <c r="C1566" t="s">
        <v>40</v>
      </c>
      <c r="D1566">
        <v>4.208107</v>
      </c>
      <c r="E1566">
        <v>0.53071179999999996</v>
      </c>
      <c r="F1566" t="s">
        <v>44</v>
      </c>
      <c r="G1566">
        <v>-158.19499999999999</v>
      </c>
      <c r="H1566">
        <v>2.4371710000000002</v>
      </c>
      <c r="I1566">
        <v>365.52949999999998</v>
      </c>
      <c r="J1566">
        <v>-286.68169999999998</v>
      </c>
      <c r="K1566">
        <v>1.0544709999999999</v>
      </c>
      <c r="L1566">
        <v>367.28809999999999</v>
      </c>
      <c r="M1566">
        <v>0.99991350000000001</v>
      </c>
      <c r="N1566">
        <v>0</v>
      </c>
      <c r="O1566">
        <v>-8.5586849999999999E-3</v>
      </c>
      <c r="P1566">
        <v>0.99689700000000003</v>
      </c>
      <c r="Q1566">
        <v>3.5743280000000002E-2</v>
      </c>
      <c r="R1566">
        <v>7.013722E-2</v>
      </c>
      <c r="S1566">
        <v>3.0110779999999999</v>
      </c>
      <c r="T1566">
        <v>3.2380100000000002E-2</v>
      </c>
      <c r="U1566">
        <v>-4.1198730000000003E-2</v>
      </c>
      <c r="V1566">
        <v>-7.8679070000000004E-2</v>
      </c>
      <c r="W1566">
        <v>4.5683040000000001E-2</v>
      </c>
      <c r="X1566">
        <v>0.99585270000000004</v>
      </c>
      <c r="Y1566">
        <v>5.1224920000000002E-3</v>
      </c>
      <c r="Z1566" s="1">
        <v>-6.4491950000000002E-5</v>
      </c>
      <c r="AA1566">
        <v>0.99998690000000001</v>
      </c>
      <c r="AB1566">
        <v>22</v>
      </c>
      <c r="AC1566">
        <v>128.48669999999899</v>
      </c>
      <c r="AD1566">
        <v>1.38269999999999</v>
      </c>
      <c r="AE1566">
        <v>-1.7585999999999999</v>
      </c>
      <c r="AF1566">
        <v>0.65872727315536705</v>
      </c>
      <c r="AG1566">
        <v>1.38269999999999</v>
      </c>
      <c r="AH1566">
        <v>128.48216909225101</v>
      </c>
      <c r="AI1566">
        <v>89.383425921431694</v>
      </c>
      <c r="AJ1566">
        <v>89.706247472508693</v>
      </c>
      <c r="AK1566">
        <v>128.49129758688099</v>
      </c>
      <c r="AL1566">
        <v>87.381643264524499</v>
      </c>
      <c r="AM1566">
        <v>94.517368806747498</v>
      </c>
      <c r="AN1566">
        <v>0.99999996814849701</v>
      </c>
    </row>
    <row r="1567" spans="1:40" x14ac:dyDescent="0.3">
      <c r="A1567" t="str">
        <f>"20200111145940515"</f>
        <v>20200111145940515</v>
      </c>
      <c r="B1567" t="str">
        <f>"1578725980507222"</f>
        <v>1578725980507222</v>
      </c>
      <c r="C1567" t="s">
        <v>40</v>
      </c>
      <c r="D1567">
        <v>4.2425610000000002</v>
      </c>
      <c r="E1567">
        <v>0.52985090000000001</v>
      </c>
      <c r="F1567" t="s">
        <v>44</v>
      </c>
      <c r="G1567">
        <v>-158.19499999999999</v>
      </c>
      <c r="H1567">
        <v>1.914282</v>
      </c>
      <c r="I1567">
        <v>365.84390000000002</v>
      </c>
      <c r="J1567">
        <v>-286.57690000000002</v>
      </c>
      <c r="K1567">
        <v>1.0544709999999999</v>
      </c>
      <c r="L1567">
        <v>367.28730000000002</v>
      </c>
      <c r="M1567">
        <v>0.99991410000000003</v>
      </c>
      <c r="N1567">
        <v>0</v>
      </c>
      <c r="O1567">
        <v>-8.4661890000000007E-3</v>
      </c>
      <c r="P1567">
        <v>0.99688710000000003</v>
      </c>
      <c r="Q1567">
        <v>3.6040170000000003E-2</v>
      </c>
      <c r="R1567">
        <v>7.0126270000000004E-2</v>
      </c>
      <c r="S1567">
        <v>3.0109859999999999</v>
      </c>
      <c r="T1567">
        <v>2.0151019999999999E-2</v>
      </c>
      <c r="U1567">
        <v>-3.3843989999999997E-2</v>
      </c>
      <c r="V1567">
        <v>-7.8575339999999994E-2</v>
      </c>
      <c r="W1567">
        <v>4.6006480000000002E-2</v>
      </c>
      <c r="X1567">
        <v>0.99584600000000001</v>
      </c>
      <c r="Y1567">
        <v>2.7731050000000001E-3</v>
      </c>
      <c r="Z1567" s="1">
        <v>-4.7380080000000003E-5</v>
      </c>
      <c r="AA1567">
        <v>0.99999610000000005</v>
      </c>
      <c r="AB1567">
        <v>22</v>
      </c>
      <c r="AC1567">
        <v>128.3819</v>
      </c>
      <c r="AD1567">
        <v>0.85981099999999999</v>
      </c>
      <c r="AE1567">
        <v>-1.44339999999999</v>
      </c>
      <c r="AF1567">
        <v>0.35637244033959498</v>
      </c>
      <c r="AG1567">
        <v>0.85981099999999999</v>
      </c>
      <c r="AH1567">
        <v>128.38376143189399</v>
      </c>
      <c r="AI1567">
        <v>89.6162862449671</v>
      </c>
      <c r="AJ1567">
        <v>89.840956643620402</v>
      </c>
      <c r="AK1567">
        <v>128.387135164211</v>
      </c>
      <c r="AL1567">
        <v>87.363092011271902</v>
      </c>
      <c r="AM1567">
        <v>94.511467965017999</v>
      </c>
      <c r="AN1567">
        <v>0.99999996798705204</v>
      </c>
    </row>
    <row r="1568" spans="1:40" x14ac:dyDescent="0.3">
      <c r="A1568" t="str">
        <f>"20200111145940525"</f>
        <v>20200111145940525</v>
      </c>
      <c r="B1568" t="str">
        <f>"1578725980516982"</f>
        <v>1578725980516982</v>
      </c>
      <c r="C1568" t="s">
        <v>40</v>
      </c>
      <c r="D1568">
        <v>4.2395519999999998</v>
      </c>
      <c r="E1568">
        <v>0.52926509999999904</v>
      </c>
      <c r="F1568" t="s">
        <v>44</v>
      </c>
      <c r="G1568">
        <v>-158.19499999999999</v>
      </c>
      <c r="H1568">
        <v>1.6455500000000001</v>
      </c>
      <c r="I1568">
        <v>366.1422</v>
      </c>
      <c r="J1568">
        <v>-286.47449999999998</v>
      </c>
      <c r="K1568">
        <v>1.0544739999999999</v>
      </c>
      <c r="L1568">
        <v>367.28660000000002</v>
      </c>
      <c r="M1568">
        <v>0.99991450000000004</v>
      </c>
      <c r="N1568">
        <v>0</v>
      </c>
      <c r="O1568">
        <v>-8.3753530000000003E-3</v>
      </c>
      <c r="P1568">
        <v>0.99691019999999997</v>
      </c>
      <c r="Q1568">
        <v>3.5905090000000001E-2</v>
      </c>
      <c r="R1568">
        <v>6.986415E-2</v>
      </c>
      <c r="S1568">
        <v>3.010742</v>
      </c>
      <c r="T1568">
        <v>1.386368E-2</v>
      </c>
      <c r="U1568">
        <v>-2.6855469999999999E-2</v>
      </c>
      <c r="V1568">
        <v>-7.8223360000000006E-2</v>
      </c>
      <c r="W1568">
        <v>4.5896439999999997E-2</v>
      </c>
      <c r="X1568">
        <v>0.99587879999999995</v>
      </c>
      <c r="Y1568">
        <v>5.4385550000000005E-4</v>
      </c>
      <c r="Z1568" s="1">
        <v>-3.7314480000000002E-5</v>
      </c>
      <c r="AA1568">
        <v>0.99999990000000005</v>
      </c>
      <c r="AB1568">
        <v>22</v>
      </c>
      <c r="AC1568">
        <v>128.27949999999899</v>
      </c>
      <c r="AD1568">
        <v>0.59107600000000005</v>
      </c>
      <c r="AE1568">
        <v>-1.1444000000000101</v>
      </c>
      <c r="AF1568">
        <v>6.9918099967112193E-2</v>
      </c>
      <c r="AG1568">
        <v>0.59107600000000005</v>
      </c>
      <c r="AH1568">
        <v>128.28186217717499</v>
      </c>
      <c r="AI1568">
        <v>89.736003867524502</v>
      </c>
      <c r="AJ1568">
        <v>89.968771800042305</v>
      </c>
      <c r="AK1568">
        <v>128.28324295488599</v>
      </c>
      <c r="AL1568">
        <v>87.369403539708003</v>
      </c>
      <c r="AM1568">
        <v>94.491194293248199</v>
      </c>
      <c r="AN1568">
        <v>0.999999980771901</v>
      </c>
    </row>
    <row r="1569" spans="1:40" x14ac:dyDescent="0.3">
      <c r="A1569" t="str">
        <f>"20200111145940537"</f>
        <v>20200111145940537</v>
      </c>
      <c r="B1569" t="str">
        <f>"1578725980526741"</f>
        <v>1578725980526741</v>
      </c>
      <c r="C1569" t="s">
        <v>40</v>
      </c>
      <c r="D1569">
        <v>4.2195900000000002</v>
      </c>
      <c r="E1569">
        <v>0.52885130000000002</v>
      </c>
      <c r="F1569" t="s">
        <v>44</v>
      </c>
      <c r="G1569">
        <v>-158.19499999999999</v>
      </c>
      <c r="H1569">
        <v>1.450637</v>
      </c>
      <c r="I1569">
        <v>366.31389999999999</v>
      </c>
      <c r="J1569">
        <v>-286.35399999999998</v>
      </c>
      <c r="K1569">
        <v>1.0544739999999999</v>
      </c>
      <c r="L1569">
        <v>367.28559999999999</v>
      </c>
      <c r="M1569">
        <v>0.99991509999999995</v>
      </c>
      <c r="N1569">
        <v>0</v>
      </c>
      <c r="O1569">
        <v>-8.2686789999999993E-3</v>
      </c>
      <c r="P1569">
        <v>0.99691390000000002</v>
      </c>
      <c r="Q1569">
        <v>3.5928019999999998E-2</v>
      </c>
      <c r="R1569">
        <v>6.9801199999999994E-2</v>
      </c>
      <c r="S1569">
        <v>3.0105590000000002</v>
      </c>
      <c r="T1569">
        <v>9.2995170000000002E-3</v>
      </c>
      <c r="U1569">
        <v>-2.2827150000000001E-2</v>
      </c>
      <c r="V1569">
        <v>-7.8054139999999994E-2</v>
      </c>
      <c r="W1569">
        <v>4.5946939999999999E-2</v>
      </c>
      <c r="X1569">
        <v>0.99588980000000005</v>
      </c>
      <c r="Y1569">
        <v>-6.8693339999999995E-4</v>
      </c>
      <c r="Z1569" s="1">
        <v>-2.660306E-5</v>
      </c>
      <c r="AA1569">
        <v>0.99999979999999999</v>
      </c>
      <c r="AB1569">
        <v>22</v>
      </c>
      <c r="AC1569">
        <v>128.15899999999999</v>
      </c>
      <c r="AD1569">
        <v>0.39616299999999999</v>
      </c>
      <c r="AE1569">
        <v>-0.97169999999999801</v>
      </c>
      <c r="AF1569">
        <v>-8.8091754951489104E-2</v>
      </c>
      <c r="AG1569">
        <v>0.39616299999999999</v>
      </c>
      <c r="AH1569">
        <v>128.16142881532701</v>
      </c>
      <c r="AI1569">
        <v>89.822892187980798</v>
      </c>
      <c r="AJ1569">
        <v>90.039382246440297</v>
      </c>
      <c r="AK1569">
        <v>128.16207138333101</v>
      </c>
      <c r="AL1569">
        <v>87.366507181864904</v>
      </c>
      <c r="AM1569">
        <v>94.481468849398496</v>
      </c>
      <c r="AN1569">
        <v>1.00000003190527</v>
      </c>
    </row>
    <row r="1570" spans="1:40" x14ac:dyDescent="0.3">
      <c r="A1570" t="str">
        <f>"20200111145940549"</f>
        <v>20200111145940549</v>
      </c>
      <c r="B1570" t="str">
        <f>"1578725980537478"</f>
        <v>1578725980537478</v>
      </c>
      <c r="C1570" t="s">
        <v>40</v>
      </c>
      <c r="D1570">
        <v>4.2367460000000001</v>
      </c>
      <c r="E1570">
        <v>0.52830639999999995</v>
      </c>
      <c r="F1570" t="s">
        <v>44</v>
      </c>
      <c r="G1570">
        <v>-158.19499999999999</v>
      </c>
      <c r="H1570">
        <v>1.2548159999999999</v>
      </c>
      <c r="I1570">
        <v>366.44380000000001</v>
      </c>
      <c r="J1570">
        <v>-286.24720000000002</v>
      </c>
      <c r="K1570">
        <v>1.054476</v>
      </c>
      <c r="L1570">
        <v>367.28489999999999</v>
      </c>
      <c r="M1570">
        <v>0.99991569999999996</v>
      </c>
      <c r="N1570">
        <v>0</v>
      </c>
      <c r="O1570">
        <v>-8.1743779999999995E-3</v>
      </c>
      <c r="P1570">
        <v>0.99692190000000003</v>
      </c>
      <c r="Q1570">
        <v>3.570102E-2</v>
      </c>
      <c r="R1570">
        <v>6.9803009999999999E-2</v>
      </c>
      <c r="S1570">
        <v>3.010529</v>
      </c>
      <c r="T1570">
        <v>4.7081709999999997E-3</v>
      </c>
      <c r="U1570">
        <v>-1.977539E-2</v>
      </c>
      <c r="V1570">
        <v>-7.7962249999999997E-2</v>
      </c>
      <c r="W1570">
        <v>4.5743060000000002E-2</v>
      </c>
      <c r="X1570">
        <v>0.99590639999999997</v>
      </c>
      <c r="Y1570">
        <v>-1.6062239999999901E-3</v>
      </c>
      <c r="Z1570" s="1">
        <v>-1.4040210000000001E-5</v>
      </c>
      <c r="AA1570">
        <v>0.99999870000000002</v>
      </c>
      <c r="AB1570">
        <v>22</v>
      </c>
      <c r="AC1570">
        <v>128.0522</v>
      </c>
      <c r="AD1570">
        <v>0.20033999999999999</v>
      </c>
      <c r="AE1570">
        <v>-0.84109999999998297</v>
      </c>
      <c r="AF1570">
        <v>-0.20572795672930799</v>
      </c>
      <c r="AG1570">
        <v>0.20033999999999999</v>
      </c>
      <c r="AH1570">
        <v>128.05448363146499</v>
      </c>
      <c r="AI1570">
        <v>89.910361496422695</v>
      </c>
      <c r="AJ1570">
        <v>90.092049361903804</v>
      </c>
      <c r="AK1570">
        <v>128.05480560380801</v>
      </c>
      <c r="AL1570">
        <v>87.378200984489197</v>
      </c>
      <c r="AM1570">
        <v>94.4761401426628</v>
      </c>
      <c r="AN1570">
        <v>1.0000000487620899</v>
      </c>
    </row>
    <row r="1571" spans="1:40" x14ac:dyDescent="0.3">
      <c r="A1571" t="str">
        <f>"20200111145940559"</f>
        <v>20200111145940559</v>
      </c>
      <c r="B1571" t="str">
        <f>"1578725980556998"</f>
        <v>1578725980556998</v>
      </c>
      <c r="C1571" t="s">
        <v>40</v>
      </c>
      <c r="D1571">
        <v>4.2287269999999904</v>
      </c>
      <c r="E1571">
        <v>0.52774209999999999</v>
      </c>
      <c r="F1571" t="s">
        <v>44</v>
      </c>
      <c r="G1571">
        <v>-158.19499999999999</v>
      </c>
      <c r="H1571">
        <v>1.1198589999999999</v>
      </c>
      <c r="I1571">
        <v>366.62810000000002</v>
      </c>
      <c r="J1571">
        <v>-286.12909999999999</v>
      </c>
      <c r="K1571">
        <v>1.054476</v>
      </c>
      <c r="L1571">
        <v>367.28399999999999</v>
      </c>
      <c r="M1571">
        <v>0.99991609999999997</v>
      </c>
      <c r="N1571">
        <v>0</v>
      </c>
      <c r="O1571">
        <v>-8.0699529999999995E-3</v>
      </c>
      <c r="P1571">
        <v>0.99693639999999994</v>
      </c>
      <c r="Q1571">
        <v>3.553978E-2</v>
      </c>
      <c r="R1571">
        <v>6.9677900000000001E-2</v>
      </c>
      <c r="S1571">
        <v>3.010284</v>
      </c>
      <c r="T1571">
        <v>1.5391109999999999E-3</v>
      </c>
      <c r="U1571">
        <v>-1.544189E-2</v>
      </c>
      <c r="V1571">
        <v>-7.7732910000000002E-2</v>
      </c>
      <c r="W1571">
        <v>4.5606349999999997E-2</v>
      </c>
      <c r="X1571">
        <v>0.9959306</v>
      </c>
      <c r="Y1571">
        <v>-2.9407819999999999E-3</v>
      </c>
      <c r="Z1571" s="1">
        <v>-4.8779539999999997E-6</v>
      </c>
      <c r="AA1571">
        <v>0.99999559999999998</v>
      </c>
      <c r="AB1571">
        <v>22</v>
      </c>
      <c r="AC1571">
        <v>127.9341</v>
      </c>
      <c r="AD1571">
        <v>6.53829999999999E-2</v>
      </c>
      <c r="AE1571">
        <v>-0.65589999999997395</v>
      </c>
      <c r="AF1571">
        <v>-0.37659643860372</v>
      </c>
      <c r="AG1571">
        <v>6.53829999999999E-2</v>
      </c>
      <c r="AH1571">
        <v>127.935193644565</v>
      </c>
      <c r="AI1571">
        <v>89.9707183513095</v>
      </c>
      <c r="AJ1571">
        <v>90.168658236831106</v>
      </c>
      <c r="AK1571">
        <v>127.935764634783</v>
      </c>
      <c r="AL1571">
        <v>87.3860420824454</v>
      </c>
      <c r="AM1571">
        <v>94.462918037681504</v>
      </c>
      <c r="AN1571">
        <v>1.0000000522368699</v>
      </c>
    </row>
    <row r="1572" spans="1:40" x14ac:dyDescent="0.3">
      <c r="A1572" t="str">
        <f>"20200111145940571"</f>
        <v>20200111145940571</v>
      </c>
      <c r="B1572" t="str">
        <f>"1578725980566758"</f>
        <v>1578725980566758</v>
      </c>
      <c r="C1572" t="s">
        <v>40</v>
      </c>
      <c r="D1572">
        <v>4.2437209999999999</v>
      </c>
      <c r="E1572">
        <v>0.5276691</v>
      </c>
      <c r="F1572" t="s">
        <v>44</v>
      </c>
      <c r="G1572">
        <v>-158.19499999999999</v>
      </c>
      <c r="H1572">
        <v>0.69435230000000003</v>
      </c>
      <c r="I1572">
        <v>366.79379999999998</v>
      </c>
      <c r="J1572">
        <v>-286.01819999999998</v>
      </c>
      <c r="K1572">
        <v>1.0544770000000001</v>
      </c>
      <c r="L1572">
        <v>367.28320000000002</v>
      </c>
      <c r="M1572">
        <v>0.9999169</v>
      </c>
      <c r="N1572">
        <v>0</v>
      </c>
      <c r="O1572">
        <v>-7.972303E-3</v>
      </c>
      <c r="P1572">
        <v>0.99696059999999997</v>
      </c>
      <c r="Q1572">
        <v>3.5279209999999998E-2</v>
      </c>
      <c r="R1572">
        <v>6.9460649999999999E-2</v>
      </c>
      <c r="S1572">
        <v>3.0103149999999999</v>
      </c>
      <c r="T1572">
        <v>-8.4717270000000001E-3</v>
      </c>
      <c r="U1572">
        <v>-1.153564E-2</v>
      </c>
      <c r="V1572">
        <v>-7.7418399999999998E-2</v>
      </c>
      <c r="W1572">
        <v>4.5367230000000001E-2</v>
      </c>
      <c r="X1572">
        <v>0.99596600000000002</v>
      </c>
      <c r="Y1572">
        <v>-4.1407179999999998E-3</v>
      </c>
      <c r="Z1572" s="1">
        <v>2.8263119999999999E-5</v>
      </c>
      <c r="AA1572">
        <v>0.99999139999999997</v>
      </c>
      <c r="AB1572">
        <v>22</v>
      </c>
      <c r="AC1572">
        <v>127.8232</v>
      </c>
      <c r="AD1572">
        <v>-0.36012470000000002</v>
      </c>
      <c r="AE1572">
        <v>-0.48940000000004602</v>
      </c>
      <c r="AF1572">
        <v>-0.52970892981857598</v>
      </c>
      <c r="AG1572">
        <v>-0.36012470000000002</v>
      </c>
      <c r="AH1572">
        <v>127.82202471616</v>
      </c>
      <c r="AI1572">
        <v>90.161422835275204</v>
      </c>
      <c r="AJ1572">
        <v>90.237438832449698</v>
      </c>
      <c r="AK1572">
        <v>127.82362959910201</v>
      </c>
      <c r="AL1572">
        <v>87.399756795886205</v>
      </c>
      <c r="AM1572">
        <v>94.444776074069495</v>
      </c>
      <c r="AN1572">
        <v>1.00000003368621</v>
      </c>
    </row>
    <row r="1573" spans="1:40" x14ac:dyDescent="0.3">
      <c r="A1573" t="str">
        <f>"20200111145940582"</f>
        <v>20200111145940582</v>
      </c>
      <c r="B1573" t="str">
        <f>"1578725980577494"</f>
        <v>1578725980577494</v>
      </c>
      <c r="C1573" t="s">
        <v>40</v>
      </c>
      <c r="D1573">
        <v>4.2143959999999998</v>
      </c>
      <c r="E1573">
        <v>0.52763499999999997</v>
      </c>
      <c r="F1573" t="s">
        <v>44</v>
      </c>
      <c r="G1573">
        <v>-158.19499999999999</v>
      </c>
      <c r="H1573">
        <v>0.50652229999999998</v>
      </c>
      <c r="I1573">
        <v>366.79469999999998</v>
      </c>
      <c r="J1573">
        <v>-285.91390000000001</v>
      </c>
      <c r="K1573">
        <v>1.0544739999999999</v>
      </c>
      <c r="L1573">
        <v>367.28250000000003</v>
      </c>
      <c r="M1573">
        <v>0.99991739999999996</v>
      </c>
      <c r="N1573">
        <v>0</v>
      </c>
      <c r="O1573">
        <v>-7.8803680000000004E-3</v>
      </c>
      <c r="P1573">
        <v>0.99696899999999999</v>
      </c>
      <c r="Q1573">
        <v>3.5213019999999998E-2</v>
      </c>
      <c r="R1573">
        <v>6.9375649999999997E-2</v>
      </c>
      <c r="S1573">
        <v>3.0104060000000001</v>
      </c>
      <c r="T1573">
        <v>-1.290298E-2</v>
      </c>
      <c r="U1573">
        <v>-1.1505130000000001E-2</v>
      </c>
      <c r="V1573">
        <v>-7.7241920000000006E-2</v>
      </c>
      <c r="W1573">
        <v>4.5320550000000001E-2</v>
      </c>
      <c r="X1573">
        <v>0.99598180000000003</v>
      </c>
      <c r="Y1573">
        <v>-4.0589689999999999E-3</v>
      </c>
      <c r="Z1573" s="1">
        <v>4.2475870000000002E-5</v>
      </c>
      <c r="AA1573">
        <v>0.99999179999999999</v>
      </c>
      <c r="AB1573">
        <v>22</v>
      </c>
      <c r="AC1573">
        <v>127.7189</v>
      </c>
      <c r="AD1573">
        <v>-0.54795169999999904</v>
      </c>
      <c r="AE1573">
        <v>-0.48780000000004903</v>
      </c>
      <c r="AF1573">
        <v>-0.51872941677677098</v>
      </c>
      <c r="AG1573">
        <v>-0.54795169999999904</v>
      </c>
      <c r="AH1573">
        <v>127.71642729222501</v>
      </c>
      <c r="AI1573">
        <v>90.2458169937387</v>
      </c>
      <c r="AJ1573">
        <v>90.232709632525896</v>
      </c>
      <c r="AK1573">
        <v>127.718656160968</v>
      </c>
      <c r="AL1573">
        <v>87.402434045116493</v>
      </c>
      <c r="AM1573">
        <v>94.434614327219407</v>
      </c>
      <c r="AN1573">
        <v>1.0000000061944101</v>
      </c>
    </row>
    <row r="1574" spans="1:40" x14ac:dyDescent="0.3">
      <c r="A1574" t="str">
        <f>"20200111145940593"</f>
        <v>20200111145940593</v>
      </c>
      <c r="B1574" t="str">
        <f>"1578725980587253"</f>
        <v>1578725980587253</v>
      </c>
      <c r="C1574" t="s">
        <v>40</v>
      </c>
      <c r="D1574">
        <v>4.4255459999999998</v>
      </c>
      <c r="E1574">
        <v>0.52734599999999998</v>
      </c>
      <c r="F1574" t="s">
        <v>44</v>
      </c>
      <c r="G1574">
        <v>-158.19499999999999</v>
      </c>
      <c r="H1574">
        <v>0.36288480000000001</v>
      </c>
      <c r="I1574">
        <v>366.80090000000001</v>
      </c>
      <c r="J1574">
        <v>-285.80290000000002</v>
      </c>
      <c r="K1574">
        <v>1.054473</v>
      </c>
      <c r="L1574">
        <v>367.2817</v>
      </c>
      <c r="M1574">
        <v>0.99991790000000003</v>
      </c>
      <c r="N1574">
        <v>0</v>
      </c>
      <c r="O1574">
        <v>-7.7822330000000004E-3</v>
      </c>
      <c r="P1574">
        <v>0.99697250000000004</v>
      </c>
      <c r="Q1574">
        <v>3.50725E-2</v>
      </c>
      <c r="R1574">
        <v>6.9396810000000003E-2</v>
      </c>
      <c r="S1574">
        <v>3.010437</v>
      </c>
      <c r="T1574">
        <v>-1.6299250000000001E-2</v>
      </c>
      <c r="U1574">
        <v>-1.135254E-2</v>
      </c>
      <c r="V1574">
        <v>-7.7165399999999995E-2</v>
      </c>
      <c r="W1574">
        <v>4.5198599999999998E-2</v>
      </c>
      <c r="X1574">
        <v>0.99599329999999997</v>
      </c>
      <c r="Y1574">
        <v>-4.011489E-3</v>
      </c>
      <c r="Z1574" s="1">
        <v>5.2995660000000002E-5</v>
      </c>
      <c r="AA1574">
        <v>0.99999199999999999</v>
      </c>
      <c r="AB1574">
        <v>22</v>
      </c>
      <c r="AC1574">
        <v>127.6079</v>
      </c>
      <c r="AD1574">
        <v>-0.69158819999999999</v>
      </c>
      <c r="AE1574">
        <v>-0.48079999999998702</v>
      </c>
      <c r="AF1574">
        <v>-0.51232538372295</v>
      </c>
      <c r="AG1574">
        <v>-0.69158819999999999</v>
      </c>
      <c r="AH1574">
        <v>127.60402927579599</v>
      </c>
      <c r="AI1574">
        <v>90.310526069623293</v>
      </c>
      <c r="AJ1574">
        <v>90.230039166195198</v>
      </c>
      <c r="AK1574">
        <v>127.606931860911</v>
      </c>
      <c r="AL1574">
        <v>87.409428502361393</v>
      </c>
      <c r="AM1574">
        <v>94.430187708781304</v>
      </c>
      <c r="AN1574">
        <v>1.000000033022</v>
      </c>
    </row>
    <row r="1575" spans="1:40" x14ac:dyDescent="0.3">
      <c r="A1575" t="str">
        <f>"20200111145940604"</f>
        <v>20200111145940604</v>
      </c>
      <c r="B1575" t="str">
        <f>"1578725980597016"</f>
        <v>1578725980597016</v>
      </c>
      <c r="C1575" t="s">
        <v>40</v>
      </c>
      <c r="D1575">
        <v>4.2524319999999998</v>
      </c>
      <c r="E1575">
        <v>0.52749000000000001</v>
      </c>
      <c r="F1575" t="s">
        <v>44</v>
      </c>
      <c r="G1575">
        <v>-158.19499999999999</v>
      </c>
      <c r="H1575">
        <v>0.41518759999999999</v>
      </c>
      <c r="I1575">
        <v>366.88850000000002</v>
      </c>
      <c r="J1575">
        <v>-285.68639999999999</v>
      </c>
      <c r="K1575">
        <v>1.054473</v>
      </c>
      <c r="L1575">
        <v>367.28100000000001</v>
      </c>
      <c r="M1575">
        <v>0.99991839999999999</v>
      </c>
      <c r="N1575">
        <v>0</v>
      </c>
      <c r="O1575">
        <v>-7.6793310000000002E-3</v>
      </c>
      <c r="P1575">
        <v>0.99699559999999998</v>
      </c>
      <c r="Q1575">
        <v>3.4870209999999999E-2</v>
      </c>
      <c r="R1575">
        <v>6.9164340000000005E-2</v>
      </c>
      <c r="S1575">
        <v>3.0102229999999999</v>
      </c>
      <c r="T1575">
        <v>-1.507843E-2</v>
      </c>
      <c r="U1575">
        <v>-9.2773439999999999E-3</v>
      </c>
      <c r="V1575">
        <v>-7.683073E-2</v>
      </c>
      <c r="W1575">
        <v>4.5015680000000002E-2</v>
      </c>
      <c r="X1575">
        <v>0.99602740000000001</v>
      </c>
      <c r="Y1575">
        <v>-4.597701E-3</v>
      </c>
      <c r="Z1575" s="1">
        <v>4.9982609999999897E-5</v>
      </c>
      <c r="AA1575">
        <v>0.99998940000000003</v>
      </c>
      <c r="AB1575">
        <v>22</v>
      </c>
      <c r="AC1575">
        <v>127.4914</v>
      </c>
      <c r="AD1575">
        <v>-0.639285399999999</v>
      </c>
      <c r="AE1575">
        <v>-0.39249999999998397</v>
      </c>
      <c r="AF1575">
        <v>-0.58659650869998803</v>
      </c>
      <c r="AG1575">
        <v>-0.639285399999999</v>
      </c>
      <c r="AH1575">
        <v>127.487449162366</v>
      </c>
      <c r="AI1575">
        <v>90.287304051063899</v>
      </c>
      <c r="AJ1575">
        <v>90.263628045471904</v>
      </c>
      <c r="AK1575">
        <v>127.49040150228301</v>
      </c>
      <c r="AL1575">
        <v>87.419919579906306</v>
      </c>
      <c r="AM1575">
        <v>94.410899349284094</v>
      </c>
      <c r="AN1575">
        <v>0.99999997703447696</v>
      </c>
    </row>
    <row r="1576" spans="1:40" x14ac:dyDescent="0.3">
      <c r="A1576" t="str">
        <f>"20200111145940616"</f>
        <v>20200111145940616</v>
      </c>
      <c r="B1576" t="str">
        <f>"1578725980606773"</f>
        <v>1578725980606773</v>
      </c>
      <c r="C1576" t="s">
        <v>40</v>
      </c>
      <c r="D1576">
        <v>4.4318470000000003</v>
      </c>
      <c r="E1576">
        <v>0.52749000000000001</v>
      </c>
      <c r="F1576" t="s">
        <v>44</v>
      </c>
      <c r="G1576">
        <v>-158.19499999999999</v>
      </c>
      <c r="H1576">
        <v>0.48763679999999898</v>
      </c>
      <c r="I1576">
        <v>366.81830000000002</v>
      </c>
      <c r="J1576">
        <v>-285.56150000000002</v>
      </c>
      <c r="K1576">
        <v>1.0544720000000001</v>
      </c>
      <c r="L1576">
        <v>367.28019999999998</v>
      </c>
      <c r="M1576">
        <v>0.99991920000000001</v>
      </c>
      <c r="N1576">
        <v>0</v>
      </c>
      <c r="O1576">
        <v>-7.5690380000000002E-3</v>
      </c>
      <c r="P1576">
        <v>0.99698560000000003</v>
      </c>
      <c r="Q1576">
        <v>3.4866250000000001E-2</v>
      </c>
      <c r="R1576">
        <v>6.9311999999999999E-2</v>
      </c>
      <c r="S1576">
        <v>3.0102540000000002</v>
      </c>
      <c r="T1576">
        <v>-1.338172E-2</v>
      </c>
      <c r="U1576">
        <v>-1.0925290000000001E-2</v>
      </c>
      <c r="V1576">
        <v>-7.6868199999999998E-2</v>
      </c>
      <c r="W1576">
        <v>4.5030439999999998E-2</v>
      </c>
      <c r="X1576">
        <v>0.99602389999999996</v>
      </c>
      <c r="Y1576">
        <v>-3.9400379999999999E-3</v>
      </c>
      <c r="Z1576" s="1">
        <v>4.2405779999999998E-5</v>
      </c>
      <c r="AA1576">
        <v>0.99999229999999995</v>
      </c>
      <c r="AB1576">
        <v>22</v>
      </c>
      <c r="AC1576">
        <v>127.3665</v>
      </c>
      <c r="AD1576">
        <v>-0.56683519999999898</v>
      </c>
      <c r="AE1576">
        <v>-0.46189999999995701</v>
      </c>
      <c r="AF1576">
        <v>-0.50219544492923196</v>
      </c>
      <c r="AG1576">
        <v>-0.56683519999999898</v>
      </c>
      <c r="AH1576">
        <v>127.36382488131299</v>
      </c>
      <c r="AI1576">
        <v>90.254992324446803</v>
      </c>
      <c r="AJ1576">
        <v>90.225916035390895</v>
      </c>
      <c r="AK1576">
        <v>127.36607629509</v>
      </c>
      <c r="AL1576">
        <v>87.419073185536504</v>
      </c>
      <c r="AM1576">
        <v>94.413057475403406</v>
      </c>
      <c r="AN1576">
        <v>1.00000003503452</v>
      </c>
    </row>
    <row r="1577" spans="1:40" x14ac:dyDescent="0.3">
      <c r="A1577" t="str">
        <f>"20200111145940629"</f>
        <v>20200111145940629</v>
      </c>
      <c r="B1577" t="str">
        <f>"1578725980617510"</f>
        <v>1578725980617510</v>
      </c>
      <c r="C1577" t="s">
        <v>40</v>
      </c>
      <c r="D1577">
        <v>4.4262489999999897</v>
      </c>
      <c r="E1577">
        <v>0.53291339999999998</v>
      </c>
      <c r="F1577" t="s">
        <v>44</v>
      </c>
      <c r="G1577">
        <v>-158.19499999999999</v>
      </c>
      <c r="H1577">
        <v>0.48508380000000001</v>
      </c>
      <c r="I1577">
        <v>366.84249999999997</v>
      </c>
      <c r="J1577">
        <v>-285.4436</v>
      </c>
      <c r="K1577">
        <v>1.054473</v>
      </c>
      <c r="L1577">
        <v>367.27940000000001</v>
      </c>
      <c r="M1577">
        <v>0.99991980000000003</v>
      </c>
      <c r="N1577">
        <v>0</v>
      </c>
      <c r="O1577">
        <v>-7.4649249999999999E-3</v>
      </c>
      <c r="P1577">
        <v>0.9969749</v>
      </c>
      <c r="Q1577">
        <v>3.4662190000000002E-2</v>
      </c>
      <c r="R1577">
        <v>6.9568980000000002E-2</v>
      </c>
      <c r="S1577">
        <v>3.0102540000000002</v>
      </c>
      <c r="T1577">
        <v>-1.3455150000000001E-2</v>
      </c>
      <c r="U1577">
        <v>-1.0345460000000001E-2</v>
      </c>
      <c r="V1577">
        <v>-7.7021300000000001E-2</v>
      </c>
      <c r="W1577">
        <v>4.4841810000000003E-2</v>
      </c>
      <c r="X1577">
        <v>0.99602060000000003</v>
      </c>
      <c r="Y1577">
        <v>-4.0285329999999999E-3</v>
      </c>
      <c r="Z1577" s="1">
        <v>4.2370909999999897E-5</v>
      </c>
      <c r="AA1577">
        <v>0.99999190000000004</v>
      </c>
      <c r="AB1577">
        <v>22</v>
      </c>
      <c r="AC1577">
        <v>127.2486</v>
      </c>
      <c r="AD1577">
        <v>-0.56938919999999904</v>
      </c>
      <c r="AE1577">
        <v>-0.43690000000003598</v>
      </c>
      <c r="AF1577">
        <v>-0.51305287386194798</v>
      </c>
      <c r="AG1577">
        <v>-0.56938919999999904</v>
      </c>
      <c r="AH1577">
        <v>127.245767991197</v>
      </c>
      <c r="AI1577">
        <v>90.2563787830845</v>
      </c>
      <c r="AJ1577">
        <v>90.231014402367606</v>
      </c>
      <c r="AK1577">
        <v>127.24807620935501</v>
      </c>
      <c r="AL1577">
        <v>87.429891860263595</v>
      </c>
      <c r="AM1577">
        <v>94.421826821797097</v>
      </c>
      <c r="AN1577">
        <v>1.0000000521010599</v>
      </c>
    </row>
    <row r="1578" spans="1:40" x14ac:dyDescent="0.3">
      <c r="A1578" t="str">
        <f>"20200111145940641"</f>
        <v>20200111145940641</v>
      </c>
      <c r="B1578" t="str">
        <f>"1578725980637030"</f>
        <v>1578725980637030</v>
      </c>
      <c r="C1578" t="s">
        <v>40</v>
      </c>
      <c r="D1578">
        <v>4.2401150000000003</v>
      </c>
      <c r="E1578">
        <v>0.52909619999999902</v>
      </c>
      <c r="F1578" t="s">
        <v>44</v>
      </c>
      <c r="G1578">
        <v>-158.19499999999999</v>
      </c>
      <c r="H1578">
        <v>45.912430000000001</v>
      </c>
      <c r="I1578">
        <v>364.90230000000003</v>
      </c>
      <c r="J1578">
        <v>-285.31599999999997</v>
      </c>
      <c r="K1578">
        <v>1.054473</v>
      </c>
      <c r="L1578">
        <v>367.27859999999998</v>
      </c>
      <c r="M1578">
        <v>0.99992049999999999</v>
      </c>
      <c r="N1578">
        <v>0</v>
      </c>
      <c r="O1578">
        <v>-7.35234699999999E-3</v>
      </c>
      <c r="P1578">
        <v>0.99697659999999999</v>
      </c>
      <c r="Q1578">
        <v>3.4532159999999999E-2</v>
      </c>
      <c r="R1578">
        <v>6.9609019999999994E-2</v>
      </c>
      <c r="S1578">
        <v>2.9764710000000001</v>
      </c>
      <c r="T1578">
        <v>1.049274</v>
      </c>
      <c r="U1578">
        <v>-5.5603029999999998E-2</v>
      </c>
      <c r="V1578">
        <v>-7.6949039999999996E-2</v>
      </c>
      <c r="W1578">
        <v>4.4726059999999998E-2</v>
      </c>
      <c r="X1578">
        <v>0.99603129999999995</v>
      </c>
      <c r="Y1578">
        <v>1.109972E-2</v>
      </c>
      <c r="Z1578">
        <v>-6.1683919999999995E-4</v>
      </c>
      <c r="AA1578">
        <v>0.9999382</v>
      </c>
      <c r="AB1578">
        <v>22</v>
      </c>
      <c r="AC1578">
        <v>127.120999999999</v>
      </c>
      <c r="AD1578">
        <v>44.857956999999999</v>
      </c>
      <c r="AE1578">
        <v>-2.3762999999999499</v>
      </c>
      <c r="AF1578">
        <v>1.2819717255388901</v>
      </c>
      <c r="AG1578">
        <v>44.857956999999999</v>
      </c>
      <c r="AH1578">
        <v>113.061380050769</v>
      </c>
      <c r="AI1578">
        <v>68.360185503044406</v>
      </c>
      <c r="AJ1578">
        <v>89.350366838518198</v>
      </c>
      <c r="AK1578">
        <v>121.641914719817</v>
      </c>
      <c r="AL1578">
        <v>87.436530278135805</v>
      </c>
      <c r="AM1578">
        <v>94.417647503202602</v>
      </c>
      <c r="AN1578">
        <v>0.99999996288986603</v>
      </c>
    </row>
    <row r="1579" spans="1:40" x14ac:dyDescent="0.3">
      <c r="A1579" t="str">
        <f>"20200111145940654"</f>
        <v>20200111145940654</v>
      </c>
      <c r="B1579" t="str">
        <f>"1578725980646790"</f>
        <v>1578725980646790</v>
      </c>
      <c r="C1579" t="s">
        <v>40</v>
      </c>
      <c r="D1579">
        <v>4.2532709999999998</v>
      </c>
      <c r="E1579">
        <v>0.52939630000000004</v>
      </c>
      <c r="F1579" t="s">
        <v>42</v>
      </c>
      <c r="G1579">
        <v>-238.0496</v>
      </c>
      <c r="H1579" s="1">
        <v>-1.3647179999999999E-6</v>
      </c>
      <c r="I1579">
        <v>366.92950000000002</v>
      </c>
      <c r="J1579">
        <v>-285.18709999999999</v>
      </c>
      <c r="K1579">
        <v>1.0544709999999999</v>
      </c>
      <c r="L1579">
        <v>367.27769999999998</v>
      </c>
      <c r="M1579">
        <v>0.99992119999999995</v>
      </c>
      <c r="N1579">
        <v>0</v>
      </c>
      <c r="O1579">
        <v>-7.2384369999999899E-3</v>
      </c>
      <c r="P1579">
        <v>0.99697080000000005</v>
      </c>
      <c r="Q1579">
        <v>3.4272820000000002E-2</v>
      </c>
      <c r="R1579">
        <v>6.9819190000000003E-2</v>
      </c>
      <c r="S1579">
        <v>3.0129999999999999</v>
      </c>
      <c r="T1579">
        <v>-6.7217349999999995E-2</v>
      </c>
      <c r="U1579">
        <v>-2.2247309999999999E-2</v>
      </c>
      <c r="V1579">
        <v>-7.7045829999999996E-2</v>
      </c>
      <c r="W1579">
        <v>4.4477870000000003E-2</v>
      </c>
      <c r="X1579">
        <v>0.996035</v>
      </c>
      <c r="Y1579">
        <v>1.4652299999999999E-4</v>
      </c>
      <c r="Z1579">
        <v>1.5983300000000001E-4</v>
      </c>
      <c r="AA1579">
        <v>1</v>
      </c>
      <c r="AB1579">
        <v>22</v>
      </c>
      <c r="AC1579">
        <v>47.137499999999903</v>
      </c>
      <c r="AD1579">
        <v>-1.0544723647180001</v>
      </c>
      <c r="AE1579">
        <v>-0.34819999999996298</v>
      </c>
      <c r="AF1579">
        <v>6.9676178716840901E-3</v>
      </c>
      <c r="AG1579">
        <v>-1.0544723647180001</v>
      </c>
      <c r="AH1579">
        <v>47.115209275577897</v>
      </c>
      <c r="AI1579">
        <v>91.282106816100097</v>
      </c>
      <c r="AJ1579">
        <v>89.991526831769704</v>
      </c>
      <c r="AK1579">
        <v>47.127008239407203</v>
      </c>
      <c r="AL1579">
        <v>87.450764857596397</v>
      </c>
      <c r="AM1579">
        <v>94.423165817787705</v>
      </c>
      <c r="AN1579">
        <v>1.0000000310325601</v>
      </c>
    </row>
    <row r="1580" spans="1:40" x14ac:dyDescent="0.3">
      <c r="A1580" t="str">
        <f>"20200111145940667"</f>
        <v>20200111145940667</v>
      </c>
      <c r="B1580" t="str">
        <f>"1578725980657526"</f>
        <v>1578725980657526</v>
      </c>
      <c r="C1580" t="s">
        <v>40</v>
      </c>
      <c r="D1580">
        <v>4.5894000000000004</v>
      </c>
      <c r="E1580">
        <v>0.52939630000000004</v>
      </c>
      <c r="F1580" t="s">
        <v>42</v>
      </c>
      <c r="G1580">
        <v>-237.2337</v>
      </c>
      <c r="H1580" s="1">
        <v>-1.6517889999999999E-6</v>
      </c>
      <c r="I1580">
        <v>366.89499999999998</v>
      </c>
      <c r="J1580">
        <v>-285.05759999999998</v>
      </c>
      <c r="K1580">
        <v>1.05447</v>
      </c>
      <c r="L1580">
        <v>367.27690000000001</v>
      </c>
      <c r="M1580">
        <v>0.99992190000000003</v>
      </c>
      <c r="N1580">
        <v>0</v>
      </c>
      <c r="O1580">
        <v>-7.1239240000000002E-3</v>
      </c>
      <c r="P1580">
        <v>0.99697970000000002</v>
      </c>
      <c r="Q1580">
        <v>3.4023209999999998E-2</v>
      </c>
      <c r="R1580">
        <v>6.9815379999999996E-2</v>
      </c>
      <c r="S1580">
        <v>3.0130620000000001</v>
      </c>
      <c r="T1580">
        <v>-6.6255690000000006E-2</v>
      </c>
      <c r="U1580">
        <v>-2.4047849999999999E-2</v>
      </c>
      <c r="V1580">
        <v>-7.6927919999999997E-2</v>
      </c>
      <c r="W1580">
        <v>4.4237310000000002E-2</v>
      </c>
      <c r="X1580">
        <v>0.99605480000000002</v>
      </c>
      <c r="Y1580">
        <v>8.5818690000000002E-4</v>
      </c>
      <c r="Z1580">
        <v>1.47202E-4</v>
      </c>
      <c r="AA1580">
        <v>0.99999959999999999</v>
      </c>
      <c r="AB1580">
        <v>22</v>
      </c>
      <c r="AC1580">
        <v>47.823899999999902</v>
      </c>
      <c r="AD1580">
        <v>-1.054471651789</v>
      </c>
      <c r="AE1580">
        <v>-0.38190000000002999</v>
      </c>
      <c r="AF1580">
        <v>4.1158507316941699E-2</v>
      </c>
      <c r="AG1580">
        <v>-1.054471651789</v>
      </c>
      <c r="AH1580">
        <v>47.802169034637302</v>
      </c>
      <c r="AI1580">
        <v>91.263686508418303</v>
      </c>
      <c r="AJ1580">
        <v>89.9506673394703</v>
      </c>
      <c r="AK1580">
        <v>47.813815669774698</v>
      </c>
      <c r="AL1580">
        <v>87.464561442500496</v>
      </c>
      <c r="AM1580">
        <v>94.416336015655801</v>
      </c>
      <c r="AN1580">
        <v>1.0000000045373001</v>
      </c>
    </row>
    <row r="1581" spans="1:40" x14ac:dyDescent="0.3">
      <c r="A1581" t="str">
        <f>"20200111145940681"</f>
        <v>20200111145940681</v>
      </c>
      <c r="B1581" t="str">
        <f>"1578725980677046"</f>
        <v>1578725980677046</v>
      </c>
      <c r="C1581" t="s">
        <v>40</v>
      </c>
      <c r="D1581">
        <v>4.2694369999999999</v>
      </c>
      <c r="E1581">
        <v>0.53177039999999998</v>
      </c>
      <c r="F1581" t="s">
        <v>42</v>
      </c>
      <c r="G1581">
        <v>-237.67599999999999</v>
      </c>
      <c r="H1581" s="1">
        <v>-1.4990280000000001E-6</v>
      </c>
      <c r="I1581">
        <v>366.90260000000001</v>
      </c>
      <c r="J1581">
        <v>-284.9144</v>
      </c>
      <c r="K1581">
        <v>1.054462</v>
      </c>
      <c r="L1581">
        <v>367.27600000000001</v>
      </c>
      <c r="M1581">
        <v>0.9999228</v>
      </c>
      <c r="N1581">
        <v>0</v>
      </c>
      <c r="O1581">
        <v>-6.9974850000000003E-3</v>
      </c>
      <c r="P1581">
        <v>0.99699040000000005</v>
      </c>
      <c r="Q1581">
        <v>3.3742920000000003E-2</v>
      </c>
      <c r="R1581">
        <v>6.9799600000000003E-2</v>
      </c>
      <c r="S1581">
        <v>3.0130620000000001</v>
      </c>
      <c r="T1581">
        <v>-6.7055110000000001E-2</v>
      </c>
      <c r="U1581">
        <v>-2.3803709999999999E-2</v>
      </c>
      <c r="V1581">
        <v>-7.6785880000000001E-2</v>
      </c>
      <c r="W1581">
        <v>4.3965299999999999E-2</v>
      </c>
      <c r="X1581">
        <v>0.99607780000000001</v>
      </c>
      <c r="Y1581">
        <v>9.0360760000000005E-4</v>
      </c>
      <c r="Z1581">
        <v>1.456587E-4</v>
      </c>
      <c r="AA1581">
        <v>0.99999959999999999</v>
      </c>
      <c r="AB1581">
        <v>22</v>
      </c>
      <c r="AC1581">
        <v>47.238399999999999</v>
      </c>
      <c r="AD1581">
        <v>-1.054463499028</v>
      </c>
      <c r="AE1581">
        <v>-0.37340000000000301</v>
      </c>
      <c r="AF1581">
        <v>4.28021095090921E-2</v>
      </c>
      <c r="AG1581">
        <v>-1.054463499028</v>
      </c>
      <c r="AH1581">
        <v>47.216330908387903</v>
      </c>
      <c r="AI1581">
        <v>91.279350620083406</v>
      </c>
      <c r="AJ1581">
        <v>89.9480607766383</v>
      </c>
      <c r="AK1581">
        <v>47.228123292607698</v>
      </c>
      <c r="AL1581">
        <v>87.480161637328095</v>
      </c>
      <c r="AM1581">
        <v>94.408112460154797</v>
      </c>
      <c r="AN1581">
        <v>1.0000000013121499</v>
      </c>
    </row>
    <row r="1582" spans="1:40" x14ac:dyDescent="0.3">
      <c r="A1582" t="str">
        <f>"20200111145940692"</f>
        <v>20200111145940692</v>
      </c>
      <c r="B1582" t="str">
        <f>"1578725980686806"</f>
        <v>1578725980686806</v>
      </c>
      <c r="C1582" t="s">
        <v>40</v>
      </c>
      <c r="D1582">
        <v>4.2682820000000001</v>
      </c>
      <c r="E1582">
        <v>0.53269119999999903</v>
      </c>
      <c r="F1582" t="s">
        <v>44</v>
      </c>
      <c r="G1582">
        <v>-158.19499999999999</v>
      </c>
      <c r="H1582">
        <v>2.5026440000000001</v>
      </c>
      <c r="I1582">
        <v>365.45859999999999</v>
      </c>
      <c r="J1582">
        <v>-284.7987</v>
      </c>
      <c r="K1582">
        <v>1.05446</v>
      </c>
      <c r="L1582">
        <v>367.27530000000002</v>
      </c>
      <c r="M1582">
        <v>0.99992349999999997</v>
      </c>
      <c r="N1582">
        <v>0</v>
      </c>
      <c r="O1582">
        <v>-6.8951119999999897E-3</v>
      </c>
      <c r="P1582">
        <v>0.99699590000000005</v>
      </c>
      <c r="Q1582">
        <v>3.3683480000000002E-2</v>
      </c>
      <c r="R1582">
        <v>6.9748630000000006E-2</v>
      </c>
      <c r="S1582">
        <v>3.0109249999999999</v>
      </c>
      <c r="T1582">
        <v>3.4411669999999998E-2</v>
      </c>
      <c r="U1582">
        <v>-4.3182369999999998E-2</v>
      </c>
      <c r="V1582">
        <v>-7.6633110000000004E-2</v>
      </c>
      <c r="W1582">
        <v>4.3911459999999999E-2</v>
      </c>
      <c r="X1582">
        <v>0.99609199999999998</v>
      </c>
      <c r="Y1582">
        <v>7.4452769999999897E-3</v>
      </c>
      <c r="Z1582" s="1">
        <v>-3.6257660000000001E-5</v>
      </c>
      <c r="AA1582">
        <v>0.99997230000000004</v>
      </c>
      <c r="AB1582">
        <v>22</v>
      </c>
      <c r="AC1582">
        <v>126.6037</v>
      </c>
      <c r="AD1582">
        <v>1.4481839999999999</v>
      </c>
      <c r="AE1582">
        <v>-1.81670000000002</v>
      </c>
      <c r="AF1582">
        <v>0.94354065661247699</v>
      </c>
      <c r="AG1582">
        <v>1.4481839999999999</v>
      </c>
      <c r="AH1582">
        <v>126.596656088282</v>
      </c>
      <c r="AI1582">
        <v>89.344620067489799</v>
      </c>
      <c r="AJ1582">
        <v>89.572975320866604</v>
      </c>
      <c r="AK1582">
        <v>126.60845484644101</v>
      </c>
      <c r="AL1582">
        <v>87.483249574878698</v>
      </c>
      <c r="AM1582">
        <v>94.399314257100002</v>
      </c>
      <c r="AN1582">
        <v>1.0000000611658</v>
      </c>
    </row>
    <row r="1583" spans="1:40" x14ac:dyDescent="0.3">
      <c r="A1583" t="str">
        <f>"20200111145940703"</f>
        <v>20200111145940703</v>
      </c>
      <c r="B1583" t="str">
        <f>"1578725980697542"</f>
        <v>1578725980697542</v>
      </c>
      <c r="C1583" t="s">
        <v>40</v>
      </c>
      <c r="D1583">
        <v>4.2665680000000004</v>
      </c>
      <c r="E1583">
        <v>0.53209659999999903</v>
      </c>
      <c r="F1583" t="s">
        <v>44</v>
      </c>
      <c r="G1583">
        <v>-158.19499999999999</v>
      </c>
      <c r="H1583">
        <v>4.1234539999999997</v>
      </c>
      <c r="I1583">
        <v>365.1497</v>
      </c>
      <c r="J1583">
        <v>-284.69139999999999</v>
      </c>
      <c r="K1583">
        <v>1.054459</v>
      </c>
      <c r="L1583">
        <v>367.2747</v>
      </c>
      <c r="M1583">
        <v>0.99992400000000004</v>
      </c>
      <c r="N1583">
        <v>0</v>
      </c>
      <c r="O1583">
        <v>-6.8001260000000001E-3</v>
      </c>
      <c r="P1583">
        <v>0.99700120000000003</v>
      </c>
      <c r="Q1583">
        <v>3.3588489999999999E-2</v>
      </c>
      <c r="R1583">
        <v>6.9717470000000004E-2</v>
      </c>
      <c r="S1583">
        <v>3.0101010000000001</v>
      </c>
      <c r="T1583">
        <v>7.2969790000000007E-2</v>
      </c>
      <c r="U1583">
        <v>-5.0537110000000003E-2</v>
      </c>
      <c r="V1583">
        <v>-7.6507549999999994E-2</v>
      </c>
      <c r="W1583">
        <v>4.3820949999999997E-2</v>
      </c>
      <c r="X1583">
        <v>0.99610560000000004</v>
      </c>
      <c r="Y1583">
        <v>9.9859579999999996E-3</v>
      </c>
      <c r="Z1583" s="1">
        <v>-4.3804119999999998E-5</v>
      </c>
      <c r="AA1583">
        <v>0.99995009999999995</v>
      </c>
      <c r="AB1583">
        <v>22</v>
      </c>
      <c r="AC1583">
        <v>126.49639999999999</v>
      </c>
      <c r="AD1583">
        <v>3.0689950000000001</v>
      </c>
      <c r="AE1583">
        <v>-2.125</v>
      </c>
      <c r="AF1583">
        <v>1.2639701266216801</v>
      </c>
      <c r="AG1583">
        <v>3.0689950000000001</v>
      </c>
      <c r="AH1583">
        <v>126.433525503832</v>
      </c>
      <c r="AI1583">
        <v>88.609568500423293</v>
      </c>
      <c r="AJ1583">
        <v>89.427226750728593</v>
      </c>
      <c r="AK1583">
        <v>126.477083782474</v>
      </c>
      <c r="AL1583">
        <v>87.488440317802301</v>
      </c>
      <c r="AM1583">
        <v>94.392074668998006</v>
      </c>
      <c r="AN1583">
        <v>1.0000000236086299</v>
      </c>
    </row>
    <row r="1584" spans="1:40" x14ac:dyDescent="0.3">
      <c r="A1584" t="str">
        <f>"20200111145940715"</f>
        <v>20200111145940715</v>
      </c>
      <c r="B1584" t="str">
        <f>"1578725980707302"</f>
        <v>1578725980707302</v>
      </c>
      <c r="C1584" t="s">
        <v>40</v>
      </c>
      <c r="D1584">
        <v>4.311852</v>
      </c>
      <c r="E1584">
        <v>0.5319275</v>
      </c>
      <c r="F1584" t="s">
        <v>44</v>
      </c>
      <c r="G1584">
        <v>-158.19499999999999</v>
      </c>
      <c r="H1584">
        <v>3.6989299999999998</v>
      </c>
      <c r="I1584">
        <v>365.3433</v>
      </c>
      <c r="J1584">
        <v>-284.57299999999998</v>
      </c>
      <c r="K1584">
        <v>1.054459</v>
      </c>
      <c r="L1584">
        <v>367.274</v>
      </c>
      <c r="M1584">
        <v>0.9999247</v>
      </c>
      <c r="N1584">
        <v>0</v>
      </c>
      <c r="O1584">
        <v>-6.6956029999999996E-3</v>
      </c>
      <c r="P1584">
        <v>0.99698920000000002</v>
      </c>
      <c r="Q1584">
        <v>3.3443960000000002E-2</v>
      </c>
      <c r="R1584">
        <v>6.9959629999999995E-2</v>
      </c>
      <c r="S1584">
        <v>3.0101010000000001</v>
      </c>
      <c r="T1584">
        <v>6.2929750000000007E-2</v>
      </c>
      <c r="U1584">
        <v>-4.5959470000000002E-2</v>
      </c>
      <c r="V1584">
        <v>-7.6645290000000005E-2</v>
      </c>
      <c r="W1584">
        <v>4.3681369999999997E-2</v>
      </c>
      <c r="X1584">
        <v>0.99610109999999996</v>
      </c>
      <c r="Y1584">
        <v>8.5707059999999904E-3</v>
      </c>
      <c r="Z1584" s="1">
        <v>-5.0385520000000002E-5</v>
      </c>
      <c r="AA1584">
        <v>0.9999633</v>
      </c>
      <c r="AB1584">
        <v>22</v>
      </c>
      <c r="AC1584">
        <v>126.378</v>
      </c>
      <c r="AD1584">
        <v>2.6444709999999998</v>
      </c>
      <c r="AE1584">
        <v>-1.9307000000000001</v>
      </c>
      <c r="AF1584">
        <v>1.08396053900337</v>
      </c>
      <c r="AG1584">
        <v>2.6444709999999998</v>
      </c>
      <c r="AH1584">
        <v>126.332791629684</v>
      </c>
      <c r="AI1584">
        <v>88.800870887005203</v>
      </c>
      <c r="AJ1584">
        <v>89.508402852313196</v>
      </c>
      <c r="AK1584">
        <v>126.365115590771</v>
      </c>
      <c r="AL1584">
        <v>87.496445223390793</v>
      </c>
      <c r="AM1584">
        <v>94.399970695700404</v>
      </c>
      <c r="AN1584">
        <v>0.99999998199273499</v>
      </c>
    </row>
    <row r="1585" spans="1:40" x14ac:dyDescent="0.3">
      <c r="A1585" t="str">
        <f>"20200111145940726"</f>
        <v>20200111145940726</v>
      </c>
      <c r="B1585" t="str">
        <f>"1578725980717063"</f>
        <v>1578725980717063</v>
      </c>
      <c r="C1585" t="s">
        <v>40</v>
      </c>
      <c r="D1585">
        <v>4.3144210000000003</v>
      </c>
      <c r="E1585">
        <v>0.53150649999999999</v>
      </c>
      <c r="F1585" t="s">
        <v>44</v>
      </c>
      <c r="G1585">
        <v>-158.19499999999999</v>
      </c>
      <c r="H1585">
        <v>3.4922339999999998</v>
      </c>
      <c r="I1585">
        <v>365.42</v>
      </c>
      <c r="J1585">
        <v>-284.46420000000001</v>
      </c>
      <c r="K1585">
        <v>1.05446</v>
      </c>
      <c r="L1585">
        <v>367.27339999999998</v>
      </c>
      <c r="M1585">
        <v>0.99992539999999996</v>
      </c>
      <c r="N1585">
        <v>0</v>
      </c>
      <c r="O1585">
        <v>-6.5994219999999998E-3</v>
      </c>
      <c r="P1585">
        <v>0.99698790000000004</v>
      </c>
      <c r="Q1585">
        <v>3.3468959999999999E-2</v>
      </c>
      <c r="R1585">
        <v>6.9965940000000004E-2</v>
      </c>
      <c r="S1585">
        <v>3.0101930000000001</v>
      </c>
      <c r="T1585">
        <v>5.8067319999999999E-2</v>
      </c>
      <c r="U1585">
        <v>-4.4158940000000001E-2</v>
      </c>
      <c r="V1585">
        <v>-7.6555419999999999E-2</v>
      </c>
      <c r="W1585">
        <v>4.3709949999999997E-2</v>
      </c>
      <c r="X1585">
        <v>0.99610679999999996</v>
      </c>
      <c r="Y1585">
        <v>8.0685730000000008E-3</v>
      </c>
      <c r="Z1585" s="1">
        <v>-4.9479309999999898E-5</v>
      </c>
      <c r="AA1585">
        <v>0.99996750000000001</v>
      </c>
      <c r="AB1585">
        <v>22</v>
      </c>
      <c r="AC1585">
        <v>126.2692</v>
      </c>
      <c r="AD1585">
        <v>2.4377740000000001</v>
      </c>
      <c r="AE1585">
        <v>-1.85339999999996</v>
      </c>
      <c r="AF1585">
        <v>1.0196319159544101</v>
      </c>
      <c r="AG1585">
        <v>2.4377740000000001</v>
      </c>
      <c r="AH1585">
        <v>126.23164209957</v>
      </c>
      <c r="AI1585">
        <v>88.893682719180404</v>
      </c>
      <c r="AJ1585">
        <v>89.537205300041293</v>
      </c>
      <c r="AK1585">
        <v>126.259296126951</v>
      </c>
      <c r="AL1585">
        <v>87.494806251119996</v>
      </c>
      <c r="AM1585">
        <v>94.394806709197795</v>
      </c>
      <c r="AN1585">
        <v>1.0000000245333001</v>
      </c>
    </row>
    <row r="1586" spans="1:40" x14ac:dyDescent="0.3">
      <c r="A1586" t="str">
        <f>"20200111145940737"</f>
        <v>20200111145940737</v>
      </c>
      <c r="B1586" t="str">
        <f>"1578725980726823"</f>
        <v>1578725980726823</v>
      </c>
      <c r="C1586" t="s">
        <v>40</v>
      </c>
      <c r="D1586">
        <v>4.3310370000000002</v>
      </c>
      <c r="E1586">
        <v>0.53069669999999902</v>
      </c>
      <c r="F1586" t="s">
        <v>44</v>
      </c>
      <c r="G1586">
        <v>-158.19499999999999</v>
      </c>
      <c r="H1586">
        <v>3.5940940000000001</v>
      </c>
      <c r="I1586">
        <v>365.56560000000002</v>
      </c>
      <c r="J1586">
        <v>-284.3467</v>
      </c>
      <c r="K1586">
        <v>1.054459</v>
      </c>
      <c r="L1586">
        <v>367.27269999999999</v>
      </c>
      <c r="M1586">
        <v>0.99992590000000003</v>
      </c>
      <c r="N1586">
        <v>0</v>
      </c>
      <c r="O1586">
        <v>-6.4952550000000001E-3</v>
      </c>
      <c r="P1586">
        <v>0.99696070000000003</v>
      </c>
      <c r="Q1586">
        <v>3.3573899999999997E-2</v>
      </c>
      <c r="R1586">
        <v>7.0302050000000005E-2</v>
      </c>
      <c r="S1586">
        <v>3.0099179999999999</v>
      </c>
      <c r="T1586">
        <v>6.0540080000000003E-2</v>
      </c>
      <c r="U1586">
        <v>-4.0710450000000002E-2</v>
      </c>
      <c r="V1586">
        <v>-7.6787809999999998E-2</v>
      </c>
      <c r="W1586">
        <v>4.3818570000000001E-2</v>
      </c>
      <c r="X1586">
        <v>0.99608410000000003</v>
      </c>
      <c r="Y1586">
        <v>7.0288E-3</v>
      </c>
      <c r="Z1586" s="1">
        <v>-5.9951519999999903E-5</v>
      </c>
      <c r="AA1586">
        <v>0.99997530000000001</v>
      </c>
      <c r="AB1586">
        <v>22</v>
      </c>
      <c r="AC1586">
        <v>126.15170000000001</v>
      </c>
      <c r="AD1586">
        <v>2.5396349999999899</v>
      </c>
      <c r="AE1586">
        <v>-1.7070999999999601</v>
      </c>
      <c r="AF1586">
        <v>0.88727356284291303</v>
      </c>
      <c r="AG1586">
        <v>2.5396349999999899</v>
      </c>
      <c r="AH1586">
        <v>126.109027009448</v>
      </c>
      <c r="AI1586">
        <v>88.846338724006202</v>
      </c>
      <c r="AJ1586">
        <v>89.596886973042203</v>
      </c>
      <c r="AK1586">
        <v>126.137717172851</v>
      </c>
      <c r="AL1586">
        <v>87.488576714726605</v>
      </c>
      <c r="AM1586">
        <v>94.408195049506006</v>
      </c>
      <c r="AN1586">
        <v>0.99999998455712502</v>
      </c>
    </row>
    <row r="1587" spans="1:40" x14ac:dyDescent="0.3">
      <c r="A1587" t="str">
        <f>"20200111145940749"</f>
        <v>20200111145940749</v>
      </c>
      <c r="B1587" t="str">
        <f>"1578725980737558"</f>
        <v>1578725980737558</v>
      </c>
      <c r="C1587" t="s">
        <v>40</v>
      </c>
      <c r="D1587">
        <v>4.3111100000000002</v>
      </c>
      <c r="E1587">
        <v>0.53067790000000004</v>
      </c>
      <c r="F1587" t="s">
        <v>44</v>
      </c>
      <c r="G1587">
        <v>-158.19499999999999</v>
      </c>
      <c r="H1587">
        <v>3.6674190000000002</v>
      </c>
      <c r="I1587">
        <v>365.88220000000001</v>
      </c>
      <c r="J1587">
        <v>-284.24040000000002</v>
      </c>
      <c r="K1587">
        <v>1.05446</v>
      </c>
      <c r="L1587">
        <v>367.27210000000002</v>
      </c>
      <c r="M1587">
        <v>0.99992650000000005</v>
      </c>
      <c r="N1587">
        <v>0</v>
      </c>
      <c r="O1587">
        <v>-6.4016910000000002E-3</v>
      </c>
      <c r="P1587">
        <v>0.99694369999999999</v>
      </c>
      <c r="Q1587">
        <v>3.35933E-2</v>
      </c>
      <c r="R1587">
        <v>7.0533540000000006E-2</v>
      </c>
      <c r="S1587">
        <v>3.00943</v>
      </c>
      <c r="T1587">
        <v>6.2335849999999998E-2</v>
      </c>
      <c r="U1587">
        <v>-3.3172609999999998E-2</v>
      </c>
      <c r="V1587">
        <v>-7.6925939999999998E-2</v>
      </c>
      <c r="W1587">
        <v>4.3840959999999998E-2</v>
      </c>
      <c r="X1587">
        <v>0.99607250000000003</v>
      </c>
      <c r="Y1587">
        <v>4.6207330000000001E-3</v>
      </c>
      <c r="Z1587" s="1">
        <v>-8.4739190000000003E-5</v>
      </c>
      <c r="AA1587">
        <v>0.99998929999999997</v>
      </c>
      <c r="AB1587">
        <v>22</v>
      </c>
      <c r="AC1587">
        <v>126.0454</v>
      </c>
      <c r="AD1587">
        <v>2.612959</v>
      </c>
      <c r="AE1587">
        <v>-1.3899000000000099</v>
      </c>
      <c r="AF1587">
        <v>0.58267466791216604</v>
      </c>
      <c r="AG1587">
        <v>2.612959</v>
      </c>
      <c r="AH1587">
        <v>125.997574818525</v>
      </c>
      <c r="AI1587">
        <v>88.811973435837302</v>
      </c>
      <c r="AJ1587">
        <v>89.735038064315901</v>
      </c>
      <c r="AK1587">
        <v>126.026012888824</v>
      </c>
      <c r="AL1587">
        <v>87.487292736531998</v>
      </c>
      <c r="AM1587">
        <v>94.4161446310777</v>
      </c>
      <c r="AN1587">
        <v>1.0000000276374199</v>
      </c>
    </row>
    <row r="1588" spans="1:40" x14ac:dyDescent="0.3">
      <c r="A1588" t="str">
        <f>"20200111145940760"</f>
        <v>20200111145940760</v>
      </c>
      <c r="B1588" t="str">
        <f>"1578725980757078"</f>
        <v>1578725980757078</v>
      </c>
      <c r="C1588" t="s">
        <v>40</v>
      </c>
      <c r="D1588">
        <v>4.322146</v>
      </c>
      <c r="E1588">
        <v>0.53035500000000002</v>
      </c>
      <c r="F1588" t="s">
        <v>44</v>
      </c>
      <c r="G1588">
        <v>-158.19499999999999</v>
      </c>
      <c r="H1588">
        <v>3.4049119999999999</v>
      </c>
      <c r="I1588">
        <v>365.91219999999998</v>
      </c>
      <c r="J1588">
        <v>-284.11669999999998</v>
      </c>
      <c r="K1588">
        <v>1.0544610000000001</v>
      </c>
      <c r="L1588">
        <v>367.27140000000003</v>
      </c>
      <c r="M1588">
        <v>0.99992700000000001</v>
      </c>
      <c r="N1588">
        <v>0</v>
      </c>
      <c r="O1588">
        <v>-6.2925109999999998E-3</v>
      </c>
      <c r="P1588">
        <v>0.99691529999999995</v>
      </c>
      <c r="Q1588">
        <v>3.3420909999999998E-2</v>
      </c>
      <c r="R1588">
        <v>7.1014670000000002E-2</v>
      </c>
      <c r="S1588">
        <v>3.0095519999999998</v>
      </c>
      <c r="T1588">
        <v>5.6123140000000002E-2</v>
      </c>
      <c r="U1588">
        <v>-3.2470699999999998E-2</v>
      </c>
      <c r="V1588">
        <v>-7.7298399999999906E-2</v>
      </c>
      <c r="W1588">
        <v>4.3671370000000001E-2</v>
      </c>
      <c r="X1588">
        <v>0.99605109999999997</v>
      </c>
      <c r="Y1588">
        <v>4.4962070000000003E-3</v>
      </c>
      <c r="Z1588" s="1">
        <v>-7.541739E-5</v>
      </c>
      <c r="AA1588">
        <v>0.99998989999999999</v>
      </c>
      <c r="AB1588">
        <v>23</v>
      </c>
      <c r="AC1588">
        <v>125.9217</v>
      </c>
      <c r="AD1588">
        <v>2.3504510000000001</v>
      </c>
      <c r="AE1588">
        <v>-1.3592000000000399</v>
      </c>
      <c r="AF1588">
        <v>0.56656986809584597</v>
      </c>
      <c r="AG1588">
        <v>2.3504510000000001</v>
      </c>
      <c r="AH1588">
        <v>125.88390479165299</v>
      </c>
      <c r="AI1588">
        <v>88.930332577081103</v>
      </c>
      <c r="AJ1588">
        <v>89.742128724818002</v>
      </c>
      <c r="AK1588">
        <v>125.90712095395099</v>
      </c>
      <c r="AL1588">
        <v>87.497018804895802</v>
      </c>
      <c r="AM1588">
        <v>94.437536480596407</v>
      </c>
      <c r="AN1588">
        <v>1.00000001250572</v>
      </c>
    </row>
    <row r="1589" spans="1:40" x14ac:dyDescent="0.3">
      <c r="A1589" t="str">
        <f>"20200111145940772"</f>
        <v>20200111145940772</v>
      </c>
      <c r="B1589" t="str">
        <f>"1578725980766838"</f>
        <v>1578725980766838</v>
      </c>
      <c r="C1589" t="s">
        <v>40</v>
      </c>
      <c r="D1589">
        <v>4.3341190000000003</v>
      </c>
      <c r="E1589">
        <v>0.5262329</v>
      </c>
      <c r="F1589" t="s">
        <v>44</v>
      </c>
      <c r="G1589">
        <v>-158.19499999999999</v>
      </c>
      <c r="H1589">
        <v>3.047307</v>
      </c>
      <c r="I1589">
        <v>366.08780000000002</v>
      </c>
      <c r="J1589">
        <v>-283.99959999999999</v>
      </c>
      <c r="K1589">
        <v>1.05446</v>
      </c>
      <c r="L1589">
        <v>367.27080000000001</v>
      </c>
      <c r="M1589">
        <v>0.99992760000000003</v>
      </c>
      <c r="N1589">
        <v>0</v>
      </c>
      <c r="O1589">
        <v>-6.1893010000000004E-3</v>
      </c>
      <c r="P1589">
        <v>0.99691640000000004</v>
      </c>
      <c r="Q1589">
        <v>3.3358869999999999E-2</v>
      </c>
      <c r="R1589">
        <v>7.1029720000000005E-2</v>
      </c>
      <c r="S1589">
        <v>3.009674</v>
      </c>
      <c r="T1589">
        <v>4.7633410000000001E-2</v>
      </c>
      <c r="U1589">
        <v>-2.8289789999999999E-2</v>
      </c>
      <c r="V1589">
        <v>-7.7210269999999998E-2</v>
      </c>
      <c r="W1589">
        <v>4.3614689999999998E-2</v>
      </c>
      <c r="X1589">
        <v>0.99606039999999996</v>
      </c>
      <c r="Y1589">
        <v>3.2100430000000001E-3</v>
      </c>
      <c r="Z1589" s="1">
        <v>-7.2552239999999996E-5</v>
      </c>
      <c r="AA1589">
        <v>0.99999490000000002</v>
      </c>
      <c r="AB1589">
        <v>23</v>
      </c>
      <c r="AC1589">
        <v>125.80459999999999</v>
      </c>
      <c r="AD1589">
        <v>1.992847</v>
      </c>
      <c r="AE1589">
        <v>-1.1829999999999901</v>
      </c>
      <c r="AF1589">
        <v>0.40419192539805399</v>
      </c>
      <c r="AG1589">
        <v>1.992847</v>
      </c>
      <c r="AH1589">
        <v>125.777953589362</v>
      </c>
      <c r="AI1589">
        <v>89.092276695200695</v>
      </c>
      <c r="AJ1589">
        <v>89.8158786094032</v>
      </c>
      <c r="AK1589">
        <v>125.794389459172</v>
      </c>
      <c r="AL1589">
        <v>87.500269379859304</v>
      </c>
      <c r="AM1589">
        <v>94.432456078224405</v>
      </c>
      <c r="AN1589">
        <v>0.99999999371271397</v>
      </c>
    </row>
    <row r="1590" spans="1:40" x14ac:dyDescent="0.3">
      <c r="A1590" t="str">
        <f>"20200111145940782"</f>
        <v>20200111145940782</v>
      </c>
      <c r="B1590" t="str">
        <f>"1578725980777574"</f>
        <v>1578725980777574</v>
      </c>
      <c r="C1590" t="s">
        <v>40</v>
      </c>
      <c r="D1590">
        <v>4.3137980000000002</v>
      </c>
      <c r="E1590">
        <v>0.52654179999999995</v>
      </c>
      <c r="F1590" t="s">
        <v>42</v>
      </c>
      <c r="G1590">
        <v>-229.53559999999999</v>
      </c>
      <c r="H1590" s="1">
        <v>-7.459044E-7</v>
      </c>
      <c r="I1590">
        <v>367.35469999999998</v>
      </c>
      <c r="J1590">
        <v>-283.90339999999998</v>
      </c>
      <c r="K1590">
        <v>1.05446</v>
      </c>
      <c r="L1590">
        <v>367.27030000000002</v>
      </c>
      <c r="M1590">
        <v>0.99992820000000004</v>
      </c>
      <c r="N1590">
        <v>0</v>
      </c>
      <c r="O1590">
        <v>-6.1044460000000004E-3</v>
      </c>
      <c r="P1590">
        <v>0.99688829999999995</v>
      </c>
      <c r="Q1590">
        <v>3.3277809999999998E-2</v>
      </c>
      <c r="R1590">
        <v>7.1460750000000003E-2</v>
      </c>
      <c r="S1590">
        <v>3.0108640000000002</v>
      </c>
      <c r="T1590">
        <v>-5.829227E-2</v>
      </c>
      <c r="U1590">
        <v>4.6386719999999999E-3</v>
      </c>
      <c r="V1590">
        <v>-7.7556769999999997E-2</v>
      </c>
      <c r="W1590">
        <v>4.3537510000000001E-2</v>
      </c>
      <c r="X1590">
        <v>0.9960369</v>
      </c>
      <c r="Y1590">
        <v>-7.6428030000000001E-3</v>
      </c>
      <c r="Z1590">
        <v>1.9215859999999999E-4</v>
      </c>
      <c r="AA1590">
        <v>0.99997080000000005</v>
      </c>
      <c r="AB1590">
        <v>23</v>
      </c>
      <c r="AC1590">
        <v>54.367799999999903</v>
      </c>
      <c r="AD1590">
        <v>-1.0544607459044</v>
      </c>
      <c r="AE1590">
        <v>8.4399999999959605E-2</v>
      </c>
      <c r="AF1590">
        <v>-0.41614483433229499</v>
      </c>
      <c r="AG1590">
        <v>-1.0544607459044</v>
      </c>
      <c r="AH1590">
        <v>54.345828753197303</v>
      </c>
      <c r="AI1590">
        <v>91.111525970023905</v>
      </c>
      <c r="AJ1590">
        <v>90.438725054324195</v>
      </c>
      <c r="AK1590">
        <v>54.357650490612997</v>
      </c>
      <c r="AL1590">
        <v>87.504695780112996</v>
      </c>
      <c r="AM1590">
        <v>94.452372631725495</v>
      </c>
      <c r="AN1590">
        <v>1.00000003675572</v>
      </c>
    </row>
    <row r="1591" spans="1:40" x14ac:dyDescent="0.3">
      <c r="A1591" t="str">
        <f>"20200111145940793"</f>
        <v>20200111145940793</v>
      </c>
      <c r="B1591" t="str">
        <f>"1578725980787334"</f>
        <v>1578725980787334</v>
      </c>
      <c r="C1591" t="s">
        <v>40</v>
      </c>
      <c r="D1591">
        <v>4.3075859999999997</v>
      </c>
      <c r="E1591">
        <v>0.52653139999999998</v>
      </c>
      <c r="F1591" t="s">
        <v>42</v>
      </c>
      <c r="G1591">
        <v>-234.768</v>
      </c>
      <c r="H1591" s="1">
        <v>-2.6324910000000002E-6</v>
      </c>
      <c r="I1591">
        <v>367.32960000000003</v>
      </c>
      <c r="J1591">
        <v>-283.79090000000002</v>
      </c>
      <c r="K1591">
        <v>1.05446</v>
      </c>
      <c r="L1591">
        <v>367.2697</v>
      </c>
      <c r="M1591">
        <v>0.99992879999999995</v>
      </c>
      <c r="N1591">
        <v>0</v>
      </c>
      <c r="O1591">
        <v>-6.0054169999999999E-3</v>
      </c>
      <c r="P1591">
        <v>0.99687820000000005</v>
      </c>
      <c r="Q1591">
        <v>3.2974610000000001E-2</v>
      </c>
      <c r="R1591">
        <v>7.1741799999999994E-2</v>
      </c>
      <c r="S1591">
        <v>3.0112610000000002</v>
      </c>
      <c r="T1591">
        <v>-6.4622639999999995E-2</v>
      </c>
      <c r="U1591">
        <v>3.6315919999999999E-3</v>
      </c>
      <c r="V1591">
        <v>-7.7738699999999994E-2</v>
      </c>
      <c r="W1591">
        <v>4.32412E-2</v>
      </c>
      <c r="X1591">
        <v>0.99603560000000002</v>
      </c>
      <c r="Y1591">
        <v>-7.2086709999999998E-3</v>
      </c>
      <c r="Z1591">
        <v>2.0621100000000001E-4</v>
      </c>
      <c r="AA1591">
        <v>0.99997400000000003</v>
      </c>
      <c r="AB1591">
        <v>23</v>
      </c>
      <c r="AC1591">
        <v>49.0229</v>
      </c>
      <c r="AD1591">
        <v>-1.054462632491</v>
      </c>
      <c r="AE1591">
        <v>5.9900000000027299E-2</v>
      </c>
      <c r="AF1591">
        <v>-0.35415367652858598</v>
      </c>
      <c r="AG1591">
        <v>-1.054462632491</v>
      </c>
      <c r="AH1591">
        <v>48.998986183845901</v>
      </c>
      <c r="AI1591">
        <v>91.232787899176103</v>
      </c>
      <c r="AJ1591">
        <v>90.414113825768098</v>
      </c>
      <c r="AK1591">
        <v>49.0116104950107</v>
      </c>
      <c r="AL1591">
        <v>87.521689033397905</v>
      </c>
      <c r="AM1591">
        <v>94.462780513060906</v>
      </c>
      <c r="AN1591">
        <v>1.00000001166124</v>
      </c>
    </row>
    <row r="1592" spans="1:40" x14ac:dyDescent="0.3">
      <c r="A1592" t="str">
        <f>"20200111145940804"</f>
        <v>20200111145940804</v>
      </c>
      <c r="B1592" t="str">
        <f>"1578725980797094"</f>
        <v>1578725980797094</v>
      </c>
      <c r="C1592" t="s">
        <v>40</v>
      </c>
      <c r="D1592">
        <v>4.3592510000000004</v>
      </c>
      <c r="E1592">
        <v>0.52629459999999995</v>
      </c>
      <c r="F1592" t="s">
        <v>42</v>
      </c>
      <c r="G1592">
        <v>-239.71969999999999</v>
      </c>
      <c r="H1592" s="1">
        <v>-6.8839220000000003E-7</v>
      </c>
      <c r="I1592">
        <v>367.33530000000002</v>
      </c>
      <c r="J1592">
        <v>-283.67349999999999</v>
      </c>
      <c r="K1592">
        <v>1.05446</v>
      </c>
      <c r="L1592">
        <v>367.26920000000001</v>
      </c>
      <c r="M1592">
        <v>0.99992930000000002</v>
      </c>
      <c r="N1592">
        <v>0</v>
      </c>
      <c r="O1592">
        <v>-5.9017439999999996E-3</v>
      </c>
      <c r="P1592">
        <v>0.99688299999999996</v>
      </c>
      <c r="Q1592">
        <v>3.286356E-2</v>
      </c>
      <c r="R1592">
        <v>7.1723609999999993E-2</v>
      </c>
      <c r="S1592">
        <v>3.0114139999999998</v>
      </c>
      <c r="T1592">
        <v>-7.2051820000000003E-2</v>
      </c>
      <c r="U1592">
        <v>4.4860840000000004E-3</v>
      </c>
      <c r="V1592">
        <v>-7.7617469999999994E-2</v>
      </c>
      <c r="W1592">
        <v>4.3137809999999999E-2</v>
      </c>
      <c r="X1592">
        <v>0.99604950000000003</v>
      </c>
      <c r="Y1592">
        <v>-7.3879150000000001E-3</v>
      </c>
      <c r="Z1592">
        <v>2.295632E-4</v>
      </c>
      <c r="AA1592">
        <v>0.99997270000000005</v>
      </c>
      <c r="AB1592">
        <v>23</v>
      </c>
      <c r="AC1592">
        <v>43.953800000000001</v>
      </c>
      <c r="AD1592">
        <v>-1.0544606883922001</v>
      </c>
      <c r="AE1592">
        <v>6.6100000000005807E-2</v>
      </c>
      <c r="AF1592">
        <v>-0.32532951041637098</v>
      </c>
      <c r="AG1592">
        <v>-1.0544606883922001</v>
      </c>
      <c r="AH1592">
        <v>43.927362861545298</v>
      </c>
      <c r="AI1592">
        <v>91.375062988143299</v>
      </c>
      <c r="AJ1592">
        <v>90.424329299402402</v>
      </c>
      <c r="AK1592">
        <v>43.941221359943803</v>
      </c>
      <c r="AL1592">
        <v>87.527618284415496</v>
      </c>
      <c r="AM1592">
        <v>94.455787125188294</v>
      </c>
      <c r="AN1592">
        <v>0.99999997437552302</v>
      </c>
    </row>
    <row r="1593" spans="1:40" x14ac:dyDescent="0.3">
      <c r="A1593" t="str">
        <f>"20200111145940816"</f>
        <v>20200111145940816</v>
      </c>
      <c r="B1593" t="str">
        <f>"1578725980806854"</f>
        <v>1578725980806854</v>
      </c>
      <c r="C1593" t="s">
        <v>40</v>
      </c>
      <c r="D1593">
        <v>4.3424839999999998</v>
      </c>
      <c r="E1593">
        <v>0.52627780000000002</v>
      </c>
      <c r="F1593" t="s">
        <v>42</v>
      </c>
      <c r="G1593">
        <v>-239.53450000000001</v>
      </c>
      <c r="H1593" s="1">
        <v>-7.4356389999999998E-7</v>
      </c>
      <c r="I1593">
        <v>367.3648</v>
      </c>
      <c r="J1593">
        <v>-283.5471</v>
      </c>
      <c r="K1593">
        <v>1.054465</v>
      </c>
      <c r="L1593">
        <v>367.26850000000002</v>
      </c>
      <c r="M1593">
        <v>0.99992990000000004</v>
      </c>
      <c r="N1593">
        <v>0</v>
      </c>
      <c r="O1593">
        <v>-5.7905680000000003E-3</v>
      </c>
      <c r="P1593">
        <v>0.99686520000000001</v>
      </c>
      <c r="Q1593">
        <v>3.2562769999999998E-2</v>
      </c>
      <c r="R1593">
        <v>7.2110899999999895E-2</v>
      </c>
      <c r="S1593">
        <v>3.0112299999999999</v>
      </c>
      <c r="T1593">
        <v>-7.1936849999999997E-2</v>
      </c>
      <c r="U1593">
        <v>6.5307619999999999E-3</v>
      </c>
      <c r="V1593">
        <v>-7.789393E-2</v>
      </c>
      <c r="W1593">
        <v>4.2845790000000002E-2</v>
      </c>
      <c r="X1593">
        <v>0.9960405</v>
      </c>
      <c r="Y1593">
        <v>-7.9557029999999997E-3</v>
      </c>
      <c r="Z1593">
        <v>2.333363E-4</v>
      </c>
      <c r="AA1593">
        <v>0.99996830000000003</v>
      </c>
      <c r="AB1593">
        <v>23</v>
      </c>
      <c r="AC1593">
        <v>44.0125999999999</v>
      </c>
      <c r="AD1593">
        <v>-1.0544657435639</v>
      </c>
      <c r="AE1593">
        <v>9.6299999999985106E-2</v>
      </c>
      <c r="AF1593">
        <v>-0.350968477211064</v>
      </c>
      <c r="AG1593">
        <v>-1.0544657435639</v>
      </c>
      <c r="AH1593">
        <v>43.986056549545602</v>
      </c>
      <c r="AI1593">
        <v>91.373229378430693</v>
      </c>
      <c r="AJ1593">
        <v>90.457158184387097</v>
      </c>
      <c r="AK1593">
        <v>44.000093723265699</v>
      </c>
      <c r="AL1593">
        <v>87.544365226932996</v>
      </c>
      <c r="AM1593">
        <v>94.471633856029399</v>
      </c>
      <c r="AN1593">
        <v>0.99999995184590795</v>
      </c>
    </row>
    <row r="1594" spans="1:40" x14ac:dyDescent="0.3">
      <c r="A1594" t="str">
        <f>"20200111145940829"</f>
        <v>20200111145940829</v>
      </c>
      <c r="B1594" t="str">
        <f>"1578725980827350"</f>
        <v>1578725980827350</v>
      </c>
      <c r="C1594" t="s">
        <v>40</v>
      </c>
      <c r="D1594">
        <v>4.3351040000000003</v>
      </c>
      <c r="E1594">
        <v>0.52853989999999995</v>
      </c>
      <c r="F1594" t="s">
        <v>42</v>
      </c>
      <c r="G1594">
        <v>-239.01920000000001</v>
      </c>
      <c r="H1594" s="1">
        <v>-9.1369299999999995E-7</v>
      </c>
      <c r="I1594">
        <v>367.3845</v>
      </c>
      <c r="J1594">
        <v>-283.42790000000002</v>
      </c>
      <c r="K1594">
        <v>1.0544629999999999</v>
      </c>
      <c r="L1594">
        <v>367.2679</v>
      </c>
      <c r="M1594">
        <v>0.99993050000000006</v>
      </c>
      <c r="N1594">
        <v>0</v>
      </c>
      <c r="O1594">
        <v>-5.6855899999999999E-3</v>
      </c>
      <c r="P1594">
        <v>0.99687619999999999</v>
      </c>
      <c r="Q1594">
        <v>3.2388069999999998E-2</v>
      </c>
      <c r="R1594">
        <v>7.203764E-2</v>
      </c>
      <c r="S1594">
        <v>3.0112000000000001</v>
      </c>
      <c r="T1594">
        <v>-7.1308079999999996E-2</v>
      </c>
      <c r="U1594">
        <v>7.8430180000000002E-3</v>
      </c>
      <c r="V1594">
        <v>-7.7715889999999996E-2</v>
      </c>
      <c r="W1594">
        <v>4.2680000000000003E-2</v>
      </c>
      <c r="X1594">
        <v>0.99606159999999999</v>
      </c>
      <c r="Y1594">
        <v>-8.2865219999999993E-3</v>
      </c>
      <c r="Z1594">
        <v>2.327304E-4</v>
      </c>
      <c r="AA1594">
        <v>0.99996569999999996</v>
      </c>
      <c r="AB1594">
        <v>23</v>
      </c>
      <c r="AC1594">
        <v>44.408700000000003</v>
      </c>
      <c r="AD1594">
        <v>-1.0544639136930001</v>
      </c>
      <c r="AE1594">
        <v>0.11660000000000501</v>
      </c>
      <c r="AF1594">
        <v>-0.368893261666289</v>
      </c>
      <c r="AG1594">
        <v>-1.0544639136930001</v>
      </c>
      <c r="AH1594">
        <v>44.382296470132403</v>
      </c>
      <c r="AI1594">
        <v>91.360967933253903</v>
      </c>
      <c r="AJ1594">
        <v>90.476215562511399</v>
      </c>
      <c r="AK1594">
        <v>44.3963536379567</v>
      </c>
      <c r="AL1594">
        <v>87.553873174591999</v>
      </c>
      <c r="AM1594">
        <v>94.461360349755793</v>
      </c>
      <c r="AN1594">
        <v>1.0000000264765201</v>
      </c>
    </row>
    <row r="1595" spans="1:40" x14ac:dyDescent="0.3">
      <c r="A1595" t="str">
        <f>"20200111145940841"</f>
        <v>20200111145940841</v>
      </c>
      <c r="B1595" t="str">
        <f>"1578725980837109"</f>
        <v>1578725980837109</v>
      </c>
      <c r="C1595" t="s">
        <v>40</v>
      </c>
      <c r="D1595">
        <v>4.3627459999999996</v>
      </c>
      <c r="E1595">
        <v>0.52883800000000003</v>
      </c>
      <c r="F1595" t="s">
        <v>44</v>
      </c>
      <c r="G1595">
        <v>-158.19499999999999</v>
      </c>
      <c r="H1595">
        <v>1.762632</v>
      </c>
      <c r="I1595">
        <v>366.8159</v>
      </c>
      <c r="J1595">
        <v>-283.3109</v>
      </c>
      <c r="K1595">
        <v>1.0544639999999901</v>
      </c>
      <c r="L1595">
        <v>367.26740000000001</v>
      </c>
      <c r="M1595">
        <v>0.99993080000000001</v>
      </c>
      <c r="N1595">
        <v>0</v>
      </c>
      <c r="O1595">
        <v>-5.5822800000000002E-3</v>
      </c>
      <c r="P1595">
        <v>0.99685950000000001</v>
      </c>
      <c r="Q1595">
        <v>3.2197440000000001E-2</v>
      </c>
      <c r="R1595">
        <v>7.2349759999999999E-2</v>
      </c>
      <c r="S1595">
        <v>3.0096440000000002</v>
      </c>
      <c r="T1595">
        <v>1.7021060000000001E-2</v>
      </c>
      <c r="U1595">
        <v>-1.0864260000000001E-2</v>
      </c>
      <c r="V1595">
        <v>-7.7924519999999997E-2</v>
      </c>
      <c r="W1595">
        <v>4.2498010000000003E-2</v>
      </c>
      <c r="X1595">
        <v>0.99605299999999997</v>
      </c>
      <c r="Y1595">
        <v>-1.972686E-3</v>
      </c>
      <c r="Z1595" s="1">
        <v>-3.714997E-5</v>
      </c>
      <c r="AA1595">
        <v>0.99999800000000005</v>
      </c>
      <c r="AB1595">
        <v>23</v>
      </c>
      <c r="AC1595">
        <v>125.1159</v>
      </c>
      <c r="AD1595">
        <v>0.70816800000000002</v>
      </c>
      <c r="AE1595">
        <v>-0.45150000000001</v>
      </c>
      <c r="AF1595">
        <v>-0.24696856051440799</v>
      </c>
      <c r="AG1595">
        <v>0.70816800000000002</v>
      </c>
      <c r="AH1595">
        <v>125.112462752334</v>
      </c>
      <c r="AI1595">
        <v>89.675695575543401</v>
      </c>
      <c r="AJ1595">
        <v>90.113100146056695</v>
      </c>
      <c r="AK1595">
        <v>125.11471069119099</v>
      </c>
      <c r="AL1595">
        <v>87.564309704744005</v>
      </c>
      <c r="AM1595">
        <v>94.473326889834595</v>
      </c>
      <c r="AN1595">
        <v>0.99999994524009295</v>
      </c>
    </row>
    <row r="1596" spans="1:40" x14ac:dyDescent="0.3">
      <c r="A1596" t="str">
        <f>"20200111145940853"</f>
        <v>20200111145940853</v>
      </c>
      <c r="B1596" t="str">
        <f>"1578725980846870"</f>
        <v>1578725980846870</v>
      </c>
      <c r="C1596" t="s">
        <v>40</v>
      </c>
      <c r="D1596">
        <v>4.3749500000000001</v>
      </c>
      <c r="E1596">
        <v>0.5294489</v>
      </c>
      <c r="F1596" t="s">
        <v>44</v>
      </c>
      <c r="G1596">
        <v>-158.19499999999999</v>
      </c>
      <c r="H1596">
        <v>1.737743</v>
      </c>
      <c r="I1596">
        <v>366.75360000000001</v>
      </c>
      <c r="J1596">
        <v>-283.17770000000002</v>
      </c>
      <c r="K1596">
        <v>1.054467</v>
      </c>
      <c r="L1596">
        <v>367.26679999999999</v>
      </c>
      <c r="M1596">
        <v>0.99993129999999997</v>
      </c>
      <c r="N1596">
        <v>0</v>
      </c>
      <c r="O1596">
        <v>-5.4647999999999997E-3</v>
      </c>
      <c r="P1596">
        <v>0.9968648</v>
      </c>
      <c r="Q1596">
        <v>3.2000889999999997E-2</v>
      </c>
      <c r="R1596">
        <v>7.2365079999999998E-2</v>
      </c>
      <c r="S1596">
        <v>3.0098569999999998</v>
      </c>
      <c r="T1596">
        <v>1.643944E-2</v>
      </c>
      <c r="U1596">
        <v>-1.235962E-2</v>
      </c>
      <c r="V1596">
        <v>-7.7823500000000004E-2</v>
      </c>
      <c r="W1596">
        <v>4.2313169999999997E-2</v>
      </c>
      <c r="X1596">
        <v>0.99606879999999998</v>
      </c>
      <c r="Y1596">
        <v>-1.35866E-3</v>
      </c>
      <c r="Z1596" s="1">
        <v>-3.3559439999999999E-5</v>
      </c>
      <c r="AA1596">
        <v>0.99999910000000003</v>
      </c>
      <c r="AB1596">
        <v>23</v>
      </c>
      <c r="AC1596">
        <v>124.98269999999999</v>
      </c>
      <c r="AD1596">
        <v>0.68327599999999999</v>
      </c>
      <c r="AE1596">
        <v>-0.513199999999983</v>
      </c>
      <c r="AF1596">
        <v>-0.169844771943641</v>
      </c>
      <c r="AG1596">
        <v>0.68327599999999999</v>
      </c>
      <c r="AH1596">
        <v>124.97990292826</v>
      </c>
      <c r="AI1596">
        <v>89.686762399851801</v>
      </c>
      <c r="AJ1596">
        <v>90.077863579551803</v>
      </c>
      <c r="AK1596">
        <v>124.981886084728</v>
      </c>
      <c r="AL1596">
        <v>87.574909871533393</v>
      </c>
      <c r="AM1596">
        <v>94.467480659112397</v>
      </c>
      <c r="AN1596">
        <v>0.99999997792056905</v>
      </c>
    </row>
    <row r="1597" spans="1:40" x14ac:dyDescent="0.3">
      <c r="A1597" t="str">
        <f>"20200111145940871"</f>
        <v>20200111145940871</v>
      </c>
      <c r="B1597" t="str">
        <f>"1578725980867366"</f>
        <v>1578725980867366</v>
      </c>
      <c r="C1597" t="s">
        <v>40</v>
      </c>
      <c r="D1597">
        <v>4.6577109999999999</v>
      </c>
      <c r="E1597">
        <v>0.52980660000000002</v>
      </c>
      <c r="F1597" t="s">
        <v>44</v>
      </c>
      <c r="G1597">
        <v>-158.19499999999999</v>
      </c>
      <c r="H1597">
        <v>1.6699649999999999</v>
      </c>
      <c r="I1597">
        <v>366.56479999999999</v>
      </c>
      <c r="J1597">
        <v>-283.00380000000001</v>
      </c>
      <c r="K1597">
        <v>1.0544720000000001</v>
      </c>
      <c r="L1597">
        <v>367.26600000000002</v>
      </c>
      <c r="M1597">
        <v>0.99993189999999998</v>
      </c>
      <c r="N1597">
        <v>0</v>
      </c>
      <c r="O1597">
        <v>-5.3115920000000004E-3</v>
      </c>
      <c r="P1597">
        <v>0.99686850000000005</v>
      </c>
      <c r="Q1597">
        <v>3.1720739999999997E-2</v>
      </c>
      <c r="R1597">
        <v>7.2436669999999995E-2</v>
      </c>
      <c r="S1597">
        <v>3.0101930000000001</v>
      </c>
      <c r="T1597">
        <v>1.4826300000000001E-2</v>
      </c>
      <c r="U1597">
        <v>-1.690674E-2</v>
      </c>
      <c r="V1597">
        <v>-7.7742190000000003E-2</v>
      </c>
      <c r="W1597">
        <v>4.205209E-2</v>
      </c>
      <c r="X1597">
        <v>0.99608620000000003</v>
      </c>
      <c r="Y1597">
        <v>3.0459429999999998E-4</v>
      </c>
      <c r="Z1597" s="1">
        <v>-2.5412279999999999E-5</v>
      </c>
      <c r="AA1597">
        <v>0.99999990000000005</v>
      </c>
      <c r="AB1597">
        <v>23</v>
      </c>
      <c r="AC1597">
        <v>124.80880000000001</v>
      </c>
      <c r="AD1597">
        <v>0.61549299999999996</v>
      </c>
      <c r="AE1597">
        <v>-0.70119999999997096</v>
      </c>
      <c r="AF1597">
        <v>3.8219958853330398E-2</v>
      </c>
      <c r="AG1597">
        <v>0.61549299999999996</v>
      </c>
      <c r="AH1597">
        <v>124.807728696927</v>
      </c>
      <c r="AI1597">
        <v>89.717446475021305</v>
      </c>
      <c r="AJ1597">
        <v>89.982454273546395</v>
      </c>
      <c r="AK1597">
        <v>124.80925220064501</v>
      </c>
      <c r="AL1597">
        <v>87.589881966421203</v>
      </c>
      <c r="AM1597">
        <v>94.462754257408704</v>
      </c>
      <c r="AN1597">
        <v>0.99999997210490099</v>
      </c>
    </row>
    <row r="1598" spans="1:40" x14ac:dyDescent="0.3">
      <c r="A1598" t="str">
        <f>"20200111145940882"</f>
        <v>20200111145940882</v>
      </c>
      <c r="B1598" t="str">
        <f>"1578725980877125"</f>
        <v>1578725980877125</v>
      </c>
      <c r="C1598" t="s">
        <v>40</v>
      </c>
      <c r="D1598">
        <v>4.3539320000000004</v>
      </c>
      <c r="E1598">
        <v>0.52986659999999997</v>
      </c>
      <c r="F1598" t="s">
        <v>44</v>
      </c>
      <c r="G1598">
        <v>-158.19499999999999</v>
      </c>
      <c r="H1598">
        <v>1.710939</v>
      </c>
      <c r="I1598">
        <v>366.45249999999999</v>
      </c>
      <c r="J1598">
        <v>-282.88560000000001</v>
      </c>
      <c r="K1598">
        <v>1.0544770000000001</v>
      </c>
      <c r="L1598">
        <v>367.26549999999997</v>
      </c>
      <c r="M1598">
        <v>0.99993240000000005</v>
      </c>
      <c r="N1598">
        <v>0</v>
      </c>
      <c r="O1598">
        <v>-5.2074820000000003E-3</v>
      </c>
      <c r="P1598">
        <v>0.99685009999999996</v>
      </c>
      <c r="Q1598">
        <v>3.1504629999999999E-2</v>
      </c>
      <c r="R1598">
        <v>7.2784860000000007E-2</v>
      </c>
      <c r="S1598">
        <v>3.010345</v>
      </c>
      <c r="T1598">
        <v>1.583588E-2</v>
      </c>
      <c r="U1598">
        <v>-1.9622799999999999E-2</v>
      </c>
      <c r="V1598">
        <v>-7.7986020000000003E-2</v>
      </c>
      <c r="W1598">
        <v>4.1851039999999999E-2</v>
      </c>
      <c r="X1598">
        <v>0.99607559999999995</v>
      </c>
      <c r="Y1598">
        <v>1.3106299999999999E-3</v>
      </c>
      <c r="Z1598" s="1">
        <v>-2.3947469999999999E-5</v>
      </c>
      <c r="AA1598">
        <v>0.99999919999999998</v>
      </c>
      <c r="AB1598">
        <v>23</v>
      </c>
      <c r="AC1598">
        <v>124.6906</v>
      </c>
      <c r="AD1598">
        <v>0.65646199999999899</v>
      </c>
      <c r="AE1598">
        <v>-0.81299999999998795</v>
      </c>
      <c r="AF1598">
        <v>0.16362529365891501</v>
      </c>
      <c r="AG1598">
        <v>0.65646199999999899</v>
      </c>
      <c r="AH1598">
        <v>124.68968712463401</v>
      </c>
      <c r="AI1598">
        <v>89.698354186392606</v>
      </c>
      <c r="AJ1598">
        <v>89.924813081313403</v>
      </c>
      <c r="AK1598">
        <v>124.691522529935</v>
      </c>
      <c r="AL1598">
        <v>87.601411415934905</v>
      </c>
      <c r="AM1598">
        <v>94.476741843820193</v>
      </c>
      <c r="AN1598">
        <v>0.99999996488994003</v>
      </c>
    </row>
    <row r="1599" spans="1:40" x14ac:dyDescent="0.3">
      <c r="A1599" t="str">
        <f>"20200111145940893"</f>
        <v>20200111145940893</v>
      </c>
      <c r="B1599" t="str">
        <f>"1578725980886886"</f>
        <v>1578725980886886</v>
      </c>
      <c r="C1599" t="s">
        <v>40</v>
      </c>
      <c r="D1599">
        <v>4.327242</v>
      </c>
      <c r="E1599">
        <v>0.53024919999999998</v>
      </c>
      <c r="F1599" t="s">
        <v>44</v>
      </c>
      <c r="G1599">
        <v>-158.19499999999999</v>
      </c>
      <c r="H1599">
        <v>1.8582689999999999</v>
      </c>
      <c r="I1599">
        <v>366.47550000000001</v>
      </c>
      <c r="J1599">
        <v>-282.77300000000002</v>
      </c>
      <c r="K1599">
        <v>1.054476</v>
      </c>
      <c r="L1599">
        <v>367.26499999999999</v>
      </c>
      <c r="M1599">
        <v>0.99993259999999995</v>
      </c>
      <c r="N1599">
        <v>0</v>
      </c>
      <c r="O1599">
        <v>-5.1080400000000003E-3</v>
      </c>
      <c r="P1599">
        <v>0.99682999999999999</v>
      </c>
      <c r="Q1599">
        <v>3.1841399999999999E-2</v>
      </c>
      <c r="R1599">
        <v>7.2912950000000004E-2</v>
      </c>
      <c r="S1599">
        <v>3.010284</v>
      </c>
      <c r="T1599">
        <v>1.9407270000000001E-2</v>
      </c>
      <c r="U1599">
        <v>-1.9073489999999999E-2</v>
      </c>
      <c r="V1599">
        <v>-7.801574E-2</v>
      </c>
      <c r="W1599">
        <v>4.220645E-2</v>
      </c>
      <c r="X1599">
        <v>0.99605829999999995</v>
      </c>
      <c r="Y1599">
        <v>1.2277639999999999E-3</v>
      </c>
      <c r="Z1599" s="1">
        <v>-2.8974749999999999E-5</v>
      </c>
      <c r="AA1599">
        <v>0.99999919999999998</v>
      </c>
      <c r="AB1599">
        <v>23</v>
      </c>
      <c r="AC1599">
        <v>124.57799999999899</v>
      </c>
      <c r="AD1599">
        <v>0.80379299999999998</v>
      </c>
      <c r="AE1599">
        <v>-0.789499999999975</v>
      </c>
      <c r="AF1599">
        <v>0.15309932910103399</v>
      </c>
      <c r="AG1599">
        <v>0.80379299999999998</v>
      </c>
      <c r="AH1599">
        <v>124.57522173029901</v>
      </c>
      <c r="AI1599">
        <v>89.630317554342298</v>
      </c>
      <c r="AJ1599">
        <v>89.9295851866394</v>
      </c>
      <c r="AK1599">
        <v>124.57790892347001</v>
      </c>
      <c r="AL1599">
        <v>87.581029970334299</v>
      </c>
      <c r="AM1599">
        <v>94.478518431197301</v>
      </c>
      <c r="AN1599">
        <v>0.99999998855411898</v>
      </c>
    </row>
    <row r="1600" spans="1:40" x14ac:dyDescent="0.3">
      <c r="A1600" t="str">
        <f>"20200111145940905"</f>
        <v>20200111145940905</v>
      </c>
      <c r="B1600" t="str">
        <f>"1578725980897622"</f>
        <v>1578725980897622</v>
      </c>
      <c r="C1600" t="s">
        <v>40</v>
      </c>
      <c r="D1600">
        <v>4.3922410000000003</v>
      </c>
      <c r="E1600">
        <v>0.53024919999999998</v>
      </c>
      <c r="F1600" t="s">
        <v>44</v>
      </c>
      <c r="G1600">
        <v>-158.19499999999999</v>
      </c>
      <c r="H1600">
        <v>1.8838969999999999</v>
      </c>
      <c r="I1600">
        <v>366.36340000000001</v>
      </c>
      <c r="J1600">
        <v>-282.65949999999998</v>
      </c>
      <c r="K1600">
        <v>1.054481</v>
      </c>
      <c r="L1600">
        <v>367.26459999999997</v>
      </c>
      <c r="M1600">
        <v>0.99993290000000001</v>
      </c>
      <c r="N1600">
        <v>0</v>
      </c>
      <c r="O1600">
        <v>-5.0080159999999997E-3</v>
      </c>
      <c r="P1600">
        <v>0.99680310000000005</v>
      </c>
      <c r="Q1600">
        <v>3.1546930000000001E-2</v>
      </c>
      <c r="R1600">
        <v>7.34065E-2</v>
      </c>
      <c r="S1600">
        <v>3.0104980000000001</v>
      </c>
      <c r="T1600">
        <v>2.0045520000000001E-2</v>
      </c>
      <c r="U1600">
        <v>-2.1789550000000001E-2</v>
      </c>
      <c r="V1600">
        <v>-7.8408459999999999E-2</v>
      </c>
      <c r="W1600">
        <v>4.193347E-2</v>
      </c>
      <c r="X1600">
        <v>0.99603900000000001</v>
      </c>
      <c r="Y1600">
        <v>2.2294789999999999E-3</v>
      </c>
      <c r="Z1600" s="1">
        <v>-2.5924480000000001E-5</v>
      </c>
      <c r="AA1600">
        <v>0.99999749999999998</v>
      </c>
      <c r="AB1600">
        <v>23</v>
      </c>
      <c r="AC1600">
        <v>124.4645</v>
      </c>
      <c r="AD1600">
        <v>0.82941600000000004</v>
      </c>
      <c r="AE1600">
        <v>-0.90119999999996003</v>
      </c>
      <c r="AF1600">
        <v>0.27782214378517001</v>
      </c>
      <c r="AG1600">
        <v>0.82941600000000004</v>
      </c>
      <c r="AH1600">
        <v>124.461925770017</v>
      </c>
      <c r="AI1600">
        <v>89.618186733588104</v>
      </c>
      <c r="AJ1600">
        <v>89.872105386785904</v>
      </c>
      <c r="AK1600">
        <v>124.464999427252</v>
      </c>
      <c r="AL1600">
        <v>87.596684449797806</v>
      </c>
      <c r="AM1600">
        <v>94.501057099347307</v>
      </c>
      <c r="AN1600">
        <v>0.99999999601340595</v>
      </c>
    </row>
    <row r="1601" spans="1:40" x14ac:dyDescent="0.3">
      <c r="A1601" t="str">
        <f>"20200111145940916"</f>
        <v>20200111145940916</v>
      </c>
      <c r="B1601" t="str">
        <f>"1578725980907381"</f>
        <v>1578725980907381</v>
      </c>
      <c r="C1601" t="s">
        <v>40</v>
      </c>
      <c r="D1601">
        <v>4.3309699999999998</v>
      </c>
      <c r="E1601">
        <v>0.52983409999999997</v>
      </c>
      <c r="F1601" t="s">
        <v>44</v>
      </c>
      <c r="G1601">
        <v>-158.19499999999999</v>
      </c>
      <c r="H1601">
        <v>1.8496349999999999</v>
      </c>
      <c r="I1601">
        <v>366.43060000000003</v>
      </c>
      <c r="J1601">
        <v>-282.53919999999999</v>
      </c>
      <c r="K1601">
        <v>1.0544800000000001</v>
      </c>
      <c r="L1601">
        <v>367.26409999999998</v>
      </c>
      <c r="M1601">
        <v>0.99993319999999997</v>
      </c>
      <c r="N1601">
        <v>0</v>
      </c>
      <c r="O1601">
        <v>-4.9019440000000001E-3</v>
      </c>
      <c r="P1601">
        <v>0.99677119999999997</v>
      </c>
      <c r="Q1601">
        <v>3.1327359999999999E-2</v>
      </c>
      <c r="R1601">
        <v>7.393023E-2</v>
      </c>
      <c r="S1601">
        <v>3.0104679999999999</v>
      </c>
      <c r="T1601">
        <v>1.923478E-2</v>
      </c>
      <c r="U1601">
        <v>-2.0172120000000002E-2</v>
      </c>
      <c r="V1601">
        <v>-7.8827049999999996E-2</v>
      </c>
      <c r="W1601">
        <v>4.1741460000000001E-2</v>
      </c>
      <c r="X1601">
        <v>0.99601410000000001</v>
      </c>
      <c r="Y1601">
        <v>1.7983910000000001E-3</v>
      </c>
      <c r="Z1601" s="1">
        <v>-2.557571E-5</v>
      </c>
      <c r="AA1601">
        <v>0.99999839999999995</v>
      </c>
      <c r="AB1601">
        <v>23</v>
      </c>
      <c r="AC1601">
        <v>124.3442</v>
      </c>
      <c r="AD1601">
        <v>0.79515499999999995</v>
      </c>
      <c r="AE1601">
        <v>-0.83349999999995805</v>
      </c>
      <c r="AF1601">
        <v>0.223919128540121</v>
      </c>
      <c r="AG1601">
        <v>0.79515499999999995</v>
      </c>
      <c r="AH1601">
        <v>124.34170736613299</v>
      </c>
      <c r="AI1601">
        <v>89.633603787314101</v>
      </c>
      <c r="AJ1601">
        <v>89.896819760476902</v>
      </c>
      <c r="AK1601">
        <v>124.34445143220201</v>
      </c>
      <c r="AL1601">
        <v>87.607695631319402</v>
      </c>
      <c r="AM1601">
        <v>94.525099486372895</v>
      </c>
      <c r="AN1601">
        <v>1.00000007034671</v>
      </c>
    </row>
    <row r="1602" spans="1:40" x14ac:dyDescent="0.3">
      <c r="A1602" t="str">
        <f>"20200111145940927"</f>
        <v>20200111145940927</v>
      </c>
      <c r="B1602" t="str">
        <f>"1578725980917142"</f>
        <v>1578725980917142</v>
      </c>
      <c r="C1602" t="s">
        <v>40</v>
      </c>
      <c r="D1602">
        <v>4.3365349999999996</v>
      </c>
      <c r="E1602">
        <v>0.52990729999999997</v>
      </c>
      <c r="F1602" t="s">
        <v>42</v>
      </c>
      <c r="G1602">
        <v>-234.19200000000001</v>
      </c>
      <c r="H1602" s="1">
        <v>-2.9348210000000002E-6</v>
      </c>
      <c r="I1602">
        <v>367.01819999999998</v>
      </c>
      <c r="J1602">
        <v>-282.42950000000002</v>
      </c>
      <c r="K1602">
        <v>1.054487</v>
      </c>
      <c r="L1602">
        <v>367.26369999999997</v>
      </c>
      <c r="M1602">
        <v>0.99993330000000002</v>
      </c>
      <c r="N1602">
        <v>0</v>
      </c>
      <c r="O1602">
        <v>-4.8051860000000004E-3</v>
      </c>
      <c r="P1602">
        <v>0.99677819999999995</v>
      </c>
      <c r="Q1602">
        <v>3.1237480000000001E-2</v>
      </c>
      <c r="R1602">
        <v>7.3875759999999999E-2</v>
      </c>
      <c r="S1602">
        <v>3.0129090000000001</v>
      </c>
      <c r="T1602">
        <v>-6.5713289999999994E-2</v>
      </c>
      <c r="U1602">
        <v>-1.531982E-2</v>
      </c>
      <c r="V1602">
        <v>-7.8675739999999994E-2</v>
      </c>
      <c r="W1602">
        <v>4.1683350000000001E-2</v>
      </c>
      <c r="X1602">
        <v>0.99602840000000004</v>
      </c>
      <c r="Y1602">
        <v>2.8029070000000001E-4</v>
      </c>
      <c r="Z1602">
        <v>1.017397E-4</v>
      </c>
      <c r="AA1602">
        <v>0.99999990000000005</v>
      </c>
      <c r="AB1602">
        <v>23</v>
      </c>
      <c r="AC1602">
        <v>48.237499999999997</v>
      </c>
      <c r="AD1602">
        <v>-1.054489934821</v>
      </c>
      <c r="AE1602">
        <v>-0.245499999999992</v>
      </c>
      <c r="AF1602">
        <v>1.3687679925957199E-2</v>
      </c>
      <c r="AG1602">
        <v>-1.054489934821</v>
      </c>
      <c r="AH1602">
        <v>48.215082538219399</v>
      </c>
      <c r="AI1602">
        <v>91.252889903437705</v>
      </c>
      <c r="AJ1602">
        <v>89.983734420253398</v>
      </c>
      <c r="AK1602">
        <v>48.226614234699603</v>
      </c>
      <c r="AL1602">
        <v>87.611027758026793</v>
      </c>
      <c r="AM1602">
        <v>94.516384869660001</v>
      </c>
      <c r="AN1602">
        <v>0.99999997366916404</v>
      </c>
    </row>
    <row r="1603" spans="1:40" x14ac:dyDescent="0.3">
      <c r="A1603" t="str">
        <f>"20200111145940939"</f>
        <v>20200111145940939</v>
      </c>
      <c r="B1603" t="str">
        <f>"1578725980937638"</f>
        <v>1578725980937638</v>
      </c>
      <c r="C1603" t="s">
        <v>40</v>
      </c>
      <c r="D1603">
        <v>4.2970620000000004</v>
      </c>
      <c r="E1603">
        <v>0.52950680000000006</v>
      </c>
      <c r="F1603" t="s">
        <v>42</v>
      </c>
      <c r="G1603">
        <v>-243.64070000000001</v>
      </c>
      <c r="H1603" s="1">
        <v>-3.4402460000000001E-6</v>
      </c>
      <c r="I1603">
        <v>367.05860000000001</v>
      </c>
      <c r="J1603">
        <v>-282.30630000000002</v>
      </c>
      <c r="K1603">
        <v>1.054497</v>
      </c>
      <c r="L1603">
        <v>367.26319999999998</v>
      </c>
      <c r="M1603">
        <v>0.99993350000000003</v>
      </c>
      <c r="N1603">
        <v>0</v>
      </c>
      <c r="O1603">
        <v>-4.696665E-3</v>
      </c>
      <c r="P1603">
        <v>0.99679790000000001</v>
      </c>
      <c r="Q1603">
        <v>3.095268E-2</v>
      </c>
      <c r="R1603">
        <v>7.3730069999999995E-2</v>
      </c>
      <c r="S1603">
        <v>3.013458</v>
      </c>
      <c r="T1603">
        <v>-8.1922289999999995E-2</v>
      </c>
      <c r="U1603">
        <v>-1.5930179999999999E-2</v>
      </c>
      <c r="V1603">
        <v>-7.8421969999999994E-2</v>
      </c>
      <c r="W1603">
        <v>4.1437509999999997E-2</v>
      </c>
      <c r="X1603">
        <v>0.99605869999999996</v>
      </c>
      <c r="Y1603">
        <v>5.9086879999999998E-4</v>
      </c>
      <c r="Z1603">
        <v>1.19633E-4</v>
      </c>
      <c r="AA1603">
        <v>0.99999979999999999</v>
      </c>
      <c r="AB1603">
        <v>23</v>
      </c>
      <c r="AC1603">
        <v>38.665599999999998</v>
      </c>
      <c r="AD1603">
        <v>-1.0545004402460001</v>
      </c>
      <c r="AE1603">
        <v>-0.20459999999997</v>
      </c>
      <c r="AF1603">
        <v>2.29712140042727E-2</v>
      </c>
      <c r="AG1603">
        <v>-1.0545004402460001</v>
      </c>
      <c r="AH1603">
        <v>38.637397597946197</v>
      </c>
      <c r="AI1603">
        <v>91.563340786616095</v>
      </c>
      <c r="AJ1603">
        <v>89.965935763289195</v>
      </c>
      <c r="AK1603">
        <v>38.651791575513499</v>
      </c>
      <c r="AL1603">
        <v>87.625125603702003</v>
      </c>
      <c r="AM1603">
        <v>94.501740785589305</v>
      </c>
      <c r="AN1603">
        <v>1.0000000032296801</v>
      </c>
    </row>
    <row r="1604" spans="1:40" x14ac:dyDescent="0.3">
      <c r="A1604" t="str">
        <f>"20200111145940952"</f>
        <v>20200111145940952</v>
      </c>
      <c r="B1604" t="str">
        <f>"1578725980947399"</f>
        <v>1578725980947399</v>
      </c>
      <c r="C1604" t="s">
        <v>40</v>
      </c>
      <c r="D1604">
        <v>4.2967120000000003</v>
      </c>
      <c r="E1604">
        <v>0.52979500000000002</v>
      </c>
      <c r="F1604" t="s">
        <v>42</v>
      </c>
      <c r="G1604">
        <v>-245.28829999999999</v>
      </c>
      <c r="H1604" s="1">
        <v>-2.6534310000000001E-6</v>
      </c>
      <c r="I1604">
        <v>367.10390000000001</v>
      </c>
      <c r="J1604">
        <v>-282.18619999999999</v>
      </c>
      <c r="K1604">
        <v>1.0545100000000001</v>
      </c>
      <c r="L1604">
        <v>367.26280000000003</v>
      </c>
      <c r="M1604">
        <v>0.99993339999999997</v>
      </c>
      <c r="N1604">
        <v>0</v>
      </c>
      <c r="O1604">
        <v>-4.5904539999999999E-3</v>
      </c>
      <c r="P1604">
        <v>0.996834</v>
      </c>
      <c r="Q1604">
        <v>3.0769999999999999E-2</v>
      </c>
      <c r="R1604">
        <v>7.3317370000000007E-2</v>
      </c>
      <c r="S1604">
        <v>3.0132750000000001</v>
      </c>
      <c r="T1604">
        <v>-8.5836410000000002E-2</v>
      </c>
      <c r="U1604">
        <v>-1.2969970000000001E-2</v>
      </c>
      <c r="V1604">
        <v>-7.7904210000000002E-2</v>
      </c>
      <c r="W1604">
        <v>4.1303630000000001E-2</v>
      </c>
      <c r="X1604">
        <v>0.99610489999999996</v>
      </c>
      <c r="Y1604">
        <v>-2.8449930000000001E-4</v>
      </c>
      <c r="Z1604">
        <v>1.3479489999999999E-4</v>
      </c>
      <c r="AA1604">
        <v>0.99999990000000005</v>
      </c>
      <c r="AB1604">
        <v>23</v>
      </c>
      <c r="AC1604">
        <v>36.8978999999999</v>
      </c>
      <c r="AD1604">
        <v>-1.0545126534309901</v>
      </c>
      <c r="AE1604">
        <v>-0.158900000000016</v>
      </c>
      <c r="AF1604">
        <v>-1.0480723257875999E-2</v>
      </c>
      <c r="AG1604">
        <v>-1.0545126534309901</v>
      </c>
      <c r="AH1604">
        <v>36.868128398762899</v>
      </c>
      <c r="AI1604">
        <v>91.638343378014895</v>
      </c>
      <c r="AJ1604">
        <v>90.016287813318002</v>
      </c>
      <c r="AK1604">
        <v>36.883207539603603</v>
      </c>
      <c r="AL1604">
        <v>87.632802960452196</v>
      </c>
      <c r="AM1604">
        <v>94.471933638606103</v>
      </c>
      <c r="AN1604">
        <v>1.0000000137954499</v>
      </c>
    </row>
    <row r="1605" spans="1:40" x14ac:dyDescent="0.3">
      <c r="A1605" t="str">
        <f>"20200111145940963"</f>
        <v>20200111145940963</v>
      </c>
      <c r="B1605" t="str">
        <f>"1578725980957159"</f>
        <v>1578725980957159</v>
      </c>
      <c r="C1605" t="s">
        <v>40</v>
      </c>
      <c r="D1605">
        <v>4.2531309999999998</v>
      </c>
      <c r="E1605">
        <v>0.52955269999999899</v>
      </c>
      <c r="F1605" t="s">
        <v>42</v>
      </c>
      <c r="G1605">
        <v>-245.7998</v>
      </c>
      <c r="H1605" s="1">
        <v>-2.4189939999999999E-6</v>
      </c>
      <c r="I1605">
        <v>367.06229999999999</v>
      </c>
      <c r="J1605">
        <v>-282.06209999999999</v>
      </c>
      <c r="K1605">
        <v>1.054522</v>
      </c>
      <c r="L1605">
        <v>367.26229999999998</v>
      </c>
      <c r="M1605">
        <v>0.99993319999999997</v>
      </c>
      <c r="N1605">
        <v>0</v>
      </c>
      <c r="O1605">
        <v>-4.4802160000000004E-3</v>
      </c>
      <c r="P1605">
        <v>0.99685699999999999</v>
      </c>
      <c r="Q1605">
        <v>3.089109E-2</v>
      </c>
      <c r="R1605">
        <v>7.2952610000000001E-2</v>
      </c>
      <c r="S1605">
        <v>3.013458</v>
      </c>
      <c r="T1605">
        <v>-8.7332839999999995E-2</v>
      </c>
      <c r="U1605">
        <v>-1.6601560000000001E-2</v>
      </c>
      <c r="V1605">
        <v>-7.7429609999999996E-2</v>
      </c>
      <c r="W1605">
        <v>4.1478479999999998E-2</v>
      </c>
      <c r="X1605">
        <v>0.99613459999999998</v>
      </c>
      <c r="Y1605">
        <v>1.030048E-3</v>
      </c>
      <c r="Z1605">
        <v>1.1489659999999999E-4</v>
      </c>
      <c r="AA1605">
        <v>0.99999950000000004</v>
      </c>
      <c r="AB1605">
        <v>23</v>
      </c>
      <c r="AC1605">
        <v>36.262299999999897</v>
      </c>
      <c r="AD1605">
        <v>-1.054524418994</v>
      </c>
      <c r="AE1605">
        <v>-0.19999999999998799</v>
      </c>
      <c r="AF1605">
        <v>3.7494126614962799E-2</v>
      </c>
      <c r="AG1605">
        <v>-1.054524418994</v>
      </c>
      <c r="AH1605">
        <v>36.232192452813202</v>
      </c>
      <c r="AI1605">
        <v>91.667100739292096</v>
      </c>
      <c r="AJ1605">
        <v>89.940708681995105</v>
      </c>
      <c r="AK1605">
        <v>36.247554365742801</v>
      </c>
      <c r="AL1605">
        <v>87.622776108698602</v>
      </c>
      <c r="AM1605">
        <v>94.444667696975799</v>
      </c>
      <c r="AN1605">
        <v>0.99999997506251004</v>
      </c>
    </row>
    <row r="1606" spans="1:40" x14ac:dyDescent="0.3">
      <c r="A1606" t="str">
        <f>"20200111145940975"</f>
        <v>20200111145940975</v>
      </c>
      <c r="B1606" t="str">
        <f>"1578725980966919"</f>
        <v>1578725980966919</v>
      </c>
      <c r="C1606" t="s">
        <v>40</v>
      </c>
      <c r="D1606">
        <v>4.5831559999999998</v>
      </c>
      <c r="E1606">
        <v>0.52955269999999899</v>
      </c>
      <c r="F1606" t="s">
        <v>42</v>
      </c>
      <c r="G1606">
        <v>-245.91139999999999</v>
      </c>
      <c r="H1606" s="1">
        <v>-2.3641899999999999E-6</v>
      </c>
      <c r="I1606">
        <v>367.07369999999997</v>
      </c>
      <c r="J1606">
        <v>-281.93560000000002</v>
      </c>
      <c r="K1606">
        <v>1.054538</v>
      </c>
      <c r="L1606">
        <v>367.26179999999999</v>
      </c>
      <c r="M1606">
        <v>0.99993310000000002</v>
      </c>
      <c r="N1606">
        <v>0</v>
      </c>
      <c r="O1606">
        <v>-4.3672779999999996E-3</v>
      </c>
      <c r="P1606">
        <v>0.99687769999999998</v>
      </c>
      <c r="Q1606">
        <v>3.0887959999999999E-2</v>
      </c>
      <c r="R1606">
        <v>7.2670310000000002E-2</v>
      </c>
      <c r="S1606">
        <v>3.0133359999999998</v>
      </c>
      <c r="T1606">
        <v>-8.7899920000000006E-2</v>
      </c>
      <c r="U1606">
        <v>-1.5716549999999999E-2</v>
      </c>
      <c r="V1606">
        <v>-7.703517E-2</v>
      </c>
      <c r="W1606">
        <v>4.1538510000000001E-2</v>
      </c>
      <c r="X1606">
        <v>0.99616269999999996</v>
      </c>
      <c r="Y1606">
        <v>8.4957139999999995E-4</v>
      </c>
      <c r="Z1606">
        <v>1.149851E-4</v>
      </c>
      <c r="AA1606">
        <v>0.99999959999999999</v>
      </c>
      <c r="AB1606">
        <v>23</v>
      </c>
      <c r="AC1606">
        <v>36.0242</v>
      </c>
      <c r="AD1606">
        <v>-1.05454036419</v>
      </c>
      <c r="AE1606">
        <v>-0.188100000000019</v>
      </c>
      <c r="AF1606">
        <v>3.07351478588281E-2</v>
      </c>
      <c r="AG1606">
        <v>-1.05454036419</v>
      </c>
      <c r="AH1606">
        <v>35.993835129245902</v>
      </c>
      <c r="AI1606">
        <v>91.678159920011694</v>
      </c>
      <c r="AJ1606">
        <v>89.951075126596194</v>
      </c>
      <c r="AK1606">
        <v>36.009292791449802</v>
      </c>
      <c r="AL1606">
        <v>87.6193337237235</v>
      </c>
      <c r="AM1606">
        <v>94.421991572978698</v>
      </c>
      <c r="AN1606">
        <v>0.99999999505061898</v>
      </c>
    </row>
    <row r="1607" spans="1:40" x14ac:dyDescent="0.3">
      <c r="A1607" t="str">
        <f>"20200111145940988"</f>
        <v>20200111145940988</v>
      </c>
      <c r="B1607" t="str">
        <f>"1578725980977653"</f>
        <v>1578725980977653</v>
      </c>
      <c r="C1607" t="s">
        <v>40</v>
      </c>
      <c r="D1607">
        <v>4.3397030000000001</v>
      </c>
      <c r="E1607">
        <v>0.52921940000000001</v>
      </c>
      <c r="F1607" t="s">
        <v>42</v>
      </c>
      <c r="G1607">
        <v>-245.72040000000001</v>
      </c>
      <c r="H1607" s="1">
        <v>-2.4570930000000002E-6</v>
      </c>
      <c r="I1607">
        <v>367.05900000000003</v>
      </c>
      <c r="J1607">
        <v>-281.81330000000003</v>
      </c>
      <c r="K1607">
        <v>1.054557</v>
      </c>
      <c r="L1607">
        <v>367.26139999999998</v>
      </c>
      <c r="M1607">
        <v>0.99993299999999996</v>
      </c>
      <c r="N1607">
        <v>0</v>
      </c>
      <c r="O1607">
        <v>-4.2566139999999997E-3</v>
      </c>
      <c r="P1607">
        <v>0.99687490000000001</v>
      </c>
      <c r="Q1607">
        <v>3.1165579999999998E-2</v>
      </c>
      <c r="R1607">
        <v>7.2593710000000006E-2</v>
      </c>
      <c r="S1607">
        <v>3.0133670000000001</v>
      </c>
      <c r="T1607">
        <v>-8.7745429999999999E-2</v>
      </c>
      <c r="U1607">
        <v>-1.6876220000000001E-2</v>
      </c>
      <c r="V1607">
        <v>-7.6848330000000006E-2</v>
      </c>
      <c r="W1607">
        <v>4.1882490000000001E-2</v>
      </c>
      <c r="X1607">
        <v>0.99616269999999996</v>
      </c>
      <c r="Y1607">
        <v>1.3447559999999999E-3</v>
      </c>
      <c r="Z1607">
        <v>1.0435200000000001E-4</v>
      </c>
      <c r="AA1607">
        <v>0.99999910000000003</v>
      </c>
      <c r="AB1607">
        <v>23</v>
      </c>
      <c r="AC1607">
        <v>36.0929</v>
      </c>
      <c r="AD1607">
        <v>-1.0545594570929999</v>
      </c>
      <c r="AE1607">
        <v>-0.20239999999995401</v>
      </c>
      <c r="AF1607">
        <v>4.8714135359986997E-2</v>
      </c>
      <c r="AG1607">
        <v>-1.0545594570929999</v>
      </c>
      <c r="AH1607">
        <v>36.062649328943799</v>
      </c>
      <c r="AI1607">
        <v>91.674988898168905</v>
      </c>
      <c r="AJ1607">
        <v>89.922603782222495</v>
      </c>
      <c r="AK1607">
        <v>36.0780978619702</v>
      </c>
      <c r="AL1607">
        <v>87.599607886936198</v>
      </c>
      <c r="AM1607">
        <v>94.411308922284903</v>
      </c>
      <c r="AN1607">
        <v>0.99999996683183801</v>
      </c>
    </row>
    <row r="1608" spans="1:40" x14ac:dyDescent="0.3">
      <c r="A1608" t="str">
        <f>"20200111145941000"</f>
        <v>20200111145941000</v>
      </c>
      <c r="B1608" t="str">
        <f>"1578725980997174"</f>
        <v>1578725980997174</v>
      </c>
      <c r="C1608" t="s">
        <v>40</v>
      </c>
      <c r="D1608">
        <v>4.3034980000000003</v>
      </c>
      <c r="E1608">
        <v>0.52924740000000003</v>
      </c>
      <c r="F1608" t="s">
        <v>44</v>
      </c>
      <c r="G1608">
        <v>-158.19499999999999</v>
      </c>
      <c r="H1608">
        <v>2.363356</v>
      </c>
      <c r="I1608">
        <v>366.65719999999999</v>
      </c>
      <c r="J1608">
        <v>-281.68900000000002</v>
      </c>
      <c r="K1608">
        <v>1.0545739999999999</v>
      </c>
      <c r="L1608">
        <v>367.26100000000002</v>
      </c>
      <c r="M1608">
        <v>0.99993259999999995</v>
      </c>
      <c r="N1608">
        <v>0</v>
      </c>
      <c r="O1608">
        <v>-4.143463E-3</v>
      </c>
      <c r="P1608">
        <v>0.99690160000000005</v>
      </c>
      <c r="Q1608">
        <v>3.1014139999999999E-2</v>
      </c>
      <c r="R1608">
        <v>7.2286020000000006E-2</v>
      </c>
      <c r="S1608">
        <v>3.0094910000000001</v>
      </c>
      <c r="T1608">
        <v>3.1864879999999998E-2</v>
      </c>
      <c r="U1608">
        <v>-1.4709470000000001E-2</v>
      </c>
      <c r="V1608">
        <v>-7.6428670000000004E-2</v>
      </c>
      <c r="W1608">
        <v>4.1801489999999997E-2</v>
      </c>
      <c r="X1608">
        <v>0.99619840000000004</v>
      </c>
      <c r="Y1608">
        <v>7.4412800000000004E-4</v>
      </c>
      <c r="Z1608" s="1">
        <v>-3.9933079999999997E-5</v>
      </c>
      <c r="AA1608">
        <v>0.99999970000000005</v>
      </c>
      <c r="AB1608">
        <v>23</v>
      </c>
      <c r="AC1608">
        <v>123.494</v>
      </c>
      <c r="AD1608">
        <v>1.3087819999999999</v>
      </c>
      <c r="AE1608">
        <v>-0.60379999999997802</v>
      </c>
      <c r="AF1608">
        <v>9.2061559626277795E-2</v>
      </c>
      <c r="AG1608">
        <v>1.3087819999999999</v>
      </c>
      <c r="AH1608">
        <v>123.481573084915</v>
      </c>
      <c r="AI1608">
        <v>89.392744566108703</v>
      </c>
      <c r="AJ1608">
        <v>89.957283198513807</v>
      </c>
      <c r="AK1608">
        <v>123.488543100887</v>
      </c>
      <c r="AL1608">
        <v>87.604252942718801</v>
      </c>
      <c r="AM1608">
        <v>94.387156966081207</v>
      </c>
      <c r="AN1608">
        <v>0.99999997916337402</v>
      </c>
    </row>
    <row r="1609" spans="1:40" x14ac:dyDescent="0.3">
      <c r="A1609" t="str">
        <f>"20200111145941014"</f>
        <v>20200111145941014</v>
      </c>
      <c r="B1609" t="str">
        <f>"1578725981006934"</f>
        <v>1578725981006934</v>
      </c>
      <c r="C1609" t="s">
        <v>40</v>
      </c>
      <c r="D1609">
        <v>7.5547649999999997</v>
      </c>
      <c r="E1609">
        <v>0.52894909999999995</v>
      </c>
      <c r="F1609" t="s">
        <v>44</v>
      </c>
      <c r="G1609">
        <v>-158.19499999999999</v>
      </c>
      <c r="H1609">
        <v>2.4170639999999999</v>
      </c>
      <c r="I1609">
        <v>366.61610000000002</v>
      </c>
      <c r="J1609">
        <v>-281.5496</v>
      </c>
      <c r="K1609">
        <v>1.054592</v>
      </c>
      <c r="L1609">
        <v>367.26060000000001</v>
      </c>
      <c r="M1609">
        <v>0.99993220000000005</v>
      </c>
      <c r="N1609">
        <v>0</v>
      </c>
      <c r="O1609">
        <v>-4.0219330000000001E-3</v>
      </c>
      <c r="P1609">
        <v>0.99691609999999997</v>
      </c>
      <c r="Q1609">
        <v>3.0903380000000001E-2</v>
      </c>
      <c r="R1609">
        <v>7.2135930000000001E-2</v>
      </c>
      <c r="S1609">
        <v>3.00943</v>
      </c>
      <c r="T1609">
        <v>3.3204669999999999E-2</v>
      </c>
      <c r="U1609">
        <v>-1.5716549999999999E-2</v>
      </c>
      <c r="V1609">
        <v>-7.6157530000000001E-2</v>
      </c>
      <c r="W1609">
        <v>4.1776239999999999E-2</v>
      </c>
      <c r="X1609">
        <v>0.9962202</v>
      </c>
      <c r="Y1609">
        <v>1.2003750000000001E-3</v>
      </c>
      <c r="Z1609" s="1">
        <v>-3.7755010000000001E-5</v>
      </c>
      <c r="AA1609">
        <v>0.99999930000000004</v>
      </c>
      <c r="AB1609">
        <v>23</v>
      </c>
      <c r="AC1609">
        <v>123.3546</v>
      </c>
      <c r="AD1609">
        <v>1.3624719999999999</v>
      </c>
      <c r="AE1609">
        <v>-0.64449999999999297</v>
      </c>
      <c r="AF1609">
        <v>0.14832312984892801</v>
      </c>
      <c r="AG1609">
        <v>1.3624719999999999</v>
      </c>
      <c r="AH1609">
        <v>123.34114780162</v>
      </c>
      <c r="AI1609">
        <v>89.367115797831602</v>
      </c>
      <c r="AJ1609">
        <v>89.931099350058801</v>
      </c>
      <c r="AK1609">
        <v>123.34876193429299</v>
      </c>
      <c r="AL1609">
        <v>87.605700868749096</v>
      </c>
      <c r="AM1609">
        <v>94.371558142290397</v>
      </c>
      <c r="AN1609">
        <v>0.99999995524613805</v>
      </c>
    </row>
    <row r="1610" spans="1:40" x14ac:dyDescent="0.3">
      <c r="A1610" t="str">
        <f>"20200111145941027"</f>
        <v>20200111145941027</v>
      </c>
      <c r="B1610" t="str">
        <f>"1578725981017670"</f>
        <v>1578725981017670</v>
      </c>
      <c r="C1610" t="s">
        <v>40</v>
      </c>
      <c r="D1610">
        <v>4.5088249999999999</v>
      </c>
      <c r="E1610">
        <v>0.53017890000000001</v>
      </c>
      <c r="F1610" t="s">
        <v>44</v>
      </c>
      <c r="G1610">
        <v>-158.19499999999999</v>
      </c>
      <c r="H1610">
        <v>2.325062</v>
      </c>
      <c r="I1610">
        <v>366.69150000000002</v>
      </c>
      <c r="J1610">
        <v>-281.41489999999999</v>
      </c>
      <c r="K1610">
        <v>1.0546089999999999</v>
      </c>
      <c r="L1610">
        <v>367.2602</v>
      </c>
      <c r="M1610">
        <v>0.99993169999999998</v>
      </c>
      <c r="N1610">
        <v>0</v>
      </c>
      <c r="O1610">
        <v>-3.907682E-3</v>
      </c>
      <c r="P1610">
        <v>0.99692829999999999</v>
      </c>
      <c r="Q1610">
        <v>3.1066400000000001E-2</v>
      </c>
      <c r="R1610">
        <v>7.1894520000000003E-2</v>
      </c>
      <c r="S1610">
        <v>3.0093079999999999</v>
      </c>
      <c r="T1610">
        <v>3.0995970000000001E-2</v>
      </c>
      <c r="U1610">
        <v>-1.38855E-2</v>
      </c>
      <c r="V1610">
        <v>-7.5802359999999999E-2</v>
      </c>
      <c r="W1610">
        <v>4.2023030000000003E-2</v>
      </c>
      <c r="X1610">
        <v>0.99623700000000004</v>
      </c>
      <c r="Y1610">
        <v>7.0639159999999999E-4</v>
      </c>
      <c r="Z1610" s="1">
        <v>-3.6612429999999997E-5</v>
      </c>
      <c r="AA1610">
        <v>0.99999979999999999</v>
      </c>
      <c r="AB1610">
        <v>23</v>
      </c>
      <c r="AC1610">
        <v>123.2199</v>
      </c>
      <c r="AD1610">
        <v>1.2704530000000001</v>
      </c>
      <c r="AE1610">
        <v>-0.568699999999978</v>
      </c>
      <c r="AF1610">
        <v>8.7152995534246602E-2</v>
      </c>
      <c r="AG1610">
        <v>1.2704530000000001</v>
      </c>
      <c r="AH1610">
        <v>123.20808412222</v>
      </c>
      <c r="AI1610">
        <v>89.409218984549597</v>
      </c>
      <c r="AJ1610">
        <v>89.959471019951707</v>
      </c>
      <c r="AK1610">
        <v>123.214664872076</v>
      </c>
      <c r="AL1610">
        <v>87.591548634228204</v>
      </c>
      <c r="AM1610">
        <v>94.351176228577799</v>
      </c>
      <c r="AN1610">
        <v>1.0000000465004699</v>
      </c>
    </row>
    <row r="1611" spans="1:40" x14ac:dyDescent="0.3">
      <c r="A1611" t="str">
        <f>"20200111145941040"</f>
        <v>20200111145941040</v>
      </c>
      <c r="B1611" t="str">
        <f>"1578725981027430"</f>
        <v>1578725981027430</v>
      </c>
      <c r="C1611" t="s">
        <v>40</v>
      </c>
      <c r="D1611">
        <v>4.27719</v>
      </c>
      <c r="E1611">
        <v>0.53017890000000001</v>
      </c>
      <c r="F1611" t="s">
        <v>44</v>
      </c>
      <c r="G1611">
        <v>-158.19499999999999</v>
      </c>
      <c r="H1611">
        <v>2.0699999999999998</v>
      </c>
      <c r="I1611">
        <v>366.27330000000001</v>
      </c>
      <c r="J1611">
        <v>-281.29469999999998</v>
      </c>
      <c r="K1611">
        <v>1.0546219999999999</v>
      </c>
      <c r="L1611">
        <v>367.25990000000002</v>
      </c>
      <c r="M1611">
        <v>0.99993129999999997</v>
      </c>
      <c r="N1611">
        <v>0</v>
      </c>
      <c r="O1611">
        <v>-3.808423E-3</v>
      </c>
      <c r="P1611">
        <v>0.99692700000000001</v>
      </c>
      <c r="Q1611">
        <v>3.129349E-2</v>
      </c>
      <c r="R1611">
        <v>7.1813749999999996E-2</v>
      </c>
      <c r="S1611">
        <v>3.0102229999999999</v>
      </c>
      <c r="T1611">
        <v>2.480781E-2</v>
      </c>
      <c r="U1611">
        <v>-2.4108890000000001E-2</v>
      </c>
      <c r="V1611">
        <v>-7.5622770000000006E-2</v>
      </c>
      <c r="W1611">
        <v>4.2326509999999998E-2</v>
      </c>
      <c r="X1611">
        <v>0.99623779999999995</v>
      </c>
      <c r="Y1611">
        <v>4.2001410000000001E-3</v>
      </c>
      <c r="Z1611" s="1">
        <v>-1.408014E-5</v>
      </c>
      <c r="AA1611">
        <v>0.99999119999999997</v>
      </c>
      <c r="AB1611">
        <v>23</v>
      </c>
      <c r="AC1611">
        <v>123.099699999999</v>
      </c>
      <c r="AD1611">
        <v>1.0153779999999999</v>
      </c>
      <c r="AE1611">
        <v>-0.98660000000001002</v>
      </c>
      <c r="AF1611">
        <v>0.51771308505122804</v>
      </c>
      <c r="AG1611">
        <v>1.0153779999999999</v>
      </c>
      <c r="AH1611">
        <v>123.094190432563</v>
      </c>
      <c r="AI1611">
        <v>89.527394104822406</v>
      </c>
      <c r="AJ1611">
        <v>89.759025184143994</v>
      </c>
      <c r="AK1611">
        <v>123.099466845188</v>
      </c>
      <c r="AL1611">
        <v>87.574145024418598</v>
      </c>
      <c r="AM1611">
        <v>94.340903453688895</v>
      </c>
      <c r="AN1611">
        <v>1.00000004547004</v>
      </c>
    </row>
    <row r="1612" spans="1:40" x14ac:dyDescent="0.3">
      <c r="A1612" t="str">
        <f>"20200111145941052"</f>
        <v>20200111145941052</v>
      </c>
      <c r="B1612" t="str">
        <f>"1578725981046950"</f>
        <v>1578725981046950</v>
      </c>
      <c r="C1612" t="s">
        <v>40</v>
      </c>
      <c r="D1612">
        <v>4.2265969999999999</v>
      </c>
      <c r="E1612">
        <v>0.55345149999999999</v>
      </c>
      <c r="F1612" t="s">
        <v>44</v>
      </c>
      <c r="G1612">
        <v>-158.19499999999999</v>
      </c>
      <c r="H1612">
        <v>2.097092</v>
      </c>
      <c r="I1612">
        <v>366.25900000000001</v>
      </c>
      <c r="J1612">
        <v>-281.1635</v>
      </c>
      <c r="K1612">
        <v>1.0547759999999999</v>
      </c>
      <c r="L1612">
        <v>367.25959999999998</v>
      </c>
      <c r="M1612">
        <v>0.99992440000000005</v>
      </c>
      <c r="N1612">
        <v>0</v>
      </c>
      <c r="O1612">
        <v>-3.7109780000000002E-3</v>
      </c>
      <c r="P1612">
        <v>0.99691759999999996</v>
      </c>
      <c r="Q1612">
        <v>3.0735660000000001E-2</v>
      </c>
      <c r="R1612">
        <v>7.2186920000000002E-2</v>
      </c>
      <c r="S1612">
        <v>3.0102540000000002</v>
      </c>
      <c r="T1612">
        <v>2.549446E-2</v>
      </c>
      <c r="U1612">
        <v>-2.44751E-2</v>
      </c>
      <c r="V1612">
        <v>-7.5898480000000004E-2</v>
      </c>
      <c r="W1612">
        <v>4.2410349999999999E-2</v>
      </c>
      <c r="X1612">
        <v>0.99621320000000002</v>
      </c>
      <c r="Y1612">
        <v>4.4191170000000002E-3</v>
      </c>
      <c r="Z1612" s="1">
        <v>-1.271738E-5</v>
      </c>
      <c r="AA1612">
        <v>0.99999020000000005</v>
      </c>
      <c r="AB1612">
        <v>23</v>
      </c>
      <c r="AC1612">
        <v>122.96850000000001</v>
      </c>
      <c r="AD1612">
        <v>1.042316</v>
      </c>
      <c r="AE1612">
        <v>-1.00059999999996</v>
      </c>
      <c r="AF1612">
        <v>0.54418925646362204</v>
      </c>
      <c r="AG1612">
        <v>1.042316</v>
      </c>
      <c r="AH1612">
        <v>122.962532665472</v>
      </c>
      <c r="AI1612">
        <v>89.514337487234897</v>
      </c>
      <c r="AJ1612">
        <v>89.746430531219204</v>
      </c>
      <c r="AK1612">
        <v>122.968154430723</v>
      </c>
      <c r="AL1612">
        <v>87.569336866174297</v>
      </c>
      <c r="AM1612">
        <v>94.356776122627593</v>
      </c>
      <c r="AN1612">
        <v>0.99999997845383604</v>
      </c>
    </row>
    <row r="1613" spans="1:40" x14ac:dyDescent="0.3">
      <c r="A1613" t="str">
        <f>"20200111145941063"</f>
        <v>20200111145941063</v>
      </c>
      <c r="B1613" t="str">
        <f>"1578725981057686"</f>
        <v>1578725981057686</v>
      </c>
      <c r="C1613" t="s">
        <v>40</v>
      </c>
      <c r="D1613">
        <v>4.2640909999999996</v>
      </c>
      <c r="E1613">
        <v>0.55532340000000002</v>
      </c>
      <c r="F1613" t="s">
        <v>42</v>
      </c>
      <c r="G1613">
        <v>-223.12790000000001</v>
      </c>
      <c r="H1613" s="1">
        <v>-4.0572979999999996E-6</v>
      </c>
      <c r="I1613">
        <v>363.2638</v>
      </c>
      <c r="J1613">
        <v>-281.05369999999999</v>
      </c>
      <c r="K1613">
        <v>1.054972</v>
      </c>
      <c r="L1613">
        <v>367.25920000000002</v>
      </c>
      <c r="M1613">
        <v>0.9999171</v>
      </c>
      <c r="N1613">
        <v>0</v>
      </c>
      <c r="O1613">
        <v>-3.6298820000000001E-3</v>
      </c>
      <c r="P1613">
        <v>0.99689329999999998</v>
      </c>
      <c r="Q1613">
        <v>3.0257929999999999E-2</v>
      </c>
      <c r="R1613">
        <v>7.2722480000000006E-2</v>
      </c>
      <c r="S1613">
        <v>3.026062</v>
      </c>
      <c r="T1613">
        <v>-5.4997619999999997E-2</v>
      </c>
      <c r="U1613">
        <v>-0.20834349999999999</v>
      </c>
      <c r="V1613">
        <v>-7.6352119999999996E-2</v>
      </c>
      <c r="W1613">
        <v>4.2558989999999998E-2</v>
      </c>
      <c r="X1613">
        <v>0.99617219999999995</v>
      </c>
      <c r="Y1613">
        <v>6.5054979999999998E-2</v>
      </c>
      <c r="Z1613">
        <v>-5.2453709999999998E-4</v>
      </c>
      <c r="AA1613">
        <v>0.99788149999999998</v>
      </c>
      <c r="AB1613">
        <v>23</v>
      </c>
      <c r="AC1613">
        <v>57.925799999999903</v>
      </c>
      <c r="AD1613">
        <v>-1.054976057298</v>
      </c>
      <c r="AE1613">
        <v>-3.9954000000000098</v>
      </c>
      <c r="AF1613">
        <v>3.7838446626594799</v>
      </c>
      <c r="AG1613">
        <v>-1.054976057298</v>
      </c>
      <c r="AH1613">
        <v>57.920801092411999</v>
      </c>
      <c r="AI1613">
        <v>91.041257411202295</v>
      </c>
      <c r="AJ1613">
        <v>86.262297825224707</v>
      </c>
      <c r="AK1613">
        <v>58.053851328739299</v>
      </c>
      <c r="AL1613">
        <v>87.560812736016203</v>
      </c>
      <c r="AM1613">
        <v>94.382894794882901</v>
      </c>
      <c r="AN1613">
        <v>0.99999998295557702</v>
      </c>
    </row>
    <row r="1614" spans="1:40" x14ac:dyDescent="0.3">
      <c r="A1614" t="str">
        <f>"20200111145941075"</f>
        <v>20200111145941075</v>
      </c>
      <c r="B1614" t="str">
        <f>"1578725981067446"</f>
        <v>1578725981067446</v>
      </c>
      <c r="C1614" t="s">
        <v>40</v>
      </c>
      <c r="D1614">
        <v>4.2707739999999896</v>
      </c>
      <c r="E1614">
        <v>0.55537199999999998</v>
      </c>
      <c r="F1614" t="s">
        <v>45</v>
      </c>
      <c r="G1614">
        <v>-204.53639999999999</v>
      </c>
      <c r="H1614" s="1">
        <v>-4.4859599999999997E-6</v>
      </c>
      <c r="I1614">
        <v>361.65899999999999</v>
      </c>
      <c r="J1614">
        <v>-280.93740000000003</v>
      </c>
      <c r="K1614">
        <v>1.0553300000000001</v>
      </c>
      <c r="L1614">
        <v>367.25900000000001</v>
      </c>
      <c r="M1614">
        <v>0.99990730000000005</v>
      </c>
      <c r="N1614">
        <v>0</v>
      </c>
      <c r="O1614">
        <v>-3.541223E-3</v>
      </c>
      <c r="P1614">
        <v>0.99688319999999997</v>
      </c>
      <c r="Q1614">
        <v>2.9524359999999999E-2</v>
      </c>
      <c r="R1614">
        <v>7.3159299999999997E-2</v>
      </c>
      <c r="S1614">
        <v>3.026764</v>
      </c>
      <c r="T1614">
        <v>-4.1731240000000003E-2</v>
      </c>
      <c r="U1614">
        <v>-0.2215271</v>
      </c>
      <c r="V1614">
        <v>-7.6699669999999998E-2</v>
      </c>
      <c r="W1614">
        <v>4.260568E-2</v>
      </c>
      <c r="X1614">
        <v>0.99614349999999996</v>
      </c>
      <c r="Y1614">
        <v>6.9455420000000004E-2</v>
      </c>
      <c r="Z1614">
        <v>-4.293837E-4</v>
      </c>
      <c r="AA1614">
        <v>0.9975849</v>
      </c>
      <c r="AB1614">
        <v>22</v>
      </c>
      <c r="AC1614">
        <v>76.400999999999996</v>
      </c>
      <c r="AD1614">
        <v>-1.05533448595999</v>
      </c>
      <c r="AE1614">
        <v>-5.6000000000000201</v>
      </c>
      <c r="AF1614">
        <v>5.3283772865035903</v>
      </c>
      <c r="AG1614">
        <v>-1.05533448595999</v>
      </c>
      <c r="AH1614">
        <v>76.4058529739455</v>
      </c>
      <c r="AI1614">
        <v>90.789414585046003</v>
      </c>
      <c r="AJ1614">
        <v>86.0107761415954</v>
      </c>
      <c r="AK1614">
        <v>76.598692574095296</v>
      </c>
      <c r="AL1614">
        <v>87.558135155182498</v>
      </c>
      <c r="AM1614">
        <v>94.402893536100905</v>
      </c>
      <c r="AN1614">
        <v>0.99999997796930995</v>
      </c>
    </row>
    <row r="1615" spans="1:40" x14ac:dyDescent="0.3">
      <c r="A1615" t="str">
        <f>"20200111145941085"</f>
        <v>20200111145941085</v>
      </c>
      <c r="B1615" t="str">
        <f>"1578725981077207"</f>
        <v>1578725981077207</v>
      </c>
      <c r="C1615" t="s">
        <v>40</v>
      </c>
      <c r="D1615">
        <v>4.2533130000000003</v>
      </c>
      <c r="E1615">
        <v>0.55624790000000002</v>
      </c>
      <c r="F1615" t="s">
        <v>44</v>
      </c>
      <c r="G1615">
        <v>-158.19499999999999</v>
      </c>
      <c r="H1615">
        <v>0.40862660000000001</v>
      </c>
      <c r="I1615">
        <v>358.30689999999998</v>
      </c>
      <c r="J1615">
        <v>-280.83089999999999</v>
      </c>
      <c r="K1615">
        <v>1.055706</v>
      </c>
      <c r="L1615">
        <v>367.25869999999998</v>
      </c>
      <c r="M1615">
        <v>0.99990089999999998</v>
      </c>
      <c r="N1615">
        <v>0</v>
      </c>
      <c r="O1615">
        <v>-3.4534639999999998E-3</v>
      </c>
      <c r="P1615">
        <v>0.99686450000000004</v>
      </c>
      <c r="Q1615">
        <v>2.892496E-2</v>
      </c>
      <c r="R1615">
        <v>7.3652339999999997E-2</v>
      </c>
      <c r="S1615">
        <v>3.026062</v>
      </c>
      <c r="T1615">
        <v>-1.5941500000000001E-2</v>
      </c>
      <c r="U1615">
        <v>-0.22070310000000001</v>
      </c>
      <c r="V1615">
        <v>-7.7104229999999996E-2</v>
      </c>
      <c r="W1615">
        <v>4.2507059999999999E-2</v>
      </c>
      <c r="X1615">
        <v>0.99611649999999996</v>
      </c>
      <c r="Y1615">
        <v>6.9294919999999996E-2</v>
      </c>
      <c r="Z1615">
        <v>-1.641119E-4</v>
      </c>
      <c r="AA1615">
        <v>0.99759620000000004</v>
      </c>
      <c r="AB1615">
        <v>22</v>
      </c>
      <c r="AC1615">
        <v>122.63590000000001</v>
      </c>
      <c r="AD1615">
        <v>-0.64707939999999997</v>
      </c>
      <c r="AE1615">
        <v>-8.9517999999999898</v>
      </c>
      <c r="AF1615">
        <v>8.5279523284272702</v>
      </c>
      <c r="AG1615">
        <v>-0.64707939999999997</v>
      </c>
      <c r="AH1615">
        <v>122.662689243385</v>
      </c>
      <c r="AI1615">
        <v>90.301520368976796</v>
      </c>
      <c r="AJ1615">
        <v>86.022990298587999</v>
      </c>
      <c r="AK1615">
        <v>122.96048151778299</v>
      </c>
      <c r="AL1615">
        <v>87.563790835106303</v>
      </c>
      <c r="AM1615">
        <v>94.426144487714197</v>
      </c>
      <c r="AN1615">
        <v>0.99999999700299302</v>
      </c>
    </row>
    <row r="1616" spans="1:40" x14ac:dyDescent="0.3">
      <c r="A1616" t="str">
        <f>"20200111145941098"</f>
        <v>20200111145941098</v>
      </c>
      <c r="B1616" t="str">
        <f>"1578725981086966"</f>
        <v>1578725981086966</v>
      </c>
      <c r="C1616" t="s">
        <v>40</v>
      </c>
      <c r="D1616">
        <v>4.214842</v>
      </c>
      <c r="E1616">
        <v>0.5571893</v>
      </c>
      <c r="F1616" t="s">
        <v>44</v>
      </c>
      <c r="G1616">
        <v>-158.19499999999999</v>
      </c>
      <c r="H1616">
        <v>0.25130940000000002</v>
      </c>
      <c r="I1616">
        <v>358.08510000000001</v>
      </c>
      <c r="J1616">
        <v>-280.71010000000001</v>
      </c>
      <c r="K1616">
        <v>1.056179</v>
      </c>
      <c r="L1616">
        <v>367.25830000000002</v>
      </c>
      <c r="M1616">
        <v>0.99989649999999997</v>
      </c>
      <c r="N1616">
        <v>0</v>
      </c>
      <c r="O1616">
        <v>-3.347381E-3</v>
      </c>
      <c r="P1616">
        <v>0.99684320000000004</v>
      </c>
      <c r="Q1616">
        <v>2.8532660000000001E-2</v>
      </c>
      <c r="R1616">
        <v>7.4093590000000001E-2</v>
      </c>
      <c r="S1616">
        <v>3.0267330000000001</v>
      </c>
      <c r="T1616">
        <v>-1.985085E-2</v>
      </c>
      <c r="U1616">
        <v>-0.2264099</v>
      </c>
      <c r="V1616">
        <v>-7.7438759999999995E-2</v>
      </c>
      <c r="W1616">
        <v>4.2463699999999903E-2</v>
      </c>
      <c r="X1616">
        <v>0.99609239999999999</v>
      </c>
      <c r="Y1616">
        <v>7.1254739999999997E-2</v>
      </c>
      <c r="Z1616">
        <v>-2.114094E-4</v>
      </c>
      <c r="AA1616">
        <v>0.99745810000000001</v>
      </c>
      <c r="AB1616">
        <v>22</v>
      </c>
      <c r="AC1616">
        <v>122.5151</v>
      </c>
      <c r="AD1616">
        <v>-0.80486959999999996</v>
      </c>
      <c r="AE1616">
        <v>-9.1731999999999996</v>
      </c>
      <c r="AF1616">
        <v>8.7626276489499801</v>
      </c>
      <c r="AG1616">
        <v>-0.80486959999999996</v>
      </c>
      <c r="AH1616">
        <v>122.53986345754799</v>
      </c>
      <c r="AI1616">
        <v>90.375367794914496</v>
      </c>
      <c r="AJ1616">
        <v>85.909833517701003</v>
      </c>
      <c r="AK1616">
        <v>122.855401161617</v>
      </c>
      <c r="AL1616">
        <v>87.566277428571496</v>
      </c>
      <c r="AM1616">
        <v>94.445378394687395</v>
      </c>
      <c r="AN1616">
        <v>0.99999999835289299</v>
      </c>
    </row>
    <row r="1617" spans="1:40" x14ac:dyDescent="0.3">
      <c r="A1617" t="str">
        <f>"20200111145941110"</f>
        <v>20200111145941110</v>
      </c>
      <c r="B1617" t="str">
        <f>"1578725981107463"</f>
        <v>1578725981107463</v>
      </c>
      <c r="C1617" t="s">
        <v>40</v>
      </c>
      <c r="D1617">
        <v>4.2274659999999997</v>
      </c>
      <c r="E1617">
        <v>0.55832299999999901</v>
      </c>
      <c r="F1617" t="s">
        <v>44</v>
      </c>
      <c r="G1617">
        <v>-158.19499999999999</v>
      </c>
      <c r="H1617">
        <v>0.18489359999999999</v>
      </c>
      <c r="I1617">
        <v>357.85399999999998</v>
      </c>
      <c r="J1617">
        <v>-280.5976</v>
      </c>
      <c r="K1617">
        <v>1.056576</v>
      </c>
      <c r="L1617">
        <v>367.25810000000001</v>
      </c>
      <c r="M1617">
        <v>0.99990380000000001</v>
      </c>
      <c r="N1617">
        <v>0</v>
      </c>
      <c r="O1617">
        <v>-3.2450370000000001E-3</v>
      </c>
      <c r="P1617">
        <v>0.99680139999999995</v>
      </c>
      <c r="Q1617">
        <v>2.9051090000000002E-2</v>
      </c>
      <c r="R1617">
        <v>7.4451639999999999E-2</v>
      </c>
      <c r="S1617">
        <v>3.027466</v>
      </c>
      <c r="T1617">
        <v>-2.1528120000000001E-2</v>
      </c>
      <c r="U1617">
        <v>-0.2323914</v>
      </c>
      <c r="V1617">
        <v>-7.7694239999999998E-2</v>
      </c>
      <c r="W1617">
        <v>4.2477050000000002E-2</v>
      </c>
      <c r="X1617">
        <v>0.99607190000000001</v>
      </c>
      <c r="Y1617">
        <v>7.3297890000000004E-2</v>
      </c>
      <c r="Z1617">
        <v>-2.371799E-4</v>
      </c>
      <c r="AA1617">
        <v>0.99731000000000003</v>
      </c>
      <c r="AB1617">
        <v>22</v>
      </c>
      <c r="AC1617">
        <v>122.40260000000001</v>
      </c>
      <c r="AD1617">
        <v>-0.87168239999999997</v>
      </c>
      <c r="AE1617">
        <v>-9.4040999999999695</v>
      </c>
      <c r="AF1617">
        <v>9.0063593126259995</v>
      </c>
      <c r="AG1617">
        <v>-0.87168239999999997</v>
      </c>
      <c r="AH1617">
        <v>122.426302443579</v>
      </c>
      <c r="AI1617">
        <v>90.406843019365297</v>
      </c>
      <c r="AJ1617">
        <v>85.792583086267001</v>
      </c>
      <c r="AK1617">
        <v>122.760229179818</v>
      </c>
      <c r="AL1617">
        <v>87.565511751411506</v>
      </c>
      <c r="AM1617">
        <v>94.460076590374499</v>
      </c>
      <c r="AN1617">
        <v>0.99999996233774402</v>
      </c>
    </row>
    <row r="1618" spans="1:40" x14ac:dyDescent="0.3">
      <c r="A1618" t="str">
        <f>"20200111145941124"</f>
        <v>20200111145941124</v>
      </c>
      <c r="B1618" t="str">
        <f>"1578725981117221"</f>
        <v>1578725981117221</v>
      </c>
      <c r="C1618" t="s">
        <v>40</v>
      </c>
      <c r="D1618">
        <v>4.2381419999999999</v>
      </c>
      <c r="E1618">
        <v>0.55870880000000001</v>
      </c>
      <c r="F1618" t="s">
        <v>44</v>
      </c>
      <c r="G1618">
        <v>-158.19499999999999</v>
      </c>
      <c r="H1618">
        <v>0.1422052</v>
      </c>
      <c r="I1618">
        <v>357.5403</v>
      </c>
      <c r="J1618">
        <v>-280.46089999999998</v>
      </c>
      <c r="K1618">
        <v>1.057069</v>
      </c>
      <c r="L1618">
        <v>367.25779999999997</v>
      </c>
      <c r="M1618">
        <v>0.99991649999999999</v>
      </c>
      <c r="N1618">
        <v>0</v>
      </c>
      <c r="O1618">
        <v>-3.1254260000000002E-3</v>
      </c>
      <c r="P1618">
        <v>0.99676379999999998</v>
      </c>
      <c r="Q1618">
        <v>2.9961789999999999E-2</v>
      </c>
      <c r="R1618">
        <v>7.4594149999999998E-2</v>
      </c>
      <c r="S1618">
        <v>3.0282290000000001</v>
      </c>
      <c r="T1618">
        <v>-2.261925E-2</v>
      </c>
      <c r="U1618">
        <v>-0.24041750000000001</v>
      </c>
      <c r="V1618">
        <v>-7.7717649999999999E-2</v>
      </c>
      <c r="W1618">
        <v>4.2438459999999997E-2</v>
      </c>
      <c r="X1618">
        <v>0.99607179999999995</v>
      </c>
      <c r="Y1618">
        <v>7.6024820000000007E-2</v>
      </c>
      <c r="Z1618">
        <v>-2.6017299999999999E-4</v>
      </c>
      <c r="AA1618">
        <v>0.99710589999999999</v>
      </c>
      <c r="AB1618">
        <v>22</v>
      </c>
      <c r="AC1618">
        <v>122.2659</v>
      </c>
      <c r="AD1618">
        <v>-0.9148638</v>
      </c>
      <c r="AE1618">
        <v>-9.7174999999999692</v>
      </c>
      <c r="AF1618">
        <v>9.3347701009615491</v>
      </c>
      <c r="AG1618">
        <v>-0.9148638</v>
      </c>
      <c r="AH1618">
        <v>122.28887261058701</v>
      </c>
      <c r="AI1618">
        <v>90.427388142211598</v>
      </c>
      <c r="AJ1618">
        <v>85.634862604531307</v>
      </c>
      <c r="AK1618">
        <v>122.64804634799</v>
      </c>
      <c r="AL1618">
        <v>87.567724988446699</v>
      </c>
      <c r="AM1618">
        <v>94.461415474537503</v>
      </c>
      <c r="AN1618">
        <v>1.00000004338196</v>
      </c>
    </row>
    <row r="1619" spans="1:40" x14ac:dyDescent="0.3">
      <c r="A1619" t="str">
        <f>"20200111145941135"</f>
        <v>20200111145941135</v>
      </c>
      <c r="B1619" t="str">
        <f>"1578725981126981"</f>
        <v>1578725981126981</v>
      </c>
      <c r="C1619" t="s">
        <v>40</v>
      </c>
      <c r="D1619">
        <v>4.2009470000000002</v>
      </c>
      <c r="E1619">
        <v>0.55904009999999904</v>
      </c>
      <c r="F1619" t="s">
        <v>44</v>
      </c>
      <c r="G1619">
        <v>-158.19499999999999</v>
      </c>
      <c r="H1619">
        <v>0.20580480000000001</v>
      </c>
      <c r="I1619">
        <v>357.45319999999998</v>
      </c>
      <c r="J1619">
        <v>-280.34210000000002</v>
      </c>
      <c r="K1619">
        <v>1.0575540000000001</v>
      </c>
      <c r="L1619">
        <v>367.25749999999999</v>
      </c>
      <c r="M1619">
        <v>0.99993129999999997</v>
      </c>
      <c r="N1619">
        <v>0</v>
      </c>
      <c r="O1619">
        <v>-3.0364250000000001E-3</v>
      </c>
      <c r="P1619">
        <v>0.99670360000000002</v>
      </c>
      <c r="Q1619">
        <v>3.134969E-2</v>
      </c>
      <c r="R1619">
        <v>7.4829679999999996E-2</v>
      </c>
      <c r="S1619">
        <v>3.0285030000000002</v>
      </c>
      <c r="T1619">
        <v>-2.108347E-2</v>
      </c>
      <c r="U1619">
        <v>-0.24285889999999999</v>
      </c>
      <c r="V1619">
        <v>-7.7865699999999996E-2</v>
      </c>
      <c r="W1619">
        <v>4.2618540000000003E-2</v>
      </c>
      <c r="X1619">
        <v>0.99605250000000001</v>
      </c>
      <c r="Y1619">
        <v>7.6905429999999997E-2</v>
      </c>
      <c r="Z1619">
        <v>-2.4615820000000002E-4</v>
      </c>
      <c r="AA1619">
        <v>0.99703839999999999</v>
      </c>
      <c r="AB1619">
        <v>22</v>
      </c>
      <c r="AC1619">
        <v>122.14709999999999</v>
      </c>
      <c r="AD1619">
        <v>-0.85174919999999998</v>
      </c>
      <c r="AE1619">
        <v>-9.8043000000000102</v>
      </c>
      <c r="AF1619">
        <v>9.43288478170094</v>
      </c>
      <c r="AG1619">
        <v>-0.85174919999999998</v>
      </c>
      <c r="AH1619">
        <v>122.17040629113001</v>
      </c>
      <c r="AI1619">
        <v>90.398263650040093</v>
      </c>
      <c r="AJ1619">
        <v>85.584902009833797</v>
      </c>
      <c r="AK1619">
        <v>122.536986111722</v>
      </c>
      <c r="AL1619">
        <v>87.557397703126597</v>
      </c>
      <c r="AM1619">
        <v>94.469966199269706</v>
      </c>
      <c r="AN1619">
        <v>0.99999999497223502</v>
      </c>
    </row>
    <row r="1620" spans="1:40" x14ac:dyDescent="0.3">
      <c r="A1620" t="str">
        <f>"20200111145941150"</f>
        <v>20200111145941150</v>
      </c>
      <c r="B1620" t="str">
        <f>"1578725981147478"</f>
        <v>1578725981147478</v>
      </c>
      <c r="C1620" t="s">
        <v>40</v>
      </c>
      <c r="D1620">
        <v>4.252078</v>
      </c>
      <c r="E1620">
        <v>0.56001679999999998</v>
      </c>
      <c r="F1620" t="s">
        <v>44</v>
      </c>
      <c r="G1620">
        <v>-158.19499999999999</v>
      </c>
      <c r="H1620">
        <v>0.36811349999999998</v>
      </c>
      <c r="I1620">
        <v>357.38479999999998</v>
      </c>
      <c r="J1620">
        <v>-280.19639999999998</v>
      </c>
      <c r="K1620">
        <v>1.058284</v>
      </c>
      <c r="L1620">
        <v>367.25729999999999</v>
      </c>
      <c r="M1620">
        <v>0.99994720000000004</v>
      </c>
      <c r="N1620">
        <v>0</v>
      </c>
      <c r="O1620">
        <v>-2.9226130000000001E-3</v>
      </c>
      <c r="P1620">
        <v>0.99663259999999998</v>
      </c>
      <c r="Q1620">
        <v>3.3001040000000002E-2</v>
      </c>
      <c r="R1620">
        <v>7.5064469999999994E-2</v>
      </c>
      <c r="S1620">
        <v>3.0288390000000001</v>
      </c>
      <c r="T1620">
        <v>-1.709366E-2</v>
      </c>
      <c r="U1620">
        <v>-0.244812</v>
      </c>
      <c r="V1620">
        <v>-7.7987589999999996E-2</v>
      </c>
      <c r="W1620">
        <v>4.2816239999999998E-2</v>
      </c>
      <c r="X1620">
        <v>0.99603450000000004</v>
      </c>
      <c r="Y1620">
        <v>7.7649499999999996E-2</v>
      </c>
      <c r="Z1620">
        <v>-2.0228680000000001E-4</v>
      </c>
      <c r="AA1620">
        <v>0.99698070000000005</v>
      </c>
      <c r="AB1620">
        <v>22</v>
      </c>
      <c r="AC1620">
        <v>122.0014</v>
      </c>
      <c r="AD1620">
        <v>-0.69017050000000002</v>
      </c>
      <c r="AE1620">
        <v>-9.8725000000000005</v>
      </c>
      <c r="AF1620">
        <v>9.5155751093369503</v>
      </c>
      <c r="AG1620">
        <v>-0.69017050000000002</v>
      </c>
      <c r="AH1620">
        <v>122.025854077497</v>
      </c>
      <c r="AI1620">
        <v>90.323077057020598</v>
      </c>
      <c r="AJ1620">
        <v>85.541098982641401</v>
      </c>
      <c r="AK1620">
        <v>122.39824985808799</v>
      </c>
      <c r="AL1620">
        <v>87.546060014961597</v>
      </c>
      <c r="AM1620">
        <v>94.477015581712806</v>
      </c>
      <c r="AN1620">
        <v>1.00000000989599</v>
      </c>
    </row>
    <row r="1621" spans="1:40" x14ac:dyDescent="0.3">
      <c r="A1621" t="str">
        <f>"20200111145941162"</f>
        <v>20200111145941162</v>
      </c>
      <c r="B1621" t="str">
        <f>"1578725981157238"</f>
        <v>1578725981157238</v>
      </c>
      <c r="C1621" t="s">
        <v>40</v>
      </c>
      <c r="D1621">
        <v>4.2635579999999997</v>
      </c>
      <c r="E1621">
        <v>0.56039130000000004</v>
      </c>
      <c r="F1621" t="s">
        <v>44</v>
      </c>
      <c r="G1621">
        <v>-158.19499999999999</v>
      </c>
      <c r="H1621">
        <v>0.56770609999999999</v>
      </c>
      <c r="I1621">
        <v>357.12079999999997</v>
      </c>
      <c r="J1621">
        <v>-280.08659999999998</v>
      </c>
      <c r="K1621">
        <v>1.058894</v>
      </c>
      <c r="L1621">
        <v>367.25709999999998</v>
      </c>
      <c r="M1621">
        <v>0.99995730000000005</v>
      </c>
      <c r="N1621">
        <v>0</v>
      </c>
      <c r="O1621">
        <v>-2.8347720000000002E-3</v>
      </c>
      <c r="P1621">
        <v>0.99658000000000002</v>
      </c>
      <c r="Q1621">
        <v>3.4205069999999997E-2</v>
      </c>
      <c r="R1621">
        <v>7.5222739999999996E-2</v>
      </c>
      <c r="S1621">
        <v>3.029541</v>
      </c>
      <c r="T1621">
        <v>-1.2179850000000001E-2</v>
      </c>
      <c r="U1621">
        <v>-0.25170900000000002</v>
      </c>
      <c r="V1621">
        <v>-7.8058370000000002E-2</v>
      </c>
      <c r="W1621">
        <v>4.2951070000000001E-2</v>
      </c>
      <c r="X1621">
        <v>0.99602310000000005</v>
      </c>
      <c r="Y1621">
        <v>7.9973470000000005E-2</v>
      </c>
      <c r="Z1621">
        <v>-1.4910680000000001E-4</v>
      </c>
      <c r="AA1621">
        <v>0.99679700000000004</v>
      </c>
      <c r="AB1621">
        <v>22</v>
      </c>
      <c r="AC1621">
        <v>121.891599999999</v>
      </c>
      <c r="AD1621">
        <v>-0.49118790000000001</v>
      </c>
      <c r="AE1621">
        <v>-10.1363</v>
      </c>
      <c r="AF1621">
        <v>9.7905531155893204</v>
      </c>
      <c r="AG1621">
        <v>-0.49118790000000001</v>
      </c>
      <c r="AH1621">
        <v>121.917879240524</v>
      </c>
      <c r="AI1621">
        <v>90.230093691850001</v>
      </c>
      <c r="AJ1621">
        <v>85.408744111995304</v>
      </c>
      <c r="AK1621">
        <v>122.311346466177</v>
      </c>
      <c r="AL1621">
        <v>87.538327588129306</v>
      </c>
      <c r="AM1621">
        <v>94.481113370631206</v>
      </c>
      <c r="AN1621">
        <v>0.99999995963740496</v>
      </c>
    </row>
    <row r="1622" spans="1:40" x14ac:dyDescent="0.3">
      <c r="A1622" t="str">
        <f>"20200111145941172"</f>
        <v>20200111145941172</v>
      </c>
      <c r="B1622" t="str">
        <f>"1578725981166998"</f>
        <v>1578725981166998</v>
      </c>
      <c r="C1622" t="s">
        <v>40</v>
      </c>
      <c r="D1622">
        <v>4.2541679999999999</v>
      </c>
      <c r="E1622">
        <v>0.56071400000000005</v>
      </c>
      <c r="F1622" t="s">
        <v>44</v>
      </c>
      <c r="G1622">
        <v>-158.19499999999999</v>
      </c>
      <c r="H1622">
        <v>0.72407909999999998</v>
      </c>
      <c r="I1622">
        <v>357.0127</v>
      </c>
      <c r="J1622">
        <v>-279.96730000000002</v>
      </c>
      <c r="K1622">
        <v>1.059696</v>
      </c>
      <c r="L1622">
        <v>367.25689999999997</v>
      </c>
      <c r="M1622">
        <v>0.99996589999999996</v>
      </c>
      <c r="N1622">
        <v>0</v>
      </c>
      <c r="O1622">
        <v>-2.7333290000000001E-3</v>
      </c>
      <c r="P1622">
        <v>0.99653559999999997</v>
      </c>
      <c r="Q1622">
        <v>3.5310910000000001E-2</v>
      </c>
      <c r="R1622">
        <v>7.5301119999999999E-2</v>
      </c>
      <c r="S1622">
        <v>3.029785</v>
      </c>
      <c r="T1622">
        <v>-8.3200930000000006E-3</v>
      </c>
      <c r="U1622">
        <v>-0.2546387</v>
      </c>
      <c r="V1622">
        <v>-7.8035179999999996E-2</v>
      </c>
      <c r="W1622">
        <v>4.3073970000000003E-2</v>
      </c>
      <c r="X1622">
        <v>0.99601969999999995</v>
      </c>
      <c r="Y1622">
        <v>8.1025440000000004E-2</v>
      </c>
      <c r="Z1622">
        <v>-1.035632E-4</v>
      </c>
      <c r="AA1622">
        <v>0.99671200000000004</v>
      </c>
      <c r="AB1622">
        <v>23</v>
      </c>
      <c r="AC1622">
        <v>121.7723</v>
      </c>
      <c r="AD1622">
        <v>-0.3356169</v>
      </c>
      <c r="AE1622">
        <v>-10.2441999999999</v>
      </c>
      <c r="AF1622">
        <v>9.9112331064366508</v>
      </c>
      <c r="AG1622">
        <v>-0.3356169</v>
      </c>
      <c r="AH1622">
        <v>121.798928009985</v>
      </c>
      <c r="AI1622">
        <v>90.157357974021807</v>
      </c>
      <c r="AJ1622">
        <v>85.347878919257994</v>
      </c>
      <c r="AK1622">
        <v>122.20198052722</v>
      </c>
      <c r="AL1622">
        <v>87.531279635667005</v>
      </c>
      <c r="AM1622">
        <v>94.479802747032096</v>
      </c>
      <c r="AN1622">
        <v>1.0000000494986401</v>
      </c>
    </row>
    <row r="1623" spans="1:40" x14ac:dyDescent="0.3">
      <c r="A1623" t="str">
        <f>"20200111145941184"</f>
        <v>20200111145941184</v>
      </c>
      <c r="B1623" t="str">
        <f>"1578725981176758"</f>
        <v>1578725981176758</v>
      </c>
      <c r="C1623" t="s">
        <v>40</v>
      </c>
      <c r="D1623">
        <v>4.2812449999999904</v>
      </c>
      <c r="E1623">
        <v>0.56099670000000001</v>
      </c>
      <c r="F1623" t="s">
        <v>44</v>
      </c>
      <c r="G1623">
        <v>-158.19499999999999</v>
      </c>
      <c r="H1623">
        <v>0.80776789999999998</v>
      </c>
      <c r="I1623">
        <v>356.93630000000002</v>
      </c>
      <c r="J1623">
        <v>-279.85789999999997</v>
      </c>
      <c r="K1623">
        <v>1.0604549999999999</v>
      </c>
      <c r="L1623">
        <v>367.25670000000002</v>
      </c>
      <c r="M1623">
        <v>0.99997250000000004</v>
      </c>
      <c r="N1623">
        <v>0</v>
      </c>
      <c r="O1623">
        <v>-2.637665E-3</v>
      </c>
      <c r="P1623">
        <v>0.99649750000000004</v>
      </c>
      <c r="Q1623">
        <v>3.6531359999999999E-2</v>
      </c>
      <c r="R1623">
        <v>7.5223609999999996E-2</v>
      </c>
      <c r="S1623">
        <v>3.0300289999999999</v>
      </c>
      <c r="T1623">
        <v>-6.2664749999999996E-3</v>
      </c>
      <c r="U1623">
        <v>-0.25680540000000002</v>
      </c>
      <c r="V1623">
        <v>-7.7862009999999995E-2</v>
      </c>
      <c r="W1623">
        <v>4.3436040000000002E-2</v>
      </c>
      <c r="X1623">
        <v>0.9960175</v>
      </c>
      <c r="Y1623">
        <v>8.1821909999999998E-2</v>
      </c>
      <c r="Z1623" s="1">
        <v>-7.9012189999999995E-5</v>
      </c>
      <c r="AA1623">
        <v>0.9966469</v>
      </c>
      <c r="AB1623">
        <v>23</v>
      </c>
      <c r="AC1623">
        <v>121.662899999999</v>
      </c>
      <c r="AD1623">
        <v>-0.252687099999999</v>
      </c>
      <c r="AE1623">
        <v>-10.320399999999999</v>
      </c>
      <c r="AF1623">
        <v>9.9994075891258003</v>
      </c>
      <c r="AG1623">
        <v>-0.252687099999999</v>
      </c>
      <c r="AH1623">
        <v>121.689177989317</v>
      </c>
      <c r="AI1623">
        <v>90.118574645445193</v>
      </c>
      <c r="AJ1623">
        <v>85.302461860597305</v>
      </c>
      <c r="AK1623">
        <v>122.099582483397</v>
      </c>
      <c r="AL1623">
        <v>87.510515049045097</v>
      </c>
      <c r="AM1623">
        <v>94.469911659608599</v>
      </c>
      <c r="AN1623">
        <v>1.00000002123918</v>
      </c>
    </row>
    <row r="1624" spans="1:40" x14ac:dyDescent="0.3">
      <c r="A1624" t="str">
        <f>"20200111145941195"</f>
        <v>20200111145941195</v>
      </c>
      <c r="B1624" t="str">
        <f>"1578725981187392"</f>
        <v>1578725981187392</v>
      </c>
      <c r="C1624" t="s">
        <v>40</v>
      </c>
      <c r="D1624">
        <v>4.2703749999999996</v>
      </c>
      <c r="E1624">
        <v>0.5612047</v>
      </c>
      <c r="F1624" t="s">
        <v>44</v>
      </c>
      <c r="G1624">
        <v>-158.19499999999999</v>
      </c>
      <c r="H1624">
        <v>0.96080679999999996</v>
      </c>
      <c r="I1624">
        <v>356.85640000000001</v>
      </c>
      <c r="J1624">
        <v>-279.7484</v>
      </c>
      <c r="K1624">
        <v>1.061261</v>
      </c>
      <c r="L1624">
        <v>367.25650000000002</v>
      </c>
      <c r="M1624">
        <v>0.99997780000000003</v>
      </c>
      <c r="N1624">
        <v>0</v>
      </c>
      <c r="O1624">
        <v>-2.5366469999999999E-3</v>
      </c>
      <c r="P1624">
        <v>0.99648639999999999</v>
      </c>
      <c r="Q1624">
        <v>3.7292060000000002E-2</v>
      </c>
      <c r="R1624">
        <v>7.4996729999999998E-2</v>
      </c>
      <c r="S1624">
        <v>3.0301819999999999</v>
      </c>
      <c r="T1624">
        <v>-2.479672E-3</v>
      </c>
      <c r="U1624">
        <v>-0.25903320000000002</v>
      </c>
      <c r="V1624">
        <v>-7.7534370000000005E-2</v>
      </c>
      <c r="W1624">
        <v>4.3416499999999997E-2</v>
      </c>
      <c r="X1624">
        <v>0.99604389999999998</v>
      </c>
      <c r="Y1624">
        <v>8.2645960000000004E-2</v>
      </c>
      <c r="Z1624" s="1">
        <v>-3.1682050000000003E-5</v>
      </c>
      <c r="AA1624">
        <v>0.99657899999999999</v>
      </c>
      <c r="AB1624">
        <v>22</v>
      </c>
      <c r="AC1624">
        <v>121.5534</v>
      </c>
      <c r="AD1624">
        <v>-0.10045419999999899</v>
      </c>
      <c r="AE1624">
        <v>-10.4001</v>
      </c>
      <c r="AF1624">
        <v>10.091715775659599</v>
      </c>
      <c r="AG1624">
        <v>-0.10045419999999899</v>
      </c>
      <c r="AH1624">
        <v>121.57930836372201</v>
      </c>
      <c r="AI1624">
        <v>90.047178049372505</v>
      </c>
      <c r="AJ1624">
        <v>85.255029357520499</v>
      </c>
      <c r="AK1624">
        <v>121.997463254545</v>
      </c>
      <c r="AL1624">
        <v>87.511635639874001</v>
      </c>
      <c r="AM1624">
        <v>94.451060707070695</v>
      </c>
      <c r="AN1624">
        <v>1.0000000108653699</v>
      </c>
    </row>
    <row r="1625" spans="1:40" x14ac:dyDescent="0.3">
      <c r="A1625" t="str">
        <f>"20200111145941206"</f>
        <v>20200111145941206</v>
      </c>
      <c r="B1625" t="str">
        <f>"1578725981197152"</f>
        <v>1578725981197152</v>
      </c>
      <c r="C1625" t="s">
        <v>40</v>
      </c>
      <c r="D1625">
        <v>4.5555659999999998</v>
      </c>
      <c r="E1625">
        <v>0.5612047</v>
      </c>
      <c r="F1625" t="s">
        <v>44</v>
      </c>
      <c r="G1625">
        <v>-158.19499999999999</v>
      </c>
      <c r="H1625">
        <v>1.025487</v>
      </c>
      <c r="I1625">
        <v>356.77780000000001</v>
      </c>
      <c r="J1625">
        <v>-279.63209999999998</v>
      </c>
      <c r="K1625">
        <v>1.0621240000000001</v>
      </c>
      <c r="L1625">
        <v>367.25630000000001</v>
      </c>
      <c r="M1625">
        <v>0.99998279999999995</v>
      </c>
      <c r="N1625">
        <v>0</v>
      </c>
      <c r="O1625">
        <v>-2.427149E-3</v>
      </c>
      <c r="P1625">
        <v>0.99646100000000004</v>
      </c>
      <c r="Q1625">
        <v>3.8422570000000003E-2</v>
      </c>
      <c r="R1625">
        <v>7.4763919999999998E-2</v>
      </c>
      <c r="S1625">
        <v>3.0302730000000002</v>
      </c>
      <c r="T1625">
        <v>-8.8965889999999997E-4</v>
      </c>
      <c r="U1625">
        <v>-0.26123049999999998</v>
      </c>
      <c r="V1625">
        <v>-7.7191309999999999E-2</v>
      </c>
      <c r="W1625">
        <v>4.3739489999999999E-2</v>
      </c>
      <c r="X1625">
        <v>0.99605639999999995</v>
      </c>
      <c r="Y1625">
        <v>8.3469870000000002E-2</v>
      </c>
      <c r="Z1625" s="1">
        <v>-1.151903E-5</v>
      </c>
      <c r="AA1625">
        <v>0.99651029999999996</v>
      </c>
      <c r="AB1625">
        <v>22</v>
      </c>
      <c r="AC1625">
        <v>121.4371</v>
      </c>
      <c r="AD1625">
        <v>-3.6637000000000003E-2</v>
      </c>
      <c r="AE1625">
        <v>-10.478499999999899</v>
      </c>
      <c r="AF1625">
        <v>10.183718076984601</v>
      </c>
      <c r="AG1625">
        <v>-3.6637000000000003E-2</v>
      </c>
      <c r="AH1625">
        <v>121.46216456267</v>
      </c>
      <c r="AI1625">
        <v>90.017221873270202</v>
      </c>
      <c r="AJ1625">
        <v>85.2073751910862</v>
      </c>
      <c r="AK1625">
        <v>121.88833773741599</v>
      </c>
      <c r="AL1625">
        <v>87.493112043652999</v>
      </c>
      <c r="AM1625">
        <v>94.431389690883904</v>
      </c>
      <c r="AN1625">
        <v>0.99999999665296802</v>
      </c>
    </row>
    <row r="1626" spans="1:40" x14ac:dyDescent="0.3">
      <c r="A1626" t="str">
        <f>"20200111145941218"</f>
        <v>20200111145941218</v>
      </c>
      <c r="B1626" t="str">
        <f>"1578725981206913"</f>
        <v>1578725981206913</v>
      </c>
      <c r="C1626" t="s">
        <v>40</v>
      </c>
      <c r="D1626">
        <v>4.3253529999999998</v>
      </c>
      <c r="E1626">
        <v>0.56294449999999996</v>
      </c>
      <c r="F1626" t="s">
        <v>44</v>
      </c>
      <c r="G1626">
        <v>-158.19499999999999</v>
      </c>
      <c r="H1626">
        <v>1.1663059999999901</v>
      </c>
      <c r="I1626">
        <v>356.74590000000001</v>
      </c>
      <c r="J1626">
        <v>-279.51799999999997</v>
      </c>
      <c r="K1626">
        <v>1.0629740000000001</v>
      </c>
      <c r="L1626">
        <v>367.25619999999998</v>
      </c>
      <c r="M1626">
        <v>0.99998679999999995</v>
      </c>
      <c r="N1626">
        <v>0</v>
      </c>
      <c r="O1626">
        <v>-2.3175629999999999E-3</v>
      </c>
      <c r="P1626">
        <v>0.99640819999999997</v>
      </c>
      <c r="Q1626">
        <v>3.9512319999999997E-2</v>
      </c>
      <c r="R1626">
        <v>7.4897240000000004E-2</v>
      </c>
      <c r="S1626">
        <v>3.030243</v>
      </c>
      <c r="T1626">
        <v>2.6018619999999999E-3</v>
      </c>
      <c r="U1626">
        <v>-0.262268099999999</v>
      </c>
      <c r="V1626">
        <v>-7.7214930000000001E-2</v>
      </c>
      <c r="W1626">
        <v>4.4055810000000001E-2</v>
      </c>
      <c r="X1626">
        <v>0.99604060000000005</v>
      </c>
      <c r="Y1626">
        <v>8.3918590000000001E-2</v>
      </c>
      <c r="Z1626" s="1">
        <v>3.39741599999999E-5</v>
      </c>
      <c r="AA1626">
        <v>0.99647260000000004</v>
      </c>
      <c r="AB1626">
        <v>22</v>
      </c>
      <c r="AC1626">
        <v>121.322999999999</v>
      </c>
      <c r="AD1626">
        <v>0.10333199999999899</v>
      </c>
      <c r="AE1626">
        <v>-10.5102999999999</v>
      </c>
      <c r="AF1626">
        <v>10.229087756176799</v>
      </c>
      <c r="AG1626">
        <v>0.10333199999999899</v>
      </c>
      <c r="AH1626">
        <v>121.346945341796</v>
      </c>
      <c r="AI1626">
        <v>89.9513826866541</v>
      </c>
      <c r="AJ1626">
        <v>85.181574317446106</v>
      </c>
      <c r="AK1626">
        <v>121.77736266486799</v>
      </c>
      <c r="AL1626">
        <v>87.474970683381599</v>
      </c>
      <c r="AM1626">
        <v>94.432810297050494</v>
      </c>
      <c r="AN1626">
        <v>0.99999996832900995</v>
      </c>
    </row>
    <row r="1627" spans="1:40" x14ac:dyDescent="0.3">
      <c r="A1627" t="str">
        <f>"20200111145941229"</f>
        <v>20200111145941229</v>
      </c>
      <c r="B1627" t="str">
        <f>"1578725981217648"</f>
        <v>1578725981217648</v>
      </c>
      <c r="C1627" t="s">
        <v>40</v>
      </c>
      <c r="D1627">
        <v>4.3110520000000001</v>
      </c>
      <c r="E1627">
        <v>0.56317879999999998</v>
      </c>
      <c r="F1627" t="s">
        <v>44</v>
      </c>
      <c r="G1627">
        <v>-168.5548</v>
      </c>
      <c r="H1627">
        <v>6.6740880000000002</v>
      </c>
      <c r="I1627">
        <v>357.13699999999898</v>
      </c>
      <c r="J1627">
        <v>-279.41449999999998</v>
      </c>
      <c r="K1627">
        <v>1.0637350000000001</v>
      </c>
      <c r="L1627">
        <v>367.25599999999997</v>
      </c>
      <c r="M1627">
        <v>0.99999000000000005</v>
      </c>
      <c r="N1627">
        <v>0</v>
      </c>
      <c r="O1627">
        <v>-2.219155E-3</v>
      </c>
      <c r="P1627">
        <v>0.99638780000000005</v>
      </c>
      <c r="Q1627">
        <v>4.0201380000000002E-2</v>
      </c>
      <c r="R1627">
        <v>7.4799580000000004E-2</v>
      </c>
      <c r="S1627">
        <v>3.0255130000000001</v>
      </c>
      <c r="T1627">
        <v>0.1529944</v>
      </c>
      <c r="U1627">
        <v>-0.27590940000000003</v>
      </c>
      <c r="V1627">
        <v>-7.7019240000000003E-2</v>
      </c>
      <c r="W1627">
        <v>4.4061049999999997E-2</v>
      </c>
      <c r="X1627">
        <v>0.99605549999999998</v>
      </c>
      <c r="Y1627">
        <v>8.8497859999999998E-2</v>
      </c>
      <c r="Z1627">
        <v>2.1196209999999999E-3</v>
      </c>
      <c r="AA1627">
        <v>0.99607409999999996</v>
      </c>
      <c r="AB1627">
        <v>22</v>
      </c>
      <c r="AC1627">
        <v>110.85969999999899</v>
      </c>
      <c r="AD1627">
        <v>5.6103529999999999</v>
      </c>
      <c r="AE1627">
        <v>-10.119</v>
      </c>
      <c r="AF1627">
        <v>9.8479448283564501</v>
      </c>
      <c r="AG1627">
        <v>5.6103529999999999</v>
      </c>
      <c r="AH1627">
        <v>110.60095904553999</v>
      </c>
      <c r="AI1627">
        <v>87.107522612201606</v>
      </c>
      <c r="AJ1627">
        <v>84.9117838861157</v>
      </c>
      <c r="AK1627">
        <v>111.180170084059</v>
      </c>
      <c r="AL1627">
        <v>87.474670113502995</v>
      </c>
      <c r="AM1627">
        <v>94.421554710923601</v>
      </c>
      <c r="AN1627">
        <v>0.99999994926876301</v>
      </c>
    </row>
    <row r="1628" spans="1:40" x14ac:dyDescent="0.3">
      <c r="A1628" t="str">
        <f>"20200111145941239"</f>
        <v>20200111145941239</v>
      </c>
      <c r="B1628" t="str">
        <f>"1578725981227408"</f>
        <v>1578725981227408</v>
      </c>
      <c r="C1628" t="s">
        <v>40</v>
      </c>
      <c r="D1628">
        <v>4.2834320000000004</v>
      </c>
      <c r="E1628">
        <v>0.56365880000000002</v>
      </c>
      <c r="F1628" t="s">
        <v>44</v>
      </c>
      <c r="G1628">
        <v>-169.6808</v>
      </c>
      <c r="H1628">
        <v>6.6740880000000002</v>
      </c>
      <c r="I1628">
        <v>357.16579999999999</v>
      </c>
      <c r="J1628">
        <v>-279.3066</v>
      </c>
      <c r="K1628">
        <v>1.0645209999999901</v>
      </c>
      <c r="L1628">
        <v>367.2559</v>
      </c>
      <c r="M1628">
        <v>0.99999280000000002</v>
      </c>
      <c r="N1628">
        <v>0</v>
      </c>
      <c r="O1628">
        <v>-2.1170080000000001E-3</v>
      </c>
      <c r="P1628">
        <v>0.99632920000000003</v>
      </c>
      <c r="Q1628">
        <v>4.1324689999999997E-2</v>
      </c>
      <c r="R1628">
        <v>7.4970079999999995E-2</v>
      </c>
      <c r="S1628">
        <v>3.0254819999999998</v>
      </c>
      <c r="T1628">
        <v>0.15468609999999999</v>
      </c>
      <c r="U1628">
        <v>-0.27819820000000001</v>
      </c>
      <c r="V1628">
        <v>-7.7087619999999996E-2</v>
      </c>
      <c r="W1628">
        <v>4.4477870000000003E-2</v>
      </c>
      <c r="X1628">
        <v>0.99603180000000002</v>
      </c>
      <c r="Y1628">
        <v>8.9344129999999994E-2</v>
      </c>
      <c r="Z1628">
        <v>2.1697579999999999E-3</v>
      </c>
      <c r="AA1628">
        <v>0.99599839999999995</v>
      </c>
      <c r="AB1628">
        <v>22</v>
      </c>
      <c r="AC1628">
        <v>109.6258</v>
      </c>
      <c r="AD1628">
        <v>5.6095670000000002</v>
      </c>
      <c r="AE1628">
        <v>-10.0901</v>
      </c>
      <c r="AF1628">
        <v>9.8324686471865999</v>
      </c>
      <c r="AG1628">
        <v>5.6095670000000002</v>
      </c>
      <c r="AH1628">
        <v>109.362966664962</v>
      </c>
      <c r="AI1628">
        <v>87.0754698542097</v>
      </c>
      <c r="AJ1628">
        <v>84.862535521508306</v>
      </c>
      <c r="AK1628">
        <v>109.94727445183401</v>
      </c>
      <c r="AL1628">
        <v>87.450764942571496</v>
      </c>
      <c r="AM1628">
        <v>94.425569595857297</v>
      </c>
      <c r="AN1628">
        <v>1.00000006434411</v>
      </c>
    </row>
    <row r="1629" spans="1:40" x14ac:dyDescent="0.3">
      <c r="A1629" t="str">
        <f>"20200111145941250"</f>
        <v>20200111145941250</v>
      </c>
      <c r="B1629" t="str">
        <f>"1578725981246929"</f>
        <v>1578725981246929</v>
      </c>
      <c r="C1629" t="s">
        <v>40</v>
      </c>
      <c r="D1629">
        <v>4.2340150000000003</v>
      </c>
      <c r="E1629">
        <v>0.564283599999999</v>
      </c>
      <c r="F1629" t="s">
        <v>44</v>
      </c>
      <c r="G1629">
        <v>-170.08879999999999</v>
      </c>
      <c r="H1629">
        <v>6.9501670000000004</v>
      </c>
      <c r="I1629">
        <v>357.09750000000003</v>
      </c>
      <c r="J1629">
        <v>-279.19880000000001</v>
      </c>
      <c r="K1629">
        <v>1.065283</v>
      </c>
      <c r="L1629">
        <v>367.25580000000002</v>
      </c>
      <c r="M1629">
        <v>0.99999479999999996</v>
      </c>
      <c r="N1629">
        <v>0</v>
      </c>
      <c r="O1629">
        <v>-2.0190949999999998E-3</v>
      </c>
      <c r="P1629">
        <v>0.99629449999999997</v>
      </c>
      <c r="Q1629">
        <v>4.1961600000000002E-2</v>
      </c>
      <c r="R1629">
        <v>7.5074890000000005E-2</v>
      </c>
      <c r="S1629">
        <v>3.0254819999999998</v>
      </c>
      <c r="T1629">
        <v>0.16304270000000001</v>
      </c>
      <c r="U1629">
        <v>-0.2814026</v>
      </c>
      <c r="V1629">
        <v>-7.7094819999999994E-2</v>
      </c>
      <c r="W1629">
        <v>4.4458810000000001E-2</v>
      </c>
      <c r="X1629">
        <v>0.99603200000000003</v>
      </c>
      <c r="Y1629">
        <v>9.0473250000000005E-2</v>
      </c>
      <c r="Z1629">
        <v>2.3222970000000001E-3</v>
      </c>
      <c r="AA1629">
        <v>0.99589620000000001</v>
      </c>
      <c r="AB1629">
        <v>22</v>
      </c>
      <c r="AC1629">
        <v>109.11</v>
      </c>
      <c r="AD1629">
        <v>5.8848839999999996</v>
      </c>
      <c r="AE1629">
        <v>-10.158299999999899</v>
      </c>
      <c r="AF1629">
        <v>9.9093962286449795</v>
      </c>
      <c r="AG1629">
        <v>5.8848839999999996</v>
      </c>
      <c r="AH1629">
        <v>108.81645920957</v>
      </c>
      <c r="AI1629">
        <v>86.917144210758906</v>
      </c>
      <c r="AJ1629">
        <v>84.7966982560133</v>
      </c>
      <c r="AK1629">
        <v>109.42508756321701</v>
      </c>
      <c r="AL1629">
        <v>87.451857843490799</v>
      </c>
      <c r="AM1629">
        <v>94.425980417468594</v>
      </c>
      <c r="AN1629">
        <v>0.99999997104072302</v>
      </c>
    </row>
    <row r="1630" spans="1:40" x14ac:dyDescent="0.3">
      <c r="A1630" t="str">
        <f>"20200111145941262"</f>
        <v>20200111145941262</v>
      </c>
      <c r="B1630" t="str">
        <f>"1578725981257664"</f>
        <v>1578725981257664</v>
      </c>
      <c r="C1630" t="s">
        <v>40</v>
      </c>
      <c r="D1630">
        <v>4.1998920000000002</v>
      </c>
      <c r="E1630">
        <v>0.56398169999999903</v>
      </c>
      <c r="F1630" t="s">
        <v>44</v>
      </c>
      <c r="G1630">
        <v>-158.19499999999999</v>
      </c>
      <c r="H1630">
        <v>1.737123</v>
      </c>
      <c r="I1630">
        <v>355.86070000000001</v>
      </c>
      <c r="J1630">
        <v>-279.07909999999998</v>
      </c>
      <c r="K1630">
        <v>1.066119</v>
      </c>
      <c r="L1630">
        <v>367.25560000000002</v>
      </c>
      <c r="M1630">
        <v>0.99999669999999896</v>
      </c>
      <c r="N1630">
        <v>0</v>
      </c>
      <c r="O1630">
        <v>-1.9119359999999999E-3</v>
      </c>
      <c r="P1630">
        <v>0.99625439999999998</v>
      </c>
      <c r="Q1630">
        <v>4.2767689999999997E-2</v>
      </c>
      <c r="R1630">
        <v>7.5156130000000002E-2</v>
      </c>
      <c r="S1630">
        <v>3.031952</v>
      </c>
      <c r="T1630">
        <v>1.683629E-2</v>
      </c>
      <c r="U1630">
        <v>-0.28552250000000001</v>
      </c>
      <c r="V1630">
        <v>-7.7069299999999993E-2</v>
      </c>
      <c r="W1630">
        <v>4.4555999999999998E-2</v>
      </c>
      <c r="X1630">
        <v>0.99602970000000002</v>
      </c>
      <c r="Y1630">
        <v>9.1851299999999997E-2</v>
      </c>
      <c r="Z1630">
        <v>2.438649E-4</v>
      </c>
      <c r="AA1630">
        <v>0.99577269999999896</v>
      </c>
      <c r="AB1630">
        <v>22</v>
      </c>
      <c r="AC1630">
        <v>120.8841</v>
      </c>
      <c r="AD1630">
        <v>0.67100399999999905</v>
      </c>
      <c r="AE1630">
        <v>-11.3949</v>
      </c>
      <c r="AF1630">
        <v>11.163415238572201</v>
      </c>
      <c r="AG1630">
        <v>0.67100399999999905</v>
      </c>
      <c r="AH1630">
        <v>120.90197305066999</v>
      </c>
      <c r="AI1630">
        <v>89.683359503222206</v>
      </c>
      <c r="AJ1630">
        <v>84.724584811168398</v>
      </c>
      <c r="AK1630">
        <v>121.418117155974</v>
      </c>
      <c r="AL1630">
        <v>87.446283915809403</v>
      </c>
      <c r="AM1630">
        <v>94.424531320197104</v>
      </c>
      <c r="AN1630">
        <v>1.0000000387102801</v>
      </c>
    </row>
    <row r="1631" spans="1:40" x14ac:dyDescent="0.3">
      <c r="A1631" t="str">
        <f>"20200111145941274"</f>
        <v>20200111145941274</v>
      </c>
      <c r="B1631" t="str">
        <f>"1578725981267423"</f>
        <v>1578725981267423</v>
      </c>
      <c r="C1631" t="s">
        <v>40</v>
      </c>
      <c r="D1631">
        <v>4.2690979999999996</v>
      </c>
      <c r="E1631">
        <v>0.56318459999999904</v>
      </c>
      <c r="F1631" t="s">
        <v>44</v>
      </c>
      <c r="G1631">
        <v>-158.19499999999999</v>
      </c>
      <c r="H1631">
        <v>1.1170679999999999</v>
      </c>
      <c r="I1631">
        <v>355.97399999999999</v>
      </c>
      <c r="J1631">
        <v>-278.96129999999999</v>
      </c>
      <c r="K1631">
        <v>1.066908</v>
      </c>
      <c r="L1631">
        <v>367.25549999999998</v>
      </c>
      <c r="M1631">
        <v>0.99999780000000005</v>
      </c>
      <c r="N1631">
        <v>0</v>
      </c>
      <c r="O1631">
        <v>-1.8094809999999999E-3</v>
      </c>
      <c r="P1631">
        <v>0.99624040000000003</v>
      </c>
      <c r="Q1631">
        <v>4.3284139999999999E-2</v>
      </c>
      <c r="R1631">
        <v>7.504574E-2</v>
      </c>
      <c r="S1631">
        <v>3.0325929999999999</v>
      </c>
      <c r="T1631">
        <v>1.280308E-3</v>
      </c>
      <c r="U1631">
        <v>-0.28301999999999999</v>
      </c>
      <c r="V1631">
        <v>-7.6856919999999995E-2</v>
      </c>
      <c r="W1631">
        <v>4.444596E-2</v>
      </c>
      <c r="X1631">
        <v>0.99605100000000002</v>
      </c>
      <c r="Y1631">
        <v>9.1120480000000004E-2</v>
      </c>
      <c r="Z1631" s="1">
        <v>1.8430779999999998E-5</v>
      </c>
      <c r="AA1631">
        <v>0.9958399</v>
      </c>
      <c r="AB1631">
        <v>22</v>
      </c>
      <c r="AC1631">
        <v>120.7663</v>
      </c>
      <c r="AD1631">
        <v>5.0159999999999899E-2</v>
      </c>
      <c r="AE1631">
        <v>-11.2814999999999</v>
      </c>
      <c r="AF1631">
        <v>11.0629551906038</v>
      </c>
      <c r="AG1631">
        <v>5.0159999999999899E-2</v>
      </c>
      <c r="AH1631">
        <v>120.786495306142</v>
      </c>
      <c r="AI1631">
        <v>89.976305490384803</v>
      </c>
      <c r="AJ1631">
        <v>84.766823547465194</v>
      </c>
      <c r="AK1631">
        <v>121.292081117918</v>
      </c>
      <c r="AL1631">
        <v>87.452594927332797</v>
      </c>
      <c r="AM1631">
        <v>94.412292863889903</v>
      </c>
      <c r="AN1631">
        <v>1.0000000120565999</v>
      </c>
    </row>
    <row r="1632" spans="1:40" x14ac:dyDescent="0.3">
      <c r="A1632" t="str">
        <f>"20200111145941285"</f>
        <v>20200111145941285</v>
      </c>
      <c r="B1632" t="str">
        <f>"1578725981277184"</f>
        <v>1578725981277184</v>
      </c>
      <c r="C1632" t="s">
        <v>40</v>
      </c>
      <c r="D1632">
        <v>4.2642480000000003</v>
      </c>
      <c r="E1632">
        <v>0.56335999999999997</v>
      </c>
      <c r="F1632" t="s">
        <v>44</v>
      </c>
      <c r="G1632">
        <v>-158.19499999999999</v>
      </c>
      <c r="H1632">
        <v>1.167257</v>
      </c>
      <c r="I1632">
        <v>356.22469999999998</v>
      </c>
      <c r="J1632">
        <v>-278.85419999999999</v>
      </c>
      <c r="K1632">
        <v>1.0676030000000001</v>
      </c>
      <c r="L1632">
        <v>367.25540000000001</v>
      </c>
      <c r="M1632">
        <v>0.99999830000000001</v>
      </c>
      <c r="N1632">
        <v>0</v>
      </c>
      <c r="O1632">
        <v>-1.717496E-3</v>
      </c>
      <c r="P1632">
        <v>0.9962046</v>
      </c>
      <c r="Q1632">
        <v>4.3677840000000002E-2</v>
      </c>
      <c r="R1632">
        <v>7.5291170000000004E-2</v>
      </c>
      <c r="S1632">
        <v>3.0320429999999998</v>
      </c>
      <c r="T1632">
        <v>2.521634E-3</v>
      </c>
      <c r="U1632">
        <v>-0.276947</v>
      </c>
      <c r="V1632">
        <v>-7.7011289999999996E-2</v>
      </c>
      <c r="W1632">
        <v>4.4300180000000002E-2</v>
      </c>
      <c r="X1632">
        <v>0.99604550000000003</v>
      </c>
      <c r="Y1632">
        <v>8.9250880000000005E-2</v>
      </c>
      <c r="Z1632" s="1">
        <v>3.5610800000000001E-5</v>
      </c>
      <c r="AA1632">
        <v>0.99600920000000004</v>
      </c>
      <c r="AB1632">
        <v>22</v>
      </c>
      <c r="AC1632">
        <v>120.6592</v>
      </c>
      <c r="AD1632">
        <v>9.9653999999999895E-2</v>
      </c>
      <c r="AE1632">
        <v>-11.0307</v>
      </c>
      <c r="AF1632">
        <v>10.823444669003701</v>
      </c>
      <c r="AG1632">
        <v>9.9653999999999895E-2</v>
      </c>
      <c r="AH1632">
        <v>120.677885591386</v>
      </c>
      <c r="AI1632">
        <v>89.952875167559299</v>
      </c>
      <c r="AJ1632">
        <v>84.874927859234802</v>
      </c>
      <c r="AK1632">
        <v>121.162324821829</v>
      </c>
      <c r="AL1632">
        <v>87.460955561614995</v>
      </c>
      <c r="AM1632">
        <v>94.421144333899207</v>
      </c>
      <c r="AN1632">
        <v>0.99999994140287096</v>
      </c>
    </row>
    <row r="1633" spans="1:40" x14ac:dyDescent="0.3">
      <c r="A1633" t="str">
        <f>"20200111145941295"</f>
        <v>20200111145941295</v>
      </c>
      <c r="B1633" t="str">
        <f>"1578725981286821"</f>
        <v>1578725981286821</v>
      </c>
      <c r="C1633" t="s">
        <v>40</v>
      </c>
      <c r="D1633">
        <v>4.2361940000000002</v>
      </c>
      <c r="E1633">
        <v>0.56306559999999894</v>
      </c>
      <c r="F1633" t="s">
        <v>44</v>
      </c>
      <c r="G1633">
        <v>-158.19499999999999</v>
      </c>
      <c r="H1633">
        <v>1.1963360000000001</v>
      </c>
      <c r="I1633">
        <v>356.2097</v>
      </c>
      <c r="J1633">
        <v>-278.74400000000003</v>
      </c>
      <c r="K1633">
        <v>1.0682940000000001</v>
      </c>
      <c r="L1633">
        <v>367.25529999999998</v>
      </c>
      <c r="M1633">
        <v>0.99999870000000002</v>
      </c>
      <c r="N1633">
        <v>0</v>
      </c>
      <c r="O1633">
        <v>-1.6245859999999999E-3</v>
      </c>
      <c r="P1633">
        <v>0.99619950000000002</v>
      </c>
      <c r="Q1633">
        <v>4.3963910000000002E-2</v>
      </c>
      <c r="R1633">
        <v>7.519294E-2</v>
      </c>
      <c r="S1633">
        <v>3.032257</v>
      </c>
      <c r="T1633">
        <v>3.2373670000000001E-3</v>
      </c>
      <c r="U1633">
        <v>-0.2775879</v>
      </c>
      <c r="V1633">
        <v>-7.6820659999999999E-2</v>
      </c>
      <c r="W1633">
        <v>4.4075339999999998E-2</v>
      </c>
      <c r="X1633">
        <v>0.99607029999999996</v>
      </c>
      <c r="Y1633">
        <v>8.9545780000000005E-2</v>
      </c>
      <c r="Z1633" s="1">
        <v>4.5970870000000002E-5</v>
      </c>
      <c r="AA1633">
        <v>0.9959827</v>
      </c>
      <c r="AB1633">
        <v>22</v>
      </c>
      <c r="AC1633">
        <v>120.54900000000001</v>
      </c>
      <c r="AD1633">
        <v>0.12804199999999999</v>
      </c>
      <c r="AE1633">
        <v>-11.045599999999901</v>
      </c>
      <c r="AF1633">
        <v>10.8497310713904</v>
      </c>
      <c r="AG1633">
        <v>0.12804199999999999</v>
      </c>
      <c r="AH1633">
        <v>120.56665055721599</v>
      </c>
      <c r="AI1633">
        <v>89.939396692943106</v>
      </c>
      <c r="AJ1633">
        <v>84.857832935250002</v>
      </c>
      <c r="AK1633">
        <v>121.053914788664</v>
      </c>
      <c r="AL1633">
        <v>87.473850805038595</v>
      </c>
      <c r="AM1633">
        <v>94.410134305534399</v>
      </c>
      <c r="AN1633">
        <v>1.0000000459705101</v>
      </c>
    </row>
    <row r="1634" spans="1:40" x14ac:dyDescent="0.3">
      <c r="A1634" t="str">
        <f>"20200111145941307"</f>
        <v>20200111145941307</v>
      </c>
      <c r="B1634" t="str">
        <f>"1578725981297558"</f>
        <v>1578725981297558</v>
      </c>
      <c r="C1634" t="s">
        <v>40</v>
      </c>
      <c r="D1634">
        <v>4.251328</v>
      </c>
      <c r="E1634">
        <v>0.56259169999999903</v>
      </c>
      <c r="F1634" t="s">
        <v>44</v>
      </c>
      <c r="G1634">
        <v>-158.19499999999999</v>
      </c>
      <c r="H1634">
        <v>1.08921</v>
      </c>
      <c r="I1634">
        <v>356.30079999999998</v>
      </c>
      <c r="J1634">
        <v>-278.63310000000001</v>
      </c>
      <c r="K1634">
        <v>1.0690219999999999</v>
      </c>
      <c r="L1634">
        <v>367.25529999999998</v>
      </c>
      <c r="M1634">
        <v>0.99999899999999997</v>
      </c>
      <c r="N1634">
        <v>0</v>
      </c>
      <c r="O1634">
        <v>-1.529007E-3</v>
      </c>
      <c r="P1634">
        <v>0.99619159999999995</v>
      </c>
      <c r="Q1634">
        <v>4.3985690000000001E-2</v>
      </c>
      <c r="R1634">
        <v>7.5285030000000003E-2</v>
      </c>
      <c r="S1634">
        <v>3.0321959999999999</v>
      </c>
      <c r="T1634">
        <v>5.2833559999999999E-4</v>
      </c>
      <c r="U1634">
        <v>-0.27554319999999999</v>
      </c>
      <c r="V1634">
        <v>-7.6817620000000003E-2</v>
      </c>
      <c r="W1634">
        <v>4.3847619999999997E-2</v>
      </c>
      <c r="X1634">
        <v>0.99608050000000004</v>
      </c>
      <c r="Y1634">
        <v>8.8976760000000002E-2</v>
      </c>
      <c r="Z1634" s="1">
        <v>7.4699360000000004E-6</v>
      </c>
      <c r="AA1634">
        <v>0.99603370000000002</v>
      </c>
      <c r="AB1634">
        <v>22</v>
      </c>
      <c r="AC1634">
        <v>120.43810000000001</v>
      </c>
      <c r="AD1634">
        <v>2.0188000000000001E-2</v>
      </c>
      <c r="AE1634">
        <v>-10.9544999999999</v>
      </c>
      <c r="AF1634">
        <v>10.770336227951701</v>
      </c>
      <c r="AG1634">
        <v>2.0188000000000001E-2</v>
      </c>
      <c r="AH1634">
        <v>120.45470536382599</v>
      </c>
      <c r="AI1634">
        <v>89.990435484054601</v>
      </c>
      <c r="AJ1634">
        <v>84.8905431090093</v>
      </c>
      <c r="AK1634">
        <v>120.935257862646</v>
      </c>
      <c r="AL1634">
        <v>87.4869106130391</v>
      </c>
      <c r="AM1634">
        <v>94.409915492659096</v>
      </c>
      <c r="AN1634">
        <v>0.99999996150118797</v>
      </c>
    </row>
    <row r="1635" spans="1:40" x14ac:dyDescent="0.3">
      <c r="A1635" t="str">
        <f>"20200111145941318"</f>
        <v>20200111145941318</v>
      </c>
      <c r="B1635" t="str">
        <f>"1578725981307317"</f>
        <v>1578725981307317</v>
      </c>
      <c r="C1635" t="s">
        <v>40</v>
      </c>
      <c r="D1635">
        <v>4.212116</v>
      </c>
      <c r="E1635">
        <v>0.56243269999999901</v>
      </c>
      <c r="F1635" t="s">
        <v>44</v>
      </c>
      <c r="G1635">
        <v>-158.19499999999999</v>
      </c>
      <c r="H1635">
        <v>1.052565</v>
      </c>
      <c r="I1635">
        <v>356.46769999999998</v>
      </c>
      <c r="J1635">
        <v>-278.52269999999999</v>
      </c>
      <c r="K1635">
        <v>1.0697650000000001</v>
      </c>
      <c r="L1635">
        <v>367.2552</v>
      </c>
      <c r="M1635">
        <v>0.99999899999999997</v>
      </c>
      <c r="N1635">
        <v>0</v>
      </c>
      <c r="O1635">
        <v>-1.4322229999999901E-3</v>
      </c>
      <c r="P1635">
        <v>0.99620149999999996</v>
      </c>
      <c r="Q1635">
        <v>4.3493469999999999E-2</v>
      </c>
      <c r="R1635">
        <v>7.5440019999999997E-2</v>
      </c>
      <c r="S1635">
        <v>3.0320130000000001</v>
      </c>
      <c r="T1635">
        <v>-4.1210649999999998E-4</v>
      </c>
      <c r="U1635">
        <v>-0.27157589999999998</v>
      </c>
      <c r="V1635">
        <v>-7.6876509999999995E-2</v>
      </c>
      <c r="W1635">
        <v>4.3281689999999998E-2</v>
      </c>
      <c r="X1635">
        <v>0.99610069999999995</v>
      </c>
      <c r="Y1635">
        <v>8.7785769999999999E-2</v>
      </c>
      <c r="Z1635" s="1">
        <v>-5.7596620000000003E-6</v>
      </c>
      <c r="AA1635">
        <v>0.99613929999999995</v>
      </c>
      <c r="AB1635">
        <v>22</v>
      </c>
      <c r="AC1635">
        <v>120.32769999999999</v>
      </c>
      <c r="AD1635">
        <v>-1.7199999999999799E-2</v>
      </c>
      <c r="AE1635">
        <v>-10.7875</v>
      </c>
      <c r="AF1635">
        <v>10.6151526257699</v>
      </c>
      <c r="AG1635">
        <v>-1.7199999999999799E-2</v>
      </c>
      <c r="AH1635">
        <v>120.34302425397</v>
      </c>
      <c r="AI1635">
        <v>90.008157313769303</v>
      </c>
      <c r="AJ1635">
        <v>84.959131331697407</v>
      </c>
      <c r="AK1635">
        <v>120.810286183337</v>
      </c>
      <c r="AL1635">
        <v>87.519366809004495</v>
      </c>
      <c r="AM1635">
        <v>94.413193731611599</v>
      </c>
      <c r="AN1635">
        <v>0.99999995350976201</v>
      </c>
    </row>
    <row r="1636" spans="1:40" x14ac:dyDescent="0.3">
      <c r="A1636" t="str">
        <f>"20200111145941329"</f>
        <v>20200111145941329</v>
      </c>
      <c r="B1636" t="str">
        <f>"1578725981326837"</f>
        <v>1578725981326837</v>
      </c>
      <c r="C1636" t="s">
        <v>40</v>
      </c>
      <c r="D1636">
        <v>4.2802809999999996</v>
      </c>
      <c r="E1636">
        <v>0.56220130000000001</v>
      </c>
      <c r="F1636" t="s">
        <v>44</v>
      </c>
      <c r="G1636">
        <v>-158.19499999999999</v>
      </c>
      <c r="H1636">
        <v>0.84345340000000002</v>
      </c>
      <c r="I1636">
        <v>356.5446</v>
      </c>
      <c r="J1636">
        <v>-278.41449999999998</v>
      </c>
      <c r="K1636">
        <v>1.070673</v>
      </c>
      <c r="L1636">
        <v>367.2552</v>
      </c>
      <c r="M1636">
        <v>0.99999919999999998</v>
      </c>
      <c r="N1636">
        <v>0</v>
      </c>
      <c r="O1636">
        <v>-1.333122E-3</v>
      </c>
      <c r="P1636">
        <v>0.99622290000000002</v>
      </c>
      <c r="Q1636">
        <v>4.3030980000000003E-2</v>
      </c>
      <c r="R1636">
        <v>7.5421500000000002E-2</v>
      </c>
      <c r="S1636">
        <v>3.0321349999999998</v>
      </c>
      <c r="T1636">
        <v>-5.7005880000000004E-3</v>
      </c>
      <c r="U1636">
        <v>-0.26989750000000001</v>
      </c>
      <c r="V1636">
        <v>-7.6758409999999999E-2</v>
      </c>
      <c r="W1636">
        <v>4.3090650000000001E-2</v>
      </c>
      <c r="X1636">
        <v>0.99611810000000001</v>
      </c>
      <c r="Y1636">
        <v>8.73337E-2</v>
      </c>
      <c r="Z1636" s="1">
        <v>-7.9432789999999995E-5</v>
      </c>
      <c r="AA1636">
        <v>0.99617909999999998</v>
      </c>
      <c r="AB1636">
        <v>22</v>
      </c>
      <c r="AC1636">
        <v>120.219499999999</v>
      </c>
      <c r="AD1636">
        <v>-0.22721959999999999</v>
      </c>
      <c r="AE1636">
        <v>-10.710599999999999</v>
      </c>
      <c r="AF1636">
        <v>10.550285844944201</v>
      </c>
      <c r="AG1636">
        <v>-0.22721959999999999</v>
      </c>
      <c r="AH1636">
        <v>120.233245586466</v>
      </c>
      <c r="AI1636">
        <v>90.107864306105597</v>
      </c>
      <c r="AJ1636">
        <v>84.985226410586506</v>
      </c>
      <c r="AK1636">
        <v>120.695457679285</v>
      </c>
      <c r="AL1636">
        <v>87.530322841147296</v>
      </c>
      <c r="AM1636">
        <v>94.406364105196303</v>
      </c>
      <c r="AN1636">
        <v>0.999999963385379</v>
      </c>
    </row>
    <row r="1637" spans="1:40" x14ac:dyDescent="0.3">
      <c r="A1637" t="str">
        <f>"20200111145941342"</f>
        <v>20200111145941342</v>
      </c>
      <c r="B1637" t="str">
        <f>"1578725981337572"</f>
        <v>1578725981337572</v>
      </c>
      <c r="C1637" t="s">
        <v>40</v>
      </c>
      <c r="D1637">
        <v>4.2873000000000001</v>
      </c>
      <c r="E1637">
        <v>0.56221650000000001</v>
      </c>
      <c r="F1637" t="s">
        <v>44</v>
      </c>
      <c r="G1637">
        <v>-158.19499999999999</v>
      </c>
      <c r="H1637">
        <v>0.34880349999999999</v>
      </c>
      <c r="I1637">
        <v>356.62779999999998</v>
      </c>
      <c r="J1637">
        <v>-278.29520000000002</v>
      </c>
      <c r="K1637">
        <v>1.0717289999999999</v>
      </c>
      <c r="L1637">
        <v>367.25510000000003</v>
      </c>
      <c r="M1637">
        <v>0.99999930000000004</v>
      </c>
      <c r="N1637">
        <v>0</v>
      </c>
      <c r="O1637">
        <v>-1.222386E-3</v>
      </c>
      <c r="P1637">
        <v>0.99624509999999999</v>
      </c>
      <c r="Q1637">
        <v>4.2410539999999997E-2</v>
      </c>
      <c r="R1637">
        <v>7.5481259999999994E-2</v>
      </c>
      <c r="S1637">
        <v>3.0324399999999998</v>
      </c>
      <c r="T1637">
        <v>-1.8206360000000001E-2</v>
      </c>
      <c r="U1637">
        <v>-0.26806639999999998</v>
      </c>
      <c r="V1637">
        <v>-7.6708380000000007E-2</v>
      </c>
      <c r="W1637">
        <v>4.2849110000000003E-2</v>
      </c>
      <c r="X1637">
        <v>0.99613240000000003</v>
      </c>
      <c r="Y1637">
        <v>8.6836960000000005E-2</v>
      </c>
      <c r="Z1637">
        <v>-2.5284450000000001E-4</v>
      </c>
      <c r="AA1637">
        <v>0.99622250000000001</v>
      </c>
      <c r="AB1637">
        <v>22</v>
      </c>
      <c r="AC1637">
        <v>120.1002</v>
      </c>
      <c r="AD1637">
        <v>-0.7229255</v>
      </c>
      <c r="AE1637">
        <v>-10.6273</v>
      </c>
      <c r="AF1637">
        <v>10.4801064925157</v>
      </c>
      <c r="AG1637">
        <v>-0.7229255</v>
      </c>
      <c r="AH1637">
        <v>120.108782888855</v>
      </c>
      <c r="AI1637">
        <v>90.343549425186595</v>
      </c>
      <c r="AJ1637">
        <v>85.013279575057396</v>
      </c>
      <c r="AK1637">
        <v>120.56730477378601</v>
      </c>
      <c r="AL1637">
        <v>87.544174923984798</v>
      </c>
      <c r="AM1637">
        <v>94.403440435929099</v>
      </c>
      <c r="AN1637">
        <v>0.99999999005988804</v>
      </c>
    </row>
    <row r="1638" spans="1:40" x14ac:dyDescent="0.3">
      <c r="A1638" t="str">
        <f>"20200111145941351"</f>
        <v>20200111145941351</v>
      </c>
      <c r="B1638" t="str">
        <f>"1578725981347333"</f>
        <v>1578725981347333</v>
      </c>
      <c r="C1638" t="s">
        <v>40</v>
      </c>
      <c r="D1638">
        <v>5.6778449999999996</v>
      </c>
      <c r="E1638">
        <v>0.56221650000000001</v>
      </c>
      <c r="F1638" t="s">
        <v>44</v>
      </c>
      <c r="G1638">
        <v>-158.19499999999999</v>
      </c>
      <c r="H1638">
        <v>0.1570482</v>
      </c>
      <c r="I1638">
        <v>356.65460000000002</v>
      </c>
      <c r="J1638">
        <v>-278.19959999999998</v>
      </c>
      <c r="K1638">
        <v>1.07267</v>
      </c>
      <c r="L1638">
        <v>367.25510000000003</v>
      </c>
      <c r="M1638">
        <v>0.99999919999999998</v>
      </c>
      <c r="N1638">
        <v>0</v>
      </c>
      <c r="O1638">
        <v>-1.131604E-3</v>
      </c>
      <c r="P1638">
        <v>0.99626760000000003</v>
      </c>
      <c r="Q1638">
        <v>4.1930589999999997E-2</v>
      </c>
      <c r="R1638">
        <v>7.5452439999999996E-2</v>
      </c>
      <c r="S1638">
        <v>3.0325929999999999</v>
      </c>
      <c r="T1638">
        <v>-2.309394E-2</v>
      </c>
      <c r="U1638">
        <v>-0.26766970000000001</v>
      </c>
      <c r="V1638">
        <v>-7.6589290000000004E-2</v>
      </c>
      <c r="W1638">
        <v>4.2659509999999998E-2</v>
      </c>
      <c r="X1638">
        <v>0.99614970000000003</v>
      </c>
      <c r="Y1638">
        <v>8.6792750000000002E-2</v>
      </c>
      <c r="Z1638">
        <v>-3.2122770000000001E-4</v>
      </c>
      <c r="AA1638">
        <v>0.99622630000000001</v>
      </c>
      <c r="AB1638">
        <v>22</v>
      </c>
      <c r="AC1638">
        <v>120.004599999999</v>
      </c>
      <c r="AD1638">
        <v>-0.91562180000000004</v>
      </c>
      <c r="AE1638">
        <v>-10.6005</v>
      </c>
      <c r="AF1638">
        <v>10.464091053055</v>
      </c>
      <c r="AG1638">
        <v>-0.91562180000000004</v>
      </c>
      <c r="AH1638">
        <v>120.009586444391</v>
      </c>
      <c r="AI1638">
        <v>90.435481570789705</v>
      </c>
      <c r="AJ1638">
        <v>85.016766923237498</v>
      </c>
      <c r="AK1638">
        <v>120.468404170558</v>
      </c>
      <c r="AL1638">
        <v>87.555048143541896</v>
      </c>
      <c r="AM1638">
        <v>94.396554850304497</v>
      </c>
      <c r="AN1638">
        <v>0.99999998897311704</v>
      </c>
    </row>
    <row r="1639" spans="1:40" x14ac:dyDescent="0.3">
      <c r="A1639" t="str">
        <f>"20200111145941363"</f>
        <v>20200111145941363</v>
      </c>
      <c r="B1639" t="str">
        <f>"1578725981357093"</f>
        <v>1578725981357093</v>
      </c>
      <c r="C1639" t="s">
        <v>40</v>
      </c>
      <c r="D1639">
        <v>4.2972320000000002</v>
      </c>
      <c r="E1639">
        <v>0.56199290000000002</v>
      </c>
      <c r="F1639" t="s">
        <v>44</v>
      </c>
      <c r="G1639">
        <v>-158.19499999999999</v>
      </c>
      <c r="H1639">
        <v>0.1003265</v>
      </c>
      <c r="I1639">
        <v>356.6508</v>
      </c>
      <c r="J1639">
        <v>-278.0872</v>
      </c>
      <c r="K1639">
        <v>1.073785</v>
      </c>
      <c r="L1639">
        <v>367.255</v>
      </c>
      <c r="M1639">
        <v>0.99999899999999997</v>
      </c>
      <c r="N1639">
        <v>0</v>
      </c>
      <c r="O1639">
        <v>-1.0244080000000001E-3</v>
      </c>
      <c r="P1639">
        <v>0.99628709999999998</v>
      </c>
      <c r="Q1639">
        <v>4.151589E-2</v>
      </c>
      <c r="R1639">
        <v>7.5423240000000003E-2</v>
      </c>
      <c r="S1639">
        <v>3.032562</v>
      </c>
      <c r="T1639">
        <v>-2.4569270000000001E-2</v>
      </c>
      <c r="U1639">
        <v>-0.26797490000000002</v>
      </c>
      <c r="V1639">
        <v>-7.6453419999999994E-2</v>
      </c>
      <c r="W1639">
        <v>4.2522780000000003E-2</v>
      </c>
      <c r="X1639">
        <v>0.996166</v>
      </c>
      <c r="Y1639">
        <v>8.699954E-2</v>
      </c>
      <c r="Z1639">
        <v>-3.4345300000000002E-4</v>
      </c>
      <c r="AA1639">
        <v>0.99620830000000005</v>
      </c>
      <c r="AB1639">
        <v>22</v>
      </c>
      <c r="AC1639">
        <v>119.8922</v>
      </c>
      <c r="AD1639">
        <v>-0.97345849999999901</v>
      </c>
      <c r="AE1639">
        <v>-10.604199999999899</v>
      </c>
      <c r="AF1639">
        <v>10.480690267923899</v>
      </c>
      <c r="AG1639">
        <v>-0.97345849999999901</v>
      </c>
      <c r="AH1639">
        <v>119.895157337698</v>
      </c>
      <c r="AI1639">
        <v>90.463421252558902</v>
      </c>
      <c r="AJ1639">
        <v>85.004162449117004</v>
      </c>
      <c r="AK1639">
        <v>120.35630952706499</v>
      </c>
      <c r="AL1639">
        <v>87.562889352039605</v>
      </c>
      <c r="AM1639">
        <v>94.388714295196493</v>
      </c>
      <c r="AN1639">
        <v>1.00000000590231</v>
      </c>
    </row>
    <row r="1640" spans="1:40" x14ac:dyDescent="0.3">
      <c r="A1640" t="str">
        <f>"20200111145941373"</f>
        <v>20200111145941373</v>
      </c>
      <c r="B1640" t="str">
        <f>"1578725981366853"</f>
        <v>1578725981366853</v>
      </c>
      <c r="C1640" t="s">
        <v>40</v>
      </c>
      <c r="D1640">
        <v>4.3045109999999998</v>
      </c>
      <c r="E1640">
        <v>0.56200869999999903</v>
      </c>
      <c r="F1640" t="s">
        <v>45</v>
      </c>
      <c r="G1640">
        <v>-175.42939999999999</v>
      </c>
      <c r="H1640">
        <v>7.9988080000000003E-2</v>
      </c>
      <c r="I1640">
        <v>358.25170000000003</v>
      </c>
      <c r="J1640">
        <v>-277.97859999999997</v>
      </c>
      <c r="K1640">
        <v>1.0748879999999901</v>
      </c>
      <c r="L1640">
        <v>367.255</v>
      </c>
      <c r="M1640">
        <v>0.99999890000000002</v>
      </c>
      <c r="N1640">
        <v>0</v>
      </c>
      <c r="O1640">
        <v>-9.2013179999999998E-4</v>
      </c>
      <c r="P1640">
        <v>0.99630240000000003</v>
      </c>
      <c r="Q1640">
        <v>4.1244650000000001E-2</v>
      </c>
      <c r="R1640">
        <v>7.5368069999999995E-2</v>
      </c>
      <c r="S1640">
        <v>3.0325319999999998</v>
      </c>
      <c r="T1640">
        <v>-2.9356960000000001E-2</v>
      </c>
      <c r="U1640">
        <v>-0.26596069999999999</v>
      </c>
      <c r="V1640">
        <v>-7.6293970000000003E-2</v>
      </c>
      <c r="W1640">
        <v>4.2331269999999997E-2</v>
      </c>
      <c r="X1640">
        <v>0.99618640000000003</v>
      </c>
      <c r="Y1640">
        <v>8.6446549999999997E-2</v>
      </c>
      <c r="Z1640">
        <v>-4.0872910000000002E-4</v>
      </c>
      <c r="AA1640">
        <v>0.99625640000000004</v>
      </c>
      <c r="AB1640">
        <v>22</v>
      </c>
      <c r="AC1640">
        <v>102.549199999999</v>
      </c>
      <c r="AD1640">
        <v>-0.99489991999999905</v>
      </c>
      <c r="AE1640">
        <v>-9.0032999999999603</v>
      </c>
      <c r="AF1640">
        <v>8.9081053035475897</v>
      </c>
      <c r="AG1640">
        <v>-0.99489991999999905</v>
      </c>
      <c r="AH1640">
        <v>102.547862566959</v>
      </c>
      <c r="AI1640">
        <v>90.553770030190606</v>
      </c>
      <c r="AJ1640">
        <v>85.0353056029778</v>
      </c>
      <c r="AK1640">
        <v>102.938857012315</v>
      </c>
      <c r="AL1640">
        <v>87.573872001956303</v>
      </c>
      <c r="AM1640">
        <v>94.379507576089395</v>
      </c>
      <c r="AN1640">
        <v>1.0000000249115599</v>
      </c>
    </row>
    <row r="1641" spans="1:40" x14ac:dyDescent="0.3">
      <c r="A1641" t="str">
        <f>"20200111145941386"</f>
        <v>20200111145941386</v>
      </c>
      <c r="B1641" t="str">
        <f>"1578725981377589"</f>
        <v>1578725981377589</v>
      </c>
      <c r="C1641" t="s">
        <v>40</v>
      </c>
      <c r="D1641">
        <v>4.2689769999999996</v>
      </c>
      <c r="E1641">
        <v>0.56200869999999903</v>
      </c>
      <c r="F1641" t="s">
        <v>45</v>
      </c>
      <c r="G1641">
        <v>-177.25909999999999</v>
      </c>
      <c r="H1641">
        <v>7.9988000000000004E-2</v>
      </c>
      <c r="I1641">
        <v>358.40949999999998</v>
      </c>
      <c r="J1641">
        <v>-277.86419999999998</v>
      </c>
      <c r="K1641">
        <v>1.076079</v>
      </c>
      <c r="L1641">
        <v>367.255</v>
      </c>
      <c r="M1641">
        <v>0.99999890000000002</v>
      </c>
      <c r="N1641">
        <v>0</v>
      </c>
      <c r="O1641">
        <v>-8.1191659999999997E-4</v>
      </c>
      <c r="P1641">
        <v>0.99629650000000003</v>
      </c>
      <c r="Q1641">
        <v>4.1028059999999998E-2</v>
      </c>
      <c r="R1641">
        <v>7.5564019999999996E-2</v>
      </c>
      <c r="S1641">
        <v>3.0325319999999998</v>
      </c>
      <c r="T1641">
        <v>-2.995515E-2</v>
      </c>
      <c r="U1641">
        <v>-0.26632689999999998</v>
      </c>
      <c r="V1641">
        <v>-7.6382829999999999E-2</v>
      </c>
      <c r="W1641">
        <v>4.2174530000000002E-2</v>
      </c>
      <c r="X1641">
        <v>0.99618620000000002</v>
      </c>
      <c r="Y1641">
        <v>8.6673559999999997E-2</v>
      </c>
      <c r="Z1641">
        <v>-4.1924079999999998E-4</v>
      </c>
      <c r="AA1641">
        <v>0.99623669999999998</v>
      </c>
      <c r="AB1641">
        <v>22</v>
      </c>
      <c r="AC1641">
        <v>100.60509999999999</v>
      </c>
      <c r="AD1641">
        <v>-0.99609099999999995</v>
      </c>
      <c r="AE1641">
        <v>-8.8455000000000101</v>
      </c>
      <c r="AF1641">
        <v>8.7629616293529899</v>
      </c>
      <c r="AG1641">
        <v>-0.99609099999999995</v>
      </c>
      <c r="AH1641">
        <v>100.60246226957101</v>
      </c>
      <c r="AI1641">
        <v>90.565142048186402</v>
      </c>
      <c r="AJ1641">
        <v>85.021825003304301</v>
      </c>
      <c r="AK1641">
        <v>100.988301839858</v>
      </c>
      <c r="AL1641">
        <v>87.582860476306095</v>
      </c>
      <c r="AM1641">
        <v>94.384589409745004</v>
      </c>
      <c r="AN1641">
        <v>0.999999986384984</v>
      </c>
    </row>
    <row r="1642" spans="1:40" x14ac:dyDescent="0.3">
      <c r="A1642" t="str">
        <f>"20200111145941397"</f>
        <v>20200111145941397</v>
      </c>
      <c r="B1642" t="str">
        <f>"1578725981387349"</f>
        <v>1578725981387349</v>
      </c>
      <c r="C1642" t="s">
        <v>40</v>
      </c>
      <c r="D1642">
        <v>4.2616139999999998</v>
      </c>
      <c r="E1642">
        <v>0.56216060000000001</v>
      </c>
      <c r="F1642" t="s">
        <v>45</v>
      </c>
      <c r="G1642">
        <v>-179.24549999999999</v>
      </c>
      <c r="H1642">
        <v>7.9987909999999995E-2</v>
      </c>
      <c r="I1642">
        <v>358.61090000000002</v>
      </c>
      <c r="J1642">
        <v>-277.75459999999998</v>
      </c>
      <c r="K1642">
        <v>1.077253</v>
      </c>
      <c r="L1642">
        <v>367.255</v>
      </c>
      <c r="M1642">
        <v>0.99999919999999998</v>
      </c>
      <c r="N1642">
        <v>0</v>
      </c>
      <c r="O1642">
        <v>-7.1012759999999995E-4</v>
      </c>
      <c r="P1642">
        <v>0.99629020000000001</v>
      </c>
      <c r="Q1642">
        <v>4.1009959999999998E-2</v>
      </c>
      <c r="R1642">
        <v>7.5659519999999994E-2</v>
      </c>
      <c r="S1642">
        <v>3.0325319999999998</v>
      </c>
      <c r="T1642">
        <v>-3.062987E-2</v>
      </c>
      <c r="U1642">
        <v>-0.26580809999999999</v>
      </c>
      <c r="V1642">
        <v>-7.637708E-2</v>
      </c>
      <c r="W1642">
        <v>4.2190249999999999E-2</v>
      </c>
      <c r="X1642">
        <v>0.99618600000000002</v>
      </c>
      <c r="Y1642">
        <v>8.6605650000000006E-2</v>
      </c>
      <c r="Z1642">
        <v>-4.293705E-4</v>
      </c>
      <c r="AA1642">
        <v>0.99624259999999998</v>
      </c>
      <c r="AB1642">
        <v>22</v>
      </c>
      <c r="AC1642">
        <v>98.509100000000004</v>
      </c>
      <c r="AD1642">
        <v>-0.99726508999999997</v>
      </c>
      <c r="AE1642">
        <v>-8.6440999999999804</v>
      </c>
      <c r="AF1642">
        <v>8.5732718168165096</v>
      </c>
      <c r="AG1642">
        <v>-0.99726508999999997</v>
      </c>
      <c r="AH1642">
        <v>98.5051952236999</v>
      </c>
      <c r="AI1642">
        <v>90.577857460678004</v>
      </c>
      <c r="AJ1642">
        <v>85.025870378512707</v>
      </c>
      <c r="AK1642">
        <v>98.882602177349497</v>
      </c>
      <c r="AL1642">
        <v>87.581959043971295</v>
      </c>
      <c r="AM1642">
        <v>94.384261507299399</v>
      </c>
      <c r="AN1642">
        <v>1.0000000110701901</v>
      </c>
    </row>
    <row r="1643" spans="1:40" x14ac:dyDescent="0.3">
      <c r="A1643" t="str">
        <f>"20200111145941407"</f>
        <v>20200111145941407</v>
      </c>
      <c r="B1643" t="str">
        <f>"1578725981397109"</f>
        <v>1578725981397109</v>
      </c>
      <c r="C1643" t="s">
        <v>40</v>
      </c>
      <c r="D1643">
        <v>4.3628470000000004</v>
      </c>
      <c r="E1643">
        <v>0.56242060000000005</v>
      </c>
      <c r="F1643" t="s">
        <v>45</v>
      </c>
      <c r="G1643">
        <v>-181.52070000000001</v>
      </c>
      <c r="H1643" s="1">
        <v>-5.4105269999999998E-6</v>
      </c>
      <c r="I1643">
        <v>358.79169999999999</v>
      </c>
      <c r="J1643">
        <v>-277.65159999999997</v>
      </c>
      <c r="K1643">
        <v>1.0784100000000001</v>
      </c>
      <c r="L1643">
        <v>367.25510000000003</v>
      </c>
      <c r="M1643">
        <v>0.99999890000000002</v>
      </c>
      <c r="N1643">
        <v>0</v>
      </c>
      <c r="O1643">
        <v>-6.1720989999999995E-4</v>
      </c>
      <c r="P1643">
        <v>0.99628329999999998</v>
      </c>
      <c r="Q1643">
        <v>4.0896830000000002E-2</v>
      </c>
      <c r="R1643">
        <v>7.5809459999999995E-2</v>
      </c>
      <c r="S1643">
        <v>3.0328369999999998</v>
      </c>
      <c r="T1643">
        <v>-3.3950090000000002E-2</v>
      </c>
      <c r="U1643">
        <v>-0.26672360000000001</v>
      </c>
      <c r="V1643">
        <v>-7.6434039999999995E-2</v>
      </c>
      <c r="W1643">
        <v>4.2203119999999997E-2</v>
      </c>
      <c r="X1643">
        <v>0.99618110000000004</v>
      </c>
      <c r="Y1643">
        <v>8.6986899999999895E-2</v>
      </c>
      <c r="Z1643">
        <v>-4.7902459999999997E-4</v>
      </c>
      <c r="AA1643">
        <v>0.99620929999999996</v>
      </c>
      <c r="AB1643">
        <v>22</v>
      </c>
      <c r="AC1643">
        <v>96.130899999999897</v>
      </c>
      <c r="AD1643">
        <v>-1.0784154105270001</v>
      </c>
      <c r="AE1643">
        <v>-8.4634000000000302</v>
      </c>
      <c r="AF1643">
        <v>8.4030160222053407</v>
      </c>
      <c r="AG1643">
        <v>-1.0784154105270001</v>
      </c>
      <c r="AH1643">
        <v>96.124101411308004</v>
      </c>
      <c r="AI1643">
        <v>90.640332016542999</v>
      </c>
      <c r="AJ1643">
        <v>85.003994729526696</v>
      </c>
      <c r="AK1643">
        <v>96.496717717228705</v>
      </c>
      <c r="AL1643">
        <v>87.581221023407494</v>
      </c>
      <c r="AM1643">
        <v>94.387539907740305</v>
      </c>
      <c r="AN1643">
        <v>1.00000002490283</v>
      </c>
    </row>
    <row r="1644" spans="1:40" x14ac:dyDescent="0.3">
      <c r="A1644" t="str">
        <f>"20200111145941419"</f>
        <v>20200111145941419</v>
      </c>
      <c r="B1644" t="str">
        <f>"1578725981417605"</f>
        <v>1578725981417605</v>
      </c>
      <c r="C1644" t="s">
        <v>40</v>
      </c>
      <c r="D1644">
        <v>4.2798639999999999</v>
      </c>
      <c r="E1644">
        <v>0.56226799999999999</v>
      </c>
      <c r="F1644" t="s">
        <v>45</v>
      </c>
      <c r="G1644">
        <v>-189.82810000000001</v>
      </c>
      <c r="H1644" s="1">
        <v>-5.2404319999999999E-6</v>
      </c>
      <c r="I1644">
        <v>359.47840000000002</v>
      </c>
      <c r="J1644">
        <v>-277.52969999999999</v>
      </c>
      <c r="K1644">
        <v>1.079809</v>
      </c>
      <c r="L1644">
        <v>367.25510000000003</v>
      </c>
      <c r="M1644">
        <v>0.99999870000000002</v>
      </c>
      <c r="N1644">
        <v>0</v>
      </c>
      <c r="O1644">
        <v>-5.0992690000000005E-4</v>
      </c>
      <c r="P1644">
        <v>0.99627889999999997</v>
      </c>
      <c r="Q1644">
        <v>4.0676289999999997E-2</v>
      </c>
      <c r="R1644">
        <v>7.5986849999999995E-2</v>
      </c>
      <c r="S1644">
        <v>3.0331730000000001</v>
      </c>
      <c r="T1644">
        <v>-3.7245390000000003E-2</v>
      </c>
      <c r="U1644">
        <v>-0.26858520000000002</v>
      </c>
      <c r="V1644">
        <v>-7.6504849999999999E-2</v>
      </c>
      <c r="W1644">
        <v>4.2187870000000002E-2</v>
      </c>
      <c r="X1644">
        <v>0.99617630000000001</v>
      </c>
      <c r="Y1644">
        <v>8.7689669999999997E-2</v>
      </c>
      <c r="Z1644">
        <v>-5.3106559999999896E-4</v>
      </c>
      <c r="AA1644">
        <v>0.99614769999999997</v>
      </c>
      <c r="AB1644">
        <v>22</v>
      </c>
      <c r="AC1644">
        <v>87.7015999999999</v>
      </c>
      <c r="AD1644">
        <v>-1.0798142404319999</v>
      </c>
      <c r="AE1644">
        <v>-7.7766999999999999</v>
      </c>
      <c r="AF1644">
        <v>7.7308147264860203</v>
      </c>
      <c r="AG1644">
        <v>-1.0798142404319999</v>
      </c>
      <c r="AH1644">
        <v>87.692364191879307</v>
      </c>
      <c r="AI1644">
        <v>90.702759950011298</v>
      </c>
      <c r="AJ1644">
        <v>84.961923092204103</v>
      </c>
      <c r="AK1644">
        <v>88.039094910671906</v>
      </c>
      <c r="AL1644">
        <v>87.582095537900997</v>
      </c>
      <c r="AM1644">
        <v>94.391609795158303</v>
      </c>
      <c r="AN1644">
        <v>1.00000001456517</v>
      </c>
    </row>
    <row r="1645" spans="1:40" x14ac:dyDescent="0.3">
      <c r="A1645" t="str">
        <f>"20200111145941432"</f>
        <v>20200111145941432</v>
      </c>
      <c r="B1645" t="str">
        <f>"1578725981427365"</f>
        <v>1578725981427365</v>
      </c>
      <c r="C1645" t="s">
        <v>40</v>
      </c>
      <c r="D1645">
        <v>4.3148530000000003</v>
      </c>
      <c r="E1645">
        <v>0.56242769999999898</v>
      </c>
      <c r="F1645" t="s">
        <v>45</v>
      </c>
      <c r="G1645">
        <v>-184.59229999999999</v>
      </c>
      <c r="H1645" s="1">
        <v>-5.3596840000000001E-6</v>
      </c>
      <c r="I1645">
        <v>359.08199999999999</v>
      </c>
      <c r="J1645">
        <v>-277.41230000000002</v>
      </c>
      <c r="K1645">
        <v>1.081216</v>
      </c>
      <c r="L1645">
        <v>367.25510000000003</v>
      </c>
      <c r="M1645">
        <v>0.99999819999999995</v>
      </c>
      <c r="N1645">
        <v>0</v>
      </c>
      <c r="O1645">
        <v>-4.1094690000000001E-4</v>
      </c>
      <c r="P1645">
        <v>0.99627659999999996</v>
      </c>
      <c r="Q1645">
        <v>4.0250849999999998E-2</v>
      </c>
      <c r="R1645">
        <v>7.6244220000000001E-2</v>
      </c>
      <c r="S1645">
        <v>3.032959</v>
      </c>
      <c r="T1645">
        <v>-3.5239099999999898E-2</v>
      </c>
      <c r="U1645">
        <v>-0.26672360000000001</v>
      </c>
      <c r="V1645">
        <v>-7.6663519999999999E-2</v>
      </c>
      <c r="W1645">
        <v>4.218359E-2</v>
      </c>
      <c r="X1645">
        <v>0.9961643</v>
      </c>
      <c r="Y1645">
        <v>8.7188440000000006E-2</v>
      </c>
      <c r="Z1645">
        <v>-5.0075119999999998E-4</v>
      </c>
      <c r="AA1645">
        <v>0.99619170000000001</v>
      </c>
      <c r="AB1645">
        <v>22</v>
      </c>
      <c r="AC1645">
        <v>92.82</v>
      </c>
      <c r="AD1645">
        <v>-1.0812213596839999</v>
      </c>
      <c r="AE1645">
        <v>-8.17310000000003</v>
      </c>
      <c r="AF1645">
        <v>8.1338599655263994</v>
      </c>
      <c r="AG1645">
        <v>-1.0812213596839999</v>
      </c>
      <c r="AH1645">
        <v>92.810854314282395</v>
      </c>
      <c r="AI1645">
        <v>90.664901834634705</v>
      </c>
      <c r="AJ1645">
        <v>84.991446073842198</v>
      </c>
      <c r="AK1645">
        <v>93.172868347574095</v>
      </c>
      <c r="AL1645">
        <v>87.582341023490599</v>
      </c>
      <c r="AM1645">
        <v>94.400734994782695</v>
      </c>
      <c r="AN1645">
        <v>1.0000000315792801</v>
      </c>
    </row>
    <row r="1646" spans="1:40" x14ac:dyDescent="0.3">
      <c r="A1646" t="str">
        <f>"20200111145941442"</f>
        <v>20200111145941442</v>
      </c>
      <c r="B1646" t="str">
        <f>"1578725981437125"</f>
        <v>1578725981437125</v>
      </c>
      <c r="C1646" t="s">
        <v>40</v>
      </c>
      <c r="D1646">
        <v>4.3388710000000001</v>
      </c>
      <c r="E1646">
        <v>0.56258549999999996</v>
      </c>
      <c r="F1646" t="s">
        <v>45</v>
      </c>
      <c r="G1646">
        <v>-187.7235</v>
      </c>
      <c r="H1646" s="1">
        <v>-5.3061919999999999E-6</v>
      </c>
      <c r="I1646">
        <v>359.35730000000001</v>
      </c>
      <c r="J1646">
        <v>-277.30329999999998</v>
      </c>
      <c r="K1646">
        <v>1.0825309999999999</v>
      </c>
      <c r="L1646">
        <v>367.2552</v>
      </c>
      <c r="M1646">
        <v>0.99999709999999997</v>
      </c>
      <c r="N1646">
        <v>0</v>
      </c>
      <c r="O1646">
        <v>-3.1898309999999999E-4</v>
      </c>
      <c r="P1646">
        <v>0.99629319999999999</v>
      </c>
      <c r="Q1646">
        <v>3.9541939999999998E-2</v>
      </c>
      <c r="R1646">
        <v>7.6397140000000002E-2</v>
      </c>
      <c r="S1646">
        <v>3.033112</v>
      </c>
      <c r="T1646">
        <v>-3.6564949999999999E-2</v>
      </c>
      <c r="U1646">
        <v>-0.26708979999999999</v>
      </c>
      <c r="V1646">
        <v>-7.6724749999999994E-2</v>
      </c>
      <c r="W1646">
        <v>4.1907729999999997E-2</v>
      </c>
      <c r="X1646">
        <v>0.99617120000000003</v>
      </c>
      <c r="Y1646">
        <v>8.7394559999999996E-2</v>
      </c>
      <c r="Z1646">
        <v>-5.2190790000000004E-4</v>
      </c>
      <c r="AA1646">
        <v>0.99617359999999999</v>
      </c>
      <c r="AB1646">
        <v>22</v>
      </c>
      <c r="AC1646">
        <v>89.579799999999906</v>
      </c>
      <c r="AD1646">
        <v>-1.0825363061919999</v>
      </c>
      <c r="AE1646">
        <v>-7.8978999999999902</v>
      </c>
      <c r="AF1646">
        <v>7.8681848864117701</v>
      </c>
      <c r="AG1646">
        <v>-1.0825363061919999</v>
      </c>
      <c r="AH1646">
        <v>89.569335147103104</v>
      </c>
      <c r="AI1646">
        <v>90.689787859602404</v>
      </c>
      <c r="AJ1646">
        <v>84.979760314543896</v>
      </c>
      <c r="AK1646">
        <v>89.920776336478895</v>
      </c>
      <c r="AL1646">
        <v>87.598160556088601</v>
      </c>
      <c r="AM1646">
        <v>94.404205586049201</v>
      </c>
      <c r="AN1646">
        <v>1.0000000024028699</v>
      </c>
    </row>
    <row r="1647" spans="1:40" x14ac:dyDescent="0.3">
      <c r="A1647" t="str">
        <f>"20200111145941452"</f>
        <v>20200111145941452</v>
      </c>
      <c r="B1647" t="str">
        <f>"1578725981446885"</f>
        <v>1578725981446885</v>
      </c>
      <c r="C1647" t="s">
        <v>40</v>
      </c>
      <c r="D1647">
        <v>4.3279829999999997</v>
      </c>
      <c r="E1647">
        <v>0.56279809999999997</v>
      </c>
      <c r="F1647" t="s">
        <v>45</v>
      </c>
      <c r="G1647">
        <v>-194.55779999999999</v>
      </c>
      <c r="H1647" s="1">
        <v>-8.3953469999999993E-6</v>
      </c>
      <c r="I1647">
        <v>359.94749999999999</v>
      </c>
      <c r="J1647">
        <v>-277.19929999999999</v>
      </c>
      <c r="K1647">
        <v>1.083779</v>
      </c>
      <c r="L1647">
        <v>367.2552</v>
      </c>
      <c r="M1647">
        <v>0.99999579999999999</v>
      </c>
      <c r="N1647">
        <v>0</v>
      </c>
      <c r="O1647">
        <v>-2.3104270000000001E-4</v>
      </c>
      <c r="P1647">
        <v>0.99629900000000005</v>
      </c>
      <c r="Q1647">
        <v>3.8971440000000003E-2</v>
      </c>
      <c r="R1647">
        <v>7.6614689999999999E-2</v>
      </c>
      <c r="S1647">
        <v>3.033264</v>
      </c>
      <c r="T1647">
        <v>-3.9683459999999997E-2</v>
      </c>
      <c r="U1647">
        <v>-0.26788329999999999</v>
      </c>
      <c r="V1647">
        <v>-7.685459E-2</v>
      </c>
      <c r="W1647">
        <v>4.185581E-2</v>
      </c>
      <c r="X1647">
        <v>0.99616340000000003</v>
      </c>
      <c r="Y1647">
        <v>8.7735209999999994E-2</v>
      </c>
      <c r="Z1647">
        <v>-5.6975349999999897E-4</v>
      </c>
      <c r="AA1647">
        <v>0.99614360000000002</v>
      </c>
      <c r="AB1647">
        <v>22</v>
      </c>
      <c r="AC1647">
        <v>82.641499999999994</v>
      </c>
      <c r="AD1647">
        <v>-1.0837873953470001</v>
      </c>
      <c r="AE1647">
        <v>-7.3077000000000103</v>
      </c>
      <c r="AF1647">
        <v>7.2873624133703698</v>
      </c>
      <c r="AG1647">
        <v>-1.0837873953470001</v>
      </c>
      <c r="AH1647">
        <v>82.629085445505893</v>
      </c>
      <c r="AI1647">
        <v>90.748559985455898</v>
      </c>
      <c r="AJ1647">
        <v>84.959915319697004</v>
      </c>
      <c r="AK1647">
        <v>82.956892466044295</v>
      </c>
      <c r="AL1647">
        <v>87.601138027252404</v>
      </c>
      <c r="AM1647">
        <v>94.411663757411702</v>
      </c>
      <c r="AN1647">
        <v>1.0000000281671899</v>
      </c>
    </row>
    <row r="1648" spans="1:40" x14ac:dyDescent="0.3">
      <c r="A1648" t="str">
        <f>"20200111145941463"</f>
        <v>20200111145941463</v>
      </c>
      <c r="B1648" t="str">
        <f>"1578725981457621"</f>
        <v>1578725981457621</v>
      </c>
      <c r="C1648" t="s">
        <v>40</v>
      </c>
      <c r="D1648">
        <v>4.3582020000000004</v>
      </c>
      <c r="E1648">
        <v>0.56279809999999997</v>
      </c>
      <c r="F1648" t="s">
        <v>45</v>
      </c>
      <c r="G1648">
        <v>-198.98339999999999</v>
      </c>
      <c r="H1648" s="1">
        <v>-9.8909000000000005E-6</v>
      </c>
      <c r="I1648">
        <v>360.31810000000002</v>
      </c>
      <c r="J1648">
        <v>-277.10070000000002</v>
      </c>
      <c r="K1648">
        <v>1.0849500000000001</v>
      </c>
      <c r="L1648">
        <v>367.25529999999998</v>
      </c>
      <c r="M1648">
        <v>0.99999420000000006</v>
      </c>
      <c r="N1648">
        <v>0</v>
      </c>
      <c r="O1648">
        <v>-1.4701229999999999E-4</v>
      </c>
      <c r="P1648">
        <v>0.99628459999999996</v>
      </c>
      <c r="Q1648">
        <v>3.8522210000000001E-2</v>
      </c>
      <c r="R1648">
        <v>7.7028540000000006E-2</v>
      </c>
      <c r="S1648">
        <v>3.0334469999999998</v>
      </c>
      <c r="T1648">
        <v>-4.2032600000000003E-2</v>
      </c>
      <c r="U1648">
        <v>-0.26904299999999998</v>
      </c>
      <c r="V1648">
        <v>-7.7185050000000005E-2</v>
      </c>
      <c r="W1648">
        <v>4.1900590000000001E-2</v>
      </c>
      <c r="X1648">
        <v>0.99613600000000002</v>
      </c>
      <c r="Y1648">
        <v>8.8190530000000003E-2</v>
      </c>
      <c r="Z1648">
        <v>-6.0774180000000002E-4</v>
      </c>
      <c r="AA1648">
        <v>0.99610350000000003</v>
      </c>
      <c r="AB1648">
        <v>22</v>
      </c>
      <c r="AC1648">
        <v>78.1173</v>
      </c>
      <c r="AD1648">
        <v>-1.0849598909</v>
      </c>
      <c r="AE1648">
        <v>-6.9371999999999598</v>
      </c>
      <c r="AF1648">
        <v>6.9243903890341398</v>
      </c>
      <c r="AG1648">
        <v>-1.0849598909</v>
      </c>
      <c r="AH1648">
        <v>78.103370738071902</v>
      </c>
      <c r="AI1648">
        <v>90.792754498300198</v>
      </c>
      <c r="AJ1648">
        <v>84.9335891760268</v>
      </c>
      <c r="AK1648">
        <v>78.417222858714595</v>
      </c>
      <c r="AL1648">
        <v>87.598570148258602</v>
      </c>
      <c r="AM1648">
        <v>94.430679080447803</v>
      </c>
      <c r="AN1648">
        <v>1.0000000609409201</v>
      </c>
    </row>
    <row r="1649" spans="1:40" x14ac:dyDescent="0.3">
      <c r="A1649" t="str">
        <f>"20200111145941476"</f>
        <v>20200111145941476</v>
      </c>
      <c r="B1649" t="str">
        <f>"1578725981467382"</f>
        <v>1578725981467382</v>
      </c>
      <c r="C1649" t="s">
        <v>40</v>
      </c>
      <c r="D1649">
        <v>4.3489469999999999</v>
      </c>
      <c r="E1649">
        <v>0.56288149999999904</v>
      </c>
      <c r="F1649" t="s">
        <v>45</v>
      </c>
      <c r="G1649">
        <v>-201.09059999999999</v>
      </c>
      <c r="H1649" s="1">
        <v>-2.998402E-6</v>
      </c>
      <c r="I1649">
        <v>360.54759999999999</v>
      </c>
      <c r="J1649">
        <v>-276.97089999999997</v>
      </c>
      <c r="K1649">
        <v>1.086438</v>
      </c>
      <c r="L1649">
        <v>367.25540000000001</v>
      </c>
      <c r="M1649">
        <v>0.99999179999999999</v>
      </c>
      <c r="N1649">
        <v>0</v>
      </c>
      <c r="O1649" s="1">
        <v>-3.4795999999999997E-5</v>
      </c>
      <c r="P1649">
        <v>0.99629250000000003</v>
      </c>
      <c r="Q1649">
        <v>3.7624659999999997E-2</v>
      </c>
      <c r="R1649">
        <v>7.7366840000000006E-2</v>
      </c>
      <c r="S1649">
        <v>3.0335390000000002</v>
      </c>
      <c r="T1649">
        <v>-4.3300150000000003E-2</v>
      </c>
      <c r="U1649">
        <v>-0.2677002</v>
      </c>
      <c r="V1649">
        <v>-7.7410989999999999E-2</v>
      </c>
      <c r="W1649">
        <v>4.1658569999999999E-2</v>
      </c>
      <c r="X1649">
        <v>0.99612860000000003</v>
      </c>
      <c r="Y1649">
        <v>8.7861659999999994E-2</v>
      </c>
      <c r="Z1649">
        <v>-6.2531689999999998E-4</v>
      </c>
      <c r="AA1649">
        <v>0.99613249999999998</v>
      </c>
      <c r="AB1649">
        <v>22</v>
      </c>
      <c r="AC1649">
        <v>75.880299999999906</v>
      </c>
      <c r="AD1649">
        <v>-1.086440998402</v>
      </c>
      <c r="AE1649">
        <v>-6.7078000000000104</v>
      </c>
      <c r="AF1649">
        <v>6.7037960201286504</v>
      </c>
      <c r="AG1649">
        <v>-1.086440998402</v>
      </c>
      <c r="AH1649">
        <v>75.865101593939698</v>
      </c>
      <c r="AI1649">
        <v>90.817275178770004</v>
      </c>
      <c r="AJ1649">
        <v>84.950192573478205</v>
      </c>
      <c r="AK1649">
        <v>76.168463782468905</v>
      </c>
      <c r="AL1649">
        <v>87.6124489469059</v>
      </c>
      <c r="AM1649">
        <v>94.443629798273506</v>
      </c>
      <c r="AN1649">
        <v>1.0000000427825899</v>
      </c>
    </row>
    <row r="1650" spans="1:40" x14ac:dyDescent="0.3">
      <c r="A1650" t="str">
        <f>"20200111145941489"</f>
        <v>20200111145941489</v>
      </c>
      <c r="B1650" t="str">
        <f>"1578725981486901"</f>
        <v>1578725981486901</v>
      </c>
      <c r="C1650" t="s">
        <v>40</v>
      </c>
      <c r="D1650">
        <v>4.3209350000000004</v>
      </c>
      <c r="E1650">
        <v>0.56284279999999998</v>
      </c>
      <c r="F1650" t="s">
        <v>45</v>
      </c>
      <c r="G1650">
        <v>-205.9374</v>
      </c>
      <c r="H1650" s="1">
        <v>-5.2720100000000004E-6</v>
      </c>
      <c r="I1650">
        <v>360.99310000000003</v>
      </c>
      <c r="J1650">
        <v>-276.84640000000002</v>
      </c>
      <c r="K1650">
        <v>1.0877889999999999</v>
      </c>
      <c r="L1650">
        <v>367.25549999999998</v>
      </c>
      <c r="M1650">
        <v>0.99998920000000002</v>
      </c>
      <c r="N1650">
        <v>0</v>
      </c>
      <c r="O1650" s="1">
        <v>7.3854069999999898E-5</v>
      </c>
      <c r="P1650">
        <v>0.99630810000000003</v>
      </c>
      <c r="Q1650">
        <v>3.6736629999999999E-2</v>
      </c>
      <c r="R1650">
        <v>7.7593220000000004E-2</v>
      </c>
      <c r="S1650">
        <v>3.033722</v>
      </c>
      <c r="T1650">
        <v>-4.6400190000000001E-2</v>
      </c>
      <c r="U1650">
        <v>-0.26745609999999997</v>
      </c>
      <c r="V1650">
        <v>-7.7529280000000006E-2</v>
      </c>
      <c r="W1650">
        <v>4.1352699999999999E-2</v>
      </c>
      <c r="X1650">
        <v>0.99613209999999996</v>
      </c>
      <c r="Y1650">
        <v>8.788377E-2</v>
      </c>
      <c r="Z1650">
        <v>-6.7187009999999903E-4</v>
      </c>
      <c r="AA1650">
        <v>0.99613050000000003</v>
      </c>
      <c r="AB1650">
        <v>22</v>
      </c>
      <c r="AC1650">
        <v>70.909000000000006</v>
      </c>
      <c r="AD1650">
        <v>-1.08779427200999</v>
      </c>
      <c r="AE1650">
        <v>-6.2623999999999498</v>
      </c>
      <c r="AF1650">
        <v>6.2661737061032303</v>
      </c>
      <c r="AG1650">
        <v>-1.08779427200999</v>
      </c>
      <c r="AH1650">
        <v>70.891982887956203</v>
      </c>
      <c r="AI1650">
        <v>90.875686206057495</v>
      </c>
      <c r="AJ1650">
        <v>84.948728401192199</v>
      </c>
      <c r="AK1650">
        <v>71.176691880696097</v>
      </c>
      <c r="AL1650">
        <v>87.629989014654896</v>
      </c>
      <c r="AM1650">
        <v>94.450377177649102</v>
      </c>
      <c r="AN1650">
        <v>0.99999999785250904</v>
      </c>
    </row>
    <row r="1651" spans="1:40" x14ac:dyDescent="0.3">
      <c r="A1651" t="str">
        <f>"20200111145941501"</f>
        <v>20200111145941501</v>
      </c>
      <c r="B1651" t="str">
        <f>"1578725981497637"</f>
        <v>1578725981497637</v>
      </c>
      <c r="C1651" t="s">
        <v>40</v>
      </c>
      <c r="D1651">
        <v>4.5197229999999999</v>
      </c>
      <c r="E1651">
        <v>0.56284279999999998</v>
      </c>
      <c r="F1651" t="s">
        <v>45</v>
      </c>
      <c r="G1651">
        <v>-205.3777</v>
      </c>
      <c r="H1651" s="1">
        <v>-5.0456779999999996E-6</v>
      </c>
      <c r="I1651">
        <v>360.98039999999997</v>
      </c>
      <c r="J1651">
        <v>-276.7242</v>
      </c>
      <c r="K1651">
        <v>1.0890759999999999</v>
      </c>
      <c r="L1651">
        <v>367.25569999999999</v>
      </c>
      <c r="M1651">
        <v>0.9999865</v>
      </c>
      <c r="N1651">
        <v>0</v>
      </c>
      <c r="O1651">
        <v>1.814749E-4</v>
      </c>
      <c r="P1651">
        <v>0.99630730000000001</v>
      </c>
      <c r="Q1651">
        <v>3.6126220000000001E-2</v>
      </c>
      <c r="R1651">
        <v>7.7889020000000003E-2</v>
      </c>
      <c r="S1651">
        <v>3.0335999999999999</v>
      </c>
      <c r="T1651">
        <v>-4.6173100000000002E-2</v>
      </c>
      <c r="U1651">
        <v>-0.26635740000000002</v>
      </c>
      <c r="V1651">
        <v>-7.7718060000000005E-2</v>
      </c>
      <c r="W1651">
        <v>4.1286950000000003E-2</v>
      </c>
      <c r="X1651">
        <v>0.99612009999999995</v>
      </c>
      <c r="Y1651">
        <v>8.7636610000000004E-2</v>
      </c>
      <c r="Z1651">
        <v>-6.6837720000000002E-4</v>
      </c>
      <c r="AA1651">
        <v>0.99615229999999999</v>
      </c>
      <c r="AB1651">
        <v>22</v>
      </c>
      <c r="AC1651">
        <v>71.346499999999907</v>
      </c>
      <c r="AD1651">
        <v>-1.089081045678</v>
      </c>
      <c r="AE1651">
        <v>-6.2753000000000103</v>
      </c>
      <c r="AF1651">
        <v>6.2867940282188499</v>
      </c>
      <c r="AG1651">
        <v>-1.089081045678</v>
      </c>
      <c r="AH1651">
        <v>71.328867232270099</v>
      </c>
      <c r="AI1651">
        <v>90.871372132342998</v>
      </c>
      <c r="AJ1651">
        <v>84.963072222888599</v>
      </c>
      <c r="AK1651">
        <v>71.613666135145706</v>
      </c>
      <c r="AL1651">
        <v>87.633759393157305</v>
      </c>
      <c r="AM1651">
        <v>94.461223462222407</v>
      </c>
      <c r="AN1651">
        <v>0.999999981357237</v>
      </c>
    </row>
    <row r="1652" spans="1:40" x14ac:dyDescent="0.3">
      <c r="A1652" t="str">
        <f>"20200111145941513"</f>
        <v>20200111145941513</v>
      </c>
      <c r="B1652" t="str">
        <f>"1578725981507397"</f>
        <v>1578725981507397</v>
      </c>
      <c r="C1652" t="s">
        <v>40</v>
      </c>
      <c r="D1652">
        <v>4.3592149999999998</v>
      </c>
      <c r="E1652">
        <v>0.56154029999999999</v>
      </c>
      <c r="F1652" t="s">
        <v>45</v>
      </c>
      <c r="G1652">
        <v>-207.84389999999999</v>
      </c>
      <c r="H1652" s="1">
        <v>-5.8739329999999899E-6</v>
      </c>
      <c r="I1652">
        <v>361.22519999999997</v>
      </c>
      <c r="J1652">
        <v>-276.60570000000001</v>
      </c>
      <c r="K1652">
        <v>1.0902160000000001</v>
      </c>
      <c r="L1652">
        <v>367.25580000000002</v>
      </c>
      <c r="M1652">
        <v>0.99998390000000004</v>
      </c>
      <c r="N1652">
        <v>0</v>
      </c>
      <c r="O1652">
        <v>2.8545509999999998E-4</v>
      </c>
      <c r="P1652">
        <v>0.99630370000000001</v>
      </c>
      <c r="Q1652">
        <v>3.5714160000000002E-2</v>
      </c>
      <c r="R1652">
        <v>7.8123719999999994E-2</v>
      </c>
      <c r="S1652">
        <v>3.03363</v>
      </c>
      <c r="T1652">
        <v>-4.796541E-2</v>
      </c>
      <c r="U1652">
        <v>-0.26559450000000001</v>
      </c>
      <c r="V1652">
        <v>-7.7849440000000006E-2</v>
      </c>
      <c r="W1652">
        <v>4.1346510000000003E-2</v>
      </c>
      <c r="X1652">
        <v>0.99610739999999998</v>
      </c>
      <c r="Y1652">
        <v>8.7489929999999994E-2</v>
      </c>
      <c r="Z1652">
        <v>-6.9480279999999995E-4</v>
      </c>
      <c r="AA1652">
        <v>0.99616519999999997</v>
      </c>
      <c r="AB1652">
        <v>22</v>
      </c>
      <c r="AC1652">
        <v>68.761799999999994</v>
      </c>
      <c r="AD1652">
        <v>-1.0902218739330001</v>
      </c>
      <c r="AE1652">
        <v>-6.0306000000000397</v>
      </c>
      <c r="AF1652">
        <v>6.0487195392335602</v>
      </c>
      <c r="AG1652">
        <v>-1.0902218739330001</v>
      </c>
      <c r="AH1652">
        <v>68.742926831035305</v>
      </c>
      <c r="AI1652">
        <v>90.905104302987496</v>
      </c>
      <c r="AJ1652">
        <v>84.971470651502301</v>
      </c>
      <c r="AK1652">
        <v>69.017139763219603</v>
      </c>
      <c r="AL1652">
        <v>87.630344009736305</v>
      </c>
      <c r="AM1652">
        <v>94.468791246598101</v>
      </c>
      <c r="AN1652">
        <v>1.00000001076612</v>
      </c>
    </row>
    <row r="1653" spans="1:40" x14ac:dyDescent="0.3">
      <c r="A1653" t="str">
        <f>"20200111145941523"</f>
        <v>20200111145941523</v>
      </c>
      <c r="B1653" t="str">
        <f>"1578725981517157"</f>
        <v>1578725981517157</v>
      </c>
      <c r="C1653" t="s">
        <v>40</v>
      </c>
      <c r="D1653">
        <v>4.3216710000000003</v>
      </c>
      <c r="E1653">
        <v>0.56154029999999999</v>
      </c>
      <c r="F1653" t="s">
        <v>44</v>
      </c>
      <c r="G1653">
        <v>-158.19499999999999</v>
      </c>
      <c r="H1653">
        <v>5.6871029999999996</v>
      </c>
      <c r="I1653">
        <v>357.28609999999998</v>
      </c>
      <c r="J1653">
        <v>-276.49939999999998</v>
      </c>
      <c r="K1653">
        <v>1.09121</v>
      </c>
      <c r="L1653">
        <v>367.25599999999997</v>
      </c>
      <c r="M1653">
        <v>0.99998149999999997</v>
      </c>
      <c r="N1653">
        <v>0</v>
      </c>
      <c r="O1653">
        <v>3.7816850000000002E-4</v>
      </c>
      <c r="P1653">
        <v>0.99631890000000001</v>
      </c>
      <c r="Q1653">
        <v>3.5176880000000001E-2</v>
      </c>
      <c r="R1653">
        <v>7.8176040000000002E-2</v>
      </c>
      <c r="S1653">
        <v>3.0268860000000002</v>
      </c>
      <c r="T1653">
        <v>0.11751060000000001</v>
      </c>
      <c r="U1653">
        <v>-0.25485229999999998</v>
      </c>
      <c r="V1653">
        <v>-7.7809470000000006E-2</v>
      </c>
      <c r="W1653">
        <v>4.1222639999999998E-2</v>
      </c>
      <c r="X1653">
        <v>0.99611559999999999</v>
      </c>
      <c r="Y1653">
        <v>8.4212899999999993E-2</v>
      </c>
      <c r="Z1653">
        <v>1.6458200000000001E-3</v>
      </c>
      <c r="AA1653">
        <v>0.99644639999999995</v>
      </c>
      <c r="AB1653">
        <v>22</v>
      </c>
      <c r="AC1653">
        <v>118.3044</v>
      </c>
      <c r="AD1653">
        <v>4.5958929999999896</v>
      </c>
      <c r="AE1653">
        <v>-9.9698999999999902</v>
      </c>
      <c r="AF1653">
        <v>9.9996543570453902</v>
      </c>
      <c r="AG1653">
        <v>4.5958929999999896</v>
      </c>
      <c r="AH1653">
        <v>118.123609750588</v>
      </c>
      <c r="AI1653">
        <v>87.779822026055996</v>
      </c>
      <c r="AJ1653">
        <v>85.161210979279304</v>
      </c>
      <c r="AK1653">
        <v>118.635165529606</v>
      </c>
      <c r="AL1653">
        <v>87.637447160017402</v>
      </c>
      <c r="AM1653">
        <v>94.466469515852097</v>
      </c>
      <c r="AN1653">
        <v>0.99999995411680398</v>
      </c>
    </row>
    <row r="1654" spans="1:40" x14ac:dyDescent="0.3">
      <c r="A1654" t="str">
        <f>"20200111145941534"</f>
        <v>20200111145941534</v>
      </c>
      <c r="B1654" t="str">
        <f>"1578725981526917"</f>
        <v>1578725981526917</v>
      </c>
      <c r="C1654" t="s">
        <v>40</v>
      </c>
      <c r="D1654">
        <v>4.3471199999999897</v>
      </c>
      <c r="E1654">
        <v>0.56525930000000002</v>
      </c>
      <c r="F1654" t="s">
        <v>44</v>
      </c>
      <c r="G1654">
        <v>-158.19499999999999</v>
      </c>
      <c r="H1654">
        <v>5.6229279999999999</v>
      </c>
      <c r="I1654">
        <v>357.30149999999998</v>
      </c>
      <c r="J1654">
        <v>-276.38650000000001</v>
      </c>
      <c r="K1654">
        <v>1.092201</v>
      </c>
      <c r="L1654">
        <v>367.2561</v>
      </c>
      <c r="M1654">
        <v>0.9999787</v>
      </c>
      <c r="N1654">
        <v>0</v>
      </c>
      <c r="O1654">
        <v>4.7584489999999999E-4</v>
      </c>
      <c r="P1654">
        <v>0.99633400000000005</v>
      </c>
      <c r="Q1654">
        <v>3.4773209999999999E-2</v>
      </c>
      <c r="R1654">
        <v>7.8164449999999996E-2</v>
      </c>
      <c r="S1654">
        <v>3.0269780000000002</v>
      </c>
      <c r="T1654">
        <v>0.11595229999999999</v>
      </c>
      <c r="U1654">
        <v>-0.25469969999999997</v>
      </c>
      <c r="V1654">
        <v>-7.7700660000000005E-2</v>
      </c>
      <c r="W1654">
        <v>4.1238360000000002E-2</v>
      </c>
      <c r="X1654">
        <v>0.99612350000000005</v>
      </c>
      <c r="Y1654">
        <v>8.4259420000000002E-2</v>
      </c>
      <c r="Z1654">
        <v>1.6285879999999901E-3</v>
      </c>
      <c r="AA1654">
        <v>0.99644250000000001</v>
      </c>
      <c r="AB1654">
        <v>22</v>
      </c>
      <c r="AC1654">
        <v>118.1915</v>
      </c>
      <c r="AD1654">
        <v>4.5307269999999997</v>
      </c>
      <c r="AE1654">
        <v>-9.9546000000000205</v>
      </c>
      <c r="AF1654">
        <v>9.9962550709285196</v>
      </c>
      <c r="AG1654">
        <v>4.5307269999999997</v>
      </c>
      <c r="AH1654">
        <v>118.01455133104599</v>
      </c>
      <c r="AI1654">
        <v>87.809259934343004</v>
      </c>
      <c r="AJ1654">
        <v>85.158399251736498</v>
      </c>
      <c r="AK1654">
        <v>118.523782121815</v>
      </c>
      <c r="AL1654">
        <v>87.636545838476096</v>
      </c>
      <c r="AM1654">
        <v>94.460213524259203</v>
      </c>
      <c r="AN1654">
        <v>1.0000000110760801</v>
      </c>
    </row>
    <row r="1655" spans="1:40" x14ac:dyDescent="0.3">
      <c r="A1655" t="str">
        <f>"20200111145941546"</f>
        <v>20200111145941546</v>
      </c>
      <c r="B1655" t="str">
        <f>"1578725981537653"</f>
        <v>1578725981537653</v>
      </c>
      <c r="C1655" t="s">
        <v>40</v>
      </c>
      <c r="D1655">
        <v>4.3506549999999997</v>
      </c>
      <c r="E1655">
        <v>0.56563359999999996</v>
      </c>
      <c r="F1655" t="s">
        <v>42</v>
      </c>
      <c r="G1655">
        <v>-228.804</v>
      </c>
      <c r="H1655" s="1">
        <v>-2.2052629999999999E-6</v>
      </c>
      <c r="I1655">
        <v>362.80560000000003</v>
      </c>
      <c r="J1655">
        <v>-276.27960000000002</v>
      </c>
      <c r="K1655">
        <v>1.0930899999999999</v>
      </c>
      <c r="L1655">
        <v>367.25630000000001</v>
      </c>
      <c r="M1655">
        <v>0.99997619999999998</v>
      </c>
      <c r="N1655">
        <v>0</v>
      </c>
      <c r="O1655">
        <v>5.6734000000000005E-4</v>
      </c>
      <c r="P1655">
        <v>0.99634659999999997</v>
      </c>
      <c r="Q1655">
        <v>3.4089229999999998E-2</v>
      </c>
      <c r="R1655">
        <v>7.8305040000000006E-2</v>
      </c>
      <c r="S1655">
        <v>3.035736</v>
      </c>
      <c r="T1655">
        <v>-6.9681759999999995E-2</v>
      </c>
      <c r="U1655">
        <v>-0.28393550000000001</v>
      </c>
      <c r="V1655">
        <v>-7.7749570000000004E-2</v>
      </c>
      <c r="W1655">
        <v>4.0941060000000001E-2</v>
      </c>
      <c r="X1655">
        <v>0.99613200000000002</v>
      </c>
      <c r="Y1655">
        <v>9.3664860000000003E-2</v>
      </c>
      <c r="Z1655">
        <v>-1.0854949999999999E-3</v>
      </c>
      <c r="AA1655">
        <v>0.99560320000000002</v>
      </c>
      <c r="AB1655">
        <v>22</v>
      </c>
      <c r="AC1655">
        <v>47.4756</v>
      </c>
      <c r="AD1655">
        <v>-1.0930922052630001</v>
      </c>
      <c r="AE1655">
        <v>-4.4506999999999799</v>
      </c>
      <c r="AF1655">
        <v>4.47528296709483</v>
      </c>
      <c r="AG1655">
        <v>-1.0930922052630001</v>
      </c>
      <c r="AH1655">
        <v>47.4481332555685</v>
      </c>
      <c r="AI1655">
        <v>91.313895809095101</v>
      </c>
      <c r="AJ1655">
        <v>84.611832495144796</v>
      </c>
      <c r="AK1655">
        <v>47.671252948112901</v>
      </c>
      <c r="AL1655">
        <v>87.653594395270503</v>
      </c>
      <c r="AM1655">
        <v>94.462971813110698</v>
      </c>
      <c r="AN1655">
        <v>1.00000006372655</v>
      </c>
    </row>
    <row r="1656" spans="1:40" x14ac:dyDescent="0.3">
      <c r="A1656" t="str">
        <f>"20200111145941557"</f>
        <v>20200111145941557</v>
      </c>
      <c r="B1656" t="str">
        <f>"1578725981547413"</f>
        <v>1578725981547413</v>
      </c>
      <c r="C1656" t="s">
        <v>40</v>
      </c>
      <c r="D1656">
        <v>4.3563199999999904</v>
      </c>
      <c r="E1656">
        <v>0.56610530000000003</v>
      </c>
      <c r="F1656" t="s">
        <v>42</v>
      </c>
      <c r="G1656">
        <v>-228.43780000000001</v>
      </c>
      <c r="H1656" s="1">
        <v>-2.3470690000000001E-6</v>
      </c>
      <c r="I1656">
        <v>362.74090000000001</v>
      </c>
      <c r="J1656">
        <v>-276.16899999999998</v>
      </c>
      <c r="K1656">
        <v>1.093966</v>
      </c>
      <c r="L1656">
        <v>367.25650000000002</v>
      </c>
      <c r="M1656">
        <v>0.99997340000000001</v>
      </c>
      <c r="N1656">
        <v>0</v>
      </c>
      <c r="O1656">
        <v>6.6118419999999995E-4</v>
      </c>
      <c r="P1656">
        <v>0.99634820000000002</v>
      </c>
      <c r="Q1656">
        <v>3.3676980000000002E-2</v>
      </c>
      <c r="R1656">
        <v>7.8464140000000002E-2</v>
      </c>
      <c r="S1656">
        <v>3.0359189999999998</v>
      </c>
      <c r="T1656">
        <v>-6.9364789999999996E-2</v>
      </c>
      <c r="U1656">
        <v>-0.28652949999999999</v>
      </c>
      <c r="V1656">
        <v>-7.781565E-2</v>
      </c>
      <c r="W1656">
        <v>4.0920579999999998E-2</v>
      </c>
      <c r="X1656">
        <v>0.9961276</v>
      </c>
      <c r="Y1656">
        <v>9.4595890000000002E-2</v>
      </c>
      <c r="Z1656">
        <v>-1.093201E-3</v>
      </c>
      <c r="AA1656">
        <v>0.99551520000000004</v>
      </c>
      <c r="AB1656">
        <v>22</v>
      </c>
      <c r="AC1656">
        <v>47.731200000000001</v>
      </c>
      <c r="AD1656">
        <v>-1.093968347069</v>
      </c>
      <c r="AE1656">
        <v>-4.5156000000000001</v>
      </c>
      <c r="AF1656">
        <v>4.5447927729547004</v>
      </c>
      <c r="AG1656">
        <v>-1.093968347069</v>
      </c>
      <c r="AH1656">
        <v>47.703367699869602</v>
      </c>
      <c r="AI1656">
        <v>91.307798451471598</v>
      </c>
      <c r="AJ1656">
        <v>84.557745782369807</v>
      </c>
      <c r="AK1656">
        <v>47.931859947246501</v>
      </c>
      <c r="AL1656">
        <v>87.654768606015395</v>
      </c>
      <c r="AM1656">
        <v>94.466769236116605</v>
      </c>
      <c r="AN1656">
        <v>0.99999998236710896</v>
      </c>
    </row>
    <row r="1657" spans="1:40" x14ac:dyDescent="0.3">
      <c r="A1657" t="str">
        <f>"20200111145941742"</f>
        <v>20200111145941742</v>
      </c>
      <c r="B1657" t="str">
        <f>"1578725981737640"</f>
        <v>1578725981737640</v>
      </c>
      <c r="C1657" t="s">
        <v>40</v>
      </c>
      <c r="D1657">
        <v>4.4489530000000004</v>
      </c>
      <c r="E1657">
        <v>0.56610530000000003</v>
      </c>
      <c r="F1657" t="s">
        <v>42</v>
      </c>
      <c r="G1657">
        <v>-226.28880000000001</v>
      </c>
      <c r="H1657" s="1">
        <v>-3.1434759999999998E-6</v>
      </c>
      <c r="I1657">
        <v>362.49630000000002</v>
      </c>
      <c r="J1657">
        <v>-274.37529999999998</v>
      </c>
      <c r="K1657">
        <v>1.1021219999999901</v>
      </c>
      <c r="L1657">
        <v>367.26080000000002</v>
      </c>
      <c r="M1657">
        <v>0.99993240000000005</v>
      </c>
      <c r="N1657">
        <v>0</v>
      </c>
      <c r="O1657">
        <v>2.230962E-3</v>
      </c>
      <c r="P1657">
        <v>0.99643510000000002</v>
      </c>
      <c r="Q1657">
        <v>2.8990060000000002E-2</v>
      </c>
      <c r="R1657">
        <v>7.9228400000000004E-2</v>
      </c>
      <c r="S1657">
        <v>3.0360719999999999</v>
      </c>
      <c r="T1657">
        <v>-6.6586850000000003E-2</v>
      </c>
      <c r="U1657">
        <v>-0.28973389999999999</v>
      </c>
      <c r="V1657">
        <v>-7.7014669999999993E-2</v>
      </c>
      <c r="W1657">
        <v>4.0354559999999998E-2</v>
      </c>
      <c r="X1657">
        <v>0.99621300000000002</v>
      </c>
      <c r="Y1657">
        <v>9.7196009999999999E-2</v>
      </c>
      <c r="Z1657">
        <v>-1.1121219999999999E-3</v>
      </c>
      <c r="AA1657">
        <v>0.99526460000000005</v>
      </c>
      <c r="AB1657">
        <v>22</v>
      </c>
      <c r="AC1657">
        <v>48.086499999999901</v>
      </c>
      <c r="AD1657">
        <v>-1.10212514347599</v>
      </c>
      <c r="AE1657">
        <v>-4.7644999999999902</v>
      </c>
      <c r="AF1657">
        <v>4.8692412881515903</v>
      </c>
      <c r="AG1657">
        <v>-1.10212514347599</v>
      </c>
      <c r="AH1657">
        <v>48.050754067336896</v>
      </c>
      <c r="AI1657">
        <v>91.307252508052699</v>
      </c>
      <c r="AJ1657">
        <v>84.213662982922003</v>
      </c>
      <c r="AK1657">
        <v>48.309410646310099</v>
      </c>
      <c r="AL1657">
        <v>87.687226121875895</v>
      </c>
      <c r="AM1657">
        <v>94.420597164683599</v>
      </c>
      <c r="AN1657">
        <v>1.0000000456385001</v>
      </c>
    </row>
    <row r="1658" spans="1:40" x14ac:dyDescent="0.3">
      <c r="A1658" t="str">
        <f>"20200111145941753"</f>
        <v>20200111145941753</v>
      </c>
      <c r="B1658" t="str">
        <f>"1578725981747400"</f>
        <v>1578725981747400</v>
      </c>
      <c r="C1658" t="s">
        <v>40</v>
      </c>
      <c r="D1658">
        <v>4.4948930000000002</v>
      </c>
      <c r="E1658">
        <v>0.50356389999999995</v>
      </c>
      <c r="F1658" t="s">
        <v>42</v>
      </c>
      <c r="G1658">
        <v>-233.14920000000001</v>
      </c>
      <c r="H1658" s="1">
        <v>-4.032249E-6</v>
      </c>
      <c r="I1658">
        <v>363.35340000000002</v>
      </c>
      <c r="J1658">
        <v>-274.26609999999999</v>
      </c>
      <c r="K1658">
        <v>1.1023529999999999</v>
      </c>
      <c r="L1658">
        <v>367.2611</v>
      </c>
      <c r="M1658">
        <v>0.9999306</v>
      </c>
      <c r="N1658">
        <v>0</v>
      </c>
      <c r="O1658">
        <v>2.327225E-3</v>
      </c>
      <c r="P1658">
        <v>0.99643179999999998</v>
      </c>
      <c r="Q1658">
        <v>2.8866360000000001E-2</v>
      </c>
      <c r="R1658">
        <v>7.9313999999999996E-2</v>
      </c>
      <c r="S1658">
        <v>3.0360109999999998</v>
      </c>
      <c r="T1658">
        <v>-8.1163639999999995E-2</v>
      </c>
      <c r="U1658">
        <v>-0.28775020000000001</v>
      </c>
      <c r="V1658">
        <v>-7.7004180000000005E-2</v>
      </c>
      <c r="W1658">
        <v>4.0366470000000002E-2</v>
      </c>
      <c r="X1658">
        <v>0.99621329999999997</v>
      </c>
      <c r="Y1658">
        <v>9.6637899999999902E-2</v>
      </c>
      <c r="Z1658">
        <v>-1.350696E-3</v>
      </c>
      <c r="AA1658">
        <v>0.9953187</v>
      </c>
      <c r="AB1658">
        <v>22</v>
      </c>
      <c r="AC1658">
        <v>41.116900000000001</v>
      </c>
      <c r="AD1658">
        <v>-1.1023570322489999</v>
      </c>
      <c r="AE1658">
        <v>-3.90769999999997</v>
      </c>
      <c r="AF1658">
        <v>4.0005342608690402</v>
      </c>
      <c r="AG1658">
        <v>-1.1023570322489999</v>
      </c>
      <c r="AH1658">
        <v>41.0784313596047</v>
      </c>
      <c r="AI1658">
        <v>91.529952755487201</v>
      </c>
      <c r="AJ1658">
        <v>84.437636287026095</v>
      </c>
      <c r="AK1658">
        <v>41.287491911772698</v>
      </c>
      <c r="AL1658">
        <v>87.686543107254394</v>
      </c>
      <c r="AM1658">
        <v>94.419996105211993</v>
      </c>
      <c r="AN1658">
        <v>1.00000001736731</v>
      </c>
    </row>
    <row r="1659" spans="1:40" x14ac:dyDescent="0.3">
      <c r="A1659" t="str">
        <f>"20200111145941764"</f>
        <v>20200111145941764</v>
      </c>
      <c r="B1659" t="str">
        <f>"1578725981757161"</f>
        <v>1578725981757161</v>
      </c>
      <c r="C1659" t="s">
        <v>40</v>
      </c>
      <c r="D1659">
        <v>4.4266100000000002</v>
      </c>
      <c r="E1659">
        <v>0.50419999999999998</v>
      </c>
      <c r="F1659" t="s">
        <v>42</v>
      </c>
      <c r="G1659">
        <v>-245.797</v>
      </c>
      <c r="H1659" s="1">
        <v>-2.0312640000000002E-6</v>
      </c>
      <c r="I1659">
        <v>369.25560000000002</v>
      </c>
      <c r="J1659">
        <v>-274.1585</v>
      </c>
      <c r="K1659">
        <v>1.1025689999999999</v>
      </c>
      <c r="L1659">
        <v>367.26150000000001</v>
      </c>
      <c r="M1659">
        <v>0.99992879999999995</v>
      </c>
      <c r="N1659">
        <v>0</v>
      </c>
      <c r="O1659">
        <v>2.4219139999999998E-3</v>
      </c>
      <c r="P1659">
        <v>0.99641670000000004</v>
      </c>
      <c r="Q1659">
        <v>2.8709470000000001E-2</v>
      </c>
      <c r="R1659">
        <v>7.9558279999999995E-2</v>
      </c>
      <c r="S1659">
        <v>2.9973450000000001</v>
      </c>
      <c r="T1659">
        <v>-0.11606039999999999</v>
      </c>
      <c r="U1659">
        <v>0.2099915</v>
      </c>
      <c r="V1659">
        <v>-7.7153910000000006E-2</v>
      </c>
      <c r="W1659">
        <v>4.033693E-2</v>
      </c>
      <c r="X1659">
        <v>0.9962029</v>
      </c>
      <c r="Y1659">
        <v>-6.7423040000000004E-2</v>
      </c>
      <c r="Z1659">
        <v>1.2096279999999999E-3</v>
      </c>
      <c r="AA1659">
        <v>0.99772380000000005</v>
      </c>
      <c r="AB1659">
        <v>22</v>
      </c>
      <c r="AC1659">
        <v>28.361499999999999</v>
      </c>
      <c r="AD1659">
        <v>-1.102571031264</v>
      </c>
      <c r="AE1659">
        <v>1.9941</v>
      </c>
      <c r="AF1659">
        <v>-1.9225091248513499</v>
      </c>
      <c r="AG1659">
        <v>-1.102571031264</v>
      </c>
      <c r="AH1659">
        <v>28.323651311620601</v>
      </c>
      <c r="AI1659">
        <v>92.224147592086695</v>
      </c>
      <c r="AJ1659">
        <v>93.883078482350797</v>
      </c>
      <c r="AK1659">
        <v>28.410225761799001</v>
      </c>
      <c r="AL1659">
        <v>87.688236977547305</v>
      </c>
      <c r="AM1659">
        <v>94.4286024146611</v>
      </c>
      <c r="AN1659">
        <v>1.00000000585926</v>
      </c>
    </row>
    <row r="1660" spans="1:40" x14ac:dyDescent="0.3">
      <c r="A1660" t="str">
        <f>"20200111145941776"</f>
        <v>20200111145941776</v>
      </c>
      <c r="B1660" t="str">
        <f>"1578725981766920"</f>
        <v>1578725981766920</v>
      </c>
      <c r="C1660" t="s">
        <v>40</v>
      </c>
      <c r="D1660">
        <v>4.4478010000000001</v>
      </c>
      <c r="E1660">
        <v>0.50395080000000003</v>
      </c>
      <c r="F1660" t="s">
        <v>42</v>
      </c>
      <c r="G1660">
        <v>-246.61519999999999</v>
      </c>
      <c r="H1660" s="1">
        <v>-1.662387E-6</v>
      </c>
      <c r="I1660">
        <v>369.15469999999999</v>
      </c>
      <c r="J1660">
        <v>-274.04520000000002</v>
      </c>
      <c r="K1660">
        <v>1.102779</v>
      </c>
      <c r="L1660">
        <v>367.26190000000003</v>
      </c>
      <c r="M1660">
        <v>0.99992709999999996</v>
      </c>
      <c r="N1660">
        <v>0</v>
      </c>
      <c r="O1660">
        <v>2.5217389999999998E-3</v>
      </c>
      <c r="P1660">
        <v>0.9964016</v>
      </c>
      <c r="Q1660">
        <v>2.8881830000000001E-2</v>
      </c>
      <c r="R1660">
        <v>7.9686019999999996E-2</v>
      </c>
      <c r="S1660">
        <v>2.9978030000000002</v>
      </c>
      <c r="T1660">
        <v>-0.12000329999999999</v>
      </c>
      <c r="U1660">
        <v>0.20605470000000001</v>
      </c>
      <c r="V1660">
        <v>-7.7182429999999996E-2</v>
      </c>
      <c r="W1660">
        <v>4.0634709999999997E-2</v>
      </c>
      <c r="X1660">
        <v>0.99618859999999998</v>
      </c>
      <c r="Y1660">
        <v>-6.600665E-2</v>
      </c>
      <c r="Z1660">
        <v>1.2182619999999999E-3</v>
      </c>
      <c r="AA1660">
        <v>0.99781839999999999</v>
      </c>
      <c r="AB1660">
        <v>22</v>
      </c>
      <c r="AC1660">
        <v>27.43</v>
      </c>
      <c r="AD1660">
        <v>-1.102780662387</v>
      </c>
      <c r="AE1660">
        <v>1.8927999999999601</v>
      </c>
      <c r="AF1660">
        <v>-1.8206889918982501</v>
      </c>
      <c r="AG1660">
        <v>-1.102780662387</v>
      </c>
      <c r="AH1660">
        <v>27.390624116296198</v>
      </c>
      <c r="AI1660">
        <v>92.3004830983255</v>
      </c>
      <c r="AJ1660">
        <v>93.802927616484894</v>
      </c>
      <c r="AK1660">
        <v>27.4732110077213</v>
      </c>
      <c r="AL1660">
        <v>87.671161466225797</v>
      </c>
      <c r="AM1660">
        <v>94.430296276440899</v>
      </c>
      <c r="AN1660">
        <v>1.00000001696372</v>
      </c>
    </row>
    <row r="1661" spans="1:40" x14ac:dyDescent="0.3">
      <c r="A1661" t="str">
        <f>"20200111145941787"</f>
        <v>20200111145941787</v>
      </c>
      <c r="B1661" t="str">
        <f>"1578725981777657"</f>
        <v>1578725981777657</v>
      </c>
      <c r="C1661" t="s">
        <v>40</v>
      </c>
      <c r="D1661">
        <v>4.4243110000000003</v>
      </c>
      <c r="E1661">
        <v>0.50439999999999996</v>
      </c>
      <c r="F1661" t="s">
        <v>42</v>
      </c>
      <c r="G1661">
        <v>-246.16669999999999</v>
      </c>
      <c r="H1661" s="1">
        <v>-1.8667240000000001E-6</v>
      </c>
      <c r="I1661">
        <v>369.19779999999997</v>
      </c>
      <c r="J1661">
        <v>-273.94580000000002</v>
      </c>
      <c r="K1661">
        <v>1.102946</v>
      </c>
      <c r="L1661">
        <v>367.26220000000001</v>
      </c>
      <c r="M1661">
        <v>0.99992559999999997</v>
      </c>
      <c r="N1661">
        <v>0</v>
      </c>
      <c r="O1661">
        <v>2.609171E-3</v>
      </c>
      <c r="P1661">
        <v>0.99640569999999895</v>
      </c>
      <c r="Q1661">
        <v>2.8948890000000001E-2</v>
      </c>
      <c r="R1661">
        <v>7.9609470000000002E-2</v>
      </c>
      <c r="S1661">
        <v>2.9975890000000001</v>
      </c>
      <c r="T1661">
        <v>-0.1185749</v>
      </c>
      <c r="U1661">
        <v>0.2081604</v>
      </c>
      <c r="V1661">
        <v>-7.7018499999999906E-2</v>
      </c>
      <c r="W1661">
        <v>4.0803850000000003E-2</v>
      </c>
      <c r="X1661">
        <v>0.99619440000000004</v>
      </c>
      <c r="Y1661">
        <v>-6.6622630000000002E-2</v>
      </c>
      <c r="Z1661">
        <v>1.2125390000000001E-3</v>
      </c>
      <c r="AA1661">
        <v>0.99777749999999998</v>
      </c>
      <c r="AB1661">
        <v>22</v>
      </c>
      <c r="AC1661">
        <v>27.7791</v>
      </c>
      <c r="AD1661">
        <v>-1.102947866724</v>
      </c>
      <c r="AE1661">
        <v>1.93559999999996</v>
      </c>
      <c r="AF1661">
        <v>-1.86018955918943</v>
      </c>
      <c r="AG1661">
        <v>-1.102947866724</v>
      </c>
      <c r="AH1661">
        <v>27.740536483093699</v>
      </c>
      <c r="AI1661">
        <v>92.2717516846471</v>
      </c>
      <c r="AJ1661">
        <v>93.836324133020497</v>
      </c>
      <c r="AK1661">
        <v>27.824704195420999</v>
      </c>
      <c r="AL1661">
        <v>87.661462475139601</v>
      </c>
      <c r="AM1661">
        <v>94.420898347075493</v>
      </c>
      <c r="AN1661">
        <v>1.00000004305421</v>
      </c>
    </row>
    <row r="1662" spans="1:40" x14ac:dyDescent="0.3">
      <c r="A1662" t="str">
        <f>"20200111145941799"</f>
        <v>20200111145941799</v>
      </c>
      <c r="B1662" t="str">
        <f>"1578725981787416"</f>
        <v>1578725981787416</v>
      </c>
      <c r="C1662" t="s">
        <v>40</v>
      </c>
      <c r="D1662">
        <v>4.4267899999999996</v>
      </c>
      <c r="E1662">
        <v>0.50490360000000001</v>
      </c>
      <c r="F1662" t="s">
        <v>42</v>
      </c>
      <c r="G1662">
        <v>-246.25020000000001</v>
      </c>
      <c r="H1662" s="1">
        <v>-1.83595E-6</v>
      </c>
      <c r="I1662">
        <v>369.14890000000003</v>
      </c>
      <c r="J1662">
        <v>-273.82850000000002</v>
      </c>
      <c r="K1662">
        <v>1.1031299999999999</v>
      </c>
      <c r="L1662">
        <v>367.26260000000002</v>
      </c>
      <c r="M1662">
        <v>0.99992409999999998</v>
      </c>
      <c r="N1662">
        <v>0</v>
      </c>
      <c r="O1662">
        <v>2.7119000000000002E-3</v>
      </c>
      <c r="P1662">
        <v>0.99638099999999996</v>
      </c>
      <c r="Q1662">
        <v>2.8992690000000002E-2</v>
      </c>
      <c r="R1662">
        <v>7.9902730000000005E-2</v>
      </c>
      <c r="S1662">
        <v>2.9979550000000001</v>
      </c>
      <c r="T1662">
        <v>-0.1193906</v>
      </c>
      <c r="U1662">
        <v>0.20422360000000001</v>
      </c>
      <c r="V1662">
        <v>-7.7209429999999996E-2</v>
      </c>
      <c r="W1662">
        <v>4.0962989999999998E-2</v>
      </c>
      <c r="X1662">
        <v>0.99617299999999998</v>
      </c>
      <c r="Y1662">
        <v>-6.5208080000000002E-2</v>
      </c>
      <c r="Z1662">
        <v>1.1885719999999999E-3</v>
      </c>
      <c r="AA1662">
        <v>0.99787099999999995</v>
      </c>
      <c r="AB1662">
        <v>22</v>
      </c>
      <c r="AC1662">
        <v>27.578299999999999</v>
      </c>
      <c r="AD1662">
        <v>-1.10313183595</v>
      </c>
      <c r="AE1662">
        <v>1.8863000000000001</v>
      </c>
      <c r="AF1662">
        <v>-1.8086177563977199</v>
      </c>
      <c r="AG1662">
        <v>-1.10313183595</v>
      </c>
      <c r="AH1662">
        <v>27.539456463298301</v>
      </c>
      <c r="AI1662">
        <v>92.288911582412396</v>
      </c>
      <c r="AJ1662">
        <v>93.757429549786707</v>
      </c>
      <c r="AK1662">
        <v>27.620819327640199</v>
      </c>
      <c r="AL1662">
        <v>87.652336586875805</v>
      </c>
      <c r="AM1662">
        <v>94.431909037659693</v>
      </c>
      <c r="AN1662">
        <v>0.99999995427983102</v>
      </c>
    </row>
    <row r="1663" spans="1:40" x14ac:dyDescent="0.3">
      <c r="A1663" t="str">
        <f>"20200111145941810"</f>
        <v>20200111145941810</v>
      </c>
      <c r="B1663" t="str">
        <f>"1578725981806936"</f>
        <v>1578725981806936</v>
      </c>
      <c r="C1663" t="s">
        <v>40</v>
      </c>
      <c r="D1663">
        <v>4.4439739999999999</v>
      </c>
      <c r="E1663">
        <v>0.50549709999999903</v>
      </c>
      <c r="F1663" t="s">
        <v>42</v>
      </c>
      <c r="G1663">
        <v>-246.98230000000001</v>
      </c>
      <c r="H1663" s="1">
        <v>-1.5048289999999999E-6</v>
      </c>
      <c r="I1663">
        <v>369.06470000000002</v>
      </c>
      <c r="J1663">
        <v>-273.71370000000002</v>
      </c>
      <c r="K1663">
        <v>1.103286</v>
      </c>
      <c r="L1663">
        <v>367.26310000000001</v>
      </c>
      <c r="M1663">
        <v>0.99992250000000005</v>
      </c>
      <c r="N1663">
        <v>0</v>
      </c>
      <c r="O1663">
        <v>2.8122569999999999E-3</v>
      </c>
      <c r="P1663">
        <v>0.99635960000000001</v>
      </c>
      <c r="Q1663">
        <v>2.9192760000000002E-2</v>
      </c>
      <c r="R1663">
        <v>8.0096070000000005E-2</v>
      </c>
      <c r="S1663">
        <v>2.9983520000000001</v>
      </c>
      <c r="T1663">
        <v>-0.1232046</v>
      </c>
      <c r="U1663">
        <v>0.20126340000000001</v>
      </c>
      <c r="V1663">
        <v>-7.7302990000000002E-2</v>
      </c>
      <c r="W1663">
        <v>4.1265040000000003E-2</v>
      </c>
      <c r="X1663">
        <v>0.99615330000000002</v>
      </c>
      <c r="Y1663">
        <v>-6.4116049999999994E-2</v>
      </c>
      <c r="Z1663">
        <v>1.1998709999999999E-3</v>
      </c>
      <c r="AA1663">
        <v>0.99794170000000004</v>
      </c>
      <c r="AB1663">
        <v>22</v>
      </c>
      <c r="AC1663">
        <v>26.731400000000001</v>
      </c>
      <c r="AD1663">
        <v>-1.1032875048289901</v>
      </c>
      <c r="AE1663">
        <v>1.8016000000000001</v>
      </c>
      <c r="AF1663">
        <v>-1.72348914543711</v>
      </c>
      <c r="AG1663">
        <v>-1.1032875048289901</v>
      </c>
      <c r="AH1663">
        <v>26.691099369538499</v>
      </c>
      <c r="AI1663">
        <v>92.362083344440705</v>
      </c>
      <c r="AJ1663">
        <v>93.694555656722798</v>
      </c>
      <c r="AK1663">
        <v>26.769431142766699</v>
      </c>
      <c r="AL1663">
        <v>87.635015802829599</v>
      </c>
      <c r="AM1663">
        <v>94.437345454180601</v>
      </c>
      <c r="AN1663">
        <v>0.99999997644501504</v>
      </c>
    </row>
    <row r="1664" spans="1:40" x14ac:dyDescent="0.3">
      <c r="A1664" t="str">
        <f>"20200111145941823"</f>
        <v>20200111145941823</v>
      </c>
      <c r="B1664" t="str">
        <f>"1578725981817672"</f>
        <v>1578725981817672</v>
      </c>
      <c r="C1664" t="s">
        <v>40</v>
      </c>
      <c r="D1664">
        <v>4.4714349999999996</v>
      </c>
      <c r="E1664">
        <v>0.50549709999999903</v>
      </c>
      <c r="F1664" t="s">
        <v>42</v>
      </c>
      <c r="G1664">
        <v>-247.2236</v>
      </c>
      <c r="H1664" s="1">
        <v>-1.401282E-6</v>
      </c>
      <c r="I1664">
        <v>369.00540000000001</v>
      </c>
      <c r="J1664">
        <v>-273.59410000000003</v>
      </c>
      <c r="K1664">
        <v>1.103443</v>
      </c>
      <c r="L1664">
        <v>367.26350000000002</v>
      </c>
      <c r="M1664">
        <v>0.9999209</v>
      </c>
      <c r="N1664">
        <v>0</v>
      </c>
      <c r="O1664">
        <v>2.9167220000000001E-3</v>
      </c>
      <c r="P1664">
        <v>0.99636860000000005</v>
      </c>
      <c r="Q1664">
        <v>2.9119579999999999E-2</v>
      </c>
      <c r="R1664">
        <v>8.0011310000000002E-2</v>
      </c>
      <c r="S1664">
        <v>2.9987789999999999</v>
      </c>
      <c r="T1664">
        <v>-0.12489649999999999</v>
      </c>
      <c r="U1664">
        <v>0.1972351</v>
      </c>
      <c r="V1664">
        <v>-7.7114310000000005E-2</v>
      </c>
      <c r="W1664">
        <v>4.1294570000000003E-2</v>
      </c>
      <c r="X1664">
        <v>0.99616669999999996</v>
      </c>
      <c r="Y1664">
        <v>-6.2667500000000001E-2</v>
      </c>
      <c r="Z1664">
        <v>1.1817500000000001E-3</v>
      </c>
      <c r="AA1664">
        <v>0.99803379999999997</v>
      </c>
      <c r="AB1664">
        <v>22</v>
      </c>
      <c r="AC1664">
        <v>26.3705</v>
      </c>
      <c r="AD1664">
        <v>-1.1034444012819999</v>
      </c>
      <c r="AE1664">
        <v>1.74189999999998</v>
      </c>
      <c r="AF1664">
        <v>-1.6620739129961</v>
      </c>
      <c r="AG1664">
        <v>-1.1034444012819999</v>
      </c>
      <c r="AH1664">
        <v>26.329568363242799</v>
      </c>
      <c r="AI1664">
        <v>92.395039652937797</v>
      </c>
      <c r="AJ1664">
        <v>93.612046661033602</v>
      </c>
      <c r="AK1664">
        <v>26.405042121414201</v>
      </c>
      <c r="AL1664">
        <v>87.633322414566805</v>
      </c>
      <c r="AM1664">
        <v>94.426498637304803</v>
      </c>
      <c r="AN1664">
        <v>0.99999997625357495</v>
      </c>
    </row>
    <row r="1665" spans="1:40" x14ac:dyDescent="0.3">
      <c r="A1665" t="str">
        <f>"20200111145941835"</f>
        <v>20200111145941835</v>
      </c>
      <c r="B1665" t="str">
        <f>"1578725981827433"</f>
        <v>1578725981827433</v>
      </c>
      <c r="C1665" t="s">
        <v>40</v>
      </c>
      <c r="D1665">
        <v>4.3537569999999999</v>
      </c>
      <c r="E1665">
        <v>0.52893059999999903</v>
      </c>
      <c r="F1665" t="s">
        <v>42</v>
      </c>
      <c r="G1665">
        <v>-247.15010000000001</v>
      </c>
      <c r="H1665" s="1">
        <v>-1.4369069999999999E-6</v>
      </c>
      <c r="I1665">
        <v>369.00040000000001</v>
      </c>
      <c r="J1665">
        <v>-273.47989999999999</v>
      </c>
      <c r="K1665">
        <v>1.1035729999999999</v>
      </c>
      <c r="L1665">
        <v>367.26389999999998</v>
      </c>
      <c r="M1665">
        <v>0.99991949999999996</v>
      </c>
      <c r="N1665">
        <v>0</v>
      </c>
      <c r="O1665">
        <v>3.016669E-3</v>
      </c>
      <c r="P1665">
        <v>0.9963668</v>
      </c>
      <c r="Q1665">
        <v>2.9247840000000001E-2</v>
      </c>
      <c r="R1665">
        <v>7.9987150000000007E-2</v>
      </c>
      <c r="S1665">
        <v>2.9987490000000001</v>
      </c>
      <c r="T1665">
        <v>-0.12513050000000001</v>
      </c>
      <c r="U1665">
        <v>0.19696040000000001</v>
      </c>
      <c r="V1665">
        <v>-7.6990119999999995E-2</v>
      </c>
      <c r="W1665">
        <v>4.1512300000000002E-2</v>
      </c>
      <c r="X1665">
        <v>0.99616729999999998</v>
      </c>
      <c r="Y1665">
        <v>-6.2477440000000002E-2</v>
      </c>
      <c r="Z1665">
        <v>1.175854E-3</v>
      </c>
      <c r="AA1665">
        <v>0.99804570000000004</v>
      </c>
      <c r="AB1665">
        <v>22</v>
      </c>
      <c r="AC1665">
        <v>26.329799999999899</v>
      </c>
      <c r="AD1665">
        <v>-1.103574436907</v>
      </c>
      <c r="AE1665">
        <v>1.7365000000000299</v>
      </c>
      <c r="AF1665">
        <v>-1.65416441694056</v>
      </c>
      <c r="AG1665">
        <v>-1.103574436907</v>
      </c>
      <c r="AH1665">
        <v>26.288936135075701</v>
      </c>
      <c r="AI1665">
        <v>92.399050040416498</v>
      </c>
      <c r="AJ1665">
        <v>93.600444480248797</v>
      </c>
      <c r="AK1665">
        <v>26.364034205146901</v>
      </c>
      <c r="AL1665">
        <v>87.620836801005495</v>
      </c>
      <c r="AM1665">
        <v>94.4193955229332</v>
      </c>
      <c r="AN1665">
        <v>1.0000000196090899</v>
      </c>
    </row>
    <row r="1666" spans="1:40" x14ac:dyDescent="0.3">
      <c r="A1666" t="str">
        <f>"20200111145941845"</f>
        <v>20200111145941845</v>
      </c>
      <c r="B1666" t="str">
        <f>"1578725981837193"</f>
        <v>1578725981837193</v>
      </c>
      <c r="C1666" t="s">
        <v>40</v>
      </c>
      <c r="D1666">
        <v>4.4849439999999996</v>
      </c>
      <c r="E1666">
        <v>0.52893059999999903</v>
      </c>
      <c r="F1666" t="s">
        <v>41</v>
      </c>
      <c r="G1666">
        <v>-272.7201</v>
      </c>
      <c r="H1666">
        <v>1.008758</v>
      </c>
      <c r="I1666">
        <v>367.26650000000001</v>
      </c>
      <c r="J1666">
        <v>-273.38229999999999</v>
      </c>
      <c r="K1666">
        <v>1.1036779999999999</v>
      </c>
      <c r="L1666">
        <v>367.26429999999999</v>
      </c>
      <c r="M1666">
        <v>0.99991839999999999</v>
      </c>
      <c r="N1666">
        <v>0</v>
      </c>
      <c r="O1666">
        <v>3.1020549999999998E-3</v>
      </c>
      <c r="P1666">
        <v>0.99637109999999995</v>
      </c>
      <c r="Q1666">
        <v>2.9463260000000002E-2</v>
      </c>
      <c r="R1666">
        <v>7.9855819999999994E-2</v>
      </c>
      <c r="S1666">
        <v>3.0210880000000002</v>
      </c>
      <c r="T1666">
        <v>-0.37732670000000001</v>
      </c>
      <c r="U1666">
        <v>1.138306E-2</v>
      </c>
      <c r="V1666">
        <v>-7.6774510000000004E-2</v>
      </c>
      <c r="W1666">
        <v>4.180006E-2</v>
      </c>
      <c r="X1666">
        <v>0.9961719</v>
      </c>
      <c r="Y1666">
        <v>-6.8433699999999895E-4</v>
      </c>
      <c r="Z1666">
        <v>-3.4339690000000003E-4</v>
      </c>
      <c r="AA1666">
        <v>0.99999970000000005</v>
      </c>
      <c r="AB1666">
        <v>22</v>
      </c>
      <c r="AC1666">
        <v>0.66219999999998402</v>
      </c>
      <c r="AD1666">
        <v>-9.4920000000000102E-2</v>
      </c>
      <c r="AE1666">
        <v>2.2000000000161799E-3</v>
      </c>
      <c r="AF1666">
        <v>-1.4271851472998499E-4</v>
      </c>
      <c r="AG1666">
        <v>-9.4920000000000102E-2</v>
      </c>
      <c r="AH1666">
        <v>0.64887176479864095</v>
      </c>
      <c r="AI1666">
        <v>98.322465002336699</v>
      </c>
      <c r="AJ1666">
        <v>90.012602133216603</v>
      </c>
      <c r="AK1666">
        <v>0.65577770160434501</v>
      </c>
      <c r="AL1666">
        <v>87.604335026971995</v>
      </c>
      <c r="AM1666">
        <v>94.407047609257802</v>
      </c>
      <c r="AN1666">
        <v>1.00000001237567</v>
      </c>
    </row>
    <row r="1667" spans="1:40" x14ac:dyDescent="0.3">
      <c r="A1667" t="str">
        <f>"20200111145941858"</f>
        <v>20200111145941858</v>
      </c>
      <c r="B1667" t="str">
        <f>"1578725981846952"</f>
        <v>1578725981846952</v>
      </c>
      <c r="C1667" t="s">
        <v>40</v>
      </c>
      <c r="D1667">
        <v>4.4504089999999996</v>
      </c>
      <c r="E1667">
        <v>0.5477495</v>
      </c>
      <c r="F1667" t="s">
        <v>41</v>
      </c>
      <c r="G1667">
        <v>-272.53359999999998</v>
      </c>
      <c r="H1667">
        <v>0.99790000000000001</v>
      </c>
      <c r="I1667">
        <v>367.26740000000001</v>
      </c>
      <c r="J1667">
        <v>-273.25970000000001</v>
      </c>
      <c r="K1667">
        <v>1.1037980000000001</v>
      </c>
      <c r="L1667">
        <v>367.26479999999998</v>
      </c>
      <c r="M1667">
        <v>0.99991699999999994</v>
      </c>
      <c r="N1667">
        <v>0</v>
      </c>
      <c r="O1667">
        <v>3.2090539999999998E-3</v>
      </c>
      <c r="P1667">
        <v>0.99638579999999999</v>
      </c>
      <c r="Q1667">
        <v>2.9469450000000001E-2</v>
      </c>
      <c r="R1667">
        <v>7.9669619999999997E-2</v>
      </c>
      <c r="S1667">
        <v>3.0211489999999999</v>
      </c>
      <c r="T1667">
        <v>-0.37666929999999998</v>
      </c>
      <c r="U1667">
        <v>1.1230469999999999E-2</v>
      </c>
      <c r="V1667">
        <v>-7.648112E-2</v>
      </c>
      <c r="W1667">
        <v>4.1891539999999998E-2</v>
      </c>
      <c r="X1667">
        <v>0.99619060000000004</v>
      </c>
      <c r="Y1667">
        <v>-5.287108E-4</v>
      </c>
      <c r="Z1667">
        <v>-3.6575069999999999E-4</v>
      </c>
      <c r="AA1667">
        <v>0.99999979999999999</v>
      </c>
      <c r="AB1667">
        <v>21</v>
      </c>
      <c r="AC1667">
        <v>0.72610000000003005</v>
      </c>
      <c r="AD1667">
        <v>-0.10589800000000001</v>
      </c>
      <c r="AE1667">
        <v>2.6000000000294598E-3</v>
      </c>
      <c r="AF1667">
        <v>-2.6409369101767398E-4</v>
      </c>
      <c r="AG1667">
        <v>-0.10589800000000001</v>
      </c>
      <c r="AH1667">
        <v>0.71098169060361904</v>
      </c>
      <c r="AI1667">
        <v>98.471704587841799</v>
      </c>
      <c r="AJ1667">
        <v>90.021282479416001</v>
      </c>
      <c r="AK1667">
        <v>0.71882502775227497</v>
      </c>
      <c r="AL1667">
        <v>87.599088953524401</v>
      </c>
      <c r="AM1667">
        <v>94.390190173452893</v>
      </c>
      <c r="AN1667">
        <v>0.99999998718419203</v>
      </c>
    </row>
    <row r="1668" spans="1:40" x14ac:dyDescent="0.3">
      <c r="A1668" t="str">
        <f>"20200111145941872"</f>
        <v>20200111145941872</v>
      </c>
      <c r="B1668" t="str">
        <f>"1578725981867448"</f>
        <v>1578725981867448</v>
      </c>
      <c r="C1668" t="s">
        <v>40</v>
      </c>
      <c r="D1668">
        <v>4.3832649999999997</v>
      </c>
      <c r="E1668">
        <v>0.5444812</v>
      </c>
      <c r="F1668" t="s">
        <v>41</v>
      </c>
      <c r="G1668">
        <v>-272.56110000000001</v>
      </c>
      <c r="H1668">
        <v>0.94264959999999998</v>
      </c>
      <c r="I1668">
        <v>367.23309999999998</v>
      </c>
      <c r="J1668">
        <v>-273.12700000000001</v>
      </c>
      <c r="K1668">
        <v>1.1039129999999999</v>
      </c>
      <c r="L1668">
        <v>367.2654</v>
      </c>
      <c r="M1668">
        <v>0.99991560000000002</v>
      </c>
      <c r="N1668">
        <v>0</v>
      </c>
      <c r="O1668">
        <v>3.3251779999999998E-3</v>
      </c>
      <c r="P1668">
        <v>0.99638099999999996</v>
      </c>
      <c r="Q1668">
        <v>2.9641959999999998E-2</v>
      </c>
      <c r="R1668">
        <v>7.9665340000000001E-2</v>
      </c>
      <c r="S1668">
        <v>3.0426329999999999</v>
      </c>
      <c r="T1668">
        <v>-0.70197759999999998</v>
      </c>
      <c r="U1668">
        <v>-0.1378479</v>
      </c>
      <c r="V1668">
        <v>-7.6361070000000003E-2</v>
      </c>
      <c r="W1668">
        <v>4.2147850000000001E-2</v>
      </c>
      <c r="X1668">
        <v>0.99618899999999999</v>
      </c>
      <c r="Y1668">
        <v>4.7254749999999998E-2</v>
      </c>
      <c r="Z1668">
        <v>-6.1347569999999898E-3</v>
      </c>
      <c r="AA1668">
        <v>0.99886410000000003</v>
      </c>
      <c r="AB1668">
        <v>21</v>
      </c>
      <c r="AC1668">
        <v>0.56589999999999896</v>
      </c>
      <c r="AD1668">
        <v>-0.1612634</v>
      </c>
      <c r="AE1668">
        <v>-3.2300000000020597E-2</v>
      </c>
      <c r="AF1668">
        <v>3.1622098257924502E-2</v>
      </c>
      <c r="AG1668">
        <v>-0.1612634</v>
      </c>
      <c r="AH1668">
        <v>0.52342206864876695</v>
      </c>
      <c r="AI1668">
        <v>107.09442525441099</v>
      </c>
      <c r="AJ1668">
        <v>86.542726416499093</v>
      </c>
      <c r="AK1668">
        <v>0.54861325469436895</v>
      </c>
      <c r="AL1668">
        <v>87.584390494488801</v>
      </c>
      <c r="AM1668">
        <v>94.383332920979996</v>
      </c>
      <c r="AN1668">
        <v>0.999999988996083</v>
      </c>
    </row>
    <row r="1669" spans="1:40" x14ac:dyDescent="0.3">
      <c r="A1669" t="str">
        <f>"20200111145941886"</f>
        <v>20200111145941886</v>
      </c>
      <c r="B1669" t="str">
        <f>"1578725981877208"</f>
        <v>1578725981877208</v>
      </c>
      <c r="C1669" t="s">
        <v>40</v>
      </c>
      <c r="D1669">
        <v>4.3908829999999996</v>
      </c>
      <c r="E1669">
        <v>0.54403500000000005</v>
      </c>
      <c r="F1669" t="s">
        <v>41</v>
      </c>
      <c r="G1669">
        <v>-272.36880000000002</v>
      </c>
      <c r="H1669">
        <v>0.94408230000000004</v>
      </c>
      <c r="I1669">
        <v>367.23719999999997</v>
      </c>
      <c r="J1669">
        <v>-272.99160000000001</v>
      </c>
      <c r="K1669">
        <v>1.1040219999999901</v>
      </c>
      <c r="L1669">
        <v>367.26589999999999</v>
      </c>
      <c r="M1669">
        <v>0.99991419999999998</v>
      </c>
      <c r="N1669">
        <v>0</v>
      </c>
      <c r="O1669">
        <v>3.443705E-3</v>
      </c>
      <c r="P1669">
        <v>0.996394</v>
      </c>
      <c r="Q1669">
        <v>2.9529420000000001E-2</v>
      </c>
      <c r="R1669">
        <v>7.9543569999999994E-2</v>
      </c>
      <c r="S1669">
        <v>3.0389400000000002</v>
      </c>
      <c r="T1669">
        <v>-0.64074010000000003</v>
      </c>
      <c r="U1669">
        <v>-0.11218259999999999</v>
      </c>
      <c r="V1669">
        <v>-7.6121279999999999E-2</v>
      </c>
      <c r="W1669">
        <v>4.2115930000000003E-2</v>
      </c>
      <c r="X1669">
        <v>0.99620869999999995</v>
      </c>
      <c r="Y1669">
        <v>3.939082E-2</v>
      </c>
      <c r="Z1669">
        <v>-4.8241559999999996E-3</v>
      </c>
      <c r="AA1669">
        <v>0.99921219999999999</v>
      </c>
      <c r="AB1669">
        <v>21</v>
      </c>
      <c r="AC1669">
        <v>0.62279999999998303</v>
      </c>
      <c r="AD1669">
        <v>-0.15993969999999899</v>
      </c>
      <c r="AE1669">
        <v>-2.87000000000148E-2</v>
      </c>
      <c r="AF1669">
        <v>2.8940177918938902E-2</v>
      </c>
      <c r="AG1669">
        <v>-0.15993969999999899</v>
      </c>
      <c r="AH1669">
        <v>0.58424791600949899</v>
      </c>
      <c r="AI1669">
        <v>105.29194336405099</v>
      </c>
      <c r="AJ1669">
        <v>87.164224566863496</v>
      </c>
      <c r="AK1669">
        <v>0.60643537899393096</v>
      </c>
      <c r="AL1669">
        <v>87.586220997301595</v>
      </c>
      <c r="AM1669">
        <v>94.369535642418896</v>
      </c>
      <c r="AN1669">
        <v>0.99999998739214602</v>
      </c>
    </row>
    <row r="1670" spans="1:40" x14ac:dyDescent="0.3">
      <c r="A1670" t="str">
        <f>"20200111145941899"</f>
        <v>20200111145941899</v>
      </c>
      <c r="B1670" t="str">
        <f>"1578725981887479"</f>
        <v>1578725981887479</v>
      </c>
      <c r="C1670" t="s">
        <v>40</v>
      </c>
      <c r="D1670">
        <v>4.5115970000000001</v>
      </c>
      <c r="E1670">
        <v>0.54629119999999998</v>
      </c>
      <c r="F1670" t="s">
        <v>41</v>
      </c>
      <c r="G1670">
        <v>-272.18209999999999</v>
      </c>
      <c r="H1670">
        <v>0.93446430000000003</v>
      </c>
      <c r="I1670">
        <v>367.23660000000001</v>
      </c>
      <c r="J1670">
        <v>-272.86849999999998</v>
      </c>
      <c r="K1670">
        <v>1.104109</v>
      </c>
      <c r="L1670">
        <v>367.26650000000001</v>
      </c>
      <c r="M1670">
        <v>0.99991289999999999</v>
      </c>
      <c r="N1670">
        <v>0</v>
      </c>
      <c r="O1670">
        <v>3.5512790000000001E-3</v>
      </c>
      <c r="P1670">
        <v>0.99641429999999998</v>
      </c>
      <c r="Q1670">
        <v>2.9488239999999999E-2</v>
      </c>
      <c r="R1670">
        <v>7.9304620000000006E-2</v>
      </c>
      <c r="S1670">
        <v>3.0384829999999998</v>
      </c>
      <c r="T1670">
        <v>-0.6365556</v>
      </c>
      <c r="U1670">
        <v>-0.1092834</v>
      </c>
      <c r="V1670">
        <v>-7.577536E-2</v>
      </c>
      <c r="W1670">
        <v>4.2142600000000002E-2</v>
      </c>
      <c r="X1670">
        <v>0.99623390000000001</v>
      </c>
      <c r="Y1670">
        <v>3.8578800000000003E-2</v>
      </c>
      <c r="Z1670">
        <v>-4.7322789999999998E-3</v>
      </c>
      <c r="AA1670">
        <v>0.99924429999999997</v>
      </c>
      <c r="AB1670">
        <v>21</v>
      </c>
      <c r="AC1670">
        <v>0.68639999999999102</v>
      </c>
      <c r="AD1670">
        <v>-0.16964469999999901</v>
      </c>
      <c r="AE1670">
        <v>-2.98999999999978E-2</v>
      </c>
      <c r="AF1670">
        <v>3.0479338596288399E-2</v>
      </c>
      <c r="AG1670">
        <v>-0.16964469999999901</v>
      </c>
      <c r="AH1670">
        <v>0.64685212700164496</v>
      </c>
      <c r="AI1670">
        <v>104.67996020996399</v>
      </c>
      <c r="AJ1670">
        <v>87.302247797825601</v>
      </c>
      <c r="AK1670">
        <v>0.66942213029291897</v>
      </c>
      <c r="AL1670">
        <v>87.5846914554009</v>
      </c>
      <c r="AM1670">
        <v>94.349645817297997</v>
      </c>
      <c r="AN1670">
        <v>0.99999994371354795</v>
      </c>
    </row>
    <row r="1671" spans="1:40" x14ac:dyDescent="0.3">
      <c r="A1671" t="str">
        <f>"20200111145941914"</f>
        <v>20200111145941914</v>
      </c>
      <c r="B1671" t="str">
        <f>"1578725981906999"</f>
        <v>1578725981906999</v>
      </c>
      <c r="C1671" t="s">
        <v>40</v>
      </c>
      <c r="D1671">
        <v>4.4681319999999998</v>
      </c>
      <c r="E1671">
        <v>0.54703749999999995</v>
      </c>
      <c r="F1671" t="s">
        <v>41</v>
      </c>
      <c r="G1671">
        <v>-272.17320000000001</v>
      </c>
      <c r="H1671">
        <v>0.95315550000000004</v>
      </c>
      <c r="I1671">
        <v>367.23700000000002</v>
      </c>
      <c r="J1671">
        <v>-272.72699999999998</v>
      </c>
      <c r="K1671">
        <v>1.10419</v>
      </c>
      <c r="L1671">
        <v>367.26710000000003</v>
      </c>
      <c r="M1671">
        <v>0.99991140000000001</v>
      </c>
      <c r="N1671">
        <v>0</v>
      </c>
      <c r="O1671">
        <v>3.6755189999999999E-3</v>
      </c>
      <c r="P1671">
        <v>0.99644149999999998</v>
      </c>
      <c r="Q1671">
        <v>2.923893E-2</v>
      </c>
      <c r="R1671">
        <v>7.9052570000000003E-2</v>
      </c>
      <c r="S1671">
        <v>3.040527</v>
      </c>
      <c r="T1671">
        <v>-0.66021219999999903</v>
      </c>
      <c r="U1671">
        <v>-0.12799070000000001</v>
      </c>
      <c r="V1671">
        <v>-7.5399229999999998E-2</v>
      </c>
      <c r="W1671">
        <v>4.1964429999999997E-2</v>
      </c>
      <c r="X1671">
        <v>0.99626999999999999</v>
      </c>
      <c r="Y1671">
        <v>4.4606750000000001E-2</v>
      </c>
      <c r="Z1671">
        <v>-5.5737159999999899E-3</v>
      </c>
      <c r="AA1671">
        <v>0.99898900000000002</v>
      </c>
      <c r="AB1671">
        <v>21</v>
      </c>
      <c r="AC1671">
        <v>0.55380000000002305</v>
      </c>
      <c r="AD1671">
        <v>-0.15103449999999899</v>
      </c>
      <c r="AE1671">
        <v>-3.01000000000613E-2</v>
      </c>
      <c r="AF1671">
        <v>2.99168540719199E-2</v>
      </c>
      <c r="AG1671">
        <v>-0.15103449999999899</v>
      </c>
      <c r="AH1671">
        <v>0.51545952230913294</v>
      </c>
      <c r="AI1671">
        <v>106.305103896034</v>
      </c>
      <c r="AJ1671">
        <v>86.678325659584999</v>
      </c>
      <c r="AK1671">
        <v>0.53796371391290898</v>
      </c>
      <c r="AL1671">
        <v>87.594908983335799</v>
      </c>
      <c r="AM1671">
        <v>94.327981269693595</v>
      </c>
      <c r="AN1671">
        <v>0.99999998508490795</v>
      </c>
    </row>
    <row r="1672" spans="1:40" x14ac:dyDescent="0.3">
      <c r="A1672" t="str">
        <f>"20200111145941926"</f>
        <v>20200111145941926</v>
      </c>
      <c r="B1672" t="str">
        <f>"1578725981916760"</f>
        <v>1578725981916760</v>
      </c>
      <c r="C1672" t="s">
        <v>40</v>
      </c>
      <c r="D1672">
        <v>4.4343870000000001</v>
      </c>
      <c r="E1672">
        <v>0.54707119999999998</v>
      </c>
      <c r="F1672" t="s">
        <v>41</v>
      </c>
      <c r="G1672">
        <v>-271.98809999999997</v>
      </c>
      <c r="H1672">
        <v>0.94090099999999999</v>
      </c>
      <c r="I1672">
        <v>367.23419999999999</v>
      </c>
      <c r="J1672">
        <v>-272.60599999999999</v>
      </c>
      <c r="K1672">
        <v>1.104257</v>
      </c>
      <c r="L1672">
        <v>367.26769999999999</v>
      </c>
      <c r="M1672">
        <v>0.99991039999999998</v>
      </c>
      <c r="N1672">
        <v>0</v>
      </c>
      <c r="O1672">
        <v>3.7814900000000002E-3</v>
      </c>
      <c r="P1672">
        <v>0.99646060000000003</v>
      </c>
      <c r="Q1672">
        <v>2.8895730000000001E-2</v>
      </c>
      <c r="R1672">
        <v>7.89377E-2</v>
      </c>
      <c r="S1672">
        <v>3.0411069999999998</v>
      </c>
      <c r="T1672">
        <v>-0.67235849999999997</v>
      </c>
      <c r="U1672">
        <v>-0.13446040000000001</v>
      </c>
      <c r="V1672">
        <v>-7.5178270000000005E-2</v>
      </c>
      <c r="W1672">
        <v>4.1678100000000003E-2</v>
      </c>
      <c r="X1672">
        <v>0.99629869999999998</v>
      </c>
      <c r="Y1672">
        <v>4.6731410000000001E-2</v>
      </c>
      <c r="Z1672">
        <v>-5.9276590000000001E-3</v>
      </c>
      <c r="AA1672">
        <v>0.9988899</v>
      </c>
      <c r="AB1672">
        <v>21</v>
      </c>
      <c r="AC1672">
        <v>0.61790000000001999</v>
      </c>
      <c r="AD1672">
        <v>-0.163356</v>
      </c>
      <c r="AE1672">
        <v>-3.3500000000003603E-2</v>
      </c>
      <c r="AF1672">
        <v>3.3501852682729698E-2</v>
      </c>
      <c r="AG1672">
        <v>-0.163356</v>
      </c>
      <c r="AH1672">
        <v>0.57752240638721797</v>
      </c>
      <c r="AI1672">
        <v>105.76871569514699</v>
      </c>
      <c r="AJ1672">
        <v>86.680014574908498</v>
      </c>
      <c r="AK1672">
        <v>0.60111536891719797</v>
      </c>
      <c r="AL1672">
        <v>87.611328808864499</v>
      </c>
      <c r="AM1672">
        <v>94.315222113716104</v>
      </c>
      <c r="AN1672">
        <v>0.99999996796074597</v>
      </c>
    </row>
    <row r="1673" spans="1:40" x14ac:dyDescent="0.3">
      <c r="A1673" t="str">
        <f>"20200111145941939"</f>
        <v>20200111145941939</v>
      </c>
      <c r="B1673" t="str">
        <f>"1578725981927495"</f>
        <v>1578725981927495</v>
      </c>
      <c r="C1673" t="s">
        <v>40</v>
      </c>
      <c r="D1673">
        <v>4.4315759999999997</v>
      </c>
      <c r="E1673">
        <v>0.54694679999999996</v>
      </c>
      <c r="F1673" t="s">
        <v>41</v>
      </c>
      <c r="G1673">
        <v>-271.80419999999998</v>
      </c>
      <c r="H1673">
        <v>0.92668530000000005</v>
      </c>
      <c r="I1673">
        <v>367.23180000000002</v>
      </c>
      <c r="J1673">
        <v>-272.48579999999998</v>
      </c>
      <c r="K1673">
        <v>1.1043179999999999</v>
      </c>
      <c r="L1673">
        <v>367.26819999999998</v>
      </c>
      <c r="M1673">
        <v>0.99990939999999995</v>
      </c>
      <c r="N1673">
        <v>0</v>
      </c>
      <c r="O1673">
        <v>3.886652E-3</v>
      </c>
      <c r="P1673">
        <v>0.99648419999999904</v>
      </c>
      <c r="Q1673">
        <v>2.8751519999999999E-2</v>
      </c>
      <c r="R1673">
        <v>7.8695100000000004E-2</v>
      </c>
      <c r="S1673">
        <v>3.0408940000000002</v>
      </c>
      <c r="T1673">
        <v>-0.6736413</v>
      </c>
      <c r="U1673">
        <v>-0.13497919999999999</v>
      </c>
      <c r="V1673">
        <v>-7.4830789999999994E-2</v>
      </c>
      <c r="W1673">
        <v>4.1587100000000002E-2</v>
      </c>
      <c r="X1673">
        <v>0.99632869999999996</v>
      </c>
      <c r="Y1673">
        <v>4.6995950000000002E-2</v>
      </c>
      <c r="Z1673">
        <v>-5.9910329999999998E-3</v>
      </c>
      <c r="AA1673">
        <v>0.99887709999999996</v>
      </c>
      <c r="AB1673">
        <v>21</v>
      </c>
      <c r="AC1673">
        <v>0.68160000000000298</v>
      </c>
      <c r="AD1673">
        <v>-0.1776327</v>
      </c>
      <c r="AE1673">
        <v>-3.6399999999957799E-2</v>
      </c>
      <c r="AF1673">
        <v>3.6572228166365302E-2</v>
      </c>
      <c r="AG1673">
        <v>-0.1776327</v>
      </c>
      <c r="AH1673">
        <v>0.63822920939947403</v>
      </c>
      <c r="AI1673">
        <v>105.528768717969</v>
      </c>
      <c r="AJ1673">
        <v>86.720386218917795</v>
      </c>
      <c r="AK1673">
        <v>0.66349636601342499</v>
      </c>
      <c r="AL1673">
        <v>87.6165473406909</v>
      </c>
      <c r="AM1673">
        <v>94.295222778735905</v>
      </c>
      <c r="AN1673">
        <v>1.0000000062310599</v>
      </c>
    </row>
    <row r="1674" spans="1:40" x14ac:dyDescent="0.3">
      <c r="A1674" t="str">
        <f>"20200111145941952"</f>
        <v>20200111145941952</v>
      </c>
      <c r="B1674" t="str">
        <f>"1578725981947015"</f>
        <v>1578725981947015</v>
      </c>
      <c r="C1674" t="s">
        <v>40</v>
      </c>
      <c r="D1674">
        <v>4.495876</v>
      </c>
      <c r="E1674">
        <v>0.54618250000000002</v>
      </c>
      <c r="F1674" t="s">
        <v>41</v>
      </c>
      <c r="G1674">
        <v>-271.79230000000001</v>
      </c>
      <c r="H1674">
        <v>0.9512391</v>
      </c>
      <c r="I1674">
        <v>367.23719999999997</v>
      </c>
      <c r="J1674">
        <v>-272.35739999999998</v>
      </c>
      <c r="K1674">
        <v>1.104379</v>
      </c>
      <c r="L1674">
        <v>367.26889999999997</v>
      </c>
      <c r="M1674">
        <v>0.99990829999999997</v>
      </c>
      <c r="N1674">
        <v>0</v>
      </c>
      <c r="O1674">
        <v>3.9990959999999997E-3</v>
      </c>
      <c r="P1674">
        <v>0.99648990000000004</v>
      </c>
      <c r="Q1674">
        <v>2.8488110000000001E-2</v>
      </c>
      <c r="R1674">
        <v>7.8719830000000005E-2</v>
      </c>
      <c r="S1674">
        <v>3.0405880000000001</v>
      </c>
      <c r="T1674">
        <v>-0.67138640000000005</v>
      </c>
      <c r="U1674">
        <v>-0.1347351</v>
      </c>
      <c r="V1674">
        <v>-7.4743550000000006E-2</v>
      </c>
      <c r="W1674">
        <v>4.1374139999999997E-2</v>
      </c>
      <c r="X1674">
        <v>0.99634409999999896</v>
      </c>
      <c r="Y1674">
        <v>4.7036870000000001E-2</v>
      </c>
      <c r="Z1674">
        <v>-6.0010310000000004E-3</v>
      </c>
      <c r="AA1674">
        <v>0.99887510000000002</v>
      </c>
      <c r="AB1674">
        <v>21</v>
      </c>
      <c r="AC1674">
        <v>0.56509999999997196</v>
      </c>
      <c r="AD1674">
        <v>-0.1531399</v>
      </c>
      <c r="AE1674">
        <v>-3.17000000000007E-2</v>
      </c>
      <c r="AF1674">
        <v>3.1643268037123001E-2</v>
      </c>
      <c r="AG1674">
        <v>-0.1531399</v>
      </c>
      <c r="AH1674">
        <v>0.52642956985447698</v>
      </c>
      <c r="AI1674">
        <v>106.19217739301099</v>
      </c>
      <c r="AJ1674">
        <v>86.560134583439506</v>
      </c>
      <c r="AK1674">
        <v>0.54916410789603598</v>
      </c>
      <c r="AL1674">
        <v>87.628759526237999</v>
      </c>
      <c r="AM1674">
        <v>94.2901679208681</v>
      </c>
      <c r="AN1674">
        <v>0.99999999166607501</v>
      </c>
    </row>
    <row r="1675" spans="1:40" x14ac:dyDescent="0.3">
      <c r="A1675" t="str">
        <f>"20200111145941968"</f>
        <v>20200111145941968</v>
      </c>
      <c r="B1675" t="str">
        <f>"1578725981956776"</f>
        <v>1578725981956776</v>
      </c>
      <c r="C1675" t="s">
        <v>40</v>
      </c>
      <c r="D1675">
        <v>4.5175460000000003</v>
      </c>
      <c r="E1675">
        <v>0.54591719999999999</v>
      </c>
      <c r="F1675" t="s">
        <v>41</v>
      </c>
      <c r="G1675">
        <v>-271.60700000000003</v>
      </c>
      <c r="H1675">
        <v>0.94046929999999995</v>
      </c>
      <c r="I1675">
        <v>367.23700000000002</v>
      </c>
      <c r="J1675">
        <v>-272.22199999999998</v>
      </c>
      <c r="K1675">
        <v>1.1044320000000001</v>
      </c>
      <c r="L1675">
        <v>367.26960000000003</v>
      </c>
      <c r="M1675">
        <v>0.99990730000000005</v>
      </c>
      <c r="N1675">
        <v>0</v>
      </c>
      <c r="O1675">
        <v>4.1176820000000001E-3</v>
      </c>
      <c r="P1675">
        <v>0.99649270000000001</v>
      </c>
      <c r="Q1675">
        <v>2.850513E-2</v>
      </c>
      <c r="R1675">
        <v>7.8677199999999906E-2</v>
      </c>
      <c r="S1675">
        <v>3.0396420000000002</v>
      </c>
      <c r="T1675">
        <v>-0.66411009999999904</v>
      </c>
      <c r="U1675">
        <v>-0.1281738</v>
      </c>
      <c r="V1675">
        <v>-7.4582289999999996E-2</v>
      </c>
      <c r="W1675">
        <v>4.1441310000000002E-2</v>
      </c>
      <c r="X1675">
        <v>0.99635339999999994</v>
      </c>
      <c r="Y1675">
        <v>4.5085300000000002E-2</v>
      </c>
      <c r="Z1675">
        <v>-5.7545499999999998E-3</v>
      </c>
      <c r="AA1675">
        <v>0.99896660000000004</v>
      </c>
      <c r="AB1675">
        <v>21</v>
      </c>
      <c r="AC1675">
        <v>0.61499999999995203</v>
      </c>
      <c r="AD1675">
        <v>-0.16396269999999999</v>
      </c>
      <c r="AE1675">
        <v>-3.2600000000058998E-2</v>
      </c>
      <c r="AF1675">
        <v>3.2806966453032001E-2</v>
      </c>
      <c r="AG1675">
        <v>-0.16396269999999999</v>
      </c>
      <c r="AH1675">
        <v>0.57416401821048002</v>
      </c>
      <c r="AI1675">
        <v>105.912992798966</v>
      </c>
      <c r="AJ1675">
        <v>86.729751391587598</v>
      </c>
      <c r="AK1675">
        <v>0.59801704310725501</v>
      </c>
      <c r="AL1675">
        <v>87.624907682326395</v>
      </c>
      <c r="AM1675">
        <v>94.280906475249196</v>
      </c>
      <c r="AN1675">
        <v>0.99999999892385905</v>
      </c>
    </row>
    <row r="1676" spans="1:40" x14ac:dyDescent="0.3">
      <c r="A1676" t="str">
        <f>"20200111145941984"</f>
        <v>20200111145941984</v>
      </c>
      <c r="B1676" t="str">
        <f>"1578725981977273"</f>
        <v>1578725981977273</v>
      </c>
      <c r="C1676" t="s">
        <v>40</v>
      </c>
      <c r="D1676">
        <v>4.4357550000000003</v>
      </c>
      <c r="E1676">
        <v>0.54538089999999995</v>
      </c>
      <c r="F1676" t="s">
        <v>41</v>
      </c>
      <c r="G1676">
        <v>-271.42160000000001</v>
      </c>
      <c r="H1676">
        <v>0.93032720000000002</v>
      </c>
      <c r="I1676">
        <v>367.23610000000002</v>
      </c>
      <c r="J1676">
        <v>-272.0652</v>
      </c>
      <c r="K1676">
        <v>1.1044879999999999</v>
      </c>
      <c r="L1676">
        <v>367.27030000000002</v>
      </c>
      <c r="M1676">
        <v>0.99990579999999996</v>
      </c>
      <c r="N1676">
        <v>0</v>
      </c>
      <c r="O1676">
        <v>4.2553189999999996E-3</v>
      </c>
      <c r="P1676">
        <v>0.99650039999999995</v>
      </c>
      <c r="Q1676">
        <v>2.852323E-2</v>
      </c>
      <c r="R1676">
        <v>7.8571859999999993E-2</v>
      </c>
      <c r="S1676">
        <v>3.0394589999999999</v>
      </c>
      <c r="T1676">
        <v>-0.66122619999999999</v>
      </c>
      <c r="U1676">
        <v>-0.12664790000000001</v>
      </c>
      <c r="V1676">
        <v>-7.4339769999999999E-2</v>
      </c>
      <c r="W1676">
        <v>4.1512779999999999E-2</v>
      </c>
      <c r="X1676">
        <v>0.99636849999999999</v>
      </c>
      <c r="Y1676">
        <v>4.4739340000000002E-2</v>
      </c>
      <c r="Z1676">
        <v>-5.7229359999999996E-3</v>
      </c>
      <c r="AA1676">
        <v>0.99898229999999999</v>
      </c>
      <c r="AB1676">
        <v>21</v>
      </c>
      <c r="AC1676">
        <v>0.64359999999999196</v>
      </c>
      <c r="AD1676">
        <v>-0.1741608</v>
      </c>
      <c r="AE1676">
        <v>-3.4199999999998398E-2</v>
      </c>
      <c r="AF1676">
        <v>3.44249252970893E-2</v>
      </c>
      <c r="AG1676">
        <v>-0.1741608</v>
      </c>
      <c r="AH1676">
        <v>0.59966113661741405</v>
      </c>
      <c r="AI1676">
        <v>106.169761349795</v>
      </c>
      <c r="AJ1676">
        <v>86.714410298215995</v>
      </c>
      <c r="AK1676">
        <v>0.62538831017827601</v>
      </c>
      <c r="AL1676">
        <v>87.620809109713804</v>
      </c>
      <c r="AM1676">
        <v>94.266973276807306</v>
      </c>
      <c r="AN1676">
        <v>0.99999995004961395</v>
      </c>
    </row>
    <row r="1677" spans="1:40" x14ac:dyDescent="0.3">
      <c r="A1677" t="str">
        <f>"20200111145941995"</f>
        <v>20200111145941995</v>
      </c>
      <c r="B1677" t="str">
        <f>"1578725981987031"</f>
        <v>1578725981987031</v>
      </c>
      <c r="C1677" t="s">
        <v>40</v>
      </c>
      <c r="D1677">
        <v>4.4871349999999897</v>
      </c>
      <c r="E1677">
        <v>0.54523500000000003</v>
      </c>
      <c r="F1677" t="s">
        <v>41</v>
      </c>
      <c r="G1677">
        <v>-271.23410000000001</v>
      </c>
      <c r="H1677">
        <v>0.92478450000000001</v>
      </c>
      <c r="I1677">
        <v>367.2364</v>
      </c>
      <c r="J1677">
        <v>-271.94330000000002</v>
      </c>
      <c r="K1677">
        <v>1.1045259999999999</v>
      </c>
      <c r="L1677">
        <v>367.27100000000002</v>
      </c>
      <c r="M1677">
        <v>0.99990489999999999</v>
      </c>
      <c r="N1677">
        <v>0</v>
      </c>
      <c r="O1677">
        <v>4.36236E-3</v>
      </c>
      <c r="P1677">
        <v>0.99649160000000003</v>
      </c>
      <c r="Q1677">
        <v>2.8305810000000001E-2</v>
      </c>
      <c r="R1677">
        <v>7.8762360000000003E-2</v>
      </c>
      <c r="S1677">
        <v>3.0390009999999998</v>
      </c>
      <c r="T1677">
        <v>-0.65733560000000002</v>
      </c>
      <c r="U1677">
        <v>-0.1224976</v>
      </c>
      <c r="V1677">
        <v>-7.442348E-2</v>
      </c>
      <c r="W1677">
        <v>4.1332220000000003E-2</v>
      </c>
      <c r="X1677">
        <v>0.99636979999999997</v>
      </c>
      <c r="Y1677">
        <v>4.3528810000000001E-2</v>
      </c>
      <c r="Z1677">
        <v>-5.5845269999999997E-3</v>
      </c>
      <c r="AA1677">
        <v>0.99903660000000005</v>
      </c>
      <c r="AB1677">
        <v>21</v>
      </c>
      <c r="AC1677">
        <v>0.70920000000000905</v>
      </c>
      <c r="AD1677">
        <v>-0.1797415</v>
      </c>
      <c r="AE1677">
        <v>-3.4599999999954799E-2</v>
      </c>
      <c r="AF1677">
        <v>3.5423745246617101E-2</v>
      </c>
      <c r="AG1677">
        <v>-0.1797415</v>
      </c>
      <c r="AH1677">
        <v>0.66634264241619501</v>
      </c>
      <c r="AI1677">
        <v>105.075551861471</v>
      </c>
      <c r="AJ1677">
        <v>86.956937472959595</v>
      </c>
      <c r="AK1677">
        <v>0.69106755505648298</v>
      </c>
      <c r="AL1677">
        <v>87.631163423787797</v>
      </c>
      <c r="AM1677">
        <v>94.271754756334602</v>
      </c>
      <c r="AN1677">
        <v>0.99999999256873895</v>
      </c>
    </row>
    <row r="1678" spans="1:40" x14ac:dyDescent="0.3">
      <c r="A1678" t="str">
        <f>"20200111145942011"</f>
        <v>20200111145942011</v>
      </c>
      <c r="B1678" t="str">
        <f>"1578725982007527"</f>
        <v>1578725982007527</v>
      </c>
      <c r="C1678" t="s">
        <v>40</v>
      </c>
      <c r="D1678">
        <v>4.5099159999999996</v>
      </c>
      <c r="E1678">
        <v>0.5449408</v>
      </c>
      <c r="F1678" t="s">
        <v>41</v>
      </c>
      <c r="G1678">
        <v>-271.22269999999997</v>
      </c>
      <c r="H1678">
        <v>0.94858520000000002</v>
      </c>
      <c r="I1678">
        <v>367.24189999999999</v>
      </c>
      <c r="J1678">
        <v>-271.80459999999999</v>
      </c>
      <c r="K1678">
        <v>1.1045659999999999</v>
      </c>
      <c r="L1678">
        <v>367.27170000000001</v>
      </c>
      <c r="M1678">
        <v>0.99990389999999996</v>
      </c>
      <c r="N1678">
        <v>0</v>
      </c>
      <c r="O1678">
        <v>4.4838739999999997E-3</v>
      </c>
      <c r="P1678">
        <v>0.99653210000000003</v>
      </c>
      <c r="Q1678">
        <v>2.794029E-2</v>
      </c>
      <c r="R1678">
        <v>7.8378210000000004E-2</v>
      </c>
      <c r="S1678">
        <v>3.0387879999999998</v>
      </c>
      <c r="T1678">
        <v>-0.65782910000000006</v>
      </c>
      <c r="U1678">
        <v>-0.120575</v>
      </c>
      <c r="V1678">
        <v>-7.3918010000000006E-2</v>
      </c>
      <c r="W1678">
        <v>4.1005859999999998E-2</v>
      </c>
      <c r="X1678">
        <v>0.99642090000000005</v>
      </c>
      <c r="Y1678">
        <v>4.302889E-2</v>
      </c>
      <c r="Z1678">
        <v>-5.561603E-3</v>
      </c>
      <c r="AA1678">
        <v>0.99905840000000001</v>
      </c>
      <c r="AB1678">
        <v>21</v>
      </c>
      <c r="AC1678">
        <v>0.58190000000001796</v>
      </c>
      <c r="AD1678">
        <v>-0.1559808</v>
      </c>
      <c r="AE1678">
        <v>-2.9800000000022898E-2</v>
      </c>
      <c r="AF1678">
        <v>3.0241807244898899E-2</v>
      </c>
      <c r="AG1678">
        <v>-0.1559808</v>
      </c>
      <c r="AH1678">
        <v>0.54285661260674001</v>
      </c>
      <c r="AI1678">
        <v>106.00757686074201</v>
      </c>
      <c r="AJ1678">
        <v>86.811425466581198</v>
      </c>
      <c r="AK1678">
        <v>0.56563051431560996</v>
      </c>
      <c r="AL1678">
        <v>87.649878314835803</v>
      </c>
      <c r="AM1678">
        <v>94.242631332049598</v>
      </c>
      <c r="AN1678">
        <v>0.99999998135675405</v>
      </c>
    </row>
    <row r="1679" spans="1:40" x14ac:dyDescent="0.3">
      <c r="A1679" t="str">
        <f>"20200111145942023"</f>
        <v>20200111145942023</v>
      </c>
      <c r="B1679" t="str">
        <f>"1578725982017287"</f>
        <v>1578725982017287</v>
      </c>
      <c r="C1679" t="s">
        <v>40</v>
      </c>
      <c r="D1679">
        <v>4.4540889999999997</v>
      </c>
      <c r="E1679">
        <v>0.54483719999999902</v>
      </c>
      <c r="F1679" t="s">
        <v>41</v>
      </c>
      <c r="G1679">
        <v>-271.0376</v>
      </c>
      <c r="H1679">
        <v>0.93886130000000001</v>
      </c>
      <c r="I1679">
        <v>367.2414</v>
      </c>
      <c r="J1679">
        <v>-271.69389999999999</v>
      </c>
      <c r="K1679">
        <v>1.1045929999999999</v>
      </c>
      <c r="L1679">
        <v>367.27229999999997</v>
      </c>
      <c r="M1679">
        <v>0.99990299999999999</v>
      </c>
      <c r="N1679">
        <v>0</v>
      </c>
      <c r="O1679">
        <v>4.5809539999999999E-3</v>
      </c>
      <c r="P1679">
        <v>0.99652859999999999</v>
      </c>
      <c r="Q1679">
        <v>2.802315E-2</v>
      </c>
      <c r="R1679">
        <v>7.8394729999999996E-2</v>
      </c>
      <c r="S1679">
        <v>3.038208</v>
      </c>
      <c r="T1679">
        <v>-0.65645299999999995</v>
      </c>
      <c r="U1679">
        <v>-0.1195679</v>
      </c>
      <c r="V1679">
        <v>-7.3837840000000002E-2</v>
      </c>
      <c r="W1679">
        <v>4.1118300000000003E-2</v>
      </c>
      <c r="X1679">
        <v>0.99642220000000004</v>
      </c>
      <c r="Y1679">
        <v>4.2809720000000002E-2</v>
      </c>
      <c r="Z1679">
        <v>-5.5486320000000004E-3</v>
      </c>
      <c r="AA1679">
        <v>0.99906779999999995</v>
      </c>
      <c r="AB1679">
        <v>21</v>
      </c>
      <c r="AC1679">
        <v>0.656299999999987</v>
      </c>
      <c r="AD1679">
        <v>-0.16573169999999901</v>
      </c>
      <c r="AE1679">
        <v>-3.0899999999974101E-2</v>
      </c>
      <c r="AF1679">
        <v>3.1878093232175303E-2</v>
      </c>
      <c r="AG1679">
        <v>-0.16573169999999901</v>
      </c>
      <c r="AH1679">
        <v>0.61689977161540599</v>
      </c>
      <c r="AI1679">
        <v>105.01846226083001</v>
      </c>
      <c r="AJ1679">
        <v>87.041890511192406</v>
      </c>
      <c r="AK1679">
        <v>0.63956902475975896</v>
      </c>
      <c r="AL1679">
        <v>87.643430514610102</v>
      </c>
      <c r="AM1679">
        <v>94.238041124144104</v>
      </c>
      <c r="AN1679">
        <v>0.99999997093179704</v>
      </c>
    </row>
    <row r="1680" spans="1:40" x14ac:dyDescent="0.3">
      <c r="A1680" t="str">
        <f>"20200111145942033"</f>
        <v>20200111145942033</v>
      </c>
      <c r="B1680" t="str">
        <f>"1578725982027047"</f>
        <v>1578725982027047</v>
      </c>
      <c r="C1680" t="s">
        <v>40</v>
      </c>
      <c r="D1680">
        <v>4.4843449999999896</v>
      </c>
      <c r="E1680">
        <v>0.54477889999999995</v>
      </c>
      <c r="F1680" t="s">
        <v>41</v>
      </c>
      <c r="G1680">
        <v>-270.85500000000002</v>
      </c>
      <c r="H1680">
        <v>0.9244019</v>
      </c>
      <c r="I1680">
        <v>367.23919999999998</v>
      </c>
      <c r="J1680">
        <v>-271.58280000000002</v>
      </c>
      <c r="K1680">
        <v>1.104619</v>
      </c>
      <c r="L1680">
        <v>367.27289999999999</v>
      </c>
      <c r="M1680">
        <v>0.99990219999999996</v>
      </c>
      <c r="N1680">
        <v>0</v>
      </c>
      <c r="O1680">
        <v>4.6782890000000004E-3</v>
      </c>
      <c r="P1680">
        <v>0.99655930000000004</v>
      </c>
      <c r="Q1680">
        <v>2.782594E-2</v>
      </c>
      <c r="R1680">
        <v>7.8073370000000003E-2</v>
      </c>
      <c r="S1680">
        <v>3.0381770000000001</v>
      </c>
      <c r="T1680">
        <v>-0.65264690000000003</v>
      </c>
      <c r="U1680">
        <v>-0.11907959999999999</v>
      </c>
      <c r="V1680">
        <v>-7.3419289999999998E-2</v>
      </c>
      <c r="W1680">
        <v>4.0948209999999999E-2</v>
      </c>
      <c r="X1680">
        <v>0.99646009999999996</v>
      </c>
      <c r="Y1680">
        <v>4.2758450000000003E-2</v>
      </c>
      <c r="Z1680">
        <v>-5.5324780000000004E-3</v>
      </c>
      <c r="AA1680">
        <v>0.99907009999999996</v>
      </c>
      <c r="AB1680">
        <v>21</v>
      </c>
      <c r="AC1680">
        <v>0.727800000000002</v>
      </c>
      <c r="AD1680">
        <v>-0.18021709999999999</v>
      </c>
      <c r="AE1680">
        <v>-3.3700000000010201E-2</v>
      </c>
      <c r="AF1680">
        <v>3.4965459595449402E-2</v>
      </c>
      <c r="AG1680">
        <v>-0.18021709999999999</v>
      </c>
      <c r="AH1680">
        <v>0.68568162971120905</v>
      </c>
      <c r="AI1680">
        <v>104.707663931646</v>
      </c>
      <c r="AJ1680">
        <v>87.080803416673206</v>
      </c>
      <c r="AK1680">
        <v>0.70983102483658</v>
      </c>
      <c r="AL1680">
        <v>87.653184094874405</v>
      </c>
      <c r="AM1680">
        <v>94.213944861174895</v>
      </c>
      <c r="AN1680">
        <v>0.999999939469157</v>
      </c>
    </row>
    <row r="1681" spans="1:40" x14ac:dyDescent="0.3">
      <c r="A1681" t="str">
        <f>"20200111145942045"</f>
        <v>20200111145942045</v>
      </c>
      <c r="B1681" t="str">
        <f>"1578725982037783"</f>
        <v>1578725982037783</v>
      </c>
      <c r="C1681" t="s">
        <v>40</v>
      </c>
      <c r="D1681">
        <v>4.4781750000000002</v>
      </c>
      <c r="E1681">
        <v>0.54483619999999899</v>
      </c>
      <c r="F1681" t="s">
        <v>41</v>
      </c>
      <c r="G1681">
        <v>-270.84449999999998</v>
      </c>
      <c r="H1681">
        <v>0.94634839999999998</v>
      </c>
      <c r="I1681">
        <v>367.24360000000001</v>
      </c>
      <c r="J1681">
        <v>-271.4785</v>
      </c>
      <c r="K1681">
        <v>1.1046400000000001</v>
      </c>
      <c r="L1681">
        <v>367.27350000000001</v>
      </c>
      <c r="M1681">
        <v>0.99990159999999995</v>
      </c>
      <c r="N1681">
        <v>0</v>
      </c>
      <c r="O1681">
        <v>4.7698020000000001E-3</v>
      </c>
      <c r="P1681">
        <v>0.99655369999999999</v>
      </c>
      <c r="Q1681">
        <v>2.7678479999999998E-2</v>
      </c>
      <c r="R1681">
        <v>7.8198649999999995E-2</v>
      </c>
      <c r="S1681">
        <v>3.037903</v>
      </c>
      <c r="T1681">
        <v>-0.65135189999999998</v>
      </c>
      <c r="U1681">
        <v>-0.11947629999999999</v>
      </c>
      <c r="V1681">
        <v>-7.3453379999999999E-2</v>
      </c>
      <c r="W1681">
        <v>4.0824340000000001E-2</v>
      </c>
      <c r="X1681">
        <v>0.99646270000000003</v>
      </c>
      <c r="Y1681">
        <v>4.2980619999999997E-2</v>
      </c>
      <c r="Z1681">
        <v>-5.5651549999999996E-3</v>
      </c>
      <c r="AA1681">
        <v>0.99906039999999996</v>
      </c>
      <c r="AB1681">
        <v>21</v>
      </c>
      <c r="AC1681">
        <v>0.634000000000014</v>
      </c>
      <c r="AD1681">
        <v>-0.15829159999999901</v>
      </c>
      <c r="AE1681">
        <v>-2.98999999999978E-2</v>
      </c>
      <c r="AF1681">
        <v>3.0996100061028702E-2</v>
      </c>
      <c r="AG1681">
        <v>-0.15829159999999901</v>
      </c>
      <c r="AH1681">
        <v>0.59673479350648095</v>
      </c>
      <c r="AI1681">
        <v>104.83718232889601</v>
      </c>
      <c r="AJ1681">
        <v>87.026566721260295</v>
      </c>
      <c r="AK1681">
        <v>0.61814998392847598</v>
      </c>
      <c r="AL1681">
        <v>87.660287332577397</v>
      </c>
      <c r="AM1681">
        <v>94.215883463842005</v>
      </c>
      <c r="AN1681">
        <v>0.99999996913057398</v>
      </c>
    </row>
    <row r="1682" spans="1:40" x14ac:dyDescent="0.3">
      <c r="A1682" t="str">
        <f>"20200111145942056"</f>
        <v>20200111145942056</v>
      </c>
      <c r="B1682" t="str">
        <f>"1578725982047543"</f>
        <v>1578725982047543</v>
      </c>
      <c r="C1682" t="s">
        <v>40</v>
      </c>
      <c r="D1682">
        <v>4.5379870000000002</v>
      </c>
      <c r="E1682">
        <v>0.54513999999999996</v>
      </c>
      <c r="F1682" t="s">
        <v>41</v>
      </c>
      <c r="G1682">
        <v>-270.66329999999999</v>
      </c>
      <c r="H1682">
        <v>0.92945520000000004</v>
      </c>
      <c r="I1682">
        <v>367.24110000000002</v>
      </c>
      <c r="J1682">
        <v>-271.36939999999998</v>
      </c>
      <c r="K1682">
        <v>1.104662</v>
      </c>
      <c r="L1682">
        <v>367.27409999999998</v>
      </c>
      <c r="M1682">
        <v>0.99990060000000003</v>
      </c>
      <c r="N1682">
        <v>0</v>
      </c>
      <c r="O1682">
        <v>4.8654909999999996E-3</v>
      </c>
      <c r="P1682">
        <v>0.99655510000000003</v>
      </c>
      <c r="Q1682">
        <v>2.7739400000000001E-2</v>
      </c>
      <c r="R1682">
        <v>7.8157009999999999E-2</v>
      </c>
      <c r="S1682">
        <v>3.0378720000000001</v>
      </c>
      <c r="T1682">
        <v>-0.65299770000000001</v>
      </c>
      <c r="U1682">
        <v>-0.11947629999999999</v>
      </c>
      <c r="V1682">
        <v>-7.3316290000000006E-2</v>
      </c>
      <c r="W1682">
        <v>4.0908189999999997E-2</v>
      </c>
      <c r="X1682">
        <v>0.99646939999999995</v>
      </c>
      <c r="Y1682">
        <v>4.3067029999999999E-2</v>
      </c>
      <c r="Z1682">
        <v>-5.6084689999999996E-3</v>
      </c>
      <c r="AA1682">
        <v>0.99905650000000001</v>
      </c>
      <c r="AB1682">
        <v>21</v>
      </c>
      <c r="AC1682">
        <v>0.70609999999999196</v>
      </c>
      <c r="AD1682">
        <v>-0.1752068</v>
      </c>
      <c r="AE1682">
        <v>-3.2999999999958597E-2</v>
      </c>
      <c r="AF1682">
        <v>3.4326552154642601E-2</v>
      </c>
      <c r="AG1682">
        <v>-0.1752068</v>
      </c>
      <c r="AH1682">
        <v>0.66507180774211205</v>
      </c>
      <c r="AI1682">
        <v>104.73993702976099</v>
      </c>
      <c r="AJ1682">
        <v>87.045397380835894</v>
      </c>
      <c r="AK1682">
        <v>0.68861908512793002</v>
      </c>
      <c r="AL1682">
        <v>87.655479164616693</v>
      </c>
      <c r="AM1682">
        <v>94.208015231829904</v>
      </c>
      <c r="AN1682">
        <v>1.0000000117623999</v>
      </c>
    </row>
    <row r="1683" spans="1:40" x14ac:dyDescent="0.3">
      <c r="A1683" t="str">
        <f>"20200111145942068"</f>
        <v>20200111145942068</v>
      </c>
      <c r="B1683" t="str">
        <f>"1578725982057303"</f>
        <v>1578725982057303</v>
      </c>
      <c r="C1683" t="s">
        <v>40</v>
      </c>
      <c r="D1683">
        <v>4.4711639999999999</v>
      </c>
      <c r="E1683">
        <v>0.54504169999999996</v>
      </c>
      <c r="F1683" t="s">
        <v>41</v>
      </c>
      <c r="G1683">
        <v>-270.65350000000001</v>
      </c>
      <c r="H1683">
        <v>0.94981729999999998</v>
      </c>
      <c r="I1683">
        <v>367.245</v>
      </c>
      <c r="J1683">
        <v>-271.2602</v>
      </c>
      <c r="K1683">
        <v>1.1046819999999999</v>
      </c>
      <c r="L1683">
        <v>367.2747</v>
      </c>
      <c r="M1683">
        <v>0.99990000000000001</v>
      </c>
      <c r="N1683">
        <v>0</v>
      </c>
      <c r="O1683">
        <v>4.9613679999999999E-3</v>
      </c>
      <c r="P1683">
        <v>0.99654219999999905</v>
      </c>
      <c r="Q1683">
        <v>2.787452E-2</v>
      </c>
      <c r="R1683">
        <v>7.827365E-2</v>
      </c>
      <c r="S1683">
        <v>3.0382389999999999</v>
      </c>
      <c r="T1683">
        <v>-0.65733830000000004</v>
      </c>
      <c r="U1683">
        <v>-0.12194820000000001</v>
      </c>
      <c r="V1683">
        <v>-7.3337669999999994E-2</v>
      </c>
      <c r="W1683">
        <v>4.1064459999999997E-2</v>
      </c>
      <c r="X1683">
        <v>0.99646140000000005</v>
      </c>
      <c r="Y1683">
        <v>4.393329E-2</v>
      </c>
      <c r="Z1683">
        <v>-5.7572619999999904E-3</v>
      </c>
      <c r="AA1683">
        <v>0.99901790000000001</v>
      </c>
      <c r="AB1683">
        <v>21</v>
      </c>
      <c r="AC1683">
        <v>0.60669999999998903</v>
      </c>
      <c r="AD1683">
        <v>-0.15486469999999899</v>
      </c>
      <c r="AE1683">
        <v>-2.9699999999991102E-2</v>
      </c>
      <c r="AF1683">
        <v>3.0713560465956299E-2</v>
      </c>
      <c r="AG1683">
        <v>-0.15486469999999899</v>
      </c>
      <c r="AH1683">
        <v>0.56952565635243901</v>
      </c>
      <c r="AI1683">
        <v>105.190940108883</v>
      </c>
      <c r="AJ1683">
        <v>86.913125170884399</v>
      </c>
      <c r="AK1683">
        <v>0.59100412125996404</v>
      </c>
      <c r="AL1683">
        <v>87.646518025483999</v>
      </c>
      <c r="AM1683">
        <v>94.209271606915095</v>
      </c>
      <c r="AN1683">
        <v>1.00000001270304</v>
      </c>
    </row>
    <row r="1684" spans="1:40" x14ac:dyDescent="0.3">
      <c r="A1684" t="str">
        <f>"20200111145942079"</f>
        <v>20200111145942079</v>
      </c>
      <c r="B1684" t="str">
        <f>"1578725982067063"</f>
        <v>1578725982067063</v>
      </c>
      <c r="C1684" t="s">
        <v>40</v>
      </c>
      <c r="D1684">
        <v>4.4744020000000004</v>
      </c>
      <c r="E1684">
        <v>0.54505709999999996</v>
      </c>
      <c r="F1684" t="s">
        <v>41</v>
      </c>
      <c r="G1684">
        <v>-270.47190000000001</v>
      </c>
      <c r="H1684">
        <v>0.93432199999999999</v>
      </c>
      <c r="I1684">
        <v>367.24299999999999</v>
      </c>
      <c r="J1684">
        <v>-271.1508</v>
      </c>
      <c r="K1684">
        <v>1.1047020000000001</v>
      </c>
      <c r="L1684">
        <v>367.27539999999999</v>
      </c>
      <c r="M1684">
        <v>0.99989919999999999</v>
      </c>
      <c r="N1684">
        <v>0</v>
      </c>
      <c r="O1684">
        <v>5.0574280000000001E-3</v>
      </c>
      <c r="P1684">
        <v>0.9965408</v>
      </c>
      <c r="Q1684">
        <v>2.7996839999999999E-2</v>
      </c>
      <c r="R1684">
        <v>7.8246259999999998E-2</v>
      </c>
      <c r="S1684">
        <v>3.0383300000000002</v>
      </c>
      <c r="T1684">
        <v>-0.65683069999999999</v>
      </c>
      <c r="U1684">
        <v>-0.12103269999999999</v>
      </c>
      <c r="V1684">
        <v>-7.3214660000000001E-2</v>
      </c>
      <c r="W1684">
        <v>4.1207390000000003E-2</v>
      </c>
      <c r="X1684">
        <v>0.99646460000000003</v>
      </c>
      <c r="Y1684">
        <v>4.373171E-2</v>
      </c>
      <c r="Z1684">
        <v>-5.7517719999999996E-3</v>
      </c>
      <c r="AA1684">
        <v>0.99902679999999999</v>
      </c>
      <c r="AB1684">
        <v>21</v>
      </c>
      <c r="AC1684">
        <v>0.67889999999999795</v>
      </c>
      <c r="AD1684">
        <v>-0.17038</v>
      </c>
      <c r="AE1684">
        <v>-3.23999999999387E-2</v>
      </c>
      <c r="AF1684">
        <v>3.3714734840674401E-2</v>
      </c>
      <c r="AG1684">
        <v>-0.17038</v>
      </c>
      <c r="AH1684">
        <v>0.63859782371354501</v>
      </c>
      <c r="AI1684">
        <v>104.918876182574</v>
      </c>
      <c r="AJ1684">
        <v>86.977878438885597</v>
      </c>
      <c r="AK1684">
        <v>0.66179544286512904</v>
      </c>
      <c r="AL1684">
        <v>87.638321931075893</v>
      </c>
      <c r="AM1684">
        <v>94.202223220243098</v>
      </c>
      <c r="AN1684">
        <v>1.0000000672413401</v>
      </c>
    </row>
    <row r="1685" spans="1:40" x14ac:dyDescent="0.3">
      <c r="A1685" t="str">
        <f>"20200111145942092"</f>
        <v>20200111145942092</v>
      </c>
      <c r="B1685" t="str">
        <f>"1578725982087559"</f>
        <v>1578725982087559</v>
      </c>
      <c r="C1685" t="s">
        <v>40</v>
      </c>
      <c r="D1685">
        <v>4.4081479999999997</v>
      </c>
      <c r="E1685">
        <v>0.54513769999999995</v>
      </c>
      <c r="F1685" t="s">
        <v>41</v>
      </c>
      <c r="G1685">
        <v>-270.4615</v>
      </c>
      <c r="H1685">
        <v>0.95579769999999997</v>
      </c>
      <c r="I1685">
        <v>367.24759999999998</v>
      </c>
      <c r="J1685">
        <v>-271.03870000000001</v>
      </c>
      <c r="K1685">
        <v>1.1047169999999999</v>
      </c>
      <c r="L1685">
        <v>367.27600000000001</v>
      </c>
      <c r="M1685">
        <v>0.99989850000000002</v>
      </c>
      <c r="N1685">
        <v>0</v>
      </c>
      <c r="O1685">
        <v>5.155827E-3</v>
      </c>
      <c r="P1685">
        <v>0.99652359999999895</v>
      </c>
      <c r="Q1685">
        <v>2.8170980000000002E-2</v>
      </c>
      <c r="R1685">
        <v>7.8406199999999995E-2</v>
      </c>
      <c r="S1685">
        <v>3.0383909999999998</v>
      </c>
      <c r="T1685">
        <v>-0.65657159999999903</v>
      </c>
      <c r="U1685">
        <v>-0.1211853</v>
      </c>
      <c r="V1685">
        <v>-7.3275839999999995E-2</v>
      </c>
      <c r="W1685">
        <v>4.1399869999999998E-2</v>
      </c>
      <c r="X1685">
        <v>0.996452</v>
      </c>
      <c r="Y1685">
        <v>4.3874679999999999E-2</v>
      </c>
      <c r="Z1685">
        <v>-5.7857169999999897E-3</v>
      </c>
      <c r="AA1685">
        <v>0.99902029999999997</v>
      </c>
      <c r="AB1685">
        <v>21</v>
      </c>
      <c r="AC1685">
        <v>0.57720000000000404</v>
      </c>
      <c r="AD1685">
        <v>-0.1489193</v>
      </c>
      <c r="AE1685">
        <v>-2.8400000000033201E-2</v>
      </c>
      <c r="AF1685">
        <v>2.9422063336206301E-2</v>
      </c>
      <c r="AG1685">
        <v>-0.1489193</v>
      </c>
      <c r="AH1685">
        <v>0.54111338517093199</v>
      </c>
      <c r="AI1685">
        <v>105.36576388127401</v>
      </c>
      <c r="AJ1685">
        <v>86.887710126286805</v>
      </c>
      <c r="AK1685">
        <v>0.56200205634374201</v>
      </c>
      <c r="AL1685">
        <v>87.627283926391002</v>
      </c>
      <c r="AM1685">
        <v>94.205775098291994</v>
      </c>
      <c r="AN1685">
        <v>0.99999994313385898</v>
      </c>
    </row>
    <row r="1686" spans="1:40" x14ac:dyDescent="0.3">
      <c r="A1686" t="str">
        <f>"20200111145942111"</f>
        <v>20200111145942111</v>
      </c>
      <c r="B1686" t="str">
        <f>"1578725982107079"</f>
        <v>1578725982107079</v>
      </c>
      <c r="C1686" t="s">
        <v>40</v>
      </c>
      <c r="D1686">
        <v>4.2405530000000002</v>
      </c>
      <c r="E1686">
        <v>0.54522199999999998</v>
      </c>
      <c r="F1686" t="s">
        <v>41</v>
      </c>
      <c r="G1686">
        <v>-270.2799</v>
      </c>
      <c r="H1686">
        <v>0.94086999999999998</v>
      </c>
      <c r="I1686">
        <v>367.24549999999999</v>
      </c>
      <c r="J1686">
        <v>-270.85520000000002</v>
      </c>
      <c r="K1686">
        <v>1.1047419999999999</v>
      </c>
      <c r="L1686">
        <v>367.27719999999999</v>
      </c>
      <c r="M1686">
        <v>0.99989729999999999</v>
      </c>
      <c r="N1686">
        <v>0</v>
      </c>
      <c r="O1686">
        <v>5.3167450000000003E-3</v>
      </c>
      <c r="P1686">
        <v>0.9965155</v>
      </c>
      <c r="Q1686">
        <v>2.7910210000000001E-2</v>
      </c>
      <c r="R1686">
        <v>7.8602099999999994E-2</v>
      </c>
      <c r="S1686">
        <v>3.038605</v>
      </c>
      <c r="T1686">
        <v>-0.65623750000000003</v>
      </c>
      <c r="U1686">
        <v>-0.121307399999999</v>
      </c>
      <c r="V1686">
        <v>-7.3311710000000002E-2</v>
      </c>
      <c r="W1686">
        <v>4.1167370000000002E-2</v>
      </c>
      <c r="X1686">
        <v>0.99645910000000004</v>
      </c>
      <c r="Y1686">
        <v>4.406591E-2</v>
      </c>
      <c r="Z1686">
        <v>-5.8371909999999898E-3</v>
      </c>
      <c r="AA1686">
        <v>0.9990116</v>
      </c>
      <c r="AB1686">
        <v>21</v>
      </c>
      <c r="AC1686">
        <v>0.57530000000002701</v>
      </c>
      <c r="AD1686">
        <v>-0.16387199999999999</v>
      </c>
      <c r="AE1686">
        <v>-3.17000000000007E-2</v>
      </c>
      <c r="AF1686">
        <v>3.2157287393937702E-2</v>
      </c>
      <c r="AG1686">
        <v>-0.16387199999999999</v>
      </c>
      <c r="AH1686">
        <v>0.532082254371395</v>
      </c>
      <c r="AI1686">
        <v>107.08855504256999</v>
      </c>
      <c r="AJ1686">
        <v>86.541439854412502</v>
      </c>
      <c r="AK1686">
        <v>0.55767342498408701</v>
      </c>
      <c r="AL1686">
        <v>87.640616811331498</v>
      </c>
      <c r="AM1686">
        <v>94.207796642879103</v>
      </c>
      <c r="AN1686">
        <v>1.0000000485743199</v>
      </c>
    </row>
    <row r="1687" spans="1:40" x14ac:dyDescent="0.3">
      <c r="A1687" t="str">
        <f>"20200111145942124"</f>
        <v>20200111145942124</v>
      </c>
      <c r="B1687" t="str">
        <f>"1578725982116838"</f>
        <v>1578725982116838</v>
      </c>
      <c r="C1687" t="s">
        <v>40</v>
      </c>
      <c r="D1687">
        <v>4.2334709999999998</v>
      </c>
      <c r="E1687">
        <v>0.54522199999999998</v>
      </c>
      <c r="F1687" t="s">
        <v>41</v>
      </c>
      <c r="G1687">
        <v>-270.09120000000001</v>
      </c>
      <c r="H1687">
        <v>0.94099940000000004</v>
      </c>
      <c r="I1687">
        <v>367.24619999999999</v>
      </c>
      <c r="J1687">
        <v>-270.73219999999998</v>
      </c>
      <c r="K1687">
        <v>1.1047549999999999</v>
      </c>
      <c r="L1687">
        <v>367.27800000000002</v>
      </c>
      <c r="M1687">
        <v>0.99989649999999997</v>
      </c>
      <c r="N1687">
        <v>0</v>
      </c>
      <c r="O1687">
        <v>5.4243909999999998E-3</v>
      </c>
      <c r="P1687">
        <v>0.99650289999999997</v>
      </c>
      <c r="Q1687">
        <v>2.791503E-2</v>
      </c>
      <c r="R1687">
        <v>7.8759369999999995E-2</v>
      </c>
      <c r="S1687">
        <v>3.0383300000000002</v>
      </c>
      <c r="T1687">
        <v>-0.65153830000000001</v>
      </c>
      <c r="U1687">
        <v>-0.121582</v>
      </c>
      <c r="V1687">
        <v>-7.336152E-2</v>
      </c>
      <c r="W1687">
        <v>4.1189290000000003E-2</v>
      </c>
      <c r="X1687">
        <v>0.99645450000000002</v>
      </c>
      <c r="Y1687">
        <v>4.427586E-2</v>
      </c>
      <c r="Z1687">
        <v>-5.8418929999999999E-3</v>
      </c>
      <c r="AA1687">
        <v>0.99900230000000001</v>
      </c>
      <c r="AB1687">
        <v>21</v>
      </c>
      <c r="AC1687">
        <v>0.64099999999996204</v>
      </c>
      <c r="AD1687">
        <v>-0.163755599999999</v>
      </c>
      <c r="AE1687">
        <v>-3.18000000000324E-2</v>
      </c>
      <c r="AF1687">
        <v>3.3120587554467201E-2</v>
      </c>
      <c r="AG1687">
        <v>-0.163755599999999</v>
      </c>
      <c r="AH1687">
        <v>0.60164825521365295</v>
      </c>
      <c r="AI1687">
        <v>105.20388617192999</v>
      </c>
      <c r="AJ1687">
        <v>86.849061895781901</v>
      </c>
      <c r="AK1687">
        <v>0.62441452005294196</v>
      </c>
      <c r="AL1687">
        <v>87.639359755193396</v>
      </c>
      <c r="AM1687">
        <v>94.210664625261501</v>
      </c>
      <c r="AN1687">
        <v>1.00000002039883</v>
      </c>
    </row>
    <row r="1688" spans="1:40" x14ac:dyDescent="0.3">
      <c r="A1688" t="str">
        <f>"20200111145942169"</f>
        <v>20200111145942169</v>
      </c>
      <c r="B1688" t="str">
        <f>"1578725982167591"</f>
        <v>1578725982167591</v>
      </c>
      <c r="C1688" t="s">
        <v>40</v>
      </c>
      <c r="D1688">
        <v>3.9962749999999998</v>
      </c>
      <c r="E1688">
        <v>0.5510429</v>
      </c>
      <c r="F1688" t="s">
        <v>41</v>
      </c>
      <c r="G1688">
        <v>-269.90899999999999</v>
      </c>
      <c r="H1688">
        <v>0.92826900000000001</v>
      </c>
      <c r="I1688">
        <v>367.245</v>
      </c>
      <c r="J1688">
        <v>-270.30459999999999</v>
      </c>
      <c r="K1688">
        <v>1.104784</v>
      </c>
      <c r="L1688">
        <v>367.2808</v>
      </c>
      <c r="M1688">
        <v>0.9998937</v>
      </c>
      <c r="N1688">
        <v>0</v>
      </c>
      <c r="O1688">
        <v>5.7997409999999998E-3</v>
      </c>
      <c r="P1688">
        <v>0.99644029999999995</v>
      </c>
      <c r="Q1688">
        <v>2.76695E-2</v>
      </c>
      <c r="R1688">
        <v>7.9632700000000001E-2</v>
      </c>
      <c r="S1688">
        <v>3.0383610000000001</v>
      </c>
      <c r="T1688">
        <v>-0.65147129999999998</v>
      </c>
      <c r="U1688">
        <v>-0.1211243</v>
      </c>
      <c r="V1688">
        <v>-7.3861040000000003E-2</v>
      </c>
      <c r="W1688">
        <v>4.0990140000000001E-2</v>
      </c>
      <c r="X1688">
        <v>0.99642580000000003</v>
      </c>
      <c r="Y1688">
        <v>4.4487110000000003E-2</v>
      </c>
      <c r="Z1688">
        <v>-5.9432080000000002E-3</v>
      </c>
      <c r="AA1688">
        <v>0.99899230000000006</v>
      </c>
      <c r="AB1688">
        <v>21</v>
      </c>
      <c r="AC1688">
        <v>0.39560000000000101</v>
      </c>
      <c r="AD1688">
        <v>-0.17651499999999901</v>
      </c>
      <c r="AE1688">
        <v>-3.5799999999994697E-2</v>
      </c>
      <c r="AF1688">
        <v>3.1811964852125799E-2</v>
      </c>
      <c r="AG1688">
        <v>-0.17651499999999901</v>
      </c>
      <c r="AH1688">
        <v>0.33018329020017201</v>
      </c>
      <c r="AI1688">
        <v>118.01891291916399</v>
      </c>
      <c r="AJ1688">
        <v>84.496745305625595</v>
      </c>
      <c r="AK1688">
        <v>0.37575331197497602</v>
      </c>
      <c r="AL1688">
        <v>87.650779829407398</v>
      </c>
      <c r="AM1688">
        <v>94.239352610721497</v>
      </c>
      <c r="AN1688">
        <v>1.0000000098563699</v>
      </c>
    </row>
    <row r="1689" spans="1:40" x14ac:dyDescent="0.3">
      <c r="A1689" t="str">
        <f>"20200111145942180"</f>
        <v>20200111145942180</v>
      </c>
      <c r="B1689" t="str">
        <f>"1578725982177351"</f>
        <v>1578725982177351</v>
      </c>
      <c r="C1689" t="s">
        <v>40</v>
      </c>
      <c r="D1689">
        <v>4.0557889999999999</v>
      </c>
      <c r="E1689">
        <v>0.55369060000000003</v>
      </c>
      <c r="F1689" t="s">
        <v>42</v>
      </c>
      <c r="G1689">
        <v>-243.6671</v>
      </c>
      <c r="H1689" s="1">
        <v>-3.647998E-6</v>
      </c>
      <c r="I1689">
        <v>365.81709999999998</v>
      </c>
      <c r="J1689">
        <v>-270.20530000000002</v>
      </c>
      <c r="K1689">
        <v>1.1047910000000001</v>
      </c>
      <c r="L1689">
        <v>367.28149999999999</v>
      </c>
      <c r="M1689">
        <v>0.99989309999999998</v>
      </c>
      <c r="N1689">
        <v>0</v>
      </c>
      <c r="O1689">
        <v>5.8867590000000001E-3</v>
      </c>
      <c r="P1689">
        <v>0.99641109999999999</v>
      </c>
      <c r="Q1689">
        <v>2.7487500000000002E-2</v>
      </c>
      <c r="R1689">
        <v>8.0058909999999997E-2</v>
      </c>
      <c r="S1689">
        <v>3.0274960000000002</v>
      </c>
      <c r="T1689">
        <v>-0.12556510000000001</v>
      </c>
      <c r="U1689">
        <v>-0.16635129999999901</v>
      </c>
      <c r="V1689">
        <v>-7.4200799999999997E-2</v>
      </c>
      <c r="W1689">
        <v>4.0817190000000003E-2</v>
      </c>
      <c r="X1689">
        <v>0.99640759999999995</v>
      </c>
      <c r="Y1689">
        <v>6.0684479999999999E-2</v>
      </c>
      <c r="Z1689">
        <v>-1.5008479999999999E-3</v>
      </c>
      <c r="AA1689">
        <v>0.99815589999999998</v>
      </c>
      <c r="AB1689">
        <v>21</v>
      </c>
      <c r="AC1689">
        <v>26.5382</v>
      </c>
      <c r="AD1689">
        <v>-1.104794647998</v>
      </c>
      <c r="AE1689">
        <v>-1.4644000000000099</v>
      </c>
      <c r="AF1689">
        <v>1.6178172982055701</v>
      </c>
      <c r="AG1689">
        <v>-1.104794647998</v>
      </c>
      <c r="AH1689">
        <v>26.483360127036701</v>
      </c>
      <c r="AI1689">
        <v>92.384358045185706</v>
      </c>
      <c r="AJ1689">
        <v>86.504255636411798</v>
      </c>
      <c r="AK1689">
        <v>26.555720055064199</v>
      </c>
      <c r="AL1689">
        <v>87.660697302643001</v>
      </c>
      <c r="AM1689">
        <v>94.258859505947399</v>
      </c>
      <c r="AN1689">
        <v>0.999999953528946</v>
      </c>
    </row>
    <row r="1690" spans="1:40" x14ac:dyDescent="0.3">
      <c r="A1690" t="str">
        <f>"20200111145942191"</f>
        <v>20200111145942191</v>
      </c>
      <c r="B1690" t="str">
        <f>"1578725982187111"</f>
        <v>1578725982187111</v>
      </c>
      <c r="C1690" t="s">
        <v>40</v>
      </c>
      <c r="D1690">
        <v>3.930653</v>
      </c>
      <c r="E1690">
        <v>0.55543719999999996</v>
      </c>
      <c r="F1690" t="s">
        <v>42</v>
      </c>
      <c r="G1690">
        <v>-223.67080000000001</v>
      </c>
      <c r="H1690" s="1">
        <v>-3.6193779999999998E-6</v>
      </c>
      <c r="I1690">
        <v>364.4194</v>
      </c>
      <c r="J1690">
        <v>-270.10730000000001</v>
      </c>
      <c r="K1690">
        <v>1.104795</v>
      </c>
      <c r="L1690">
        <v>367.28210000000001</v>
      </c>
      <c r="M1690">
        <v>0.99989249999999996</v>
      </c>
      <c r="N1690">
        <v>0</v>
      </c>
      <c r="O1690">
        <v>5.972771E-3</v>
      </c>
      <c r="P1690">
        <v>0.99637750000000003</v>
      </c>
      <c r="Q1690">
        <v>2.7244649999999999E-2</v>
      </c>
      <c r="R1690">
        <v>8.0560000000000007E-2</v>
      </c>
      <c r="S1690">
        <v>3.027771</v>
      </c>
      <c r="T1690">
        <v>-7.1883440000000007E-2</v>
      </c>
      <c r="U1690">
        <v>-0.1862183</v>
      </c>
      <c r="V1690">
        <v>-7.4615819999999999E-2</v>
      </c>
      <c r="W1690">
        <v>4.0581829999999999E-2</v>
      </c>
      <c r="X1690">
        <v>0.99638629999999995</v>
      </c>
      <c r="Y1690">
        <v>6.7327789999999998E-2</v>
      </c>
      <c r="Z1690">
        <v>-9.400271E-4</v>
      </c>
      <c r="AA1690">
        <v>0.99773049999999996</v>
      </c>
      <c r="AB1690">
        <v>21</v>
      </c>
      <c r="AC1690">
        <v>46.436500000000002</v>
      </c>
      <c r="AD1690">
        <v>-1.1047986193779999</v>
      </c>
      <c r="AE1690">
        <v>-2.86270000000001</v>
      </c>
      <c r="AF1690">
        <v>3.13825872394832</v>
      </c>
      <c r="AG1690">
        <v>-1.1047986193779999</v>
      </c>
      <c r="AH1690">
        <v>46.392411222485499</v>
      </c>
      <c r="AI1690">
        <v>91.361086453687406</v>
      </c>
      <c r="AJ1690">
        <v>86.130068288366999</v>
      </c>
      <c r="AK1690">
        <v>46.5115584220096</v>
      </c>
      <c r="AL1690">
        <v>87.674193803603501</v>
      </c>
      <c r="AM1690">
        <v>94.282682995503606</v>
      </c>
      <c r="AN1690">
        <v>1.0000000321740501</v>
      </c>
    </row>
    <row r="1691" spans="1:40" x14ac:dyDescent="0.3">
      <c r="A1691" t="str">
        <f>"20200111145942201"</f>
        <v>20200111145942201</v>
      </c>
      <c r="B1691" t="str">
        <f>"1578725982196871"</f>
        <v>1578725982196871</v>
      </c>
      <c r="C1691" t="s">
        <v>40</v>
      </c>
      <c r="D1691">
        <v>3.9739469999999999</v>
      </c>
      <c r="E1691">
        <v>0.55675039999999998</v>
      </c>
      <c r="F1691" t="s">
        <v>45</v>
      </c>
      <c r="G1691">
        <v>-180</v>
      </c>
      <c r="H1691">
        <v>2.2337099999999999E-2</v>
      </c>
      <c r="I1691">
        <v>361.36750000000001</v>
      </c>
      <c r="J1691">
        <v>-270.0061</v>
      </c>
      <c r="K1691">
        <v>1.1048009999999999</v>
      </c>
      <c r="L1691">
        <v>367.28289999999998</v>
      </c>
      <c r="M1691">
        <v>0.99989189999999994</v>
      </c>
      <c r="N1691">
        <v>0</v>
      </c>
      <c r="O1691">
        <v>6.0614639999999999E-3</v>
      </c>
      <c r="P1691">
        <v>0.99634800000000001</v>
      </c>
      <c r="Q1691">
        <v>2.6954570000000001E-2</v>
      </c>
      <c r="R1691">
        <v>8.1022170000000004E-2</v>
      </c>
      <c r="S1691">
        <v>3.0280459999999998</v>
      </c>
      <c r="T1691">
        <v>-3.6375879999999999E-2</v>
      </c>
      <c r="U1691">
        <v>-0.19876099999999999</v>
      </c>
      <c r="V1691">
        <v>-7.4989620000000007E-2</v>
      </c>
      <c r="W1691">
        <v>4.0299769999999999E-2</v>
      </c>
      <c r="X1691">
        <v>0.99636970000000002</v>
      </c>
      <c r="Y1691">
        <v>7.1541279999999999E-2</v>
      </c>
      <c r="Z1691">
        <v>-5.0198019999999905E-4</v>
      </c>
      <c r="AA1691">
        <v>0.99743749999999998</v>
      </c>
      <c r="AB1691">
        <v>21</v>
      </c>
      <c r="AC1691">
        <v>90.006100000000004</v>
      </c>
      <c r="AD1691">
        <v>-1.08246389999999</v>
      </c>
      <c r="AE1691">
        <v>-5.9153999999999698</v>
      </c>
      <c r="AF1691">
        <v>6.4599786604185496</v>
      </c>
      <c r="AG1691">
        <v>-1.08246389999999</v>
      </c>
      <c r="AH1691">
        <v>89.955631952831794</v>
      </c>
      <c r="AI1691">
        <v>90.687653835828897</v>
      </c>
      <c r="AJ1691">
        <v>85.892472748043403</v>
      </c>
      <c r="AK1691">
        <v>90.193784555373895</v>
      </c>
      <c r="AL1691">
        <v>87.690367915987807</v>
      </c>
      <c r="AM1691">
        <v>94.304128803492503</v>
      </c>
      <c r="AN1691">
        <v>1.0000000468239401</v>
      </c>
    </row>
    <row r="1692" spans="1:40" x14ac:dyDescent="0.3">
      <c r="A1692" t="str">
        <f>"20200111145942211"</f>
        <v>20200111145942211</v>
      </c>
      <c r="B1692" t="str">
        <f>"1578725982207607"</f>
        <v>1578725982207607</v>
      </c>
      <c r="C1692" t="s">
        <v>40</v>
      </c>
      <c r="D1692">
        <v>3.956026</v>
      </c>
      <c r="E1692">
        <v>0.55719859999999999</v>
      </c>
      <c r="F1692" t="s">
        <v>44</v>
      </c>
      <c r="G1692">
        <v>-158.19499999999999</v>
      </c>
      <c r="H1692">
        <v>0.52727990000000002</v>
      </c>
      <c r="I1692">
        <v>359.61520000000002</v>
      </c>
      <c r="J1692">
        <v>-269.90609999999998</v>
      </c>
      <c r="K1692">
        <v>1.1048020000000001</v>
      </c>
      <c r="L1692">
        <v>367.2835</v>
      </c>
      <c r="M1692">
        <v>0.99989119999999998</v>
      </c>
      <c r="N1692">
        <v>0</v>
      </c>
      <c r="O1692">
        <v>6.1493299999999997E-3</v>
      </c>
      <c r="P1692">
        <v>0.99633740000000004</v>
      </c>
      <c r="Q1692">
        <v>2.6828580000000001E-2</v>
      </c>
      <c r="R1692">
        <v>8.1192719999999996E-2</v>
      </c>
      <c r="S1692">
        <v>3.0282900000000001</v>
      </c>
      <c r="T1692">
        <v>-1.5639190000000001E-2</v>
      </c>
      <c r="U1692">
        <v>-0.2076721</v>
      </c>
      <c r="V1692">
        <v>-7.5073150000000005E-2</v>
      </c>
      <c r="W1692">
        <v>4.018066E-2</v>
      </c>
      <c r="X1692">
        <v>0.99636820000000004</v>
      </c>
      <c r="Y1692">
        <v>7.4549779999999996E-2</v>
      </c>
      <c r="Z1692">
        <v>-2.2399820000000001E-4</v>
      </c>
      <c r="AA1692">
        <v>0.99721729999999997</v>
      </c>
      <c r="AB1692">
        <v>21</v>
      </c>
      <c r="AC1692">
        <v>111.7111</v>
      </c>
      <c r="AD1692">
        <v>-0.57752209999999904</v>
      </c>
      <c r="AE1692">
        <v>-7.6682999999999799</v>
      </c>
      <c r="AF1692">
        <v>8.3549429092075798</v>
      </c>
      <c r="AG1692">
        <v>-0.57752209999999904</v>
      </c>
      <c r="AH1692">
        <v>111.65885804605</v>
      </c>
      <c r="AI1692">
        <v>90.295516557115903</v>
      </c>
      <c r="AJ1692">
        <v>85.720782342092505</v>
      </c>
      <c r="AK1692">
        <v>111.97249297457</v>
      </c>
      <c r="AL1692">
        <v>87.697197901532306</v>
      </c>
      <c r="AM1692">
        <v>94.308911534753705</v>
      </c>
      <c r="AN1692">
        <v>1.0000000266300899</v>
      </c>
    </row>
    <row r="1693" spans="1:40" x14ac:dyDescent="0.3">
      <c r="A1693" t="str">
        <f>"20200111145942223"</f>
        <v>20200111145942223</v>
      </c>
      <c r="B1693" t="str">
        <f>"1578725982217367"</f>
        <v>1578725982217367</v>
      </c>
      <c r="C1693" t="s">
        <v>40</v>
      </c>
      <c r="D1693">
        <v>3.9775010000000002</v>
      </c>
      <c r="E1693">
        <v>0.55895099999999998</v>
      </c>
      <c r="F1693" t="s">
        <v>44</v>
      </c>
      <c r="G1693">
        <v>-158.19499999999999</v>
      </c>
      <c r="H1693">
        <v>0.94433310000000004</v>
      </c>
      <c r="I1693">
        <v>359.50569999999999</v>
      </c>
      <c r="J1693">
        <v>-269.80650000000003</v>
      </c>
      <c r="K1693">
        <v>1.1048070000000001</v>
      </c>
      <c r="L1693">
        <v>367.28429999999997</v>
      </c>
      <c r="M1693">
        <v>0.99989059999999996</v>
      </c>
      <c r="N1693">
        <v>0</v>
      </c>
      <c r="O1693">
        <v>6.2370189999999999E-3</v>
      </c>
      <c r="P1693">
        <v>0.99635459999999998</v>
      </c>
      <c r="Q1693">
        <v>2.6594139999999999E-2</v>
      </c>
      <c r="R1693">
        <v>8.1056879999999998E-2</v>
      </c>
      <c r="S1693">
        <v>3.0283199999999999</v>
      </c>
      <c r="T1693">
        <v>-4.3476820000000003E-3</v>
      </c>
      <c r="U1693">
        <v>-0.2108459</v>
      </c>
      <c r="V1693">
        <v>-7.4849079999999998E-2</v>
      </c>
      <c r="W1693">
        <v>3.9953379999999997E-2</v>
      </c>
      <c r="X1693">
        <v>0.99639420000000001</v>
      </c>
      <c r="Y1693">
        <v>7.5677659999999994E-2</v>
      </c>
      <c r="Z1693" s="1">
        <v>-6.3203290000000005E-5</v>
      </c>
      <c r="AA1693">
        <v>0.99713240000000003</v>
      </c>
      <c r="AB1693">
        <v>21</v>
      </c>
      <c r="AC1693">
        <v>111.61150000000001</v>
      </c>
      <c r="AD1693">
        <v>-0.160473899999999</v>
      </c>
      <c r="AE1693">
        <v>-7.7785999999999804</v>
      </c>
      <c r="AF1693">
        <v>8.4746169081000104</v>
      </c>
      <c r="AG1693">
        <v>-0.160473899999999</v>
      </c>
      <c r="AH1693">
        <v>111.56057957399</v>
      </c>
      <c r="AI1693">
        <v>90.082180072235403</v>
      </c>
      <c r="AJ1693">
        <v>85.655911623995394</v>
      </c>
      <c r="AK1693">
        <v>111.882115632912</v>
      </c>
      <c r="AL1693">
        <v>87.710230558009499</v>
      </c>
      <c r="AM1693">
        <v>94.295987312049903</v>
      </c>
      <c r="AN1693">
        <v>1.00000002957195</v>
      </c>
    </row>
    <row r="1694" spans="1:40" x14ac:dyDescent="0.3">
      <c r="A1694" t="str">
        <f>"20200111145942234"</f>
        <v>20200111145942234</v>
      </c>
      <c r="B1694" t="str">
        <f>"1578725982227127"</f>
        <v>1578725982227127</v>
      </c>
      <c r="C1694" t="s">
        <v>40</v>
      </c>
      <c r="D1694">
        <v>3.9291230000000001</v>
      </c>
      <c r="E1694">
        <v>0.55920969999999903</v>
      </c>
      <c r="F1694" t="s">
        <v>44</v>
      </c>
      <c r="G1694">
        <v>-158.19499999999999</v>
      </c>
      <c r="H1694">
        <v>1.219176</v>
      </c>
      <c r="I1694">
        <v>358.99740000000003</v>
      </c>
      <c r="J1694">
        <v>-269.69209999999998</v>
      </c>
      <c r="K1694">
        <v>1.1048129999999901</v>
      </c>
      <c r="L1694">
        <v>367.2851</v>
      </c>
      <c r="M1694">
        <v>0.9998899</v>
      </c>
      <c r="N1694">
        <v>0</v>
      </c>
      <c r="O1694">
        <v>6.3374599999999996E-3</v>
      </c>
      <c r="P1694">
        <v>0.99637869999999995</v>
      </c>
      <c r="Q1694">
        <v>2.651098E-2</v>
      </c>
      <c r="R1694">
        <v>8.0790130000000002E-2</v>
      </c>
      <c r="S1694">
        <v>3.029236</v>
      </c>
      <c r="T1694">
        <v>3.106475E-3</v>
      </c>
      <c r="U1694">
        <v>-0.22491459999999999</v>
      </c>
      <c r="V1694">
        <v>-7.4482530000000005E-2</v>
      </c>
      <c r="W1694">
        <v>3.9877160000000002E-2</v>
      </c>
      <c r="X1694">
        <v>0.99642470000000005</v>
      </c>
      <c r="Y1694">
        <v>8.0363229999999994E-2</v>
      </c>
      <c r="Z1694" s="1">
        <v>4.7640560000000003E-5</v>
      </c>
      <c r="AA1694">
        <v>0.99676569999999998</v>
      </c>
      <c r="AB1694">
        <v>21</v>
      </c>
      <c r="AC1694">
        <v>111.4971</v>
      </c>
      <c r="AD1694">
        <v>0.11436300000000001</v>
      </c>
      <c r="AE1694">
        <v>-8.2876999999999708</v>
      </c>
      <c r="AF1694">
        <v>8.9941961501050098</v>
      </c>
      <c r="AG1694">
        <v>0.11436300000000001</v>
      </c>
      <c r="AH1694">
        <v>111.44221622689901</v>
      </c>
      <c r="AI1694">
        <v>89.941393141444806</v>
      </c>
      <c r="AJ1694">
        <v>85.385815577814697</v>
      </c>
      <c r="AK1694">
        <v>111.804634075897</v>
      </c>
      <c r="AL1694">
        <v>87.714601078125895</v>
      </c>
      <c r="AM1694">
        <v>94.274896870292494</v>
      </c>
      <c r="AN1694">
        <v>1.0000000089674701</v>
      </c>
    </row>
    <row r="1695" spans="1:40" x14ac:dyDescent="0.3">
      <c r="A1695" t="str">
        <f>"20200111145942245"</f>
        <v>20200111145942245</v>
      </c>
      <c r="B1695" t="str">
        <f>"1578725982236887"</f>
        <v>1578725982236887</v>
      </c>
      <c r="C1695" t="s">
        <v>40</v>
      </c>
      <c r="D1695">
        <v>3.8622809999999999</v>
      </c>
      <c r="E1695">
        <v>0.56023250000000002</v>
      </c>
      <c r="F1695" t="s">
        <v>44</v>
      </c>
      <c r="G1695">
        <v>-158.19499999999999</v>
      </c>
      <c r="H1695">
        <v>1.21139</v>
      </c>
      <c r="I1695">
        <v>358.89339999999999</v>
      </c>
      <c r="J1695">
        <v>-269.5958</v>
      </c>
      <c r="K1695">
        <v>1.104819</v>
      </c>
      <c r="L1695">
        <v>367.28579999999999</v>
      </c>
      <c r="M1695">
        <v>0.99988929999999998</v>
      </c>
      <c r="N1695">
        <v>0</v>
      </c>
      <c r="O1695">
        <v>6.4222350000000001E-3</v>
      </c>
      <c r="P1695">
        <v>0.99639230000000001</v>
      </c>
      <c r="Q1695">
        <v>2.688873E-2</v>
      </c>
      <c r="R1695">
        <v>8.0496910000000005E-2</v>
      </c>
      <c r="S1695">
        <v>3.0292970000000001</v>
      </c>
      <c r="T1695">
        <v>2.8979779999999998E-3</v>
      </c>
      <c r="U1695">
        <v>-0.2279968</v>
      </c>
      <c r="V1695">
        <v>-7.4104600000000007E-2</v>
      </c>
      <c r="W1695">
        <v>4.0261180000000001E-2</v>
      </c>
      <c r="X1695">
        <v>0.99643740000000003</v>
      </c>
      <c r="Y1695">
        <v>8.1454780000000004E-2</v>
      </c>
      <c r="Z1695" s="1">
        <v>4.5042890000000001E-5</v>
      </c>
      <c r="AA1695">
        <v>0.99667700000000004</v>
      </c>
      <c r="AB1695">
        <v>21</v>
      </c>
      <c r="AC1695">
        <v>111.4008</v>
      </c>
      <c r="AD1695">
        <v>0.106570999999999</v>
      </c>
      <c r="AE1695">
        <v>-8.3924000000000092</v>
      </c>
      <c r="AF1695">
        <v>9.1077251725725308</v>
      </c>
      <c r="AG1695">
        <v>0.106570999999999</v>
      </c>
      <c r="AH1695">
        <v>111.34449804932299</v>
      </c>
      <c r="AI1695">
        <v>89.945343135254106</v>
      </c>
      <c r="AJ1695">
        <v>85.323747184204905</v>
      </c>
      <c r="AK1695">
        <v>111.71642341685001</v>
      </c>
      <c r="AL1695">
        <v>87.692580586042595</v>
      </c>
      <c r="AM1695">
        <v>94.253231511192993</v>
      </c>
      <c r="AN1695">
        <v>0.99999997323745504</v>
      </c>
    </row>
    <row r="1696" spans="1:40" x14ac:dyDescent="0.3">
      <c r="A1696" t="str">
        <f>"20200111145942256"</f>
        <v>20200111145942256</v>
      </c>
      <c r="B1696" t="str">
        <f>"1578725982247623"</f>
        <v>1578725982247623</v>
      </c>
      <c r="C1696" t="s">
        <v>40</v>
      </c>
      <c r="D1696">
        <v>3.8861979999999998</v>
      </c>
      <c r="E1696">
        <v>0.56105450000000001</v>
      </c>
      <c r="F1696" t="s">
        <v>44</v>
      </c>
      <c r="G1696">
        <v>-158.19499999999999</v>
      </c>
      <c r="H1696">
        <v>1.4799450000000001</v>
      </c>
      <c r="I1696">
        <v>358.57369999999997</v>
      </c>
      <c r="J1696">
        <v>-269.48919999999998</v>
      </c>
      <c r="K1696">
        <v>1.104824</v>
      </c>
      <c r="L1696">
        <v>367.28660000000002</v>
      </c>
      <c r="M1696">
        <v>0.99988849999999996</v>
      </c>
      <c r="N1696">
        <v>0</v>
      </c>
      <c r="O1696">
        <v>6.5161280000000004E-3</v>
      </c>
      <c r="P1696">
        <v>0.99640110000000004</v>
      </c>
      <c r="Q1696">
        <v>2.6902760000000001E-2</v>
      </c>
      <c r="R1696">
        <v>8.0381369999999994E-2</v>
      </c>
      <c r="S1696">
        <v>3.0296940000000001</v>
      </c>
      <c r="T1696">
        <v>1.020443E-2</v>
      </c>
      <c r="U1696">
        <v>-0.2369385</v>
      </c>
      <c r="V1696">
        <v>-7.3895470000000005E-2</v>
      </c>
      <c r="W1696">
        <v>4.0280700000000003E-2</v>
      </c>
      <c r="X1696">
        <v>0.99645220000000001</v>
      </c>
      <c r="Y1696">
        <v>8.446207E-2</v>
      </c>
      <c r="Z1696">
        <v>1.6393979999999999E-4</v>
      </c>
      <c r="AA1696">
        <v>0.9964267</v>
      </c>
      <c r="AB1696">
        <v>21</v>
      </c>
      <c r="AC1696">
        <v>111.2942</v>
      </c>
      <c r="AD1696">
        <v>0.37512099999999998</v>
      </c>
      <c r="AE1696">
        <v>-8.7129000000000403</v>
      </c>
      <c r="AF1696">
        <v>9.4378811458203504</v>
      </c>
      <c r="AG1696">
        <v>0.37512099999999998</v>
      </c>
      <c r="AH1696">
        <v>111.233801305019</v>
      </c>
      <c r="AI1696">
        <v>89.8074702080376</v>
      </c>
      <c r="AJ1696">
        <v>85.150226856524597</v>
      </c>
      <c r="AK1696">
        <v>111.634102625729</v>
      </c>
      <c r="AL1696">
        <v>87.691461398007505</v>
      </c>
      <c r="AM1696">
        <v>94.241209597249906</v>
      </c>
      <c r="AN1696">
        <v>1.0000000310819199</v>
      </c>
    </row>
    <row r="1697" spans="1:40" x14ac:dyDescent="0.3">
      <c r="A1697" t="str">
        <f>"20200111145942268"</f>
        <v>20200111145942268</v>
      </c>
      <c r="B1697" t="str">
        <f>"1578725982257385"</f>
        <v>1578725982257385</v>
      </c>
      <c r="C1697" t="s">
        <v>40</v>
      </c>
      <c r="D1697">
        <v>3.8920219999999999</v>
      </c>
      <c r="E1697">
        <v>0.56170730000000002</v>
      </c>
      <c r="F1697" t="s">
        <v>44</v>
      </c>
      <c r="G1697">
        <v>-158.19499999999999</v>
      </c>
      <c r="H1697">
        <v>1.7682770000000001</v>
      </c>
      <c r="I1697">
        <v>358.33370000000002</v>
      </c>
      <c r="J1697">
        <v>-269.3827</v>
      </c>
      <c r="K1697">
        <v>1.1048249999999999</v>
      </c>
      <c r="L1697">
        <v>367.28739999999999</v>
      </c>
      <c r="M1697">
        <v>0.99988779999999999</v>
      </c>
      <c r="N1697">
        <v>0</v>
      </c>
      <c r="O1697">
        <v>6.6102039999999997E-3</v>
      </c>
      <c r="P1697">
        <v>0.99639699999999998</v>
      </c>
      <c r="Q1697">
        <v>2.6995959999999999E-2</v>
      </c>
      <c r="R1697">
        <v>8.0400070000000004E-2</v>
      </c>
      <c r="S1697">
        <v>3.0299990000000001</v>
      </c>
      <c r="T1697">
        <v>1.8064980000000001E-2</v>
      </c>
      <c r="U1697">
        <v>-0.24374390000000001</v>
      </c>
      <c r="V1697">
        <v>-7.3820590000000005E-2</v>
      </c>
      <c r="W1697">
        <v>4.0378379999999998E-2</v>
      </c>
      <c r="X1697">
        <v>0.99645379999999995</v>
      </c>
      <c r="Y1697">
        <v>8.6770669999999994E-2</v>
      </c>
      <c r="Z1697">
        <v>2.9759810000000003E-4</v>
      </c>
      <c r="AA1697">
        <v>0.99622829999999996</v>
      </c>
      <c r="AB1697">
        <v>21</v>
      </c>
      <c r="AC1697">
        <v>111.18770000000001</v>
      </c>
      <c r="AD1697">
        <v>0.66345200000000004</v>
      </c>
      <c r="AE1697">
        <v>-8.9536999999999694</v>
      </c>
      <c r="AF1697">
        <v>9.6882014162669403</v>
      </c>
      <c r="AG1697">
        <v>0.66345200000000004</v>
      </c>
      <c r="AH1697">
        <v>111.122148277902</v>
      </c>
      <c r="AI1697">
        <v>89.659213767835197</v>
      </c>
      <c r="AJ1697">
        <v>85.017258273312507</v>
      </c>
      <c r="AK1697">
        <v>111.545655465081</v>
      </c>
      <c r="AL1697">
        <v>87.685860196946294</v>
      </c>
      <c r="AM1697">
        <v>94.236920760791506</v>
      </c>
      <c r="AN1697">
        <v>1.0000000343069</v>
      </c>
    </row>
    <row r="1698" spans="1:40" x14ac:dyDescent="0.3">
      <c r="A1698" t="str">
        <f>"20200111145942279"</f>
        <v>20200111145942279</v>
      </c>
      <c r="B1698" t="str">
        <f>"1578725982276903"</f>
        <v>1578725982276903</v>
      </c>
      <c r="C1698" t="s">
        <v>40</v>
      </c>
      <c r="D1698">
        <v>3.8581750000000001</v>
      </c>
      <c r="E1698">
        <v>0.56288640000000001</v>
      </c>
      <c r="F1698" t="s">
        <v>44</v>
      </c>
      <c r="G1698">
        <v>-158.19499999999999</v>
      </c>
      <c r="H1698">
        <v>1.9443520000000001</v>
      </c>
      <c r="I1698">
        <v>358.14249999999998</v>
      </c>
      <c r="J1698">
        <v>-269.27429999999998</v>
      </c>
      <c r="K1698">
        <v>1.1048260000000001</v>
      </c>
      <c r="L1698">
        <v>367.28820000000002</v>
      </c>
      <c r="M1698">
        <v>0.99988710000000003</v>
      </c>
      <c r="N1698">
        <v>0</v>
      </c>
      <c r="O1698">
        <v>6.7055910000000003E-3</v>
      </c>
      <c r="P1698">
        <v>0.99639219999999895</v>
      </c>
      <c r="Q1698">
        <v>2.6712489999999998E-2</v>
      </c>
      <c r="R1698">
        <v>8.0555379999999996E-2</v>
      </c>
      <c r="S1698">
        <v>3.0303339999999999</v>
      </c>
      <c r="T1698">
        <v>2.288306E-2</v>
      </c>
      <c r="U1698">
        <v>-0.24923709999999999</v>
      </c>
      <c r="V1698">
        <v>-7.3880810000000005E-2</v>
      </c>
      <c r="W1698">
        <v>4.0100139999999999E-2</v>
      </c>
      <c r="X1698">
        <v>0.99646060000000003</v>
      </c>
      <c r="Y1698">
        <v>8.8649679999999995E-2</v>
      </c>
      <c r="Z1698">
        <v>3.8470049999999998E-4</v>
      </c>
      <c r="AA1698">
        <v>0.99606280000000003</v>
      </c>
      <c r="AB1698">
        <v>21</v>
      </c>
      <c r="AC1698">
        <v>111.0793</v>
      </c>
      <c r="AD1698">
        <v>0.83952599999999999</v>
      </c>
      <c r="AE1698">
        <v>-9.1457000000000299</v>
      </c>
      <c r="AF1698">
        <v>9.8898529264585004</v>
      </c>
      <c r="AG1698">
        <v>0.83952599999999999</v>
      </c>
      <c r="AH1698">
        <v>111.009170964476</v>
      </c>
      <c r="AI1698">
        <v>89.568408389830694</v>
      </c>
      <c r="AJ1698">
        <v>84.908936359280503</v>
      </c>
      <c r="AK1698">
        <v>111.45200775684501</v>
      </c>
      <c r="AL1698">
        <v>87.701815158591103</v>
      </c>
      <c r="AM1698">
        <v>94.2403356447752</v>
      </c>
      <c r="AN1698">
        <v>1.00000006133331</v>
      </c>
    </row>
    <row r="1699" spans="1:40" x14ac:dyDescent="0.3">
      <c r="A1699" t="str">
        <f>"20200111145942291"</f>
        <v>20200111145942291</v>
      </c>
      <c r="B1699" t="str">
        <f>"1578725982287640"</f>
        <v>1578725982287640</v>
      </c>
      <c r="C1699" t="s">
        <v>40</v>
      </c>
      <c r="D1699">
        <v>3.8436870000000001</v>
      </c>
      <c r="E1699">
        <v>0.56338029999999995</v>
      </c>
      <c r="F1699" t="s">
        <v>44</v>
      </c>
      <c r="G1699">
        <v>-158.19499999999999</v>
      </c>
      <c r="H1699">
        <v>2.1122369999999999</v>
      </c>
      <c r="I1699">
        <v>357.82659999999998</v>
      </c>
      <c r="J1699">
        <v>-269.16910000000001</v>
      </c>
      <c r="K1699">
        <v>1.1048279999999999</v>
      </c>
      <c r="L1699">
        <v>367.28899999999999</v>
      </c>
      <c r="M1699">
        <v>0.99988650000000001</v>
      </c>
      <c r="N1699">
        <v>0</v>
      </c>
      <c r="O1699">
        <v>6.798658E-3</v>
      </c>
      <c r="P1699">
        <v>0.99639310000000003</v>
      </c>
      <c r="Q1699">
        <v>2.6379429999999999E-2</v>
      </c>
      <c r="R1699">
        <v>8.0654379999999998E-2</v>
      </c>
      <c r="S1699">
        <v>3.0310060000000001</v>
      </c>
      <c r="T1699">
        <v>2.7491450000000001E-2</v>
      </c>
      <c r="U1699">
        <v>-0.25817869999999998</v>
      </c>
      <c r="V1699">
        <v>-7.3886999999999994E-2</v>
      </c>
      <c r="W1699">
        <v>3.9771389999999997E-2</v>
      </c>
      <c r="X1699">
        <v>0.99647330000000001</v>
      </c>
      <c r="Y1699">
        <v>9.1640639999999995E-2</v>
      </c>
      <c r="Z1699">
        <v>4.7639539999999998E-4</v>
      </c>
      <c r="AA1699">
        <v>0.99579200000000001</v>
      </c>
      <c r="AB1699">
        <v>21</v>
      </c>
      <c r="AC1699">
        <v>110.97410000000001</v>
      </c>
      <c r="AD1699">
        <v>1.00740899999999</v>
      </c>
      <c r="AE1699">
        <v>-9.4624000000000006</v>
      </c>
      <c r="AF1699">
        <v>10.2158886345808</v>
      </c>
      <c r="AG1699">
        <v>1.00740899999999</v>
      </c>
      <c r="AH1699">
        <v>110.89812445326299</v>
      </c>
      <c r="AI1699">
        <v>89.481728327551096</v>
      </c>
      <c r="AJ1699">
        <v>84.736791213751104</v>
      </c>
      <c r="AK1699">
        <v>111.372228408786</v>
      </c>
      <c r="AL1699">
        <v>87.720666146029501</v>
      </c>
      <c r="AM1699">
        <v>94.240635769153698</v>
      </c>
      <c r="AN1699">
        <v>1.00000004492221</v>
      </c>
    </row>
    <row r="1700" spans="1:40" x14ac:dyDescent="0.3">
      <c r="A1700" t="str">
        <f>"20200111145942303"</f>
        <v>20200111145942303</v>
      </c>
      <c r="B1700" t="str">
        <f>"1578725982297400"</f>
        <v>1578725982297400</v>
      </c>
      <c r="C1700" t="s">
        <v>40</v>
      </c>
      <c r="D1700">
        <v>3.796106</v>
      </c>
      <c r="E1700">
        <v>0.56369349999999996</v>
      </c>
      <c r="F1700" t="s">
        <v>44</v>
      </c>
      <c r="G1700">
        <v>-158.19499999999999</v>
      </c>
      <c r="H1700">
        <v>2.1789170000000002</v>
      </c>
      <c r="I1700">
        <v>357.70650000000001</v>
      </c>
      <c r="J1700">
        <v>-269.06049999999999</v>
      </c>
      <c r="K1700">
        <v>1.1048309999999999</v>
      </c>
      <c r="L1700">
        <v>367.28989999999999</v>
      </c>
      <c r="M1700">
        <v>0.99988569999999999</v>
      </c>
      <c r="N1700">
        <v>0</v>
      </c>
      <c r="O1700">
        <v>6.8947039999999998E-3</v>
      </c>
      <c r="P1700">
        <v>0.99640200000000001</v>
      </c>
      <c r="Q1700">
        <v>2.6264030000000001E-2</v>
      </c>
      <c r="R1700">
        <v>8.0581929999999996E-2</v>
      </c>
      <c r="S1700">
        <v>3.0312809999999999</v>
      </c>
      <c r="T1700">
        <v>2.934134E-2</v>
      </c>
      <c r="U1700">
        <v>-0.26174930000000002</v>
      </c>
      <c r="V1700">
        <v>-7.3718640000000002E-2</v>
      </c>
      <c r="W1700">
        <v>3.9659890000000003E-2</v>
      </c>
      <c r="X1700">
        <v>0.99649019999999999</v>
      </c>
      <c r="Y1700">
        <v>9.2892359999999993E-2</v>
      </c>
      <c r="Z1700">
        <v>5.1535399999999999E-4</v>
      </c>
      <c r="AA1700">
        <v>0.99567600000000001</v>
      </c>
      <c r="AB1700">
        <v>21</v>
      </c>
      <c r="AC1700">
        <v>110.8655</v>
      </c>
      <c r="AD1700">
        <v>1.0740860000000001</v>
      </c>
      <c r="AE1700">
        <v>-9.5833999999999797</v>
      </c>
      <c r="AF1700">
        <v>10.3466622393967</v>
      </c>
      <c r="AG1700">
        <v>1.0740860000000001</v>
      </c>
      <c r="AH1700">
        <v>110.786462292308</v>
      </c>
      <c r="AI1700">
        <v>89.446935592082497</v>
      </c>
      <c r="AJ1700">
        <v>84.664461155163906</v>
      </c>
      <c r="AK1700">
        <v>111.27374940872799</v>
      </c>
      <c r="AL1700">
        <v>87.727059639498506</v>
      </c>
      <c r="AM1700">
        <v>94.230936628600006</v>
      </c>
      <c r="AN1700">
        <v>1.00000003172715</v>
      </c>
    </row>
    <row r="1701" spans="1:40" x14ac:dyDescent="0.3">
      <c r="A1701" t="str">
        <f>"20200111145942313"</f>
        <v>20200111145942313</v>
      </c>
      <c r="B1701" t="str">
        <f>"1578725982307159"</f>
        <v>1578725982307159</v>
      </c>
      <c r="C1701" t="s">
        <v>40</v>
      </c>
      <c r="D1701">
        <v>3.9705659999999998</v>
      </c>
      <c r="E1701">
        <v>0.56439530000000004</v>
      </c>
      <c r="F1701" t="s">
        <v>44</v>
      </c>
      <c r="G1701">
        <v>-158.19499999999999</v>
      </c>
      <c r="H1701">
        <v>2.2181199999999999</v>
      </c>
      <c r="I1701">
        <v>357.6123</v>
      </c>
      <c r="J1701">
        <v>-268.9538</v>
      </c>
      <c r="K1701">
        <v>1.104832</v>
      </c>
      <c r="L1701">
        <v>367.29070000000002</v>
      </c>
      <c r="M1701">
        <v>0.99988509999999997</v>
      </c>
      <c r="N1701">
        <v>0</v>
      </c>
      <c r="O1701">
        <v>6.9880719999999997E-3</v>
      </c>
      <c r="P1701">
        <v>0.99640260000000003</v>
      </c>
      <c r="Q1701">
        <v>2.5811589999999999E-2</v>
      </c>
      <c r="R1701">
        <v>8.0721660000000001E-2</v>
      </c>
      <c r="S1701">
        <v>3.0314329999999998</v>
      </c>
      <c r="T1701">
        <v>3.044343E-2</v>
      </c>
      <c r="U1701">
        <v>-0.26461790000000002</v>
      </c>
      <c r="V1701">
        <v>-7.37651E-2</v>
      </c>
      <c r="W1701">
        <v>3.9211059999999999E-2</v>
      </c>
      <c r="X1701">
        <v>0.99650450000000002</v>
      </c>
      <c r="Y1701">
        <v>9.3915730000000003E-2</v>
      </c>
      <c r="Z1701">
        <v>5.4072629999999896E-4</v>
      </c>
      <c r="AA1701">
        <v>0.99558000000000002</v>
      </c>
      <c r="AB1701">
        <v>21</v>
      </c>
      <c r="AC1701">
        <v>110.75879999999999</v>
      </c>
      <c r="AD1701">
        <v>1.1132879999999901</v>
      </c>
      <c r="AE1701">
        <v>-9.6783999999999999</v>
      </c>
      <c r="AF1701">
        <v>10.4511762468718</v>
      </c>
      <c r="AG1701">
        <v>1.1132879999999901</v>
      </c>
      <c r="AH1701">
        <v>110.67735844100299</v>
      </c>
      <c r="AI1701">
        <v>89.426241457917897</v>
      </c>
      <c r="AJ1701">
        <v>84.605600213748801</v>
      </c>
      <c r="AK1701">
        <v>111.175285772479</v>
      </c>
      <c r="AL1701">
        <v>87.752795669568499</v>
      </c>
      <c r="AM1701">
        <v>94.233532885310296</v>
      </c>
      <c r="AN1701">
        <v>1.0000000078622899</v>
      </c>
    </row>
    <row r="1702" spans="1:40" x14ac:dyDescent="0.3">
      <c r="A1702" t="str">
        <f>"20200111145942324"</f>
        <v>20200111145942324</v>
      </c>
      <c r="B1702" t="str">
        <f>"1578725982316918"</f>
        <v>1578725982316918</v>
      </c>
      <c r="C1702" t="s">
        <v>40</v>
      </c>
      <c r="D1702">
        <v>3.8192659999999998</v>
      </c>
      <c r="E1702">
        <v>0.56454099999999996</v>
      </c>
      <c r="F1702" t="s">
        <v>44</v>
      </c>
      <c r="G1702">
        <v>-158.19499999999999</v>
      </c>
      <c r="H1702">
        <v>2.2151999999999998</v>
      </c>
      <c r="I1702">
        <v>357.44130000000001</v>
      </c>
      <c r="J1702">
        <v>-268.85340000000002</v>
      </c>
      <c r="K1702">
        <v>1.1048340000000001</v>
      </c>
      <c r="L1702">
        <v>367.29149999999998</v>
      </c>
      <c r="M1702">
        <v>0.99988429999999995</v>
      </c>
      <c r="N1702">
        <v>0</v>
      </c>
      <c r="O1702">
        <v>7.0760789999999999E-3</v>
      </c>
      <c r="P1702">
        <v>0.99635839999999998</v>
      </c>
      <c r="Q1702">
        <v>2.5834909999999999E-2</v>
      </c>
      <c r="R1702">
        <v>8.1254670000000001E-2</v>
      </c>
      <c r="S1702">
        <v>3.031952</v>
      </c>
      <c r="T1702">
        <v>3.039801E-2</v>
      </c>
      <c r="U1702">
        <v>-0.2696228</v>
      </c>
      <c r="V1702">
        <v>-7.421026E-2</v>
      </c>
      <c r="W1702">
        <v>3.9236310000000003E-2</v>
      </c>
      <c r="X1702">
        <v>0.99647050000000004</v>
      </c>
      <c r="Y1702">
        <v>9.5619159999999995E-2</v>
      </c>
      <c r="Z1702">
        <v>5.491917E-4</v>
      </c>
      <c r="AA1702">
        <v>0.99541780000000002</v>
      </c>
      <c r="AB1702">
        <v>21</v>
      </c>
      <c r="AC1702">
        <v>110.6584</v>
      </c>
      <c r="AD1702">
        <v>1.11036599999999</v>
      </c>
      <c r="AE1702">
        <v>-9.8501999999999708</v>
      </c>
      <c r="AF1702">
        <v>10.631989862197001</v>
      </c>
      <c r="AG1702">
        <v>1.11036599999999</v>
      </c>
      <c r="AH1702">
        <v>110.574876288837</v>
      </c>
      <c r="AI1702">
        <v>89.427310110125006</v>
      </c>
      <c r="AJ1702">
        <v>84.507783147774504</v>
      </c>
      <c r="AK1702">
        <v>111.09039286714</v>
      </c>
      <c r="AL1702">
        <v>87.7513479408682</v>
      </c>
      <c r="AM1702">
        <v>94.259132601983893</v>
      </c>
      <c r="AN1702">
        <v>1.0000000540409599</v>
      </c>
    </row>
    <row r="1703" spans="1:40" x14ac:dyDescent="0.3">
      <c r="A1703" t="str">
        <f>"20200111145942334"</f>
        <v>20200111145942334</v>
      </c>
      <c r="B1703" t="str">
        <f>"1578725982327655"</f>
        <v>1578725982327655</v>
      </c>
      <c r="C1703" t="s">
        <v>40</v>
      </c>
      <c r="D1703">
        <v>3.8172329999999999</v>
      </c>
      <c r="E1703">
        <v>0.56483329999999998</v>
      </c>
      <c r="F1703" t="s">
        <v>44</v>
      </c>
      <c r="G1703">
        <v>-158.19499999999999</v>
      </c>
      <c r="H1703">
        <v>2.244856</v>
      </c>
      <c r="I1703">
        <v>357.47820000000002</v>
      </c>
      <c r="J1703">
        <v>-268.75619999999998</v>
      </c>
      <c r="K1703">
        <v>1.104835</v>
      </c>
      <c r="L1703">
        <v>367.29230000000001</v>
      </c>
      <c r="M1703">
        <v>0.99988379999999999</v>
      </c>
      <c r="N1703">
        <v>0</v>
      </c>
      <c r="O1703">
        <v>7.1603910000000003E-3</v>
      </c>
      <c r="P1703">
        <v>0.99632980000000004</v>
      </c>
      <c r="Q1703">
        <v>2.587675E-2</v>
      </c>
      <c r="R1703">
        <v>8.1594330000000007E-2</v>
      </c>
      <c r="S1703">
        <v>3.0321039999999999</v>
      </c>
      <c r="T1703">
        <v>3.1239630000000001E-2</v>
      </c>
      <c r="U1703">
        <v>-0.26889039999999997</v>
      </c>
      <c r="V1703">
        <v>-7.4466240000000003E-2</v>
      </c>
      <c r="W1703">
        <v>3.9280629999999997E-2</v>
      </c>
      <c r="X1703">
        <v>0.99644960000000005</v>
      </c>
      <c r="Y1703">
        <v>9.5459820000000001E-2</v>
      </c>
      <c r="Z1703">
        <v>5.6442180000000001E-4</v>
      </c>
      <c r="AA1703">
        <v>0.99543320000000002</v>
      </c>
      <c r="AB1703">
        <v>21</v>
      </c>
      <c r="AC1703">
        <v>110.5612</v>
      </c>
      <c r="AD1703">
        <v>1.140021</v>
      </c>
      <c r="AE1703">
        <v>-9.8140999999999892</v>
      </c>
      <c r="AF1703">
        <v>10.6044628173783</v>
      </c>
      <c r="AG1703">
        <v>1.140021</v>
      </c>
      <c r="AH1703">
        <v>110.476431821841</v>
      </c>
      <c r="AI1703">
        <v>89.411483038335007</v>
      </c>
      <c r="AJ1703">
        <v>84.517064577767499</v>
      </c>
      <c r="AK1703">
        <v>110.990072833616</v>
      </c>
      <c r="AL1703">
        <v>87.748806504609007</v>
      </c>
      <c r="AM1703">
        <v>94.273858971488806</v>
      </c>
      <c r="AN1703">
        <v>0.99999999706654696</v>
      </c>
    </row>
    <row r="1704" spans="1:40" x14ac:dyDescent="0.3">
      <c r="A1704" t="str">
        <f>"20200111145942346"</f>
        <v>20200111145942346</v>
      </c>
      <c r="B1704" t="str">
        <f>"1578725982337417"</f>
        <v>1578725982337417</v>
      </c>
      <c r="C1704" t="s">
        <v>40</v>
      </c>
      <c r="D1704">
        <v>3.80776</v>
      </c>
      <c r="E1704">
        <v>0.56506599999999996</v>
      </c>
      <c r="F1704" t="s">
        <v>44</v>
      </c>
      <c r="G1704">
        <v>-158.19499999999999</v>
      </c>
      <c r="H1704">
        <v>2.297202</v>
      </c>
      <c r="I1704">
        <v>357.42939999999999</v>
      </c>
      <c r="J1704">
        <v>-268.65519999999998</v>
      </c>
      <c r="K1704">
        <v>1.104835</v>
      </c>
      <c r="L1704">
        <v>367.29320000000001</v>
      </c>
      <c r="M1704">
        <v>0.99988310000000002</v>
      </c>
      <c r="N1704">
        <v>0</v>
      </c>
      <c r="O1704">
        <v>7.2482199999999997E-3</v>
      </c>
      <c r="P1704">
        <v>0.99629719999999999</v>
      </c>
      <c r="Q1704">
        <v>2.5719100000000002E-2</v>
      </c>
      <c r="R1704">
        <v>8.2040089999999996E-2</v>
      </c>
      <c r="S1704">
        <v>3.032349</v>
      </c>
      <c r="T1704">
        <v>3.2705310000000001E-2</v>
      </c>
      <c r="U1704">
        <v>-0.27050780000000002</v>
      </c>
      <c r="V1704">
        <v>-7.4824450000000001E-2</v>
      </c>
      <c r="W1704">
        <v>3.912529E-2</v>
      </c>
      <c r="X1704">
        <v>0.99642889999999995</v>
      </c>
      <c r="Y1704">
        <v>9.6066429999999994E-2</v>
      </c>
      <c r="Z1704">
        <v>5.9505050000000002E-4</v>
      </c>
      <c r="AA1704">
        <v>0.99537469999999995</v>
      </c>
      <c r="AB1704">
        <v>21</v>
      </c>
      <c r="AC1704">
        <v>110.4602</v>
      </c>
      <c r="AD1704">
        <v>1.192367</v>
      </c>
      <c r="AE1704">
        <v>-9.8638000000000208</v>
      </c>
      <c r="AF1704">
        <v>10.663020594221001</v>
      </c>
      <c r="AG1704">
        <v>1.192367</v>
      </c>
      <c r="AH1704">
        <v>110.37303720178301</v>
      </c>
      <c r="AI1704">
        <v>89.383922211437394</v>
      </c>
      <c r="AJ1704">
        <v>84.481841266434898</v>
      </c>
      <c r="AK1704">
        <v>110.89332301090801</v>
      </c>
      <c r="AL1704">
        <v>87.7577137290248</v>
      </c>
      <c r="AM1704">
        <v>94.294429958380903</v>
      </c>
      <c r="AN1704">
        <v>1.0000000196952901</v>
      </c>
    </row>
    <row r="1705" spans="1:40" x14ac:dyDescent="0.3">
      <c r="A1705" t="str">
        <f>"20200111145942356"</f>
        <v>20200111145942356</v>
      </c>
      <c r="B1705" t="str">
        <f>"1578725982347175"</f>
        <v>1578725982347175</v>
      </c>
      <c r="C1705" t="s">
        <v>40</v>
      </c>
      <c r="D1705">
        <v>3.8288500000000001</v>
      </c>
      <c r="E1705">
        <v>0.5652163</v>
      </c>
      <c r="F1705" t="s">
        <v>44</v>
      </c>
      <c r="G1705">
        <v>-158.19499999999999</v>
      </c>
      <c r="H1705">
        <v>2.3211629999999999</v>
      </c>
      <c r="I1705">
        <v>357.41800000000001</v>
      </c>
      <c r="J1705">
        <v>-268.54790000000003</v>
      </c>
      <c r="K1705">
        <v>1.104833</v>
      </c>
      <c r="L1705">
        <v>367.29410000000001</v>
      </c>
      <c r="M1705">
        <v>0.99988250000000001</v>
      </c>
      <c r="N1705">
        <v>0</v>
      </c>
      <c r="O1705">
        <v>7.3408750000000002E-3</v>
      </c>
      <c r="P1705">
        <v>0.9962512</v>
      </c>
      <c r="Q1705">
        <v>2.577863E-2</v>
      </c>
      <c r="R1705">
        <v>8.2579390000000003E-2</v>
      </c>
      <c r="S1705">
        <v>3.0326230000000001</v>
      </c>
      <c r="T1705">
        <v>3.3396009999999997E-2</v>
      </c>
      <c r="U1705">
        <v>-0.27111819999999998</v>
      </c>
      <c r="V1705">
        <v>-7.5271850000000001E-2</v>
      </c>
      <c r="W1705">
        <v>3.9186289999999999E-2</v>
      </c>
      <c r="X1705">
        <v>0.99639279999999997</v>
      </c>
      <c r="Y1705">
        <v>9.6349149999999995E-2</v>
      </c>
      <c r="Z1705">
        <v>6.1012830000000003E-4</v>
      </c>
      <c r="AA1705">
        <v>0.99534739999999999</v>
      </c>
      <c r="AB1705">
        <v>21</v>
      </c>
      <c r="AC1705">
        <v>110.35290000000001</v>
      </c>
      <c r="AD1705">
        <v>1.2163299999999999</v>
      </c>
      <c r="AE1705">
        <v>-9.8760999999999992</v>
      </c>
      <c r="AF1705">
        <v>10.684706296370701</v>
      </c>
      <c r="AG1705">
        <v>1.2163299999999999</v>
      </c>
      <c r="AH1705">
        <v>110.26413087892099</v>
      </c>
      <c r="AI1705">
        <v>89.370938821775496</v>
      </c>
      <c r="AJ1705">
        <v>84.465260972100793</v>
      </c>
      <c r="AK1705">
        <v>110.787277996133</v>
      </c>
      <c r="AL1705">
        <v>87.754215992098295</v>
      </c>
      <c r="AM1705">
        <v>94.320166772382294</v>
      </c>
      <c r="AN1705">
        <v>1.0000000143091099</v>
      </c>
    </row>
    <row r="1706" spans="1:40" x14ac:dyDescent="0.3">
      <c r="A1706" t="str">
        <f>"20200111145942369"</f>
        <v>20200111145942369</v>
      </c>
      <c r="B1706" t="str">
        <f>"1578725982356935"</f>
        <v>1578725982356935</v>
      </c>
      <c r="C1706" t="s">
        <v>40</v>
      </c>
      <c r="D1706">
        <v>3.825253</v>
      </c>
      <c r="E1706">
        <v>0.56537749999999998</v>
      </c>
      <c r="F1706" t="s">
        <v>44</v>
      </c>
      <c r="G1706">
        <v>-158.19499999999999</v>
      </c>
      <c r="H1706">
        <v>2.3461280000000002</v>
      </c>
      <c r="I1706">
        <v>357.45569999999998</v>
      </c>
      <c r="J1706">
        <v>-268.4409</v>
      </c>
      <c r="K1706">
        <v>1.104833</v>
      </c>
      <c r="L1706">
        <v>367.29500000000002</v>
      </c>
      <c r="M1706">
        <v>0.99988160000000004</v>
      </c>
      <c r="N1706">
        <v>0</v>
      </c>
      <c r="O1706">
        <v>7.4332360000000002E-3</v>
      </c>
      <c r="P1706">
        <v>0.9962453</v>
      </c>
      <c r="Q1706">
        <v>2.524119E-2</v>
      </c>
      <c r="R1706">
        <v>8.2813239999999996E-2</v>
      </c>
      <c r="S1706">
        <v>3.0328059999999999</v>
      </c>
      <c r="T1706">
        <v>3.4116630000000002E-2</v>
      </c>
      <c r="U1706">
        <v>-0.27038570000000001</v>
      </c>
      <c r="V1706">
        <v>-7.5413579999999994E-2</v>
      </c>
      <c r="W1706">
        <v>3.8651199999999997E-2</v>
      </c>
      <c r="X1706">
        <v>0.99640300000000004</v>
      </c>
      <c r="Y1706">
        <v>9.6197019999999994E-2</v>
      </c>
      <c r="Z1706">
        <v>6.2344530000000003E-4</v>
      </c>
      <c r="AA1706">
        <v>0.99536210000000003</v>
      </c>
      <c r="AB1706">
        <v>21</v>
      </c>
      <c r="AC1706">
        <v>110.24590000000001</v>
      </c>
      <c r="AD1706">
        <v>1.24129499999999</v>
      </c>
      <c r="AE1706">
        <v>-9.8393000000000299</v>
      </c>
      <c r="AF1706">
        <v>10.657245936583299</v>
      </c>
      <c r="AG1706">
        <v>1.24129499999999</v>
      </c>
      <c r="AH1706">
        <v>110.155854837875</v>
      </c>
      <c r="AI1706">
        <v>89.357388042601997</v>
      </c>
      <c r="AJ1706">
        <v>84.474004786321203</v>
      </c>
      <c r="AK1706">
        <v>110.67714334628</v>
      </c>
      <c r="AL1706">
        <v>87.7848976724338</v>
      </c>
      <c r="AM1706">
        <v>94.328226228335694</v>
      </c>
      <c r="AN1706">
        <v>1.0000000308594199</v>
      </c>
    </row>
    <row r="1707" spans="1:40" x14ac:dyDescent="0.3">
      <c r="A1707" t="str">
        <f>"20200111145942381"</f>
        <v>20200111145942381</v>
      </c>
      <c r="B1707" t="str">
        <f>"1578725982377431"</f>
        <v>1578725982377431</v>
      </c>
      <c r="C1707" t="s">
        <v>40</v>
      </c>
      <c r="D1707">
        <v>3.8968989999999999</v>
      </c>
      <c r="E1707">
        <v>0.56558379999999997</v>
      </c>
      <c r="F1707" t="s">
        <v>44</v>
      </c>
      <c r="G1707">
        <v>-158.19499999999999</v>
      </c>
      <c r="H1707">
        <v>2.279887</v>
      </c>
      <c r="I1707">
        <v>357.44470000000001</v>
      </c>
      <c r="J1707">
        <v>-268.33479999999997</v>
      </c>
      <c r="K1707">
        <v>1.104832</v>
      </c>
      <c r="L1707">
        <v>367.29579999999999</v>
      </c>
      <c r="M1707">
        <v>0.99988100000000002</v>
      </c>
      <c r="N1707">
        <v>0</v>
      </c>
      <c r="O1707">
        <v>7.5242269999999997E-3</v>
      </c>
      <c r="P1707">
        <v>0.99625710000000001</v>
      </c>
      <c r="Q1707">
        <v>2.5145399999999998E-2</v>
      </c>
      <c r="R1707">
        <v>8.270255E-2</v>
      </c>
      <c r="S1707">
        <v>3.03302</v>
      </c>
      <c r="T1707">
        <v>3.2329799999999999E-2</v>
      </c>
      <c r="U1707">
        <v>-0.27099610000000002</v>
      </c>
      <c r="V1707">
        <v>-7.5211449999999999E-2</v>
      </c>
      <c r="W1707">
        <v>3.8557330000000001E-2</v>
      </c>
      <c r="X1707">
        <v>0.99642189999999997</v>
      </c>
      <c r="Y1707">
        <v>9.6480759999999999E-2</v>
      </c>
      <c r="Z1707">
        <v>5.9322539999999999E-4</v>
      </c>
      <c r="AA1707">
        <v>0.99533470000000002</v>
      </c>
      <c r="AB1707">
        <v>21</v>
      </c>
      <c r="AC1707">
        <v>110.139799999999</v>
      </c>
      <c r="AD1707">
        <v>1.175055</v>
      </c>
      <c r="AE1707">
        <v>-9.8510999999999704</v>
      </c>
      <c r="AF1707">
        <v>10.6784073145131</v>
      </c>
      <c r="AG1707">
        <v>1.175055</v>
      </c>
      <c r="AH1707">
        <v>110.050126268166</v>
      </c>
      <c r="AI1707">
        <v>89.391109775733199</v>
      </c>
      <c r="AJ1707">
        <v>84.457813939931697</v>
      </c>
      <c r="AK1707">
        <v>110.57323106731999</v>
      </c>
      <c r="AL1707">
        <v>87.790280007160106</v>
      </c>
      <c r="AM1707">
        <v>94.316587680996804</v>
      </c>
      <c r="AN1707">
        <v>1.0000000163537199</v>
      </c>
    </row>
    <row r="1708" spans="1:40" x14ac:dyDescent="0.3">
      <c r="A1708" t="str">
        <f>"20200111145942392"</f>
        <v>20200111145942392</v>
      </c>
      <c r="B1708" t="str">
        <f>"1578725982387190"</f>
        <v>1578725982387190</v>
      </c>
      <c r="C1708" t="s">
        <v>40</v>
      </c>
      <c r="D1708">
        <v>3.860589</v>
      </c>
      <c r="E1708">
        <v>0.56558540000000002</v>
      </c>
      <c r="F1708" t="s">
        <v>44</v>
      </c>
      <c r="G1708">
        <v>-158.19499999999999</v>
      </c>
      <c r="H1708">
        <v>2.3575910000000002</v>
      </c>
      <c r="I1708">
        <v>357.3777</v>
      </c>
      <c r="J1708">
        <v>-268.22620000000001</v>
      </c>
      <c r="K1708">
        <v>1.104832</v>
      </c>
      <c r="L1708">
        <v>367.29680000000002</v>
      </c>
      <c r="M1708">
        <v>0.99988030000000006</v>
      </c>
      <c r="N1708">
        <v>0</v>
      </c>
      <c r="O1708">
        <v>7.6167739999999998E-3</v>
      </c>
      <c r="P1708">
        <v>0.99626269999999995</v>
      </c>
      <c r="Q1708">
        <v>2.4773920000000001E-2</v>
      </c>
      <c r="R1708">
        <v>8.2745600000000002E-2</v>
      </c>
      <c r="S1708">
        <v>3.0330810000000001</v>
      </c>
      <c r="T1708">
        <v>3.450143E-2</v>
      </c>
      <c r="U1708">
        <v>-0.27313229999999999</v>
      </c>
      <c r="V1708">
        <v>-7.5162149999999997E-2</v>
      </c>
      <c r="W1708">
        <v>3.8187579999999999E-2</v>
      </c>
      <c r="X1708">
        <v>0.99643979999999999</v>
      </c>
      <c r="Y1708">
        <v>9.7265619999999997E-2</v>
      </c>
      <c r="Z1708">
        <v>6.3854379999999896E-4</v>
      </c>
      <c r="AA1708">
        <v>0.99525830000000004</v>
      </c>
      <c r="AB1708">
        <v>21</v>
      </c>
      <c r="AC1708">
        <v>110.0312</v>
      </c>
      <c r="AD1708">
        <v>1.25275899999999</v>
      </c>
      <c r="AE1708">
        <v>-9.9191000000000091</v>
      </c>
      <c r="AF1708">
        <v>10.755588008767401</v>
      </c>
      <c r="AG1708">
        <v>1.25275899999999</v>
      </c>
      <c r="AH1708">
        <v>109.938312884593</v>
      </c>
      <c r="AI1708">
        <v>89.350238487357998</v>
      </c>
      <c r="AJ1708">
        <v>84.412367293124802</v>
      </c>
      <c r="AK1708">
        <v>110.47028884925101</v>
      </c>
      <c r="AL1708">
        <v>87.811480606841499</v>
      </c>
      <c r="AM1708">
        <v>94.3136917052733</v>
      </c>
      <c r="AN1708">
        <v>0.99999995754145798</v>
      </c>
    </row>
    <row r="1709" spans="1:40" x14ac:dyDescent="0.3">
      <c r="A1709" t="str">
        <f>"20200111145942402"</f>
        <v>20200111145942402</v>
      </c>
      <c r="B1709" t="str">
        <f>"1578725982396951"</f>
        <v>1578725982396951</v>
      </c>
      <c r="C1709" t="s">
        <v>40</v>
      </c>
      <c r="D1709">
        <v>3.829577</v>
      </c>
      <c r="E1709">
        <v>0.56565100000000001</v>
      </c>
      <c r="F1709" t="s">
        <v>44</v>
      </c>
      <c r="G1709">
        <v>-158.19499999999999</v>
      </c>
      <c r="H1709">
        <v>2.3763869999999998</v>
      </c>
      <c r="I1709">
        <v>357.40370000000001</v>
      </c>
      <c r="J1709">
        <v>-268.13209999999998</v>
      </c>
      <c r="K1709">
        <v>1.104833</v>
      </c>
      <c r="L1709">
        <v>367.29759999999999</v>
      </c>
      <c r="M1709">
        <v>0.99987969999999904</v>
      </c>
      <c r="N1709">
        <v>0</v>
      </c>
      <c r="O1709">
        <v>7.6970449999999996E-3</v>
      </c>
      <c r="P1709">
        <v>0.99629129999999999</v>
      </c>
      <c r="Q1709">
        <v>2.4682010000000001E-2</v>
      </c>
      <c r="R1709">
        <v>8.2430080000000003E-2</v>
      </c>
      <c r="S1709">
        <v>3.0330509999999999</v>
      </c>
      <c r="T1709">
        <v>3.5053250000000001E-2</v>
      </c>
      <c r="U1709">
        <v>-0.27270509999999998</v>
      </c>
      <c r="V1709">
        <v>-7.4766620000000006E-2</v>
      </c>
      <c r="W1709">
        <v>3.809705E-2</v>
      </c>
      <c r="X1709">
        <v>0.9964731</v>
      </c>
      <c r="Y1709">
        <v>9.7207130000000003E-2</v>
      </c>
      <c r="Z1709">
        <v>6.4935540000000003E-4</v>
      </c>
      <c r="AA1709">
        <v>0.99526389999999998</v>
      </c>
      <c r="AB1709">
        <v>21</v>
      </c>
      <c r="AC1709">
        <v>109.9371</v>
      </c>
      <c r="AD1709">
        <v>1.2715540000000001</v>
      </c>
      <c r="AE1709">
        <v>-9.8938999999999702</v>
      </c>
      <c r="AF1709">
        <v>10.7384493891105</v>
      </c>
      <c r="AG1709">
        <v>1.2715540000000001</v>
      </c>
      <c r="AH1709">
        <v>109.843105667819</v>
      </c>
      <c r="AI1709">
        <v>89.339914907013494</v>
      </c>
      <c r="AJ1709">
        <v>84.416409855985293</v>
      </c>
      <c r="AK1709">
        <v>110.374086667157</v>
      </c>
      <c r="AL1709">
        <v>87.816671542278797</v>
      </c>
      <c r="AM1709">
        <v>94.2909336719772</v>
      </c>
      <c r="AN1709">
        <v>1.00000003585426</v>
      </c>
    </row>
    <row r="1710" spans="1:40" x14ac:dyDescent="0.3">
      <c r="A1710" t="str">
        <f>"20200111145942412"</f>
        <v>20200111145942412</v>
      </c>
      <c r="B1710" t="str">
        <f>"1578725982407687"</f>
        <v>1578725982407687</v>
      </c>
      <c r="C1710" t="s">
        <v>40</v>
      </c>
      <c r="D1710">
        <v>3.837672</v>
      </c>
      <c r="E1710">
        <v>0.56577369999999905</v>
      </c>
      <c r="F1710" t="s">
        <v>44</v>
      </c>
      <c r="G1710">
        <v>-158.19499999999999</v>
      </c>
      <c r="H1710">
        <v>2.3990320000000001</v>
      </c>
      <c r="I1710">
        <v>357.35079999999999</v>
      </c>
      <c r="J1710">
        <v>-268.0403</v>
      </c>
      <c r="K1710">
        <v>1.1048340000000001</v>
      </c>
      <c r="L1710">
        <v>367.29829999999998</v>
      </c>
      <c r="M1710">
        <v>0.99987910000000002</v>
      </c>
      <c r="N1710">
        <v>0</v>
      </c>
      <c r="O1710">
        <v>7.7754109999999899E-3</v>
      </c>
      <c r="P1710">
        <v>0.99629310000000004</v>
      </c>
      <c r="Q1710">
        <v>2.4663170000000002E-2</v>
      </c>
      <c r="R1710">
        <v>8.2415340000000004E-2</v>
      </c>
      <c r="S1710">
        <v>3.032959</v>
      </c>
      <c r="T1710">
        <v>3.5706880000000003E-2</v>
      </c>
      <c r="U1710">
        <v>-0.27441409999999899</v>
      </c>
      <c r="V1710">
        <v>-7.4673530000000002E-2</v>
      </c>
      <c r="W1710">
        <v>3.8079420000000003E-2</v>
      </c>
      <c r="X1710">
        <v>0.9964807</v>
      </c>
      <c r="Y1710">
        <v>9.7843769999999997E-2</v>
      </c>
      <c r="Z1710">
        <v>6.6612669999999998E-4</v>
      </c>
      <c r="AA1710">
        <v>0.99520160000000002</v>
      </c>
      <c r="AB1710">
        <v>21</v>
      </c>
      <c r="AC1710">
        <v>109.84529999999999</v>
      </c>
      <c r="AD1710">
        <v>1.294198</v>
      </c>
      <c r="AE1710">
        <v>-9.9474999999999891</v>
      </c>
      <c r="AF1710">
        <v>10.799882044838901</v>
      </c>
      <c r="AG1710">
        <v>1.294198</v>
      </c>
      <c r="AH1710">
        <v>109.749514946343</v>
      </c>
      <c r="AI1710">
        <v>89.327630230160693</v>
      </c>
      <c r="AJ1710">
        <v>84.379912837595398</v>
      </c>
      <c r="AK1710">
        <v>110.28720883041299</v>
      </c>
      <c r="AL1710">
        <v>87.817682282513005</v>
      </c>
      <c r="AM1710">
        <v>94.285578493449094</v>
      </c>
      <c r="AN1710">
        <v>0.99999998189134298</v>
      </c>
    </row>
    <row r="1711" spans="1:40" x14ac:dyDescent="0.3">
      <c r="A1711" t="str">
        <f>"20200111145942424"</f>
        <v>20200111145942424</v>
      </c>
      <c r="B1711" t="str">
        <f>"1578725982417446"</f>
        <v>1578725982417446</v>
      </c>
      <c r="C1711" t="s">
        <v>40</v>
      </c>
      <c r="D1711">
        <v>3.8826710000000002</v>
      </c>
      <c r="E1711">
        <v>0.56592799999999999</v>
      </c>
      <c r="F1711" t="s">
        <v>44</v>
      </c>
      <c r="G1711">
        <v>-158.19499999999999</v>
      </c>
      <c r="H1711">
        <v>2.4132769999999999</v>
      </c>
      <c r="I1711">
        <v>357.31599999999997</v>
      </c>
      <c r="J1711">
        <v>-267.93220000000002</v>
      </c>
      <c r="K1711">
        <v>1.1048340000000001</v>
      </c>
      <c r="L1711">
        <v>367.29930000000002</v>
      </c>
      <c r="M1711">
        <v>0.99987839999999995</v>
      </c>
      <c r="N1711">
        <v>0</v>
      </c>
      <c r="O1711">
        <v>7.8674260000000003E-3</v>
      </c>
      <c r="P1711">
        <v>0.99628070000000002</v>
      </c>
      <c r="Q1711">
        <v>2.4491700000000002E-2</v>
      </c>
      <c r="R1711">
        <v>8.2616229999999999E-2</v>
      </c>
      <c r="S1711">
        <v>3.0330810000000001</v>
      </c>
      <c r="T1711">
        <v>3.6131499999999997E-2</v>
      </c>
      <c r="U1711">
        <v>-0.27563480000000001</v>
      </c>
      <c r="V1711">
        <v>-7.4782829999999995E-2</v>
      </c>
      <c r="W1711">
        <v>3.790835E-2</v>
      </c>
      <c r="X1711">
        <v>0.996479</v>
      </c>
      <c r="Y1711">
        <v>9.8328799999999994E-2</v>
      </c>
      <c r="Z1711">
        <v>6.7798539999999903E-4</v>
      </c>
      <c r="AA1711">
        <v>0.99515370000000003</v>
      </c>
      <c r="AB1711">
        <v>21</v>
      </c>
      <c r="AC1711">
        <v>109.7372</v>
      </c>
      <c r="AD1711">
        <v>1.30844299999999</v>
      </c>
      <c r="AE1711">
        <v>-9.9833000000000407</v>
      </c>
      <c r="AF1711">
        <v>10.8448894024165</v>
      </c>
      <c r="AG1711">
        <v>1.30844299999999</v>
      </c>
      <c r="AH1711">
        <v>109.639793845418</v>
      </c>
      <c r="AI1711">
        <v>89.3195838959968</v>
      </c>
      <c r="AJ1711">
        <v>84.351031562658903</v>
      </c>
      <c r="AK1711">
        <v>110.182612256656</v>
      </c>
      <c r="AL1711">
        <v>87.827490897678899</v>
      </c>
      <c r="AM1711">
        <v>94.291835188403994</v>
      </c>
      <c r="AN1711">
        <v>0.99999995605176395</v>
      </c>
    </row>
    <row r="1712" spans="1:40" x14ac:dyDescent="0.3">
      <c r="A1712" t="str">
        <f>"20200111145942434"</f>
        <v>20200111145942434</v>
      </c>
      <c r="B1712" t="str">
        <f>"1578725982427207"</f>
        <v>1578725982427207</v>
      </c>
      <c r="C1712" t="s">
        <v>40</v>
      </c>
      <c r="D1712">
        <v>3.8473839999999999</v>
      </c>
      <c r="E1712">
        <v>0.56591919999999996</v>
      </c>
      <c r="F1712" t="s">
        <v>44</v>
      </c>
      <c r="G1712">
        <v>-158.19499999999999</v>
      </c>
      <c r="H1712">
        <v>2.4067949999999998</v>
      </c>
      <c r="I1712">
        <v>357.31169999999997</v>
      </c>
      <c r="J1712">
        <v>-267.83510000000001</v>
      </c>
      <c r="K1712">
        <v>1.1048359999999999</v>
      </c>
      <c r="L1712">
        <v>367.30020000000002</v>
      </c>
      <c r="M1712">
        <v>0.99987780000000004</v>
      </c>
      <c r="N1712">
        <v>0</v>
      </c>
      <c r="O1712">
        <v>7.9493710000000002E-3</v>
      </c>
      <c r="P1712">
        <v>0.99625949999999996</v>
      </c>
      <c r="Q1712">
        <v>2.4329079999999999E-2</v>
      </c>
      <c r="R1712">
        <v>8.2919380000000001E-2</v>
      </c>
      <c r="S1712">
        <v>3.0331730000000001</v>
      </c>
      <c r="T1712">
        <v>3.5989050000000002E-2</v>
      </c>
      <c r="U1712">
        <v>-0.27606199999999997</v>
      </c>
      <c r="V1712">
        <v>-7.500424E-2</v>
      </c>
      <c r="W1712">
        <v>3.774682E-2</v>
      </c>
      <c r="X1712">
        <v>0.99646849999999998</v>
      </c>
      <c r="Y1712">
        <v>9.8546709999999996E-2</v>
      </c>
      <c r="Z1712">
        <v>6.7754849999999999E-4</v>
      </c>
      <c r="AA1712">
        <v>0.99513220000000002</v>
      </c>
      <c r="AB1712">
        <v>21</v>
      </c>
      <c r="AC1712">
        <v>109.6401</v>
      </c>
      <c r="AD1712">
        <v>1.3019590000000001</v>
      </c>
      <c r="AE1712">
        <v>-9.9885000000000392</v>
      </c>
      <c r="AF1712">
        <v>10.858314593656299</v>
      </c>
      <c r="AG1712">
        <v>1.3019590000000001</v>
      </c>
      <c r="AH1712">
        <v>109.541906049791</v>
      </c>
      <c r="AI1712">
        <v>89.322364446953003</v>
      </c>
      <c r="AJ1712">
        <v>84.339062487334601</v>
      </c>
      <c r="AK1712">
        <v>110.086453635648</v>
      </c>
      <c r="AL1712">
        <v>87.836752533368994</v>
      </c>
      <c r="AM1712">
        <v>94.304539550007902</v>
      </c>
      <c r="AN1712">
        <v>0.99999996496516896</v>
      </c>
    </row>
    <row r="1713" spans="1:40" x14ac:dyDescent="0.3">
      <c r="A1713" t="str">
        <f>"20200111145942446"</f>
        <v>20200111145942446</v>
      </c>
      <c r="B1713" t="str">
        <f>"1578725982436967"</f>
        <v>1578725982436967</v>
      </c>
      <c r="C1713" t="s">
        <v>40</v>
      </c>
      <c r="D1713">
        <v>3.8909020000000001</v>
      </c>
      <c r="E1713">
        <v>0.5657816</v>
      </c>
      <c r="F1713" t="s">
        <v>44</v>
      </c>
      <c r="G1713">
        <v>-158.19499999999999</v>
      </c>
      <c r="H1713">
        <v>2.4136630000000001</v>
      </c>
      <c r="I1713">
        <v>357.35700000000003</v>
      </c>
      <c r="J1713">
        <v>-267.7278</v>
      </c>
      <c r="K1713">
        <v>1.1048370000000001</v>
      </c>
      <c r="L1713">
        <v>367.30110000000002</v>
      </c>
      <c r="M1713">
        <v>0.99987689999999996</v>
      </c>
      <c r="N1713">
        <v>0</v>
      </c>
      <c r="O1713">
        <v>8.0393619999999996E-3</v>
      </c>
      <c r="P1713">
        <v>0.99623949999999994</v>
      </c>
      <c r="Q1713">
        <v>2.4391900000000001E-2</v>
      </c>
      <c r="R1713">
        <v>8.3139080000000004E-2</v>
      </c>
      <c r="S1713">
        <v>3.033264</v>
      </c>
      <c r="T1713">
        <v>3.6211970000000003E-2</v>
      </c>
      <c r="U1713">
        <v>-0.27508539999999998</v>
      </c>
      <c r="V1713">
        <v>-7.5134740000000005E-2</v>
      </c>
      <c r="W1713">
        <v>3.780973E-2</v>
      </c>
      <c r="X1713">
        <v>0.99645629999999996</v>
      </c>
      <c r="Y1713">
        <v>9.8315719999999995E-2</v>
      </c>
      <c r="Z1713">
        <v>6.8143089999999999E-4</v>
      </c>
      <c r="AA1713">
        <v>0.99515500000000001</v>
      </c>
      <c r="AB1713">
        <v>21</v>
      </c>
      <c r="AC1713">
        <v>109.53279999999999</v>
      </c>
      <c r="AD1713">
        <v>1.308826</v>
      </c>
      <c r="AE1713">
        <v>-9.9441000000000397</v>
      </c>
      <c r="AF1713">
        <v>10.8228996731709</v>
      </c>
      <c r="AG1713">
        <v>1.308826</v>
      </c>
      <c r="AH1713">
        <v>109.433810680031</v>
      </c>
      <c r="AI1713">
        <v>89.318102785756196</v>
      </c>
      <c r="AJ1713">
        <v>84.351869007460195</v>
      </c>
      <c r="AK1713">
        <v>109.975484098897</v>
      </c>
      <c r="AL1713">
        <v>87.833145516307795</v>
      </c>
      <c r="AM1713">
        <v>94.312053396640394</v>
      </c>
      <c r="AN1713">
        <v>0.99999998132361501</v>
      </c>
    </row>
    <row r="1714" spans="1:40" x14ac:dyDescent="0.3">
      <c r="A1714" t="str">
        <f>"20200111145942456"</f>
        <v>20200111145942456</v>
      </c>
      <c r="B1714" t="str">
        <f>"1578725982447704"</f>
        <v>1578725982447704</v>
      </c>
      <c r="C1714" t="s">
        <v>40</v>
      </c>
      <c r="D1714">
        <v>3.8798119999999998</v>
      </c>
      <c r="E1714">
        <v>0.56578019999999996</v>
      </c>
      <c r="F1714" t="s">
        <v>44</v>
      </c>
      <c r="G1714">
        <v>-158.19499999999999</v>
      </c>
      <c r="H1714">
        <v>2.416601</v>
      </c>
      <c r="I1714">
        <v>357.42829999999998</v>
      </c>
      <c r="J1714">
        <v>-267.62799999999999</v>
      </c>
      <c r="K1714">
        <v>1.104838</v>
      </c>
      <c r="L1714">
        <v>367.30200000000002</v>
      </c>
      <c r="M1714">
        <v>0.99987619999999999</v>
      </c>
      <c r="N1714">
        <v>0</v>
      </c>
      <c r="O1714">
        <v>8.1224379999999992E-3</v>
      </c>
      <c r="P1714">
        <v>0.99621870000000001</v>
      </c>
      <c r="Q1714">
        <v>2.425124E-2</v>
      </c>
      <c r="R1714">
        <v>8.3428489999999994E-2</v>
      </c>
      <c r="S1714">
        <v>3.033264</v>
      </c>
      <c r="T1714">
        <v>3.632879E-2</v>
      </c>
      <c r="U1714">
        <v>-0.27340700000000001</v>
      </c>
      <c r="V1714">
        <v>-7.5340859999999996E-2</v>
      </c>
      <c r="W1714">
        <v>3.7669630000000003E-2</v>
      </c>
      <c r="X1714">
        <v>0.9964461</v>
      </c>
      <c r="Y1714">
        <v>9.7852159999999994E-2</v>
      </c>
      <c r="Z1714">
        <v>6.8186899999999999E-4</v>
      </c>
      <c r="AA1714">
        <v>0.9952008</v>
      </c>
      <c r="AB1714">
        <v>21</v>
      </c>
      <c r="AC1714">
        <v>109.43300000000001</v>
      </c>
      <c r="AD1714">
        <v>1.311763</v>
      </c>
      <c r="AE1714">
        <v>-9.8736999999999799</v>
      </c>
      <c r="AF1714">
        <v>10.7607840262868</v>
      </c>
      <c r="AG1714">
        <v>1.311763</v>
      </c>
      <c r="AH1714">
        <v>109.333600778052</v>
      </c>
      <c r="AI1714">
        <v>89.315914507425802</v>
      </c>
      <c r="AJ1714">
        <v>84.378963062807799</v>
      </c>
      <c r="AK1714">
        <v>109.869702166352</v>
      </c>
      <c r="AL1714">
        <v>87.841178500608905</v>
      </c>
      <c r="AM1714">
        <v>94.323882109670805</v>
      </c>
      <c r="AN1714">
        <v>1.00000003820754</v>
      </c>
    </row>
    <row r="1715" spans="1:40" x14ac:dyDescent="0.3">
      <c r="A1715" t="str">
        <f>"20200111145942469"</f>
        <v>20200111145942469</v>
      </c>
      <c r="B1715" t="str">
        <f>"1578725982457464"</f>
        <v>1578725982457464</v>
      </c>
      <c r="C1715" t="s">
        <v>40</v>
      </c>
      <c r="D1715">
        <v>3.946256</v>
      </c>
      <c r="E1715">
        <v>0.5657799</v>
      </c>
      <c r="F1715" t="s">
        <v>44</v>
      </c>
      <c r="G1715">
        <v>-158.19499999999999</v>
      </c>
      <c r="H1715">
        <v>2.350841</v>
      </c>
      <c r="I1715">
        <v>357.47930000000002</v>
      </c>
      <c r="J1715">
        <v>-267.51900000000001</v>
      </c>
      <c r="K1715">
        <v>1.1048370000000001</v>
      </c>
      <c r="L1715">
        <v>367.303</v>
      </c>
      <c r="M1715">
        <v>0.99987550000000003</v>
      </c>
      <c r="N1715">
        <v>0</v>
      </c>
      <c r="O1715">
        <v>8.2127789999999999E-3</v>
      </c>
      <c r="P1715">
        <v>0.99618700000000004</v>
      </c>
      <c r="Q1715">
        <v>2.4555839999999999E-2</v>
      </c>
      <c r="R1715">
        <v>8.3718600000000004E-2</v>
      </c>
      <c r="S1715">
        <v>3.0333860000000001</v>
      </c>
      <c r="T1715">
        <v>3.454053E-2</v>
      </c>
      <c r="U1715">
        <v>-0.27227780000000001</v>
      </c>
      <c r="V1715">
        <v>-7.5541940000000002E-2</v>
      </c>
      <c r="W1715">
        <v>3.797412E-2</v>
      </c>
      <c r="X1715">
        <v>0.99641930000000001</v>
      </c>
      <c r="Y1715">
        <v>9.7571749999999999E-2</v>
      </c>
      <c r="Z1715">
        <v>6.4772500000000004E-4</v>
      </c>
      <c r="AA1715">
        <v>0.99522829999999995</v>
      </c>
      <c r="AB1715">
        <v>21</v>
      </c>
      <c r="AC1715">
        <v>109.324</v>
      </c>
      <c r="AD1715">
        <v>1.2460039999999999</v>
      </c>
      <c r="AE1715">
        <v>-9.8237000000000201</v>
      </c>
      <c r="AF1715">
        <v>10.719922629708201</v>
      </c>
      <c r="AG1715">
        <v>1.2460039999999999</v>
      </c>
      <c r="AH1715">
        <v>109.225550420381</v>
      </c>
      <c r="AI1715">
        <v>89.349544593276093</v>
      </c>
      <c r="AJ1715">
        <v>84.394667312325694</v>
      </c>
      <c r="AK1715">
        <v>109.757414928515</v>
      </c>
      <c r="AL1715">
        <v>87.823719977954994</v>
      </c>
      <c r="AM1715">
        <v>94.335494499454796</v>
      </c>
      <c r="AN1715">
        <v>1.0000000199506101</v>
      </c>
    </row>
    <row r="1716" spans="1:40" x14ac:dyDescent="0.3">
      <c r="A1716" t="str">
        <f>"20200111145942479"</f>
        <v>20200111145942479</v>
      </c>
      <c r="B1716" t="str">
        <f>"1578725982476983"</f>
        <v>1578725982476983</v>
      </c>
      <c r="C1716" t="s">
        <v>40</v>
      </c>
      <c r="D1716">
        <v>5.8314370000000002</v>
      </c>
      <c r="E1716">
        <v>0.56566300000000003</v>
      </c>
      <c r="F1716" t="s">
        <v>44</v>
      </c>
      <c r="G1716">
        <v>-158.19499999999999</v>
      </c>
      <c r="H1716">
        <v>2.3552070000000001</v>
      </c>
      <c r="I1716">
        <v>357.50799999999998</v>
      </c>
      <c r="J1716">
        <v>-267.42020000000002</v>
      </c>
      <c r="K1716">
        <v>1.104838</v>
      </c>
      <c r="L1716">
        <v>367.3039</v>
      </c>
      <c r="M1716">
        <v>0.99987479999999995</v>
      </c>
      <c r="N1716">
        <v>0</v>
      </c>
      <c r="O1716">
        <v>8.2943559999999993E-3</v>
      </c>
      <c r="P1716">
        <v>0.99617180000000005</v>
      </c>
      <c r="Q1716">
        <v>2.4555790000000001E-2</v>
      </c>
      <c r="R1716">
        <v>8.3896529999999997E-2</v>
      </c>
      <c r="S1716">
        <v>3.0334780000000001</v>
      </c>
      <c r="T1716">
        <v>3.4697180000000001E-2</v>
      </c>
      <c r="U1716">
        <v>-0.27178960000000002</v>
      </c>
      <c r="V1716">
        <v>-7.5637899999999994E-2</v>
      </c>
      <c r="W1716">
        <v>3.7974109999999998E-2</v>
      </c>
      <c r="X1716">
        <v>0.99641199999999996</v>
      </c>
      <c r="Y1716">
        <v>9.7491320000000006E-2</v>
      </c>
      <c r="Z1716">
        <v>6.5111970000000005E-4</v>
      </c>
      <c r="AA1716">
        <v>0.99523620000000002</v>
      </c>
      <c r="AB1716">
        <v>21</v>
      </c>
      <c r="AC1716">
        <v>109.2252</v>
      </c>
      <c r="AD1716">
        <v>1.2503690000000001</v>
      </c>
      <c r="AE1716">
        <v>-9.7958999999999605</v>
      </c>
      <c r="AF1716">
        <v>10.7002068783955</v>
      </c>
      <c r="AG1716">
        <v>1.2503690000000001</v>
      </c>
      <c r="AH1716">
        <v>109.125997401983</v>
      </c>
      <c r="AI1716">
        <v>89.346664908774102</v>
      </c>
      <c r="AJ1716">
        <v>84.399839160525403</v>
      </c>
      <c r="AK1716">
        <v>109.656468841807</v>
      </c>
      <c r="AL1716">
        <v>87.823720506461896</v>
      </c>
      <c r="AM1716">
        <v>94.341012468507898</v>
      </c>
      <c r="AN1716">
        <v>0.999999999345351</v>
      </c>
    </row>
    <row r="1717" spans="1:40" x14ac:dyDescent="0.3">
      <c r="A1717" t="str">
        <f>"20200111145942491"</f>
        <v>20200111145942491</v>
      </c>
      <c r="B1717" t="str">
        <f>"1578725982487719"</f>
        <v>1578725982487719</v>
      </c>
      <c r="C1717" t="s">
        <v>40</v>
      </c>
      <c r="D1717">
        <v>4.011533</v>
      </c>
      <c r="E1717">
        <v>0.56496679999999999</v>
      </c>
      <c r="F1717" t="s">
        <v>44</v>
      </c>
      <c r="G1717">
        <v>-158.19499999999999</v>
      </c>
      <c r="H1717">
        <v>2.3295680000000001</v>
      </c>
      <c r="I1717">
        <v>357.5727</v>
      </c>
      <c r="J1717">
        <v>-267.31029999999998</v>
      </c>
      <c r="K1717">
        <v>1.1048370000000001</v>
      </c>
      <c r="L1717">
        <v>367.30500000000001</v>
      </c>
      <c r="M1717">
        <v>0.99987409999999999</v>
      </c>
      <c r="N1717">
        <v>0</v>
      </c>
      <c r="O1717">
        <v>8.3836190000000001E-3</v>
      </c>
      <c r="P1717">
        <v>0.99615849999999995</v>
      </c>
      <c r="Q1717">
        <v>2.4580879999999999E-2</v>
      </c>
      <c r="R1717">
        <v>8.4048339999999999E-2</v>
      </c>
      <c r="S1717">
        <v>3.0334780000000001</v>
      </c>
      <c r="T1717">
        <v>3.4016490000000003E-2</v>
      </c>
      <c r="U1717">
        <v>-0.2702637</v>
      </c>
      <c r="V1717">
        <v>-7.5701019999999994E-2</v>
      </c>
      <c r="W1717">
        <v>3.7998879999999999E-2</v>
      </c>
      <c r="X1717">
        <v>0.99640629999999997</v>
      </c>
      <c r="Y1717">
        <v>9.708377E-2</v>
      </c>
      <c r="Z1717">
        <v>6.3708000000000005E-4</v>
      </c>
      <c r="AA1717">
        <v>0.99527600000000005</v>
      </c>
      <c r="AB1717">
        <v>21</v>
      </c>
      <c r="AC1717">
        <v>109.1153</v>
      </c>
      <c r="AD1717">
        <v>1.224731</v>
      </c>
      <c r="AE1717">
        <v>-9.7323000000000093</v>
      </c>
      <c r="AF1717">
        <v>10.6454914835259</v>
      </c>
      <c r="AG1717">
        <v>1.224731</v>
      </c>
      <c r="AH1717">
        <v>109.01623961020501</v>
      </c>
      <c r="AI1717">
        <v>89.359390722091305</v>
      </c>
      <c r="AJ1717">
        <v>84.422720619050807</v>
      </c>
      <c r="AK1717">
        <v>109.54162201509401</v>
      </c>
      <c r="AL1717">
        <v>87.822300346975993</v>
      </c>
      <c r="AM1717">
        <v>94.344645947234795</v>
      </c>
      <c r="AN1717">
        <v>1.00000003699499</v>
      </c>
    </row>
    <row r="1718" spans="1:40" x14ac:dyDescent="0.3">
      <c r="A1718" t="str">
        <f>"20200111145942503"</f>
        <v>20200111145942503</v>
      </c>
      <c r="B1718" t="str">
        <f>"1578725982497479"</f>
        <v>1578725982497479</v>
      </c>
      <c r="C1718" t="s">
        <v>40</v>
      </c>
      <c r="D1718">
        <v>3.9966330000000001</v>
      </c>
      <c r="E1718">
        <v>0.56425509999999901</v>
      </c>
      <c r="F1718" t="s">
        <v>44</v>
      </c>
      <c r="G1718">
        <v>-158.19499999999999</v>
      </c>
      <c r="H1718">
        <v>2.4443709999999998</v>
      </c>
      <c r="I1718">
        <v>357.8014</v>
      </c>
      <c r="J1718">
        <v>-267.20670000000001</v>
      </c>
      <c r="K1718">
        <v>1.1048370000000001</v>
      </c>
      <c r="L1718">
        <v>367.30590000000001</v>
      </c>
      <c r="M1718">
        <v>0.99987340000000002</v>
      </c>
      <c r="N1718">
        <v>0</v>
      </c>
      <c r="O1718">
        <v>8.4673390000000008E-3</v>
      </c>
      <c r="P1718">
        <v>0.99613220000000002</v>
      </c>
      <c r="Q1718">
        <v>2.4510469999999999E-2</v>
      </c>
      <c r="R1718">
        <v>8.4379590000000004E-2</v>
      </c>
      <c r="S1718">
        <v>3.032959</v>
      </c>
      <c r="T1718">
        <v>3.7235980000000002E-2</v>
      </c>
      <c r="U1718">
        <v>-0.26416020000000001</v>
      </c>
      <c r="V1718">
        <v>-7.5948280000000007E-2</v>
      </c>
      <c r="W1718">
        <v>3.7928839999999998E-2</v>
      </c>
      <c r="X1718">
        <v>0.99639009999999995</v>
      </c>
      <c r="Y1718">
        <v>9.5193349999999996E-2</v>
      </c>
      <c r="Z1718">
        <v>6.8699609999999997E-4</v>
      </c>
      <c r="AA1718">
        <v>0.99545850000000002</v>
      </c>
      <c r="AB1718">
        <v>21</v>
      </c>
      <c r="AC1718">
        <v>109.0117</v>
      </c>
      <c r="AD1718">
        <v>1.33953399999999</v>
      </c>
      <c r="AE1718">
        <v>-9.5045000000000002</v>
      </c>
      <c r="AF1718">
        <v>10.425719655889401</v>
      </c>
      <c r="AG1718">
        <v>1.33953399999999</v>
      </c>
      <c r="AH1718">
        <v>108.91098535336501</v>
      </c>
      <c r="AI1718">
        <v>89.2985411689438</v>
      </c>
      <c r="AJ1718">
        <v>84.531910034719701</v>
      </c>
      <c r="AK1718">
        <v>109.41705859838</v>
      </c>
      <c r="AL1718">
        <v>87.826316124629301</v>
      </c>
      <c r="AM1718">
        <v>94.3588527303923</v>
      </c>
      <c r="AN1718">
        <v>0.99999998475835605</v>
      </c>
    </row>
    <row r="1719" spans="1:40" x14ac:dyDescent="0.3">
      <c r="A1719" t="str">
        <f>"20200111145942513"</f>
        <v>20200111145942513</v>
      </c>
      <c r="B1719" t="str">
        <f>"1578725982507239"</f>
        <v>1578725982507239</v>
      </c>
      <c r="C1719" t="s">
        <v>40</v>
      </c>
      <c r="D1719">
        <v>4.0072559999999999</v>
      </c>
      <c r="E1719">
        <v>0.56358699999999995</v>
      </c>
      <c r="F1719" t="s">
        <v>44</v>
      </c>
      <c r="G1719">
        <v>-158.19499999999999</v>
      </c>
      <c r="H1719">
        <v>2.5200480000000001</v>
      </c>
      <c r="I1719">
        <v>358.03730000000002</v>
      </c>
      <c r="J1719">
        <v>-267.1062</v>
      </c>
      <c r="K1719">
        <v>1.104835</v>
      </c>
      <c r="L1719">
        <v>367.30689999999998</v>
      </c>
      <c r="M1719">
        <v>0.9998726</v>
      </c>
      <c r="N1719">
        <v>0</v>
      </c>
      <c r="O1719">
        <v>8.5477209999999994E-3</v>
      </c>
      <c r="P1719">
        <v>0.99611810000000001</v>
      </c>
      <c r="Q1719">
        <v>2.4550679999999998E-2</v>
      </c>
      <c r="R1719">
        <v>8.4535639999999995E-2</v>
      </c>
      <c r="S1719">
        <v>3.032562</v>
      </c>
      <c r="T1719">
        <v>3.9371730000000001E-2</v>
      </c>
      <c r="U1719">
        <v>-0.25784299999999999</v>
      </c>
      <c r="V1719">
        <v>-7.6024670000000003E-2</v>
      </c>
      <c r="W1719">
        <v>3.7968870000000002E-2</v>
      </c>
      <c r="X1719">
        <v>0.99638280000000001</v>
      </c>
      <c r="Y1719">
        <v>9.3225290000000002E-2</v>
      </c>
      <c r="Z1719">
        <v>7.1484599999999999E-4</v>
      </c>
      <c r="AA1719">
        <v>0.9956448</v>
      </c>
      <c r="AB1719">
        <v>21</v>
      </c>
      <c r="AC1719">
        <v>108.91119999999999</v>
      </c>
      <c r="AD1719">
        <v>1.4152129999999901</v>
      </c>
      <c r="AE1719">
        <v>-9.2695999999999596</v>
      </c>
      <c r="AF1719">
        <v>10.198578810415601</v>
      </c>
      <c r="AG1719">
        <v>1.4152129999999901</v>
      </c>
      <c r="AH1719">
        <v>108.809739045648</v>
      </c>
      <c r="AI1719">
        <v>89.258086826944606</v>
      </c>
      <c r="AJ1719">
        <v>84.645393380182199</v>
      </c>
      <c r="AK1719">
        <v>109.295805723594</v>
      </c>
      <c r="AL1719">
        <v>87.824021030287696</v>
      </c>
      <c r="AM1719">
        <v>94.363251856326002</v>
      </c>
      <c r="AN1719">
        <v>1.0000000348367599</v>
      </c>
    </row>
    <row r="1720" spans="1:40" x14ac:dyDescent="0.3">
      <c r="A1720" t="str">
        <f>"20200111145942524"</f>
        <v>20200111145942524</v>
      </c>
      <c r="B1720" t="str">
        <f>"1578725982516999"</f>
        <v>1578725982516999</v>
      </c>
      <c r="C1720" t="s">
        <v>40</v>
      </c>
      <c r="D1720">
        <v>3.9935800000000001</v>
      </c>
      <c r="E1720">
        <v>0.56287889999999996</v>
      </c>
      <c r="F1720" t="s">
        <v>44</v>
      </c>
      <c r="G1720">
        <v>-158.19499999999999</v>
      </c>
      <c r="H1720">
        <v>2.6340889999999999</v>
      </c>
      <c r="I1720">
        <v>358.25659999999999</v>
      </c>
      <c r="J1720">
        <v>-267.00420000000003</v>
      </c>
      <c r="K1720">
        <v>1.104833</v>
      </c>
      <c r="L1720">
        <v>367.30779999999999</v>
      </c>
      <c r="M1720">
        <v>0.99987199999999998</v>
      </c>
      <c r="N1720">
        <v>0</v>
      </c>
      <c r="O1720">
        <v>8.6288219999999995E-3</v>
      </c>
      <c r="P1720">
        <v>0.99611719999999904</v>
      </c>
      <c r="Q1720">
        <v>2.4588220000000001E-2</v>
      </c>
      <c r="R1720">
        <v>8.4536139999999996E-2</v>
      </c>
      <c r="S1720">
        <v>3.0320130000000001</v>
      </c>
      <c r="T1720">
        <v>4.2575839999999997E-2</v>
      </c>
      <c r="U1720">
        <v>-0.25195309999999999</v>
      </c>
      <c r="V1720">
        <v>-7.5944269999999994E-2</v>
      </c>
      <c r="W1720">
        <v>3.8006520000000002E-2</v>
      </c>
      <c r="X1720">
        <v>0.99638749999999998</v>
      </c>
      <c r="Y1720">
        <v>9.1399300000000003E-2</v>
      </c>
      <c r="Z1720">
        <v>7.6155679999999901E-4</v>
      </c>
      <c r="AA1720">
        <v>0.99581399999999998</v>
      </c>
      <c r="AB1720">
        <v>21</v>
      </c>
      <c r="AC1720">
        <v>108.8092</v>
      </c>
      <c r="AD1720">
        <v>1.5292559999999999</v>
      </c>
      <c r="AE1720">
        <v>-9.0511999999999908</v>
      </c>
      <c r="AF1720">
        <v>9.9878840885201399</v>
      </c>
      <c r="AG1720">
        <v>1.5292559999999999</v>
      </c>
      <c r="AH1720">
        <v>108.70571523906401</v>
      </c>
      <c r="AI1720">
        <v>89.197404739463295</v>
      </c>
      <c r="AJ1720">
        <v>84.750401367414398</v>
      </c>
      <c r="AK1720">
        <v>109.174305484925</v>
      </c>
      <c r="AL1720">
        <v>87.821862295022697</v>
      </c>
      <c r="AM1720">
        <v>94.358634803507798</v>
      </c>
      <c r="AN1720">
        <v>1.0000000389322901</v>
      </c>
    </row>
    <row r="1721" spans="1:40" x14ac:dyDescent="0.3">
      <c r="A1721" t="str">
        <f>"20200111145942537"</f>
        <v>20200111145942537</v>
      </c>
      <c r="B1721" t="str">
        <f>"1578725982527735"</f>
        <v>1578725982527735</v>
      </c>
      <c r="C1721" t="s">
        <v>40</v>
      </c>
      <c r="D1721">
        <v>4.0302480000000003</v>
      </c>
      <c r="E1721">
        <v>0.56208619999999898</v>
      </c>
      <c r="F1721" t="s">
        <v>44</v>
      </c>
      <c r="G1721">
        <v>-158.19499999999999</v>
      </c>
      <c r="H1721">
        <v>2.5720670000000001</v>
      </c>
      <c r="I1721">
        <v>358.47190000000001</v>
      </c>
      <c r="J1721">
        <v>-266.89159999999998</v>
      </c>
      <c r="K1721">
        <v>1.104833</v>
      </c>
      <c r="L1721">
        <v>367.30889999999999</v>
      </c>
      <c r="M1721">
        <v>0.99987130000000002</v>
      </c>
      <c r="N1721">
        <v>0</v>
      </c>
      <c r="O1721">
        <v>8.7172559999999996E-3</v>
      </c>
      <c r="P1721">
        <v>0.99609709999999996</v>
      </c>
      <c r="Q1721">
        <v>2.44779E-2</v>
      </c>
      <c r="R1721">
        <v>8.4802959999999997E-2</v>
      </c>
      <c r="S1721">
        <v>3.0316160000000001</v>
      </c>
      <c r="T1721">
        <v>4.0882109999999999E-2</v>
      </c>
      <c r="U1721">
        <v>-0.2461853</v>
      </c>
      <c r="V1721">
        <v>-7.6122739999999994E-2</v>
      </c>
      <c r="W1721">
        <v>3.7895970000000001E-2</v>
      </c>
      <c r="X1721">
        <v>0.99637810000000004</v>
      </c>
      <c r="Y1721">
        <v>8.9617020000000006E-2</v>
      </c>
      <c r="Z1721">
        <v>7.2060970000000001E-4</v>
      </c>
      <c r="AA1721">
        <v>0.99597599999999997</v>
      </c>
      <c r="AB1721">
        <v>21</v>
      </c>
      <c r="AC1721">
        <v>108.6966</v>
      </c>
      <c r="AD1721">
        <v>1.4672339999999899</v>
      </c>
      <c r="AE1721">
        <v>-8.8369999999999802</v>
      </c>
      <c r="AF1721">
        <v>9.7825154606852696</v>
      </c>
      <c r="AG1721">
        <v>1.4672339999999899</v>
      </c>
      <c r="AH1721">
        <v>108.59577077100199</v>
      </c>
      <c r="AI1721">
        <v>89.2290469940977</v>
      </c>
      <c r="AJ1721">
        <v>84.852579558029007</v>
      </c>
      <c r="AK1721">
        <v>109.045365851545</v>
      </c>
      <c r="AL1721">
        <v>87.828200927390895</v>
      </c>
      <c r="AM1721">
        <v>94.368879097497697</v>
      </c>
      <c r="AN1721">
        <v>1.00000004712347</v>
      </c>
    </row>
    <row r="1722" spans="1:40" x14ac:dyDescent="0.3">
      <c r="A1722" t="str">
        <f>"20200111145942550"</f>
        <v>20200111145942550</v>
      </c>
      <c r="B1722" t="str">
        <f>"1578725982537497"</f>
        <v>1578725982537497</v>
      </c>
      <c r="C1722" t="s">
        <v>40</v>
      </c>
      <c r="D1722">
        <v>4.0787100000000001</v>
      </c>
      <c r="E1722">
        <v>0.56127950000000004</v>
      </c>
      <c r="F1722" t="s">
        <v>44</v>
      </c>
      <c r="G1722">
        <v>-158.19499999999999</v>
      </c>
      <c r="H1722">
        <v>2.4615469999999999</v>
      </c>
      <c r="I1722">
        <v>358.73140000000001</v>
      </c>
      <c r="J1722">
        <v>-266.77910000000003</v>
      </c>
      <c r="K1722">
        <v>1.104827</v>
      </c>
      <c r="L1722">
        <v>367.31</v>
      </c>
      <c r="M1722">
        <v>0.9998705</v>
      </c>
      <c r="N1722">
        <v>0</v>
      </c>
      <c r="O1722">
        <v>8.8055119999999997E-3</v>
      </c>
      <c r="P1722">
        <v>0.99609289999999995</v>
      </c>
      <c r="Q1722">
        <v>2.450654E-2</v>
      </c>
      <c r="R1722">
        <v>8.4844429999999998E-2</v>
      </c>
      <c r="S1722">
        <v>3.031158</v>
      </c>
      <c r="T1722">
        <v>3.7836309999999998E-2</v>
      </c>
      <c r="U1722">
        <v>-0.23919679999999999</v>
      </c>
      <c r="V1722">
        <v>-7.6076110000000002E-2</v>
      </c>
      <c r="W1722">
        <v>3.7924090000000001E-2</v>
      </c>
      <c r="X1722">
        <v>0.99638059999999995</v>
      </c>
      <c r="Y1722">
        <v>8.7436620000000007E-2</v>
      </c>
      <c r="Z1722">
        <v>6.5460210000000004E-4</v>
      </c>
      <c r="AA1722">
        <v>0.99616990000000005</v>
      </c>
      <c r="AB1722">
        <v>21</v>
      </c>
      <c r="AC1722">
        <v>108.58410000000001</v>
      </c>
      <c r="AD1722">
        <v>1.3567199999999999</v>
      </c>
      <c r="AE1722">
        <v>-8.5785999999999891</v>
      </c>
      <c r="AF1722">
        <v>9.53301367845763</v>
      </c>
      <c r="AG1722">
        <v>1.3567199999999999</v>
      </c>
      <c r="AH1722">
        <v>108.48751208880699</v>
      </c>
      <c r="AI1722">
        <v>89.286259427252901</v>
      </c>
      <c r="AJ1722">
        <v>84.978204517917007</v>
      </c>
      <c r="AK1722">
        <v>108.91399964270499</v>
      </c>
      <c r="AL1722">
        <v>87.826588629544503</v>
      </c>
      <c r="AM1722">
        <v>94.3662023214481</v>
      </c>
      <c r="AN1722">
        <v>1.0000000555857</v>
      </c>
    </row>
    <row r="1723" spans="1:40" x14ac:dyDescent="0.3">
      <c r="A1723" t="str">
        <f>"20200111145942561"</f>
        <v>20200111145942561</v>
      </c>
      <c r="B1723" t="str">
        <f>"1578725982557015"</f>
        <v>1578725982557015</v>
      </c>
      <c r="C1723" t="s">
        <v>40</v>
      </c>
      <c r="D1723">
        <v>4.0488869999999997</v>
      </c>
      <c r="E1723">
        <v>0.55991139999999995</v>
      </c>
      <c r="F1723" t="s">
        <v>44</v>
      </c>
      <c r="G1723">
        <v>-158.19499999999999</v>
      </c>
      <c r="H1723">
        <v>2.3692609999999998</v>
      </c>
      <c r="I1723">
        <v>358.98500000000001</v>
      </c>
      <c r="J1723">
        <v>-266.67290000000003</v>
      </c>
      <c r="K1723">
        <v>1.1048249999999999</v>
      </c>
      <c r="L1723">
        <v>367.31099999999998</v>
      </c>
      <c r="M1723">
        <v>0.99986980000000003</v>
      </c>
      <c r="N1723">
        <v>0</v>
      </c>
      <c r="O1723">
        <v>8.8884080000000004E-3</v>
      </c>
      <c r="P1723">
        <v>0.99609570000000003</v>
      </c>
      <c r="Q1723">
        <v>2.4193909999999999E-2</v>
      </c>
      <c r="R1723">
        <v>8.4902119999999998E-2</v>
      </c>
      <c r="S1723">
        <v>3.0307010000000001</v>
      </c>
      <c r="T1723">
        <v>3.5294180000000001E-2</v>
      </c>
      <c r="U1723">
        <v>-0.23236080000000001</v>
      </c>
      <c r="V1723">
        <v>-7.6051350000000004E-2</v>
      </c>
      <c r="W1723">
        <v>3.7611029999999997E-2</v>
      </c>
      <c r="X1723">
        <v>0.99639429999999996</v>
      </c>
      <c r="Y1723">
        <v>8.5298499999999999E-2</v>
      </c>
      <c r="Z1723">
        <v>5.9930189999999998E-4</v>
      </c>
      <c r="AA1723">
        <v>0.9963552</v>
      </c>
      <c r="AB1723">
        <v>21</v>
      </c>
      <c r="AC1723">
        <v>108.47790000000001</v>
      </c>
      <c r="AD1723">
        <v>1.2644359999999999</v>
      </c>
      <c r="AE1723">
        <v>-8.3259999999999597</v>
      </c>
      <c r="AF1723">
        <v>9.2886997011401604</v>
      </c>
      <c r="AG1723">
        <v>1.2644359999999999</v>
      </c>
      <c r="AH1723">
        <v>108.384962855602</v>
      </c>
      <c r="AI1723">
        <v>89.334049653282705</v>
      </c>
      <c r="AJ1723">
        <v>85.101663210896504</v>
      </c>
      <c r="AK1723">
        <v>108.789608482365</v>
      </c>
      <c r="AL1723">
        <v>87.844538330132295</v>
      </c>
      <c r="AM1723">
        <v>94.364726992128894</v>
      </c>
      <c r="AN1723">
        <v>0.99999999924348604</v>
      </c>
    </row>
    <row r="1724" spans="1:40" x14ac:dyDescent="0.3">
      <c r="A1724" t="str">
        <f>"20200111145942572"</f>
        <v>20200111145942572</v>
      </c>
      <c r="B1724" t="str">
        <f>"1578725982567751"</f>
        <v>1578725982567751</v>
      </c>
      <c r="C1724" t="s">
        <v>40</v>
      </c>
      <c r="D1724">
        <v>4.078417</v>
      </c>
      <c r="E1724">
        <v>0.55925009999999997</v>
      </c>
      <c r="F1724" t="s">
        <v>44</v>
      </c>
      <c r="G1724">
        <v>-158.19499999999999</v>
      </c>
      <c r="H1724">
        <v>2.1973479999999999</v>
      </c>
      <c r="I1724">
        <v>359.38420000000002</v>
      </c>
      <c r="J1724">
        <v>-266.5641</v>
      </c>
      <c r="K1724">
        <v>1.104822</v>
      </c>
      <c r="L1724">
        <v>367.31209999999999</v>
      </c>
      <c r="M1724">
        <v>0.99986900000000001</v>
      </c>
      <c r="N1724">
        <v>0</v>
      </c>
      <c r="O1724">
        <v>8.9723249999999997E-3</v>
      </c>
      <c r="P1724">
        <v>0.99607429999999997</v>
      </c>
      <c r="Q1724">
        <v>2.4195700000000001E-2</v>
      </c>
      <c r="R1724">
        <v>8.5152160000000005E-2</v>
      </c>
      <c r="S1724">
        <v>3.0299070000000001</v>
      </c>
      <c r="T1724">
        <v>3.0517820000000001E-2</v>
      </c>
      <c r="U1724">
        <v>-0.22140499999999999</v>
      </c>
      <c r="V1724">
        <v>-7.6217629999999995E-2</v>
      </c>
      <c r="W1724">
        <v>3.7611980000000003E-2</v>
      </c>
      <c r="X1724">
        <v>0.99638159999999998</v>
      </c>
      <c r="Y1724">
        <v>8.1820649999999995E-2</v>
      </c>
      <c r="Z1724">
        <v>5.0176089999999995E-4</v>
      </c>
      <c r="AA1724">
        <v>0.9966469</v>
      </c>
      <c r="AB1724">
        <v>21</v>
      </c>
      <c r="AC1724">
        <v>108.3691</v>
      </c>
      <c r="AD1724">
        <v>1.0925260000000001</v>
      </c>
      <c r="AE1724">
        <v>-7.9278999999999602</v>
      </c>
      <c r="AF1724">
        <v>8.8990921893551693</v>
      </c>
      <c r="AG1724">
        <v>1.0925260000000001</v>
      </c>
      <c r="AH1724">
        <v>108.282652014365</v>
      </c>
      <c r="AI1724">
        <v>89.423871753847394</v>
      </c>
      <c r="AJ1724">
        <v>85.301767179187493</v>
      </c>
      <c r="AK1724">
        <v>108.6532106388</v>
      </c>
      <c r="AL1724">
        <v>87.844483949551503</v>
      </c>
      <c r="AM1724">
        <v>94.374288647405095</v>
      </c>
      <c r="AN1724">
        <v>1.0000000404904399</v>
      </c>
    </row>
    <row r="1725" spans="1:40" x14ac:dyDescent="0.3">
      <c r="A1725" t="str">
        <f>"20200111145942583"</f>
        <v>20200111145942583</v>
      </c>
      <c r="B1725" t="str">
        <f>"1578725982577511"</f>
        <v>1578725982577511</v>
      </c>
      <c r="C1725" t="s">
        <v>40</v>
      </c>
      <c r="D1725">
        <v>4.0251919999999997</v>
      </c>
      <c r="E1725">
        <v>0.55877719999999997</v>
      </c>
      <c r="F1725" t="s">
        <v>44</v>
      </c>
      <c r="G1725">
        <v>-158.19499999999999</v>
      </c>
      <c r="H1725">
        <v>2.1477740000000001</v>
      </c>
      <c r="I1725">
        <v>359.59750000000003</v>
      </c>
      <c r="J1725">
        <v>-266.46499999999997</v>
      </c>
      <c r="K1725">
        <v>1.1048199999999999</v>
      </c>
      <c r="L1725">
        <v>367.31299999999999</v>
      </c>
      <c r="M1725">
        <v>0.99986830000000004</v>
      </c>
      <c r="N1725">
        <v>0</v>
      </c>
      <c r="O1725">
        <v>9.0486769999999998E-3</v>
      </c>
      <c r="P1725">
        <v>0.99606450000000002</v>
      </c>
      <c r="Q1725">
        <v>2.3958139999999999E-2</v>
      </c>
      <c r="R1725">
        <v>8.5331340000000006E-2</v>
      </c>
      <c r="S1725">
        <v>3.029541</v>
      </c>
      <c r="T1725">
        <v>2.9158949999999999E-2</v>
      </c>
      <c r="U1725">
        <v>-0.21566769999999999</v>
      </c>
      <c r="V1725">
        <v>-7.6320460000000007E-2</v>
      </c>
      <c r="W1725">
        <v>3.7373719999999999E-2</v>
      </c>
      <c r="X1725">
        <v>0.99638269999999995</v>
      </c>
      <c r="Y1725">
        <v>8.0028189999999999E-2</v>
      </c>
      <c r="Z1725">
        <v>4.7162940000000002E-4</v>
      </c>
      <c r="AA1725">
        <v>0.99679249999999997</v>
      </c>
      <c r="AB1725">
        <v>21</v>
      </c>
      <c r="AC1725">
        <v>108.269999999999</v>
      </c>
      <c r="AD1725">
        <v>1.0429539999999999</v>
      </c>
      <c r="AE1725">
        <v>-7.7155000000000102</v>
      </c>
      <c r="AF1725">
        <v>8.6941705701068592</v>
      </c>
      <c r="AG1725">
        <v>1.0429539999999999</v>
      </c>
      <c r="AH1725">
        <v>108.185757073172</v>
      </c>
      <c r="AI1725">
        <v>89.449437731735401</v>
      </c>
      <c r="AJ1725">
        <v>85.405392934267695</v>
      </c>
      <c r="AK1725">
        <v>108.539552184646</v>
      </c>
      <c r="AL1725">
        <v>87.8581448587463</v>
      </c>
      <c r="AM1725">
        <v>94.380162506700998</v>
      </c>
      <c r="AN1725">
        <v>1.0000000462102601</v>
      </c>
    </row>
    <row r="1726" spans="1:40" x14ac:dyDescent="0.3">
      <c r="A1726" t="str">
        <f>"20200111145942594"</f>
        <v>20200111145942594</v>
      </c>
      <c r="B1726" t="str">
        <f>"1578725982587272"</f>
        <v>1578725982587272</v>
      </c>
      <c r="C1726" t="s">
        <v>40</v>
      </c>
      <c r="D1726">
        <v>4.1145300000000002</v>
      </c>
      <c r="E1726">
        <v>0.55838390000000004</v>
      </c>
      <c r="F1726" t="s">
        <v>44</v>
      </c>
      <c r="G1726">
        <v>-158.19499999999999</v>
      </c>
      <c r="H1726">
        <v>2.0854050000000002</v>
      </c>
      <c r="I1726">
        <v>359.76209999999998</v>
      </c>
      <c r="J1726">
        <v>-266.36970000000002</v>
      </c>
      <c r="K1726">
        <v>1.1048199999999999</v>
      </c>
      <c r="L1726">
        <v>367.31400000000002</v>
      </c>
      <c r="M1726">
        <v>0.99986779999999997</v>
      </c>
      <c r="N1726">
        <v>0</v>
      </c>
      <c r="O1726">
        <v>9.1211599999999997E-3</v>
      </c>
      <c r="P1726">
        <v>0.9960367</v>
      </c>
      <c r="Q1726">
        <v>2.3774010000000002E-2</v>
      </c>
      <c r="R1726">
        <v>8.5708309999999996E-2</v>
      </c>
      <c r="S1726">
        <v>3.0293580000000002</v>
      </c>
      <c r="T1726">
        <v>2.7438879999999999E-2</v>
      </c>
      <c r="U1726">
        <v>-0.21127319999999999</v>
      </c>
      <c r="V1726">
        <v>-7.6625540000000006E-2</v>
      </c>
      <c r="W1726">
        <v>3.7188359999999997E-2</v>
      </c>
      <c r="X1726">
        <v>0.99636619999999998</v>
      </c>
      <c r="Y1726">
        <v>7.8666319999999998E-2</v>
      </c>
      <c r="Z1726">
        <v>4.3835439999999999E-4</v>
      </c>
      <c r="AA1726">
        <v>0.99690089999999998</v>
      </c>
      <c r="AB1726">
        <v>20</v>
      </c>
      <c r="AC1726">
        <v>108.1747</v>
      </c>
      <c r="AD1726">
        <v>0.98058499999999904</v>
      </c>
      <c r="AE1726">
        <v>-7.5519000000000398</v>
      </c>
      <c r="AF1726">
        <v>8.5376557937422408</v>
      </c>
      <c r="AG1726">
        <v>0.98058499999999904</v>
      </c>
      <c r="AH1726">
        <v>108.092471935939</v>
      </c>
      <c r="AI1726">
        <v>89.481856438762193</v>
      </c>
      <c r="AJ1726">
        <v>85.483883576453493</v>
      </c>
      <c r="AK1726">
        <v>108.43355385957101</v>
      </c>
      <c r="AL1726">
        <v>87.8687725490541</v>
      </c>
      <c r="AM1726">
        <v>94.397675565448907</v>
      </c>
      <c r="AN1726">
        <v>1.0000000260011099</v>
      </c>
    </row>
    <row r="1727" spans="1:40" x14ac:dyDescent="0.3">
      <c r="A1727" t="str">
        <f>"20200111145942604"</f>
        <v>20200111145942604</v>
      </c>
      <c r="B1727" t="str">
        <f>"1578725982597031"</f>
        <v>1578725982597031</v>
      </c>
      <c r="C1727" t="s">
        <v>40</v>
      </c>
      <c r="D1727">
        <v>4.1017210000000004</v>
      </c>
      <c r="E1727">
        <v>0.55796650000000003</v>
      </c>
      <c r="F1727" t="s">
        <v>44</v>
      </c>
      <c r="G1727">
        <v>-158.19499999999999</v>
      </c>
      <c r="H1727">
        <v>2.032505</v>
      </c>
      <c r="I1727">
        <v>359.92169999999999</v>
      </c>
      <c r="J1727">
        <v>-266.27569999999997</v>
      </c>
      <c r="K1727">
        <v>1.1048199999999999</v>
      </c>
      <c r="L1727">
        <v>367.31490000000002</v>
      </c>
      <c r="M1727">
        <v>0.99986710000000001</v>
      </c>
      <c r="N1727">
        <v>0</v>
      </c>
      <c r="O1727">
        <v>9.1931659999999991E-3</v>
      </c>
      <c r="P1727">
        <v>0.99601969999999995</v>
      </c>
      <c r="Q1727">
        <v>2.36098E-2</v>
      </c>
      <c r="R1727">
        <v>8.5950719999999994E-2</v>
      </c>
      <c r="S1727">
        <v>3.0291139999999999</v>
      </c>
      <c r="T1727">
        <v>2.5979519999999999E-2</v>
      </c>
      <c r="U1727">
        <v>-0.20700070000000001</v>
      </c>
      <c r="V1727">
        <v>-7.6796580000000003E-2</v>
      </c>
      <c r="W1727">
        <v>3.7023500000000001E-2</v>
      </c>
      <c r="X1727">
        <v>0.9963592</v>
      </c>
      <c r="Y1727">
        <v>7.7344599999999999E-2</v>
      </c>
      <c r="Z1727">
        <v>4.100501E-4</v>
      </c>
      <c r="AA1727">
        <v>0.99700429999999995</v>
      </c>
      <c r="AB1727">
        <v>20</v>
      </c>
      <c r="AC1727">
        <v>108.080699999999</v>
      </c>
      <c r="AD1727">
        <v>0.92768499999999998</v>
      </c>
      <c r="AE1727">
        <v>-7.3932000000000304</v>
      </c>
      <c r="AF1727">
        <v>8.3859664674201699</v>
      </c>
      <c r="AG1727">
        <v>0.92768499999999998</v>
      </c>
      <c r="AH1727">
        <v>108.000239238261</v>
      </c>
      <c r="AI1727">
        <v>89.509337860655904</v>
      </c>
      <c r="AJ1727">
        <v>85.560025273476697</v>
      </c>
      <c r="AK1727">
        <v>108.32929755414099</v>
      </c>
      <c r="AL1727">
        <v>87.878224901678706</v>
      </c>
      <c r="AM1727">
        <v>94.407484061198602</v>
      </c>
      <c r="AN1727">
        <v>1.0000000548382899</v>
      </c>
    </row>
    <row r="1728" spans="1:40" x14ac:dyDescent="0.3">
      <c r="A1728" t="str">
        <f>"20200111145942615"</f>
        <v>20200111145942615</v>
      </c>
      <c r="B1728" t="str">
        <f>"1578725982597031"</f>
        <v>1578725982597031</v>
      </c>
      <c r="C1728" t="s">
        <v>40</v>
      </c>
      <c r="D1728">
        <v>4.1017210000000004</v>
      </c>
      <c r="E1728">
        <v>0.55796650000000003</v>
      </c>
      <c r="F1728" t="s">
        <v>44</v>
      </c>
      <c r="G1728">
        <v>-158.19499999999999</v>
      </c>
      <c r="H1728">
        <v>1.974092</v>
      </c>
      <c r="I1728">
        <v>360.0788</v>
      </c>
      <c r="J1728">
        <v>-266.17669999999998</v>
      </c>
      <c r="K1728">
        <v>1.104824</v>
      </c>
      <c r="L1728">
        <v>367.3159</v>
      </c>
      <c r="M1728">
        <v>0.99986640000000004</v>
      </c>
      <c r="N1728">
        <v>0</v>
      </c>
      <c r="O1728">
        <v>9.2688690000000008E-3</v>
      </c>
      <c r="P1728">
        <v>0.9960078</v>
      </c>
      <c r="Q1728">
        <v>2.3636190000000001E-2</v>
      </c>
      <c r="R1728">
        <v>8.6081660000000004E-2</v>
      </c>
      <c r="S1728">
        <v>3.0289000000000001</v>
      </c>
      <c r="T1728">
        <v>2.4363280000000001E-2</v>
      </c>
      <c r="U1728">
        <v>-0.20278930000000001</v>
      </c>
      <c r="V1728">
        <v>-7.6852100000000007E-2</v>
      </c>
      <c r="W1728">
        <v>3.7048739999999997E-2</v>
      </c>
      <c r="X1728">
        <v>0.99635390000000001</v>
      </c>
      <c r="Y1728">
        <v>7.6045299999999996E-2</v>
      </c>
      <c r="Z1728">
        <v>3.7997459999999998E-4</v>
      </c>
      <c r="AA1728">
        <v>0.99710430000000005</v>
      </c>
      <c r="AB1728">
        <v>20</v>
      </c>
      <c r="AC1728">
        <v>107.9817</v>
      </c>
      <c r="AD1728">
        <v>0.86926799999999904</v>
      </c>
      <c r="AE1728">
        <v>-7.2370999999999901</v>
      </c>
      <c r="AF1728">
        <v>8.2372165942258508</v>
      </c>
      <c r="AG1728">
        <v>0.86926799999999904</v>
      </c>
      <c r="AH1728">
        <v>107.90301342688799</v>
      </c>
      <c r="AI1728">
        <v>89.539773496906506</v>
      </c>
      <c r="AJ1728">
        <v>85.634559953998604</v>
      </c>
      <c r="AK1728">
        <v>108.220458651215</v>
      </c>
      <c r="AL1728">
        <v>87.876777592208796</v>
      </c>
      <c r="AM1728">
        <v>94.410681247310293</v>
      </c>
      <c r="AN1728">
        <v>0.99999997422760301</v>
      </c>
    </row>
    <row r="1729" spans="1:40" x14ac:dyDescent="0.3">
      <c r="A1729" t="str">
        <f>"20200111145942626"</f>
        <v>20200111145942626</v>
      </c>
      <c r="B1729" t="str">
        <f>"1578725982617527"</f>
        <v>1578725982617527</v>
      </c>
      <c r="C1729" t="s">
        <v>40</v>
      </c>
      <c r="D1729">
        <v>4.2027700000000001</v>
      </c>
      <c r="E1729">
        <v>0.55760399999999999</v>
      </c>
      <c r="F1729" t="s">
        <v>44</v>
      </c>
      <c r="G1729">
        <v>-158.19499999999999</v>
      </c>
      <c r="H1729">
        <v>1.973984</v>
      </c>
      <c r="I1729">
        <v>360.09840000000003</v>
      </c>
      <c r="J1729">
        <v>-266.08199999999999</v>
      </c>
      <c r="K1729">
        <v>1.1048230000000001</v>
      </c>
      <c r="L1729">
        <v>367.31689999999998</v>
      </c>
      <c r="M1729">
        <v>0.99986580000000003</v>
      </c>
      <c r="N1729">
        <v>0</v>
      </c>
      <c r="O1729">
        <v>9.3415310000000001E-3</v>
      </c>
      <c r="P1729">
        <v>0.99600999999999995</v>
      </c>
      <c r="Q1729">
        <v>2.354593E-2</v>
      </c>
      <c r="R1729">
        <v>8.6080610000000002E-2</v>
      </c>
      <c r="S1729">
        <v>3.028931</v>
      </c>
      <c r="T1729">
        <v>2.4382709999999998E-2</v>
      </c>
      <c r="U1729">
        <v>-0.20245360000000001</v>
      </c>
      <c r="V1729">
        <v>-7.677871E-2</v>
      </c>
      <c r="W1729">
        <v>3.6957730000000001E-2</v>
      </c>
      <c r="X1729">
        <v>0.996363</v>
      </c>
      <c r="Y1729">
        <v>7.6007069999999996E-2</v>
      </c>
      <c r="Z1729">
        <v>3.8070589999999999E-4</v>
      </c>
      <c r="AA1729">
        <v>0.99710719999999997</v>
      </c>
      <c r="AB1729">
        <v>20</v>
      </c>
      <c r="AC1729">
        <v>107.887</v>
      </c>
      <c r="AD1729">
        <v>0.86916099999999996</v>
      </c>
      <c r="AE1729">
        <v>-7.2184999999999402</v>
      </c>
      <c r="AF1729">
        <v>8.2255745310331392</v>
      </c>
      <c r="AG1729">
        <v>0.86916099999999996</v>
      </c>
      <c r="AH1729">
        <v>107.80788792856799</v>
      </c>
      <c r="AI1729">
        <v>89.539422706307903</v>
      </c>
      <c r="AJ1729">
        <v>85.636874419836303</v>
      </c>
      <c r="AK1729">
        <v>108.124725279781</v>
      </c>
      <c r="AL1729">
        <v>87.881995785622806</v>
      </c>
      <c r="AM1729">
        <v>94.406445772285807</v>
      </c>
      <c r="AN1729">
        <v>1.0000000359425001</v>
      </c>
    </row>
    <row r="1730" spans="1:40" x14ac:dyDescent="0.3">
      <c r="A1730" t="str">
        <f>"20200111145942853"</f>
        <v>20200111145942853</v>
      </c>
      <c r="B1730" t="str">
        <f>"1578725982846887"</f>
        <v>1578725982846887</v>
      </c>
      <c r="C1730" t="s">
        <v>40</v>
      </c>
      <c r="D1730">
        <v>4.4651480000000001</v>
      </c>
      <c r="E1730">
        <v>0.55760399999999999</v>
      </c>
      <c r="F1730" t="s">
        <v>44</v>
      </c>
      <c r="G1730">
        <v>-158.19499999999999</v>
      </c>
      <c r="H1730">
        <v>1.968907</v>
      </c>
      <c r="I1730">
        <v>360.20519999999999</v>
      </c>
      <c r="J1730">
        <v>-264.01260000000002</v>
      </c>
      <c r="K1730">
        <v>1.104805</v>
      </c>
      <c r="L1730">
        <v>367.33949999999999</v>
      </c>
      <c r="M1730">
        <v>0.99985069999999998</v>
      </c>
      <c r="N1730">
        <v>0</v>
      </c>
      <c r="O1730">
        <v>1.0863879999999999E-2</v>
      </c>
      <c r="P1730">
        <v>0.99584260000000002</v>
      </c>
      <c r="Q1730">
        <v>2.412564E-2</v>
      </c>
      <c r="R1730">
        <v>8.7840210000000002E-2</v>
      </c>
      <c r="S1730">
        <v>3.0286870000000001</v>
      </c>
      <c r="T1730">
        <v>2.425969E-2</v>
      </c>
      <c r="U1730">
        <v>-0.19964599999999999</v>
      </c>
      <c r="V1730">
        <v>-7.7019900000000002E-2</v>
      </c>
      <c r="W1730">
        <v>3.75143E-2</v>
      </c>
      <c r="X1730">
        <v>0.99632350000000003</v>
      </c>
      <c r="Y1730">
        <v>7.6610259999999999E-2</v>
      </c>
      <c r="Z1730">
        <v>3.9342339999999998E-4</v>
      </c>
      <c r="AA1730">
        <v>0.99706099999999998</v>
      </c>
      <c r="AB1730">
        <v>20</v>
      </c>
      <c r="AC1730">
        <v>105.8176</v>
      </c>
      <c r="AD1730">
        <v>0.86410199999999904</v>
      </c>
      <c r="AE1730">
        <v>-7.1342999999999899</v>
      </c>
      <c r="AF1730">
        <v>8.2830225700726707</v>
      </c>
      <c r="AG1730">
        <v>0.86410199999999904</v>
      </c>
      <c r="AH1730">
        <v>105.726822743817</v>
      </c>
      <c r="AI1730">
        <v>89.533164219903995</v>
      </c>
      <c r="AJ1730">
        <v>85.5203908420293</v>
      </c>
      <c r="AK1730">
        <v>106.05430770442599</v>
      </c>
      <c r="AL1730">
        <v>87.850084363704198</v>
      </c>
      <c r="AM1730">
        <v>94.420407805359901</v>
      </c>
      <c r="AN1730">
        <v>0.99999995217637305</v>
      </c>
    </row>
    <row r="1731" spans="1:40" x14ac:dyDescent="0.3">
      <c r="A1731" t="str">
        <f>"20200111145942990"</f>
        <v>20200111145942990</v>
      </c>
      <c r="B1731" t="str">
        <f>"1578725982987431"</f>
        <v>1578725982987431</v>
      </c>
      <c r="C1731" t="s">
        <v>40</v>
      </c>
      <c r="D1731">
        <v>4.4079689999999996</v>
      </c>
      <c r="E1731">
        <v>0.50104300000000002</v>
      </c>
      <c r="F1731" t="s">
        <v>44</v>
      </c>
      <c r="G1731">
        <v>-158.19499999999999</v>
      </c>
      <c r="H1731">
        <v>2.0091480000000002</v>
      </c>
      <c r="I1731">
        <v>360.55799999999999</v>
      </c>
      <c r="J1731">
        <v>-262.79919999999998</v>
      </c>
      <c r="K1731">
        <v>1.1047469999999999</v>
      </c>
      <c r="L1731">
        <v>367.3535</v>
      </c>
      <c r="M1731">
        <v>0.99984649999999997</v>
      </c>
      <c r="N1731">
        <v>0</v>
      </c>
      <c r="O1731">
        <v>1.125809E-2</v>
      </c>
      <c r="P1731">
        <v>0.99605569999999999</v>
      </c>
      <c r="Q1731">
        <v>2.4562029999999999E-2</v>
      </c>
      <c r="R1731">
        <v>8.5264049999999994E-2</v>
      </c>
      <c r="S1731">
        <v>3.0290219999999999</v>
      </c>
      <c r="T1731">
        <v>2.5889280000000001E-2</v>
      </c>
      <c r="U1731">
        <v>-0.1941223</v>
      </c>
      <c r="V1731">
        <v>-7.4042399999999994E-2</v>
      </c>
      <c r="W1731">
        <v>3.7947420000000003E-2</v>
      </c>
      <c r="X1731">
        <v>0.99653290000000005</v>
      </c>
      <c r="Y1731">
        <v>7.5185109999999999E-2</v>
      </c>
      <c r="Z1731">
        <v>4.171105E-4</v>
      </c>
      <c r="AA1731">
        <v>0.99716950000000004</v>
      </c>
      <c r="AB1731">
        <v>20</v>
      </c>
      <c r="AC1731">
        <v>104.60420000000001</v>
      </c>
      <c r="AD1731">
        <v>0.90440100000000001</v>
      </c>
      <c r="AE1731">
        <v>-6.7954999999999401</v>
      </c>
      <c r="AF1731">
        <v>7.9722254623528803</v>
      </c>
      <c r="AG1731">
        <v>0.90440100000000001</v>
      </c>
      <c r="AH1731">
        <v>104.51327857918</v>
      </c>
      <c r="AI1731">
        <v>89.505641970293794</v>
      </c>
      <c r="AJ1731">
        <v>85.637951146350105</v>
      </c>
      <c r="AK1731">
        <v>104.82079812404</v>
      </c>
      <c r="AL1731">
        <v>87.825250948903005</v>
      </c>
      <c r="AM1731">
        <v>94.249268863784096</v>
      </c>
      <c r="AN1731">
        <v>1.00000005223241</v>
      </c>
    </row>
    <row r="1732" spans="1:40" x14ac:dyDescent="0.3">
      <c r="A1732" t="str">
        <f>"20200111145943003"</f>
        <v>20200111145943003</v>
      </c>
      <c r="B1732" t="str">
        <f>"1578725982997191"</f>
        <v>1578725982997191</v>
      </c>
      <c r="C1732" t="s">
        <v>40</v>
      </c>
      <c r="D1732">
        <v>4.4492820000000002</v>
      </c>
      <c r="E1732">
        <v>0.49988549999999998</v>
      </c>
      <c r="F1732" t="s">
        <v>42</v>
      </c>
      <c r="G1732">
        <v>-243.77029999999999</v>
      </c>
      <c r="H1732" s="1">
        <v>-3.0478170000000001E-6</v>
      </c>
      <c r="I1732">
        <v>368.92579999999998</v>
      </c>
      <c r="J1732">
        <v>-262.67669999999998</v>
      </c>
      <c r="K1732">
        <v>1.1047400000000001</v>
      </c>
      <c r="L1732">
        <v>367.35489999999999</v>
      </c>
      <c r="M1732">
        <v>0.99984649999999997</v>
      </c>
      <c r="N1732">
        <v>0</v>
      </c>
      <c r="O1732">
        <v>1.1267579999999999E-2</v>
      </c>
      <c r="P1732">
        <v>0.99603209999999998</v>
      </c>
      <c r="Q1732">
        <v>2.4875540000000002E-2</v>
      </c>
      <c r="R1732">
        <v>8.5448120000000002E-2</v>
      </c>
      <c r="S1732">
        <v>2.9949949999999999</v>
      </c>
      <c r="T1732">
        <v>-0.17387859999999999</v>
      </c>
      <c r="U1732">
        <v>0.24746699999999999</v>
      </c>
      <c r="V1732">
        <v>-7.4217329999999998E-2</v>
      </c>
      <c r="W1732">
        <v>3.8259050000000003E-2</v>
      </c>
      <c r="X1732">
        <v>0.9965079</v>
      </c>
      <c r="Y1732">
        <v>-7.1010809999999994E-2</v>
      </c>
      <c r="Z1732">
        <v>1.403619E-3</v>
      </c>
      <c r="AA1732">
        <v>0.99747459999999999</v>
      </c>
      <c r="AB1732">
        <v>20</v>
      </c>
      <c r="AC1732">
        <v>18.906399999999898</v>
      </c>
      <c r="AD1732">
        <v>-1.1047430478169999</v>
      </c>
      <c r="AE1732">
        <v>1.57089999999999</v>
      </c>
      <c r="AF1732">
        <v>-1.35316324571557</v>
      </c>
      <c r="AG1732">
        <v>-1.1047430478169999</v>
      </c>
      <c r="AH1732">
        <v>18.858952306596802</v>
      </c>
      <c r="AI1732">
        <v>93.343934654984693</v>
      </c>
      <c r="AJ1732">
        <v>94.104040383663005</v>
      </c>
      <c r="AK1732">
        <v>18.9396829454389</v>
      </c>
      <c r="AL1732">
        <v>87.807382733809504</v>
      </c>
      <c r="AM1732">
        <v>94.259377598937903</v>
      </c>
      <c r="AN1732">
        <v>0.99999998087081998</v>
      </c>
    </row>
    <row r="1733" spans="1:40" x14ac:dyDescent="0.3">
      <c r="A1733" t="str">
        <f>"20200111145943015"</f>
        <v>20200111145943015</v>
      </c>
      <c r="B1733" t="str">
        <f>"1578725983006951"</f>
        <v>1578725983006951</v>
      </c>
      <c r="C1733" t="s">
        <v>40</v>
      </c>
      <c r="D1733">
        <v>4.4049699999999996</v>
      </c>
      <c r="E1733">
        <v>0.49971349999999998</v>
      </c>
      <c r="F1733" t="s">
        <v>42</v>
      </c>
      <c r="G1733">
        <v>-243.37360000000001</v>
      </c>
      <c r="H1733" s="1">
        <v>-3.2196410000000001E-6</v>
      </c>
      <c r="I1733">
        <v>369.01420000000002</v>
      </c>
      <c r="J1733">
        <v>-262.5643</v>
      </c>
      <c r="K1733">
        <v>1.1047389999999999</v>
      </c>
      <c r="L1733">
        <v>367.35610000000003</v>
      </c>
      <c r="M1733">
        <v>0.99984649999999997</v>
      </c>
      <c r="N1733">
        <v>0</v>
      </c>
      <c r="O1733">
        <v>1.1272920000000001E-2</v>
      </c>
      <c r="P1733">
        <v>0.99605730000000003</v>
      </c>
      <c r="Q1733">
        <v>2.443149E-2</v>
      </c>
      <c r="R1733">
        <v>8.528434E-2</v>
      </c>
      <c r="S1733">
        <v>2.99411</v>
      </c>
      <c r="T1733">
        <v>-0.1713568</v>
      </c>
      <c r="U1733">
        <v>0.25738529999999998</v>
      </c>
      <c r="V1733">
        <v>-7.404753E-2</v>
      </c>
      <c r="W1733">
        <v>3.7814489999999999E-2</v>
      </c>
      <c r="X1733">
        <v>0.99653749999999997</v>
      </c>
      <c r="Y1733">
        <v>-7.4307670000000006E-2</v>
      </c>
      <c r="Z1733">
        <v>1.4773E-3</v>
      </c>
      <c r="AA1733">
        <v>0.99723430000000002</v>
      </c>
      <c r="AB1733">
        <v>20</v>
      </c>
      <c r="AC1733">
        <v>19.1907</v>
      </c>
      <c r="AD1733">
        <v>-1.1047422196409999</v>
      </c>
      <c r="AE1733">
        <v>1.6580999999999899</v>
      </c>
      <c r="AF1733">
        <v>-1.4369134227834499</v>
      </c>
      <c r="AG1733">
        <v>-1.1047422196409999</v>
      </c>
      <c r="AH1733">
        <v>19.1451984081163</v>
      </c>
      <c r="AI1733">
        <v>93.293254665946407</v>
      </c>
      <c r="AJ1733">
        <v>94.292199334505796</v>
      </c>
      <c r="AK1733">
        <v>19.230803354061202</v>
      </c>
      <c r="AL1733">
        <v>87.832872591711194</v>
      </c>
      <c r="AM1733">
        <v>94.249542650265894</v>
      </c>
      <c r="AN1733">
        <v>0.99999998062965501</v>
      </c>
    </row>
    <row r="1734" spans="1:40" x14ac:dyDescent="0.3">
      <c r="A1734" t="str">
        <f>"20200111145943029"</f>
        <v>20200111145943029</v>
      </c>
      <c r="B1734" t="str">
        <f>"1578725983017688"</f>
        <v>1578725983017688</v>
      </c>
      <c r="C1734" t="s">
        <v>40</v>
      </c>
      <c r="D1734">
        <v>4.4445629999999996</v>
      </c>
      <c r="E1734">
        <v>0.4993377</v>
      </c>
      <c r="F1734" t="s">
        <v>42</v>
      </c>
      <c r="G1734">
        <v>-243.20949999999999</v>
      </c>
      <c r="H1734" s="1">
        <v>-3.2949380000000002E-6</v>
      </c>
      <c r="I1734">
        <v>369.02690000000001</v>
      </c>
      <c r="J1734">
        <v>-262.45310000000001</v>
      </c>
      <c r="K1734">
        <v>1.104738</v>
      </c>
      <c r="L1734">
        <v>367.35739999999998</v>
      </c>
      <c r="M1734">
        <v>0.99984640000000002</v>
      </c>
      <c r="N1734">
        <v>0</v>
      </c>
      <c r="O1734">
        <v>1.127762E-2</v>
      </c>
      <c r="P1734">
        <v>0.99607970000000001</v>
      </c>
      <c r="Q1734">
        <v>2.4256730000000001E-2</v>
      </c>
      <c r="R1734">
        <v>8.507004E-2</v>
      </c>
      <c r="S1734">
        <v>2.9939269999999998</v>
      </c>
      <c r="T1734">
        <v>-0.17088889999999901</v>
      </c>
      <c r="U1734">
        <v>0.2584534</v>
      </c>
      <c r="V1734">
        <v>-7.3828489999999997E-2</v>
      </c>
      <c r="W1734">
        <v>3.763818E-2</v>
      </c>
      <c r="X1734">
        <v>0.99656049999999996</v>
      </c>
      <c r="Y1734">
        <v>-7.4661320000000003E-2</v>
      </c>
      <c r="Z1734">
        <v>1.4831390000000001E-3</v>
      </c>
      <c r="AA1734">
        <v>0.99720779999999998</v>
      </c>
      <c r="AB1734">
        <v>20</v>
      </c>
      <c r="AC1734">
        <v>19.243600000000001</v>
      </c>
      <c r="AD1734">
        <v>-1.104741294938</v>
      </c>
      <c r="AE1734">
        <v>1.66950000000002</v>
      </c>
      <c r="AF1734">
        <v>-1.44761698801509</v>
      </c>
      <c r="AG1734">
        <v>-1.104741294938</v>
      </c>
      <c r="AH1734">
        <v>19.1984060330633</v>
      </c>
      <c r="AI1734">
        <v>93.284059127025102</v>
      </c>
      <c r="AJ1734">
        <v>94.312112428187604</v>
      </c>
      <c r="AK1734">
        <v>19.284575247671199</v>
      </c>
      <c r="AL1734">
        <v>87.842981766409395</v>
      </c>
      <c r="AM1734">
        <v>94.236920492701103</v>
      </c>
      <c r="AN1734">
        <v>1.00000005434481</v>
      </c>
    </row>
    <row r="1735" spans="1:40" x14ac:dyDescent="0.3">
      <c r="A1735" t="str">
        <f>"20200111145943040"</f>
        <v>20200111145943040</v>
      </c>
      <c r="B1735" t="str">
        <f>"1578725983037207"</f>
        <v>1578725983037207</v>
      </c>
      <c r="C1735" t="s">
        <v>40</v>
      </c>
      <c r="D1735">
        <v>4.4398439999999999</v>
      </c>
      <c r="E1735">
        <v>0.49874099999999999</v>
      </c>
      <c r="F1735" t="s">
        <v>42</v>
      </c>
      <c r="G1735">
        <v>-242.58840000000001</v>
      </c>
      <c r="H1735" s="1">
        <v>-3.5774440000000002E-6</v>
      </c>
      <c r="I1735">
        <v>369.08940000000001</v>
      </c>
      <c r="J1735">
        <v>-262.34660000000002</v>
      </c>
      <c r="K1735">
        <v>1.1047370000000001</v>
      </c>
      <c r="L1735">
        <v>367.35860000000002</v>
      </c>
      <c r="M1735">
        <v>0.99984649999999997</v>
      </c>
      <c r="N1735">
        <v>0</v>
      </c>
      <c r="O1735">
        <v>1.1281319999999999E-2</v>
      </c>
      <c r="P1735">
        <v>0.99608470000000005</v>
      </c>
      <c r="Q1735">
        <v>2.4258760000000001E-2</v>
      </c>
      <c r="R1735">
        <v>8.5010779999999994E-2</v>
      </c>
      <c r="S1735">
        <v>2.9935610000000001</v>
      </c>
      <c r="T1735">
        <v>-0.16648189999999999</v>
      </c>
      <c r="U1735">
        <v>0.26101679999999999</v>
      </c>
      <c r="V1735">
        <v>-7.3765280000000003E-2</v>
      </c>
      <c r="W1735">
        <v>3.7638659999999997E-2</v>
      </c>
      <c r="X1735">
        <v>0.99656509999999998</v>
      </c>
      <c r="Y1735">
        <v>-7.5519509999999998E-2</v>
      </c>
      <c r="Z1735">
        <v>1.46866799999999E-3</v>
      </c>
      <c r="AA1735">
        <v>0.99714329999999995</v>
      </c>
      <c r="AB1735">
        <v>20</v>
      </c>
      <c r="AC1735">
        <v>19.758199999999999</v>
      </c>
      <c r="AD1735">
        <v>-1.104740577444</v>
      </c>
      <c r="AE1735">
        <v>1.7307999999999799</v>
      </c>
      <c r="AF1735">
        <v>-1.50310790107854</v>
      </c>
      <c r="AG1735">
        <v>-1.104740577444</v>
      </c>
      <c r="AH1735">
        <v>19.7153039902087</v>
      </c>
      <c r="AI1735">
        <v>93.197934825240196</v>
      </c>
      <c r="AJ1735">
        <v>94.359834046409702</v>
      </c>
      <c r="AK1735">
        <v>19.8033582134969</v>
      </c>
      <c r="AL1735">
        <v>87.842954110173594</v>
      </c>
      <c r="AM1735">
        <v>94.233286677237501</v>
      </c>
      <c r="AN1735">
        <v>0.99999999189904198</v>
      </c>
    </row>
    <row r="1736" spans="1:40" x14ac:dyDescent="0.3">
      <c r="A1736" t="str">
        <f>"20200111145943052"</f>
        <v>20200111145943052</v>
      </c>
      <c r="B1736" t="str">
        <f>"1578725983046967"</f>
        <v>1578725983046967</v>
      </c>
      <c r="C1736" t="s">
        <v>40</v>
      </c>
      <c r="D1736">
        <v>4.4267240000000001</v>
      </c>
      <c r="E1736">
        <v>0.4987007</v>
      </c>
      <c r="F1736" t="s">
        <v>42</v>
      </c>
      <c r="G1736">
        <v>-242.3716</v>
      </c>
      <c r="H1736" s="1">
        <v>-3.6727809999999999E-6</v>
      </c>
      <c r="I1736">
        <v>369.12979999999999</v>
      </c>
      <c r="J1736">
        <v>-262.23610000000002</v>
      </c>
      <c r="K1736">
        <v>1.1047359999999999</v>
      </c>
      <c r="L1736">
        <v>367.35980000000001</v>
      </c>
      <c r="M1736">
        <v>0.99984629999999997</v>
      </c>
      <c r="N1736">
        <v>0</v>
      </c>
      <c r="O1736">
        <v>1.1284860000000001E-2</v>
      </c>
      <c r="P1736">
        <v>0.99606479999999997</v>
      </c>
      <c r="Q1736">
        <v>2.4236339999999999E-2</v>
      </c>
      <c r="R1736">
        <v>8.5251789999999994E-2</v>
      </c>
      <c r="S1736">
        <v>2.9931640000000002</v>
      </c>
      <c r="T1736">
        <v>-0.16554089999999999</v>
      </c>
      <c r="U1736">
        <v>0.26541140000000002</v>
      </c>
      <c r="V1736">
        <v>-7.4002940000000003E-2</v>
      </c>
      <c r="W1736">
        <v>3.7614349999999998E-2</v>
      </c>
      <c r="X1736">
        <v>0.9965484</v>
      </c>
      <c r="Y1736">
        <v>-7.6978969999999994E-2</v>
      </c>
      <c r="Z1736">
        <v>1.500534E-3</v>
      </c>
      <c r="AA1736">
        <v>0.99703160000000002</v>
      </c>
      <c r="AB1736">
        <v>20</v>
      </c>
      <c r="AC1736">
        <v>19.8645</v>
      </c>
      <c r="AD1736">
        <v>-1.1047396727809999</v>
      </c>
      <c r="AE1736">
        <v>1.76999999999998</v>
      </c>
      <c r="AF1736">
        <v>-1.5409704786065701</v>
      </c>
      <c r="AG1736">
        <v>-1.1047396727809999</v>
      </c>
      <c r="AH1736">
        <v>19.8223853233897</v>
      </c>
      <c r="AI1736">
        <v>93.180328460496995</v>
      </c>
      <c r="AJ1736">
        <v>94.445170843478493</v>
      </c>
      <c r="AK1736">
        <v>19.912860157935299</v>
      </c>
      <c r="AL1736">
        <v>87.844347962134705</v>
      </c>
      <c r="AM1736">
        <v>94.246946740601899</v>
      </c>
      <c r="AN1736">
        <v>0.99999999399856299</v>
      </c>
    </row>
    <row r="1737" spans="1:40" x14ac:dyDescent="0.3">
      <c r="A1737" t="str">
        <f>"20200111145943064"</f>
        <v>20200111145943064</v>
      </c>
      <c r="B1737" t="str">
        <f>"1578725983057703"</f>
        <v>1578725983057703</v>
      </c>
      <c r="C1737" t="s">
        <v>40</v>
      </c>
      <c r="D1737">
        <v>4.3983359999999996</v>
      </c>
      <c r="E1737">
        <v>0.49868639999999997</v>
      </c>
      <c r="F1737" t="s">
        <v>42</v>
      </c>
      <c r="G1737">
        <v>-242.46680000000001</v>
      </c>
      <c r="H1737" s="1">
        <v>-3.629526E-6</v>
      </c>
      <c r="I1737">
        <v>369.12009999999998</v>
      </c>
      <c r="J1737">
        <v>-262.13279999999997</v>
      </c>
      <c r="K1737">
        <v>1.1047370000000001</v>
      </c>
      <c r="L1737">
        <v>367.36099999999999</v>
      </c>
      <c r="M1737">
        <v>0.99984620000000002</v>
      </c>
      <c r="N1737">
        <v>0</v>
      </c>
      <c r="O1737">
        <v>1.128822E-2</v>
      </c>
      <c r="P1737">
        <v>0.99605540000000004</v>
      </c>
      <c r="Q1737">
        <v>2.427986E-2</v>
      </c>
      <c r="R1737">
        <v>8.534651E-2</v>
      </c>
      <c r="S1737">
        <v>2.9931030000000001</v>
      </c>
      <c r="T1737">
        <v>-0.16725870000000001</v>
      </c>
      <c r="U1737">
        <v>0.26651000000000002</v>
      </c>
      <c r="V1737">
        <v>-7.4094530000000006E-2</v>
      </c>
      <c r="W1737">
        <v>3.7655809999999998E-2</v>
      </c>
      <c r="X1737">
        <v>0.99653999999999998</v>
      </c>
      <c r="Y1737">
        <v>-7.7337859999999994E-2</v>
      </c>
      <c r="Z1737">
        <v>1.525899E-3</v>
      </c>
      <c r="AA1737">
        <v>0.9970038</v>
      </c>
      <c r="AB1737">
        <v>20</v>
      </c>
      <c r="AC1737">
        <v>19.665999999999901</v>
      </c>
      <c r="AD1737">
        <v>-1.1047406295260001</v>
      </c>
      <c r="AE1737">
        <v>1.7590999999999799</v>
      </c>
      <c r="AF1737">
        <v>-1.53217713316251</v>
      </c>
      <c r="AG1737">
        <v>-1.1047406295260001</v>
      </c>
      <c r="AH1737">
        <v>19.6231733648508</v>
      </c>
      <c r="AI1737">
        <v>93.212465564619393</v>
      </c>
      <c r="AJ1737">
        <v>94.464595677955501</v>
      </c>
      <c r="AK1737">
        <v>19.7138771309173</v>
      </c>
      <c r="AL1737">
        <v>87.841970733469296</v>
      </c>
      <c r="AM1737">
        <v>94.252219432947797</v>
      </c>
      <c r="AN1737">
        <v>0.99999996550133796</v>
      </c>
    </row>
    <row r="1738" spans="1:40" x14ac:dyDescent="0.3">
      <c r="A1738" t="str">
        <f>"20200111145943075"</f>
        <v>20200111145943075</v>
      </c>
      <c r="B1738" t="str">
        <f>"1578725983067464"</f>
        <v>1578725983067464</v>
      </c>
      <c r="C1738" t="s">
        <v>40</v>
      </c>
      <c r="D1738">
        <v>4.4595919999999998</v>
      </c>
      <c r="E1738">
        <v>0.49848310000000001</v>
      </c>
      <c r="F1738" t="s">
        <v>42</v>
      </c>
      <c r="G1738">
        <v>-242.56059999999999</v>
      </c>
      <c r="H1738" s="1">
        <v>-3.587762E-6</v>
      </c>
      <c r="I1738">
        <v>369.10550000000001</v>
      </c>
      <c r="J1738">
        <v>-262.02809999999999</v>
      </c>
      <c r="K1738">
        <v>1.104741</v>
      </c>
      <c r="L1738">
        <v>367.36219999999997</v>
      </c>
      <c r="M1738">
        <v>0.99984629999999997</v>
      </c>
      <c r="N1738">
        <v>0</v>
      </c>
      <c r="O1738">
        <v>1.129178E-2</v>
      </c>
      <c r="P1738">
        <v>0.99602670000000004</v>
      </c>
      <c r="Q1738">
        <v>2.4360719999999999E-2</v>
      </c>
      <c r="R1738">
        <v>8.5660440000000004E-2</v>
      </c>
      <c r="S1738">
        <v>2.993134</v>
      </c>
      <c r="T1738">
        <v>-0.16894579999999901</v>
      </c>
      <c r="U1738">
        <v>0.26678469999999999</v>
      </c>
      <c r="V1738">
        <v>-7.4405570000000004E-2</v>
      </c>
      <c r="W1738">
        <v>3.7734429999999999E-2</v>
      </c>
      <c r="X1738">
        <v>0.99651389999999995</v>
      </c>
      <c r="Y1738">
        <v>-7.7422019999999994E-2</v>
      </c>
      <c r="Z1738">
        <v>1.5434139999999999E-3</v>
      </c>
      <c r="AA1738">
        <v>0.99699720000000003</v>
      </c>
      <c r="AB1738">
        <v>20</v>
      </c>
      <c r="AC1738">
        <v>19.467500000000001</v>
      </c>
      <c r="AD1738">
        <v>-1.1047445877619999</v>
      </c>
      <c r="AE1738">
        <v>1.74330000000003</v>
      </c>
      <c r="AF1738">
        <v>-1.5184951500433901</v>
      </c>
      <c r="AG1738">
        <v>-1.1047445877619999</v>
      </c>
      <c r="AH1738">
        <v>19.423891214764701</v>
      </c>
      <c r="AI1738">
        <v>93.245341504157096</v>
      </c>
      <c r="AJ1738">
        <v>94.470101611005006</v>
      </c>
      <c r="AK1738">
        <v>19.514452030428799</v>
      </c>
      <c r="AL1738">
        <v>87.837463041329002</v>
      </c>
      <c r="AM1738">
        <v>94.270115282295905</v>
      </c>
      <c r="AN1738">
        <v>1.0000000144738199</v>
      </c>
    </row>
    <row r="1739" spans="1:40" x14ac:dyDescent="0.3">
      <c r="A1739" t="str">
        <f>"20200111145943087"</f>
        <v>20200111145943087</v>
      </c>
      <c r="B1739" t="str">
        <f>"1578725983077223"</f>
        <v>1578725983077223</v>
      </c>
      <c r="C1739" t="s">
        <v>40</v>
      </c>
      <c r="D1739">
        <v>4.5713869999999996</v>
      </c>
      <c r="E1739">
        <v>0.4987087</v>
      </c>
      <c r="F1739" t="s">
        <v>42</v>
      </c>
      <c r="G1739">
        <v>-242.2568</v>
      </c>
      <c r="H1739" s="1">
        <v>-3.724965E-6</v>
      </c>
      <c r="I1739">
        <v>369.14150000000001</v>
      </c>
      <c r="J1739">
        <v>-261.92649999999998</v>
      </c>
      <c r="K1739">
        <v>1.1047469999999999</v>
      </c>
      <c r="L1739">
        <v>367.36329999999998</v>
      </c>
      <c r="M1739">
        <v>0.99984620000000002</v>
      </c>
      <c r="N1739">
        <v>0</v>
      </c>
      <c r="O1739">
        <v>1.129616E-2</v>
      </c>
      <c r="P1739">
        <v>0.99599979999999999</v>
      </c>
      <c r="Q1739">
        <v>2.4854109999999999E-2</v>
      </c>
      <c r="R1739">
        <v>8.5830359999999994E-2</v>
      </c>
      <c r="S1739">
        <v>2.9928889999999999</v>
      </c>
      <c r="T1739">
        <v>-0.1672313</v>
      </c>
      <c r="U1739">
        <v>0.26934809999999998</v>
      </c>
      <c r="V1739">
        <v>-7.4571429999999994E-2</v>
      </c>
      <c r="W1739">
        <v>3.8225700000000001E-2</v>
      </c>
      <c r="X1739">
        <v>0.9964828</v>
      </c>
      <c r="Y1739">
        <v>-7.8272750000000002E-2</v>
      </c>
      <c r="Z1739">
        <v>1.5512989999999999E-3</v>
      </c>
      <c r="AA1739">
        <v>0.99693080000000001</v>
      </c>
      <c r="AB1739">
        <v>20</v>
      </c>
      <c r="AC1739">
        <v>19.669699999999899</v>
      </c>
      <c r="AD1739">
        <v>-1.1047507249649999</v>
      </c>
      <c r="AE1739">
        <v>1.77820000000002</v>
      </c>
      <c r="AF1739">
        <v>-1.55102138512426</v>
      </c>
      <c r="AG1739">
        <v>-1.1047507249649999</v>
      </c>
      <c r="AH1739">
        <v>19.627121196230899</v>
      </c>
      <c r="AI1739">
        <v>93.211613739733394</v>
      </c>
      <c r="AJ1739">
        <v>94.518374413354294</v>
      </c>
      <c r="AK1739">
        <v>19.719280614488898</v>
      </c>
      <c r="AL1739">
        <v>87.809295068826501</v>
      </c>
      <c r="AM1739">
        <v>94.279731686456202</v>
      </c>
      <c r="AN1739">
        <v>1.00000003650428</v>
      </c>
    </row>
    <row r="1740" spans="1:40" x14ac:dyDescent="0.3">
      <c r="A1740" t="str">
        <f>"20200111145943098"</f>
        <v>20200111145943098</v>
      </c>
      <c r="B1740" t="str">
        <f>"1578725983086983"</f>
        <v>1578725983086983</v>
      </c>
      <c r="C1740" t="s">
        <v>40</v>
      </c>
      <c r="D1740">
        <v>4.4183719999999997</v>
      </c>
      <c r="E1740">
        <v>0.49862570000000001</v>
      </c>
      <c r="F1740" t="s">
        <v>42</v>
      </c>
      <c r="G1740">
        <v>-241.51900000000001</v>
      </c>
      <c r="H1740" s="1">
        <v>-4.0651579999999997E-6</v>
      </c>
      <c r="I1740">
        <v>369.18990000000002</v>
      </c>
      <c r="J1740">
        <v>-261.82319999999999</v>
      </c>
      <c r="K1740">
        <v>1.104751</v>
      </c>
      <c r="L1740">
        <v>367.36450000000002</v>
      </c>
      <c r="M1740">
        <v>0.99984629999999997</v>
      </c>
      <c r="N1740">
        <v>0</v>
      </c>
      <c r="O1740">
        <v>1.1300910000000001E-2</v>
      </c>
      <c r="P1740">
        <v>0.99597809999999998</v>
      </c>
      <c r="Q1740">
        <v>2.4921120000000001E-2</v>
      </c>
      <c r="R1740">
        <v>8.6063050000000002E-2</v>
      </c>
      <c r="S1740">
        <v>2.9929809999999999</v>
      </c>
      <c r="T1740">
        <v>-0.16202420000000001</v>
      </c>
      <c r="U1740">
        <v>0.26788329999999999</v>
      </c>
      <c r="V1740">
        <v>-7.4799809999999994E-2</v>
      </c>
      <c r="W1740">
        <v>3.8290030000000003E-2</v>
      </c>
      <c r="X1740">
        <v>0.99646319999999999</v>
      </c>
      <c r="Y1740">
        <v>-7.7788319999999994E-2</v>
      </c>
      <c r="Z1740">
        <v>1.4897210000000001E-3</v>
      </c>
      <c r="AA1740">
        <v>0.99696879999999999</v>
      </c>
      <c r="AB1740">
        <v>20</v>
      </c>
      <c r="AC1740">
        <v>20.304199999999899</v>
      </c>
      <c r="AD1740">
        <v>-1.104755065158</v>
      </c>
      <c r="AE1740">
        <v>1.8253999999999999</v>
      </c>
      <c r="AF1740">
        <v>-1.5911341286243501</v>
      </c>
      <c r="AG1740">
        <v>-1.104755065158</v>
      </c>
      <c r="AH1740">
        <v>20.264023742203999</v>
      </c>
      <c r="AI1740">
        <v>93.111008274998696</v>
      </c>
      <c r="AJ1740">
        <v>94.489661293983502</v>
      </c>
      <c r="AK1740">
        <v>20.356395795765899</v>
      </c>
      <c r="AL1740">
        <v>87.805606502455802</v>
      </c>
      <c r="AM1740">
        <v>94.292873851851297</v>
      </c>
      <c r="AN1740">
        <v>1.00000002346383</v>
      </c>
    </row>
    <row r="1741" spans="1:40" x14ac:dyDescent="0.3">
      <c r="A1741" t="str">
        <f>"20200111145943112"</f>
        <v>20200111145943112</v>
      </c>
      <c r="B1741" t="str">
        <f>"1578725983107479"</f>
        <v>1578725983107479</v>
      </c>
      <c r="C1741" t="s">
        <v>40</v>
      </c>
      <c r="D1741">
        <v>4.4597020000000001</v>
      </c>
      <c r="E1741">
        <v>0.498361</v>
      </c>
      <c r="F1741" t="s">
        <v>42</v>
      </c>
      <c r="G1741">
        <v>-241.30950000000001</v>
      </c>
      <c r="H1741" s="1">
        <v>-4.1607709999999999E-6</v>
      </c>
      <c r="I1741">
        <v>369.20920000000001</v>
      </c>
      <c r="J1741">
        <v>-261.7115</v>
      </c>
      <c r="K1741">
        <v>1.104754</v>
      </c>
      <c r="L1741">
        <v>367.36579999999998</v>
      </c>
      <c r="M1741">
        <v>0.99984620000000002</v>
      </c>
      <c r="N1741">
        <v>0</v>
      </c>
      <c r="O1741">
        <v>1.130799E-2</v>
      </c>
      <c r="P1741">
        <v>0.99598629999999999</v>
      </c>
      <c r="Q1741">
        <v>2.5230200000000001E-2</v>
      </c>
      <c r="R1741">
        <v>8.5875750000000001E-2</v>
      </c>
      <c r="S1741">
        <v>2.9928889999999999</v>
      </c>
      <c r="T1741">
        <v>-0.16118080000000001</v>
      </c>
      <c r="U1741">
        <v>0.2691345</v>
      </c>
      <c r="V1741">
        <v>-7.4605539999999998E-2</v>
      </c>
      <c r="W1741">
        <v>3.8597350000000002E-2</v>
      </c>
      <c r="X1741">
        <v>0.99646590000000002</v>
      </c>
      <c r="Y1741">
        <v>-7.8197840000000005E-2</v>
      </c>
      <c r="Z1741">
        <v>1.4926129999999901E-3</v>
      </c>
      <c r="AA1741">
        <v>0.99693670000000001</v>
      </c>
      <c r="AB1741">
        <v>20</v>
      </c>
      <c r="AC1741">
        <v>20.401999999999902</v>
      </c>
      <c r="AD1741">
        <v>-1.104758160771</v>
      </c>
      <c r="AE1741">
        <v>1.8434000000000299</v>
      </c>
      <c r="AF1741">
        <v>-1.6078793760836301</v>
      </c>
      <c r="AG1741">
        <v>-1.104758160771</v>
      </c>
      <c r="AH1741">
        <v>20.362320060669699</v>
      </c>
      <c r="AI1741">
        <v>93.0959210545128</v>
      </c>
      <c r="AJ1741">
        <v>94.514905090419006</v>
      </c>
      <c r="AK1741">
        <v>20.4555578006315</v>
      </c>
      <c r="AL1741">
        <v>87.787985321071403</v>
      </c>
      <c r="AM1741">
        <v>94.281754363353997</v>
      </c>
      <c r="AN1741">
        <v>1.0000000159442599</v>
      </c>
    </row>
    <row r="1742" spans="1:40" x14ac:dyDescent="0.3">
      <c r="A1742" t="str">
        <f>"20200111145943125"</f>
        <v>20200111145943125</v>
      </c>
      <c r="B1742" t="str">
        <f>"1578725983117239"</f>
        <v>1578725983117239</v>
      </c>
      <c r="C1742" t="s">
        <v>40</v>
      </c>
      <c r="D1742">
        <v>4.4744719999999996</v>
      </c>
      <c r="E1742">
        <v>0.49843779999999999</v>
      </c>
      <c r="F1742" t="s">
        <v>42</v>
      </c>
      <c r="G1742">
        <v>-241.1027</v>
      </c>
      <c r="H1742" s="1">
        <v>-4.2545069999999997E-6</v>
      </c>
      <c r="I1742">
        <v>369.2319</v>
      </c>
      <c r="J1742">
        <v>-261.59339999999997</v>
      </c>
      <c r="K1742">
        <v>1.104757</v>
      </c>
      <c r="L1742">
        <v>367.36709999999999</v>
      </c>
      <c r="M1742">
        <v>0.99984609999999996</v>
      </c>
      <c r="N1742">
        <v>0</v>
      </c>
      <c r="O1742">
        <v>1.131625E-2</v>
      </c>
      <c r="P1742">
        <v>0.99597630000000004</v>
      </c>
      <c r="Q1742">
        <v>2.53169E-2</v>
      </c>
      <c r="R1742">
        <v>8.5967000000000002E-2</v>
      </c>
      <c r="S1742">
        <v>2.9927670000000002</v>
      </c>
      <c r="T1742">
        <v>-0.160430399999999</v>
      </c>
      <c r="U1742">
        <v>0.27099610000000002</v>
      </c>
      <c r="V1742">
        <v>-7.4688920000000006E-2</v>
      </c>
      <c r="W1742">
        <v>3.8681689999999998E-2</v>
      </c>
      <c r="X1742">
        <v>0.99645640000000002</v>
      </c>
      <c r="Y1742">
        <v>-7.8808370000000003E-2</v>
      </c>
      <c r="Z1742">
        <v>1.50157E-3</v>
      </c>
      <c r="AA1742">
        <v>0.99688860000000001</v>
      </c>
      <c r="AB1742">
        <v>20</v>
      </c>
      <c r="AC1742">
        <v>20.490699999999901</v>
      </c>
      <c r="AD1742">
        <v>-1.104761254507</v>
      </c>
      <c r="AE1742">
        <v>1.8648</v>
      </c>
      <c r="AF1742">
        <v>-1.6280881106690499</v>
      </c>
      <c r="AG1742">
        <v>-1.104761254507</v>
      </c>
      <c r="AH1742">
        <v>20.451530880127599</v>
      </c>
      <c r="AI1742">
        <v>93.0822951496922</v>
      </c>
      <c r="AJ1742">
        <v>94.551555122122807</v>
      </c>
      <c r="AK1742">
        <v>20.545955408945499</v>
      </c>
      <c r="AL1742">
        <v>87.7831494204314</v>
      </c>
      <c r="AM1742">
        <v>94.286562588972401</v>
      </c>
      <c r="AN1742">
        <v>1.0000000325064899</v>
      </c>
    </row>
    <row r="1743" spans="1:40" x14ac:dyDescent="0.3">
      <c r="A1743" t="str">
        <f>"20200111145943138"</f>
        <v>20200111145943138</v>
      </c>
      <c r="B1743" t="str">
        <f>"1578725983126999"</f>
        <v>1578725983126999</v>
      </c>
      <c r="C1743" t="s">
        <v>40</v>
      </c>
      <c r="D1743">
        <v>4.4290799999999999</v>
      </c>
      <c r="E1743">
        <v>0.49912380000000001</v>
      </c>
      <c r="F1743" t="s">
        <v>42</v>
      </c>
      <c r="G1743">
        <v>-240.93780000000001</v>
      </c>
      <c r="H1743" s="1">
        <v>-4.3316689999999997E-6</v>
      </c>
      <c r="I1743">
        <v>369.2364</v>
      </c>
      <c r="J1743">
        <v>-261.47840000000002</v>
      </c>
      <c r="K1743">
        <v>1.1047559999999901</v>
      </c>
      <c r="L1743">
        <v>367.36840000000001</v>
      </c>
      <c r="M1743">
        <v>0.99984600000000001</v>
      </c>
      <c r="N1743">
        <v>0</v>
      </c>
      <c r="O1743">
        <v>1.132553E-2</v>
      </c>
      <c r="P1743">
        <v>0.99595270000000002</v>
      </c>
      <c r="Q1743">
        <v>2.534345E-2</v>
      </c>
      <c r="R1743">
        <v>8.623111E-2</v>
      </c>
      <c r="S1743">
        <v>2.9928279999999998</v>
      </c>
      <c r="T1743">
        <v>-0.1600705</v>
      </c>
      <c r="U1743">
        <v>0.27084350000000001</v>
      </c>
      <c r="V1743">
        <v>-7.494352E-2</v>
      </c>
      <c r="W1743">
        <v>3.8705990000000003E-2</v>
      </c>
      <c r="X1743">
        <v>0.99643630000000005</v>
      </c>
      <c r="Y1743">
        <v>-7.8747399999999995E-2</v>
      </c>
      <c r="Z1743">
        <v>1.4960590000000001E-3</v>
      </c>
      <c r="AA1743">
        <v>0.99689349999999999</v>
      </c>
      <c r="AB1743">
        <v>20</v>
      </c>
      <c r="AC1743">
        <v>20.540600000000001</v>
      </c>
      <c r="AD1743">
        <v>-1.10476033166899</v>
      </c>
      <c r="AE1743">
        <v>1.8679999999999899</v>
      </c>
      <c r="AF1743">
        <v>-1.63054801798281</v>
      </c>
      <c r="AG1743">
        <v>-1.10476033166899</v>
      </c>
      <c r="AH1743">
        <v>20.5016209007707</v>
      </c>
      <c r="AI1743">
        <v>93.074794402098107</v>
      </c>
      <c r="AJ1743">
        <v>94.547312759643404</v>
      </c>
      <c r="AK1743">
        <v>20.596010336671899</v>
      </c>
      <c r="AL1743">
        <v>87.781756000587194</v>
      </c>
      <c r="AM1743">
        <v>94.301206341903395</v>
      </c>
      <c r="AN1743">
        <v>0.99999999240477999</v>
      </c>
    </row>
    <row r="1744" spans="1:40" x14ac:dyDescent="0.3">
      <c r="A1744" t="str">
        <f>"20200111145943176"</f>
        <v>20200111145943176</v>
      </c>
      <c r="B1744" t="str">
        <f>"1578725983167016"</f>
        <v>1578725983167016</v>
      </c>
      <c r="C1744" t="s">
        <v>40</v>
      </c>
      <c r="D1744">
        <v>4.3118879999999997</v>
      </c>
      <c r="E1744">
        <v>0.49912380000000001</v>
      </c>
      <c r="F1744" t="s">
        <v>42</v>
      </c>
      <c r="G1744">
        <v>-240.4409</v>
      </c>
      <c r="H1744" s="1">
        <v>-4.565795E-6</v>
      </c>
      <c r="I1744">
        <v>369.2405</v>
      </c>
      <c r="J1744">
        <v>-261.137</v>
      </c>
      <c r="K1744">
        <v>1.104754</v>
      </c>
      <c r="L1744">
        <v>367.3723</v>
      </c>
      <c r="M1744">
        <v>0.99984580000000001</v>
      </c>
      <c r="N1744">
        <v>0</v>
      </c>
      <c r="O1744">
        <v>1.1358109999999999E-2</v>
      </c>
      <c r="P1744">
        <v>0.99588969999999999</v>
      </c>
      <c r="Q1744">
        <v>2.4786309999999999E-2</v>
      </c>
      <c r="R1744">
        <v>8.7118000000000001E-2</v>
      </c>
      <c r="S1744">
        <v>2.9931640000000002</v>
      </c>
      <c r="T1744">
        <v>-0.15718270000000001</v>
      </c>
      <c r="U1744">
        <v>0.26635740000000002</v>
      </c>
      <c r="V1744">
        <v>-7.5798959999999999E-2</v>
      </c>
      <c r="W1744">
        <v>3.8142309999999999E-2</v>
      </c>
      <c r="X1744">
        <v>0.99639330000000004</v>
      </c>
      <c r="Y1744">
        <v>-7.7228160000000004E-2</v>
      </c>
      <c r="Z1744">
        <v>1.4275479999999901E-3</v>
      </c>
      <c r="AA1744">
        <v>0.99701240000000002</v>
      </c>
      <c r="AB1744">
        <v>20</v>
      </c>
      <c r="AC1744">
        <v>20.696100000000001</v>
      </c>
      <c r="AD1744">
        <v>-1.1047585657950001</v>
      </c>
      <c r="AE1744">
        <v>1.8682000000000001</v>
      </c>
      <c r="AF1744">
        <v>-1.6283873337470101</v>
      </c>
      <c r="AG1744">
        <v>-1.1047585657950001</v>
      </c>
      <c r="AH1744">
        <v>20.657599281736601</v>
      </c>
      <c r="AI1744">
        <v>93.051785872095294</v>
      </c>
      <c r="AJ1744">
        <v>94.507164155150406</v>
      </c>
      <c r="AK1744">
        <v>20.7511094855723</v>
      </c>
      <c r="AL1744">
        <v>87.814076290371204</v>
      </c>
      <c r="AM1744">
        <v>94.350301912819404</v>
      </c>
      <c r="AN1744">
        <v>0.99999996321705298</v>
      </c>
    </row>
    <row r="1745" spans="1:40" x14ac:dyDescent="0.3">
      <c r="A1745" t="str">
        <f>"20200111145943189"</f>
        <v>20200111145943189</v>
      </c>
      <c r="B1745" t="str">
        <f>"1578725983187511"</f>
        <v>1578725983187511</v>
      </c>
      <c r="C1745" t="s">
        <v>40</v>
      </c>
      <c r="D1745">
        <v>4.2879430000000003</v>
      </c>
      <c r="E1745">
        <v>0.52127159999999995</v>
      </c>
      <c r="F1745" t="s">
        <v>42</v>
      </c>
      <c r="G1745">
        <v>-240.32380000000001</v>
      </c>
      <c r="H1745" s="1">
        <v>-4.6208860000000001E-6</v>
      </c>
      <c r="I1745">
        <v>369.24200000000002</v>
      </c>
      <c r="J1745">
        <v>-261.02999999999997</v>
      </c>
      <c r="K1745">
        <v>1.1047549999999999</v>
      </c>
      <c r="L1745">
        <v>367.37349999999998</v>
      </c>
      <c r="M1745">
        <v>0.9998456</v>
      </c>
      <c r="N1745">
        <v>0</v>
      </c>
      <c r="O1745">
        <v>1.13694E-2</v>
      </c>
      <c r="P1745">
        <v>0.99587910000000002</v>
      </c>
      <c r="Q1745">
        <v>2.4690190000000001E-2</v>
      </c>
      <c r="R1745">
        <v>8.726768E-2</v>
      </c>
      <c r="S1745">
        <v>2.9928279999999998</v>
      </c>
      <c r="T1745">
        <v>-0.15885839999999901</v>
      </c>
      <c r="U1745">
        <v>0.26885989999999999</v>
      </c>
      <c r="V1745">
        <v>-7.5937980000000002E-2</v>
      </c>
      <c r="W1745">
        <v>3.8043680000000003E-2</v>
      </c>
      <c r="X1745">
        <v>0.99638649999999995</v>
      </c>
      <c r="Y1745">
        <v>-7.8050709999999995E-2</v>
      </c>
      <c r="Z1745">
        <v>1.4640269999999999E-3</v>
      </c>
      <c r="AA1745">
        <v>0.99694830000000001</v>
      </c>
      <c r="AB1745">
        <v>20</v>
      </c>
      <c r="AC1745">
        <v>20.7061999999999</v>
      </c>
      <c r="AD1745">
        <v>-1.104759620886</v>
      </c>
      <c r="AE1745">
        <v>1.8684999999999801</v>
      </c>
      <c r="AF1745">
        <v>-1.6283431171573299</v>
      </c>
      <c r="AG1745">
        <v>-1.104759620886</v>
      </c>
      <c r="AH1745">
        <v>20.667748347115399</v>
      </c>
      <c r="AI1745">
        <v>93.050302746536204</v>
      </c>
      <c r="AJ1745">
        <v>94.504838166024797</v>
      </c>
      <c r="AK1745">
        <v>20.761209426881301</v>
      </c>
      <c r="AL1745">
        <v>87.819731509861498</v>
      </c>
      <c r="AM1745">
        <v>94.358279552596898</v>
      </c>
      <c r="AN1745">
        <v>0.99999997788833594</v>
      </c>
    </row>
    <row r="1746" spans="1:40" x14ac:dyDescent="0.3">
      <c r="A1746" t="str">
        <f>"20200111145943229"</f>
        <v>20200111145943229</v>
      </c>
      <c r="B1746" t="str">
        <f>"1578725983227527"</f>
        <v>1578725983227527</v>
      </c>
      <c r="C1746" t="s">
        <v>40</v>
      </c>
      <c r="D1746">
        <v>4.4116900000000001</v>
      </c>
      <c r="E1746">
        <v>0.58049600000000001</v>
      </c>
      <c r="F1746" t="s">
        <v>42</v>
      </c>
      <c r="G1746">
        <v>-245.7097</v>
      </c>
      <c r="H1746" s="1">
        <v>-2.3219420000000001E-6</v>
      </c>
      <c r="I1746">
        <v>367.84960000000001</v>
      </c>
      <c r="J1746">
        <v>-260.67559999999997</v>
      </c>
      <c r="K1746">
        <v>1.104754</v>
      </c>
      <c r="L1746">
        <v>367.37759999999997</v>
      </c>
      <c r="M1746">
        <v>0.99984530000000005</v>
      </c>
      <c r="N1746">
        <v>0</v>
      </c>
      <c r="O1746">
        <v>1.140702E-2</v>
      </c>
      <c r="P1746">
        <v>0.99589740000000004</v>
      </c>
      <c r="Q1746">
        <v>2.3958819999999999E-2</v>
      </c>
      <c r="R1746">
        <v>8.7262030000000004E-2</v>
      </c>
      <c r="S1746">
        <v>3.0096129999999999</v>
      </c>
      <c r="T1746">
        <v>-0.2170242</v>
      </c>
      <c r="U1746">
        <v>9.3536380000000002E-2</v>
      </c>
      <c r="V1746">
        <v>-7.5894950000000003E-2</v>
      </c>
      <c r="W1746">
        <v>3.7306529999999997E-2</v>
      </c>
      <c r="X1746">
        <v>0.99641769999999996</v>
      </c>
      <c r="Y1746">
        <v>-1.9638309999999999E-2</v>
      </c>
      <c r="Z1746">
        <v>-1.143494E-4</v>
      </c>
      <c r="AA1746">
        <v>0.99980709999999995</v>
      </c>
      <c r="AB1746">
        <v>20</v>
      </c>
      <c r="AC1746">
        <v>14.9658999999999</v>
      </c>
      <c r="AD1746">
        <v>-1.104756321942</v>
      </c>
      <c r="AE1746">
        <v>0.472000000000036</v>
      </c>
      <c r="AF1746">
        <v>-0.299606687463913</v>
      </c>
      <c r="AG1746">
        <v>-1.104756321942</v>
      </c>
      <c r="AH1746">
        <v>14.889257800089</v>
      </c>
      <c r="AI1746">
        <v>94.242612846895696</v>
      </c>
      <c r="AJ1746">
        <v>91.152769505735094</v>
      </c>
      <c r="AK1746">
        <v>14.9331928446516</v>
      </c>
      <c r="AL1746">
        <v>87.861997206959003</v>
      </c>
      <c r="AM1746">
        <v>94.355683590091999</v>
      </c>
      <c r="AN1746">
        <v>1.00000002674471</v>
      </c>
    </row>
    <row r="1747" spans="1:40" x14ac:dyDescent="0.3">
      <c r="A1747" t="str">
        <f>"20200111145943240"</f>
        <v>20200111145943240</v>
      </c>
      <c r="B1747" t="str">
        <f>"1578725983237287"</f>
        <v>1578725983237287</v>
      </c>
      <c r="C1747" t="s">
        <v>40</v>
      </c>
      <c r="D1747">
        <v>4.3307320000000002</v>
      </c>
      <c r="E1747">
        <v>0.58151850000000005</v>
      </c>
      <c r="F1747" t="s">
        <v>41</v>
      </c>
      <c r="G1747">
        <v>-259.9151</v>
      </c>
      <c r="H1747">
        <v>0.91340770000000004</v>
      </c>
      <c r="I1747">
        <v>367.28390000000002</v>
      </c>
      <c r="J1747">
        <v>-260.57780000000002</v>
      </c>
      <c r="K1747">
        <v>1.1047530000000001</v>
      </c>
      <c r="L1747">
        <v>367.37869999999998</v>
      </c>
      <c r="M1747">
        <v>0.99984530000000005</v>
      </c>
      <c r="N1747">
        <v>0</v>
      </c>
      <c r="O1747">
        <v>1.141705E-2</v>
      </c>
      <c r="P1747">
        <v>0.99590290000000004</v>
      </c>
      <c r="Q1747">
        <v>2.382747E-2</v>
      </c>
      <c r="R1747">
        <v>8.7234069999999997E-2</v>
      </c>
      <c r="S1747">
        <v>3.063904</v>
      </c>
      <c r="T1747">
        <v>-0.77105619999999997</v>
      </c>
      <c r="U1747">
        <v>-0.37603760000000003</v>
      </c>
      <c r="V1747">
        <v>-7.585683E-2</v>
      </c>
      <c r="W1747">
        <v>3.7174069999999997E-2</v>
      </c>
      <c r="X1747">
        <v>0.99642549999999996</v>
      </c>
      <c r="Y1747">
        <v>0.128832</v>
      </c>
      <c r="Z1747">
        <v>-1.8724649999999999E-2</v>
      </c>
      <c r="AA1747">
        <v>0.99148959999999997</v>
      </c>
      <c r="AB1747">
        <v>20</v>
      </c>
      <c r="AC1747">
        <v>0.66270000000002904</v>
      </c>
      <c r="AD1747">
        <v>-0.1913453</v>
      </c>
      <c r="AE1747">
        <v>-9.4799999999963802E-2</v>
      </c>
      <c r="AF1747">
        <v>9.4629653088167107E-2</v>
      </c>
      <c r="AG1747">
        <v>-0.1913453</v>
      </c>
      <c r="AH1747">
        <v>0.61160805172236299</v>
      </c>
      <c r="AI1747">
        <v>107.180419367724</v>
      </c>
      <c r="AJ1747">
        <v>81.204782663459994</v>
      </c>
      <c r="AK1747">
        <v>0.64779024692202802</v>
      </c>
      <c r="AL1747">
        <v>87.869591760551899</v>
      </c>
      <c r="AM1747">
        <v>94.353470311669497</v>
      </c>
      <c r="AN1747">
        <v>0.99999997359413095</v>
      </c>
    </row>
    <row r="1748" spans="1:40" x14ac:dyDescent="0.3">
      <c r="A1748" t="str">
        <f>"20200111145943250"</f>
        <v>20200111145943250</v>
      </c>
      <c r="B1748" t="str">
        <f>"1578725983247047"</f>
        <v>1578725983247047</v>
      </c>
      <c r="C1748" t="s">
        <v>40</v>
      </c>
      <c r="D1748">
        <v>4.2187650000000003</v>
      </c>
      <c r="E1748">
        <v>0.58264249999999995</v>
      </c>
      <c r="F1748" t="s">
        <v>41</v>
      </c>
      <c r="G1748">
        <v>-259.90269999999998</v>
      </c>
      <c r="H1748">
        <v>0.94031690000000001</v>
      </c>
      <c r="I1748">
        <v>367.2937</v>
      </c>
      <c r="J1748">
        <v>-260.48599999999999</v>
      </c>
      <c r="K1748">
        <v>1.1047480000000001</v>
      </c>
      <c r="L1748">
        <v>367.37979999999999</v>
      </c>
      <c r="M1748">
        <v>0.99984519999999999</v>
      </c>
      <c r="N1748">
        <v>0</v>
      </c>
      <c r="O1748">
        <v>1.142695E-2</v>
      </c>
      <c r="P1748">
        <v>0.99594709999999997</v>
      </c>
      <c r="Q1748">
        <v>2.343754E-2</v>
      </c>
      <c r="R1748">
        <v>8.6834449999999994E-2</v>
      </c>
      <c r="S1748">
        <v>3.0639340000000002</v>
      </c>
      <c r="T1748">
        <v>-0.746583199999999</v>
      </c>
      <c r="U1748">
        <v>-0.38461299999999998</v>
      </c>
      <c r="V1748">
        <v>-7.5446940000000004E-2</v>
      </c>
      <c r="W1748">
        <v>3.6782849999999999E-2</v>
      </c>
      <c r="X1748">
        <v>0.9964712</v>
      </c>
      <c r="Y1748">
        <v>0.1317557</v>
      </c>
      <c r="Z1748">
        <v>-1.8496289999999999E-2</v>
      </c>
      <c r="AA1748">
        <v>0.99110969999999998</v>
      </c>
      <c r="AB1748">
        <v>20</v>
      </c>
      <c r="AC1748">
        <v>0.58330000000000803</v>
      </c>
      <c r="AD1748">
        <v>-0.1644311</v>
      </c>
      <c r="AE1748">
        <v>-8.6099999999987603E-2</v>
      </c>
      <c r="AF1748">
        <v>8.6066735081483103E-2</v>
      </c>
      <c r="AG1748">
        <v>-0.1644311</v>
      </c>
      <c r="AH1748">
        <v>0.54026081639478896</v>
      </c>
      <c r="AI1748">
        <v>106.72893912958401</v>
      </c>
      <c r="AJ1748">
        <v>80.948503651809403</v>
      </c>
      <c r="AK1748">
        <v>0.57125022474075204</v>
      </c>
      <c r="AL1748">
        <v>87.892022488074502</v>
      </c>
      <c r="AM1748">
        <v>94.329838350942097</v>
      </c>
      <c r="AN1748">
        <v>1.00000003561946</v>
      </c>
    </row>
    <row r="1749" spans="1:40" x14ac:dyDescent="0.3">
      <c r="A1749" t="str">
        <f>"20200111145943261"</f>
        <v>20200111145943261</v>
      </c>
      <c r="B1749" t="str">
        <f>"1578725983257784"</f>
        <v>1578725983257784</v>
      </c>
      <c r="C1749" t="s">
        <v>40</v>
      </c>
      <c r="D1749">
        <v>4.3825379999999896</v>
      </c>
      <c r="E1749">
        <v>0.5844686</v>
      </c>
      <c r="F1749" t="s">
        <v>41</v>
      </c>
      <c r="G1749">
        <v>-259.73320000000001</v>
      </c>
      <c r="H1749">
        <v>0.9265736</v>
      </c>
      <c r="I1749">
        <v>367.28250000000003</v>
      </c>
      <c r="J1749">
        <v>-260.39670000000001</v>
      </c>
      <c r="K1749">
        <v>1.1047439999999999</v>
      </c>
      <c r="L1749">
        <v>367.38080000000002</v>
      </c>
      <c r="M1749">
        <v>0.99984510000000004</v>
      </c>
      <c r="N1749">
        <v>0</v>
      </c>
      <c r="O1749">
        <v>1.14365E-2</v>
      </c>
      <c r="P1749">
        <v>0.99596110000000004</v>
      </c>
      <c r="Q1749">
        <v>2.3309940000000001E-2</v>
      </c>
      <c r="R1749">
        <v>8.6708279999999999E-2</v>
      </c>
      <c r="S1749">
        <v>3.0637509999999999</v>
      </c>
      <c r="T1749">
        <v>-0.7252651</v>
      </c>
      <c r="U1749">
        <v>-0.39468379999999997</v>
      </c>
      <c r="V1749">
        <v>-7.5310920000000003E-2</v>
      </c>
      <c r="W1749">
        <v>3.6654190000000003E-2</v>
      </c>
      <c r="X1749">
        <v>0.99648619999999999</v>
      </c>
      <c r="Y1749">
        <v>0.13511670000000001</v>
      </c>
      <c r="Z1749">
        <v>-1.8372929999999999E-2</v>
      </c>
      <c r="AA1749">
        <v>0.99065939999999997</v>
      </c>
      <c r="AB1749">
        <v>20</v>
      </c>
      <c r="AC1749">
        <v>0.66349999999999898</v>
      </c>
      <c r="AD1749">
        <v>-0.17817040000000001</v>
      </c>
      <c r="AE1749">
        <v>-9.8299999999994697E-2</v>
      </c>
      <c r="AF1749">
        <v>9.8903701972810204E-2</v>
      </c>
      <c r="AG1749">
        <v>-0.17817040000000001</v>
      </c>
      <c r="AH1749">
        <v>0.618678231235952</v>
      </c>
      <c r="AI1749">
        <v>105.874412329653</v>
      </c>
      <c r="AJ1749">
        <v>80.917381899216196</v>
      </c>
      <c r="AK1749">
        <v>0.65137499760532103</v>
      </c>
      <c r="AL1749">
        <v>87.899399074082993</v>
      </c>
      <c r="AM1749">
        <v>94.321997066651605</v>
      </c>
      <c r="AN1749">
        <v>1.00000000555312</v>
      </c>
    </row>
    <row r="1750" spans="1:40" x14ac:dyDescent="0.3">
      <c r="A1750" t="str">
        <f>"20200111145943272"</f>
        <v>20200111145943272</v>
      </c>
      <c r="B1750" t="str">
        <f>"1578725983267543"</f>
        <v>1578725983267543</v>
      </c>
      <c r="C1750" t="s">
        <v>40</v>
      </c>
      <c r="D1750">
        <v>4.1067450000000001</v>
      </c>
      <c r="E1750">
        <v>0.58586359999999904</v>
      </c>
      <c r="F1750" t="s">
        <v>41</v>
      </c>
      <c r="G1750">
        <v>-259.56470000000002</v>
      </c>
      <c r="H1750">
        <v>0.9098098</v>
      </c>
      <c r="I1750">
        <v>367.26920000000001</v>
      </c>
      <c r="J1750">
        <v>-260.29349999999999</v>
      </c>
      <c r="K1750">
        <v>1.1047419999999999</v>
      </c>
      <c r="L1750">
        <v>367.38200000000001</v>
      </c>
      <c r="M1750">
        <v>0.99984490000000004</v>
      </c>
      <c r="N1750">
        <v>0</v>
      </c>
      <c r="O1750">
        <v>1.1447239999999999E-2</v>
      </c>
      <c r="P1750">
        <v>0.9960002</v>
      </c>
      <c r="Q1750">
        <v>2.2815849999999999E-2</v>
      </c>
      <c r="R1750">
        <v>8.638904E-2</v>
      </c>
      <c r="S1750">
        <v>3.0646969999999998</v>
      </c>
      <c r="T1750">
        <v>-0.71818359999999903</v>
      </c>
      <c r="U1750">
        <v>-0.41003420000000002</v>
      </c>
      <c r="V1750">
        <v>-7.4980619999999998E-2</v>
      </c>
      <c r="W1750">
        <v>3.6158620000000002E-2</v>
      </c>
      <c r="X1750">
        <v>0.9965292</v>
      </c>
      <c r="Y1750">
        <v>0.1399185</v>
      </c>
      <c r="Z1750">
        <v>-1.8742370000000001E-2</v>
      </c>
      <c r="AA1750">
        <v>0.98998560000000002</v>
      </c>
      <c r="AB1750">
        <v>20</v>
      </c>
      <c r="AC1750">
        <v>0.72879999999997802</v>
      </c>
      <c r="AD1750">
        <v>-0.1949322</v>
      </c>
      <c r="AE1750">
        <v>-0.11279999999993599</v>
      </c>
      <c r="AF1750">
        <v>0.113225430772221</v>
      </c>
      <c r="AG1750">
        <v>-0.1949322</v>
      </c>
      <c r="AH1750">
        <v>0.67995476511025099</v>
      </c>
      <c r="AI1750">
        <v>105.790382675681</v>
      </c>
      <c r="AJ1750">
        <v>80.545906453538294</v>
      </c>
      <c r="AK1750">
        <v>0.716349805169605</v>
      </c>
      <c r="AL1750">
        <v>87.9278119531116</v>
      </c>
      <c r="AM1750">
        <v>94.302927947449106</v>
      </c>
      <c r="AN1750">
        <v>0.99999999281426399</v>
      </c>
    </row>
    <row r="1751" spans="1:40" x14ac:dyDescent="0.3">
      <c r="A1751" t="str">
        <f>"20200111145943285"</f>
        <v>20200111145943285</v>
      </c>
      <c r="B1751" t="str">
        <f>"1578725983277304"</f>
        <v>1578725983277304</v>
      </c>
      <c r="C1751" t="s">
        <v>40</v>
      </c>
      <c r="D1751">
        <v>4.639748</v>
      </c>
      <c r="E1751">
        <v>0.58586359999999904</v>
      </c>
      <c r="F1751" t="s">
        <v>41</v>
      </c>
      <c r="G1751">
        <v>-259.55590000000001</v>
      </c>
      <c r="H1751">
        <v>0.93036719999999895</v>
      </c>
      <c r="I1751">
        <v>367.2801</v>
      </c>
      <c r="J1751">
        <v>-260.19229999999999</v>
      </c>
      <c r="K1751">
        <v>1.104741</v>
      </c>
      <c r="L1751">
        <v>367.38319999999999</v>
      </c>
      <c r="M1751">
        <v>0.99984490000000004</v>
      </c>
      <c r="N1751">
        <v>0</v>
      </c>
      <c r="O1751">
        <v>1.145786E-2</v>
      </c>
      <c r="P1751">
        <v>0.99603299999999995</v>
      </c>
      <c r="Q1751">
        <v>2.227322E-2</v>
      </c>
      <c r="R1751">
        <v>8.6153579999999993E-2</v>
      </c>
      <c r="S1751">
        <v>3.065277</v>
      </c>
      <c r="T1751">
        <v>-0.72477849999999999</v>
      </c>
      <c r="U1751">
        <v>-0.42242429999999997</v>
      </c>
      <c r="V1751">
        <v>-7.4734019999999998E-2</v>
      </c>
      <c r="W1751">
        <v>3.5614420000000001E-2</v>
      </c>
      <c r="X1751">
        <v>0.99656730000000004</v>
      </c>
      <c r="Y1751">
        <v>0.1436617</v>
      </c>
      <c r="Z1751">
        <v>-1.9338589999999999E-2</v>
      </c>
      <c r="AA1751">
        <v>0.98943789999999998</v>
      </c>
      <c r="AB1751">
        <v>20</v>
      </c>
      <c r="AC1751">
        <v>0.63639999999997998</v>
      </c>
      <c r="AD1751">
        <v>-0.1743738</v>
      </c>
      <c r="AE1751">
        <v>-0.103099999999983</v>
      </c>
      <c r="AF1751">
        <v>0.102860768273797</v>
      </c>
      <c r="AG1751">
        <v>-0.1743738</v>
      </c>
      <c r="AH1751">
        <v>0.59187734237813505</v>
      </c>
      <c r="AI1751">
        <v>106.18593908294</v>
      </c>
      <c r="AJ1751">
        <v>80.141185982693202</v>
      </c>
      <c r="AK1751">
        <v>0.62554404177237599</v>
      </c>
      <c r="AL1751">
        <v>87.959012371631999</v>
      </c>
      <c r="AM1751">
        <v>94.288665798147207</v>
      </c>
      <c r="AN1751">
        <v>0.99999997204329305</v>
      </c>
    </row>
    <row r="1752" spans="1:40" x14ac:dyDescent="0.3">
      <c r="A1752" t="str">
        <f>"20200111145943295"</f>
        <v>20200111145943295</v>
      </c>
      <c r="B1752" t="str">
        <f>"1578725983287065"</f>
        <v>1578725983287065</v>
      </c>
      <c r="C1752" t="s">
        <v>40</v>
      </c>
      <c r="D1752">
        <v>4.6257219999999997</v>
      </c>
      <c r="E1752">
        <v>0.58586359999999904</v>
      </c>
      <c r="F1752" t="s">
        <v>41</v>
      </c>
      <c r="G1752">
        <v>-259.38780000000003</v>
      </c>
      <c r="H1752">
        <v>0.91412439999999995</v>
      </c>
      <c r="I1752">
        <v>367.27199999999999</v>
      </c>
      <c r="J1752">
        <v>-260.08940000000001</v>
      </c>
      <c r="K1752">
        <v>1.1047389999999999</v>
      </c>
      <c r="L1752">
        <v>367.38440000000003</v>
      </c>
      <c r="M1752">
        <v>0.99984479999999998</v>
      </c>
      <c r="N1752">
        <v>0</v>
      </c>
      <c r="O1752">
        <v>1.1468600000000001E-2</v>
      </c>
      <c r="P1752">
        <v>0.99604360000000003</v>
      </c>
      <c r="Q1752">
        <v>2.1779819999999998E-2</v>
      </c>
      <c r="R1752">
        <v>8.6156819999999995E-2</v>
      </c>
      <c r="S1752">
        <v>3.0647890000000002</v>
      </c>
      <c r="T1752">
        <v>-0.726307699999999</v>
      </c>
      <c r="U1752">
        <v>-0.42309570000000002</v>
      </c>
      <c r="V1752">
        <v>-7.4726769999999998E-2</v>
      </c>
      <c r="W1752">
        <v>3.5119770000000002E-2</v>
      </c>
      <c r="X1752">
        <v>0.99658539999999995</v>
      </c>
      <c r="Y1752">
        <v>0.14388129999999999</v>
      </c>
      <c r="Z1752">
        <v>-1.940907E-2</v>
      </c>
      <c r="AA1752">
        <v>0.98940459999999997</v>
      </c>
      <c r="AB1752">
        <v>20</v>
      </c>
      <c r="AC1752">
        <v>0.70159999999998401</v>
      </c>
      <c r="AD1752">
        <v>-0.190614599999999</v>
      </c>
      <c r="AE1752">
        <v>-0.112400000000036</v>
      </c>
      <c r="AF1752">
        <v>0.11235402679746299</v>
      </c>
      <c r="AG1752">
        <v>-0.190614599999999</v>
      </c>
      <c r="AH1752">
        <v>0.65325268576225204</v>
      </c>
      <c r="AI1752">
        <v>106.04368600216699</v>
      </c>
      <c r="AJ1752">
        <v>80.241081744144296</v>
      </c>
      <c r="AK1752">
        <v>0.68970749200393699</v>
      </c>
      <c r="AL1752">
        <v>87.987371475659799</v>
      </c>
      <c r="AM1752">
        <v>94.288173710910002</v>
      </c>
      <c r="AN1752">
        <v>0.99999997394632201</v>
      </c>
    </row>
    <row r="1753" spans="1:40" x14ac:dyDescent="0.3">
      <c r="A1753" t="str">
        <f>"20200111145943308"</f>
        <v>20200111145943308</v>
      </c>
      <c r="B1753" t="str">
        <f>"1578725983287065"</f>
        <v>1578725983287065</v>
      </c>
      <c r="C1753" t="s">
        <v>40</v>
      </c>
      <c r="D1753">
        <v>4.6257219999999997</v>
      </c>
      <c r="E1753">
        <v>0.58586359999999904</v>
      </c>
      <c r="F1753" t="s">
        <v>41</v>
      </c>
      <c r="G1753">
        <v>-259.3784</v>
      </c>
      <c r="H1753">
        <v>0.93595189999999995</v>
      </c>
      <c r="I1753">
        <v>367.286</v>
      </c>
      <c r="J1753">
        <v>-259.98700000000002</v>
      </c>
      <c r="K1753">
        <v>1.1047359999999999</v>
      </c>
      <c r="L1753">
        <v>367.38560000000001</v>
      </c>
      <c r="M1753">
        <v>0.99984470000000003</v>
      </c>
      <c r="N1753">
        <v>0</v>
      </c>
      <c r="O1753">
        <v>1.147916E-2</v>
      </c>
      <c r="P1753">
        <v>0.99602880000000005</v>
      </c>
      <c r="Q1753">
        <v>2.1620150000000001E-2</v>
      </c>
      <c r="R1753">
        <v>8.636808E-2</v>
      </c>
      <c r="S1753">
        <v>3.0644230000000001</v>
      </c>
      <c r="T1753">
        <v>-0.72761480000000001</v>
      </c>
      <c r="U1753">
        <v>-0.42321779999999998</v>
      </c>
      <c r="V1753">
        <v>-7.4927270000000004E-2</v>
      </c>
      <c r="W1753">
        <v>3.4958219999999998E-2</v>
      </c>
      <c r="X1753">
        <v>0.99657609999999996</v>
      </c>
      <c r="Y1753">
        <v>0.1439289</v>
      </c>
      <c r="Z1753">
        <v>-1.945326E-2</v>
      </c>
      <c r="AA1753">
        <v>0.98939679999999997</v>
      </c>
      <c r="AB1753">
        <v>20</v>
      </c>
      <c r="AC1753">
        <v>0.60860000000002301</v>
      </c>
      <c r="AD1753">
        <v>-0.16878409999999999</v>
      </c>
      <c r="AE1753">
        <v>-9.9600000000009403E-2</v>
      </c>
      <c r="AF1753">
        <v>9.9153050872208895E-2</v>
      </c>
      <c r="AG1753">
        <v>-0.16878409999999999</v>
      </c>
      <c r="AH1753">
        <v>0.56508762282818803</v>
      </c>
      <c r="AI1753">
        <v>106.393468865858</v>
      </c>
      <c r="AJ1753">
        <v>80.047910487808807</v>
      </c>
      <c r="AK1753">
        <v>0.59803296011481599</v>
      </c>
      <c r="AL1753">
        <v>87.996633444794497</v>
      </c>
      <c r="AM1753">
        <v>94.299676228562205</v>
      </c>
      <c r="AN1753">
        <v>1.0000000480132101</v>
      </c>
    </row>
    <row r="1754" spans="1:40" x14ac:dyDescent="0.3">
      <c r="A1754" t="str">
        <f>"20200111145943320"</f>
        <v>20200111145943320</v>
      </c>
      <c r="B1754" t="str">
        <f>"1578725983317065"</f>
        <v>1578725983317065</v>
      </c>
      <c r="C1754" t="s">
        <v>40</v>
      </c>
      <c r="D1754">
        <v>4.2651870000000001</v>
      </c>
      <c r="E1754">
        <v>0.5897886</v>
      </c>
      <c r="F1754" t="s">
        <v>41</v>
      </c>
      <c r="G1754">
        <v>-259.21039999999999</v>
      </c>
      <c r="H1754">
        <v>0.9203424</v>
      </c>
      <c r="I1754">
        <v>367.27820000000003</v>
      </c>
      <c r="J1754">
        <v>-259.87689999999998</v>
      </c>
      <c r="K1754">
        <v>1.104735</v>
      </c>
      <c r="L1754">
        <v>367.38690000000003</v>
      </c>
      <c r="M1754">
        <v>0.99984450000000002</v>
      </c>
      <c r="N1754">
        <v>0</v>
      </c>
      <c r="O1754">
        <v>1.149037E-2</v>
      </c>
      <c r="P1754">
        <v>0.99601119999999999</v>
      </c>
      <c r="Q1754">
        <v>2.1521189999999999E-2</v>
      </c>
      <c r="R1754">
        <v>8.6593809999999993E-2</v>
      </c>
      <c r="S1754">
        <v>3.0643919999999998</v>
      </c>
      <c r="T1754">
        <v>-0.72774169999999905</v>
      </c>
      <c r="U1754">
        <v>-0.422821</v>
      </c>
      <c r="V1754">
        <v>-7.5142329999999993E-2</v>
      </c>
      <c r="W1754">
        <v>3.485767E-2</v>
      </c>
      <c r="X1754">
        <v>0.99656339999999999</v>
      </c>
      <c r="Y1754">
        <v>0.14381679999999999</v>
      </c>
      <c r="Z1754">
        <v>-1.9446459999999999E-2</v>
      </c>
      <c r="AA1754">
        <v>0.98941330000000005</v>
      </c>
      <c r="AB1754">
        <v>20</v>
      </c>
      <c r="AC1754">
        <v>0.66649999999998499</v>
      </c>
      <c r="AD1754">
        <v>-0.18439259999999899</v>
      </c>
      <c r="AE1754">
        <v>-0.10869999999999801</v>
      </c>
      <c r="AF1754">
        <v>0.108278932336474</v>
      </c>
      <c r="AG1754">
        <v>-0.18439259999999899</v>
      </c>
      <c r="AH1754">
        <v>0.619052441835936</v>
      </c>
      <c r="AI1754">
        <v>106.352122688912</v>
      </c>
      <c r="AJ1754">
        <v>80.078715775847996</v>
      </c>
      <c r="AK1754">
        <v>0.654943420354554</v>
      </c>
      <c r="AL1754">
        <v>88.002397989647307</v>
      </c>
      <c r="AM1754">
        <v>94.312025638671003</v>
      </c>
      <c r="AN1754">
        <v>1.0000000185675999</v>
      </c>
    </row>
    <row r="1755" spans="1:40" x14ac:dyDescent="0.3">
      <c r="A1755" t="str">
        <f>"20200111145943334"</f>
        <v>20200111145943334</v>
      </c>
      <c r="B1755" t="str">
        <f>"1578725983327801"</f>
        <v>1578725983327801</v>
      </c>
      <c r="C1755" t="s">
        <v>40</v>
      </c>
      <c r="D1755">
        <v>6.4781599999999999</v>
      </c>
      <c r="E1755">
        <v>0.5897886</v>
      </c>
      <c r="F1755" t="s">
        <v>41</v>
      </c>
      <c r="G1755">
        <v>-259.03300000000002</v>
      </c>
      <c r="H1755">
        <v>0.92426260000000005</v>
      </c>
      <c r="I1755">
        <v>367.26179999999999</v>
      </c>
      <c r="J1755">
        <v>-259.75069999999999</v>
      </c>
      <c r="K1755">
        <v>1.104735</v>
      </c>
      <c r="L1755">
        <v>367.38830000000002</v>
      </c>
      <c r="M1755">
        <v>0.99984459999999997</v>
      </c>
      <c r="N1755">
        <v>0</v>
      </c>
      <c r="O1755">
        <v>1.150296E-2</v>
      </c>
      <c r="P1755">
        <v>0.9959865</v>
      </c>
      <c r="Q1755">
        <v>2.1528200000000001E-2</v>
      </c>
      <c r="R1755">
        <v>8.6878259999999999E-2</v>
      </c>
      <c r="S1755">
        <v>3.065582</v>
      </c>
      <c r="T1755">
        <v>-0.65563979999999999</v>
      </c>
      <c r="U1755">
        <v>-0.45346069999999999</v>
      </c>
      <c r="V1755">
        <v>-7.5414590000000004E-2</v>
      </c>
      <c r="W1755">
        <v>3.4861950000000003E-2</v>
      </c>
      <c r="X1755">
        <v>0.9965427</v>
      </c>
      <c r="Y1755">
        <v>0.15403240000000001</v>
      </c>
      <c r="Z1755">
        <v>-1.8622719999999999E-2</v>
      </c>
      <c r="AA1755">
        <v>0.9878903</v>
      </c>
      <c r="AB1755">
        <v>20</v>
      </c>
      <c r="AC1755">
        <v>0.71769999999997902</v>
      </c>
      <c r="AD1755">
        <v>-0.18047240000000001</v>
      </c>
      <c r="AE1755">
        <v>-0.12650000000002101</v>
      </c>
      <c r="AF1755">
        <v>0.12696189790037199</v>
      </c>
      <c r="AG1755">
        <v>-0.18047240000000001</v>
      </c>
      <c r="AH1755">
        <v>0.67481324690007705</v>
      </c>
      <c r="AI1755">
        <v>104.725945258377</v>
      </c>
      <c r="AJ1755">
        <v>79.344717141694304</v>
      </c>
      <c r="AK1755">
        <v>0.70997361139133097</v>
      </c>
      <c r="AL1755">
        <v>88.002152646289005</v>
      </c>
      <c r="AM1755">
        <v>94.327679521445702</v>
      </c>
      <c r="AN1755">
        <v>1.00000003443297</v>
      </c>
    </row>
    <row r="1756" spans="1:40" x14ac:dyDescent="0.3">
      <c r="A1756" t="str">
        <f>"20200111145943346"</f>
        <v>20200111145943346</v>
      </c>
      <c r="B1756" t="str">
        <f>"1578725983337561"</f>
        <v>1578725983337561</v>
      </c>
      <c r="C1756" t="s">
        <v>40</v>
      </c>
      <c r="D1756">
        <v>7.799747</v>
      </c>
      <c r="E1756">
        <v>0.59103869999999903</v>
      </c>
      <c r="F1756" t="s">
        <v>41</v>
      </c>
      <c r="G1756">
        <v>-259.0222</v>
      </c>
      <c r="H1756">
        <v>0.94899</v>
      </c>
      <c r="I1756">
        <v>367.28050000000002</v>
      </c>
      <c r="J1756">
        <v>-259.6508</v>
      </c>
      <c r="K1756">
        <v>1.1047370000000001</v>
      </c>
      <c r="L1756">
        <v>367.3895</v>
      </c>
      <c r="M1756">
        <v>0.99984439999999997</v>
      </c>
      <c r="N1756">
        <v>0</v>
      </c>
      <c r="O1756">
        <v>1.1513219999999999E-2</v>
      </c>
      <c r="P1756">
        <v>0.99595400000000001</v>
      </c>
      <c r="Q1756">
        <v>2.1570120000000002E-2</v>
      </c>
      <c r="R1756">
        <v>8.7238189999999993E-2</v>
      </c>
      <c r="S1756">
        <v>3.0657649999999999</v>
      </c>
      <c r="T1756">
        <v>-0.65558309999999997</v>
      </c>
      <c r="U1756">
        <v>-0.45285029999999998</v>
      </c>
      <c r="V1756">
        <v>-7.5764689999999996E-2</v>
      </c>
      <c r="W1756">
        <v>3.4901509999999997E-2</v>
      </c>
      <c r="X1756">
        <v>0.99651469999999998</v>
      </c>
      <c r="Y1756">
        <v>0.15384629999999999</v>
      </c>
      <c r="Z1756">
        <v>-1.8602919999999998E-2</v>
      </c>
      <c r="AA1756">
        <v>0.98791960000000001</v>
      </c>
      <c r="AB1756">
        <v>20</v>
      </c>
      <c r="AC1756">
        <v>0.62860000000000504</v>
      </c>
      <c r="AD1756">
        <v>-0.155747</v>
      </c>
      <c r="AE1756">
        <v>-0.10899999999998</v>
      </c>
      <c r="AF1756">
        <v>0.10969323777766</v>
      </c>
      <c r="AG1756">
        <v>-0.155747</v>
      </c>
      <c r="AH1756">
        <v>0.59202059707269505</v>
      </c>
      <c r="AI1756">
        <v>104.50304026262501</v>
      </c>
      <c r="AJ1756">
        <v>79.502928106783102</v>
      </c>
      <c r="AK1756">
        <v>0.62191488306797804</v>
      </c>
      <c r="AL1756">
        <v>87.999884527177699</v>
      </c>
      <c r="AM1756">
        <v>94.347814908910706</v>
      </c>
      <c r="AN1756">
        <v>0.99999997548358199</v>
      </c>
    </row>
    <row r="1757" spans="1:40" x14ac:dyDescent="0.3">
      <c r="A1757" t="str">
        <f>"20200111145943357"</f>
        <v>20200111145943357</v>
      </c>
      <c r="B1757" t="str">
        <f>"1578725983347323"</f>
        <v>1578725983347323</v>
      </c>
      <c r="C1757" t="s">
        <v>40</v>
      </c>
      <c r="D1757">
        <v>4.6560050000000004</v>
      </c>
      <c r="E1757">
        <v>0.59118970000000004</v>
      </c>
      <c r="F1757" t="s">
        <v>41</v>
      </c>
      <c r="G1757">
        <v>-258.8494</v>
      </c>
      <c r="H1757">
        <v>0.94438200000000005</v>
      </c>
      <c r="I1757">
        <v>367.26870000000002</v>
      </c>
      <c r="J1757">
        <v>-259.55110000000002</v>
      </c>
      <c r="K1757">
        <v>1.104735</v>
      </c>
      <c r="L1757">
        <v>367.39069999999998</v>
      </c>
      <c r="M1757">
        <v>0.99984439999999997</v>
      </c>
      <c r="N1757">
        <v>0</v>
      </c>
      <c r="O1757">
        <v>1.1522940000000001E-2</v>
      </c>
      <c r="P1757">
        <v>0.99590000000000001</v>
      </c>
      <c r="Q1757">
        <v>2.1663950000000001E-2</v>
      </c>
      <c r="R1757">
        <v>8.7829950000000004E-2</v>
      </c>
      <c r="S1757">
        <v>3.065887</v>
      </c>
      <c r="T1757">
        <v>-0.61355839999999995</v>
      </c>
      <c r="U1757">
        <v>-0.46130369999999998</v>
      </c>
      <c r="V1757">
        <v>-7.6347010000000007E-2</v>
      </c>
      <c r="W1757">
        <v>3.4993009999999998E-2</v>
      </c>
      <c r="X1757">
        <v>0.99646710000000005</v>
      </c>
      <c r="Y1757">
        <v>0.1569065</v>
      </c>
      <c r="Z1757">
        <v>-1.773338E-2</v>
      </c>
      <c r="AA1757">
        <v>0.98745419999999995</v>
      </c>
      <c r="AB1757">
        <v>20</v>
      </c>
      <c r="AC1757">
        <v>0.70170000000001598</v>
      </c>
      <c r="AD1757">
        <v>-0.160353</v>
      </c>
      <c r="AE1757">
        <v>-0.121999999999957</v>
      </c>
      <c r="AF1757">
        <v>0.123802771537369</v>
      </c>
      <c r="AG1757">
        <v>-0.160353</v>
      </c>
      <c r="AH1757">
        <v>0.666464743060034</v>
      </c>
      <c r="AI1757">
        <v>103.30898583854299</v>
      </c>
      <c r="AJ1757">
        <v>79.4766604557459</v>
      </c>
      <c r="AK1757">
        <v>0.69657409124328695</v>
      </c>
      <c r="AL1757">
        <v>87.994638866316805</v>
      </c>
      <c r="AM1757">
        <v>94.3813106440101</v>
      </c>
      <c r="AN1757">
        <v>1.0000000290336</v>
      </c>
    </row>
    <row r="1758" spans="1:40" x14ac:dyDescent="0.3">
      <c r="A1758" t="str">
        <f>"20200111145943369"</f>
        <v>20200111145943369</v>
      </c>
      <c r="B1758" t="str">
        <f>"1578725983367817"</f>
        <v>1578725983367817</v>
      </c>
      <c r="C1758" t="s">
        <v>40</v>
      </c>
      <c r="D1758">
        <v>9.2873459999999994</v>
      </c>
      <c r="E1758">
        <v>0.59095920000000002</v>
      </c>
      <c r="F1758" t="s">
        <v>41</v>
      </c>
      <c r="G1758">
        <v>-258.8372</v>
      </c>
      <c r="H1758">
        <v>0.97097250000000002</v>
      </c>
      <c r="I1758">
        <v>367.28309999999999</v>
      </c>
      <c r="J1758">
        <v>-259.45159999999998</v>
      </c>
      <c r="K1758">
        <v>1.1047389999999999</v>
      </c>
      <c r="L1758">
        <v>367.39190000000002</v>
      </c>
      <c r="M1758">
        <v>0.99984410000000001</v>
      </c>
      <c r="N1758">
        <v>0</v>
      </c>
      <c r="O1758">
        <v>1.153267E-2</v>
      </c>
      <c r="P1758">
        <v>0.99583390000000005</v>
      </c>
      <c r="Q1758">
        <v>2.207891E-2</v>
      </c>
      <c r="R1758">
        <v>8.8473399999999994E-2</v>
      </c>
      <c r="S1758">
        <v>3.0654910000000002</v>
      </c>
      <c r="T1758">
        <v>-0.57455440000000002</v>
      </c>
      <c r="U1758">
        <v>-0.46087650000000002</v>
      </c>
      <c r="V1758">
        <v>-7.6981160000000007E-2</v>
      </c>
      <c r="W1758">
        <v>3.5405680000000002E-2</v>
      </c>
      <c r="X1758">
        <v>0.9964037</v>
      </c>
      <c r="Y1758">
        <v>0.15719339999999901</v>
      </c>
      <c r="Z1758">
        <v>-1.6656230000000001E-2</v>
      </c>
      <c r="AA1758">
        <v>0.98742739999999996</v>
      </c>
      <c r="AB1758">
        <v>20</v>
      </c>
      <c r="AC1758">
        <v>0.61439999999998895</v>
      </c>
      <c r="AD1758">
        <v>-0.13376649999999901</v>
      </c>
      <c r="AE1758">
        <v>-0.10880000000003</v>
      </c>
      <c r="AF1758">
        <v>0.11078725581478201</v>
      </c>
      <c r="AG1758">
        <v>-0.13376649999999901</v>
      </c>
      <c r="AH1758">
        <v>0.586164004957754</v>
      </c>
      <c r="AI1758">
        <v>102.638745328532</v>
      </c>
      <c r="AJ1758">
        <v>79.297129322523205</v>
      </c>
      <c r="AK1758">
        <v>0.61135548846913401</v>
      </c>
      <c r="AL1758">
        <v>87.970979891867799</v>
      </c>
      <c r="AM1758">
        <v>94.417838993768498</v>
      </c>
      <c r="AN1758">
        <v>0.99999999727244904</v>
      </c>
    </row>
    <row r="1759" spans="1:40" x14ac:dyDescent="0.3">
      <c r="A1759" t="str">
        <f>"20200111145943555"</f>
        <v>20200111145943555</v>
      </c>
      <c r="B1759" t="str">
        <f>"1578725983547400"</f>
        <v>1578725983547400</v>
      </c>
      <c r="C1759" t="s">
        <v>40</v>
      </c>
      <c r="D1759">
        <v>4.3544559999999999</v>
      </c>
      <c r="E1759">
        <v>0.5856133</v>
      </c>
      <c r="F1759" t="s">
        <v>41</v>
      </c>
      <c r="G1759">
        <v>-257.10680000000002</v>
      </c>
      <c r="H1759">
        <v>0.96572720000000001</v>
      </c>
      <c r="I1759">
        <v>367.28649999999999</v>
      </c>
      <c r="J1759">
        <v>-257.83940000000001</v>
      </c>
      <c r="K1759">
        <v>1.1047640000000001</v>
      </c>
      <c r="L1759">
        <v>367.41079999999999</v>
      </c>
      <c r="M1759">
        <v>0.99984260000000003</v>
      </c>
      <c r="N1759">
        <v>0</v>
      </c>
      <c r="O1759">
        <v>1.169035E-2</v>
      </c>
      <c r="P1759">
        <v>0.9957918</v>
      </c>
      <c r="Q1759">
        <v>2.4839400000000001E-2</v>
      </c>
      <c r="R1759">
        <v>8.8214630000000002E-2</v>
      </c>
      <c r="S1759">
        <v>3.0663450000000001</v>
      </c>
      <c r="T1759">
        <v>-0.51508770000000004</v>
      </c>
      <c r="U1759">
        <v>-0.45565800000000001</v>
      </c>
      <c r="V1759">
        <v>-7.6566259999999997E-2</v>
      </c>
      <c r="W1759">
        <v>3.8139449999999998E-2</v>
      </c>
      <c r="X1759">
        <v>0.99633479999999996</v>
      </c>
      <c r="Y1759">
        <v>0.15623679999999901</v>
      </c>
      <c r="Z1759">
        <v>-1.4901640000000001E-2</v>
      </c>
      <c r="AA1759">
        <v>0.98760720000000002</v>
      </c>
      <c r="AB1759">
        <v>19</v>
      </c>
      <c r="AC1759">
        <v>0.73259999999999004</v>
      </c>
      <c r="AD1759">
        <v>-0.13903679999999899</v>
      </c>
      <c r="AE1759">
        <v>-0.124300000000005</v>
      </c>
      <c r="AF1759">
        <v>0.128362563819751</v>
      </c>
      <c r="AG1759">
        <v>-0.13903679999999899</v>
      </c>
      <c r="AH1759">
        <v>0.70636635981796503</v>
      </c>
      <c r="AI1759">
        <v>100.96034546956</v>
      </c>
      <c r="AJ1759">
        <v>79.700467972343105</v>
      </c>
      <c r="AK1759">
        <v>0.73127396632664499</v>
      </c>
      <c r="AL1759">
        <v>87.814240403636404</v>
      </c>
      <c r="AM1759">
        <v>94.394424657644805</v>
      </c>
      <c r="AN1759">
        <v>1.00000002175386</v>
      </c>
    </row>
    <row r="1760" spans="1:40" x14ac:dyDescent="0.3">
      <c r="A1760" t="str">
        <f>"20200111145943578"</f>
        <v>20200111145943578</v>
      </c>
      <c r="B1760" t="str">
        <f>"1578725983566921"</f>
        <v>1578725983566921</v>
      </c>
      <c r="C1760" t="s">
        <v>40</v>
      </c>
      <c r="D1760">
        <v>5.9201100000000002</v>
      </c>
      <c r="E1760">
        <v>0.5856133</v>
      </c>
      <c r="F1760" t="s">
        <v>44</v>
      </c>
      <c r="G1760">
        <v>-169.2955</v>
      </c>
      <c r="H1760">
        <v>1.1303939999999999</v>
      </c>
      <c r="I1760">
        <v>355.34399999999999</v>
      </c>
      <c r="J1760">
        <v>-257.6404</v>
      </c>
      <c r="K1760">
        <v>1.1047629999999999</v>
      </c>
      <c r="L1760">
        <v>367.41320000000002</v>
      </c>
      <c r="M1760">
        <v>0.99984249999999997</v>
      </c>
      <c r="N1760">
        <v>0</v>
      </c>
      <c r="O1760">
        <v>1.1710160000000001E-2</v>
      </c>
      <c r="P1760">
        <v>0.99589530000000004</v>
      </c>
      <c r="Q1760">
        <v>2.4294799999999998E-2</v>
      </c>
      <c r="R1760">
        <v>8.7193880000000001E-2</v>
      </c>
      <c r="S1760">
        <v>3.0495000000000001</v>
      </c>
      <c r="T1760">
        <v>8.8572499999999997E-4</v>
      </c>
      <c r="U1760">
        <v>-0.41558840000000002</v>
      </c>
      <c r="V1760">
        <v>-7.552449E-2</v>
      </c>
      <c r="W1760">
        <v>3.7593389999999997E-2</v>
      </c>
      <c r="X1760">
        <v>0.99643499999999996</v>
      </c>
      <c r="Y1760">
        <v>0.14662739999999999</v>
      </c>
      <c r="Z1760" s="1">
        <v>2.4582419999999998E-5</v>
      </c>
      <c r="AA1760">
        <v>0.98919179999999995</v>
      </c>
      <c r="AB1760">
        <v>19</v>
      </c>
      <c r="AC1760">
        <v>88.344899999999996</v>
      </c>
      <c r="AD1760">
        <v>2.5631000000000102E-2</v>
      </c>
      <c r="AE1760">
        <v>-12.0692</v>
      </c>
      <c r="AF1760">
        <v>13.1029961509392</v>
      </c>
      <c r="AG1760">
        <v>2.5631000000000102E-2</v>
      </c>
      <c r="AH1760">
        <v>88.197489321535102</v>
      </c>
      <c r="AI1760">
        <v>89.983530085577996</v>
      </c>
      <c r="AJ1760">
        <v>81.5497020652641</v>
      </c>
      <c r="AK1760">
        <v>89.165499424956906</v>
      </c>
      <c r="AL1760">
        <v>87.8455496592277</v>
      </c>
      <c r="AM1760">
        <v>94.334428793372993</v>
      </c>
      <c r="AN1760">
        <v>0.99999996039322503</v>
      </c>
    </row>
    <row r="1761" spans="1:40" x14ac:dyDescent="0.3">
      <c r="A1761" t="str">
        <f>"20200111145943590"</f>
        <v>20200111145943590</v>
      </c>
      <c r="B1761" t="str">
        <f>"1578725983587418"</f>
        <v>1578725983587418</v>
      </c>
      <c r="C1761" t="s">
        <v>40</v>
      </c>
      <c r="D1761">
        <v>4.3870430000000002</v>
      </c>
      <c r="E1761">
        <v>0.58481380000000005</v>
      </c>
      <c r="F1761" t="s">
        <v>44</v>
      </c>
      <c r="G1761">
        <v>-169.2955</v>
      </c>
      <c r="H1761">
        <v>1.079779</v>
      </c>
      <c r="I1761">
        <v>355.2842</v>
      </c>
      <c r="J1761">
        <v>-257.54399999999998</v>
      </c>
      <c r="K1761">
        <v>1.1047629999999999</v>
      </c>
      <c r="L1761">
        <v>367.41430000000003</v>
      </c>
      <c r="M1761">
        <v>0.99984240000000002</v>
      </c>
      <c r="N1761">
        <v>0</v>
      </c>
      <c r="O1761">
        <v>1.171971E-2</v>
      </c>
      <c r="P1761">
        <v>0.9959171</v>
      </c>
      <c r="Q1761">
        <v>2.4040479999999999E-2</v>
      </c>
      <c r="R1761">
        <v>8.7013030000000005E-2</v>
      </c>
      <c r="S1761">
        <v>3.0490719999999998</v>
      </c>
      <c r="T1761">
        <v>-8.5926060000000002E-4</v>
      </c>
      <c r="U1761">
        <v>-0.41860960000000003</v>
      </c>
      <c r="V1761">
        <v>-7.5333250000000004E-2</v>
      </c>
      <c r="W1761">
        <v>3.733798E-2</v>
      </c>
      <c r="X1761">
        <v>0.99645910000000004</v>
      </c>
      <c r="Y1761">
        <v>0.14761740000000001</v>
      </c>
      <c r="Z1761" s="1">
        <v>-2.399118E-5</v>
      </c>
      <c r="AA1761">
        <v>0.98904449999999999</v>
      </c>
      <c r="AB1761">
        <v>19</v>
      </c>
      <c r="AC1761">
        <v>88.248500000000007</v>
      </c>
      <c r="AD1761">
        <v>-2.4983999999999802E-2</v>
      </c>
      <c r="AE1761">
        <v>-12.130100000000001</v>
      </c>
      <c r="AF1761">
        <v>13.163604540299801</v>
      </c>
      <c r="AG1761">
        <v>-2.4983999999999802E-2</v>
      </c>
      <c r="AH1761">
        <v>88.100257351305302</v>
      </c>
      <c r="AI1761">
        <v>90.016069889214904</v>
      </c>
      <c r="AJ1761">
        <v>81.501951137050796</v>
      </c>
      <c r="AK1761">
        <v>89.078260277465503</v>
      </c>
      <c r="AL1761">
        <v>87.860193899711305</v>
      </c>
      <c r="AM1761">
        <v>94.323390830083895</v>
      </c>
      <c r="AN1761">
        <v>0.99999998063942597</v>
      </c>
    </row>
    <row r="1762" spans="1:40" x14ac:dyDescent="0.3">
      <c r="A1762" t="str">
        <f>"20200111145943601"</f>
        <v>20200111145943601</v>
      </c>
      <c r="B1762" t="str">
        <f>"1578725983597055"</f>
        <v>1578725983597055</v>
      </c>
      <c r="C1762" t="s">
        <v>40</v>
      </c>
      <c r="D1762">
        <v>4.3930449999999999</v>
      </c>
      <c r="E1762">
        <v>0.58522099999999999</v>
      </c>
      <c r="F1762" t="s">
        <v>44</v>
      </c>
      <c r="G1762">
        <v>-169.2955</v>
      </c>
      <c r="H1762">
        <v>2.039866</v>
      </c>
      <c r="I1762">
        <v>355.4606</v>
      </c>
      <c r="J1762">
        <v>-257.43900000000002</v>
      </c>
      <c r="K1762">
        <v>1.1047610000000001</v>
      </c>
      <c r="L1762">
        <v>367.41559999999998</v>
      </c>
      <c r="M1762">
        <v>0.99984220000000001</v>
      </c>
      <c r="N1762">
        <v>0</v>
      </c>
      <c r="O1762">
        <v>1.173009E-2</v>
      </c>
      <c r="P1762">
        <v>0.99592270000000005</v>
      </c>
      <c r="Q1762">
        <v>2.4170000000000001E-2</v>
      </c>
      <c r="R1762">
        <v>8.6912229999999993E-2</v>
      </c>
      <c r="S1762">
        <v>3.0475919999999999</v>
      </c>
      <c r="T1762">
        <v>3.2296060000000001E-2</v>
      </c>
      <c r="U1762">
        <v>-0.41281129999999999</v>
      </c>
      <c r="V1762">
        <v>-7.5222659999999997E-2</v>
      </c>
      <c r="W1762">
        <v>3.7465680000000001E-2</v>
      </c>
      <c r="X1762">
        <v>0.99646270000000003</v>
      </c>
      <c r="Y1762">
        <v>0.1458361</v>
      </c>
      <c r="Z1762">
        <v>8.9296769999999996E-4</v>
      </c>
      <c r="AA1762">
        <v>0.98930839999999998</v>
      </c>
      <c r="AB1762">
        <v>19</v>
      </c>
      <c r="AC1762">
        <v>88.143500000000003</v>
      </c>
      <c r="AD1762">
        <v>0.93510499999999996</v>
      </c>
      <c r="AE1762">
        <v>-11.954999999999901</v>
      </c>
      <c r="AF1762">
        <v>12.9867653207511</v>
      </c>
      <c r="AG1762">
        <v>0.93510499999999996</v>
      </c>
      <c r="AH1762">
        <v>87.987464964621907</v>
      </c>
      <c r="AI1762">
        <v>89.397625729493697</v>
      </c>
      <c r="AJ1762">
        <v>81.603883076110705</v>
      </c>
      <c r="AK1762">
        <v>88.945626569032996</v>
      </c>
      <c r="AL1762">
        <v>87.852872188179305</v>
      </c>
      <c r="AM1762">
        <v>94.317052520895203</v>
      </c>
      <c r="AN1762">
        <v>1.00000001912331</v>
      </c>
    </row>
    <row r="1763" spans="1:40" x14ac:dyDescent="0.3">
      <c r="A1763" t="str">
        <f>"20200111145943612"</f>
        <v>20200111145943612</v>
      </c>
      <c r="B1763" t="str">
        <f>"1578725983607791"</f>
        <v>1578725983607791</v>
      </c>
      <c r="C1763" t="s">
        <v>40</v>
      </c>
      <c r="D1763">
        <v>4.4915379999999896</v>
      </c>
      <c r="E1763">
        <v>0.58522099999999999</v>
      </c>
      <c r="F1763" t="s">
        <v>44</v>
      </c>
      <c r="G1763">
        <v>-169.2955</v>
      </c>
      <c r="H1763">
        <v>1.8857299999999999</v>
      </c>
      <c r="I1763">
        <v>355.37079999999997</v>
      </c>
      <c r="J1763">
        <v>-257.34500000000003</v>
      </c>
      <c r="K1763">
        <v>1.1047610000000001</v>
      </c>
      <c r="L1763">
        <v>367.41669999999999</v>
      </c>
      <c r="M1763">
        <v>0.99984220000000001</v>
      </c>
      <c r="N1763">
        <v>0</v>
      </c>
      <c r="O1763">
        <v>1.1739339999999999E-2</v>
      </c>
      <c r="P1763">
        <v>0.99589870000000003</v>
      </c>
      <c r="Q1763">
        <v>2.431929E-2</v>
      </c>
      <c r="R1763">
        <v>8.7146619999999994E-2</v>
      </c>
      <c r="S1763">
        <v>3.047974</v>
      </c>
      <c r="T1763">
        <v>2.7008649999999999E-2</v>
      </c>
      <c r="U1763">
        <v>-0.41650389999999998</v>
      </c>
      <c r="V1763">
        <v>-7.5447920000000002E-2</v>
      </c>
      <c r="W1763">
        <v>3.7613880000000002E-2</v>
      </c>
      <c r="X1763">
        <v>0.99644010000000005</v>
      </c>
      <c r="Y1763">
        <v>0.147008</v>
      </c>
      <c r="Z1763">
        <v>7.5187699999999997E-4</v>
      </c>
      <c r="AA1763">
        <v>0.98913499999999999</v>
      </c>
      <c r="AB1763">
        <v>19</v>
      </c>
      <c r="AC1763">
        <v>88.049499999999995</v>
      </c>
      <c r="AD1763">
        <v>0.78096899999999903</v>
      </c>
      <c r="AE1763">
        <v>-12.0459</v>
      </c>
      <c r="AF1763">
        <v>13.077794751111</v>
      </c>
      <c r="AG1763">
        <v>0.78096899999999903</v>
      </c>
      <c r="AH1763">
        <v>87.895220334428103</v>
      </c>
      <c r="AI1763">
        <v>89.496470152671705</v>
      </c>
      <c r="AJ1763">
        <v>81.5371348846909</v>
      </c>
      <c r="AK1763">
        <v>88.866238728601601</v>
      </c>
      <c r="AL1763">
        <v>87.844374993782495</v>
      </c>
      <c r="AM1763">
        <v>94.330029005303899</v>
      </c>
      <c r="AN1763">
        <v>1.00000003274449</v>
      </c>
    </row>
    <row r="1764" spans="1:40" x14ac:dyDescent="0.3">
      <c r="A1764" t="str">
        <f>"20200111145943787"</f>
        <v>20200111145943787</v>
      </c>
      <c r="B1764" t="str">
        <f>"1578725983777191"</f>
        <v>1578725983777191</v>
      </c>
      <c r="C1764" t="s">
        <v>40</v>
      </c>
      <c r="D1764">
        <v>4.4375369999999998</v>
      </c>
      <c r="E1764">
        <v>0.58403570000000005</v>
      </c>
      <c r="F1764" t="s">
        <v>44</v>
      </c>
      <c r="G1764">
        <v>-169.2955</v>
      </c>
      <c r="H1764">
        <v>1.900525</v>
      </c>
      <c r="I1764">
        <v>355.40980000000002</v>
      </c>
      <c r="J1764">
        <v>-255.85069999999999</v>
      </c>
      <c r="K1764">
        <v>1.104781</v>
      </c>
      <c r="L1764">
        <v>367.43450000000001</v>
      </c>
      <c r="M1764">
        <v>0.99984090000000003</v>
      </c>
      <c r="N1764">
        <v>0</v>
      </c>
      <c r="O1764">
        <v>1.1886809999999999E-2</v>
      </c>
      <c r="P1764">
        <v>0.99569949999999996</v>
      </c>
      <c r="Q1764">
        <v>2.7005999999999999E-2</v>
      </c>
      <c r="R1764">
        <v>8.8620809999999994E-2</v>
      </c>
      <c r="S1764">
        <v>3.0480499999999999</v>
      </c>
      <c r="T1764">
        <v>2.755034E-2</v>
      </c>
      <c r="U1764">
        <v>-0.4156494</v>
      </c>
      <c r="V1764">
        <v>-7.6777890000000001E-2</v>
      </c>
      <c r="W1764">
        <v>4.0274039999999997E-2</v>
      </c>
      <c r="X1764">
        <v>0.99623450000000002</v>
      </c>
      <c r="Y1764">
        <v>0.14687809999999901</v>
      </c>
      <c r="Z1764">
        <v>7.676944E-4</v>
      </c>
      <c r="AA1764">
        <v>0.98915430000000004</v>
      </c>
      <c r="AB1764">
        <v>19</v>
      </c>
      <c r="AC1764">
        <v>86.5551999999999</v>
      </c>
      <c r="AD1764">
        <v>0.79574400000000001</v>
      </c>
      <c r="AE1764">
        <v>-12.0246999999999</v>
      </c>
      <c r="AF1764">
        <v>13.051724271686201</v>
      </c>
      <c r="AG1764">
        <v>0.79574400000000001</v>
      </c>
      <c r="AH1764">
        <v>86.398971586113007</v>
      </c>
      <c r="AI1764">
        <v>89.478233985833398</v>
      </c>
      <c r="AJ1764">
        <v>81.409654884315401</v>
      </c>
      <c r="AK1764">
        <v>87.382853044036196</v>
      </c>
      <c r="AL1764">
        <v>87.691843251038904</v>
      </c>
      <c r="AM1764">
        <v>94.406965020166297</v>
      </c>
      <c r="AN1764">
        <v>1.00000001084051</v>
      </c>
    </row>
    <row r="1765" spans="1:40" x14ac:dyDescent="0.3">
      <c r="A1765" t="str">
        <f>"20200111145943799"</f>
        <v>20200111145943799</v>
      </c>
      <c r="B1765" t="str">
        <f>"1578725983797002"</f>
        <v>1578725983797002</v>
      </c>
      <c r="C1765" t="s">
        <v>40</v>
      </c>
      <c r="D1765">
        <v>4.4929489999999896</v>
      </c>
      <c r="E1765">
        <v>0.58195769999999902</v>
      </c>
      <c r="F1765" t="s">
        <v>44</v>
      </c>
      <c r="G1765">
        <v>-169.2955</v>
      </c>
      <c r="H1765">
        <v>1.8932549999999999</v>
      </c>
      <c r="I1765">
        <v>356.03219999999999</v>
      </c>
      <c r="J1765">
        <v>-255.74770000000001</v>
      </c>
      <c r="K1765">
        <v>1.104781</v>
      </c>
      <c r="L1765">
        <v>367.43579999999997</v>
      </c>
      <c r="M1765">
        <v>0.99984070000000003</v>
      </c>
      <c r="N1765">
        <v>0</v>
      </c>
      <c r="O1765">
        <v>1.1897909999999999E-2</v>
      </c>
      <c r="P1765">
        <v>0.9957049</v>
      </c>
      <c r="Q1765">
        <v>2.6897879999999999E-2</v>
      </c>
      <c r="R1765">
        <v>8.8591320000000001E-2</v>
      </c>
      <c r="S1765">
        <v>3.0479430000000001</v>
      </c>
      <c r="T1765">
        <v>2.7768250000000001E-2</v>
      </c>
      <c r="U1765">
        <v>-0.40151979999999998</v>
      </c>
      <c r="V1765">
        <v>-7.6736890000000002E-2</v>
      </c>
      <c r="W1765">
        <v>4.0164459999999999E-2</v>
      </c>
      <c r="X1765">
        <v>0.99624199999999996</v>
      </c>
      <c r="Y1765">
        <v>0.14238779999999901</v>
      </c>
      <c r="Z1765">
        <v>7.5376410000000001E-4</v>
      </c>
      <c r="AA1765">
        <v>0.98981059999999998</v>
      </c>
      <c r="AB1765">
        <v>19</v>
      </c>
      <c r="AC1765">
        <v>86.452200000000005</v>
      </c>
      <c r="AD1765">
        <v>0.78847399999999901</v>
      </c>
      <c r="AE1765">
        <v>-11.4035999999999</v>
      </c>
      <c r="AF1765">
        <v>12.430467933292199</v>
      </c>
      <c r="AG1765">
        <v>0.78847399999999901</v>
      </c>
      <c r="AH1765">
        <v>86.303332581832805</v>
      </c>
      <c r="AI1765">
        <v>89.481902006345507</v>
      </c>
      <c r="AJ1765">
        <v>81.803923326838003</v>
      </c>
      <c r="AK1765">
        <v>87.197496747439601</v>
      </c>
      <c r="AL1765">
        <v>87.698126616664794</v>
      </c>
      <c r="AM1765">
        <v>94.404587900623298</v>
      </c>
      <c r="AN1765">
        <v>0.99999992834897899</v>
      </c>
    </row>
    <row r="1766" spans="1:40" x14ac:dyDescent="0.3">
      <c r="A1766" t="str">
        <f>"20200111145943810"</f>
        <v>20200111145943810</v>
      </c>
      <c r="B1766" t="str">
        <f>"1578725983807738"</f>
        <v>1578725983807738</v>
      </c>
      <c r="C1766" t="s">
        <v>40</v>
      </c>
      <c r="D1766">
        <v>4.461652</v>
      </c>
      <c r="E1766">
        <v>0.58162340000000001</v>
      </c>
      <c r="F1766" t="s">
        <v>44</v>
      </c>
      <c r="G1766">
        <v>-169.2955</v>
      </c>
      <c r="H1766">
        <v>3.464108</v>
      </c>
      <c r="I1766">
        <v>356.49189999999999</v>
      </c>
      <c r="J1766">
        <v>-255.65960000000001</v>
      </c>
      <c r="K1766">
        <v>1.1047819999999999</v>
      </c>
      <c r="L1766">
        <v>367.43680000000001</v>
      </c>
      <c r="M1766">
        <v>0.99984059999999997</v>
      </c>
      <c r="N1766">
        <v>0</v>
      </c>
      <c r="O1766">
        <v>1.190746E-2</v>
      </c>
      <c r="P1766">
        <v>0.99572159999999998</v>
      </c>
      <c r="Q1766">
        <v>2.6687740000000001E-2</v>
      </c>
      <c r="R1766">
        <v>8.8464940000000006E-2</v>
      </c>
      <c r="S1766">
        <v>3.045029</v>
      </c>
      <c r="T1766">
        <v>8.3103419999999997E-2</v>
      </c>
      <c r="U1766">
        <v>-0.38546750000000002</v>
      </c>
      <c r="V1766">
        <v>-7.6600730000000006E-2</v>
      </c>
      <c r="W1766">
        <v>3.9953379999999997E-2</v>
      </c>
      <c r="X1766">
        <v>0.99626110000000001</v>
      </c>
      <c r="Y1766">
        <v>0.1373375</v>
      </c>
      <c r="Z1766">
        <v>2.189987E-3</v>
      </c>
      <c r="AA1766">
        <v>0.99052189999999996</v>
      </c>
      <c r="AB1766">
        <v>19</v>
      </c>
      <c r="AC1766">
        <v>86.364099999999993</v>
      </c>
      <c r="AD1766">
        <v>2.3593259999999998</v>
      </c>
      <c r="AE1766">
        <v>-10.944900000000001</v>
      </c>
      <c r="AF1766">
        <v>11.963804617128</v>
      </c>
      <c r="AG1766">
        <v>2.3593259999999998</v>
      </c>
      <c r="AH1766">
        <v>86.1643510919899</v>
      </c>
      <c r="AI1766">
        <v>88.446433008929802</v>
      </c>
      <c r="AJ1766">
        <v>82.095098680576299</v>
      </c>
      <c r="AK1766">
        <v>87.022953519142206</v>
      </c>
      <c r="AL1766">
        <v>87.710230632053495</v>
      </c>
      <c r="AM1766">
        <v>94.396719220758001</v>
      </c>
      <c r="AN1766">
        <v>1.0000000618915801</v>
      </c>
    </row>
    <row r="1767" spans="1:40" x14ac:dyDescent="0.3">
      <c r="A1767" t="str">
        <f>"20200111145943822"</f>
        <v>20200111145943822</v>
      </c>
      <c r="B1767" t="str">
        <f>"1578725983817498"</f>
        <v>1578725983817498</v>
      </c>
      <c r="C1767" t="s">
        <v>40</v>
      </c>
      <c r="D1767">
        <v>5.7673930000000002</v>
      </c>
      <c r="E1767">
        <v>0.58162340000000001</v>
      </c>
      <c r="F1767" t="s">
        <v>44</v>
      </c>
      <c r="G1767">
        <v>-169.2955</v>
      </c>
      <c r="H1767">
        <v>3.9883540000000002</v>
      </c>
      <c r="I1767">
        <v>356.56950000000001</v>
      </c>
      <c r="J1767">
        <v>-255.56440000000001</v>
      </c>
      <c r="K1767">
        <v>1.104781</v>
      </c>
      <c r="L1767">
        <v>367.43799999999999</v>
      </c>
      <c r="M1767">
        <v>0.99984050000000002</v>
      </c>
      <c r="N1767">
        <v>0</v>
      </c>
      <c r="O1767">
        <v>1.1917540000000001E-2</v>
      </c>
      <c r="P1767">
        <v>0.99574490000000004</v>
      </c>
      <c r="Q1767">
        <v>2.6351679999999999E-2</v>
      </c>
      <c r="R1767">
        <v>8.8306029999999994E-2</v>
      </c>
      <c r="S1767">
        <v>3.0442049999999998</v>
      </c>
      <c r="T1767">
        <v>0.1016445</v>
      </c>
      <c r="U1767">
        <v>-0.38305660000000002</v>
      </c>
      <c r="V1767">
        <v>-7.6431680000000002E-2</v>
      </c>
      <c r="W1767">
        <v>3.9616539999999999E-2</v>
      </c>
      <c r="X1767">
        <v>0.99628749999999999</v>
      </c>
      <c r="Y1767">
        <v>0.13658190000000001</v>
      </c>
      <c r="Z1767">
        <v>2.666973E-3</v>
      </c>
      <c r="AA1767">
        <v>0.99062519999999998</v>
      </c>
      <c r="AB1767">
        <v>19</v>
      </c>
      <c r="AC1767">
        <v>86.268900000000002</v>
      </c>
      <c r="AD1767">
        <v>2.8835730000000002</v>
      </c>
      <c r="AE1767">
        <v>-10.868499999999999</v>
      </c>
      <c r="AF1767">
        <v>11.8828632671121</v>
      </c>
      <c r="AG1767">
        <v>2.8835730000000002</v>
      </c>
      <c r="AH1767">
        <v>86.038609751087193</v>
      </c>
      <c r="AI1767">
        <v>88.098493898814098</v>
      </c>
      <c r="AJ1767">
        <v>82.136578098344202</v>
      </c>
      <c r="AK1767">
        <v>86.903163351923496</v>
      </c>
      <c r="AL1767">
        <v>87.729545354949707</v>
      </c>
      <c r="AM1767">
        <v>94.386938235522393</v>
      </c>
      <c r="AN1767">
        <v>1.0000000273027201</v>
      </c>
    </row>
    <row r="1768" spans="1:40" x14ac:dyDescent="0.3">
      <c r="A1768" t="str">
        <f>"20200111145945510"</f>
        <v>20200111145945510</v>
      </c>
      <c r="B1768" t="str">
        <f>"1578725985507080"</f>
        <v>1578725985507080</v>
      </c>
      <c r="C1768" t="s">
        <v>40</v>
      </c>
      <c r="D1768">
        <v>4.2919530000000004</v>
      </c>
      <c r="E1768">
        <v>0.58036750000000004</v>
      </c>
      <c r="F1768" t="s">
        <v>44</v>
      </c>
      <c r="G1768">
        <v>-169.2955</v>
      </c>
      <c r="H1768">
        <v>3.95417</v>
      </c>
      <c r="I1768">
        <v>356.57029999999997</v>
      </c>
      <c r="J1768">
        <v>-241.24760000000001</v>
      </c>
      <c r="K1768">
        <v>1.103785</v>
      </c>
      <c r="L1768">
        <v>367.62119999999999</v>
      </c>
      <c r="M1768">
        <v>0.99989399999999995</v>
      </c>
      <c r="N1768">
        <v>0</v>
      </c>
      <c r="O1768">
        <v>1.351018E-2</v>
      </c>
      <c r="P1768">
        <v>0.99632449999999995</v>
      </c>
      <c r="Q1768">
        <v>2.979089E-2</v>
      </c>
      <c r="R1768">
        <v>8.031373E-2</v>
      </c>
      <c r="S1768">
        <v>3.0441590000000001</v>
      </c>
      <c r="T1768">
        <v>0.100549</v>
      </c>
      <c r="U1768">
        <v>-0.38348389999999999</v>
      </c>
      <c r="V1768">
        <v>-6.6845290000000002E-2</v>
      </c>
      <c r="W1768">
        <v>3.5233670000000002E-2</v>
      </c>
      <c r="X1768">
        <v>0.9971411</v>
      </c>
      <c r="Y1768">
        <v>0.13829739999999999</v>
      </c>
      <c r="Z1768">
        <v>2.7188450000000001E-3</v>
      </c>
      <c r="AA1768">
        <v>0.99038700000000002</v>
      </c>
      <c r="AB1768">
        <v>22</v>
      </c>
      <c r="AC1768">
        <v>71.952100000000002</v>
      </c>
      <c r="AD1768">
        <v>2.85038499999999</v>
      </c>
      <c r="AE1768">
        <v>-11.0509</v>
      </c>
      <c r="AF1768">
        <v>12.003587816156999</v>
      </c>
      <c r="AG1768">
        <v>2.85038499999999</v>
      </c>
      <c r="AH1768">
        <v>71.686322748430399</v>
      </c>
      <c r="AI1768">
        <v>87.754243058541704</v>
      </c>
      <c r="AJ1768">
        <v>80.494237746083897</v>
      </c>
      <c r="AK1768">
        <v>72.740220540637196</v>
      </c>
      <c r="AL1768">
        <v>87.980841575823703</v>
      </c>
      <c r="AM1768">
        <v>93.8351956505537</v>
      </c>
      <c r="AN1768">
        <v>1.0000000388030299</v>
      </c>
    </row>
    <row r="1769" spans="1:40" x14ac:dyDescent="0.3">
      <c r="A1769" t="str">
        <f>"20200111145945532"</f>
        <v>20200111145945532</v>
      </c>
      <c r="B1769" t="str">
        <f>"1578725985527575"</f>
        <v>1578725985527575</v>
      </c>
      <c r="C1769" t="s">
        <v>40</v>
      </c>
      <c r="D1769">
        <v>4.2721559999999998</v>
      </c>
      <c r="E1769">
        <v>0.5801385</v>
      </c>
      <c r="F1769" t="s">
        <v>44</v>
      </c>
      <c r="G1769">
        <v>-158.19499999999999</v>
      </c>
      <c r="H1769">
        <v>0.17877579999999901</v>
      </c>
      <c r="I1769">
        <v>356.77730000000003</v>
      </c>
      <c r="J1769">
        <v>-241.01830000000001</v>
      </c>
      <c r="K1769">
        <v>1.1037870000000001</v>
      </c>
      <c r="L1769">
        <v>367.62430000000001</v>
      </c>
      <c r="M1769">
        <v>0.99989329999999998</v>
      </c>
      <c r="N1769">
        <v>0</v>
      </c>
      <c r="O1769">
        <v>1.353553E-2</v>
      </c>
      <c r="P1769">
        <v>0.99637629999999999</v>
      </c>
      <c r="Q1769">
        <v>2.9658319999999998E-2</v>
      </c>
      <c r="R1769">
        <v>7.971702E-2</v>
      </c>
      <c r="S1769">
        <v>3.0441280000000002</v>
      </c>
      <c r="T1769">
        <v>-3.3901100000000003E-2</v>
      </c>
      <c r="U1769">
        <v>-0.39746090000000001</v>
      </c>
      <c r="V1769">
        <v>-6.6222649999999994E-2</v>
      </c>
      <c r="W1769">
        <v>3.513645E-2</v>
      </c>
      <c r="X1769">
        <v>0.99718609999999996</v>
      </c>
      <c r="Y1769">
        <v>0.14286799999999999</v>
      </c>
      <c r="Z1769">
        <v>-9.4227160000000005E-4</v>
      </c>
      <c r="AA1769">
        <v>0.98974130000000005</v>
      </c>
      <c r="AB1769">
        <v>22</v>
      </c>
      <c r="AC1769">
        <v>82.823300000000003</v>
      </c>
      <c r="AD1769">
        <v>-0.92501120000000003</v>
      </c>
      <c r="AE1769">
        <v>-10.8469999999999</v>
      </c>
      <c r="AF1769">
        <v>11.965613095272101</v>
      </c>
      <c r="AG1769">
        <v>-0.92501120000000003</v>
      </c>
      <c r="AH1769">
        <v>82.658753670985405</v>
      </c>
      <c r="AI1769">
        <v>90.634540969669999</v>
      </c>
      <c r="AJ1769">
        <v>81.763127281871505</v>
      </c>
      <c r="AK1769">
        <v>83.525451815039702</v>
      </c>
      <c r="AL1769">
        <v>87.986415372757705</v>
      </c>
      <c r="AM1769">
        <v>93.799406343265503</v>
      </c>
      <c r="AN1769">
        <v>1.00000006376241</v>
      </c>
    </row>
    <row r="1770" spans="1:40" x14ac:dyDescent="0.3">
      <c r="A1770" t="str">
        <f>"20200111145945543"</f>
        <v>20200111145945543</v>
      </c>
      <c r="B1770" t="str">
        <f>"1578725985537336"</f>
        <v>1578725985537336</v>
      </c>
      <c r="C1770" t="s">
        <v>40</v>
      </c>
      <c r="D1770">
        <v>4.313815</v>
      </c>
      <c r="E1770">
        <v>0.58018740000000002</v>
      </c>
      <c r="F1770" t="s">
        <v>44</v>
      </c>
      <c r="G1770">
        <v>-158.19499999999999</v>
      </c>
      <c r="H1770">
        <v>0.28412910000000002</v>
      </c>
      <c r="I1770">
        <v>356.80279999999999</v>
      </c>
      <c r="J1770">
        <v>-240.91739999999999</v>
      </c>
      <c r="K1770">
        <v>1.10379</v>
      </c>
      <c r="L1770">
        <v>367.62569999999999</v>
      </c>
      <c r="M1770">
        <v>0.99989309999999998</v>
      </c>
      <c r="N1770">
        <v>0</v>
      </c>
      <c r="O1770">
        <v>1.354667E-2</v>
      </c>
      <c r="P1770">
        <v>0.99640819999999997</v>
      </c>
      <c r="Q1770">
        <v>2.942438E-2</v>
      </c>
      <c r="R1770">
        <v>7.9405480000000001E-2</v>
      </c>
      <c r="S1770">
        <v>3.0436100000000001</v>
      </c>
      <c r="T1770">
        <v>-3.0117749999999999E-2</v>
      </c>
      <c r="U1770">
        <v>-0.39767459999999999</v>
      </c>
      <c r="V1770">
        <v>-6.589979E-2</v>
      </c>
      <c r="W1770">
        <v>3.4926289999999999E-2</v>
      </c>
      <c r="X1770">
        <v>0.99721479999999996</v>
      </c>
      <c r="Y1770">
        <v>0.14297089999999901</v>
      </c>
      <c r="Z1770">
        <v>-8.3787480000000001E-4</v>
      </c>
      <c r="AA1770">
        <v>0.98972649999999995</v>
      </c>
      <c r="AB1770">
        <v>22</v>
      </c>
      <c r="AC1770">
        <v>82.722399999999993</v>
      </c>
      <c r="AD1770">
        <v>-0.81966090000000003</v>
      </c>
      <c r="AE1770">
        <v>-10.822900000000001</v>
      </c>
      <c r="AF1770">
        <v>11.9413842037739</v>
      </c>
      <c r="AG1770">
        <v>-0.81966090000000003</v>
      </c>
      <c r="AH1770">
        <v>82.560223328277701</v>
      </c>
      <c r="AI1770">
        <v>90.562958134931407</v>
      </c>
      <c r="AJ1770">
        <v>81.769901531597895</v>
      </c>
      <c r="AK1770">
        <v>83.423371885270996</v>
      </c>
      <c r="AL1770">
        <v>87.998463906054297</v>
      </c>
      <c r="AM1770">
        <v>93.780828186537704</v>
      </c>
      <c r="AN1770">
        <v>0.99999999269712403</v>
      </c>
    </row>
    <row r="1771" spans="1:40" x14ac:dyDescent="0.3">
      <c r="A1771" t="str">
        <f>"20200111145945554"</f>
        <v>20200111145945554</v>
      </c>
      <c r="B1771" t="str">
        <f>"1578725985547095"</f>
        <v>1578725985547095</v>
      </c>
      <c r="C1771" t="s">
        <v>40</v>
      </c>
      <c r="D1771">
        <v>4.3263129999999999</v>
      </c>
      <c r="E1771">
        <v>0.58036469999999996</v>
      </c>
      <c r="F1771" t="s">
        <v>44</v>
      </c>
      <c r="G1771">
        <v>-158.19499999999999</v>
      </c>
      <c r="H1771">
        <v>0.3712473</v>
      </c>
      <c r="I1771">
        <v>356.78100000000001</v>
      </c>
      <c r="J1771">
        <v>-240.80619999999999</v>
      </c>
      <c r="K1771">
        <v>1.1037950000000001</v>
      </c>
      <c r="L1771">
        <v>367.62729999999999</v>
      </c>
      <c r="M1771">
        <v>0.99989269999999997</v>
      </c>
      <c r="N1771">
        <v>0</v>
      </c>
      <c r="O1771">
        <v>1.355897E-2</v>
      </c>
      <c r="P1771">
        <v>0.99644089999999996</v>
      </c>
      <c r="Q1771">
        <v>2.9152020000000001E-2</v>
      </c>
      <c r="R1771">
        <v>7.9093109999999994E-2</v>
      </c>
      <c r="S1771">
        <v>3.0434269999999999</v>
      </c>
      <c r="T1771">
        <v>-2.6947619999999999E-2</v>
      </c>
      <c r="U1771">
        <v>-0.39898679999999997</v>
      </c>
      <c r="V1771">
        <v>-6.5574590000000002E-2</v>
      </c>
      <c r="W1771">
        <v>3.4689449999999997E-2</v>
      </c>
      <c r="X1771">
        <v>0.99724449999999998</v>
      </c>
      <c r="Y1771">
        <v>0.14341180000000001</v>
      </c>
      <c r="Z1771">
        <v>-7.5176140000000002E-4</v>
      </c>
      <c r="AA1771">
        <v>0.98966279999999995</v>
      </c>
      <c r="AB1771">
        <v>22</v>
      </c>
      <c r="AC1771">
        <v>82.611199999999997</v>
      </c>
      <c r="AD1771">
        <v>-0.73254770000000002</v>
      </c>
      <c r="AE1771">
        <v>-10.8462999999999</v>
      </c>
      <c r="AF1771">
        <v>11.9645180615868</v>
      </c>
      <c r="AG1771">
        <v>-0.73254770000000002</v>
      </c>
      <c r="AH1771">
        <v>82.450165365794504</v>
      </c>
      <c r="AI1771">
        <v>90.503768158283094</v>
      </c>
      <c r="AJ1771">
        <v>81.743321307749696</v>
      </c>
      <c r="AK1771">
        <v>83.316961583015498</v>
      </c>
      <c r="AL1771">
        <v>88.012042058890202</v>
      </c>
      <c r="AM1771">
        <v>93.762112677436804</v>
      </c>
      <c r="AN1771">
        <v>0.99999998878760998</v>
      </c>
    </row>
    <row r="1772" spans="1:40" x14ac:dyDescent="0.3">
      <c r="A1772" t="str">
        <f>"20200111145945567"</f>
        <v>20200111145945567</v>
      </c>
      <c r="B1772" t="str">
        <f>"1578725985557831"</f>
        <v>1578725985557831</v>
      </c>
      <c r="C1772" t="s">
        <v>40</v>
      </c>
      <c r="D1772">
        <v>4.266521</v>
      </c>
      <c r="E1772">
        <v>0.58018979999999998</v>
      </c>
      <c r="F1772" t="s">
        <v>44</v>
      </c>
      <c r="G1772">
        <v>-158.19499999999999</v>
      </c>
      <c r="H1772">
        <v>0.42009829999999998</v>
      </c>
      <c r="I1772">
        <v>356.73770000000002</v>
      </c>
      <c r="J1772">
        <v>-240.68379999999999</v>
      </c>
      <c r="K1772">
        <v>1.1038019999999999</v>
      </c>
      <c r="L1772">
        <v>367.62889999999999</v>
      </c>
      <c r="M1772">
        <v>0.99989240000000001</v>
      </c>
      <c r="N1772">
        <v>0</v>
      </c>
      <c r="O1772">
        <v>1.357207E-2</v>
      </c>
      <c r="P1772">
        <v>0.996448</v>
      </c>
      <c r="Q1772">
        <v>2.9186299999999998E-2</v>
      </c>
      <c r="R1772">
        <v>7.899196E-2</v>
      </c>
      <c r="S1772">
        <v>3.0432589999999999</v>
      </c>
      <c r="T1772">
        <v>-2.5182960000000001E-2</v>
      </c>
      <c r="U1772">
        <v>-0.4011536</v>
      </c>
      <c r="V1772">
        <v>-6.5460760000000007E-2</v>
      </c>
      <c r="W1772">
        <v>3.4770929999999999E-2</v>
      </c>
      <c r="X1772">
        <v>0.9972491</v>
      </c>
      <c r="Y1772">
        <v>0.14412520000000001</v>
      </c>
      <c r="Z1772">
        <v>-7.0558719999999999E-4</v>
      </c>
      <c r="AA1772">
        <v>0.98955919999999997</v>
      </c>
      <c r="AB1772">
        <v>22</v>
      </c>
      <c r="AC1772">
        <v>82.488799999999998</v>
      </c>
      <c r="AD1772">
        <v>-0.68370369999999903</v>
      </c>
      <c r="AE1772">
        <v>-10.8911999999999</v>
      </c>
      <c r="AF1772">
        <v>12.008947092649001</v>
      </c>
      <c r="AG1772">
        <v>-0.68370369999999903</v>
      </c>
      <c r="AH1772">
        <v>82.327824857621295</v>
      </c>
      <c r="AI1772">
        <v>90.470828025094704</v>
      </c>
      <c r="AJ1772">
        <v>81.700942901667304</v>
      </c>
      <c r="AK1772">
        <v>83.201881029280798</v>
      </c>
      <c r="AL1772">
        <v>88.007370699472105</v>
      </c>
      <c r="AM1772">
        <v>93.755583511462902</v>
      </c>
      <c r="AN1772">
        <v>0.99999994806182402</v>
      </c>
    </row>
    <row r="1773" spans="1:40" x14ac:dyDescent="0.3">
      <c r="A1773" t="str">
        <f>"20200111145945579"</f>
        <v>20200111145945579</v>
      </c>
      <c r="B1773" t="str">
        <f>"1578725985567591"</f>
        <v>1578725985567591</v>
      </c>
      <c r="C1773" t="s">
        <v>40</v>
      </c>
      <c r="D1773">
        <v>4.3147650000000004</v>
      </c>
      <c r="E1773">
        <v>0.57985379999999997</v>
      </c>
      <c r="F1773" t="s">
        <v>44</v>
      </c>
      <c r="G1773">
        <v>-158.19499999999999</v>
      </c>
      <c r="H1773">
        <v>0.310338</v>
      </c>
      <c r="I1773">
        <v>356.78539999999998</v>
      </c>
      <c r="J1773">
        <v>-240.56450000000001</v>
      </c>
      <c r="K1773">
        <v>1.103809</v>
      </c>
      <c r="L1773">
        <v>367.63060000000002</v>
      </c>
      <c r="M1773">
        <v>0.99989189999999994</v>
      </c>
      <c r="N1773">
        <v>0</v>
      </c>
      <c r="O1773">
        <v>1.3584789999999999E-2</v>
      </c>
      <c r="P1773">
        <v>0.99644149999999998</v>
      </c>
      <c r="Q1773">
        <v>2.9346529999999999E-2</v>
      </c>
      <c r="R1773">
        <v>7.9015870000000002E-2</v>
      </c>
      <c r="S1773">
        <v>3.0432890000000001</v>
      </c>
      <c r="T1773">
        <v>-2.9270290000000001E-2</v>
      </c>
      <c r="U1773">
        <v>-0.40005489999999999</v>
      </c>
      <c r="V1773">
        <v>-6.5472160000000001E-2</v>
      </c>
      <c r="W1773">
        <v>3.4984910000000001E-2</v>
      </c>
      <c r="X1773">
        <v>0.99724089999999999</v>
      </c>
      <c r="Y1773">
        <v>0.14378350000000001</v>
      </c>
      <c r="Z1773">
        <v>-8.1859939999999996E-4</v>
      </c>
      <c r="AA1773">
        <v>0.98960879999999996</v>
      </c>
      <c r="AB1773">
        <v>22</v>
      </c>
      <c r="AC1773">
        <v>82.369500000000002</v>
      </c>
      <c r="AD1773">
        <v>-0.79347100000000004</v>
      </c>
      <c r="AE1773">
        <v>-10.8452</v>
      </c>
      <c r="AF1773">
        <v>11.962098144169101</v>
      </c>
      <c r="AG1773">
        <v>-0.79347100000000004</v>
      </c>
      <c r="AH1773">
        <v>82.207068315856901</v>
      </c>
      <c r="AI1773">
        <v>90.547244640567399</v>
      </c>
      <c r="AJ1773">
        <v>81.720894953283306</v>
      </c>
      <c r="AK1773">
        <v>83.076612047715003</v>
      </c>
      <c r="AL1773">
        <v>87.995103148406798</v>
      </c>
      <c r="AM1773">
        <v>93.756266472524104</v>
      </c>
      <c r="AN1773">
        <v>0.99999998014779101</v>
      </c>
    </row>
    <row r="1774" spans="1:40" x14ac:dyDescent="0.3">
      <c r="A1774" t="str">
        <f>"20200111145945591"</f>
        <v>20200111145945591</v>
      </c>
      <c r="B1774" t="str">
        <f>"1578725985587112"</f>
        <v>1578725985587112</v>
      </c>
      <c r="C1774" t="s">
        <v>40</v>
      </c>
      <c r="D1774">
        <v>4.3686930000000004</v>
      </c>
      <c r="E1774">
        <v>0.57976749999999999</v>
      </c>
      <c r="F1774" t="s">
        <v>44</v>
      </c>
      <c r="G1774">
        <v>-158.19499999999999</v>
      </c>
      <c r="H1774">
        <v>0.35799409999999998</v>
      </c>
      <c r="I1774">
        <v>356.87369999999999</v>
      </c>
      <c r="J1774">
        <v>-240.44820000000001</v>
      </c>
      <c r="K1774">
        <v>1.1038220000000001</v>
      </c>
      <c r="L1774">
        <v>367.63209999999998</v>
      </c>
      <c r="M1774">
        <v>0.99989110000000003</v>
      </c>
      <c r="N1774">
        <v>0</v>
      </c>
      <c r="O1774">
        <v>1.3597649999999999E-2</v>
      </c>
      <c r="P1774">
        <v>0.99643910000000002</v>
      </c>
      <c r="Q1774">
        <v>2.934933E-2</v>
      </c>
      <c r="R1774">
        <v>7.9042769999999998E-2</v>
      </c>
      <c r="S1774">
        <v>3.0430299999999999</v>
      </c>
      <c r="T1774">
        <v>-2.7549859999999999E-2</v>
      </c>
      <c r="U1774">
        <v>-0.39739989999999997</v>
      </c>
      <c r="V1774">
        <v>-6.5486269999999999E-2</v>
      </c>
      <c r="W1774">
        <v>3.5057339999999999E-2</v>
      </c>
      <c r="X1774">
        <v>0.99723740000000005</v>
      </c>
      <c r="Y1774">
        <v>0.14295910000000001</v>
      </c>
      <c r="Z1774">
        <v>-7.6699489999999999E-4</v>
      </c>
      <c r="AA1774">
        <v>0.98972830000000001</v>
      </c>
      <c r="AB1774">
        <v>22</v>
      </c>
      <c r="AC1774">
        <v>82.253200000000007</v>
      </c>
      <c r="AD1774">
        <v>-0.74582789999999899</v>
      </c>
      <c r="AE1774">
        <v>-10.7583999999999</v>
      </c>
      <c r="AF1774">
        <v>11.874914027405699</v>
      </c>
      <c r="AG1774">
        <v>-0.74582789999999899</v>
      </c>
      <c r="AH1774">
        <v>82.092667845622103</v>
      </c>
      <c r="AI1774">
        <v>90.515167433421396</v>
      </c>
      <c r="AJ1774">
        <v>81.769111020077901</v>
      </c>
      <c r="AK1774">
        <v>82.9504427741428</v>
      </c>
      <c r="AL1774">
        <v>87.9909506077814</v>
      </c>
      <c r="AM1774">
        <v>93.757086821069905</v>
      </c>
      <c r="AN1774">
        <v>0.99999995030257305</v>
      </c>
    </row>
    <row r="1775" spans="1:40" x14ac:dyDescent="0.3">
      <c r="A1775" t="str">
        <f>"20200111145945603"</f>
        <v>20200111145945603</v>
      </c>
      <c r="B1775" t="str">
        <f>"1578725985587112"</f>
        <v>1578725985587112</v>
      </c>
      <c r="C1775" t="s">
        <v>40</v>
      </c>
      <c r="D1775">
        <v>4.3686930000000004</v>
      </c>
      <c r="E1775">
        <v>0.57976749999999999</v>
      </c>
      <c r="F1775" t="s">
        <v>44</v>
      </c>
      <c r="G1775">
        <v>-158.19499999999999</v>
      </c>
      <c r="H1775">
        <v>0.39192870000000002</v>
      </c>
      <c r="I1775">
        <v>356.91</v>
      </c>
      <c r="J1775">
        <v>-240.32499999999999</v>
      </c>
      <c r="K1775">
        <v>1.1038349999999999</v>
      </c>
      <c r="L1775">
        <v>367.63389999999998</v>
      </c>
      <c r="M1775">
        <v>0.99989059999999996</v>
      </c>
      <c r="N1775">
        <v>0</v>
      </c>
      <c r="O1775">
        <v>1.3611170000000001E-2</v>
      </c>
      <c r="P1775">
        <v>0.99640770000000001</v>
      </c>
      <c r="Q1775">
        <v>2.9291020000000001E-2</v>
      </c>
      <c r="R1775">
        <v>7.9460879999999998E-2</v>
      </c>
      <c r="S1775">
        <v>3.0429689999999998</v>
      </c>
      <c r="T1775">
        <v>-2.6333329999999999E-2</v>
      </c>
      <c r="U1775">
        <v>-0.39666750000000001</v>
      </c>
      <c r="V1775">
        <v>-6.5890870000000004E-2</v>
      </c>
      <c r="W1775">
        <v>3.5081170000000002E-2</v>
      </c>
      <c r="X1775">
        <v>0.99721000000000004</v>
      </c>
      <c r="Y1775">
        <v>0.14274129999999999</v>
      </c>
      <c r="Z1775">
        <v>-7.3233219999999999E-4</v>
      </c>
      <c r="AA1775">
        <v>0.98975970000000002</v>
      </c>
      <c r="AB1775">
        <v>22</v>
      </c>
      <c r="AC1775">
        <v>82.13</v>
      </c>
      <c r="AD1775">
        <v>-0.71190629999999999</v>
      </c>
      <c r="AE1775">
        <v>-10.723899999999899</v>
      </c>
      <c r="AF1775">
        <v>11.8399359947419</v>
      </c>
      <c r="AG1775">
        <v>-0.71190629999999999</v>
      </c>
      <c r="AH1775">
        <v>81.970368658448507</v>
      </c>
      <c r="AI1775">
        <v>90.492486204077807</v>
      </c>
      <c r="AJ1775">
        <v>81.780947113150205</v>
      </c>
      <c r="AK1775">
        <v>82.824104178321903</v>
      </c>
      <c r="AL1775">
        <v>87.989584588654793</v>
      </c>
      <c r="AM1775">
        <v>93.7803360524033</v>
      </c>
      <c r="AN1775">
        <v>1.0000000396689599</v>
      </c>
    </row>
    <row r="1776" spans="1:40" x14ac:dyDescent="0.3">
      <c r="A1776" t="str">
        <f>"20200111145945615"</f>
        <v>20200111145945615</v>
      </c>
      <c r="B1776" t="str">
        <f>"1578725985607608"</f>
        <v>1578725985607608</v>
      </c>
      <c r="C1776" t="s">
        <v>40</v>
      </c>
      <c r="D1776">
        <v>4.4521559999999996</v>
      </c>
      <c r="E1776">
        <v>0.57976749999999999</v>
      </c>
      <c r="F1776" t="s">
        <v>44</v>
      </c>
      <c r="G1776">
        <v>-158.19499999999999</v>
      </c>
      <c r="H1776">
        <v>0.39106180000000001</v>
      </c>
      <c r="I1776">
        <v>356.96449999999999</v>
      </c>
      <c r="J1776">
        <v>-240.208</v>
      </c>
      <c r="K1776">
        <v>1.1038509999999999</v>
      </c>
      <c r="L1776">
        <v>367.63549999999998</v>
      </c>
      <c r="M1776">
        <v>0.99988980000000005</v>
      </c>
      <c r="N1776">
        <v>0</v>
      </c>
      <c r="O1776">
        <v>1.362442E-2</v>
      </c>
      <c r="P1776">
        <v>0.99635649999999998</v>
      </c>
      <c r="Q1776">
        <v>2.9359440000000001E-2</v>
      </c>
      <c r="R1776">
        <v>8.0074670000000001E-2</v>
      </c>
      <c r="S1776">
        <v>3.0431210000000002</v>
      </c>
      <c r="T1776">
        <v>-2.6406760000000001E-2</v>
      </c>
      <c r="U1776">
        <v>-0.39532469999999997</v>
      </c>
      <c r="V1776">
        <v>-6.6492460000000003E-2</v>
      </c>
      <c r="W1776">
        <v>3.524414E-2</v>
      </c>
      <c r="X1776">
        <v>0.9971643</v>
      </c>
      <c r="Y1776">
        <v>0.14231859999999999</v>
      </c>
      <c r="Z1776">
        <v>-7.3264640000000002E-4</v>
      </c>
      <c r="AA1776">
        <v>0.9898207</v>
      </c>
      <c r="AB1776">
        <v>22</v>
      </c>
      <c r="AC1776">
        <v>82.012999999999906</v>
      </c>
      <c r="AD1776">
        <v>-0.71278919999999901</v>
      </c>
      <c r="AE1776">
        <v>-10.6709999999999</v>
      </c>
      <c r="AF1776">
        <v>11.786533006370499</v>
      </c>
      <c r="AG1776">
        <v>-0.71278919999999901</v>
      </c>
      <c r="AH1776">
        <v>81.853918818879194</v>
      </c>
      <c r="AI1776">
        <v>90.493829601660394</v>
      </c>
      <c r="AJ1776">
        <v>81.806032434658903</v>
      </c>
      <c r="AK1776">
        <v>82.701236113866898</v>
      </c>
      <c r="AL1776">
        <v>87.980241276044495</v>
      </c>
      <c r="AM1776">
        <v>93.814923747832395</v>
      </c>
      <c r="AN1776">
        <v>1.00000001891784</v>
      </c>
    </row>
    <row r="1777" spans="1:40" x14ac:dyDescent="0.3">
      <c r="A1777" t="str">
        <f>"20200111145945629"</f>
        <v>20200111145945629</v>
      </c>
      <c r="B1777" t="str">
        <f>"1578725985617367"</f>
        <v>1578725985617367</v>
      </c>
      <c r="C1777" t="s">
        <v>40</v>
      </c>
      <c r="D1777">
        <v>4.6587589999999999</v>
      </c>
      <c r="E1777">
        <v>0.50963479999999906</v>
      </c>
      <c r="F1777" t="s">
        <v>44</v>
      </c>
      <c r="G1777">
        <v>-158.19499999999999</v>
      </c>
      <c r="H1777">
        <v>0.3990049</v>
      </c>
      <c r="I1777">
        <v>357.0283</v>
      </c>
      <c r="J1777">
        <v>-240.07730000000001</v>
      </c>
      <c r="K1777">
        <v>1.103869</v>
      </c>
      <c r="L1777">
        <v>367.63729999999998</v>
      </c>
      <c r="M1777">
        <v>0.99988900000000003</v>
      </c>
      <c r="N1777">
        <v>0</v>
      </c>
      <c r="O1777">
        <v>1.3638839999999999E-2</v>
      </c>
      <c r="P1777">
        <v>0.99630180000000002</v>
      </c>
      <c r="Q1777">
        <v>2.9490260000000001E-2</v>
      </c>
      <c r="R1777">
        <v>8.0704499999999998E-2</v>
      </c>
      <c r="S1777">
        <v>3.0433650000000001</v>
      </c>
      <c r="T1777">
        <v>-2.6152370000000001E-2</v>
      </c>
      <c r="U1777">
        <v>-0.39361570000000001</v>
      </c>
      <c r="V1777">
        <v>-6.7108089999999995E-2</v>
      </c>
      <c r="W1777">
        <v>3.5494329999999998E-2</v>
      </c>
      <c r="X1777">
        <v>0.99711419999999995</v>
      </c>
      <c r="Y1777">
        <v>0.14177619999999999</v>
      </c>
      <c r="Z1777">
        <v>-7.2335960000000001E-4</v>
      </c>
      <c r="AA1777">
        <v>0.98989850000000001</v>
      </c>
      <c r="AB1777">
        <v>22</v>
      </c>
      <c r="AC1777">
        <v>81.882300000000001</v>
      </c>
      <c r="AD1777">
        <v>-0.70486409999999999</v>
      </c>
      <c r="AE1777">
        <v>-10.608999999999901</v>
      </c>
      <c r="AF1777">
        <v>11.7239584333461</v>
      </c>
      <c r="AG1777">
        <v>-0.70486409999999999</v>
      </c>
      <c r="AH1777">
        <v>81.724030583173203</v>
      </c>
      <c r="AI1777">
        <v>90.489152336012296</v>
      </c>
      <c r="AJ1777">
        <v>81.836167624509102</v>
      </c>
      <c r="AK1777">
        <v>82.563703947350504</v>
      </c>
      <c r="AL1777">
        <v>87.965897504259502</v>
      </c>
      <c r="AM1777">
        <v>93.850331888619195</v>
      </c>
      <c r="AN1777">
        <v>1.0000000355236101</v>
      </c>
    </row>
    <row r="1778" spans="1:40" x14ac:dyDescent="0.3">
      <c r="A1778" t="str">
        <f>"20200111145945755"</f>
        <v>20200111145945755</v>
      </c>
      <c r="B1778" t="str">
        <f>"1578725985747358"</f>
        <v>1578725985747358</v>
      </c>
      <c r="C1778" t="s">
        <v>40</v>
      </c>
      <c r="D1778">
        <v>4.3855570000000004</v>
      </c>
      <c r="E1778">
        <v>0.51061199999999995</v>
      </c>
      <c r="F1778" t="s">
        <v>44</v>
      </c>
      <c r="G1778">
        <v>-158.19499999999999</v>
      </c>
      <c r="H1778">
        <v>2.2888470000000001</v>
      </c>
      <c r="I1778">
        <v>372.15890000000002</v>
      </c>
      <c r="J1778">
        <v>-238.8117</v>
      </c>
      <c r="K1778">
        <v>1.104117</v>
      </c>
      <c r="L1778">
        <v>367.65480000000002</v>
      </c>
      <c r="M1778">
        <v>0.99987599999999999</v>
      </c>
      <c r="N1778">
        <v>0</v>
      </c>
      <c r="O1778">
        <v>1.3778540000000001E-2</v>
      </c>
      <c r="P1778">
        <v>0.99616819999999895</v>
      </c>
      <c r="Q1778">
        <v>3.0456270000000001E-2</v>
      </c>
      <c r="R1778">
        <v>8.1984520000000005E-2</v>
      </c>
      <c r="S1778">
        <v>2.9964599999999999</v>
      </c>
      <c r="T1778">
        <v>4.336715E-2</v>
      </c>
      <c r="U1778">
        <v>0.16546629999999901</v>
      </c>
      <c r="V1778">
        <v>-6.8250740000000004E-2</v>
      </c>
      <c r="W1778">
        <v>3.8077989999999999E-2</v>
      </c>
      <c r="X1778">
        <v>0.99694130000000003</v>
      </c>
      <c r="Y1778">
        <v>-4.1370509999999999E-2</v>
      </c>
      <c r="Z1778" s="1">
        <v>-9.9896029999999996E-5</v>
      </c>
      <c r="AA1778">
        <v>0.99914389999999997</v>
      </c>
      <c r="AB1778">
        <v>22</v>
      </c>
      <c r="AC1778">
        <v>80.616699999999994</v>
      </c>
      <c r="AD1778">
        <v>1.1847299999999901</v>
      </c>
      <c r="AE1778">
        <v>4.5040999999999896</v>
      </c>
      <c r="AF1778">
        <v>-3.3921293812472899</v>
      </c>
      <c r="AG1778">
        <v>1.1847299999999901</v>
      </c>
      <c r="AH1778">
        <v>80.653744053900695</v>
      </c>
      <c r="AI1778">
        <v>89.159180951261703</v>
      </c>
      <c r="AJ1778">
        <v>92.408322450930996</v>
      </c>
      <c r="AK1778">
        <v>80.733738652586496</v>
      </c>
      <c r="AL1778">
        <v>87.8177643717694</v>
      </c>
      <c r="AM1778">
        <v>93.916366263019299</v>
      </c>
      <c r="AN1778">
        <v>1.00000002623933</v>
      </c>
    </row>
    <row r="1779" spans="1:40" x14ac:dyDescent="0.3">
      <c r="A1779" t="str">
        <f>"20200111145945766"</f>
        <v>20200111145945766</v>
      </c>
      <c r="B1779" t="str">
        <f>"1578725985757119"</f>
        <v>1578725985757119</v>
      </c>
      <c r="C1779" t="s">
        <v>40</v>
      </c>
      <c r="D1779">
        <v>4.3615130000000004</v>
      </c>
      <c r="E1779">
        <v>0.51132569999999999</v>
      </c>
      <c r="F1779" t="s">
        <v>44</v>
      </c>
      <c r="G1779">
        <v>-158.19499999999999</v>
      </c>
      <c r="H1779">
        <v>1.1590720000000001</v>
      </c>
      <c r="I1779">
        <v>372.00139999999999</v>
      </c>
      <c r="J1779">
        <v>-238.69640000000001</v>
      </c>
      <c r="K1779">
        <v>1.1041379999999901</v>
      </c>
      <c r="L1779">
        <v>367.65640000000002</v>
      </c>
      <c r="M1779">
        <v>0.99987440000000005</v>
      </c>
      <c r="N1779">
        <v>0</v>
      </c>
      <c r="O1779">
        <v>1.3791090000000001E-2</v>
      </c>
      <c r="P1779">
        <v>0.9961679</v>
      </c>
      <c r="Q1779">
        <v>3.0679959999999999E-2</v>
      </c>
      <c r="R1779">
        <v>8.1902970000000005E-2</v>
      </c>
      <c r="S1779">
        <v>2.9981840000000002</v>
      </c>
      <c r="T1779">
        <v>2.0470620000000001E-3</v>
      </c>
      <c r="U1779">
        <v>0.16165160000000001</v>
      </c>
      <c r="V1779">
        <v>-6.8156530000000007E-2</v>
      </c>
      <c r="W1779">
        <v>3.8472520000000003E-2</v>
      </c>
      <c r="X1779">
        <v>0.99693259999999995</v>
      </c>
      <c r="Y1779">
        <v>-4.0061670000000001E-2</v>
      </c>
      <c r="Z1779" s="1">
        <v>-4.2580079999999999E-6</v>
      </c>
      <c r="AA1779">
        <v>0.99919720000000001</v>
      </c>
      <c r="AB1779">
        <v>22</v>
      </c>
      <c r="AC1779">
        <v>80.501400000000004</v>
      </c>
      <c r="AD1779">
        <v>5.4933999999999997E-2</v>
      </c>
      <c r="AE1779">
        <v>4.3449999999999704</v>
      </c>
      <c r="AF1779">
        <v>-3.2343493468508502</v>
      </c>
      <c r="AG1779">
        <v>5.4933999999999997E-2</v>
      </c>
      <c r="AH1779">
        <v>80.553630432017201</v>
      </c>
      <c r="AI1779">
        <v>89.960958285650193</v>
      </c>
      <c r="AJ1779">
        <v>92.299276615193904</v>
      </c>
      <c r="AK1779">
        <v>80.618554993375099</v>
      </c>
      <c r="AL1779">
        <v>87.795142896308803</v>
      </c>
      <c r="AM1779">
        <v>93.911011113968001</v>
      </c>
      <c r="AN1779">
        <v>1.0000000281597701</v>
      </c>
    </row>
    <row r="1780" spans="1:40" x14ac:dyDescent="0.3">
      <c r="A1780" t="str">
        <f>"20200111145945858"</f>
        <v>20200111145945858</v>
      </c>
      <c r="B1780" t="str">
        <f>"1578725985847108"</f>
        <v>1578725985847108</v>
      </c>
      <c r="C1780" t="s">
        <v>40</v>
      </c>
      <c r="D1780">
        <v>4.2718069999999999</v>
      </c>
      <c r="E1780">
        <v>0.51020750000000004</v>
      </c>
      <c r="F1780" t="s">
        <v>44</v>
      </c>
      <c r="G1780">
        <v>-158.19499999999999</v>
      </c>
      <c r="H1780">
        <v>0.45025349999999997</v>
      </c>
      <c r="I1780">
        <v>371.83850000000001</v>
      </c>
      <c r="J1780">
        <v>-237.77440000000001</v>
      </c>
      <c r="K1780">
        <v>1.104358</v>
      </c>
      <c r="L1780">
        <v>367.66930000000002</v>
      </c>
      <c r="M1780">
        <v>0.99985809999999997</v>
      </c>
      <c r="N1780">
        <v>0</v>
      </c>
      <c r="O1780">
        <v>1.389104E-2</v>
      </c>
      <c r="P1780">
        <v>0.99634029999999996</v>
      </c>
      <c r="Q1780">
        <v>2.7985779999999998E-2</v>
      </c>
      <c r="R1780">
        <v>8.0763470000000004E-2</v>
      </c>
      <c r="S1780">
        <v>2.999466</v>
      </c>
      <c r="T1780">
        <v>-2.4360300000000001E-2</v>
      </c>
      <c r="U1780">
        <v>0.15582279999999901</v>
      </c>
      <c r="V1780">
        <v>-6.6914929999999997E-2</v>
      </c>
      <c r="W1780">
        <v>3.7485230000000001E-2</v>
      </c>
      <c r="X1780">
        <v>0.99705429999999995</v>
      </c>
      <c r="Y1780">
        <v>-3.8001449999999999E-2</v>
      </c>
      <c r="Z1780" s="1">
        <v>4.1477660000000002E-5</v>
      </c>
      <c r="AA1780">
        <v>0.99927770000000005</v>
      </c>
      <c r="AB1780">
        <v>22</v>
      </c>
      <c r="AC1780">
        <v>79.579400000000007</v>
      </c>
      <c r="AD1780">
        <v>-0.65410449999999998</v>
      </c>
      <c r="AE1780">
        <v>4.1691999999999796</v>
      </c>
      <c r="AF1780">
        <v>-3.0631004899506902</v>
      </c>
      <c r="AG1780">
        <v>-0.65410449999999998</v>
      </c>
      <c r="AH1780">
        <v>79.624273494125703</v>
      </c>
      <c r="AI1780">
        <v>90.470319963945798</v>
      </c>
      <c r="AJ1780">
        <v>92.203049699106899</v>
      </c>
      <c r="AK1780">
        <v>79.685854245127999</v>
      </c>
      <c r="AL1780">
        <v>87.851751256742304</v>
      </c>
      <c r="AM1780">
        <v>93.8395124734691</v>
      </c>
      <c r="AN1780">
        <v>1.0000000137367699</v>
      </c>
    </row>
    <row r="1781" spans="1:40" x14ac:dyDescent="0.3">
      <c r="A1781" t="str">
        <f>"20200111145945871"</f>
        <v>20200111145945871</v>
      </c>
      <c r="B1781" t="str">
        <f>"1578725985867603"</f>
        <v>1578725985867603</v>
      </c>
      <c r="C1781" t="s">
        <v>40</v>
      </c>
      <c r="D1781">
        <v>4.2367929999999996</v>
      </c>
      <c r="E1781">
        <v>0.50943830000000001</v>
      </c>
      <c r="F1781" t="s">
        <v>45</v>
      </c>
      <c r="G1781">
        <v>-180</v>
      </c>
      <c r="H1781">
        <v>2.197905E-2</v>
      </c>
      <c r="I1781">
        <v>370.77699999999999</v>
      </c>
      <c r="J1781">
        <v>-237.6559</v>
      </c>
      <c r="K1781">
        <v>1.104385</v>
      </c>
      <c r="L1781">
        <v>367.67090000000002</v>
      </c>
      <c r="M1781">
        <v>0.99985559999999996</v>
      </c>
      <c r="N1781">
        <v>0</v>
      </c>
      <c r="O1781">
        <v>1.3904430000000001E-2</v>
      </c>
      <c r="P1781">
        <v>0.9963533</v>
      </c>
      <c r="Q1781">
        <v>2.7749639999999999E-2</v>
      </c>
      <c r="R1781">
        <v>8.0686090000000002E-2</v>
      </c>
      <c r="S1781">
        <v>2.9995270000000001</v>
      </c>
      <c r="T1781">
        <v>-5.6194899999999999E-2</v>
      </c>
      <c r="U1781">
        <v>0.1613464</v>
      </c>
      <c r="V1781">
        <v>-6.6824120000000001E-2</v>
      </c>
      <c r="W1781">
        <v>3.7483320000000001E-2</v>
      </c>
      <c r="X1781">
        <v>0.99706039999999996</v>
      </c>
      <c r="Y1781">
        <v>-3.9818230000000003E-2</v>
      </c>
      <c r="Z1781">
        <v>1.124224E-4</v>
      </c>
      <c r="AA1781">
        <v>0.99920699999999996</v>
      </c>
      <c r="AB1781">
        <v>22</v>
      </c>
      <c r="AC1781">
        <v>57.655900000000003</v>
      </c>
      <c r="AD1781">
        <v>-1.0824059500000001</v>
      </c>
      <c r="AE1781">
        <v>3.1060999999999601</v>
      </c>
      <c r="AF1781">
        <v>-2.3032795812491198</v>
      </c>
      <c r="AG1781">
        <v>-1.0824059500000001</v>
      </c>
      <c r="AH1781">
        <v>57.673248517199497</v>
      </c>
      <c r="AI1781">
        <v>91.074339208648993</v>
      </c>
      <c r="AJ1781">
        <v>92.286989358582403</v>
      </c>
      <c r="AK1781">
        <v>57.729371155388897</v>
      </c>
      <c r="AL1781">
        <v>87.851860635467204</v>
      </c>
      <c r="AM1781">
        <v>93.834294050802598</v>
      </c>
      <c r="AN1781">
        <v>0.99999995177007694</v>
      </c>
    </row>
    <row r="1782" spans="1:40" x14ac:dyDescent="0.3">
      <c r="A1782" t="str">
        <f>"20200111145945883"</f>
        <v>20200111145945883</v>
      </c>
      <c r="B1782" t="str">
        <f>"1578725985877364"</f>
        <v>1578725985877364</v>
      </c>
      <c r="C1782" t="s">
        <v>40</v>
      </c>
      <c r="D1782">
        <v>4.3880999999999997</v>
      </c>
      <c r="E1782">
        <v>0.50943830000000001</v>
      </c>
      <c r="F1782" t="s">
        <v>45</v>
      </c>
      <c r="G1782">
        <v>-200.3201</v>
      </c>
      <c r="H1782" s="1">
        <v>-2.7867610000000001E-6</v>
      </c>
      <c r="I1782">
        <v>369.7534</v>
      </c>
      <c r="J1782">
        <v>-237.5359</v>
      </c>
      <c r="K1782">
        <v>1.1044080000000001</v>
      </c>
      <c r="L1782">
        <v>367.67259999999999</v>
      </c>
      <c r="M1782">
        <v>0.99985329999999994</v>
      </c>
      <c r="N1782">
        <v>0</v>
      </c>
      <c r="O1782">
        <v>1.391768E-2</v>
      </c>
      <c r="P1782">
        <v>0.99637620000000005</v>
      </c>
      <c r="Q1782">
        <v>2.7335709999999999E-2</v>
      </c>
      <c r="R1782">
        <v>8.0545240000000004E-2</v>
      </c>
      <c r="S1782">
        <v>2.999924</v>
      </c>
      <c r="T1782">
        <v>-8.8737250000000004E-2</v>
      </c>
      <c r="U1782">
        <v>0.1673279</v>
      </c>
      <c r="V1782">
        <v>-6.6669599999999996E-2</v>
      </c>
      <c r="W1782">
        <v>3.7301769999999998E-2</v>
      </c>
      <c r="X1782">
        <v>0.99707760000000001</v>
      </c>
      <c r="Y1782">
        <v>-4.1776500000000001E-2</v>
      </c>
      <c r="Z1782">
        <v>2.0601239999999999E-4</v>
      </c>
      <c r="AA1782">
        <v>0.99912699999999999</v>
      </c>
      <c r="AB1782">
        <v>22</v>
      </c>
      <c r="AC1782">
        <v>37.215800000000002</v>
      </c>
      <c r="AD1782">
        <v>-1.104410786761</v>
      </c>
      <c r="AE1782">
        <v>2.0808000000000102</v>
      </c>
      <c r="AF1782">
        <v>-1.5612443960587901</v>
      </c>
      <c r="AG1782">
        <v>-1.104410786761</v>
      </c>
      <c r="AH1782">
        <v>37.208490650883597</v>
      </c>
      <c r="AI1782">
        <v>91.698642486980006</v>
      </c>
      <c r="AJ1782">
        <v>92.402684765018506</v>
      </c>
      <c r="AK1782">
        <v>37.257603033032403</v>
      </c>
      <c r="AL1782">
        <v>87.862270065519496</v>
      </c>
      <c r="AM1782">
        <v>93.825388425498502</v>
      </c>
      <c r="AN1782">
        <v>0.99999999901552605</v>
      </c>
    </row>
    <row r="1783" spans="1:40" x14ac:dyDescent="0.3">
      <c r="A1783" t="str">
        <f>"20200111145945896"</f>
        <v>20200111145945896</v>
      </c>
      <c r="B1783" t="str">
        <f>"1578725985887124"</f>
        <v>1578725985887124</v>
      </c>
      <c r="C1783" t="s">
        <v>40</v>
      </c>
      <c r="D1783">
        <v>4.2621159999999998</v>
      </c>
      <c r="E1783">
        <v>0.50929380000000002</v>
      </c>
      <c r="F1783" t="s">
        <v>45</v>
      </c>
      <c r="G1783">
        <v>-200.71969999999999</v>
      </c>
      <c r="H1783" s="1">
        <v>-2.994304E-6</v>
      </c>
      <c r="I1783">
        <v>369.72430000000003</v>
      </c>
      <c r="J1783">
        <v>-237.40029999999999</v>
      </c>
      <c r="K1783">
        <v>1.10443</v>
      </c>
      <c r="L1783">
        <v>367.67450000000002</v>
      </c>
      <c r="M1783">
        <v>0.99985049999999998</v>
      </c>
      <c r="N1783">
        <v>0</v>
      </c>
      <c r="O1783">
        <v>1.393262E-2</v>
      </c>
      <c r="P1783">
        <v>0.99641069999999998</v>
      </c>
      <c r="Q1783">
        <v>2.7069300000000001E-2</v>
      </c>
      <c r="R1783">
        <v>8.0207189999999998E-2</v>
      </c>
      <c r="S1783">
        <v>2.9998469999999999</v>
      </c>
      <c r="T1783">
        <v>-8.9989420000000001E-2</v>
      </c>
      <c r="U1783">
        <v>0.1671753</v>
      </c>
      <c r="V1783">
        <v>-6.6315899999999997E-2</v>
      </c>
      <c r="W1783">
        <v>3.7283179999999999E-2</v>
      </c>
      <c r="X1783">
        <v>0.99710189999999999</v>
      </c>
      <c r="Y1783">
        <v>-4.1711980000000003E-2</v>
      </c>
      <c r="Z1783">
        <v>2.0750839999999999E-4</v>
      </c>
      <c r="AA1783">
        <v>0.99912970000000001</v>
      </c>
      <c r="AB1783">
        <v>22</v>
      </c>
      <c r="AC1783">
        <v>36.680599999999998</v>
      </c>
      <c r="AD1783">
        <v>-1.1044329943039899</v>
      </c>
      <c r="AE1783">
        <v>2.0497999999999998</v>
      </c>
      <c r="AF1783">
        <v>-1.5371281694885699</v>
      </c>
      <c r="AG1783">
        <v>-1.1044329943039899</v>
      </c>
      <c r="AH1783">
        <v>36.672456858872799</v>
      </c>
      <c r="AI1783">
        <v>91.723494158885799</v>
      </c>
      <c r="AJ1783">
        <v>92.400151013921203</v>
      </c>
      <c r="AK1783">
        <v>36.721269413164798</v>
      </c>
      <c r="AL1783">
        <v>87.863335972956705</v>
      </c>
      <c r="AM1783">
        <v>93.805061038994396</v>
      </c>
      <c r="AN1783">
        <v>1.00000001654366</v>
      </c>
    </row>
    <row r="1784" spans="1:40" x14ac:dyDescent="0.3">
      <c r="A1784" t="str">
        <f>"20200111145945910"</f>
        <v>20200111145945910</v>
      </c>
      <c r="B1784" t="str">
        <f>"1578725985907152"</f>
        <v>1578725985907152</v>
      </c>
      <c r="C1784" t="s">
        <v>40</v>
      </c>
      <c r="D1784">
        <v>4.3434210000000002</v>
      </c>
      <c r="E1784">
        <v>0.50959540000000003</v>
      </c>
      <c r="F1784" t="s">
        <v>45</v>
      </c>
      <c r="G1784">
        <v>-204.76759999999999</v>
      </c>
      <c r="H1784" s="1">
        <v>-2.849663E-6</v>
      </c>
      <c r="I1784">
        <v>369.49220000000003</v>
      </c>
      <c r="J1784">
        <v>-237.27330000000001</v>
      </c>
      <c r="K1784">
        <v>1.1044449999999999</v>
      </c>
      <c r="L1784">
        <v>367.67630000000003</v>
      </c>
      <c r="M1784">
        <v>0.99984810000000002</v>
      </c>
      <c r="N1784">
        <v>0</v>
      </c>
      <c r="O1784">
        <v>1.394655E-2</v>
      </c>
      <c r="P1784">
        <v>0.99643419999999905</v>
      </c>
      <c r="Q1784">
        <v>2.665441E-2</v>
      </c>
      <c r="R1784">
        <v>8.0054849999999997E-2</v>
      </c>
      <c r="S1784">
        <v>3.0001370000000001</v>
      </c>
      <c r="T1784">
        <v>-0.1015378</v>
      </c>
      <c r="U1784">
        <v>0.16711429999999999</v>
      </c>
      <c r="V1784">
        <v>-6.61495E-2</v>
      </c>
      <c r="W1784">
        <v>3.7086389999999997E-2</v>
      </c>
      <c r="X1784">
        <v>0.99712029999999996</v>
      </c>
      <c r="Y1784">
        <v>-4.1669039999999997E-2</v>
      </c>
      <c r="Z1784">
        <v>2.3290339999999999E-4</v>
      </c>
      <c r="AA1784">
        <v>0.9991314</v>
      </c>
      <c r="AB1784">
        <v>22</v>
      </c>
      <c r="AC1784">
        <v>32.505699999999997</v>
      </c>
      <c r="AD1784">
        <v>-1.1044478496629999</v>
      </c>
      <c r="AE1784">
        <v>1.8158999999999901</v>
      </c>
      <c r="AF1784">
        <v>-1.36079016597745</v>
      </c>
      <c r="AG1784">
        <v>-1.1044478496629999</v>
      </c>
      <c r="AH1784">
        <v>32.4904735314569</v>
      </c>
      <c r="AI1784">
        <v>91.945200284883001</v>
      </c>
      <c r="AJ1784">
        <v>92.398302747895698</v>
      </c>
      <c r="AK1784">
        <v>32.5377077438892</v>
      </c>
      <c r="AL1784">
        <v>87.874619029798197</v>
      </c>
      <c r="AM1784">
        <v>93.795471479484902</v>
      </c>
      <c r="AN1784">
        <v>1.00000002467278</v>
      </c>
    </row>
    <row r="1785" spans="1:40" x14ac:dyDescent="0.3">
      <c r="A1785" t="str">
        <f>"20200111145945921"</f>
        <v>20200111145945921</v>
      </c>
      <c r="B1785" t="str">
        <f>"1578725985917887"</f>
        <v>1578725985917887</v>
      </c>
      <c r="C1785" t="s">
        <v>40</v>
      </c>
      <c r="D1785">
        <v>4.3600139999999996</v>
      </c>
      <c r="E1785">
        <v>0.50959540000000003</v>
      </c>
      <c r="F1785" t="s">
        <v>45</v>
      </c>
      <c r="G1785">
        <v>-207.57310000000001</v>
      </c>
      <c r="H1785" s="1">
        <v>-4.2231599999999901E-6</v>
      </c>
      <c r="I1785">
        <v>369.3021</v>
      </c>
      <c r="J1785">
        <v>-237.15819999999999</v>
      </c>
      <c r="K1785">
        <v>1.1044590000000001</v>
      </c>
      <c r="L1785">
        <v>367.67790000000002</v>
      </c>
      <c r="M1785">
        <v>0.99984589999999995</v>
      </c>
      <c r="N1785">
        <v>0</v>
      </c>
      <c r="O1785">
        <v>1.395923E-2</v>
      </c>
      <c r="P1785">
        <v>0.99644429999999995</v>
      </c>
      <c r="Q1785">
        <v>2.641721E-2</v>
      </c>
      <c r="R1785">
        <v>8.0006800000000003E-2</v>
      </c>
      <c r="S1785">
        <v>3.0005039999999998</v>
      </c>
      <c r="T1785">
        <v>-0.11157830000000001</v>
      </c>
      <c r="U1785">
        <v>0.16424559999999999</v>
      </c>
      <c r="V1785">
        <v>-6.6088750000000002E-2</v>
      </c>
      <c r="W1785">
        <v>3.703969E-2</v>
      </c>
      <c r="X1785">
        <v>0.99712599999999996</v>
      </c>
      <c r="Y1785">
        <v>-4.0694620000000001E-2</v>
      </c>
      <c r="Z1785">
        <v>2.3732350000000001E-4</v>
      </c>
      <c r="AA1785">
        <v>0.99917160000000005</v>
      </c>
      <c r="AB1785">
        <v>22</v>
      </c>
      <c r="AC1785">
        <v>29.585099999999901</v>
      </c>
      <c r="AD1785">
        <v>-1.10446322316</v>
      </c>
      <c r="AE1785">
        <v>1.6241999999999699</v>
      </c>
      <c r="AF1785">
        <v>-1.20935275154003</v>
      </c>
      <c r="AG1785">
        <v>-1.10446322316</v>
      </c>
      <c r="AH1785">
        <v>29.563812861984299</v>
      </c>
      <c r="AI1785">
        <v>92.137710077384497</v>
      </c>
      <c r="AJ1785">
        <v>92.342465045976198</v>
      </c>
      <c r="AK1785">
        <v>29.609143925946199</v>
      </c>
      <c r="AL1785">
        <v>87.877296446432595</v>
      </c>
      <c r="AM1785">
        <v>93.791974376891503</v>
      </c>
      <c r="AN1785">
        <v>0.99999996069392805</v>
      </c>
    </row>
    <row r="1786" spans="1:40" x14ac:dyDescent="0.3">
      <c r="A1786" t="str">
        <f>"20200111145945943"</f>
        <v>20200111145945943</v>
      </c>
      <c r="B1786" t="str">
        <f>"1578725985937408"</f>
        <v>1578725985937408</v>
      </c>
      <c r="C1786" t="s">
        <v>40</v>
      </c>
      <c r="D1786">
        <v>4.2731490000000001</v>
      </c>
      <c r="E1786">
        <v>0.55579350000000005</v>
      </c>
      <c r="F1786" t="s">
        <v>45</v>
      </c>
      <c r="G1786">
        <v>-207.6412</v>
      </c>
      <c r="H1786" s="1">
        <v>-4.2570640000000001E-6</v>
      </c>
      <c r="I1786">
        <v>369.29239999999999</v>
      </c>
      <c r="J1786">
        <v>-236.941</v>
      </c>
      <c r="K1786">
        <v>1.1044849999999999</v>
      </c>
      <c r="L1786">
        <v>367.68099999999998</v>
      </c>
      <c r="M1786">
        <v>0.99984209999999996</v>
      </c>
      <c r="N1786">
        <v>0</v>
      </c>
      <c r="O1786">
        <v>1.398308E-2</v>
      </c>
      <c r="P1786">
        <v>0.99645980000000001</v>
      </c>
      <c r="Q1786">
        <v>2.593498E-2</v>
      </c>
      <c r="R1786">
        <v>7.9970550000000001E-2</v>
      </c>
      <c r="S1786">
        <v>3.0005039999999998</v>
      </c>
      <c r="T1786">
        <v>-0.1122726</v>
      </c>
      <c r="U1786">
        <v>0.16412349999999901</v>
      </c>
      <c r="V1786">
        <v>-6.6028290000000003E-2</v>
      </c>
      <c r="W1786">
        <v>3.6882930000000001E-2</v>
      </c>
      <c r="X1786">
        <v>0.99713589999999996</v>
      </c>
      <c r="Y1786">
        <v>-4.0630050000000001E-2</v>
      </c>
      <c r="Z1786">
        <v>2.3670000000000001E-4</v>
      </c>
      <c r="AA1786">
        <v>0.99917420000000001</v>
      </c>
      <c r="AB1786">
        <v>22</v>
      </c>
      <c r="AC1786">
        <v>29.299799999999902</v>
      </c>
      <c r="AD1786">
        <v>-1.1044892570639999</v>
      </c>
      <c r="AE1786">
        <v>1.6113999999999999</v>
      </c>
      <c r="AF1786">
        <v>-1.19981655857003</v>
      </c>
      <c r="AG1786">
        <v>-1.1044892570639999</v>
      </c>
      <c r="AH1786">
        <v>29.277990234021601</v>
      </c>
      <c r="AI1786">
        <v>92.158603894013893</v>
      </c>
      <c r="AJ1786">
        <v>92.346676826677296</v>
      </c>
      <c r="AK1786">
        <v>29.323372391944499</v>
      </c>
      <c r="AL1786">
        <v>87.886284451477295</v>
      </c>
      <c r="AM1786">
        <v>93.788477965902302</v>
      </c>
      <c r="AN1786">
        <v>1.0000000443372501</v>
      </c>
    </row>
    <row r="1787" spans="1:40" x14ac:dyDescent="0.3">
      <c r="A1787" t="str">
        <f>"20200111145945954"</f>
        <v>20200111145945954</v>
      </c>
      <c r="B1787" t="str">
        <f>"1578725985947169"</f>
        <v>1578725985947169</v>
      </c>
      <c r="C1787" t="s">
        <v>40</v>
      </c>
      <c r="D1787">
        <v>3.8469199999999999</v>
      </c>
      <c r="E1787">
        <v>0.56101109999999998</v>
      </c>
      <c r="F1787" t="s">
        <v>44</v>
      </c>
      <c r="G1787">
        <v>-158.19499999999999</v>
      </c>
      <c r="H1787">
        <v>5.5955349999999999</v>
      </c>
      <c r="I1787">
        <v>362.37150000000003</v>
      </c>
      <c r="J1787">
        <v>-236.8212</v>
      </c>
      <c r="K1787">
        <v>1.1044959999999999</v>
      </c>
      <c r="L1787">
        <v>367.68270000000001</v>
      </c>
      <c r="M1787">
        <v>0.99984010000000001</v>
      </c>
      <c r="N1787">
        <v>0</v>
      </c>
      <c r="O1787">
        <v>1.3995219999999999E-2</v>
      </c>
      <c r="P1787">
        <v>0.99645720000000004</v>
      </c>
      <c r="Q1787">
        <v>2.5884330000000001E-2</v>
      </c>
      <c r="R1787">
        <v>8.0020060000000004E-2</v>
      </c>
      <c r="S1787">
        <v>3.0225219999999999</v>
      </c>
      <c r="T1787">
        <v>0.17238399999999901</v>
      </c>
      <c r="U1787">
        <v>-0.20379639999999999</v>
      </c>
      <c r="V1787">
        <v>-6.6065090000000007E-2</v>
      </c>
      <c r="W1787">
        <v>3.6995849999999997E-2</v>
      </c>
      <c r="X1787">
        <v>0.9971293</v>
      </c>
      <c r="Y1787">
        <v>8.1077159999999995E-2</v>
      </c>
      <c r="Z1787">
        <v>3.1043189999999999E-3</v>
      </c>
      <c r="AA1787">
        <v>0.99670300000000001</v>
      </c>
      <c r="AB1787">
        <v>22</v>
      </c>
      <c r="AC1787">
        <v>78.626199999999997</v>
      </c>
      <c r="AD1787">
        <v>4.4910389999999998</v>
      </c>
      <c r="AE1787">
        <v>-5.3111999999999799</v>
      </c>
      <c r="AF1787">
        <v>6.3903845762221598</v>
      </c>
      <c r="AG1787">
        <v>4.4910389999999998</v>
      </c>
      <c r="AH1787">
        <v>78.289896935764304</v>
      </c>
      <c r="AI1787">
        <v>86.727729286472993</v>
      </c>
      <c r="AJ1787">
        <v>85.333597760041499</v>
      </c>
      <c r="AK1787">
        <v>78.678551133991704</v>
      </c>
      <c r="AL1787">
        <v>87.879810237486694</v>
      </c>
      <c r="AM1787">
        <v>93.790608287053999</v>
      </c>
      <c r="AN1787">
        <v>1.0000000649762</v>
      </c>
    </row>
    <row r="1788" spans="1:40" x14ac:dyDescent="0.3">
      <c r="A1788" t="str">
        <f>"20200111145945968"</f>
        <v>20200111145945968</v>
      </c>
      <c r="B1788" t="str">
        <f>"1578725985957905"</f>
        <v>1578725985957905</v>
      </c>
      <c r="C1788" t="s">
        <v>40</v>
      </c>
      <c r="D1788">
        <v>4.1769720000000001</v>
      </c>
      <c r="E1788">
        <v>0.56481269999999995</v>
      </c>
      <c r="F1788" t="s">
        <v>44</v>
      </c>
      <c r="G1788">
        <v>-158.19499999999999</v>
      </c>
      <c r="H1788">
        <v>6.093305</v>
      </c>
      <c r="I1788">
        <v>361.30840000000001</v>
      </c>
      <c r="J1788">
        <v>-236.69309999999999</v>
      </c>
      <c r="K1788">
        <v>1.1045049999999901</v>
      </c>
      <c r="L1788">
        <v>367.68450000000001</v>
      </c>
      <c r="M1788">
        <v>0.99983809999999995</v>
      </c>
      <c r="N1788">
        <v>0</v>
      </c>
      <c r="O1788">
        <v>1.4008359999999999E-2</v>
      </c>
      <c r="P1788">
        <v>0.99646000000000001</v>
      </c>
      <c r="Q1788">
        <v>2.5776779999999999E-2</v>
      </c>
      <c r="R1788">
        <v>8.0020190000000005E-2</v>
      </c>
      <c r="S1788">
        <v>3.0253749999999999</v>
      </c>
      <c r="T1788">
        <v>0.19196240000000001</v>
      </c>
      <c r="U1788">
        <v>-0.24526980000000001</v>
      </c>
      <c r="V1788">
        <v>-6.6052589999999994E-2</v>
      </c>
      <c r="W1788">
        <v>3.7050649999999997E-2</v>
      </c>
      <c r="X1788">
        <v>0.99712800000000001</v>
      </c>
      <c r="Y1788">
        <v>9.4544340000000004E-2</v>
      </c>
      <c r="Z1788">
        <v>3.8782080000000002E-3</v>
      </c>
      <c r="AA1788">
        <v>0.99551310000000004</v>
      </c>
      <c r="AB1788">
        <v>22</v>
      </c>
      <c r="AC1788">
        <v>78.498099999999994</v>
      </c>
      <c r="AD1788">
        <v>4.9888000000000003</v>
      </c>
      <c r="AE1788">
        <v>-6.3761000000000001</v>
      </c>
      <c r="AF1788">
        <v>7.4452995936172597</v>
      </c>
      <c r="AG1788">
        <v>4.9888000000000003</v>
      </c>
      <c r="AH1788">
        <v>78.087743058018901</v>
      </c>
      <c r="AI1788">
        <v>86.360965041702599</v>
      </c>
      <c r="AJ1788">
        <v>84.553580640530896</v>
      </c>
      <c r="AK1788">
        <v>78.600357679681693</v>
      </c>
      <c r="AL1788">
        <v>87.876668077024107</v>
      </c>
      <c r="AM1788">
        <v>93.789898093171502</v>
      </c>
      <c r="AN1788">
        <v>0.99999997184756495</v>
      </c>
    </row>
    <row r="1789" spans="1:40" x14ac:dyDescent="0.3">
      <c r="A1789" t="str">
        <f>"20200111145945981"</f>
        <v>20200111145945981</v>
      </c>
      <c r="B1789" t="str">
        <f>"1578725985977424"</f>
        <v>1578725985977424</v>
      </c>
      <c r="C1789" t="s">
        <v>40</v>
      </c>
      <c r="D1789">
        <v>4.1772159999999996</v>
      </c>
      <c r="E1789">
        <v>0.56623579999999996</v>
      </c>
      <c r="F1789" t="s">
        <v>44</v>
      </c>
      <c r="G1789">
        <v>-158.19499999999999</v>
      </c>
      <c r="H1789">
        <v>6.0136000000000003</v>
      </c>
      <c r="I1789">
        <v>360.5505</v>
      </c>
      <c r="J1789">
        <v>-236.56180000000001</v>
      </c>
      <c r="K1789">
        <v>1.104511</v>
      </c>
      <c r="L1789">
        <v>367.68639999999999</v>
      </c>
      <c r="M1789">
        <v>0.99983599999999995</v>
      </c>
      <c r="N1789">
        <v>0</v>
      </c>
      <c r="O1789">
        <v>1.4022359999999999E-2</v>
      </c>
      <c r="P1789">
        <v>0.99644770000000005</v>
      </c>
      <c r="Q1789">
        <v>2.5747570000000001E-2</v>
      </c>
      <c r="R1789">
        <v>8.0181970000000005E-2</v>
      </c>
      <c r="S1789">
        <v>3.027863</v>
      </c>
      <c r="T1789">
        <v>0.18935879999999999</v>
      </c>
      <c r="U1789">
        <v>-0.275177</v>
      </c>
      <c r="V1789">
        <v>-6.6200140000000005E-2</v>
      </c>
      <c r="W1789">
        <v>3.7177880000000003E-2</v>
      </c>
      <c r="X1789">
        <v>0.99711349999999999</v>
      </c>
      <c r="Y1789">
        <v>0.1042362</v>
      </c>
      <c r="Z1789">
        <v>4.12401E-3</v>
      </c>
      <c r="AA1789">
        <v>0.99454399999999998</v>
      </c>
      <c r="AB1789">
        <v>22</v>
      </c>
      <c r="AC1789">
        <v>78.366799999999998</v>
      </c>
      <c r="AD1789">
        <v>4.9090889999999998</v>
      </c>
      <c r="AE1789">
        <v>-7.1358999999999897</v>
      </c>
      <c r="AF1789">
        <v>8.2022364412079405</v>
      </c>
      <c r="AG1789">
        <v>4.9090889999999998</v>
      </c>
      <c r="AH1789">
        <v>77.955636959226794</v>
      </c>
      <c r="AI1789">
        <v>86.416408864980198</v>
      </c>
      <c r="AJ1789">
        <v>83.993625581505597</v>
      </c>
      <c r="AK1789">
        <v>78.539526171006301</v>
      </c>
      <c r="AL1789">
        <v>87.869373353111897</v>
      </c>
      <c r="AM1789">
        <v>93.798394385068605</v>
      </c>
      <c r="AN1789">
        <v>0.99999999258978201</v>
      </c>
    </row>
    <row r="1790" spans="1:40" x14ac:dyDescent="0.3">
      <c r="A1790" t="str">
        <f>"20200111145945994"</f>
        <v>20200111145945994</v>
      </c>
      <c r="B1790" t="str">
        <f>"1578725985987185"</f>
        <v>1578725985987185</v>
      </c>
      <c r="C1790" t="s">
        <v>40</v>
      </c>
      <c r="D1790">
        <v>4.146833</v>
      </c>
      <c r="E1790">
        <v>0.56632450000000001</v>
      </c>
      <c r="F1790" t="s">
        <v>44</v>
      </c>
      <c r="G1790">
        <v>-158.19499999999999</v>
      </c>
      <c r="H1790">
        <v>5.7854320000000001</v>
      </c>
      <c r="I1790">
        <v>360.28129999999999</v>
      </c>
      <c r="J1790">
        <v>-236.42850000000001</v>
      </c>
      <c r="K1790">
        <v>1.1045160000000001</v>
      </c>
      <c r="L1790">
        <v>367.68830000000003</v>
      </c>
      <c r="M1790">
        <v>0.99983420000000001</v>
      </c>
      <c r="N1790">
        <v>0</v>
      </c>
      <c r="O1790">
        <v>1.4036089999999999E-2</v>
      </c>
      <c r="P1790">
        <v>0.99644350000000004</v>
      </c>
      <c r="Q1790">
        <v>2.5471270000000001E-2</v>
      </c>
      <c r="R1790">
        <v>8.0323169999999999E-2</v>
      </c>
      <c r="S1790">
        <v>3.0290680000000001</v>
      </c>
      <c r="T1790">
        <v>0.18093219999999999</v>
      </c>
      <c r="U1790">
        <v>-0.28622439999999999</v>
      </c>
      <c r="V1790">
        <v>-6.6327910000000004E-2</v>
      </c>
      <c r="W1790">
        <v>3.7040160000000003E-2</v>
      </c>
      <c r="X1790">
        <v>0.9971101</v>
      </c>
      <c r="Y1790">
        <v>0.10782369999999999</v>
      </c>
      <c r="Z1790">
        <v>4.0462349999999996E-3</v>
      </c>
      <c r="AA1790">
        <v>0.99416179999999998</v>
      </c>
      <c r="AB1790">
        <v>22</v>
      </c>
      <c r="AC1790">
        <v>78.233500000000006</v>
      </c>
      <c r="AD1790">
        <v>4.6809159999999999</v>
      </c>
      <c r="AE1790">
        <v>-7.4070000000000302</v>
      </c>
      <c r="AF1790">
        <v>8.4743683370000902</v>
      </c>
      <c r="AG1790">
        <v>4.6809159999999999</v>
      </c>
      <c r="AH1790">
        <v>77.845612813684397</v>
      </c>
      <c r="AI1790">
        <v>86.579066686504007</v>
      </c>
      <c r="AJ1790">
        <v>83.787176730557604</v>
      </c>
      <c r="AK1790">
        <v>78.445301501417404</v>
      </c>
      <c r="AL1790">
        <v>87.877269493860396</v>
      </c>
      <c r="AM1790">
        <v>93.805716915950896</v>
      </c>
      <c r="AN1790">
        <v>0.99999995830990096</v>
      </c>
    </row>
    <row r="1791" spans="1:40" x14ac:dyDescent="0.3">
      <c r="A1791" t="str">
        <f>"20200111145946009"</f>
        <v>20200111145946009</v>
      </c>
      <c r="B1791" t="str">
        <f>"1578725985997921"</f>
        <v>1578725985997921</v>
      </c>
      <c r="C1791" t="s">
        <v>40</v>
      </c>
      <c r="D1791">
        <v>4.1770849999999999</v>
      </c>
      <c r="E1791">
        <v>0.56678050000000002</v>
      </c>
      <c r="F1791" t="s">
        <v>44</v>
      </c>
      <c r="G1791">
        <v>-158.19499999999999</v>
      </c>
      <c r="H1791">
        <v>5.0327580000000003</v>
      </c>
      <c r="I1791">
        <v>360.29469999999998</v>
      </c>
      <c r="J1791">
        <v>-236.28559999999999</v>
      </c>
      <c r="K1791">
        <v>1.1045229999999999</v>
      </c>
      <c r="L1791">
        <v>367.69029999999998</v>
      </c>
      <c r="M1791">
        <v>0.99983250000000001</v>
      </c>
      <c r="N1791">
        <v>0</v>
      </c>
      <c r="O1791">
        <v>1.4051019999999999E-2</v>
      </c>
      <c r="P1791">
        <v>0.99644929999999998</v>
      </c>
      <c r="Q1791">
        <v>2.5153519999999999E-2</v>
      </c>
      <c r="R1791">
        <v>8.0351069999999997E-2</v>
      </c>
      <c r="S1791">
        <v>3.0298919999999998</v>
      </c>
      <c r="T1791">
        <v>0.15213950000000001</v>
      </c>
      <c r="U1791">
        <v>-0.2863464</v>
      </c>
      <c r="V1791">
        <v>-6.6341199999999906E-2</v>
      </c>
      <c r="W1791">
        <v>3.6858149999999999E-2</v>
      </c>
      <c r="X1791">
        <v>0.997116</v>
      </c>
      <c r="Y1791">
        <v>0.107915899999999</v>
      </c>
      <c r="Z1791">
        <v>3.4053500000000001E-3</v>
      </c>
      <c r="AA1791">
        <v>0.99415419999999999</v>
      </c>
      <c r="AB1791">
        <v>22</v>
      </c>
      <c r="AC1791">
        <v>78.090599999999995</v>
      </c>
      <c r="AD1791">
        <v>3.9282349999999999</v>
      </c>
      <c r="AE1791">
        <v>-7.3956</v>
      </c>
      <c r="AF1791">
        <v>8.4709530922403005</v>
      </c>
      <c r="AG1791">
        <v>3.9282349999999999</v>
      </c>
      <c r="AH1791">
        <v>77.783888530404397</v>
      </c>
      <c r="AI1791">
        <v>87.125874442494293</v>
      </c>
      <c r="AJ1791">
        <v>83.784771412866505</v>
      </c>
      <c r="AK1791">
        <v>78.342334605349507</v>
      </c>
      <c r="AL1791">
        <v>87.887705108416498</v>
      </c>
      <c r="AM1791">
        <v>93.806454761865197</v>
      </c>
      <c r="AN1791">
        <v>0.99999999774743098</v>
      </c>
    </row>
    <row r="1792" spans="1:40" x14ac:dyDescent="0.3">
      <c r="A1792" t="str">
        <f>"20200111145946023"</f>
        <v>20200111145946023</v>
      </c>
      <c r="B1792" t="str">
        <f>"1578725986017948"</f>
        <v>1578725986017948</v>
      </c>
      <c r="C1792" t="s">
        <v>40</v>
      </c>
      <c r="D1792">
        <v>4.1280970000000003</v>
      </c>
      <c r="E1792">
        <v>0.56675050000000005</v>
      </c>
      <c r="F1792" t="s">
        <v>44</v>
      </c>
      <c r="G1792">
        <v>-158.19499999999999</v>
      </c>
      <c r="H1792">
        <v>4.2080310000000001</v>
      </c>
      <c r="I1792">
        <v>360.2201</v>
      </c>
      <c r="J1792">
        <v>-236.14349999999999</v>
      </c>
      <c r="K1792">
        <v>1.1045259999999999</v>
      </c>
      <c r="L1792">
        <v>367.69229999999999</v>
      </c>
      <c r="M1792">
        <v>0.99983069999999996</v>
      </c>
      <c r="N1792">
        <v>0</v>
      </c>
      <c r="O1792">
        <v>1.4066210000000001E-2</v>
      </c>
      <c r="P1792">
        <v>0.99644639999999995</v>
      </c>
      <c r="Q1792">
        <v>2.4799720000000001E-2</v>
      </c>
      <c r="R1792">
        <v>8.0495869999999997E-2</v>
      </c>
      <c r="S1792">
        <v>3.031021</v>
      </c>
      <c r="T1792">
        <v>0.1204633</v>
      </c>
      <c r="U1792">
        <v>-0.28994750000000002</v>
      </c>
      <c r="V1792">
        <v>-6.6471100000000005E-2</v>
      </c>
      <c r="W1792">
        <v>3.6625600000000001E-2</v>
      </c>
      <c r="X1792">
        <v>0.99711590000000005</v>
      </c>
      <c r="Y1792">
        <v>0.10912280000000001</v>
      </c>
      <c r="Z1792">
        <v>2.720339E-3</v>
      </c>
      <c r="AA1792">
        <v>0.99402460000000004</v>
      </c>
      <c r="AB1792">
        <v>22</v>
      </c>
      <c r="AC1792">
        <v>77.948499999999996</v>
      </c>
      <c r="AD1792">
        <v>3.10350499999999</v>
      </c>
      <c r="AE1792">
        <v>-7.4721999999999804</v>
      </c>
      <c r="AF1792">
        <v>8.5545404173883899</v>
      </c>
      <c r="AG1792">
        <v>3.10350499999999</v>
      </c>
      <c r="AH1792">
        <v>77.713602863894195</v>
      </c>
      <c r="AI1792">
        <v>87.726815428898803</v>
      </c>
      <c r="AJ1792">
        <v>83.718298696767505</v>
      </c>
      <c r="AK1792">
        <v>78.244590708398704</v>
      </c>
      <c r="AL1792">
        <v>87.901038207140701</v>
      </c>
      <c r="AM1792">
        <v>93.813886431706393</v>
      </c>
      <c r="AN1792">
        <v>0.99999997987168898</v>
      </c>
    </row>
    <row r="1793" spans="1:40" x14ac:dyDescent="0.3">
      <c r="A1793" t="str">
        <f>"20200111145946034"</f>
        <v>20200111145946034</v>
      </c>
      <c r="B1793" t="str">
        <f>"1578725986027710"</f>
        <v>1578725986027710</v>
      </c>
      <c r="C1793" t="s">
        <v>40</v>
      </c>
      <c r="D1793">
        <v>4.1818720000000003</v>
      </c>
      <c r="E1793">
        <v>0.56671459999999996</v>
      </c>
      <c r="F1793" t="s">
        <v>44</v>
      </c>
      <c r="G1793">
        <v>-158.19499999999999</v>
      </c>
      <c r="H1793">
        <v>4.202553</v>
      </c>
      <c r="I1793">
        <v>360.24930000000001</v>
      </c>
      <c r="J1793">
        <v>-236.02809999999999</v>
      </c>
      <c r="K1793">
        <v>1.1045259999999999</v>
      </c>
      <c r="L1793">
        <v>367.69389999999999</v>
      </c>
      <c r="M1793">
        <v>0.99982969999999904</v>
      </c>
      <c r="N1793">
        <v>0</v>
      </c>
      <c r="O1793">
        <v>1.40786E-2</v>
      </c>
      <c r="P1793">
        <v>0.99646129999999999</v>
      </c>
      <c r="Q1793">
        <v>2.458138E-2</v>
      </c>
      <c r="R1793">
        <v>8.0378400000000003E-2</v>
      </c>
      <c r="S1793">
        <v>3.0310969999999999</v>
      </c>
      <c r="T1793">
        <v>0.12047289999999999</v>
      </c>
      <c r="U1793">
        <v>-0.28942869999999998</v>
      </c>
      <c r="V1793">
        <v>-6.6340679999999999E-2</v>
      </c>
      <c r="W1793">
        <v>3.648788E-2</v>
      </c>
      <c r="X1793">
        <v>0.99712970000000001</v>
      </c>
      <c r="Y1793">
        <v>0.1089642</v>
      </c>
      <c r="Z1793">
        <v>2.7178599999999999E-3</v>
      </c>
      <c r="AA1793">
        <v>0.99404199999999998</v>
      </c>
      <c r="AB1793">
        <v>22</v>
      </c>
      <c r="AC1793">
        <v>77.833100000000002</v>
      </c>
      <c r="AD1793">
        <v>3.0980270000000001</v>
      </c>
      <c r="AE1793">
        <v>-7.4445999999999799</v>
      </c>
      <c r="AF1793">
        <v>8.5263352177310399</v>
      </c>
      <c r="AG1793">
        <v>3.0980270000000001</v>
      </c>
      <c r="AH1793">
        <v>77.598741611232796</v>
      </c>
      <c r="AI1793">
        <v>87.727418857566505</v>
      </c>
      <c r="AJ1793">
        <v>83.7296513901221</v>
      </c>
      <c r="AK1793">
        <v>78.127209493138395</v>
      </c>
      <c r="AL1793">
        <v>87.908934396020399</v>
      </c>
      <c r="AM1793">
        <v>93.806372869178105</v>
      </c>
      <c r="AN1793">
        <v>1.0000000449159201</v>
      </c>
    </row>
    <row r="1794" spans="1:40" x14ac:dyDescent="0.3">
      <c r="A1794" t="str">
        <f>"20200111145946046"</f>
        <v>20200111145946046</v>
      </c>
      <c r="B1794" t="str">
        <f>"1578725986037468"</f>
        <v>1578725986037468</v>
      </c>
      <c r="C1794" t="s">
        <v>40</v>
      </c>
      <c r="D1794">
        <v>4.0542230000000004</v>
      </c>
      <c r="E1794">
        <v>0.56684419999999902</v>
      </c>
      <c r="F1794" t="s">
        <v>44</v>
      </c>
      <c r="G1794">
        <v>-158.19499999999999</v>
      </c>
      <c r="H1794">
        <v>4.2006990000000002</v>
      </c>
      <c r="I1794">
        <v>360.2688</v>
      </c>
      <c r="J1794">
        <v>-235.91720000000001</v>
      </c>
      <c r="K1794">
        <v>1.1045240000000001</v>
      </c>
      <c r="L1794">
        <v>367.69549999999998</v>
      </c>
      <c r="M1794">
        <v>0.99982859999999996</v>
      </c>
      <c r="N1794">
        <v>0</v>
      </c>
      <c r="O1794">
        <v>1.4090409999999999E-2</v>
      </c>
      <c r="P1794">
        <v>0.99648349999999997</v>
      </c>
      <c r="Q1794">
        <v>2.4493819999999999E-2</v>
      </c>
      <c r="R1794">
        <v>8.0128539999999998E-2</v>
      </c>
      <c r="S1794">
        <v>3.031021</v>
      </c>
      <c r="T1794">
        <v>0.1205763</v>
      </c>
      <c r="U1794">
        <v>-0.28915410000000002</v>
      </c>
      <c r="V1794">
        <v>-6.6078730000000002E-2</v>
      </c>
      <c r="W1794">
        <v>3.6467869999999999E-2</v>
      </c>
      <c r="X1794">
        <v>0.99714780000000003</v>
      </c>
      <c r="Y1794">
        <v>0.108888899999999</v>
      </c>
      <c r="Z1794">
        <v>2.7192449999999999E-3</v>
      </c>
      <c r="AA1794">
        <v>0.99405019999999999</v>
      </c>
      <c r="AB1794">
        <v>22</v>
      </c>
      <c r="AC1794">
        <v>77.722200000000001</v>
      </c>
      <c r="AD1794">
        <v>3.0961750000000001</v>
      </c>
      <c r="AE1794">
        <v>-7.4266999999999799</v>
      </c>
      <c r="AF1794">
        <v>8.50780004156689</v>
      </c>
      <c r="AG1794">
        <v>3.0961750000000001</v>
      </c>
      <c r="AH1794">
        <v>77.487974009001903</v>
      </c>
      <c r="AI1794">
        <v>87.725512465681405</v>
      </c>
      <c r="AJ1794">
        <v>83.734301183002998</v>
      </c>
      <c r="AK1794">
        <v>78.015095188031793</v>
      </c>
      <c r="AL1794">
        <v>87.910081595069499</v>
      </c>
      <c r="AM1794">
        <v>93.791318489067805</v>
      </c>
      <c r="AN1794">
        <v>1.0000000195727901</v>
      </c>
    </row>
    <row r="1795" spans="1:40" x14ac:dyDescent="0.3">
      <c r="A1795" t="str">
        <f>"20200111145946057"</f>
        <v>20200111145946057</v>
      </c>
      <c r="B1795" t="str">
        <f>"1578725986047229"</f>
        <v>1578725986047229</v>
      </c>
      <c r="C1795" t="s">
        <v>40</v>
      </c>
      <c r="D1795">
        <v>4.1309279999999999</v>
      </c>
      <c r="E1795">
        <v>0.56680699999999995</v>
      </c>
      <c r="F1795" t="s">
        <v>44</v>
      </c>
      <c r="G1795">
        <v>-158.19499999999999</v>
      </c>
      <c r="H1795">
        <v>4.1380589999999904</v>
      </c>
      <c r="I1795">
        <v>360.22469999999998</v>
      </c>
      <c r="J1795">
        <v>-235.79859999999999</v>
      </c>
      <c r="K1795">
        <v>1.104522</v>
      </c>
      <c r="L1795">
        <v>367.69720000000001</v>
      </c>
      <c r="M1795">
        <v>0.99982769999999999</v>
      </c>
      <c r="N1795">
        <v>0</v>
      </c>
      <c r="O1795">
        <v>1.410279E-2</v>
      </c>
      <c r="P1795">
        <v>0.99650139999999998</v>
      </c>
      <c r="Q1795">
        <v>2.4268560000000002E-2</v>
      </c>
      <c r="R1795">
        <v>7.9975519999999994E-2</v>
      </c>
      <c r="S1795">
        <v>3.0310820000000001</v>
      </c>
      <c r="T1795">
        <v>0.1183078</v>
      </c>
      <c r="U1795">
        <v>-0.29135129999999998</v>
      </c>
      <c r="V1795">
        <v>-6.5913659999999999E-2</v>
      </c>
      <c r="W1795">
        <v>3.6304900000000001E-2</v>
      </c>
      <c r="X1795">
        <v>0.99716470000000001</v>
      </c>
      <c r="Y1795">
        <v>0.10961650000000001</v>
      </c>
      <c r="Z1795">
        <v>2.6826240000000002E-3</v>
      </c>
      <c r="AA1795">
        <v>0.99397029999999997</v>
      </c>
      <c r="AB1795">
        <v>22</v>
      </c>
      <c r="AC1795">
        <v>77.6036</v>
      </c>
      <c r="AD1795">
        <v>3.0335369999999902</v>
      </c>
      <c r="AE1795">
        <v>-7.4725000000000197</v>
      </c>
      <c r="AF1795">
        <v>8.5533140172281801</v>
      </c>
      <c r="AG1795">
        <v>3.0335369999999902</v>
      </c>
      <c r="AH1795">
        <v>77.373347012992696</v>
      </c>
      <c r="AI1795">
        <v>87.768364280384603</v>
      </c>
      <c r="AJ1795">
        <v>83.691793857967497</v>
      </c>
      <c r="AK1795">
        <v>77.903763422575807</v>
      </c>
      <c r="AL1795">
        <v>87.919425333910098</v>
      </c>
      <c r="AM1795">
        <v>93.781811079391304</v>
      </c>
      <c r="AN1795">
        <v>1.0000000476323401</v>
      </c>
    </row>
    <row r="1796" spans="1:40" x14ac:dyDescent="0.3">
      <c r="A1796" t="str">
        <f>"20200111145946070"</f>
        <v>20200111145946070</v>
      </c>
      <c r="B1796" t="str">
        <f>"1578725986067724"</f>
        <v>1578725986067724</v>
      </c>
      <c r="C1796" t="s">
        <v>40</v>
      </c>
      <c r="D1796">
        <v>4.2966069999999998</v>
      </c>
      <c r="E1796">
        <v>0.56695469999999903</v>
      </c>
      <c r="F1796" t="s">
        <v>44</v>
      </c>
      <c r="G1796">
        <v>-158.19499999999999</v>
      </c>
      <c r="H1796">
        <v>4.1245059999999896</v>
      </c>
      <c r="I1796">
        <v>360.23689999999999</v>
      </c>
      <c r="J1796">
        <v>-235.68</v>
      </c>
      <c r="K1796">
        <v>1.1045180000000001</v>
      </c>
      <c r="L1796">
        <v>367.69889999999998</v>
      </c>
      <c r="M1796">
        <v>0.99982700000000002</v>
      </c>
      <c r="N1796">
        <v>0</v>
      </c>
      <c r="O1796">
        <v>1.411454E-2</v>
      </c>
      <c r="P1796">
        <v>0.99650879999999997</v>
      </c>
      <c r="Q1796">
        <v>2.4031830000000001E-2</v>
      </c>
      <c r="R1796">
        <v>7.9956669999999994E-2</v>
      </c>
      <c r="S1796">
        <v>3.0310359999999998</v>
      </c>
      <c r="T1796">
        <v>0.1179577</v>
      </c>
      <c r="U1796">
        <v>-0.29138180000000002</v>
      </c>
      <c r="V1796">
        <v>-6.5882739999999995E-2</v>
      </c>
      <c r="W1796">
        <v>3.6115729999999999E-2</v>
      </c>
      <c r="X1796">
        <v>0.99717350000000005</v>
      </c>
      <c r="Y1796">
        <v>0.10964</v>
      </c>
      <c r="Z1796">
        <v>2.675644E-3</v>
      </c>
      <c r="AA1796">
        <v>0.99396779999999996</v>
      </c>
      <c r="AB1796">
        <v>22</v>
      </c>
      <c r="AC1796">
        <v>77.484999999999999</v>
      </c>
      <c r="AD1796">
        <v>3.0199879999999899</v>
      </c>
      <c r="AE1796">
        <v>-7.4619999999999802</v>
      </c>
      <c r="AF1796">
        <v>8.5421451497514695</v>
      </c>
      <c r="AG1796">
        <v>3.0199879999999899</v>
      </c>
      <c r="AH1796">
        <v>77.255672081660705</v>
      </c>
      <c r="AI1796">
        <v>87.774946801062299</v>
      </c>
      <c r="AJ1796">
        <v>83.690445995901996</v>
      </c>
      <c r="AK1796">
        <v>77.785136369801805</v>
      </c>
      <c r="AL1796">
        <v>87.930270856040906</v>
      </c>
      <c r="AM1796">
        <v>93.780008919994103</v>
      </c>
      <c r="AN1796">
        <v>0.99999993524279296</v>
      </c>
    </row>
    <row r="1797" spans="1:40" x14ac:dyDescent="0.3">
      <c r="A1797" t="str">
        <f>"20200111145946083"</f>
        <v>20200111145946083</v>
      </c>
      <c r="B1797" t="str">
        <f>"1578725986077485"</f>
        <v>1578725986077485</v>
      </c>
      <c r="C1797" t="s">
        <v>40</v>
      </c>
      <c r="D1797">
        <v>3.8455460000000001</v>
      </c>
      <c r="E1797">
        <v>0.56716409999999995</v>
      </c>
      <c r="F1797" t="s">
        <v>44</v>
      </c>
      <c r="G1797">
        <v>-158.19499999999999</v>
      </c>
      <c r="H1797">
        <v>4.0992410000000001</v>
      </c>
      <c r="I1797">
        <v>360.22300000000001</v>
      </c>
      <c r="J1797">
        <v>-235.55719999999999</v>
      </c>
      <c r="K1797">
        <v>1.1045180000000001</v>
      </c>
      <c r="L1797">
        <v>367.70060000000001</v>
      </c>
      <c r="M1797">
        <v>0.99982629999999995</v>
      </c>
      <c r="N1797">
        <v>0</v>
      </c>
      <c r="O1797">
        <v>1.4126970000000001E-2</v>
      </c>
      <c r="P1797">
        <v>0.99652969999999996</v>
      </c>
      <c r="Q1797">
        <v>2.3676510000000001E-2</v>
      </c>
      <c r="R1797">
        <v>7.9801300000000006E-2</v>
      </c>
      <c r="S1797">
        <v>3.0311430000000001</v>
      </c>
      <c r="T1797">
        <v>0.1171541</v>
      </c>
      <c r="U1797">
        <v>-0.29244999999999999</v>
      </c>
      <c r="V1797">
        <v>-6.5714679999999998E-2</v>
      </c>
      <c r="W1797">
        <v>3.5805499999999997E-2</v>
      </c>
      <c r="X1797">
        <v>0.99719579999999997</v>
      </c>
      <c r="Y1797">
        <v>0.109997</v>
      </c>
      <c r="Z1797">
        <v>2.6646529999999999E-3</v>
      </c>
      <c r="AA1797">
        <v>0.99392829999999999</v>
      </c>
      <c r="AB1797">
        <v>22</v>
      </c>
      <c r="AC1797">
        <v>77.362200000000001</v>
      </c>
      <c r="AD1797">
        <v>2.994723</v>
      </c>
      <c r="AE1797">
        <v>-7.47759999999999</v>
      </c>
      <c r="AF1797">
        <v>8.5571238173131405</v>
      </c>
      <c r="AG1797">
        <v>2.994723</v>
      </c>
      <c r="AH1797">
        <v>77.134319572869899</v>
      </c>
      <c r="AI1797">
        <v>87.790163986438998</v>
      </c>
      <c r="AJ1797">
        <v>83.669608460055599</v>
      </c>
      <c r="AK1797">
        <v>77.6652817534397</v>
      </c>
      <c r="AL1797">
        <v>87.948057278296005</v>
      </c>
      <c r="AM1797">
        <v>93.770310286661498</v>
      </c>
      <c r="AN1797">
        <v>0.99999995826769505</v>
      </c>
    </row>
    <row r="1798" spans="1:40" x14ac:dyDescent="0.3">
      <c r="A1798" t="str">
        <f>"20200111145946095"</f>
        <v>20200111145946095</v>
      </c>
      <c r="B1798" t="str">
        <f>"1578725986087245"</f>
        <v>1578725986087245</v>
      </c>
      <c r="C1798" t="s">
        <v>40</v>
      </c>
      <c r="D1798">
        <v>4.2281269999999997</v>
      </c>
      <c r="E1798">
        <v>0.56734770000000001</v>
      </c>
      <c r="F1798" t="s">
        <v>44</v>
      </c>
      <c r="G1798">
        <v>-158.19499999999999</v>
      </c>
      <c r="H1798">
        <v>4.0520370000000003</v>
      </c>
      <c r="I1798">
        <v>360.17700000000002</v>
      </c>
      <c r="J1798">
        <v>-235.43180000000001</v>
      </c>
      <c r="K1798">
        <v>1.104514</v>
      </c>
      <c r="L1798">
        <v>367.70240000000001</v>
      </c>
      <c r="M1798">
        <v>0.99982559999999998</v>
      </c>
      <c r="N1798">
        <v>0</v>
      </c>
      <c r="O1798">
        <v>1.414082E-2</v>
      </c>
      <c r="P1798">
        <v>0.99652779999999996</v>
      </c>
      <c r="Q1798">
        <v>2.3643190000000001E-2</v>
      </c>
      <c r="R1798">
        <v>7.9833840000000003E-2</v>
      </c>
      <c r="S1798">
        <v>3.0313110000000001</v>
      </c>
      <c r="T1798">
        <v>0.115497</v>
      </c>
      <c r="U1798">
        <v>-0.2947998</v>
      </c>
      <c r="V1798">
        <v>-6.573321E-2</v>
      </c>
      <c r="W1798">
        <v>3.5806449999999997E-2</v>
      </c>
      <c r="X1798">
        <v>0.99719460000000004</v>
      </c>
      <c r="Y1798">
        <v>0.11077089999999901</v>
      </c>
      <c r="Z1798">
        <v>2.6419759999999999E-3</v>
      </c>
      <c r="AA1798">
        <v>0.99384249999999996</v>
      </c>
      <c r="AB1798">
        <v>22</v>
      </c>
      <c r="AC1798">
        <v>77.236800000000002</v>
      </c>
      <c r="AD1798">
        <v>2.9475229999999999</v>
      </c>
      <c r="AE1798">
        <v>-7.5254000000000403</v>
      </c>
      <c r="AF1798">
        <v>8.6045070733682092</v>
      </c>
      <c r="AG1798">
        <v>2.9475229999999999</v>
      </c>
      <c r="AH1798">
        <v>77.011551876638407</v>
      </c>
      <c r="AI1798">
        <v>87.821685204049103</v>
      </c>
      <c r="AJ1798">
        <v>83.624778662150703</v>
      </c>
      <c r="AK1798">
        <v>77.546789464550599</v>
      </c>
      <c r="AL1798">
        <v>87.948002925790902</v>
      </c>
      <c r="AM1798">
        <v>93.7713748833865</v>
      </c>
      <c r="AN1798">
        <v>1.0000000135138301</v>
      </c>
    </row>
    <row r="1799" spans="1:40" x14ac:dyDescent="0.3">
      <c r="A1799" t="str">
        <f>"20200111145946109"</f>
        <v>20200111145946109</v>
      </c>
      <c r="B1799" t="str">
        <f>"1578725986097980"</f>
        <v>1578725986097980</v>
      </c>
      <c r="C1799" t="s">
        <v>40</v>
      </c>
      <c r="D1799">
        <v>5.2390359999999996</v>
      </c>
      <c r="E1799">
        <v>0.56737819999999894</v>
      </c>
      <c r="F1799" t="s">
        <v>44</v>
      </c>
      <c r="G1799">
        <v>-158.19499999999999</v>
      </c>
      <c r="H1799">
        <v>4.0019429999999998</v>
      </c>
      <c r="I1799">
        <v>360.15960000000001</v>
      </c>
      <c r="J1799">
        <v>-235.29519999999999</v>
      </c>
      <c r="K1799">
        <v>1.104508</v>
      </c>
      <c r="L1799">
        <v>367.70429999999999</v>
      </c>
      <c r="M1799">
        <v>0.99982499999999996</v>
      </c>
      <c r="N1799">
        <v>0</v>
      </c>
      <c r="O1799">
        <v>1.4156169999999999E-2</v>
      </c>
      <c r="P1799">
        <v>0.99649339999999997</v>
      </c>
      <c r="Q1799">
        <v>2.3447780000000001E-2</v>
      </c>
      <c r="R1799">
        <v>8.0318909999999993E-2</v>
      </c>
      <c r="S1799">
        <v>3.0315089999999998</v>
      </c>
      <c r="T1799">
        <v>0.1137261</v>
      </c>
      <c r="U1799">
        <v>-0.29605100000000001</v>
      </c>
      <c r="V1799">
        <v>-6.6203369999999997E-2</v>
      </c>
      <c r="W1799">
        <v>3.5643000000000001E-2</v>
      </c>
      <c r="X1799">
        <v>0.99716930000000004</v>
      </c>
      <c r="Y1799">
        <v>0.1111887</v>
      </c>
      <c r="Z1799">
        <v>2.6096660000000001E-3</v>
      </c>
      <c r="AA1799">
        <v>0.99379589999999995</v>
      </c>
      <c r="AB1799">
        <v>22</v>
      </c>
      <c r="AC1799">
        <v>77.100200000000001</v>
      </c>
      <c r="AD1799">
        <v>2.8974350000000002</v>
      </c>
      <c r="AE1799">
        <v>-7.5446999999999704</v>
      </c>
      <c r="AF1799">
        <v>8.6234060255465899</v>
      </c>
      <c r="AG1799">
        <v>2.8974350000000002</v>
      </c>
      <c r="AH1799">
        <v>76.878118557806701</v>
      </c>
      <c r="AI1799">
        <v>87.855058162845793</v>
      </c>
      <c r="AJ1799">
        <v>83.599894476850196</v>
      </c>
      <c r="AK1799">
        <v>77.4144907239519</v>
      </c>
      <c r="AL1799">
        <v>87.957373795838294</v>
      </c>
      <c r="AM1799">
        <v>93.798367231464596</v>
      </c>
      <c r="AN1799">
        <v>0.99999996125542201</v>
      </c>
    </row>
    <row r="1800" spans="1:40" x14ac:dyDescent="0.3">
      <c r="A1800" t="str">
        <f>"20200111145946123"</f>
        <v>20200111145946123</v>
      </c>
      <c r="B1800" t="str">
        <f>"1578725986117032"</f>
        <v>1578725986117032</v>
      </c>
      <c r="C1800" t="s">
        <v>40</v>
      </c>
      <c r="D1800">
        <v>4.2116720000000001</v>
      </c>
      <c r="E1800">
        <v>0.56737819999999894</v>
      </c>
      <c r="F1800" t="s">
        <v>44</v>
      </c>
      <c r="G1800">
        <v>-158.19499999999999</v>
      </c>
      <c r="H1800">
        <v>3.996718</v>
      </c>
      <c r="I1800">
        <v>360.21089999999998</v>
      </c>
      <c r="J1800">
        <v>-235.15299999999999</v>
      </c>
      <c r="K1800">
        <v>1.1045049999999901</v>
      </c>
      <c r="L1800">
        <v>367.70639999999997</v>
      </c>
      <c r="M1800">
        <v>0.9998245</v>
      </c>
      <c r="N1800">
        <v>0</v>
      </c>
      <c r="O1800">
        <v>1.4172260000000001E-2</v>
      </c>
      <c r="P1800">
        <v>0.99648270000000005</v>
      </c>
      <c r="Q1800">
        <v>2.3238740000000001E-2</v>
      </c>
      <c r="R1800">
        <v>8.0514080000000002E-2</v>
      </c>
      <c r="S1800">
        <v>3.031647</v>
      </c>
      <c r="T1800">
        <v>0.1137276</v>
      </c>
      <c r="U1800">
        <v>-0.2946472</v>
      </c>
      <c r="V1800">
        <v>-6.6383059999999994E-2</v>
      </c>
      <c r="W1800">
        <v>3.5462399999999998E-2</v>
      </c>
      <c r="X1800">
        <v>0.99716380000000004</v>
      </c>
      <c r="Y1800">
        <v>0.1107447</v>
      </c>
      <c r="Z1800">
        <v>2.6019369999999999E-3</v>
      </c>
      <c r="AA1800">
        <v>0.99384550000000005</v>
      </c>
      <c r="AB1800">
        <v>22</v>
      </c>
      <c r="AC1800">
        <v>76.957999999999998</v>
      </c>
      <c r="AD1800">
        <v>2.8922129999999999</v>
      </c>
      <c r="AE1800">
        <v>-7.4954999999999901</v>
      </c>
      <c r="AF1800">
        <v>8.5735024668257207</v>
      </c>
      <c r="AG1800">
        <v>2.8922129999999999</v>
      </c>
      <c r="AH1800">
        <v>76.736670455085402</v>
      </c>
      <c r="AI1800">
        <v>87.854872304865907</v>
      </c>
      <c r="AJ1800">
        <v>83.624994058057396</v>
      </c>
      <c r="AK1800">
        <v>77.268275722436201</v>
      </c>
      <c r="AL1800">
        <v>87.967727974126106</v>
      </c>
      <c r="AM1800">
        <v>93.808667449413605</v>
      </c>
      <c r="AN1800">
        <v>0.99999996824958104</v>
      </c>
    </row>
    <row r="1801" spans="1:40" x14ac:dyDescent="0.3">
      <c r="A1801" t="str">
        <f>"20200111145946134"</f>
        <v>20200111145946134</v>
      </c>
      <c r="B1801" t="str">
        <f>"1578725986127769"</f>
        <v>1578725986127769</v>
      </c>
      <c r="C1801" t="s">
        <v>40</v>
      </c>
      <c r="D1801">
        <v>4.0987169999999997</v>
      </c>
      <c r="E1801">
        <v>0.56740800000000002</v>
      </c>
      <c r="F1801" t="s">
        <v>44</v>
      </c>
      <c r="G1801">
        <v>-158.19499999999999</v>
      </c>
      <c r="H1801">
        <v>3.968817</v>
      </c>
      <c r="I1801">
        <v>360.24099999999999</v>
      </c>
      <c r="J1801">
        <v>-235.03809999999999</v>
      </c>
      <c r="K1801">
        <v>1.104503</v>
      </c>
      <c r="L1801">
        <v>367.70800000000003</v>
      </c>
      <c r="M1801">
        <v>0.99982400000000005</v>
      </c>
      <c r="N1801">
        <v>0</v>
      </c>
      <c r="O1801">
        <v>1.4186030000000001E-2</v>
      </c>
      <c r="P1801">
        <v>0.99650609999999995</v>
      </c>
      <c r="Q1801">
        <v>2.3299630000000002E-2</v>
      </c>
      <c r="R1801">
        <v>8.0203540000000004E-2</v>
      </c>
      <c r="S1801">
        <v>3.0317229999999999</v>
      </c>
      <c r="T1801">
        <v>0.1128415</v>
      </c>
      <c r="U1801">
        <v>-0.29409790000000002</v>
      </c>
      <c r="V1801">
        <v>-6.6057640000000001E-2</v>
      </c>
      <c r="W1801">
        <v>3.554007E-2</v>
      </c>
      <c r="X1801">
        <v>0.99718269999999998</v>
      </c>
      <c r="Y1801">
        <v>0.1105791</v>
      </c>
      <c r="Z1801">
        <v>2.5790740000000002E-3</v>
      </c>
      <c r="AA1801">
        <v>0.99386399999999997</v>
      </c>
      <c r="AB1801">
        <v>22</v>
      </c>
      <c r="AC1801">
        <v>76.843099999999893</v>
      </c>
      <c r="AD1801">
        <v>2.8643139999999998</v>
      </c>
      <c r="AE1801">
        <v>-7.4670000000000396</v>
      </c>
      <c r="AF1801">
        <v>8.5446681660424009</v>
      </c>
      <c r="AG1801">
        <v>2.8643139999999998</v>
      </c>
      <c r="AH1801">
        <v>76.623964780486105</v>
      </c>
      <c r="AI1801">
        <v>87.872374032436994</v>
      </c>
      <c r="AJ1801">
        <v>83.636989689650207</v>
      </c>
      <c r="AK1801">
        <v>77.152107083601706</v>
      </c>
      <c r="AL1801">
        <v>87.963275114888305</v>
      </c>
      <c r="AM1801">
        <v>93.789979699369795</v>
      </c>
      <c r="AN1801">
        <v>1.0000000227786301</v>
      </c>
    </row>
    <row r="1802" spans="1:40" x14ac:dyDescent="0.3">
      <c r="A1802" t="str">
        <f>"20200111145946146"</f>
        <v>20200111145946146</v>
      </c>
      <c r="B1802" t="str">
        <f>"1578725986137528"</f>
        <v>1578725986137528</v>
      </c>
      <c r="C1802" t="s">
        <v>40</v>
      </c>
      <c r="D1802">
        <v>4.0107920000000004</v>
      </c>
      <c r="E1802">
        <v>0.56741469999999905</v>
      </c>
      <c r="F1802" t="s">
        <v>44</v>
      </c>
      <c r="G1802">
        <v>-158.19499999999999</v>
      </c>
      <c r="H1802">
        <v>3.924086</v>
      </c>
      <c r="I1802">
        <v>360.21960000000001</v>
      </c>
      <c r="J1802">
        <v>-234.93459999999999</v>
      </c>
      <c r="K1802">
        <v>1.104503</v>
      </c>
      <c r="L1802">
        <v>367.70949999999999</v>
      </c>
      <c r="M1802">
        <v>0.99982380000000004</v>
      </c>
      <c r="N1802">
        <v>0</v>
      </c>
      <c r="O1802">
        <v>1.4197990000000001E-2</v>
      </c>
      <c r="P1802">
        <v>0.99652870000000005</v>
      </c>
      <c r="Q1802">
        <v>2.3247730000000001E-2</v>
      </c>
      <c r="R1802">
        <v>7.9939010000000005E-2</v>
      </c>
      <c r="S1802">
        <v>3.0316619999999999</v>
      </c>
      <c r="T1802">
        <v>0.1112432</v>
      </c>
      <c r="U1802">
        <v>-0.2954407</v>
      </c>
      <c r="V1802">
        <v>-6.5780989999999998E-2</v>
      </c>
      <c r="W1802">
        <v>3.5500520000000001E-2</v>
      </c>
      <c r="X1802">
        <v>0.99720240000000004</v>
      </c>
      <c r="Y1802">
        <v>0.11103109999999999</v>
      </c>
      <c r="Z1802">
        <v>2.5512740000000001E-3</v>
      </c>
      <c r="AA1802">
        <v>0.99381359999999996</v>
      </c>
      <c r="AB1802">
        <v>22</v>
      </c>
      <c r="AC1802">
        <v>76.739599999999996</v>
      </c>
      <c r="AD1802">
        <v>2.8195830000000002</v>
      </c>
      <c r="AE1802">
        <v>-7.4898999999999702</v>
      </c>
      <c r="AF1802">
        <v>8.56731849553484</v>
      </c>
      <c r="AG1802">
        <v>2.8195830000000002</v>
      </c>
      <c r="AH1802">
        <v>76.523183443023399</v>
      </c>
      <c r="AI1802">
        <v>87.902917095975297</v>
      </c>
      <c r="AJ1802">
        <v>83.611928689404095</v>
      </c>
      <c r="AK1802">
        <v>77.052881832884296</v>
      </c>
      <c r="AL1802">
        <v>87.965542600487495</v>
      </c>
      <c r="AM1802">
        <v>93.774078856222303</v>
      </c>
      <c r="AN1802">
        <v>1.0000000260657</v>
      </c>
    </row>
    <row r="1803" spans="1:40" x14ac:dyDescent="0.3">
      <c r="A1803" t="str">
        <f>"20200111145946157"</f>
        <v>20200111145946157</v>
      </c>
      <c r="B1803" t="str">
        <f>"1578725986147288"</f>
        <v>1578725986147288</v>
      </c>
      <c r="C1803" t="s">
        <v>40</v>
      </c>
      <c r="D1803">
        <v>3.9142540000000001</v>
      </c>
      <c r="E1803">
        <v>0.56739469999999903</v>
      </c>
      <c r="F1803" t="s">
        <v>44</v>
      </c>
      <c r="G1803">
        <v>-158.19499999999999</v>
      </c>
      <c r="H1803">
        <v>3.9656549999999999</v>
      </c>
      <c r="I1803">
        <v>360.20780000000002</v>
      </c>
      <c r="J1803">
        <v>-234.81790000000001</v>
      </c>
      <c r="K1803">
        <v>1.1045039999999999</v>
      </c>
      <c r="L1803">
        <v>367.71120000000002</v>
      </c>
      <c r="M1803">
        <v>0.99982329999999997</v>
      </c>
      <c r="N1803">
        <v>0</v>
      </c>
      <c r="O1803">
        <v>1.421182E-2</v>
      </c>
      <c r="P1803">
        <v>0.99656460000000002</v>
      </c>
      <c r="Q1803">
        <v>2.3280829999999999E-2</v>
      </c>
      <c r="R1803">
        <v>7.947862E-2</v>
      </c>
      <c r="S1803">
        <v>3.0315859999999999</v>
      </c>
      <c r="T1803">
        <v>0.1130327</v>
      </c>
      <c r="U1803">
        <v>-0.29635620000000001</v>
      </c>
      <c r="V1803">
        <v>-6.5306810000000007E-2</v>
      </c>
      <c r="W1803">
        <v>3.5544840000000001E-2</v>
      </c>
      <c r="X1803">
        <v>0.99723200000000001</v>
      </c>
      <c r="Y1803">
        <v>0.1113416</v>
      </c>
      <c r="Z1803">
        <v>2.5986E-3</v>
      </c>
      <c r="AA1803">
        <v>0.99377879999999996</v>
      </c>
      <c r="AB1803">
        <v>22</v>
      </c>
      <c r="AC1803">
        <v>76.622900000000001</v>
      </c>
      <c r="AD1803">
        <v>2.861151</v>
      </c>
      <c r="AE1803">
        <v>-7.5033999999999903</v>
      </c>
      <c r="AF1803">
        <v>8.5798259510105002</v>
      </c>
      <c r="AG1803">
        <v>2.861151</v>
      </c>
      <c r="AH1803">
        <v>76.4029965876028</v>
      </c>
      <c r="AI1803">
        <v>87.868764620497203</v>
      </c>
      <c r="AJ1803">
        <v>83.592700211077201</v>
      </c>
      <c r="AK1803">
        <v>76.936450957655197</v>
      </c>
      <c r="AL1803">
        <v>87.963001673179804</v>
      </c>
      <c r="AM1803">
        <v>93.746840418122403</v>
      </c>
      <c r="AN1803">
        <v>1.0000000384534999</v>
      </c>
    </row>
    <row r="1804" spans="1:40" x14ac:dyDescent="0.3">
      <c r="A1804" t="str">
        <f>"20200111145946168"</f>
        <v>20200111145946168</v>
      </c>
      <c r="B1804" t="str">
        <f>"1578725986157048"</f>
        <v>1578725986157048</v>
      </c>
      <c r="C1804" t="s">
        <v>40</v>
      </c>
      <c r="D1804">
        <v>4.1318229999999998</v>
      </c>
      <c r="E1804">
        <v>0.5674785</v>
      </c>
      <c r="F1804" t="s">
        <v>44</v>
      </c>
      <c r="G1804">
        <v>-158.19499999999999</v>
      </c>
      <c r="H1804">
        <v>3.920312</v>
      </c>
      <c r="I1804">
        <v>360.18669999999997</v>
      </c>
      <c r="J1804">
        <v>-234.7056</v>
      </c>
      <c r="K1804">
        <v>1.1045049999999901</v>
      </c>
      <c r="L1804">
        <v>367.71280000000002</v>
      </c>
      <c r="M1804">
        <v>0.99982329999999997</v>
      </c>
      <c r="N1804">
        <v>0</v>
      </c>
      <c r="O1804">
        <v>1.4224000000000001E-2</v>
      </c>
      <c r="P1804">
        <v>0.99661279999999997</v>
      </c>
      <c r="Q1804">
        <v>2.3561390000000001E-2</v>
      </c>
      <c r="R1804">
        <v>7.8790579999999999E-2</v>
      </c>
      <c r="S1804">
        <v>3.0315089999999998</v>
      </c>
      <c r="T1804">
        <v>0.11140799999999999</v>
      </c>
      <c r="U1804">
        <v>-0.29769899999999999</v>
      </c>
      <c r="V1804">
        <v>-6.4605700000000002E-2</v>
      </c>
      <c r="W1804">
        <v>3.583219E-2</v>
      </c>
      <c r="X1804">
        <v>0.99726740000000003</v>
      </c>
      <c r="Y1804">
        <v>0.1117943</v>
      </c>
      <c r="Z1804">
        <v>2.5700250000000001E-3</v>
      </c>
      <c r="AA1804">
        <v>0.99372799999999994</v>
      </c>
      <c r="AB1804">
        <v>22</v>
      </c>
      <c r="AC1804">
        <v>76.510599999999997</v>
      </c>
      <c r="AD1804">
        <v>2.8158069999999999</v>
      </c>
      <c r="AE1804">
        <v>-7.5261000000000404</v>
      </c>
      <c r="AF1804">
        <v>8.6021679345469</v>
      </c>
      <c r="AG1804">
        <v>2.8158069999999999</v>
      </c>
      <c r="AH1804">
        <v>76.293453938595505</v>
      </c>
      <c r="AI1804">
        <v>87.899607375572401</v>
      </c>
      <c r="AJ1804">
        <v>83.567008670745906</v>
      </c>
      <c r="AK1804">
        <v>76.828491955237396</v>
      </c>
      <c r="AL1804">
        <v>87.946527270064195</v>
      </c>
      <c r="AM1804">
        <v>93.7065972496993</v>
      </c>
      <c r="AN1804">
        <v>1.0000000547077199</v>
      </c>
    </row>
    <row r="1805" spans="1:40" x14ac:dyDescent="0.3">
      <c r="A1805" t="str">
        <f>"20200111145946182"</f>
        <v>20200111145946182</v>
      </c>
      <c r="B1805" t="str">
        <f>"1578725986177545"</f>
        <v>1578725986177545</v>
      </c>
      <c r="C1805" t="s">
        <v>40</v>
      </c>
      <c r="D1805">
        <v>4.1704460000000001</v>
      </c>
      <c r="E1805">
        <v>0.56760759999999999</v>
      </c>
      <c r="F1805" t="s">
        <v>44</v>
      </c>
      <c r="G1805">
        <v>-158.19499999999999</v>
      </c>
      <c r="H1805">
        <v>3.9260790000000001</v>
      </c>
      <c r="I1805">
        <v>360.12880000000001</v>
      </c>
      <c r="J1805">
        <v>-234.57640000000001</v>
      </c>
      <c r="K1805">
        <v>1.104506</v>
      </c>
      <c r="L1805">
        <v>367.71460000000002</v>
      </c>
      <c r="M1805">
        <v>0.99982289999999996</v>
      </c>
      <c r="N1805">
        <v>0</v>
      </c>
      <c r="O1805">
        <v>1.423839E-2</v>
      </c>
      <c r="P1805">
        <v>0.99664529999999996</v>
      </c>
      <c r="Q1805">
        <v>2.367874E-2</v>
      </c>
      <c r="R1805">
        <v>7.834265E-2</v>
      </c>
      <c r="S1805">
        <v>3.0313110000000001</v>
      </c>
      <c r="T1805">
        <v>0.11179269999999999</v>
      </c>
      <c r="U1805">
        <v>-0.30047610000000002</v>
      </c>
      <c r="V1805">
        <v>-6.4142710000000006E-2</v>
      </c>
      <c r="W1805">
        <v>3.5955609999999999E-2</v>
      </c>
      <c r="X1805">
        <v>0.99729279999999998</v>
      </c>
      <c r="Y1805">
        <v>0.1127152</v>
      </c>
      <c r="Z1805">
        <v>2.5964109999999999E-3</v>
      </c>
      <c r="AA1805">
        <v>0.9936239</v>
      </c>
      <c r="AB1805">
        <v>22</v>
      </c>
      <c r="AC1805">
        <v>76.381399999999999</v>
      </c>
      <c r="AD1805">
        <v>2.8215729999999999</v>
      </c>
      <c r="AE1805">
        <v>-7.5857999999999999</v>
      </c>
      <c r="AF1805">
        <v>8.6609580598125309</v>
      </c>
      <c r="AG1805">
        <v>2.8215729999999999</v>
      </c>
      <c r="AH1805">
        <v>76.162721198315694</v>
      </c>
      <c r="AI1805">
        <v>87.891928129388603</v>
      </c>
      <c r="AJ1805">
        <v>83.512393426131496</v>
      </c>
      <c r="AK1805">
        <v>76.705498949166099</v>
      </c>
      <c r="AL1805">
        <v>87.939451175577005</v>
      </c>
      <c r="AM1805">
        <v>93.680014095640502</v>
      </c>
      <c r="AN1805">
        <v>1.00000001103422</v>
      </c>
    </row>
    <row r="1806" spans="1:40" x14ac:dyDescent="0.3">
      <c r="A1806" t="str">
        <f>"20200111145946195"</f>
        <v>20200111145946195</v>
      </c>
      <c r="B1806" t="str">
        <f>"1578725986187304"</f>
        <v>1578725986187304</v>
      </c>
      <c r="C1806" t="s">
        <v>40</v>
      </c>
      <c r="D1806">
        <v>3.8581599999999998</v>
      </c>
      <c r="E1806">
        <v>0.56709830000000006</v>
      </c>
      <c r="F1806" t="s">
        <v>44</v>
      </c>
      <c r="G1806">
        <v>-158.19499999999999</v>
      </c>
      <c r="H1806">
        <v>3.9710239999999999</v>
      </c>
      <c r="I1806">
        <v>360.09010000000001</v>
      </c>
      <c r="J1806">
        <v>-234.43969999999999</v>
      </c>
      <c r="K1806">
        <v>1.104508</v>
      </c>
      <c r="L1806">
        <v>367.71660000000003</v>
      </c>
      <c r="M1806">
        <v>0.99982269999999895</v>
      </c>
      <c r="N1806">
        <v>0</v>
      </c>
      <c r="O1806">
        <v>1.425309E-2</v>
      </c>
      <c r="P1806">
        <v>0.99666730000000003</v>
      </c>
      <c r="Q1806">
        <v>2.3543560000000002E-2</v>
      </c>
      <c r="R1806">
        <v>7.8102889999999994E-2</v>
      </c>
      <c r="S1806">
        <v>3.0311889999999999</v>
      </c>
      <c r="T1806">
        <v>0.1137608</v>
      </c>
      <c r="U1806">
        <v>-0.30258180000000001</v>
      </c>
      <c r="V1806">
        <v>-6.3888120000000007E-2</v>
      </c>
      <c r="W1806">
        <v>3.5824090000000003E-2</v>
      </c>
      <c r="X1806">
        <v>0.99731389999999998</v>
      </c>
      <c r="Y1806">
        <v>0.11341370000000001</v>
      </c>
      <c r="Z1806">
        <v>2.6557270000000001E-3</v>
      </c>
      <c r="AA1806">
        <v>0.99354430000000005</v>
      </c>
      <c r="AB1806">
        <v>22</v>
      </c>
      <c r="AC1806">
        <v>76.244699999999995</v>
      </c>
      <c r="AD1806">
        <v>2.8665159999999998</v>
      </c>
      <c r="AE1806">
        <v>-7.6265000000000196</v>
      </c>
      <c r="AF1806">
        <v>8.7003540893391396</v>
      </c>
      <c r="AG1806">
        <v>2.8665159999999998</v>
      </c>
      <c r="AH1806">
        <v>76.021853601377202</v>
      </c>
      <c r="AI1806">
        <v>87.854592314956193</v>
      </c>
      <c r="AJ1806">
        <v>83.471165086374896</v>
      </c>
      <c r="AK1806">
        <v>76.5717656858412</v>
      </c>
      <c r="AL1806">
        <v>87.9469916260323</v>
      </c>
      <c r="AM1806">
        <v>93.665370246129399</v>
      </c>
      <c r="AN1806">
        <v>1.00000003621733</v>
      </c>
    </row>
    <row r="1807" spans="1:40" x14ac:dyDescent="0.3">
      <c r="A1807" t="str">
        <f>"20200111145946209"</f>
        <v>20200111145946209</v>
      </c>
      <c r="B1807" t="str">
        <f>"1578725986207800"</f>
        <v>1578725986207800</v>
      </c>
      <c r="C1807" t="s">
        <v>40</v>
      </c>
      <c r="D1807">
        <v>4.2153499999999999</v>
      </c>
      <c r="E1807">
        <v>0.57689429999999997</v>
      </c>
      <c r="F1807" t="s">
        <v>44</v>
      </c>
      <c r="G1807">
        <v>-158.19499999999999</v>
      </c>
      <c r="H1807">
        <v>3.9388269999999999</v>
      </c>
      <c r="I1807">
        <v>360.1884</v>
      </c>
      <c r="J1807">
        <v>-234.30539999999999</v>
      </c>
      <c r="K1807">
        <v>1.1045049999999901</v>
      </c>
      <c r="L1807">
        <v>367.71850000000001</v>
      </c>
      <c r="M1807">
        <v>0.99982249999999995</v>
      </c>
      <c r="N1807">
        <v>0</v>
      </c>
      <c r="O1807">
        <v>1.426762E-2</v>
      </c>
      <c r="P1807">
        <v>0.99673780000000001</v>
      </c>
      <c r="Q1807">
        <v>2.3104340000000001E-2</v>
      </c>
      <c r="R1807">
        <v>7.7329780000000001E-2</v>
      </c>
      <c r="S1807">
        <v>3.0308229999999998</v>
      </c>
      <c r="T1807">
        <v>0.1126711</v>
      </c>
      <c r="U1807">
        <v>-0.2992554</v>
      </c>
      <c r="V1807">
        <v>-6.3099660000000002E-2</v>
      </c>
      <c r="W1807">
        <v>3.5387589999999997E-2</v>
      </c>
      <c r="X1807">
        <v>0.99737969999999998</v>
      </c>
      <c r="Y1807">
        <v>0.1123625</v>
      </c>
      <c r="Z1807">
        <v>2.6118159999999999E-3</v>
      </c>
      <c r="AA1807">
        <v>0.99366379999999999</v>
      </c>
      <c r="AB1807">
        <v>22</v>
      </c>
      <c r="AC1807">
        <v>76.110399999999998</v>
      </c>
      <c r="AD1807">
        <v>2.8343219999999998</v>
      </c>
      <c r="AE1807">
        <v>-7.5301</v>
      </c>
      <c r="AF1807">
        <v>8.6035142907116295</v>
      </c>
      <c r="AG1807">
        <v>2.8343219999999998</v>
      </c>
      <c r="AH1807">
        <v>75.8909824086752</v>
      </c>
      <c r="AI1807">
        <v>87.874753027625204</v>
      </c>
      <c r="AJ1807">
        <v>83.532177360354595</v>
      </c>
      <c r="AK1807">
        <v>76.429673885893394</v>
      </c>
      <c r="AL1807">
        <v>87.972017144223202</v>
      </c>
      <c r="AM1807">
        <v>93.620017799955406</v>
      </c>
      <c r="AN1807">
        <v>1.0000000572951</v>
      </c>
    </row>
    <row r="1808" spans="1:40" x14ac:dyDescent="0.3">
      <c r="A1808" t="str">
        <f>"20200111145946222"</f>
        <v>20200111145946222</v>
      </c>
      <c r="B1808" t="str">
        <f>"1578725986217560"</f>
        <v>1578725986217560</v>
      </c>
      <c r="C1808" t="s">
        <v>40</v>
      </c>
      <c r="D1808">
        <v>4.1814879999999999</v>
      </c>
      <c r="E1808">
        <v>0.57689429999999997</v>
      </c>
      <c r="F1808" t="s">
        <v>44</v>
      </c>
      <c r="G1808">
        <v>-158.19499999999999</v>
      </c>
      <c r="H1808">
        <v>0.183032</v>
      </c>
      <c r="I1808">
        <v>358.21870000000001</v>
      </c>
      <c r="J1808">
        <v>-234.17599999999999</v>
      </c>
      <c r="K1808">
        <v>1.104506</v>
      </c>
      <c r="L1808">
        <v>367.72039999999998</v>
      </c>
      <c r="M1808">
        <v>0.99982210000000005</v>
      </c>
      <c r="N1808">
        <v>0</v>
      </c>
      <c r="O1808">
        <v>1.428168E-2</v>
      </c>
      <c r="P1808">
        <v>0.99676759999999998</v>
      </c>
      <c r="Q1808">
        <v>2.2731149999999999E-2</v>
      </c>
      <c r="R1808">
        <v>7.7055440000000003E-2</v>
      </c>
      <c r="S1808">
        <v>3.0400999999999998</v>
      </c>
      <c r="T1808">
        <v>-3.6803130000000003E-2</v>
      </c>
      <c r="U1808">
        <v>-0.3794556</v>
      </c>
      <c r="V1808">
        <v>-6.2811309999999995E-2</v>
      </c>
      <c r="W1808">
        <v>3.5016829999999999E-2</v>
      </c>
      <c r="X1808">
        <v>0.99741100000000005</v>
      </c>
      <c r="Y1808">
        <v>0.13800490000000001</v>
      </c>
      <c r="Z1808">
        <v>-1.004343E-3</v>
      </c>
      <c r="AA1808">
        <v>0.99043099999999995</v>
      </c>
      <c r="AB1808">
        <v>22</v>
      </c>
      <c r="AC1808">
        <v>75.980999999999995</v>
      </c>
      <c r="AD1808">
        <v>-0.92147400000000002</v>
      </c>
      <c r="AE1808">
        <v>-9.5016999999999694</v>
      </c>
      <c r="AF1808">
        <v>10.5844166954865</v>
      </c>
      <c r="AG1808">
        <v>-0.92147400000000002</v>
      </c>
      <c r="AH1808">
        <v>75.826558192141206</v>
      </c>
      <c r="AI1808">
        <v>90.689561608070207</v>
      </c>
      <c r="AJ1808">
        <v>82.053588139150904</v>
      </c>
      <c r="AK1808">
        <v>76.567264012648096</v>
      </c>
      <c r="AL1808">
        <v>87.993273328170702</v>
      </c>
      <c r="AM1808">
        <v>93.6034061084505</v>
      </c>
      <c r="AN1808">
        <v>1.0000000709840799</v>
      </c>
    </row>
    <row r="1809" spans="1:40" x14ac:dyDescent="0.3">
      <c r="A1809" t="str">
        <f>"20200111145946235"</f>
        <v>20200111145946235</v>
      </c>
      <c r="B1809" t="str">
        <f>"1578725986227320"</f>
        <v>1578725986227320</v>
      </c>
      <c r="C1809" t="s">
        <v>40</v>
      </c>
      <c r="D1809">
        <v>4.1724690000000004</v>
      </c>
      <c r="E1809">
        <v>0.60331269999999904</v>
      </c>
      <c r="F1809" t="s">
        <v>44</v>
      </c>
      <c r="G1809">
        <v>-158.19499999999999</v>
      </c>
      <c r="H1809">
        <v>0.15136050000000001</v>
      </c>
      <c r="I1809">
        <v>358.22190000000001</v>
      </c>
      <c r="J1809">
        <v>-234.05289999999999</v>
      </c>
      <c r="K1809">
        <v>1.1045069999999999</v>
      </c>
      <c r="L1809">
        <v>367.72219999999999</v>
      </c>
      <c r="M1809">
        <v>0.99982199999999999</v>
      </c>
      <c r="N1809">
        <v>0</v>
      </c>
      <c r="O1809">
        <v>1.4294909999999999E-2</v>
      </c>
      <c r="P1809">
        <v>0.99679010000000001</v>
      </c>
      <c r="Q1809">
        <v>2.2597249999999999E-2</v>
      </c>
      <c r="R1809">
        <v>7.6805040000000005E-2</v>
      </c>
      <c r="S1809">
        <v>3.0399929999999999</v>
      </c>
      <c r="T1809">
        <v>-3.8131709999999999E-2</v>
      </c>
      <c r="U1809">
        <v>-0.38003540000000002</v>
      </c>
      <c r="V1809">
        <v>-6.2547169999999999E-2</v>
      </c>
      <c r="W1809">
        <v>3.4883400000000002E-2</v>
      </c>
      <c r="X1809">
        <v>0.99743219999999999</v>
      </c>
      <c r="Y1809">
        <v>0.13820750000000001</v>
      </c>
      <c r="Z1809">
        <v>-1.0420519999999999E-3</v>
      </c>
      <c r="AA1809">
        <v>0.99040280000000003</v>
      </c>
      <c r="AB1809">
        <v>22</v>
      </c>
      <c r="AC1809">
        <v>75.857900000000001</v>
      </c>
      <c r="AD1809">
        <v>-0.95314650000000001</v>
      </c>
      <c r="AE1809">
        <v>-9.5002999999999798</v>
      </c>
      <c r="AF1809">
        <v>10.5821483339985</v>
      </c>
      <c r="AG1809">
        <v>-0.95314650000000001</v>
      </c>
      <c r="AH1809">
        <v>75.702564528494705</v>
      </c>
      <c r="AI1809">
        <v>90.714409197238297</v>
      </c>
      <c r="AJ1809">
        <v>82.042423238206396</v>
      </c>
      <c r="AK1809">
        <v>76.444546095873505</v>
      </c>
      <c r="AL1809">
        <v>88.000922828691898</v>
      </c>
      <c r="AM1809">
        <v>93.588216334722503</v>
      </c>
      <c r="AN1809">
        <v>0.999999996833704</v>
      </c>
    </row>
    <row r="1810" spans="1:40" x14ac:dyDescent="0.3">
      <c r="A1810" t="str">
        <f>"20200111145946245"</f>
        <v>20200111145946245</v>
      </c>
      <c r="B1810" t="str">
        <f>"1578725986237080"</f>
        <v>1578725986237080</v>
      </c>
      <c r="C1810" t="s">
        <v>40</v>
      </c>
      <c r="D1810">
        <v>4.1871769999999904</v>
      </c>
      <c r="E1810">
        <v>0.60457249999999996</v>
      </c>
      <c r="F1810" t="s">
        <v>44</v>
      </c>
      <c r="G1810">
        <v>-169.2955</v>
      </c>
      <c r="H1810">
        <v>3.3672490000000002</v>
      </c>
      <c r="I1810">
        <v>355.18099999999998</v>
      </c>
      <c r="J1810">
        <v>-233.94909999999999</v>
      </c>
      <c r="K1810">
        <v>1.104509</v>
      </c>
      <c r="L1810">
        <v>367.72370000000001</v>
      </c>
      <c r="M1810">
        <v>0.99982199999999999</v>
      </c>
      <c r="N1810">
        <v>0</v>
      </c>
      <c r="O1810">
        <v>1.430611E-2</v>
      </c>
      <c r="P1810">
        <v>0.9968032</v>
      </c>
      <c r="Q1810">
        <v>2.254018E-2</v>
      </c>
      <c r="R1810">
        <v>7.6652739999999997E-2</v>
      </c>
      <c r="S1810">
        <v>3.0527950000000001</v>
      </c>
      <c r="T1810">
        <v>0.1066743</v>
      </c>
      <c r="U1810">
        <v>-0.59121699999999999</v>
      </c>
      <c r="V1810">
        <v>-6.2383210000000001E-2</v>
      </c>
      <c r="W1810">
        <v>3.4826700000000002E-2</v>
      </c>
      <c r="X1810">
        <v>0.99744449999999996</v>
      </c>
      <c r="Y1810">
        <v>0.20402970000000001</v>
      </c>
      <c r="Z1810">
        <v>4.0262079999999999E-3</v>
      </c>
      <c r="AA1810">
        <v>0.97895639999999995</v>
      </c>
      <c r="AB1810">
        <v>22</v>
      </c>
      <c r="AC1810">
        <v>64.653599999999898</v>
      </c>
      <c r="AD1810">
        <v>2.26274</v>
      </c>
      <c r="AE1810">
        <v>-12.5427</v>
      </c>
      <c r="AF1810">
        <v>13.450550318951301</v>
      </c>
      <c r="AG1810">
        <v>2.26274</v>
      </c>
      <c r="AH1810">
        <v>64.391522194985598</v>
      </c>
      <c r="AI1810">
        <v>88.029922399576193</v>
      </c>
      <c r="AJ1810">
        <v>78.201312595972894</v>
      </c>
      <c r="AK1810">
        <v>65.820250886619704</v>
      </c>
      <c r="AL1810">
        <v>88.004173575230496</v>
      </c>
      <c r="AM1810">
        <v>93.578790711224102</v>
      </c>
      <c r="AN1810">
        <v>1.00000004725152</v>
      </c>
    </row>
    <row r="1811" spans="1:40" x14ac:dyDescent="0.3">
      <c r="A1811" t="str">
        <f>"20200111145946257"</f>
        <v>20200111145946257</v>
      </c>
      <c r="B1811" t="str">
        <f>"1578725986247816"</f>
        <v>1578725986247816</v>
      </c>
      <c r="C1811" t="s">
        <v>40</v>
      </c>
      <c r="D1811">
        <v>4.2105410000000001</v>
      </c>
      <c r="E1811">
        <v>0.60591839999999997</v>
      </c>
      <c r="F1811" t="s">
        <v>44</v>
      </c>
      <c r="G1811">
        <v>-169.2955</v>
      </c>
      <c r="H1811">
        <v>3.0677129999999999</v>
      </c>
      <c r="I1811">
        <v>354.98110000000003</v>
      </c>
      <c r="J1811">
        <v>-233.82939999999999</v>
      </c>
      <c r="K1811">
        <v>1.104511</v>
      </c>
      <c r="L1811">
        <v>367.72539999999998</v>
      </c>
      <c r="M1811">
        <v>0.99982170000000004</v>
      </c>
      <c r="N1811">
        <v>0</v>
      </c>
      <c r="O1811">
        <v>1.431934E-2</v>
      </c>
      <c r="P1811">
        <v>0.99677479999999996</v>
      </c>
      <c r="Q1811">
        <v>2.2577750000000001E-2</v>
      </c>
      <c r="R1811">
        <v>7.7009320000000006E-2</v>
      </c>
      <c r="S1811">
        <v>3.0537719999999999</v>
      </c>
      <c r="T1811">
        <v>9.2731709999999995E-2</v>
      </c>
      <c r="U1811">
        <v>-0.60186770000000001</v>
      </c>
      <c r="V1811">
        <v>-6.2727469999999994E-2</v>
      </c>
      <c r="W1811">
        <v>3.4863860000000003E-2</v>
      </c>
      <c r="X1811">
        <v>0.99742160000000002</v>
      </c>
      <c r="Y1811">
        <v>0.20730190000000001</v>
      </c>
      <c r="Z1811">
        <v>3.547569E-3</v>
      </c>
      <c r="AA1811">
        <v>0.97827059999999999</v>
      </c>
      <c r="AB1811">
        <v>22</v>
      </c>
      <c r="AC1811">
        <v>64.533899999999903</v>
      </c>
      <c r="AD1811">
        <v>1.9632019999999999</v>
      </c>
      <c r="AE1811">
        <v>-12.7442999999999</v>
      </c>
      <c r="AF1811">
        <v>13.654983338488901</v>
      </c>
      <c r="AG1811">
        <v>1.9632019999999999</v>
      </c>
      <c r="AH1811">
        <v>64.287516861409998</v>
      </c>
      <c r="AI1811">
        <v>88.289001495863502</v>
      </c>
      <c r="AJ1811">
        <v>78.008314418077703</v>
      </c>
      <c r="AK1811">
        <v>65.751027035882004</v>
      </c>
      <c r="AL1811">
        <v>88.002043148293495</v>
      </c>
      <c r="AM1811">
        <v>93.598570816921594</v>
      </c>
      <c r="AN1811">
        <v>1.0000000361866199</v>
      </c>
    </row>
    <row r="1812" spans="1:40" x14ac:dyDescent="0.3">
      <c r="A1812" t="str">
        <f>"20200111145946270"</f>
        <v>20200111145946270</v>
      </c>
      <c r="B1812" t="str">
        <f>"1578725986267336"</f>
        <v>1578725986267336</v>
      </c>
      <c r="C1812" t="s">
        <v>40</v>
      </c>
      <c r="D1812">
        <v>4.3842999999999996</v>
      </c>
      <c r="E1812">
        <v>0.60696049999999901</v>
      </c>
      <c r="F1812" t="s">
        <v>44</v>
      </c>
      <c r="G1812">
        <v>-169.2955</v>
      </c>
      <c r="H1812">
        <v>2.8270520000000001</v>
      </c>
      <c r="I1812">
        <v>354.81330000000003</v>
      </c>
      <c r="J1812">
        <v>-233.71039999999999</v>
      </c>
      <c r="K1812">
        <v>1.1045130000000001</v>
      </c>
      <c r="L1812">
        <v>367.72710000000001</v>
      </c>
      <c r="M1812">
        <v>0.99982150000000003</v>
      </c>
      <c r="N1812">
        <v>0</v>
      </c>
      <c r="O1812">
        <v>1.43324E-2</v>
      </c>
      <c r="P1812">
        <v>0.99675190000000002</v>
      </c>
      <c r="Q1812">
        <v>2.2603709999999999E-2</v>
      </c>
      <c r="R1812">
        <v>7.7296840000000006E-2</v>
      </c>
      <c r="S1812">
        <v>3.055069</v>
      </c>
      <c r="T1812">
        <v>8.1549999999999997E-2</v>
      </c>
      <c r="U1812">
        <v>-0.61126709999999995</v>
      </c>
      <c r="V1812">
        <v>-6.3002310000000006E-2</v>
      </c>
      <c r="W1812">
        <v>3.4889120000000003E-2</v>
      </c>
      <c r="X1812">
        <v>0.99740340000000005</v>
      </c>
      <c r="Y1812">
        <v>0.21015210000000001</v>
      </c>
      <c r="Z1812">
        <v>3.1557410000000001E-3</v>
      </c>
      <c r="AA1812">
        <v>0.97766359999999997</v>
      </c>
      <c r="AB1812">
        <v>22</v>
      </c>
      <c r="AC1812">
        <v>64.414899999999903</v>
      </c>
      <c r="AD1812">
        <v>1.722539</v>
      </c>
      <c r="AE1812">
        <v>-12.913799999999901</v>
      </c>
      <c r="AF1812">
        <v>13.826258345451199</v>
      </c>
      <c r="AG1812">
        <v>1.722539</v>
      </c>
      <c r="AH1812">
        <v>64.1790618912014</v>
      </c>
      <c r="AI1812">
        <v>88.497039670512294</v>
      </c>
      <c r="AJ1812">
        <v>77.842434162464599</v>
      </c>
      <c r="AK1812">
        <v>65.674078186727101</v>
      </c>
      <c r="AL1812">
        <v>88.000594987650302</v>
      </c>
      <c r="AM1812">
        <v>93.614362004492307</v>
      </c>
      <c r="AN1812">
        <v>1.0000000420456301</v>
      </c>
    </row>
    <row r="1813" spans="1:40" x14ac:dyDescent="0.3">
      <c r="A1813" t="str">
        <f>"20200111145946282"</f>
        <v>20200111145946282</v>
      </c>
      <c r="B1813" t="str">
        <f>"1578725986277098"</f>
        <v>1578725986277098</v>
      </c>
      <c r="C1813" t="s">
        <v>40</v>
      </c>
      <c r="D1813">
        <v>4.1929720000000001</v>
      </c>
      <c r="E1813">
        <v>0.61094459999999995</v>
      </c>
      <c r="F1813" t="s">
        <v>44</v>
      </c>
      <c r="G1813">
        <v>-169.2955</v>
      </c>
      <c r="H1813">
        <v>2.6201400000000001</v>
      </c>
      <c r="I1813">
        <v>354.68819999999999</v>
      </c>
      <c r="J1813">
        <v>-233.5907</v>
      </c>
      <c r="K1813">
        <v>1.1045130000000001</v>
      </c>
      <c r="L1813">
        <v>367.72890000000001</v>
      </c>
      <c r="M1813">
        <v>0.99982139999999997</v>
      </c>
      <c r="N1813">
        <v>0</v>
      </c>
      <c r="O1813">
        <v>1.4345449999999999E-2</v>
      </c>
      <c r="P1813">
        <v>0.99672260000000001</v>
      </c>
      <c r="Q1813">
        <v>2.2596640000000001E-2</v>
      </c>
      <c r="R1813">
        <v>7.7679280000000003E-2</v>
      </c>
      <c r="S1813">
        <v>3.0561069999999999</v>
      </c>
      <c r="T1813">
        <v>7.1911569999999994E-2</v>
      </c>
      <c r="U1813">
        <v>-0.6186218</v>
      </c>
      <c r="V1813">
        <v>-6.3371869999999997E-2</v>
      </c>
      <c r="W1813">
        <v>3.4881019999999999E-2</v>
      </c>
      <c r="X1813">
        <v>0.9973803</v>
      </c>
      <c r="Y1813">
        <v>0.21237839999999999</v>
      </c>
      <c r="Z1813">
        <v>2.8075209999999999E-3</v>
      </c>
      <c r="AA1813">
        <v>0.97718349999999998</v>
      </c>
      <c r="AB1813">
        <v>22</v>
      </c>
      <c r="AC1813">
        <v>64.295199999999994</v>
      </c>
      <c r="AD1813">
        <v>1.5156270000000001</v>
      </c>
      <c r="AE1813">
        <v>-13.040699999999999</v>
      </c>
      <c r="AF1813">
        <v>13.954323487762</v>
      </c>
      <c r="AG1813">
        <v>1.5156270000000001</v>
      </c>
      <c r="AH1813">
        <v>64.0672996201681</v>
      </c>
      <c r="AI1813">
        <v>88.675851666244796</v>
      </c>
      <c r="AJ1813">
        <v>77.712470780205393</v>
      </c>
      <c r="AK1813">
        <v>65.586882452397703</v>
      </c>
      <c r="AL1813">
        <v>88.001059424290901</v>
      </c>
      <c r="AM1813">
        <v>93.635590469821196</v>
      </c>
      <c r="AN1813">
        <v>1.0000000711458099</v>
      </c>
    </row>
    <row r="1814" spans="1:40" x14ac:dyDescent="0.3">
      <c r="A1814" t="str">
        <f>"20200111145946294"</f>
        <v>20200111145946294</v>
      </c>
      <c r="B1814" t="str">
        <f>"1578725986287832"</f>
        <v>1578725986287832</v>
      </c>
      <c r="C1814" t="s">
        <v>40</v>
      </c>
      <c r="D1814">
        <v>4.1762410000000001</v>
      </c>
      <c r="E1814">
        <v>0.61142050000000003</v>
      </c>
      <c r="F1814" t="s">
        <v>44</v>
      </c>
      <c r="G1814">
        <v>-169.2955</v>
      </c>
      <c r="H1814">
        <v>3.397888</v>
      </c>
      <c r="I1814">
        <v>354.07929999999999</v>
      </c>
      <c r="J1814">
        <v>-233.46369999999999</v>
      </c>
      <c r="K1814">
        <v>1.1045160000000001</v>
      </c>
      <c r="L1814">
        <v>367.73070000000001</v>
      </c>
      <c r="M1814">
        <v>0.99982110000000002</v>
      </c>
      <c r="N1814">
        <v>0</v>
      </c>
      <c r="O1814">
        <v>1.43597E-2</v>
      </c>
      <c r="P1814">
        <v>0.9967163</v>
      </c>
      <c r="Q1814">
        <v>2.236813E-2</v>
      </c>
      <c r="R1814">
        <v>7.7824560000000001E-2</v>
      </c>
      <c r="S1814">
        <v>3.0579990000000001</v>
      </c>
      <c r="T1814">
        <v>0.1090811</v>
      </c>
      <c r="U1814">
        <v>-0.64920040000000001</v>
      </c>
      <c r="V1814">
        <v>-6.3503149999999994E-2</v>
      </c>
      <c r="W1814">
        <v>3.4651319999999999E-2</v>
      </c>
      <c r="X1814">
        <v>0.99737989999999999</v>
      </c>
      <c r="Y1814">
        <v>0.22155030000000001</v>
      </c>
      <c r="Z1814">
        <v>4.4133239999999997E-3</v>
      </c>
      <c r="AA1814">
        <v>0.97513899999999998</v>
      </c>
      <c r="AB1814">
        <v>22</v>
      </c>
      <c r="AC1814">
        <v>64.168199999999899</v>
      </c>
      <c r="AD1814">
        <v>2.2933720000000002</v>
      </c>
      <c r="AE1814">
        <v>-13.651400000000001</v>
      </c>
      <c r="AF1814">
        <v>14.553712986559599</v>
      </c>
      <c r="AG1814">
        <v>2.2933720000000002</v>
      </c>
      <c r="AH1814">
        <v>63.887465061730197</v>
      </c>
      <c r="AI1814">
        <v>87.995443660141802</v>
      </c>
      <c r="AJ1814">
        <v>77.166883962900599</v>
      </c>
      <c r="AK1814">
        <v>65.564306667876295</v>
      </c>
      <c r="AL1814">
        <v>88.014228112250393</v>
      </c>
      <c r="AM1814">
        <v>93.6431030871762</v>
      </c>
      <c r="AN1814">
        <v>1.0000000144808301</v>
      </c>
    </row>
    <row r="1815" spans="1:40" x14ac:dyDescent="0.3">
      <c r="A1815" t="str">
        <f>"20200111145946306"</f>
        <v>20200111145946306</v>
      </c>
      <c r="B1815" t="str">
        <f>"1578725986297592"</f>
        <v>1578725986297592</v>
      </c>
      <c r="C1815" t="s">
        <v>40</v>
      </c>
      <c r="D1815">
        <v>4.1490200000000002</v>
      </c>
      <c r="E1815">
        <v>0.61168389999999995</v>
      </c>
      <c r="F1815" t="s">
        <v>44</v>
      </c>
      <c r="G1815">
        <v>-169.2955</v>
      </c>
      <c r="H1815">
        <v>3.2287859999999999</v>
      </c>
      <c r="I1815">
        <v>354.04070000000002</v>
      </c>
      <c r="J1815">
        <v>-233.35069999999999</v>
      </c>
      <c r="K1815">
        <v>1.1045180000000001</v>
      </c>
      <c r="L1815">
        <v>367.73239999999998</v>
      </c>
      <c r="M1815">
        <v>0.99982090000000001</v>
      </c>
      <c r="N1815">
        <v>0</v>
      </c>
      <c r="O1815">
        <v>1.437222E-2</v>
      </c>
      <c r="P1815">
        <v>0.99670559999999997</v>
      </c>
      <c r="Q1815">
        <v>2.2363830000000001E-2</v>
      </c>
      <c r="R1815">
        <v>7.7961749999999996E-2</v>
      </c>
      <c r="S1815">
        <v>3.058548</v>
      </c>
      <c r="T1815">
        <v>0.1012565</v>
      </c>
      <c r="U1815">
        <v>-0.65252690000000002</v>
      </c>
      <c r="V1815">
        <v>-6.362777E-2</v>
      </c>
      <c r="W1815">
        <v>3.4645599999999999E-2</v>
      </c>
      <c r="X1815">
        <v>0.99737220000000004</v>
      </c>
      <c r="Y1815">
        <v>0.2225608</v>
      </c>
      <c r="Z1815">
        <v>4.1126890000000001E-3</v>
      </c>
      <c r="AA1815">
        <v>0.9749101</v>
      </c>
      <c r="AB1815">
        <v>22</v>
      </c>
      <c r="AC1815">
        <v>64.0551999999999</v>
      </c>
      <c r="AD1815">
        <v>2.1242679999999998</v>
      </c>
      <c r="AE1815">
        <v>-13.6916999999999</v>
      </c>
      <c r="AF1815">
        <v>14.595620081997501</v>
      </c>
      <c r="AG1815">
        <v>2.1242679999999998</v>
      </c>
      <c r="AH1815">
        <v>63.784703176299402</v>
      </c>
      <c r="AI1815">
        <v>88.140567485918794</v>
      </c>
      <c r="AJ1815">
        <v>77.111119108882505</v>
      </c>
      <c r="AK1815">
        <v>65.467801241545104</v>
      </c>
      <c r="AL1815">
        <v>88.014556127491801</v>
      </c>
      <c r="AM1815">
        <v>93.650261188255001</v>
      </c>
      <c r="AN1815">
        <v>1.0000000580236801</v>
      </c>
    </row>
    <row r="1816" spans="1:40" x14ac:dyDescent="0.3">
      <c r="A1816" t="str">
        <f>"20200111145946317"</f>
        <v>20200111145946317</v>
      </c>
      <c r="B1816" t="str">
        <f>"1578725986307355"</f>
        <v>1578725986307355</v>
      </c>
      <c r="C1816" t="s">
        <v>40</v>
      </c>
      <c r="D1816">
        <v>4.1985789999999996</v>
      </c>
      <c r="E1816">
        <v>0.61203869999999905</v>
      </c>
      <c r="F1816" t="s">
        <v>44</v>
      </c>
      <c r="G1816">
        <v>-169.2955</v>
      </c>
      <c r="H1816">
        <v>3.1313300000000002</v>
      </c>
      <c r="I1816">
        <v>354.03550000000001</v>
      </c>
      <c r="J1816">
        <v>-233.24010000000001</v>
      </c>
      <c r="K1816">
        <v>1.1045149999999999</v>
      </c>
      <c r="L1816">
        <v>367.73399999999998</v>
      </c>
      <c r="M1816">
        <v>0.99982090000000001</v>
      </c>
      <c r="N1816">
        <v>0</v>
      </c>
      <c r="O1816">
        <v>1.4384630000000001E-2</v>
      </c>
      <c r="P1816">
        <v>0.99670639999999999</v>
      </c>
      <c r="Q1816">
        <v>2.2209400000000001E-2</v>
      </c>
      <c r="R1816">
        <v>7.7996839999999998E-2</v>
      </c>
      <c r="S1816">
        <v>3.0588989999999998</v>
      </c>
      <c r="T1816">
        <v>9.6792580000000003E-2</v>
      </c>
      <c r="U1816">
        <v>-0.65408330000000003</v>
      </c>
      <c r="V1816">
        <v>-6.3650470000000001E-2</v>
      </c>
      <c r="W1816">
        <v>3.449025E-2</v>
      </c>
      <c r="X1816">
        <v>0.99737609999999999</v>
      </c>
      <c r="Y1816">
        <v>0.22303500000000001</v>
      </c>
      <c r="Z1816">
        <v>3.9386279999999996E-3</v>
      </c>
      <c r="AA1816">
        <v>0.97480250000000002</v>
      </c>
      <c r="AB1816">
        <v>22</v>
      </c>
      <c r="AC1816">
        <v>63.944600000000001</v>
      </c>
      <c r="AD1816">
        <v>2.026815</v>
      </c>
      <c r="AE1816">
        <v>-13.698499999999999</v>
      </c>
      <c r="AF1816">
        <v>14.6029441657971</v>
      </c>
      <c r="AG1816">
        <v>2.026815</v>
      </c>
      <c r="AH1816">
        <v>63.679750768959302</v>
      </c>
      <c r="AI1816">
        <v>88.223083070172194</v>
      </c>
      <c r="AJ1816">
        <v>77.084326916877401</v>
      </c>
      <c r="AK1816">
        <v>65.3640927065494</v>
      </c>
      <c r="AL1816">
        <v>88.023462278419402</v>
      </c>
      <c r="AM1816">
        <v>93.651545701668596</v>
      </c>
      <c r="AN1816">
        <v>1.00000002226374</v>
      </c>
    </row>
    <row r="1817" spans="1:40" x14ac:dyDescent="0.3">
      <c r="A1817" t="str">
        <f>"20200111145946328"</f>
        <v>20200111145946328</v>
      </c>
      <c r="B1817" t="str">
        <f>"1578725986317113"</f>
        <v>1578725986317113</v>
      </c>
      <c r="C1817" t="s">
        <v>40</v>
      </c>
      <c r="D1817">
        <v>4.1548360000000004</v>
      </c>
      <c r="E1817">
        <v>0.61210679999999995</v>
      </c>
      <c r="F1817" t="s">
        <v>44</v>
      </c>
      <c r="G1817">
        <v>-169.2955</v>
      </c>
      <c r="H1817">
        <v>3.0348109999999999</v>
      </c>
      <c r="I1817">
        <v>354.00479999999999</v>
      </c>
      <c r="J1817">
        <v>-233.1336</v>
      </c>
      <c r="K1817">
        <v>1.1045180000000001</v>
      </c>
      <c r="L1817">
        <v>367.7355</v>
      </c>
      <c r="M1817">
        <v>0.99982070000000001</v>
      </c>
      <c r="N1817">
        <v>0</v>
      </c>
      <c r="O1817">
        <v>1.43965E-2</v>
      </c>
      <c r="P1817">
        <v>0.99670530000000002</v>
      </c>
      <c r="Q1817">
        <v>2.223723E-2</v>
      </c>
      <c r="R1817">
        <v>7.800058E-2</v>
      </c>
      <c r="S1817">
        <v>3.0592350000000001</v>
      </c>
      <c r="T1817">
        <v>9.235322E-2</v>
      </c>
      <c r="U1817">
        <v>-0.65682980000000002</v>
      </c>
      <c r="V1817">
        <v>-6.3641859999999995E-2</v>
      </c>
      <c r="W1817">
        <v>3.4516940000000003E-2</v>
      </c>
      <c r="X1817">
        <v>0.99737569999999998</v>
      </c>
      <c r="Y1817">
        <v>0.22387119999999999</v>
      </c>
      <c r="Z1817">
        <v>3.7701459999999998E-3</v>
      </c>
      <c r="AA1817">
        <v>0.97461149999999996</v>
      </c>
      <c r="AB1817">
        <v>22</v>
      </c>
      <c r="AC1817">
        <v>63.838099999999997</v>
      </c>
      <c r="AD1817">
        <v>1.930293</v>
      </c>
      <c r="AE1817">
        <v>-13.730700000000001</v>
      </c>
      <c r="AF1817">
        <v>14.635601957135799</v>
      </c>
      <c r="AG1817">
        <v>1.930293</v>
      </c>
      <c r="AH1817">
        <v>63.5782351448565</v>
      </c>
      <c r="AI1817">
        <v>88.305278503724097</v>
      </c>
      <c r="AJ1817">
        <v>77.036444775298307</v>
      </c>
      <c r="AK1817">
        <v>65.269586024795998</v>
      </c>
      <c r="AL1817">
        <v>88.021932091480295</v>
      </c>
      <c r="AM1817">
        <v>93.651054553479895</v>
      </c>
      <c r="AN1817">
        <v>0.999999996220856</v>
      </c>
    </row>
    <row r="1818" spans="1:40" x14ac:dyDescent="0.3">
      <c r="A1818" t="str">
        <f>"20200111145946340"</f>
        <v>20200111145946340</v>
      </c>
      <c r="B1818" t="str">
        <f>"1578725986337608"</f>
        <v>1578725986337608</v>
      </c>
      <c r="C1818" t="s">
        <v>40</v>
      </c>
      <c r="D1818">
        <v>4.2112980000000002</v>
      </c>
      <c r="E1818">
        <v>0.61242339999999995</v>
      </c>
      <c r="F1818" t="s">
        <v>44</v>
      </c>
      <c r="G1818">
        <v>-169.2955</v>
      </c>
      <c r="H1818">
        <v>3.018869</v>
      </c>
      <c r="I1818">
        <v>354.01690000000002</v>
      </c>
      <c r="J1818">
        <v>-233.01070000000001</v>
      </c>
      <c r="K1818">
        <v>1.104522</v>
      </c>
      <c r="L1818">
        <v>367.7373</v>
      </c>
      <c r="M1818">
        <v>0.99982059999999995</v>
      </c>
      <c r="N1818">
        <v>0</v>
      </c>
      <c r="O1818">
        <v>1.440991E-2</v>
      </c>
      <c r="P1818">
        <v>0.99668659999999998</v>
      </c>
      <c r="Q1818">
        <v>2.2195869999999999E-2</v>
      </c>
      <c r="R1818">
        <v>7.8253139999999999E-2</v>
      </c>
      <c r="S1818">
        <v>3.059326</v>
      </c>
      <c r="T1818">
        <v>9.1745850000000004E-2</v>
      </c>
      <c r="U1818">
        <v>-0.65744019999999903</v>
      </c>
      <c r="V1818">
        <v>-6.3881640000000003E-2</v>
      </c>
      <c r="W1818">
        <v>3.4474049999999999E-2</v>
      </c>
      <c r="X1818">
        <v>0.99736179999999997</v>
      </c>
      <c r="Y1818">
        <v>0.2240655</v>
      </c>
      <c r="Z1818">
        <v>3.7484530000000001E-3</v>
      </c>
      <c r="AA1818">
        <v>0.97456690000000001</v>
      </c>
      <c r="AB1818">
        <v>22</v>
      </c>
      <c r="AC1818">
        <v>63.715200000000003</v>
      </c>
      <c r="AD1818">
        <v>1.914347</v>
      </c>
      <c r="AE1818">
        <v>-13.7203999999999</v>
      </c>
      <c r="AF1818">
        <v>14.6245580138992</v>
      </c>
      <c r="AG1818">
        <v>1.914347</v>
      </c>
      <c r="AH1818">
        <v>63.456114088490303</v>
      </c>
      <c r="AI1818">
        <v>88.316136717099695</v>
      </c>
      <c r="AJ1818">
        <v>77.021810053998706</v>
      </c>
      <c r="AK1818">
        <v>65.147684814963398</v>
      </c>
      <c r="AL1818">
        <v>88.024390863855302</v>
      </c>
      <c r="AM1818">
        <v>93.664823952690199</v>
      </c>
      <c r="AN1818">
        <v>0.99999994207586396</v>
      </c>
    </row>
    <row r="1819" spans="1:40" x14ac:dyDescent="0.3">
      <c r="A1819" t="str">
        <f>"20200111145946351"</f>
        <v>20200111145946351</v>
      </c>
      <c r="B1819" t="str">
        <f>"1578725986347368"</f>
        <v>1578725986347368</v>
      </c>
      <c r="C1819" t="s">
        <v>40</v>
      </c>
      <c r="D1819">
        <v>4.1039000000000003</v>
      </c>
      <c r="E1819">
        <v>0.61252249999999997</v>
      </c>
      <c r="F1819" t="s">
        <v>44</v>
      </c>
      <c r="G1819">
        <v>-169.2955</v>
      </c>
      <c r="H1819">
        <v>2.968728</v>
      </c>
      <c r="I1819">
        <v>354.01080000000002</v>
      </c>
      <c r="J1819">
        <v>-232.90129999999999</v>
      </c>
      <c r="K1819">
        <v>1.1045290000000001</v>
      </c>
      <c r="L1819">
        <v>367.7389</v>
      </c>
      <c r="M1819">
        <v>0.99982040000000005</v>
      </c>
      <c r="N1819">
        <v>0</v>
      </c>
      <c r="O1819">
        <v>1.4421959999999999E-2</v>
      </c>
      <c r="P1819">
        <v>0.99668789999999996</v>
      </c>
      <c r="Q1819">
        <v>2.248263E-2</v>
      </c>
      <c r="R1819">
        <v>7.8153719999999996E-2</v>
      </c>
      <c r="S1819">
        <v>3.0597530000000002</v>
      </c>
      <c r="T1819">
        <v>8.9527490000000001E-2</v>
      </c>
      <c r="U1819">
        <v>-0.65917969999999904</v>
      </c>
      <c r="V1819">
        <v>-6.3770679999999996E-2</v>
      </c>
      <c r="W1819">
        <v>3.4759499999999999E-2</v>
      </c>
      <c r="X1819">
        <v>0.997359</v>
      </c>
      <c r="Y1819">
        <v>0.22458349999999999</v>
      </c>
      <c r="Z1819">
        <v>3.66498E-3</v>
      </c>
      <c r="AA1819">
        <v>0.97444799999999998</v>
      </c>
      <c r="AB1819">
        <v>22</v>
      </c>
      <c r="AC1819">
        <v>63.605799999999903</v>
      </c>
      <c r="AD1819">
        <v>1.8641989999999999</v>
      </c>
      <c r="AE1819">
        <v>-13.7280999999999</v>
      </c>
      <c r="AF1819">
        <v>14.6320522474643</v>
      </c>
      <c r="AG1819">
        <v>1.8641989999999999</v>
      </c>
      <c r="AH1819">
        <v>63.349188172642002</v>
      </c>
      <c r="AI1819">
        <v>88.357638777716403</v>
      </c>
      <c r="AJ1819">
        <v>76.994212859118605</v>
      </c>
      <c r="AK1819">
        <v>65.043768594823405</v>
      </c>
      <c r="AL1819">
        <v>88.008025987603105</v>
      </c>
      <c r="AM1819">
        <v>93.658485837940603</v>
      </c>
      <c r="AN1819">
        <v>0.99999994867445396</v>
      </c>
    </row>
    <row r="1820" spans="1:40" x14ac:dyDescent="0.3">
      <c r="A1820" t="str">
        <f>"20200111145946365"</f>
        <v>20200111145946365</v>
      </c>
      <c r="B1820" t="str">
        <f>"1578725986358104"</f>
        <v>1578725986358104</v>
      </c>
      <c r="C1820" t="s">
        <v>40</v>
      </c>
      <c r="D1820">
        <v>4.2049849999999998</v>
      </c>
      <c r="E1820">
        <v>0.61279300000000003</v>
      </c>
      <c r="F1820" t="s">
        <v>44</v>
      </c>
      <c r="G1820">
        <v>-169.2955</v>
      </c>
      <c r="H1820">
        <v>3.0495220000000001</v>
      </c>
      <c r="I1820">
        <v>354.0127</v>
      </c>
      <c r="J1820">
        <v>-232.7612</v>
      </c>
      <c r="K1820">
        <v>1.104535</v>
      </c>
      <c r="L1820">
        <v>367.74099999999999</v>
      </c>
      <c r="M1820">
        <v>0.99982020000000005</v>
      </c>
      <c r="N1820">
        <v>0</v>
      </c>
      <c r="O1820">
        <v>1.4437230000000001E-2</v>
      </c>
      <c r="P1820">
        <v>0.99663460000000004</v>
      </c>
      <c r="Q1820">
        <v>2.2986800000000002E-2</v>
      </c>
      <c r="R1820">
        <v>7.8685399999999905E-2</v>
      </c>
      <c r="S1820">
        <v>3.059647</v>
      </c>
      <c r="T1820">
        <v>9.3564629999999996E-2</v>
      </c>
      <c r="U1820">
        <v>-0.66027829999999998</v>
      </c>
      <c r="V1820">
        <v>-6.4287430000000007E-2</v>
      </c>
      <c r="W1820">
        <v>3.5262250000000002E-2</v>
      </c>
      <c r="X1820">
        <v>0.99730830000000004</v>
      </c>
      <c r="Y1820">
        <v>0.22493060000000001</v>
      </c>
      <c r="Z1820">
        <v>3.835869E-3</v>
      </c>
      <c r="AA1820">
        <v>0.97436730000000005</v>
      </c>
      <c r="AB1820">
        <v>22</v>
      </c>
      <c r="AC1820">
        <v>63.465699999999998</v>
      </c>
      <c r="AD1820">
        <v>1.94498699999999</v>
      </c>
      <c r="AE1820">
        <v>-13.7282999999999</v>
      </c>
      <c r="AF1820">
        <v>14.630080845537799</v>
      </c>
      <c r="AG1820">
        <v>1.94498699999999</v>
      </c>
      <c r="AH1820">
        <v>63.204163258503002</v>
      </c>
      <c r="AI1820">
        <v>88.282764575867702</v>
      </c>
      <c r="AJ1820">
        <v>76.967084638649396</v>
      </c>
      <c r="AK1820">
        <v>64.904456651177995</v>
      </c>
      <c r="AL1820">
        <v>87.979203112626294</v>
      </c>
      <c r="AM1820">
        <v>93.688236955900905</v>
      </c>
      <c r="AN1820">
        <v>1.00000007258997</v>
      </c>
    </row>
    <row r="1821" spans="1:40" x14ac:dyDescent="0.3">
      <c r="A1821" t="str">
        <f>"20200111145946378"</f>
        <v>20200111145946378</v>
      </c>
      <c r="B1821" t="str">
        <f>"1578725986367864"</f>
        <v>1578725986367864</v>
      </c>
      <c r="C1821" t="s">
        <v>40</v>
      </c>
      <c r="D1821">
        <v>4.1309760000000004</v>
      </c>
      <c r="E1821">
        <v>0.61287349999999996</v>
      </c>
      <c r="F1821" t="s">
        <v>44</v>
      </c>
      <c r="G1821">
        <v>-169.2955</v>
      </c>
      <c r="H1821">
        <v>3.0190130000000002</v>
      </c>
      <c r="I1821">
        <v>354.03469999999999</v>
      </c>
      <c r="J1821">
        <v>-232.6371</v>
      </c>
      <c r="K1821">
        <v>1.1045430000000001</v>
      </c>
      <c r="L1821">
        <v>367.74279999999999</v>
      </c>
      <c r="M1821">
        <v>0.99981989999999998</v>
      </c>
      <c r="N1821">
        <v>0</v>
      </c>
      <c r="O1821">
        <v>1.445077E-2</v>
      </c>
      <c r="P1821">
        <v>0.99660729999999997</v>
      </c>
      <c r="Q1821">
        <v>2.3407000000000001E-2</v>
      </c>
      <c r="R1821">
        <v>7.8906850000000001E-2</v>
      </c>
      <c r="S1821">
        <v>3.0601959999999999</v>
      </c>
      <c r="T1821">
        <v>9.2316510000000004E-2</v>
      </c>
      <c r="U1821">
        <v>-0.6608887</v>
      </c>
      <c r="V1821">
        <v>-6.4495709999999998E-2</v>
      </c>
      <c r="W1821">
        <v>3.5680650000000001E-2</v>
      </c>
      <c r="X1821">
        <v>0.9972799</v>
      </c>
      <c r="Y1821">
        <v>0.2250962</v>
      </c>
      <c r="Z1821">
        <v>3.7868540000000001E-3</v>
      </c>
      <c r="AA1821">
        <v>0.97432920000000001</v>
      </c>
      <c r="AB1821">
        <v>22</v>
      </c>
      <c r="AC1821">
        <v>63.3416</v>
      </c>
      <c r="AD1821">
        <v>1.9144699999999999</v>
      </c>
      <c r="AE1821">
        <v>-13.7081</v>
      </c>
      <c r="AF1821">
        <v>14.609323738465999</v>
      </c>
      <c r="AG1821">
        <v>1.9144699999999999</v>
      </c>
      <c r="AH1821">
        <v>63.081828995911302</v>
      </c>
      <c r="AI1821">
        <v>88.306460858998406</v>
      </c>
      <c r="AJ1821">
        <v>76.960567421037595</v>
      </c>
      <c r="AK1821">
        <v>64.779739772135599</v>
      </c>
      <c r="AL1821">
        <v>87.955215320322097</v>
      </c>
      <c r="AM1821">
        <v>93.700258132843402</v>
      </c>
      <c r="AN1821">
        <v>1.0000000021684099</v>
      </c>
    </row>
    <row r="1822" spans="1:40" x14ac:dyDescent="0.3">
      <c r="A1822" t="str">
        <f>"20200111145946391"</f>
        <v>20200111145946391</v>
      </c>
      <c r="B1822" t="str">
        <f>"1578725986387384"</f>
        <v>1578725986387384</v>
      </c>
      <c r="C1822" t="s">
        <v>40</v>
      </c>
      <c r="D1822">
        <v>4.1646089999999996</v>
      </c>
      <c r="E1822">
        <v>0.61325450000000004</v>
      </c>
      <c r="F1822" t="s">
        <v>44</v>
      </c>
      <c r="G1822">
        <v>-169.2955</v>
      </c>
      <c r="H1822">
        <v>2.9955449999999999</v>
      </c>
      <c r="I1822">
        <v>354.06849999999997</v>
      </c>
      <c r="J1822">
        <v>-232.5266</v>
      </c>
      <c r="K1822">
        <v>1.1045480000000001</v>
      </c>
      <c r="L1822">
        <v>367.74439999999998</v>
      </c>
      <c r="M1822">
        <v>0.99981980000000004</v>
      </c>
      <c r="N1822">
        <v>0</v>
      </c>
      <c r="O1822">
        <v>1.446252E-2</v>
      </c>
      <c r="P1822">
        <v>0.99660470000000001</v>
      </c>
      <c r="Q1822">
        <v>2.3709859999999999E-2</v>
      </c>
      <c r="R1822">
        <v>7.8848109999999999E-2</v>
      </c>
      <c r="S1822">
        <v>3.0603790000000002</v>
      </c>
      <c r="T1822">
        <v>9.1368679999999994E-2</v>
      </c>
      <c r="U1822">
        <v>-0.66067500000000001</v>
      </c>
      <c r="V1822">
        <v>-6.44256E-2</v>
      </c>
      <c r="W1822">
        <v>3.5982300000000002E-2</v>
      </c>
      <c r="X1822">
        <v>0.99727359999999998</v>
      </c>
      <c r="Y1822">
        <v>0.22503280000000001</v>
      </c>
      <c r="Z1822">
        <v>3.747209E-3</v>
      </c>
      <c r="AA1822">
        <v>0.97434399999999999</v>
      </c>
      <c r="AB1822">
        <v>22</v>
      </c>
      <c r="AC1822">
        <v>63.231099999999998</v>
      </c>
      <c r="AD1822">
        <v>1.890997</v>
      </c>
      <c r="AE1822">
        <v>-13.6759</v>
      </c>
      <c r="AF1822">
        <v>14.5765653131437</v>
      </c>
      <c r="AG1822">
        <v>1.890997</v>
      </c>
      <c r="AH1822">
        <v>62.972878350178298</v>
      </c>
      <c r="AI1822">
        <v>88.324276733060401</v>
      </c>
      <c r="AJ1822">
        <v>76.967066706091501</v>
      </c>
      <c r="AK1822">
        <v>64.665566831882899</v>
      </c>
      <c r="AL1822">
        <v>87.937920955929599</v>
      </c>
      <c r="AM1822">
        <v>93.696270212873898</v>
      </c>
      <c r="AN1822">
        <v>1.0000000085528</v>
      </c>
    </row>
    <row r="1823" spans="1:40" x14ac:dyDescent="0.3">
      <c r="A1823" t="str">
        <f>"20200111145946402"</f>
        <v>20200111145946402</v>
      </c>
      <c r="B1823" t="str">
        <f>"1578725986397144"</f>
        <v>1578725986397144</v>
      </c>
      <c r="C1823" t="s">
        <v>40</v>
      </c>
      <c r="D1823">
        <v>4.2297779999999996</v>
      </c>
      <c r="E1823">
        <v>0.61346469999999997</v>
      </c>
      <c r="F1823" t="s">
        <v>44</v>
      </c>
      <c r="G1823">
        <v>-169.2955</v>
      </c>
      <c r="H1823">
        <v>3.3617900000000001</v>
      </c>
      <c r="I1823">
        <v>354.02620000000002</v>
      </c>
      <c r="J1823">
        <v>-232.4074</v>
      </c>
      <c r="K1823">
        <v>1.104552</v>
      </c>
      <c r="L1823">
        <v>367.74610000000001</v>
      </c>
      <c r="M1823">
        <v>0.99981949999999997</v>
      </c>
      <c r="N1823">
        <v>0</v>
      </c>
      <c r="O1823">
        <v>1.4475399999999999E-2</v>
      </c>
      <c r="P1823">
        <v>0.99658760000000002</v>
      </c>
      <c r="Q1823">
        <v>2.3832030000000001E-2</v>
      </c>
      <c r="R1823">
        <v>7.9027029999999998E-2</v>
      </c>
      <c r="S1823">
        <v>3.0601500000000001</v>
      </c>
      <c r="T1823">
        <v>0.1092463</v>
      </c>
      <c r="U1823">
        <v>-0.66390990000000005</v>
      </c>
      <c r="V1823">
        <v>-6.4591739999999995E-2</v>
      </c>
      <c r="W1823">
        <v>3.6102860000000001E-2</v>
      </c>
      <c r="X1823">
        <v>0.99725850000000005</v>
      </c>
      <c r="Y1823">
        <v>0.2259997</v>
      </c>
      <c r="Z1823">
        <v>4.4973349999999999E-3</v>
      </c>
      <c r="AA1823">
        <v>0.97411700000000001</v>
      </c>
      <c r="AB1823">
        <v>22</v>
      </c>
      <c r="AC1823">
        <v>63.111899999999899</v>
      </c>
      <c r="AD1823">
        <v>2.2572380000000001</v>
      </c>
      <c r="AE1823">
        <v>-13.7198999999999</v>
      </c>
      <c r="AF1823">
        <v>14.614250783545</v>
      </c>
      <c r="AG1823">
        <v>2.2572380000000001</v>
      </c>
      <c r="AH1823">
        <v>62.829926348408598</v>
      </c>
      <c r="AI1823">
        <v>87.995921254924596</v>
      </c>
      <c r="AJ1823">
        <v>76.905823010583902</v>
      </c>
      <c r="AK1823">
        <v>64.5466582736817</v>
      </c>
      <c r="AL1823">
        <v>87.931008894100202</v>
      </c>
      <c r="AM1823">
        <v>93.705831540294696</v>
      </c>
      <c r="AN1823">
        <v>1.00000001259932</v>
      </c>
    </row>
    <row r="1824" spans="1:40" x14ac:dyDescent="0.3">
      <c r="A1824" t="str">
        <f>"20200111145946412"</f>
        <v>20200111145946412</v>
      </c>
      <c r="B1824" t="str">
        <f>"1578725986407880"</f>
        <v>1578725986407880</v>
      </c>
      <c r="C1824" t="s">
        <v>40</v>
      </c>
      <c r="D1824">
        <v>3.8760880000000002</v>
      </c>
      <c r="E1824">
        <v>0.61346469999999997</v>
      </c>
      <c r="F1824" t="s">
        <v>44</v>
      </c>
      <c r="G1824">
        <v>-169.2955</v>
      </c>
      <c r="H1824">
        <v>3.291201</v>
      </c>
      <c r="I1824">
        <v>354.0324</v>
      </c>
      <c r="J1824">
        <v>-232.3006</v>
      </c>
      <c r="K1824">
        <v>1.104557</v>
      </c>
      <c r="L1824">
        <v>367.74759999999998</v>
      </c>
      <c r="M1824">
        <v>0.99981949999999997</v>
      </c>
      <c r="N1824">
        <v>0</v>
      </c>
      <c r="O1824">
        <v>1.4486789999999999E-2</v>
      </c>
      <c r="P1824">
        <v>0.99658740000000001</v>
      </c>
      <c r="Q1824">
        <v>2.412709E-2</v>
      </c>
      <c r="R1824">
        <v>7.8941689999999995E-2</v>
      </c>
      <c r="S1824">
        <v>3.0604550000000001</v>
      </c>
      <c r="T1824">
        <v>0.1060401</v>
      </c>
      <c r="U1824">
        <v>-0.6650085</v>
      </c>
      <c r="V1824">
        <v>-6.4494999999999997E-2</v>
      </c>
      <c r="W1824">
        <v>3.6396869999999998E-2</v>
      </c>
      <c r="X1824">
        <v>0.99725410000000003</v>
      </c>
      <c r="Y1824">
        <v>0.2263329</v>
      </c>
      <c r="Z1824">
        <v>4.3709309999999998E-3</v>
      </c>
      <c r="AA1824">
        <v>0.97404020000000002</v>
      </c>
      <c r="AB1824">
        <v>22</v>
      </c>
      <c r="AC1824">
        <v>63.005099999999999</v>
      </c>
      <c r="AD1824">
        <v>2.1866439999999998</v>
      </c>
      <c r="AE1824">
        <v>-13.7151999999999</v>
      </c>
      <c r="AF1824">
        <v>14.609769904425001</v>
      </c>
      <c r="AG1824">
        <v>2.1866439999999998</v>
      </c>
      <c r="AH1824">
        <v>62.727646273705297</v>
      </c>
      <c r="AI1824">
        <v>88.055517960644295</v>
      </c>
      <c r="AJ1824">
        <v>76.889092015144101</v>
      </c>
      <c r="AK1824">
        <v>64.443652873514907</v>
      </c>
      <c r="AL1824">
        <v>87.914152337431005</v>
      </c>
      <c r="AM1824">
        <v>93.700312974291194</v>
      </c>
      <c r="AN1824">
        <v>1.0000000385687999</v>
      </c>
    </row>
    <row r="1825" spans="1:40" x14ac:dyDescent="0.3">
      <c r="A1825" t="str">
        <f>"20200111145946423"</f>
        <v>20200111145946423</v>
      </c>
      <c r="B1825" t="str">
        <f>"1578725986417640"</f>
        <v>1578725986417640</v>
      </c>
      <c r="C1825" t="s">
        <v>40</v>
      </c>
      <c r="D1825">
        <v>4.1593780000000002</v>
      </c>
      <c r="E1825">
        <v>0.61358599999999996</v>
      </c>
      <c r="F1825" t="s">
        <v>44</v>
      </c>
      <c r="G1825">
        <v>-169.2955</v>
      </c>
      <c r="H1825">
        <v>3.300084</v>
      </c>
      <c r="I1825">
        <v>354.04930000000002</v>
      </c>
      <c r="J1825">
        <v>-232.1942</v>
      </c>
      <c r="K1825">
        <v>1.1045590000000001</v>
      </c>
      <c r="L1825">
        <v>367.74919999999997</v>
      </c>
      <c r="M1825">
        <v>0.99981929999999997</v>
      </c>
      <c r="N1825">
        <v>0</v>
      </c>
      <c r="O1825">
        <v>1.4498479999999999E-2</v>
      </c>
      <c r="P1825">
        <v>0.99660990000000005</v>
      </c>
      <c r="Q1825">
        <v>2.4194940000000002E-2</v>
      </c>
      <c r="R1825">
        <v>7.8635250000000004E-2</v>
      </c>
      <c r="S1825">
        <v>3.0603790000000002</v>
      </c>
      <c r="T1825">
        <v>0.1066486</v>
      </c>
      <c r="U1825">
        <v>-0.66537480000000004</v>
      </c>
      <c r="V1825">
        <v>-6.4176720000000007E-2</v>
      </c>
      <c r="W1825">
        <v>3.6464070000000001E-2</v>
      </c>
      <c r="X1825">
        <v>0.99727209999999999</v>
      </c>
      <c r="Y1825">
        <v>0.22645899999999999</v>
      </c>
      <c r="Z1825">
        <v>4.3986219999999996E-3</v>
      </c>
      <c r="AA1825">
        <v>0.97401079999999995</v>
      </c>
      <c r="AB1825">
        <v>22</v>
      </c>
      <c r="AC1825">
        <v>62.898699999999899</v>
      </c>
      <c r="AD1825">
        <v>2.1955249999999902</v>
      </c>
      <c r="AE1825">
        <v>-13.6998999999999</v>
      </c>
      <c r="AF1825">
        <v>14.593488762529301</v>
      </c>
      <c r="AG1825">
        <v>2.1955249999999902</v>
      </c>
      <c r="AH1825">
        <v>62.620603180820602</v>
      </c>
      <c r="AI1825">
        <v>88.044351466151198</v>
      </c>
      <c r="AJ1825">
        <v>76.881584975514897</v>
      </c>
      <c r="AK1825">
        <v>64.336072206946994</v>
      </c>
      <c r="AL1825">
        <v>87.910299340673404</v>
      </c>
      <c r="AM1825">
        <v>93.682036175922505</v>
      </c>
      <c r="AN1825">
        <v>0.99999996061466501</v>
      </c>
    </row>
    <row r="1826" spans="1:40" x14ac:dyDescent="0.3">
      <c r="A1826" t="str">
        <f>"20200111145946434"</f>
        <v>20200111145946434</v>
      </c>
      <c r="B1826" t="str">
        <f>"1578725986427400"</f>
        <v>1578725986427400</v>
      </c>
      <c r="C1826" t="s">
        <v>40</v>
      </c>
      <c r="D1826">
        <v>4.185219</v>
      </c>
      <c r="E1826">
        <v>0.61314740000000001</v>
      </c>
      <c r="F1826" t="s">
        <v>44</v>
      </c>
      <c r="G1826">
        <v>-169.2955</v>
      </c>
      <c r="H1826">
        <v>3.3606500000000001</v>
      </c>
      <c r="I1826">
        <v>354.0369</v>
      </c>
      <c r="J1826">
        <v>-232.08449999999999</v>
      </c>
      <c r="K1826">
        <v>1.1045579999999999</v>
      </c>
      <c r="L1826">
        <v>367.75080000000003</v>
      </c>
      <c r="M1826">
        <v>0.99981920000000002</v>
      </c>
      <c r="N1826">
        <v>0</v>
      </c>
      <c r="O1826">
        <v>1.451041E-2</v>
      </c>
      <c r="P1826">
        <v>0.99662689999999998</v>
      </c>
      <c r="Q1826">
        <v>2.4220410000000001E-2</v>
      </c>
      <c r="R1826">
        <v>7.8413899999999995E-2</v>
      </c>
      <c r="S1826">
        <v>3.0601959999999999</v>
      </c>
      <c r="T1826">
        <v>0.1097692</v>
      </c>
      <c r="U1826">
        <v>-0.66714479999999998</v>
      </c>
      <c r="V1826">
        <v>-6.3943650000000005E-2</v>
      </c>
      <c r="W1826">
        <v>3.6488359999999997E-2</v>
      </c>
      <c r="X1826">
        <v>0.99728620000000001</v>
      </c>
      <c r="Y1826">
        <v>0.22701189999999999</v>
      </c>
      <c r="Z1826">
        <v>4.5374619999999999E-3</v>
      </c>
      <c r="AA1826">
        <v>0.97388140000000001</v>
      </c>
      <c r="AB1826">
        <v>22</v>
      </c>
      <c r="AC1826">
        <v>62.788999999999902</v>
      </c>
      <c r="AD1826">
        <v>2.25609199999999</v>
      </c>
      <c r="AE1826">
        <v>-13.713900000000001</v>
      </c>
      <c r="AF1826">
        <v>14.6056207461131</v>
      </c>
      <c r="AG1826">
        <v>2.25609199999999</v>
      </c>
      <c r="AH1826">
        <v>62.506354080250901</v>
      </c>
      <c r="AI1826">
        <v>87.987051441265805</v>
      </c>
      <c r="AJ1826">
        <v>76.847893207079807</v>
      </c>
      <c r="AK1826">
        <v>64.229731502610605</v>
      </c>
      <c r="AL1826">
        <v>87.908906735209996</v>
      </c>
      <c r="AM1826">
        <v>93.668649017537604</v>
      </c>
      <c r="AN1826">
        <v>0.99999997775062499</v>
      </c>
    </row>
    <row r="1827" spans="1:40" x14ac:dyDescent="0.3">
      <c r="A1827" t="str">
        <f>"20200111145946445"</f>
        <v>20200111145946445</v>
      </c>
      <c r="B1827" t="str">
        <f>"1578725986437160"</f>
        <v>1578725986437160</v>
      </c>
      <c r="C1827" t="s">
        <v>40</v>
      </c>
      <c r="D1827">
        <v>4.2027039999999998</v>
      </c>
      <c r="E1827">
        <v>0.61319919999999895</v>
      </c>
      <c r="F1827" t="s">
        <v>44</v>
      </c>
      <c r="G1827">
        <v>-169.2955</v>
      </c>
      <c r="H1827">
        <v>3.6011980000000001</v>
      </c>
      <c r="I1827">
        <v>354.11110000000002</v>
      </c>
      <c r="J1827">
        <v>-231.97819999999999</v>
      </c>
      <c r="K1827">
        <v>1.1045590000000001</v>
      </c>
      <c r="L1827">
        <v>367.75229999999999</v>
      </c>
      <c r="M1827">
        <v>0.99981909999999896</v>
      </c>
      <c r="N1827">
        <v>0</v>
      </c>
      <c r="O1827">
        <v>1.45218E-2</v>
      </c>
      <c r="P1827">
        <v>0.99664549999999996</v>
      </c>
      <c r="Q1827">
        <v>2.4117670000000001E-2</v>
      </c>
      <c r="R1827">
        <v>7.8208009999999994E-2</v>
      </c>
      <c r="S1827">
        <v>3.0594790000000001</v>
      </c>
      <c r="T1827">
        <v>0.12165620000000001</v>
      </c>
      <c r="U1827">
        <v>-0.66461179999999997</v>
      </c>
      <c r="V1827">
        <v>-6.3725619999999997E-2</v>
      </c>
      <c r="W1827">
        <v>3.6384960000000001E-2</v>
      </c>
      <c r="X1827">
        <v>0.99730399999999997</v>
      </c>
      <c r="Y1827">
        <v>0.2262672</v>
      </c>
      <c r="Z1827">
        <v>5.0158770000000002E-3</v>
      </c>
      <c r="AA1827">
        <v>0.97405240000000004</v>
      </c>
      <c r="AB1827">
        <v>22</v>
      </c>
      <c r="AC1827">
        <v>62.682699999999897</v>
      </c>
      <c r="AD1827">
        <v>2.4966390000000001</v>
      </c>
      <c r="AE1827">
        <v>-13.6411999999999</v>
      </c>
      <c r="AF1827">
        <v>14.5280903003424</v>
      </c>
      <c r="AG1827">
        <v>2.4966390000000001</v>
      </c>
      <c r="AH1827">
        <v>62.383488706252002</v>
      </c>
      <c r="AI1827">
        <v>87.767865983783196</v>
      </c>
      <c r="AJ1827">
        <v>76.890418453192495</v>
      </c>
      <c r="AK1827">
        <v>64.101468604348597</v>
      </c>
      <c r="AL1827">
        <v>87.914835194154506</v>
      </c>
      <c r="AM1827">
        <v>93.656108857623394</v>
      </c>
      <c r="AN1827">
        <v>1.00000004418729</v>
      </c>
    </row>
    <row r="1828" spans="1:40" x14ac:dyDescent="0.3">
      <c r="A1828" t="str">
        <f>"20200111145946456"</f>
        <v>20200111145946456</v>
      </c>
      <c r="B1828" t="str">
        <f>"1578725986447897"</f>
        <v>1578725986447897</v>
      </c>
      <c r="C1828" t="s">
        <v>40</v>
      </c>
      <c r="D1828">
        <v>4.1643800000000004</v>
      </c>
      <c r="E1828">
        <v>0.61322310000000002</v>
      </c>
      <c r="F1828" t="s">
        <v>44</v>
      </c>
      <c r="G1828">
        <v>-169.2955</v>
      </c>
      <c r="H1828">
        <v>3.5616029999999999</v>
      </c>
      <c r="I1828">
        <v>354.11610000000002</v>
      </c>
      <c r="J1828">
        <v>-231.86799999999999</v>
      </c>
      <c r="K1828">
        <v>1.1045590000000001</v>
      </c>
      <c r="L1828">
        <v>367.75400000000002</v>
      </c>
      <c r="M1828">
        <v>0.99981889999999995</v>
      </c>
      <c r="N1828">
        <v>0</v>
      </c>
      <c r="O1828">
        <v>1.453402E-2</v>
      </c>
      <c r="P1828">
        <v>0.99668840000000003</v>
      </c>
      <c r="Q1828">
        <v>2.398492E-2</v>
      </c>
      <c r="R1828">
        <v>7.7700000000000005E-2</v>
      </c>
      <c r="S1828">
        <v>3.059418</v>
      </c>
      <c r="T1828">
        <v>0.11992750000000001</v>
      </c>
      <c r="U1828">
        <v>-0.66555790000000004</v>
      </c>
      <c r="V1828">
        <v>-6.3204709999999997E-2</v>
      </c>
      <c r="W1828">
        <v>3.6252020000000003E-2</v>
      </c>
      <c r="X1828">
        <v>0.9973419</v>
      </c>
      <c r="Y1828">
        <v>0.22657559999999999</v>
      </c>
      <c r="Z1828">
        <v>4.951039E-3</v>
      </c>
      <c r="AA1828">
        <v>0.97398099999999999</v>
      </c>
      <c r="AB1828">
        <v>22</v>
      </c>
      <c r="AC1828">
        <v>62.572499999999899</v>
      </c>
      <c r="AD1828">
        <v>2.4570439999999998</v>
      </c>
      <c r="AE1828">
        <v>-13.6379</v>
      </c>
      <c r="AF1828">
        <v>14.524577936136</v>
      </c>
      <c r="AG1828">
        <v>2.4570439999999998</v>
      </c>
      <c r="AH1828">
        <v>62.275992044890302</v>
      </c>
      <c r="AI1828">
        <v>87.799610895552107</v>
      </c>
      <c r="AJ1828">
        <v>76.871637789236104</v>
      </c>
      <c r="AK1828">
        <v>63.994528005260499</v>
      </c>
      <c r="AL1828">
        <v>87.922456937634195</v>
      </c>
      <c r="AM1828">
        <v>93.626165499169403</v>
      </c>
      <c r="AN1828">
        <v>0.99999995490793603</v>
      </c>
    </row>
    <row r="1829" spans="1:40" x14ac:dyDescent="0.3">
      <c r="A1829" t="str">
        <f>"20200111145946469"</f>
        <v>20200111145946469</v>
      </c>
      <c r="B1829" t="str">
        <f>"1578725986457656"</f>
        <v>1578725986457656</v>
      </c>
      <c r="C1829" t="s">
        <v>40</v>
      </c>
      <c r="D1829">
        <v>4.070354</v>
      </c>
      <c r="E1829">
        <v>0.61315509999999995</v>
      </c>
      <c r="F1829" t="s">
        <v>44</v>
      </c>
      <c r="G1829">
        <v>-169.2955</v>
      </c>
      <c r="H1829">
        <v>3.542154</v>
      </c>
      <c r="I1829">
        <v>354.10669999999999</v>
      </c>
      <c r="J1829">
        <v>-231.7475</v>
      </c>
      <c r="K1829">
        <v>1.1045590000000001</v>
      </c>
      <c r="L1829">
        <v>367.75580000000002</v>
      </c>
      <c r="M1829">
        <v>0.9998186</v>
      </c>
      <c r="N1829">
        <v>0</v>
      </c>
      <c r="O1829">
        <v>1.4547549999999999E-2</v>
      </c>
      <c r="P1829">
        <v>0.99671659999999995</v>
      </c>
      <c r="Q1829">
        <v>2.3990999999999998E-2</v>
      </c>
      <c r="R1829">
        <v>7.7334230000000004E-2</v>
      </c>
      <c r="S1829">
        <v>3.0591279999999998</v>
      </c>
      <c r="T1829">
        <v>0.1191764</v>
      </c>
      <c r="U1829">
        <v>-0.66720579999999996</v>
      </c>
      <c r="V1829">
        <v>-6.2825179999999994E-2</v>
      </c>
      <c r="W1829">
        <v>3.6257259999999999E-2</v>
      </c>
      <c r="X1829">
        <v>0.99736570000000002</v>
      </c>
      <c r="Y1829">
        <v>0.2271106</v>
      </c>
      <c r="Z1829">
        <v>4.9310480000000004E-3</v>
      </c>
      <c r="AA1829">
        <v>0.97385650000000001</v>
      </c>
      <c r="AB1829">
        <v>22</v>
      </c>
      <c r="AC1829">
        <v>62.451999999999998</v>
      </c>
      <c r="AD1829">
        <v>2.437595</v>
      </c>
      <c r="AE1829">
        <v>-13.649100000000001</v>
      </c>
      <c r="AF1829">
        <v>14.535113527889299</v>
      </c>
      <c r="AG1829">
        <v>2.437595</v>
      </c>
      <c r="AH1829">
        <v>62.156438436912097</v>
      </c>
      <c r="AI1829">
        <v>87.813115724628005</v>
      </c>
      <c r="AJ1829">
        <v>76.8380548087042</v>
      </c>
      <c r="AK1829">
        <v>63.879842155521203</v>
      </c>
      <c r="AL1829">
        <v>87.922156532956606</v>
      </c>
      <c r="AM1829">
        <v>93.604362985701002</v>
      </c>
      <c r="AN1829">
        <v>0.99999996584061401</v>
      </c>
    </row>
    <row r="1830" spans="1:40" x14ac:dyDescent="0.3">
      <c r="A1830" t="str">
        <f>"20200111145946481"</f>
        <v>20200111145946481</v>
      </c>
      <c r="B1830" t="str">
        <f>"1578725986477176"</f>
        <v>1578725986477176</v>
      </c>
      <c r="C1830" t="s">
        <v>40</v>
      </c>
      <c r="D1830">
        <v>4.2236770000000003</v>
      </c>
      <c r="E1830">
        <v>0.6137378</v>
      </c>
      <c r="F1830" t="s">
        <v>44</v>
      </c>
      <c r="G1830">
        <v>-169.2955</v>
      </c>
      <c r="H1830">
        <v>3.6567340000000002</v>
      </c>
      <c r="I1830">
        <v>354.1216</v>
      </c>
      <c r="J1830">
        <v>-231.62989999999999</v>
      </c>
      <c r="K1830">
        <v>1.104557</v>
      </c>
      <c r="L1830">
        <v>367.75749999999999</v>
      </c>
      <c r="M1830">
        <v>0.9998184</v>
      </c>
      <c r="N1830">
        <v>0</v>
      </c>
      <c r="O1830">
        <v>1.4560790000000001E-2</v>
      </c>
      <c r="P1830">
        <v>0.99672510000000003</v>
      </c>
      <c r="Q1830">
        <v>2.3554329999999998E-2</v>
      </c>
      <c r="R1830">
        <v>7.735889E-2</v>
      </c>
      <c r="S1830">
        <v>3.0586850000000001</v>
      </c>
      <c r="T1830">
        <v>0.125001</v>
      </c>
      <c r="U1830">
        <v>-0.66775509999999905</v>
      </c>
      <c r="V1830">
        <v>-6.2836639999999999E-2</v>
      </c>
      <c r="W1830">
        <v>3.5819799999999999E-2</v>
      </c>
      <c r="X1830">
        <v>0.99738079999999996</v>
      </c>
      <c r="Y1830">
        <v>0.22730210000000001</v>
      </c>
      <c r="Z1830">
        <v>5.1768880000000001E-3</v>
      </c>
      <c r="AA1830">
        <v>0.97381059999999997</v>
      </c>
      <c r="AB1830">
        <v>22</v>
      </c>
      <c r="AC1830">
        <v>62.334399999999903</v>
      </c>
      <c r="AD1830">
        <v>2.5521769999999901</v>
      </c>
      <c r="AE1830">
        <v>-13.6358999999999</v>
      </c>
      <c r="AF1830">
        <v>14.5189335164109</v>
      </c>
      <c r="AG1830">
        <v>2.5521769999999901</v>
      </c>
      <c r="AH1830">
        <v>62.029990663251603</v>
      </c>
      <c r="AI1830">
        <v>87.7058730480409</v>
      </c>
      <c r="AJ1830">
        <v>76.826329063441904</v>
      </c>
      <c r="AK1830">
        <v>63.757609581730499</v>
      </c>
      <c r="AL1830">
        <v>87.947237468975501</v>
      </c>
      <c r="AM1830">
        <v>93.604964292424199</v>
      </c>
      <c r="AN1830">
        <v>0.99999998080358399</v>
      </c>
    </row>
    <row r="1831" spans="1:40" x14ac:dyDescent="0.3">
      <c r="A1831" t="str">
        <f>"20200111145946492"</f>
        <v>20200111145946492</v>
      </c>
      <c r="B1831" t="str">
        <f>"1578725986487912"</f>
        <v>1578725986487912</v>
      </c>
      <c r="C1831" t="s">
        <v>40</v>
      </c>
      <c r="D1831">
        <v>4.0637829999999999</v>
      </c>
      <c r="E1831">
        <v>0.61354730000000002</v>
      </c>
      <c r="F1831" t="s">
        <v>44</v>
      </c>
      <c r="G1831">
        <v>-169.2955</v>
      </c>
      <c r="H1831">
        <v>3.8861219999999999</v>
      </c>
      <c r="I1831">
        <v>354.0496</v>
      </c>
      <c r="J1831">
        <v>-231.5153</v>
      </c>
      <c r="K1831">
        <v>1.1045560000000001</v>
      </c>
      <c r="L1831">
        <v>367.75920000000002</v>
      </c>
      <c r="M1831">
        <v>0.9998184</v>
      </c>
      <c r="N1831">
        <v>0</v>
      </c>
      <c r="O1831">
        <v>1.457367E-2</v>
      </c>
      <c r="P1831">
        <v>0.99673929999999999</v>
      </c>
      <c r="Q1831">
        <v>2.3319650000000001E-2</v>
      </c>
      <c r="R1831">
        <v>7.7249940000000003E-2</v>
      </c>
      <c r="S1831">
        <v>3.0588380000000002</v>
      </c>
      <c r="T1831">
        <v>0.1364995</v>
      </c>
      <c r="U1831">
        <v>-0.6726685</v>
      </c>
      <c r="V1831">
        <v>-6.2714930000000002E-2</v>
      </c>
      <c r="W1831">
        <v>3.558439E-2</v>
      </c>
      <c r="X1831">
        <v>0.99739690000000003</v>
      </c>
      <c r="Y1831">
        <v>0.2287584</v>
      </c>
      <c r="Z1831">
        <v>5.6840930000000003E-3</v>
      </c>
      <c r="AA1831">
        <v>0.97346659999999996</v>
      </c>
      <c r="AB1831">
        <v>22</v>
      </c>
      <c r="AC1831">
        <v>62.2197999999999</v>
      </c>
      <c r="AD1831">
        <v>2.7815660000000002</v>
      </c>
      <c r="AE1831">
        <v>-13.7096</v>
      </c>
      <c r="AF1831">
        <v>14.587179238018701</v>
      </c>
      <c r="AG1831">
        <v>2.7815660000000002</v>
      </c>
      <c r="AH1831">
        <v>61.895401742191503</v>
      </c>
      <c r="AI1831">
        <v>87.4953964576207</v>
      </c>
      <c r="AJ1831">
        <v>76.738820861075794</v>
      </c>
      <c r="AK1831">
        <v>63.651894428695002</v>
      </c>
      <c r="AL1831">
        <v>87.960734099413202</v>
      </c>
      <c r="AM1831">
        <v>93.597942172628706</v>
      </c>
      <c r="AN1831">
        <v>0.999999993693093</v>
      </c>
    </row>
    <row r="1832" spans="1:40" x14ac:dyDescent="0.3">
      <c r="A1832" t="str">
        <f>"20200111145946503"</f>
        <v>20200111145946503</v>
      </c>
      <c r="B1832" t="str">
        <f>"1578725986497672"</f>
        <v>1578725986497672</v>
      </c>
      <c r="C1832" t="s">
        <v>40</v>
      </c>
      <c r="D1832">
        <v>4.0666779999999996</v>
      </c>
      <c r="E1832">
        <v>0.61331210000000003</v>
      </c>
      <c r="F1832" t="s">
        <v>44</v>
      </c>
      <c r="G1832">
        <v>-169.2955</v>
      </c>
      <c r="H1832">
        <v>3.8827440000000002</v>
      </c>
      <c r="I1832">
        <v>354.10669999999999</v>
      </c>
      <c r="J1832">
        <v>-231.40979999999999</v>
      </c>
      <c r="K1832">
        <v>1.104557</v>
      </c>
      <c r="L1832">
        <v>367.76080000000002</v>
      </c>
      <c r="M1832">
        <v>0.99981810000000004</v>
      </c>
      <c r="N1832">
        <v>0</v>
      </c>
      <c r="O1832">
        <v>1.4585529999999999E-2</v>
      </c>
      <c r="P1832">
        <v>0.99674019999999997</v>
      </c>
      <c r="Q1832">
        <v>2.2899800000000001E-2</v>
      </c>
      <c r="R1832">
        <v>7.7361979999999997E-2</v>
      </c>
      <c r="S1832">
        <v>3.0586549999999999</v>
      </c>
      <c r="T1832">
        <v>0.1365767</v>
      </c>
      <c r="U1832">
        <v>-0.67114259999999903</v>
      </c>
      <c r="V1832">
        <v>-6.2814320000000007E-2</v>
      </c>
      <c r="W1832">
        <v>3.516408E-2</v>
      </c>
      <c r="X1832">
        <v>0.9974056</v>
      </c>
      <c r="Y1832">
        <v>0.22831899999999999</v>
      </c>
      <c r="Z1832">
        <v>5.678766E-3</v>
      </c>
      <c r="AA1832">
        <v>0.97356980000000004</v>
      </c>
      <c r="AB1832">
        <v>22</v>
      </c>
      <c r="AC1832">
        <v>62.114299999999901</v>
      </c>
      <c r="AD1832">
        <v>2.778187</v>
      </c>
      <c r="AE1832">
        <v>-13.6541</v>
      </c>
      <c r="AF1832">
        <v>14.530956412119</v>
      </c>
      <c r="AG1832">
        <v>2.778187</v>
      </c>
      <c r="AH1832">
        <v>61.790609685854299</v>
      </c>
      <c r="AI1832">
        <v>87.493913258720497</v>
      </c>
      <c r="AJ1832">
        <v>76.766518490199502</v>
      </c>
      <c r="AK1832">
        <v>63.5369692589083</v>
      </c>
      <c r="AL1832">
        <v>87.984831265925493</v>
      </c>
      <c r="AM1832">
        <v>93.603597791898196</v>
      </c>
      <c r="AN1832">
        <v>1.00000004111533</v>
      </c>
    </row>
    <row r="1833" spans="1:40" x14ac:dyDescent="0.3">
      <c r="A1833" t="str">
        <f>"20200111145946514"</f>
        <v>20200111145946514</v>
      </c>
      <c r="B1833" t="str">
        <f>"1578725986507432"</f>
        <v>1578725986507432</v>
      </c>
      <c r="C1833" t="s">
        <v>40</v>
      </c>
      <c r="D1833">
        <v>4.2453450000000004</v>
      </c>
      <c r="E1833">
        <v>0.61340289999999997</v>
      </c>
      <c r="F1833" t="s">
        <v>44</v>
      </c>
      <c r="G1833">
        <v>-169.2955</v>
      </c>
      <c r="H1833">
        <v>3.8850560000000001</v>
      </c>
      <c r="I1833">
        <v>354.17149999999998</v>
      </c>
      <c r="J1833">
        <v>-231.3015</v>
      </c>
      <c r="K1833">
        <v>1.1045579999999999</v>
      </c>
      <c r="L1833">
        <v>367.76240000000001</v>
      </c>
      <c r="M1833">
        <v>0.99981799999999998</v>
      </c>
      <c r="N1833">
        <v>0</v>
      </c>
      <c r="O1833">
        <v>1.459746E-2</v>
      </c>
      <c r="P1833">
        <v>0.99672470000000002</v>
      </c>
      <c r="Q1833">
        <v>2.2617970000000001E-2</v>
      </c>
      <c r="R1833">
        <v>7.7644870000000005E-2</v>
      </c>
      <c r="S1833">
        <v>3.0586090000000001</v>
      </c>
      <c r="T1833">
        <v>0.1369205</v>
      </c>
      <c r="U1833">
        <v>-0.6691589</v>
      </c>
      <c r="V1833">
        <v>-6.3086030000000001E-2</v>
      </c>
      <c r="W1833">
        <v>3.4881019999999999E-2</v>
      </c>
      <c r="X1833">
        <v>0.99739840000000002</v>
      </c>
      <c r="Y1833">
        <v>0.2277304</v>
      </c>
      <c r="Z1833">
        <v>5.6810330000000003E-3</v>
      </c>
      <c r="AA1833">
        <v>0.97370769999999995</v>
      </c>
      <c r="AB1833">
        <v>22</v>
      </c>
      <c r="AC1833">
        <v>62.006</v>
      </c>
      <c r="AD1833">
        <v>2.7804980000000001</v>
      </c>
      <c r="AE1833">
        <v>-13.5909</v>
      </c>
      <c r="AF1833">
        <v>14.4668929943864</v>
      </c>
      <c r="AG1833">
        <v>2.7804980000000001</v>
      </c>
      <c r="AH1833">
        <v>61.682636573000799</v>
      </c>
      <c r="AI1833">
        <v>87.487096244971397</v>
      </c>
      <c r="AJ1833">
        <v>76.8005624297314</v>
      </c>
      <c r="AK1833">
        <v>63.417425181379997</v>
      </c>
      <c r="AL1833">
        <v>88.001059383064302</v>
      </c>
      <c r="AM1833">
        <v>93.619170251651695</v>
      </c>
      <c r="AN1833">
        <v>1.00000005052997</v>
      </c>
    </row>
    <row r="1834" spans="1:40" x14ac:dyDescent="0.3">
      <c r="A1834" t="str">
        <f>"20200111145946525"</f>
        <v>20200111145946525</v>
      </c>
      <c r="B1834" t="str">
        <f>"1578725986517192"</f>
        <v>1578725986517192</v>
      </c>
      <c r="C1834" t="s">
        <v>40</v>
      </c>
      <c r="D1834">
        <v>4.4359330000000003</v>
      </c>
      <c r="E1834">
        <v>0.61362050000000001</v>
      </c>
      <c r="F1834" t="s">
        <v>44</v>
      </c>
      <c r="G1834">
        <v>-169.2955</v>
      </c>
      <c r="H1834">
        <v>3.967937</v>
      </c>
      <c r="I1834">
        <v>354.20179999999999</v>
      </c>
      <c r="J1834">
        <v>-231.1994</v>
      </c>
      <c r="K1834">
        <v>1.104557</v>
      </c>
      <c r="L1834">
        <v>367.76389999999998</v>
      </c>
      <c r="M1834">
        <v>0.99981779999999998</v>
      </c>
      <c r="N1834">
        <v>0</v>
      </c>
      <c r="O1834">
        <v>1.4608670000000001E-2</v>
      </c>
      <c r="P1834">
        <v>0.99670360000000002</v>
      </c>
      <c r="Q1834">
        <v>2.260848E-2</v>
      </c>
      <c r="R1834">
        <v>7.7916959999999993E-2</v>
      </c>
      <c r="S1834">
        <v>3.0587620000000002</v>
      </c>
      <c r="T1834">
        <v>0.14125489999999999</v>
      </c>
      <c r="U1834">
        <v>-0.66894529999999996</v>
      </c>
      <c r="V1834">
        <v>-6.3347150000000005E-2</v>
      </c>
      <c r="W1834">
        <v>3.4871010000000001E-2</v>
      </c>
      <c r="X1834">
        <v>0.9973822</v>
      </c>
      <c r="Y1834">
        <v>0.22765150000000001</v>
      </c>
      <c r="Z1834">
        <v>5.859164E-3</v>
      </c>
      <c r="AA1834">
        <v>0.97372499999999995</v>
      </c>
      <c r="AB1834">
        <v>22</v>
      </c>
      <c r="AC1834">
        <v>61.903899999999901</v>
      </c>
      <c r="AD1834">
        <v>2.8633799999999998</v>
      </c>
      <c r="AE1834">
        <v>-13.5620999999999</v>
      </c>
      <c r="AF1834">
        <v>14.435583367225201</v>
      </c>
      <c r="AG1834">
        <v>2.8633799999999998</v>
      </c>
      <c r="AH1834">
        <v>61.5734481245211</v>
      </c>
      <c r="AI1834">
        <v>87.407655316006895</v>
      </c>
      <c r="AJ1834">
        <v>76.805590729333204</v>
      </c>
      <c r="AK1834">
        <v>63.307776189972103</v>
      </c>
      <c r="AL1834">
        <v>88.001633263478098</v>
      </c>
      <c r="AM1834">
        <v>93.634169201213197</v>
      </c>
      <c r="AN1834">
        <v>1.00000005081419</v>
      </c>
    </row>
    <row r="1835" spans="1:40" x14ac:dyDescent="0.3">
      <c r="A1835" t="str">
        <f>"20200111145946535"</f>
        <v>20200111145946535</v>
      </c>
      <c r="B1835" t="str">
        <f>"1578725986527927"</f>
        <v>1578725986527927</v>
      </c>
      <c r="C1835" t="s">
        <v>40</v>
      </c>
      <c r="D1835">
        <v>4.1095940000000004</v>
      </c>
      <c r="E1835">
        <v>0.6139057</v>
      </c>
      <c r="F1835" t="s">
        <v>44</v>
      </c>
      <c r="G1835">
        <v>-169.2955</v>
      </c>
      <c r="H1835">
        <v>4.0541580000000002</v>
      </c>
      <c r="I1835">
        <v>354.21539999999999</v>
      </c>
      <c r="J1835">
        <v>-231.09039999999999</v>
      </c>
      <c r="K1835">
        <v>1.104557</v>
      </c>
      <c r="L1835">
        <v>367.76549999999997</v>
      </c>
      <c r="M1835">
        <v>0.99981759999999997</v>
      </c>
      <c r="N1835">
        <v>0</v>
      </c>
      <c r="O1835">
        <v>1.462054E-2</v>
      </c>
      <c r="P1835">
        <v>0.99668990000000002</v>
      </c>
      <c r="Q1835">
        <v>2.2691739999999998E-2</v>
      </c>
      <c r="R1835">
        <v>7.8066969999999999E-2</v>
      </c>
      <c r="S1835">
        <v>3.0589599999999999</v>
      </c>
      <c r="T1835">
        <v>0.14575759999999999</v>
      </c>
      <c r="U1835">
        <v>-0.66949459999999905</v>
      </c>
      <c r="V1835">
        <v>-6.3485369999999999E-2</v>
      </c>
      <c r="W1835">
        <v>3.4953449999999997E-2</v>
      </c>
      <c r="X1835">
        <v>0.99737050000000005</v>
      </c>
      <c r="Y1835">
        <v>0.22780069999999999</v>
      </c>
      <c r="Z1835">
        <v>6.0493029999999998E-3</v>
      </c>
      <c r="AA1835">
        <v>0.97368900000000003</v>
      </c>
      <c r="AB1835">
        <v>22</v>
      </c>
      <c r="AC1835">
        <v>61.794899999999899</v>
      </c>
      <c r="AD1835">
        <v>2.9496009999999999</v>
      </c>
      <c r="AE1835">
        <v>-13.550099999999899</v>
      </c>
      <c r="AF1835">
        <v>14.420845989811699</v>
      </c>
      <c r="AG1835">
        <v>2.9496009999999999</v>
      </c>
      <c r="AH1835">
        <v>61.456572950521199</v>
      </c>
      <c r="AI1835">
        <v>87.324758476512898</v>
      </c>
      <c r="AJ1835">
        <v>76.794400281916197</v>
      </c>
      <c r="AK1835">
        <v>63.194709461661503</v>
      </c>
      <c r="AL1835">
        <v>87.996906866802505</v>
      </c>
      <c r="AM1835">
        <v>93.642120048262996</v>
      </c>
      <c r="AN1835">
        <v>1.00000002507059</v>
      </c>
    </row>
    <row r="1836" spans="1:40" x14ac:dyDescent="0.3">
      <c r="A1836" t="str">
        <f>"20200111145946548"</f>
        <v>20200111145946548</v>
      </c>
      <c r="B1836" t="str">
        <f>"1578725986537688"</f>
        <v>1578725986537688</v>
      </c>
      <c r="C1836" t="s">
        <v>40</v>
      </c>
      <c r="D1836">
        <v>4.2827999999999999</v>
      </c>
      <c r="E1836">
        <v>0.61437830000000004</v>
      </c>
      <c r="F1836" t="s">
        <v>44</v>
      </c>
      <c r="G1836">
        <v>-169.2955</v>
      </c>
      <c r="H1836">
        <v>4.1248709999999997</v>
      </c>
      <c r="I1836">
        <v>354.1986</v>
      </c>
      <c r="J1836">
        <v>-230.9785</v>
      </c>
      <c r="K1836">
        <v>1.104555</v>
      </c>
      <c r="L1836">
        <v>367.76710000000003</v>
      </c>
      <c r="M1836">
        <v>0.99981739999999997</v>
      </c>
      <c r="N1836">
        <v>0</v>
      </c>
      <c r="O1836">
        <v>1.463239E-2</v>
      </c>
      <c r="P1836">
        <v>0.99668310000000004</v>
      </c>
      <c r="Q1836">
        <v>2.2576559999999999E-2</v>
      </c>
      <c r="R1836">
        <v>7.8188140000000003E-2</v>
      </c>
      <c r="S1836">
        <v>3.059158</v>
      </c>
      <c r="T1836">
        <v>0.14952489999999999</v>
      </c>
      <c r="U1836">
        <v>-0.67163090000000003</v>
      </c>
      <c r="V1836">
        <v>-6.3595009999999993E-2</v>
      </c>
      <c r="W1836">
        <v>3.4838130000000002E-2</v>
      </c>
      <c r="X1836">
        <v>0.99736749999999996</v>
      </c>
      <c r="Y1836">
        <v>0.22843340000000001</v>
      </c>
      <c r="Z1836">
        <v>6.2204749999999996E-3</v>
      </c>
      <c r="AA1836">
        <v>0.97353970000000001</v>
      </c>
      <c r="AB1836">
        <v>22</v>
      </c>
      <c r="AC1836">
        <v>61.6829999999999</v>
      </c>
      <c r="AD1836">
        <v>3.0203159999999998</v>
      </c>
      <c r="AE1836">
        <v>-13.5685</v>
      </c>
      <c r="AF1836">
        <v>14.436669454930099</v>
      </c>
      <c r="AG1836">
        <v>3.0203159999999998</v>
      </c>
      <c r="AH1836">
        <v>61.337566259509202</v>
      </c>
      <c r="AI1836">
        <v>87.255846282312405</v>
      </c>
      <c r="AJ1836">
        <v>76.7556733817501</v>
      </c>
      <c r="AK1836">
        <v>63.085947471132201</v>
      </c>
      <c r="AL1836">
        <v>88.003518143198093</v>
      </c>
      <c r="AM1836">
        <v>93.648404003684803</v>
      </c>
      <c r="AN1836">
        <v>0.99999997532752305</v>
      </c>
    </row>
    <row r="1837" spans="1:40" x14ac:dyDescent="0.3">
      <c r="A1837" t="str">
        <f>"20200111145946559"</f>
        <v>20200111145946559</v>
      </c>
      <c r="B1837" t="str">
        <f>"1578725986547450"</f>
        <v>1578725986547450</v>
      </c>
      <c r="C1837" t="s">
        <v>40</v>
      </c>
      <c r="D1837">
        <v>3.9829110000000001</v>
      </c>
      <c r="E1837">
        <v>0.61465400000000003</v>
      </c>
      <c r="F1837" t="s">
        <v>44</v>
      </c>
      <c r="G1837">
        <v>-169.2955</v>
      </c>
      <c r="H1837">
        <v>4.0434640000000002</v>
      </c>
      <c r="I1837">
        <v>354.16160000000002</v>
      </c>
      <c r="J1837">
        <v>-230.86170000000001</v>
      </c>
      <c r="K1837">
        <v>1.104555</v>
      </c>
      <c r="L1837">
        <v>367.76889999999997</v>
      </c>
      <c r="M1837">
        <v>0.99981730000000002</v>
      </c>
      <c r="N1837">
        <v>0</v>
      </c>
      <c r="O1837">
        <v>1.464479E-2</v>
      </c>
      <c r="P1837">
        <v>0.99667899999999998</v>
      </c>
      <c r="Q1837">
        <v>2.252564E-2</v>
      </c>
      <c r="R1837">
        <v>7.8254299999999999E-2</v>
      </c>
      <c r="S1837">
        <v>3.0596160000000001</v>
      </c>
      <c r="T1837">
        <v>0.14578070000000001</v>
      </c>
      <c r="U1837">
        <v>-0.67486569999999901</v>
      </c>
      <c r="V1837">
        <v>-6.3648860000000002E-2</v>
      </c>
      <c r="W1837">
        <v>3.478904E-2</v>
      </c>
      <c r="X1837">
        <v>0.99736579999999997</v>
      </c>
      <c r="Y1837">
        <v>0.22940940000000001</v>
      </c>
      <c r="Z1837">
        <v>6.0868650000000003E-3</v>
      </c>
      <c r="AA1837">
        <v>0.97331100000000004</v>
      </c>
      <c r="AB1837">
        <v>22</v>
      </c>
      <c r="AC1837">
        <v>61.566200000000002</v>
      </c>
      <c r="AD1837">
        <v>2.9389090000000002</v>
      </c>
      <c r="AE1837">
        <v>-13.607299999999899</v>
      </c>
      <c r="AF1837">
        <v>14.476082276956101</v>
      </c>
      <c r="AG1837">
        <v>2.9389090000000002</v>
      </c>
      <c r="AH1837">
        <v>61.227284747489598</v>
      </c>
      <c r="AI1837">
        <v>87.325535812748797</v>
      </c>
      <c r="AJ1837">
        <v>76.697726332478496</v>
      </c>
      <c r="AK1837">
        <v>62.983922883142597</v>
      </c>
      <c r="AL1837">
        <v>88.006332541999896</v>
      </c>
      <c r="AM1837">
        <v>93.651491195209601</v>
      </c>
      <c r="AN1837">
        <v>0.99999999684652996</v>
      </c>
    </row>
    <row r="1838" spans="1:40" x14ac:dyDescent="0.3">
      <c r="A1838" t="str">
        <f>"20200111145946571"</f>
        <v>20200111145946571</v>
      </c>
      <c r="B1838" t="str">
        <f>"1578725986567944"</f>
        <v>1578725986567944</v>
      </c>
      <c r="C1838" t="s">
        <v>40</v>
      </c>
      <c r="D1838">
        <v>4.2111739999999998</v>
      </c>
      <c r="E1838">
        <v>0.61519979999999996</v>
      </c>
      <c r="F1838" t="s">
        <v>44</v>
      </c>
      <c r="G1838">
        <v>-169.2955</v>
      </c>
      <c r="H1838">
        <v>4.1147749999999998</v>
      </c>
      <c r="I1838">
        <v>354.14870000000002</v>
      </c>
      <c r="J1838">
        <v>-230.7406</v>
      </c>
      <c r="K1838">
        <v>1.1045590000000001</v>
      </c>
      <c r="L1838">
        <v>367.7706</v>
      </c>
      <c r="M1838">
        <v>0.99981710000000001</v>
      </c>
      <c r="N1838">
        <v>0</v>
      </c>
      <c r="O1838">
        <v>1.4657140000000001E-2</v>
      </c>
      <c r="P1838">
        <v>0.9966547</v>
      </c>
      <c r="Q1838">
        <v>2.2371700000000001E-2</v>
      </c>
      <c r="R1838">
        <v>7.860789E-2</v>
      </c>
      <c r="S1838">
        <v>3.0597840000000001</v>
      </c>
      <c r="T1838">
        <v>0.1496092</v>
      </c>
      <c r="U1838">
        <v>-0.67691040000000002</v>
      </c>
      <c r="V1838">
        <v>-6.3990179999999994E-2</v>
      </c>
      <c r="W1838">
        <v>3.4640360000000002E-2</v>
      </c>
      <c r="X1838">
        <v>0.99734909999999999</v>
      </c>
      <c r="Y1838">
        <v>0.23001559999999999</v>
      </c>
      <c r="Z1838">
        <v>6.2609919999999999E-3</v>
      </c>
      <c r="AA1838">
        <v>0.9731668</v>
      </c>
      <c r="AB1838">
        <v>22</v>
      </c>
      <c r="AC1838">
        <v>61.445099999999996</v>
      </c>
      <c r="AD1838">
        <v>3.0102159999999998</v>
      </c>
      <c r="AE1838">
        <v>-13.621899999999901</v>
      </c>
      <c r="AF1838">
        <v>14.487970896982301</v>
      </c>
      <c r="AG1838">
        <v>3.0102159999999998</v>
      </c>
      <c r="AH1838">
        <v>61.099053758746798</v>
      </c>
      <c r="AI1838">
        <v>87.255426986250399</v>
      </c>
      <c r="AJ1838">
        <v>76.660248229751701</v>
      </c>
      <c r="AK1838">
        <v>62.865388500292397</v>
      </c>
      <c r="AL1838">
        <v>88.014856347924095</v>
      </c>
      <c r="AM1838">
        <v>93.671080385911296</v>
      </c>
      <c r="AN1838">
        <v>0.99999996247408496</v>
      </c>
    </row>
    <row r="1839" spans="1:40" x14ac:dyDescent="0.3">
      <c r="A1839" t="str">
        <f>"20200111145946584"</f>
        <v>20200111145946584</v>
      </c>
      <c r="B1839" t="str">
        <f>"1578725986577704"</f>
        <v>1578725986577704</v>
      </c>
      <c r="C1839" t="s">
        <v>40</v>
      </c>
      <c r="D1839">
        <v>4.0085649999999999</v>
      </c>
      <c r="E1839">
        <v>0.61523479999999997</v>
      </c>
      <c r="F1839" t="s">
        <v>44</v>
      </c>
      <c r="G1839">
        <v>-169.2955</v>
      </c>
      <c r="H1839">
        <v>4.1421390000000002</v>
      </c>
      <c r="I1839">
        <v>354.11590000000001</v>
      </c>
      <c r="J1839">
        <v>-230.61439999999999</v>
      </c>
      <c r="K1839">
        <v>1.104563</v>
      </c>
      <c r="L1839">
        <v>367.77249999999998</v>
      </c>
      <c r="M1839">
        <v>0.9998167</v>
      </c>
      <c r="N1839">
        <v>0</v>
      </c>
      <c r="O1839">
        <v>1.466894E-2</v>
      </c>
      <c r="P1839">
        <v>0.99661840000000002</v>
      </c>
      <c r="Q1839">
        <v>2.2016569999999999E-2</v>
      </c>
      <c r="R1839">
        <v>7.9165089999999994E-2</v>
      </c>
      <c r="S1839">
        <v>3.0603180000000001</v>
      </c>
      <c r="T1839">
        <v>0.15129300000000001</v>
      </c>
      <c r="U1839">
        <v>-0.68008419999999903</v>
      </c>
      <c r="V1839">
        <v>-6.4535949999999995E-2</v>
      </c>
      <c r="W1839">
        <v>3.4295340000000001E-2</v>
      </c>
      <c r="X1839">
        <v>0.99732589999999999</v>
      </c>
      <c r="Y1839">
        <v>0.23094590000000001</v>
      </c>
      <c r="Z1839">
        <v>6.35288E-3</v>
      </c>
      <c r="AA1839">
        <v>0.97294590000000003</v>
      </c>
      <c r="AB1839">
        <v>22</v>
      </c>
      <c r="AC1839">
        <v>61.3188999999999</v>
      </c>
      <c r="AD1839">
        <v>3.0375760000000001</v>
      </c>
      <c r="AE1839">
        <v>-13.6565999999999</v>
      </c>
      <c r="AF1839">
        <v>14.5207325540003</v>
      </c>
      <c r="AG1839">
        <v>3.0375760000000001</v>
      </c>
      <c r="AH1839">
        <v>60.969413040800703</v>
      </c>
      <c r="AI1839">
        <v>87.225289610920001</v>
      </c>
      <c r="AJ1839">
        <v>76.603762099987307</v>
      </c>
      <c r="AK1839">
        <v>62.748289764744499</v>
      </c>
      <c r="AL1839">
        <v>88.034636375325206</v>
      </c>
      <c r="AM1839">
        <v>93.702390069167194</v>
      </c>
      <c r="AN1839">
        <v>1.00000000499946</v>
      </c>
    </row>
    <row r="1840" spans="1:40" x14ac:dyDescent="0.3">
      <c r="A1840" t="str">
        <f>"20200111145946596"</f>
        <v>20200111145946596</v>
      </c>
      <c r="B1840" t="str">
        <f>"1578725986587463"</f>
        <v>1578725986587463</v>
      </c>
      <c r="C1840" t="s">
        <v>40</v>
      </c>
      <c r="D1840">
        <v>4.1578850000000003</v>
      </c>
      <c r="E1840">
        <v>0.61483269999999901</v>
      </c>
      <c r="F1840" t="s">
        <v>44</v>
      </c>
      <c r="G1840">
        <v>-169.2955</v>
      </c>
      <c r="H1840">
        <v>4.1185679999999998</v>
      </c>
      <c r="I1840">
        <v>354.18180000000001</v>
      </c>
      <c r="J1840">
        <v>-230.49270000000001</v>
      </c>
      <c r="K1840">
        <v>1.104568</v>
      </c>
      <c r="L1840">
        <v>367.77429999999998</v>
      </c>
      <c r="M1840">
        <v>0.99981640000000005</v>
      </c>
      <c r="N1840">
        <v>0</v>
      </c>
      <c r="O1840">
        <v>1.4677529999999999E-2</v>
      </c>
      <c r="P1840">
        <v>0.99657410000000002</v>
      </c>
      <c r="Q1840">
        <v>2.1668940000000001E-2</v>
      </c>
      <c r="R1840">
        <v>7.9817330000000006E-2</v>
      </c>
      <c r="S1840">
        <v>3.06073</v>
      </c>
      <c r="T1840">
        <v>0.1504481</v>
      </c>
      <c r="U1840">
        <v>-0.67837519999999996</v>
      </c>
      <c r="V1840">
        <v>-6.5180580000000002E-2</v>
      </c>
      <c r="W1840">
        <v>3.3964130000000002E-2</v>
      </c>
      <c r="X1840">
        <v>0.9972953</v>
      </c>
      <c r="Y1840">
        <v>0.23041249999999999</v>
      </c>
      <c r="Z1840">
        <v>6.3044629999999997E-3</v>
      </c>
      <c r="AA1840">
        <v>0.97307259999999995</v>
      </c>
      <c r="AB1840">
        <v>22</v>
      </c>
      <c r="AC1840">
        <v>61.197200000000002</v>
      </c>
      <c r="AD1840">
        <v>3.0139999999999998</v>
      </c>
      <c r="AE1840">
        <v>-13.5924999999999</v>
      </c>
      <c r="AF1840">
        <v>14.4559113870056</v>
      </c>
      <c r="AG1840">
        <v>3.0139999999999998</v>
      </c>
      <c r="AH1840">
        <v>60.8504263023055</v>
      </c>
      <c r="AI1840">
        <v>87.241045032061905</v>
      </c>
      <c r="AJ1840">
        <v>76.636274182340102</v>
      </c>
      <c r="AK1840">
        <v>62.616546944088803</v>
      </c>
      <c r="AL1840">
        <v>88.053624348835996</v>
      </c>
      <c r="AM1840">
        <v>93.739382121913295</v>
      </c>
      <c r="AN1840">
        <v>0.99999999276894103</v>
      </c>
    </row>
    <row r="1841" spans="1:40" x14ac:dyDescent="0.3">
      <c r="A1841" t="str">
        <f>"20200111145946608"</f>
        <v>20200111145946608</v>
      </c>
      <c r="B1841" t="str">
        <f>"1578725986597226"</f>
        <v>1578725986597226</v>
      </c>
      <c r="C1841" t="s">
        <v>40</v>
      </c>
      <c r="D1841">
        <v>4.6730070000000001</v>
      </c>
      <c r="E1841">
        <v>0.61483269999999901</v>
      </c>
      <c r="F1841" t="s">
        <v>44</v>
      </c>
      <c r="G1841">
        <v>-169.2955</v>
      </c>
      <c r="H1841">
        <v>4.1538380000000004</v>
      </c>
      <c r="I1841">
        <v>354.3134</v>
      </c>
      <c r="J1841">
        <v>-230.38210000000001</v>
      </c>
      <c r="K1841">
        <v>1.1045720000000001</v>
      </c>
      <c r="L1841">
        <v>367.77600000000001</v>
      </c>
      <c r="M1841">
        <v>0.99981589999999998</v>
      </c>
      <c r="N1841">
        <v>0</v>
      </c>
      <c r="O1841">
        <v>1.468475E-2</v>
      </c>
      <c r="P1841">
        <v>0.99650349999999999</v>
      </c>
      <c r="Q1841">
        <v>2.1511820000000001E-2</v>
      </c>
      <c r="R1841">
        <v>8.0733559999999996E-2</v>
      </c>
      <c r="S1841">
        <v>3.0609280000000001</v>
      </c>
      <c r="T1841">
        <v>0.15252089999999999</v>
      </c>
      <c r="U1841">
        <v>-0.67327879999999996</v>
      </c>
      <c r="V1841">
        <v>-6.6090090000000004E-2</v>
      </c>
      <c r="W1841">
        <v>3.3830209999999999E-2</v>
      </c>
      <c r="X1841">
        <v>0.99724000000000002</v>
      </c>
      <c r="Y1841">
        <v>0.228855</v>
      </c>
      <c r="Z1841">
        <v>6.3539769999999898E-3</v>
      </c>
      <c r="AA1841">
        <v>0.97343979999999997</v>
      </c>
      <c r="AB1841">
        <v>22</v>
      </c>
      <c r="AC1841">
        <v>61.086599999999997</v>
      </c>
      <c r="AD1841">
        <v>3.0492659999999998</v>
      </c>
      <c r="AE1841">
        <v>-13.4626</v>
      </c>
      <c r="AF1841">
        <v>14.3242193658215</v>
      </c>
      <c r="AG1841">
        <v>3.0492659999999998</v>
      </c>
      <c r="AH1841">
        <v>60.737970553048697</v>
      </c>
      <c r="AI1841">
        <v>87.202572558555801</v>
      </c>
      <c r="AJ1841">
        <v>76.730047509496899</v>
      </c>
      <c r="AK1841">
        <v>62.478655159037601</v>
      </c>
      <c r="AL1841">
        <v>88.061301826437202</v>
      </c>
      <c r="AM1841">
        <v>93.791618812054097</v>
      </c>
      <c r="AN1841">
        <v>1.0000000003524201</v>
      </c>
    </row>
    <row r="1842" spans="1:40" x14ac:dyDescent="0.3">
      <c r="A1842" t="str">
        <f>"20200111145946620"</f>
        <v>20200111145946620</v>
      </c>
      <c r="B1842" t="str">
        <f>"1578725986617720"</f>
        <v>1578725986617720</v>
      </c>
      <c r="C1842" t="s">
        <v>40</v>
      </c>
      <c r="D1842">
        <v>4.4043330000000003</v>
      </c>
      <c r="E1842">
        <v>0.54422999999999999</v>
      </c>
      <c r="F1842" t="s">
        <v>44</v>
      </c>
      <c r="G1842">
        <v>-169.2955</v>
      </c>
      <c r="H1842">
        <v>4.1482929999999998</v>
      </c>
      <c r="I1842">
        <v>354.39940000000001</v>
      </c>
      <c r="J1842">
        <v>-230.2603</v>
      </c>
      <c r="K1842">
        <v>1.104576</v>
      </c>
      <c r="L1842">
        <v>367.77780000000001</v>
      </c>
      <c r="M1842">
        <v>0.99981549999999997</v>
      </c>
      <c r="N1842">
        <v>0</v>
      </c>
      <c r="O1842">
        <v>1.4692220000000001E-2</v>
      </c>
      <c r="P1842">
        <v>0.99643499999999996</v>
      </c>
      <c r="Q1842">
        <v>2.131628E-2</v>
      </c>
      <c r="R1842">
        <v>8.1627790000000006E-2</v>
      </c>
      <c r="S1842">
        <v>3.061569</v>
      </c>
      <c r="T1842">
        <v>0.15255089999999999</v>
      </c>
      <c r="U1842">
        <v>-0.67041019999999996</v>
      </c>
      <c r="V1842">
        <v>-6.6977789999999995E-2</v>
      </c>
      <c r="W1842">
        <v>3.3663890000000002E-2</v>
      </c>
      <c r="X1842">
        <v>0.99718640000000003</v>
      </c>
      <c r="Y1842">
        <v>0.22795019999999999</v>
      </c>
      <c r="Z1842">
        <v>6.3326619999999898E-3</v>
      </c>
      <c r="AA1842">
        <v>0.97365219999999997</v>
      </c>
      <c r="AB1842">
        <v>22</v>
      </c>
      <c r="AC1842">
        <v>60.964799999999997</v>
      </c>
      <c r="AD1842">
        <v>3.043717</v>
      </c>
      <c r="AE1842">
        <v>-13.378399999999999</v>
      </c>
      <c r="AF1842">
        <v>14.2388715823827</v>
      </c>
      <c r="AG1842">
        <v>3.043717</v>
      </c>
      <c r="AH1842">
        <v>60.617492682891204</v>
      </c>
      <c r="AI1842">
        <v>87.201529015165505</v>
      </c>
      <c r="AJ1842">
        <v>76.781037604596406</v>
      </c>
      <c r="AK1842">
        <v>62.341720350629203</v>
      </c>
      <c r="AL1842">
        <v>88.070836689066098</v>
      </c>
      <c r="AM1842">
        <v>93.842600932881595</v>
      </c>
      <c r="AN1842">
        <v>0.99999999909408799</v>
      </c>
    </row>
    <row r="1843" spans="1:40" x14ac:dyDescent="0.3">
      <c r="A1843" t="str">
        <f>"20200111145946634"</f>
        <v>20200111145946634</v>
      </c>
      <c r="B1843" t="str">
        <f>"1578725986627480"</f>
        <v>1578725986627480</v>
      </c>
      <c r="C1843" t="s">
        <v>40</v>
      </c>
      <c r="D1843">
        <v>4.3905059999999896</v>
      </c>
      <c r="E1843">
        <v>0.53704569999999996</v>
      </c>
      <c r="F1843" t="s">
        <v>44</v>
      </c>
      <c r="G1843">
        <v>-158.19499999999999</v>
      </c>
      <c r="H1843">
        <v>1.783331</v>
      </c>
      <c r="I1843">
        <v>365.22800000000001</v>
      </c>
      <c r="J1843">
        <v>-230.12479999999999</v>
      </c>
      <c r="K1843">
        <v>1.1045830000000001</v>
      </c>
      <c r="L1843">
        <v>367.77980000000002</v>
      </c>
      <c r="M1843">
        <v>0.9998148</v>
      </c>
      <c r="N1843">
        <v>0</v>
      </c>
      <c r="O1843">
        <v>1.4698920000000001E-2</v>
      </c>
      <c r="P1843">
        <v>0.99628229999999995</v>
      </c>
      <c r="Q1843">
        <v>2.1580800000000001E-2</v>
      </c>
      <c r="R1843">
        <v>8.3402219999999999E-2</v>
      </c>
      <c r="S1843">
        <v>3.018875</v>
      </c>
      <c r="T1843">
        <v>2.8437259999999999E-2</v>
      </c>
      <c r="U1843">
        <v>-0.1068115</v>
      </c>
      <c r="V1843">
        <v>-6.8747230000000006E-2</v>
      </c>
      <c r="W1843">
        <v>3.3971269999999998E-2</v>
      </c>
      <c r="X1843">
        <v>0.99705549999999998</v>
      </c>
      <c r="Y1843">
        <v>5.0043280000000002E-2</v>
      </c>
      <c r="Z1843">
        <v>3.7405110000000001E-4</v>
      </c>
      <c r="AA1843">
        <v>0.99874700000000005</v>
      </c>
      <c r="AB1843">
        <v>22</v>
      </c>
      <c r="AC1843">
        <v>71.9298</v>
      </c>
      <c r="AD1843">
        <v>0.67874800000000002</v>
      </c>
      <c r="AE1843">
        <v>-2.5518000000000098</v>
      </c>
      <c r="AF1843">
        <v>3.60857531877694</v>
      </c>
      <c r="AG1843">
        <v>0.67874800000000002</v>
      </c>
      <c r="AH1843">
        <v>71.878124075759999</v>
      </c>
      <c r="AI1843">
        <v>89.459650237164297</v>
      </c>
      <c r="AJ1843">
        <v>87.125930948661306</v>
      </c>
      <c r="AK1843">
        <v>71.971850298079303</v>
      </c>
      <c r="AL1843">
        <v>88.053214936390106</v>
      </c>
      <c r="AM1843">
        <v>93.944315849859294</v>
      </c>
      <c r="AN1843">
        <v>0.99999994944916604</v>
      </c>
    </row>
    <row r="1844" spans="1:40" x14ac:dyDescent="0.3">
      <c r="A1844" t="str">
        <f>"20200111145946647"</f>
        <v>20200111145946647</v>
      </c>
      <c r="B1844" t="str">
        <f>"1578725986637242"</f>
        <v>1578725986637242</v>
      </c>
      <c r="C1844" t="s">
        <v>40</v>
      </c>
      <c r="D1844">
        <v>4.4495649999999998</v>
      </c>
      <c r="E1844">
        <v>0.53382799999999997</v>
      </c>
      <c r="F1844" t="s">
        <v>44</v>
      </c>
      <c r="G1844">
        <v>-158.19499999999999</v>
      </c>
      <c r="H1844">
        <v>0.74708240000000004</v>
      </c>
      <c r="I1844">
        <v>366.71980000000002</v>
      </c>
      <c r="J1844">
        <v>-229.99459999999999</v>
      </c>
      <c r="K1844">
        <v>1.1045849999999999</v>
      </c>
      <c r="L1844">
        <v>367.7817</v>
      </c>
      <c r="M1844">
        <v>0.99981419999999999</v>
      </c>
      <c r="N1844">
        <v>0</v>
      </c>
      <c r="O1844">
        <v>1.4704419999999999E-2</v>
      </c>
      <c r="P1844">
        <v>0.99620600000000004</v>
      </c>
      <c r="Q1844">
        <v>2.168786E-2</v>
      </c>
      <c r="R1844">
        <v>8.4281910000000002E-2</v>
      </c>
      <c r="S1844">
        <v>3.015244</v>
      </c>
      <c r="T1844">
        <v>-1.498246E-2</v>
      </c>
      <c r="U1844">
        <v>-4.4433590000000002E-2</v>
      </c>
      <c r="V1844">
        <v>-6.9622110000000001E-2</v>
      </c>
      <c r="W1844">
        <v>3.4123290000000001E-2</v>
      </c>
      <c r="X1844">
        <v>0.99698969999999998</v>
      </c>
      <c r="Y1844">
        <v>2.9436540000000001E-2</v>
      </c>
      <c r="Z1844">
        <v>-1.4619540000000001E-4</v>
      </c>
      <c r="AA1844">
        <v>0.99956659999999997</v>
      </c>
      <c r="AB1844">
        <v>22</v>
      </c>
      <c r="AC1844">
        <v>71.799599999999998</v>
      </c>
      <c r="AD1844">
        <v>-0.357502599999999</v>
      </c>
      <c r="AE1844">
        <v>-1.0618999999999801</v>
      </c>
      <c r="AF1844">
        <v>2.1175861743768798</v>
      </c>
      <c r="AG1844">
        <v>-0.357502599999999</v>
      </c>
      <c r="AH1844">
        <v>71.774441229797105</v>
      </c>
      <c r="AI1844">
        <v>90.285259091978702</v>
      </c>
      <c r="AJ1844">
        <v>88.310073009136204</v>
      </c>
      <c r="AK1844">
        <v>71.806562326604293</v>
      </c>
      <c r="AL1844">
        <v>88.044499974445998</v>
      </c>
      <c r="AM1844">
        <v>93.994612675774505</v>
      </c>
      <c r="AN1844">
        <v>1.00000004951368</v>
      </c>
    </row>
    <row r="1845" spans="1:40" x14ac:dyDescent="0.3">
      <c r="A1845" t="str">
        <f>"20200111145946658"</f>
        <v>20200111145946658</v>
      </c>
      <c r="B1845" t="str">
        <f>"1578725986647977"</f>
        <v>1578725986647977</v>
      </c>
      <c r="C1845" t="s">
        <v>40</v>
      </c>
      <c r="D1845">
        <v>4.3937999999999997</v>
      </c>
      <c r="E1845">
        <v>0.53382799999999997</v>
      </c>
      <c r="F1845" t="s">
        <v>44</v>
      </c>
      <c r="G1845">
        <v>-158.19499999999999</v>
      </c>
      <c r="H1845">
        <v>0.37082369999999998</v>
      </c>
      <c r="I1845">
        <v>367.39710000000002</v>
      </c>
      <c r="J1845">
        <v>-229.8828</v>
      </c>
      <c r="K1845">
        <v>1.104592</v>
      </c>
      <c r="L1845">
        <v>367.78339999999997</v>
      </c>
      <c r="M1845">
        <v>0.99981370000000003</v>
      </c>
      <c r="N1845">
        <v>0</v>
      </c>
      <c r="O1845">
        <v>1.4708809999999999E-2</v>
      </c>
      <c r="P1845">
        <v>0.99613759999999996</v>
      </c>
      <c r="Q1845">
        <v>2.2072689999999999E-2</v>
      </c>
      <c r="R1845">
        <v>8.498762E-2</v>
      </c>
      <c r="S1845">
        <v>3.013458</v>
      </c>
      <c r="T1845">
        <v>-3.0792590000000002E-2</v>
      </c>
      <c r="U1845">
        <v>-1.61438E-2</v>
      </c>
      <c r="V1845">
        <v>-7.032418E-2</v>
      </c>
      <c r="W1845">
        <v>3.4550289999999997E-2</v>
      </c>
      <c r="X1845">
        <v>0.99692570000000003</v>
      </c>
      <c r="Y1845">
        <v>2.0064510000000001E-2</v>
      </c>
      <c r="Z1845">
        <v>-2.5281380000000001E-4</v>
      </c>
      <c r="AA1845">
        <v>0.99979870000000004</v>
      </c>
      <c r="AB1845">
        <v>22</v>
      </c>
      <c r="AC1845">
        <v>71.687799999999996</v>
      </c>
      <c r="AD1845">
        <v>-0.73376829999999904</v>
      </c>
      <c r="AE1845">
        <v>-0.38629999999994802</v>
      </c>
      <c r="AF1845">
        <v>1.4406318757337899</v>
      </c>
      <c r="AG1845">
        <v>-0.73376829999999904</v>
      </c>
      <c r="AH1845">
        <v>71.666852963484303</v>
      </c>
      <c r="AI1845">
        <v>90.586489643554899</v>
      </c>
      <c r="AJ1845">
        <v>88.848407490103796</v>
      </c>
      <c r="AK1845">
        <v>71.685086662493106</v>
      </c>
      <c r="AL1845">
        <v>88.020020207836694</v>
      </c>
      <c r="AM1845">
        <v>94.035020174773805</v>
      </c>
      <c r="AN1845">
        <v>1.00000003207612</v>
      </c>
    </row>
    <row r="1846" spans="1:40" x14ac:dyDescent="0.3">
      <c r="A1846" t="str">
        <f>"20200111145946670"</f>
        <v>20200111145946670</v>
      </c>
      <c r="B1846" t="str">
        <f>"1578725986667496"</f>
        <v>1578725986667496</v>
      </c>
      <c r="C1846" t="s">
        <v>40</v>
      </c>
      <c r="D1846">
        <v>4.3757570000000001</v>
      </c>
      <c r="E1846">
        <v>0.53237789999999996</v>
      </c>
      <c r="F1846" t="s">
        <v>44</v>
      </c>
      <c r="G1846">
        <v>-158.78319999999999</v>
      </c>
      <c r="H1846">
        <v>0.40787780000000001</v>
      </c>
      <c r="I1846">
        <v>367.45359999999999</v>
      </c>
      <c r="J1846">
        <v>-229.77670000000001</v>
      </c>
      <c r="K1846">
        <v>1.104598</v>
      </c>
      <c r="L1846">
        <v>367.78489999999999</v>
      </c>
      <c r="M1846">
        <v>0.99981299999999995</v>
      </c>
      <c r="N1846">
        <v>0</v>
      </c>
      <c r="O1846">
        <v>1.4711190000000001E-2</v>
      </c>
      <c r="P1846">
        <v>0.99609460000000005</v>
      </c>
      <c r="Q1846">
        <v>2.2057920000000002E-2</v>
      </c>
      <c r="R1846">
        <v>8.5492460000000006E-2</v>
      </c>
      <c r="S1846">
        <v>3.013458</v>
      </c>
      <c r="T1846">
        <v>-2.952552E-2</v>
      </c>
      <c r="U1846">
        <v>-1.397705E-2</v>
      </c>
      <c r="V1846">
        <v>-7.082658E-2</v>
      </c>
      <c r="W1846">
        <v>3.457698E-2</v>
      </c>
      <c r="X1846">
        <v>0.99688920000000003</v>
      </c>
      <c r="Y1846">
        <v>1.9348219999999999E-2</v>
      </c>
      <c r="Z1846">
        <v>-2.3892609999999999E-4</v>
      </c>
      <c r="AA1846">
        <v>0.99981279999999995</v>
      </c>
      <c r="AB1846">
        <v>22</v>
      </c>
      <c r="AC1846">
        <v>70.993499999999997</v>
      </c>
      <c r="AD1846">
        <v>-0.69672019999999901</v>
      </c>
      <c r="AE1846">
        <v>-0.33129999999999798</v>
      </c>
      <c r="AF1846">
        <v>1.3756128050624901</v>
      </c>
      <c r="AG1846">
        <v>-0.69672019999999901</v>
      </c>
      <c r="AH1846">
        <v>70.974106500258898</v>
      </c>
      <c r="AI1846">
        <v>90.562322678052794</v>
      </c>
      <c r="AJ1846">
        <v>88.889638141316297</v>
      </c>
      <c r="AK1846">
        <v>70.9908552078127</v>
      </c>
      <c r="AL1846">
        <v>88.018490054309694</v>
      </c>
      <c r="AM1846">
        <v>94.063898647230602</v>
      </c>
      <c r="AN1846">
        <v>1.0000000245285201</v>
      </c>
    </row>
    <row r="1847" spans="1:40" x14ac:dyDescent="0.3">
      <c r="A1847" t="str">
        <f>"20200111145946682"</f>
        <v>20200111145946682</v>
      </c>
      <c r="B1847" t="str">
        <f>"1578725986677256"</f>
        <v>1578725986677256</v>
      </c>
      <c r="C1847" t="s">
        <v>40</v>
      </c>
      <c r="D1847">
        <v>4.374822</v>
      </c>
      <c r="E1847">
        <v>0.53130759999999999</v>
      </c>
      <c r="F1847" t="s">
        <v>44</v>
      </c>
      <c r="G1847">
        <v>-158.78319999999999</v>
      </c>
      <c r="H1847">
        <v>0.87918189999999996</v>
      </c>
      <c r="I1847">
        <v>367.76119999999997</v>
      </c>
      <c r="J1847">
        <v>-229.6677</v>
      </c>
      <c r="K1847">
        <v>1.1046069999999999</v>
      </c>
      <c r="L1847">
        <v>367.78660000000002</v>
      </c>
      <c r="M1847">
        <v>0.99981249999999999</v>
      </c>
      <c r="N1847">
        <v>0</v>
      </c>
      <c r="O1847">
        <v>1.4712859999999999E-2</v>
      </c>
      <c r="P1847">
        <v>0.99606410000000001</v>
      </c>
      <c r="Q1847">
        <v>2.1987670000000001E-2</v>
      </c>
      <c r="R1847">
        <v>8.5865699999999906E-2</v>
      </c>
      <c r="S1847">
        <v>3.01207</v>
      </c>
      <c r="T1847">
        <v>-9.5601079999999995E-3</v>
      </c>
      <c r="U1847">
        <v>-1.00708E-3</v>
      </c>
      <c r="V1847">
        <v>-7.1198839999999999E-2</v>
      </c>
      <c r="W1847">
        <v>3.4550289999999997E-2</v>
      </c>
      <c r="X1847">
        <v>0.99686359999999996</v>
      </c>
      <c r="Y1847">
        <v>1.504818E-2</v>
      </c>
      <c r="Z1847" s="1">
        <v>-7.0580869999999998E-5</v>
      </c>
      <c r="AA1847">
        <v>0.99988679999999996</v>
      </c>
      <c r="AB1847">
        <v>22</v>
      </c>
      <c r="AC1847">
        <v>70.884500000000003</v>
      </c>
      <c r="AD1847">
        <v>-0.22542509999999999</v>
      </c>
      <c r="AE1847">
        <v>-2.5400000000047301E-2</v>
      </c>
      <c r="AF1847">
        <v>1.0683828288005801</v>
      </c>
      <c r="AG1847">
        <v>-0.22542509999999999</v>
      </c>
      <c r="AH1847">
        <v>70.875735707867406</v>
      </c>
      <c r="AI1847">
        <v>90.182211810473206</v>
      </c>
      <c r="AJ1847">
        <v>89.136387219815603</v>
      </c>
      <c r="AK1847">
        <v>70.884146115164995</v>
      </c>
      <c r="AL1847">
        <v>88.020020178332302</v>
      </c>
      <c r="AM1847">
        <v>94.085290666001001</v>
      </c>
      <c r="AN1847">
        <v>1.00000001718069</v>
      </c>
    </row>
    <row r="1848" spans="1:40" x14ac:dyDescent="0.3">
      <c r="A1848" t="str">
        <f>"20200111145946693"</f>
        <v>20200111145946693</v>
      </c>
      <c r="B1848" t="str">
        <f>"1578725986687992"</f>
        <v>1578725986687992</v>
      </c>
      <c r="C1848" t="s">
        <v>40</v>
      </c>
      <c r="D1848">
        <v>4.4489150000000004</v>
      </c>
      <c r="E1848">
        <v>0.53036359999999905</v>
      </c>
      <c r="F1848" t="s">
        <v>44</v>
      </c>
      <c r="G1848">
        <v>-158.78319999999999</v>
      </c>
      <c r="H1848">
        <v>0.72891099999999998</v>
      </c>
      <c r="I1848">
        <v>367.98129999999998</v>
      </c>
      <c r="J1848">
        <v>-229.5472</v>
      </c>
      <c r="K1848">
        <v>1.1046129999999901</v>
      </c>
      <c r="L1848">
        <v>367.78829999999999</v>
      </c>
      <c r="M1848">
        <v>0.99981189999999998</v>
      </c>
      <c r="N1848">
        <v>0</v>
      </c>
      <c r="O1848">
        <v>1.4712899999999999E-2</v>
      </c>
      <c r="P1848">
        <v>0.99605949999999999</v>
      </c>
      <c r="Q1848">
        <v>2.1476470000000001E-2</v>
      </c>
      <c r="R1848">
        <v>8.6048509999999995E-2</v>
      </c>
      <c r="S1848">
        <v>3.0115050000000001</v>
      </c>
      <c r="T1848">
        <v>-1.5957590000000001E-2</v>
      </c>
      <c r="U1848">
        <v>8.2702639999999994E-3</v>
      </c>
      <c r="V1848">
        <v>-7.1381550000000002E-2</v>
      </c>
      <c r="W1848">
        <v>3.4086129999999999E-2</v>
      </c>
      <c r="X1848">
        <v>0.99686649999999999</v>
      </c>
      <c r="Y1848">
        <v>1.1967729999999999E-2</v>
      </c>
      <c r="Z1848">
        <v>-1.096723E-4</v>
      </c>
      <c r="AA1848">
        <v>0.99992840000000005</v>
      </c>
      <c r="AB1848">
        <v>22</v>
      </c>
      <c r="AC1848">
        <v>70.763999999999996</v>
      </c>
      <c r="AD1848">
        <v>-0.37570199999999898</v>
      </c>
      <c r="AE1848">
        <v>0.19299999999998299</v>
      </c>
      <c r="AF1848">
        <v>0.84822378269909604</v>
      </c>
      <c r="AG1848">
        <v>-0.37570199999999898</v>
      </c>
      <c r="AH1848">
        <v>70.757184577713602</v>
      </c>
      <c r="AI1848">
        <v>90.304200771469894</v>
      </c>
      <c r="AJ1848">
        <v>89.313181901234898</v>
      </c>
      <c r="AK1848">
        <v>70.763265929032499</v>
      </c>
      <c r="AL1848">
        <v>88.046630236610397</v>
      </c>
      <c r="AM1848">
        <v>94.095726805645697</v>
      </c>
      <c r="AN1848">
        <v>1.00000000438051</v>
      </c>
    </row>
    <row r="1849" spans="1:40" x14ac:dyDescent="0.3">
      <c r="A1849" t="str">
        <f>"20200111145946703"</f>
        <v>20200111145946703</v>
      </c>
      <c r="B1849" t="str">
        <f>"1578725986697752"</f>
        <v>1578725986697752</v>
      </c>
      <c r="C1849" t="s">
        <v>40</v>
      </c>
      <c r="D1849">
        <v>4.3701460000000001</v>
      </c>
      <c r="E1849">
        <v>0.53036359999999905</v>
      </c>
      <c r="F1849" t="s">
        <v>44</v>
      </c>
      <c r="G1849">
        <v>-158.78319999999999</v>
      </c>
      <c r="H1849">
        <v>0.45573989999999998</v>
      </c>
      <c r="I1849">
        <v>368.17849999999999</v>
      </c>
      <c r="J1849">
        <v>-229.45070000000001</v>
      </c>
      <c r="K1849">
        <v>1.104616</v>
      </c>
      <c r="L1849">
        <v>367.78969999999998</v>
      </c>
      <c r="M1849">
        <v>0.99981140000000002</v>
      </c>
      <c r="N1849">
        <v>0</v>
      </c>
      <c r="O1849">
        <v>1.471247E-2</v>
      </c>
      <c r="P1849">
        <v>0.99608580000000002</v>
      </c>
      <c r="Q1849">
        <v>2.1220099999999999E-2</v>
      </c>
      <c r="R1849">
        <v>8.5807800000000004E-2</v>
      </c>
      <c r="S1849">
        <v>3.0110320000000002</v>
      </c>
      <c r="T1849">
        <v>-2.760601E-2</v>
      </c>
      <c r="U1849">
        <v>1.6601560000000001E-2</v>
      </c>
      <c r="V1849">
        <v>-7.1140610000000007E-2</v>
      </c>
      <c r="W1849">
        <v>3.3866899999999998E-2</v>
      </c>
      <c r="X1849">
        <v>0.99689119999999998</v>
      </c>
      <c r="Y1849">
        <v>9.1995319999999998E-3</v>
      </c>
      <c r="Z1849">
        <v>-1.77060999999999E-4</v>
      </c>
      <c r="AA1849">
        <v>0.99995769999999995</v>
      </c>
      <c r="AB1849">
        <v>22</v>
      </c>
      <c r="AC1849">
        <v>70.667500000000004</v>
      </c>
      <c r="AD1849">
        <v>-0.64887609999999996</v>
      </c>
      <c r="AE1849">
        <v>0.38880000000000298</v>
      </c>
      <c r="AF1849">
        <v>0.650964233618476</v>
      </c>
      <c r="AG1849">
        <v>-0.64887609999999996</v>
      </c>
      <c r="AH1849">
        <v>70.659613594683407</v>
      </c>
      <c r="AI1849">
        <v>90.5261172199871</v>
      </c>
      <c r="AJ1849">
        <v>89.472167392833398</v>
      </c>
      <c r="AK1849">
        <v>70.665591258947103</v>
      </c>
      <c r="AL1849">
        <v>88.059198455726204</v>
      </c>
      <c r="AM1849">
        <v>94.081848176775594</v>
      </c>
      <c r="AN1849">
        <v>1.0000000089721099</v>
      </c>
    </row>
    <row r="1850" spans="1:40" x14ac:dyDescent="0.3">
      <c r="A1850" t="str">
        <f>"20200111145946714"</f>
        <v>20200111145946714</v>
      </c>
      <c r="B1850" t="str">
        <f>"1578725986707512"</f>
        <v>1578725986707512</v>
      </c>
      <c r="C1850" t="s">
        <v>40</v>
      </c>
      <c r="D1850">
        <v>4.4411040000000002</v>
      </c>
      <c r="E1850">
        <v>0.52984399999999998</v>
      </c>
      <c r="F1850" t="s">
        <v>44</v>
      </c>
      <c r="G1850">
        <v>-158.78319999999999</v>
      </c>
      <c r="H1850">
        <v>0.43985479999999999</v>
      </c>
      <c r="I1850">
        <v>368.16219999999998</v>
      </c>
      <c r="J1850">
        <v>-229.34309999999999</v>
      </c>
      <c r="K1850">
        <v>1.1046199999999999</v>
      </c>
      <c r="L1850">
        <v>367.79129999999998</v>
      </c>
      <c r="M1850">
        <v>0.99981089999999995</v>
      </c>
      <c r="N1850">
        <v>0</v>
      </c>
      <c r="O1850">
        <v>1.4710549999999999E-2</v>
      </c>
      <c r="P1850">
        <v>0.9960812</v>
      </c>
      <c r="Q1850">
        <v>2.082144E-2</v>
      </c>
      <c r="R1850">
        <v>8.5957749999999999E-2</v>
      </c>
      <c r="S1850">
        <v>3.0110320000000002</v>
      </c>
      <c r="T1850">
        <v>-2.8320669999999999E-2</v>
      </c>
      <c r="U1850">
        <v>1.586914E-2</v>
      </c>
      <c r="V1850">
        <v>-7.1292620000000001E-2</v>
      </c>
      <c r="W1850">
        <v>3.3508049999999998E-2</v>
      </c>
      <c r="X1850">
        <v>0.99689249999999996</v>
      </c>
      <c r="Y1850">
        <v>9.4407810000000005E-3</v>
      </c>
      <c r="Z1850">
        <v>-1.8276119999999999E-4</v>
      </c>
      <c r="AA1850">
        <v>0.99995540000000005</v>
      </c>
      <c r="AB1850">
        <v>22</v>
      </c>
      <c r="AC1850">
        <v>70.559899999999999</v>
      </c>
      <c r="AD1850">
        <v>-0.66476519999999995</v>
      </c>
      <c r="AE1850">
        <v>0.370900000000006</v>
      </c>
      <c r="AF1850">
        <v>0.66713982654590898</v>
      </c>
      <c r="AG1850">
        <v>-0.66476519999999995</v>
      </c>
      <c r="AH1850">
        <v>70.5514583221767</v>
      </c>
      <c r="AI1850">
        <v>90.539824569204896</v>
      </c>
      <c r="AJ1850">
        <v>89.458223003870799</v>
      </c>
      <c r="AK1850">
        <v>70.557744151192395</v>
      </c>
      <c r="AL1850">
        <v>88.079770785718196</v>
      </c>
      <c r="AM1850">
        <v>94.090535191450201</v>
      </c>
      <c r="AN1850">
        <v>1.00000004181875</v>
      </c>
    </row>
    <row r="1851" spans="1:40" x14ac:dyDescent="0.3">
      <c r="A1851" t="str">
        <f>"20200111145946725"</f>
        <v>20200111145946725</v>
      </c>
      <c r="B1851" t="str">
        <f>"1578725986717272"</f>
        <v>1578725986717272</v>
      </c>
      <c r="C1851" t="s">
        <v>40</v>
      </c>
      <c r="D1851">
        <v>4.2738180000000003</v>
      </c>
      <c r="E1851">
        <v>0.52913779999999999</v>
      </c>
      <c r="F1851" t="s">
        <v>44</v>
      </c>
      <c r="G1851">
        <v>-158.78319999999999</v>
      </c>
      <c r="H1851">
        <v>0.17519560000000001</v>
      </c>
      <c r="I1851">
        <v>368.27120000000002</v>
      </c>
      <c r="J1851">
        <v>-229.23840000000001</v>
      </c>
      <c r="K1851">
        <v>1.104622</v>
      </c>
      <c r="L1851">
        <v>367.7928</v>
      </c>
      <c r="M1851">
        <v>0.99981050000000005</v>
      </c>
      <c r="N1851">
        <v>0</v>
      </c>
      <c r="O1851">
        <v>1.470846E-2</v>
      </c>
      <c r="P1851">
        <v>0.99610969999999999</v>
      </c>
      <c r="Q1851">
        <v>2.0553600000000002E-2</v>
      </c>
      <c r="R1851">
        <v>8.5695010000000002E-2</v>
      </c>
      <c r="S1851">
        <v>3.0108799999999998</v>
      </c>
      <c r="T1851">
        <v>-3.9655919999999997E-2</v>
      </c>
      <c r="U1851">
        <v>2.0477289999999999E-2</v>
      </c>
      <c r="V1851">
        <v>-7.1032209999999998E-2</v>
      </c>
      <c r="W1851">
        <v>3.3277870000000001E-2</v>
      </c>
      <c r="X1851">
        <v>0.99691870000000005</v>
      </c>
      <c r="Y1851">
        <v>7.9071479999999993E-3</v>
      </c>
      <c r="Z1851">
        <v>-2.4579000000000002E-4</v>
      </c>
      <c r="AA1851">
        <v>0.99996870000000004</v>
      </c>
      <c r="AB1851">
        <v>22</v>
      </c>
      <c r="AC1851">
        <v>70.455200000000005</v>
      </c>
      <c r="AD1851">
        <v>-0.92942639999999999</v>
      </c>
      <c r="AE1851">
        <v>0.47840000000002098</v>
      </c>
      <c r="AF1851">
        <v>0.55792643706475598</v>
      </c>
      <c r="AG1851">
        <v>-0.92942639999999999</v>
      </c>
      <c r="AH1851">
        <v>70.442356403496305</v>
      </c>
      <c r="AI1851">
        <v>90.755901038209501</v>
      </c>
      <c r="AJ1851">
        <v>89.546208228447995</v>
      </c>
      <c r="AK1851">
        <v>70.450696881005996</v>
      </c>
      <c r="AL1851">
        <v>88.092966298354796</v>
      </c>
      <c r="AM1851">
        <v>94.075537417292793</v>
      </c>
      <c r="AN1851">
        <v>0.99999994294945305</v>
      </c>
    </row>
    <row r="1852" spans="1:40" x14ac:dyDescent="0.3">
      <c r="A1852" t="str">
        <f>"20200111145946737"</f>
        <v>20200111145946737</v>
      </c>
      <c r="B1852" t="str">
        <f>"1578725986728008"</f>
        <v>1578725986728008</v>
      </c>
      <c r="C1852" t="s">
        <v>40</v>
      </c>
      <c r="D1852">
        <v>4.4159379999999997</v>
      </c>
      <c r="E1852">
        <v>0.52883329999999995</v>
      </c>
      <c r="F1852" t="s">
        <v>44</v>
      </c>
      <c r="G1852">
        <v>-158.78319999999999</v>
      </c>
      <c r="H1852">
        <v>0.2751865</v>
      </c>
      <c r="I1852">
        <v>368.37860000000001</v>
      </c>
      <c r="J1852">
        <v>-229.11760000000001</v>
      </c>
      <c r="K1852">
        <v>1.1046240000000001</v>
      </c>
      <c r="L1852">
        <v>367.79469999999998</v>
      </c>
      <c r="M1852">
        <v>0.99980999999999998</v>
      </c>
      <c r="N1852">
        <v>0</v>
      </c>
      <c r="O1852">
        <v>1.470539E-2</v>
      </c>
      <c r="P1852">
        <v>0.99613589999999996</v>
      </c>
      <c r="Q1852">
        <v>2.010321E-2</v>
      </c>
      <c r="R1852">
        <v>8.5495000000000002E-2</v>
      </c>
      <c r="S1852">
        <v>3.0103149999999999</v>
      </c>
      <c r="T1852">
        <v>-3.54352E-2</v>
      </c>
      <c r="U1852">
        <v>2.502441E-2</v>
      </c>
      <c r="V1852">
        <v>-7.0834449999999993E-2</v>
      </c>
      <c r="W1852">
        <v>3.2871350000000001E-2</v>
      </c>
      <c r="X1852">
        <v>0.99694629999999995</v>
      </c>
      <c r="Y1852">
        <v>6.3929199999999999E-3</v>
      </c>
      <c r="Z1852">
        <v>-2.107232E-4</v>
      </c>
      <c r="AA1852">
        <v>0.99997959999999997</v>
      </c>
      <c r="AB1852">
        <v>22</v>
      </c>
      <c r="AC1852">
        <v>70.334400000000002</v>
      </c>
      <c r="AD1852">
        <v>-0.82943750000000005</v>
      </c>
      <c r="AE1852">
        <v>0.58390000000002795</v>
      </c>
      <c r="AF1852">
        <v>0.45047996162179799</v>
      </c>
      <c r="AG1852">
        <v>-0.82943750000000005</v>
      </c>
      <c r="AH1852">
        <v>70.325601200372205</v>
      </c>
      <c r="AI1852">
        <v>90.675715373986904</v>
      </c>
      <c r="AJ1852">
        <v>89.632989308260505</v>
      </c>
      <c r="AK1852">
        <v>70.331935015013002</v>
      </c>
      <c r="AL1852">
        <v>88.116271009717096</v>
      </c>
      <c r="AM1852">
        <v>94.064116694986396</v>
      </c>
      <c r="AN1852">
        <v>0.99999998502065701</v>
      </c>
    </row>
    <row r="1853" spans="1:40" x14ac:dyDescent="0.3">
      <c r="A1853" t="str">
        <f>"20200111145946749"</f>
        <v>20200111145946749</v>
      </c>
      <c r="B1853" t="str">
        <f>"1578725986737768"</f>
        <v>1578725986737768</v>
      </c>
      <c r="C1853" t="s">
        <v>40</v>
      </c>
      <c r="D1853">
        <v>4.4248310000000002</v>
      </c>
      <c r="E1853">
        <v>0.52862799999999999</v>
      </c>
      <c r="F1853" t="s">
        <v>44</v>
      </c>
      <c r="G1853">
        <v>-158.78319999999999</v>
      </c>
      <c r="H1853">
        <v>0.1196313</v>
      </c>
      <c r="I1853">
        <v>368.41860000000003</v>
      </c>
      <c r="J1853">
        <v>-229.0094</v>
      </c>
      <c r="K1853">
        <v>1.1046229999999999</v>
      </c>
      <c r="L1853">
        <v>367.79629999999997</v>
      </c>
      <c r="M1853">
        <v>0.99980939999999996</v>
      </c>
      <c r="N1853">
        <v>0</v>
      </c>
      <c r="O1853">
        <v>1.4702929999999999E-2</v>
      </c>
      <c r="P1853">
        <v>0.99614449999999999</v>
      </c>
      <c r="Q1853">
        <v>1.929676E-2</v>
      </c>
      <c r="R1853">
        <v>8.5577890000000004E-2</v>
      </c>
      <c r="S1853">
        <v>3.010208</v>
      </c>
      <c r="T1853">
        <v>-4.21524E-2</v>
      </c>
      <c r="U1853">
        <v>2.6702879999999998E-2</v>
      </c>
      <c r="V1853">
        <v>-7.0919889999999999E-2</v>
      </c>
      <c r="W1853">
        <v>3.210404E-2</v>
      </c>
      <c r="X1853">
        <v>0.9969652</v>
      </c>
      <c r="Y1853">
        <v>5.8320869999999997E-3</v>
      </c>
      <c r="Z1853">
        <v>-2.4671239999999998E-4</v>
      </c>
      <c r="AA1853">
        <v>0.99998299999999996</v>
      </c>
      <c r="AB1853">
        <v>22</v>
      </c>
      <c r="AC1853">
        <v>70.226200000000006</v>
      </c>
      <c r="AD1853">
        <v>-0.98499170000000003</v>
      </c>
      <c r="AE1853">
        <v>0.62230000000005203</v>
      </c>
      <c r="AF1853">
        <v>0.41030265680994998</v>
      </c>
      <c r="AG1853">
        <v>-0.98499170000000003</v>
      </c>
      <c r="AH1853">
        <v>70.213946125887503</v>
      </c>
      <c r="AI1853">
        <v>90.803703613259799</v>
      </c>
      <c r="AJ1853">
        <v>89.665189833755306</v>
      </c>
      <c r="AK1853">
        <v>70.222053426884997</v>
      </c>
      <c r="AL1853">
        <v>88.160257800059298</v>
      </c>
      <c r="AM1853">
        <v>94.068925467943203</v>
      </c>
      <c r="AN1853">
        <v>0.99999995509648498</v>
      </c>
    </row>
    <row r="1854" spans="1:40" x14ac:dyDescent="0.3">
      <c r="A1854" t="str">
        <f>"20200111145946760"</f>
        <v>20200111145946760</v>
      </c>
      <c r="B1854" t="str">
        <f>"1578725986757288"</f>
        <v>1578725986757288</v>
      </c>
      <c r="C1854" t="s">
        <v>40</v>
      </c>
      <c r="D1854">
        <v>4.4111630000000002</v>
      </c>
      <c r="E1854">
        <v>0.52848499999999998</v>
      </c>
      <c r="F1854" t="s">
        <v>43</v>
      </c>
      <c r="G1854">
        <v>-160.76400000000001</v>
      </c>
      <c r="H1854">
        <v>-0.05</v>
      </c>
      <c r="I1854">
        <v>368.44940000000003</v>
      </c>
      <c r="J1854">
        <v>-228.89840000000001</v>
      </c>
      <c r="K1854">
        <v>1.104622</v>
      </c>
      <c r="L1854">
        <v>367.79790000000003</v>
      </c>
      <c r="M1854">
        <v>0.99980899999999995</v>
      </c>
      <c r="N1854">
        <v>0</v>
      </c>
      <c r="O1854">
        <v>1.4700349999999999E-2</v>
      </c>
      <c r="P1854">
        <v>0.99613309999999999</v>
      </c>
      <c r="Q1854">
        <v>1.8842100000000001E-2</v>
      </c>
      <c r="R1854">
        <v>8.5811670000000007E-2</v>
      </c>
      <c r="S1854">
        <v>3.0101010000000001</v>
      </c>
      <c r="T1854">
        <v>-5.092704E-2</v>
      </c>
      <c r="U1854">
        <v>2.8808589999999999E-2</v>
      </c>
      <c r="V1854">
        <v>-7.1156150000000001E-2</v>
      </c>
      <c r="W1854">
        <v>3.1689889999999998E-2</v>
      </c>
      <c r="X1854">
        <v>0.99696169999999995</v>
      </c>
      <c r="Y1854">
        <v>5.1288920000000003E-3</v>
      </c>
      <c r="Z1854">
        <v>-2.9208009999999999E-4</v>
      </c>
      <c r="AA1854">
        <v>0.99998679999999995</v>
      </c>
      <c r="AB1854">
        <v>22</v>
      </c>
      <c r="AC1854">
        <v>68.134399999999999</v>
      </c>
      <c r="AD1854">
        <v>-1.154622</v>
      </c>
      <c r="AE1854">
        <v>0.65149999999999797</v>
      </c>
      <c r="AF1854">
        <v>0.35015246591505</v>
      </c>
      <c r="AG1854">
        <v>-1.154622</v>
      </c>
      <c r="AH1854">
        <v>68.117054787582006</v>
      </c>
      <c r="AI1854">
        <v>90.971089533156501</v>
      </c>
      <c r="AJ1854">
        <v>89.705476376828699</v>
      </c>
      <c r="AK1854">
        <v>68.127739663419902</v>
      </c>
      <c r="AL1854">
        <v>88.183999081252296</v>
      </c>
      <c r="AM1854">
        <v>94.082449069486998</v>
      </c>
      <c r="AN1854">
        <v>1.0000000390389601</v>
      </c>
    </row>
    <row r="1855" spans="1:40" x14ac:dyDescent="0.3">
      <c r="A1855" t="str">
        <f>"20200111145946771"</f>
        <v>20200111145946771</v>
      </c>
      <c r="B1855" t="str">
        <f>"1578725986768024"</f>
        <v>1578725986768024</v>
      </c>
      <c r="C1855" t="s">
        <v>40</v>
      </c>
      <c r="D1855">
        <v>4.4147109999999996</v>
      </c>
      <c r="E1855">
        <v>0.52824399999999905</v>
      </c>
      <c r="F1855" t="s">
        <v>45</v>
      </c>
      <c r="G1855">
        <v>-180</v>
      </c>
      <c r="H1855">
        <v>3.4835230000000002E-2</v>
      </c>
      <c r="I1855">
        <v>368.29259999999999</v>
      </c>
      <c r="J1855">
        <v>-228.79159999999999</v>
      </c>
      <c r="K1855">
        <v>1.104619</v>
      </c>
      <c r="L1855">
        <v>367.79950000000002</v>
      </c>
      <c r="M1855">
        <v>0.99980840000000004</v>
      </c>
      <c r="N1855">
        <v>0</v>
      </c>
      <c r="O1855">
        <v>1.469868E-2</v>
      </c>
      <c r="P1855">
        <v>0.99608200000000002</v>
      </c>
      <c r="Q1855">
        <v>1.825355E-2</v>
      </c>
      <c r="R1855">
        <v>8.6531179999999999E-2</v>
      </c>
      <c r="S1855">
        <v>3.010284</v>
      </c>
      <c r="T1855">
        <v>-6.5858239999999998E-2</v>
      </c>
      <c r="U1855">
        <v>3.0456540000000001E-2</v>
      </c>
      <c r="V1855">
        <v>-7.1878049999999999E-2</v>
      </c>
      <c r="W1855">
        <v>3.1147040000000001E-2</v>
      </c>
      <c r="X1855">
        <v>0.99692700000000001</v>
      </c>
      <c r="Y1855">
        <v>4.5786619999999998E-3</v>
      </c>
      <c r="Z1855">
        <v>-3.7161779999999998E-4</v>
      </c>
      <c r="AA1855">
        <v>0.99998940000000003</v>
      </c>
      <c r="AB1855">
        <v>22</v>
      </c>
      <c r="AC1855">
        <v>48.791599999999903</v>
      </c>
      <c r="AD1855">
        <v>-1.0697837699999999</v>
      </c>
      <c r="AE1855">
        <v>0.49309999999996901</v>
      </c>
      <c r="AF1855">
        <v>0.22407761587448799</v>
      </c>
      <c r="AG1855">
        <v>-1.0697837699999999</v>
      </c>
      <c r="AH1855">
        <v>48.770133709432102</v>
      </c>
      <c r="AI1855">
        <v>91.256580942393299</v>
      </c>
      <c r="AJ1855">
        <v>89.736752591068097</v>
      </c>
      <c r="AK1855">
        <v>48.782379914559101</v>
      </c>
      <c r="AL1855">
        <v>88.215117418896497</v>
      </c>
      <c r="AM1855">
        <v>94.123867582502996</v>
      </c>
      <c r="AN1855">
        <v>1.00000001775078</v>
      </c>
    </row>
    <row r="1856" spans="1:40" x14ac:dyDescent="0.3">
      <c r="A1856" t="str">
        <f>"20200111145946783"</f>
        <v>20200111145946783</v>
      </c>
      <c r="B1856" t="str">
        <f>"1578725986777784"</f>
        <v>1578725986777784</v>
      </c>
      <c r="C1856" t="s">
        <v>40</v>
      </c>
      <c r="D1856">
        <v>4.4958879999999999</v>
      </c>
      <c r="E1856">
        <v>0.52838359999999995</v>
      </c>
      <c r="F1856" t="s">
        <v>45</v>
      </c>
      <c r="G1856">
        <v>-182.64410000000001</v>
      </c>
      <c r="H1856" s="1">
        <v>-9.0695770000000008E-6</v>
      </c>
      <c r="I1856">
        <v>368.33</v>
      </c>
      <c r="J1856">
        <v>-228.6722</v>
      </c>
      <c r="K1856">
        <v>1.104617</v>
      </c>
      <c r="L1856">
        <v>367.80119999999999</v>
      </c>
      <c r="M1856">
        <v>0.99980780000000002</v>
      </c>
      <c r="N1856">
        <v>0</v>
      </c>
      <c r="O1856">
        <v>1.469702E-2</v>
      </c>
      <c r="P1856">
        <v>0.99601879999999998</v>
      </c>
      <c r="Q1856">
        <v>1.7129849999999999E-2</v>
      </c>
      <c r="R1856">
        <v>8.748388E-2</v>
      </c>
      <c r="S1856">
        <v>3.010132</v>
      </c>
      <c r="T1856">
        <v>-7.2053309999999995E-2</v>
      </c>
      <c r="U1856">
        <v>3.4606930000000001E-2</v>
      </c>
      <c r="V1856">
        <v>-7.2833519999999999E-2</v>
      </c>
      <c r="W1856">
        <v>3.0076559999999999E-2</v>
      </c>
      <c r="X1856">
        <v>0.99689050000000001</v>
      </c>
      <c r="Y1856">
        <v>3.197348E-3</v>
      </c>
      <c r="Z1856">
        <v>-3.900129E-4</v>
      </c>
      <c r="AA1856">
        <v>0.99999479999999996</v>
      </c>
      <c r="AB1856">
        <v>22</v>
      </c>
      <c r="AC1856">
        <v>46.028100000000002</v>
      </c>
      <c r="AD1856">
        <v>-1.104626069577</v>
      </c>
      <c r="AE1856">
        <v>0.52879999999998895</v>
      </c>
      <c r="AF1856">
        <v>0.14770492379049899</v>
      </c>
      <c r="AG1856">
        <v>-1.104626069577</v>
      </c>
      <c r="AH1856">
        <v>46.004407519514501</v>
      </c>
      <c r="AI1856">
        <v>91.375475310072204</v>
      </c>
      <c r="AJ1856">
        <v>89.816042850599601</v>
      </c>
      <c r="AK1856">
        <v>46.017904414691301</v>
      </c>
      <c r="AL1856">
        <v>88.276480125361402</v>
      </c>
      <c r="AM1856">
        <v>94.178645424397303</v>
      </c>
      <c r="AN1856">
        <v>0.99999999504363701</v>
      </c>
    </row>
    <row r="1857" spans="1:40" x14ac:dyDescent="0.3">
      <c r="A1857" t="str">
        <f>"20200111145946794"</f>
        <v>20200111145946794</v>
      </c>
      <c r="B1857" t="str">
        <f>"1578725986787544"</f>
        <v>1578725986787544</v>
      </c>
      <c r="C1857" t="s">
        <v>40</v>
      </c>
      <c r="D1857">
        <v>4.4228300000000003</v>
      </c>
      <c r="E1857">
        <v>0.52816960000000002</v>
      </c>
      <c r="F1857" t="s">
        <v>45</v>
      </c>
      <c r="G1857">
        <v>-187.89529999999999</v>
      </c>
      <c r="H1857" s="1">
        <v>-8.5921720000000006E-6</v>
      </c>
      <c r="I1857">
        <v>368.28899999999999</v>
      </c>
      <c r="J1857">
        <v>-228.5616</v>
      </c>
      <c r="K1857">
        <v>1.1046149999999999</v>
      </c>
      <c r="L1857">
        <v>367.80290000000002</v>
      </c>
      <c r="M1857">
        <v>0.99980709999999995</v>
      </c>
      <c r="N1857">
        <v>0</v>
      </c>
      <c r="O1857">
        <v>1.469581E-2</v>
      </c>
      <c r="P1857">
        <v>0.99594559999999999</v>
      </c>
      <c r="Q1857">
        <v>1.586678E-2</v>
      </c>
      <c r="R1857">
        <v>8.8549500000000003E-2</v>
      </c>
      <c r="S1857">
        <v>3.0102389999999999</v>
      </c>
      <c r="T1857">
        <v>-8.154583E-2</v>
      </c>
      <c r="U1857">
        <v>3.6010739999999999E-2</v>
      </c>
      <c r="V1857">
        <v>-7.3901369999999994E-2</v>
      </c>
      <c r="W1857">
        <v>2.8870690000000001E-2</v>
      </c>
      <c r="X1857">
        <v>0.99684759999999994</v>
      </c>
      <c r="Y1857">
        <v>2.7290090000000001E-3</v>
      </c>
      <c r="Z1857">
        <v>-4.3498469999999999E-4</v>
      </c>
      <c r="AA1857">
        <v>0.9999962</v>
      </c>
      <c r="AB1857">
        <v>22</v>
      </c>
      <c r="AC1857">
        <v>40.6663</v>
      </c>
      <c r="AD1857">
        <v>-1.104623592172</v>
      </c>
      <c r="AE1857">
        <v>0.48609999999996401</v>
      </c>
      <c r="AF1857">
        <v>0.11154517405525601</v>
      </c>
      <c r="AG1857">
        <v>-1.104623592172</v>
      </c>
      <c r="AH1857">
        <v>40.639071321548499</v>
      </c>
      <c r="AI1857">
        <v>91.556985669368203</v>
      </c>
      <c r="AJ1857">
        <v>89.842736277159204</v>
      </c>
      <c r="AK1857">
        <v>40.6542341396827</v>
      </c>
      <c r="AL1857">
        <v>88.3456014842359</v>
      </c>
      <c r="AM1857">
        <v>94.239870715343997</v>
      </c>
      <c r="AN1857">
        <v>1.00000003342735</v>
      </c>
    </row>
    <row r="1858" spans="1:40" x14ac:dyDescent="0.3">
      <c r="A1858" t="str">
        <f>"20200111145946807"</f>
        <v>20200111145946807</v>
      </c>
      <c r="B1858" t="str">
        <f>"1578725986797303"</f>
        <v>1578725986797303</v>
      </c>
      <c r="C1858" t="s">
        <v>40</v>
      </c>
      <c r="D1858">
        <v>4.5011080000000003</v>
      </c>
      <c r="E1858">
        <v>0.52819249999999995</v>
      </c>
      <c r="F1858" t="s">
        <v>45</v>
      </c>
      <c r="G1858">
        <v>-191.53550000000001</v>
      </c>
      <c r="H1858" s="1">
        <v>-6.0322490000000003E-6</v>
      </c>
      <c r="I1858">
        <v>368.30439999999999</v>
      </c>
      <c r="J1858">
        <v>-228.44749999999999</v>
      </c>
      <c r="K1858">
        <v>1.104619</v>
      </c>
      <c r="L1858">
        <v>367.80450000000002</v>
      </c>
      <c r="M1858">
        <v>0.99980619999999998</v>
      </c>
      <c r="N1858">
        <v>0</v>
      </c>
      <c r="O1858">
        <v>1.469521E-2</v>
      </c>
      <c r="P1858">
        <v>0.99584930000000005</v>
      </c>
      <c r="Q1858">
        <v>1.432961E-2</v>
      </c>
      <c r="R1858">
        <v>8.9883359999999995E-2</v>
      </c>
      <c r="S1858">
        <v>3.0100250000000002</v>
      </c>
      <c r="T1858">
        <v>-8.9799760000000006E-2</v>
      </c>
      <c r="U1858">
        <v>4.0771479999999999E-2</v>
      </c>
      <c r="V1858">
        <v>-7.5237269999999995E-2</v>
      </c>
      <c r="W1858">
        <v>2.7396420000000001E-2</v>
      </c>
      <c r="X1858">
        <v>0.99678920000000004</v>
      </c>
      <c r="Y1858">
        <v>1.145547E-3</v>
      </c>
      <c r="Z1858">
        <v>-4.553909E-4</v>
      </c>
      <c r="AA1858">
        <v>0.99999919999999998</v>
      </c>
      <c r="AB1858">
        <v>22</v>
      </c>
      <c r="AC1858">
        <v>36.9119999999999</v>
      </c>
      <c r="AD1858">
        <v>-1.1046250322490001</v>
      </c>
      <c r="AE1858">
        <v>0.49989999999996798</v>
      </c>
      <c r="AF1858">
        <v>4.2591993560578897E-2</v>
      </c>
      <c r="AG1858">
        <v>-1.1046250322490001</v>
      </c>
      <c r="AH1858">
        <v>36.882336026548998</v>
      </c>
      <c r="AI1858">
        <v>91.7154931950475</v>
      </c>
      <c r="AJ1858">
        <v>89.933834440814195</v>
      </c>
      <c r="AK1858">
        <v>36.898898646369702</v>
      </c>
      <c r="AL1858">
        <v>88.4301042710498</v>
      </c>
      <c r="AM1858">
        <v>94.316478837504505</v>
      </c>
      <c r="AN1858">
        <v>0.99999995993125401</v>
      </c>
    </row>
    <row r="1859" spans="1:40" x14ac:dyDescent="0.3">
      <c r="A1859" t="str">
        <f>"20200111145946817"</f>
        <v>20200111145946817</v>
      </c>
      <c r="B1859" t="str">
        <f>"1578725986808042"</f>
        <v>1578725986808042</v>
      </c>
      <c r="C1859" t="s">
        <v>40</v>
      </c>
      <c r="D1859">
        <v>4.452998</v>
      </c>
      <c r="E1859">
        <v>0.52820929999999999</v>
      </c>
      <c r="F1859" t="s">
        <v>45</v>
      </c>
      <c r="G1859">
        <v>-194.43440000000001</v>
      </c>
      <c r="H1859" s="1">
        <v>-7.0852100000000002E-6</v>
      </c>
      <c r="I1859">
        <v>368.31180000000001</v>
      </c>
      <c r="J1859">
        <v>-228.33349999999999</v>
      </c>
      <c r="K1859">
        <v>1.1046290000000001</v>
      </c>
      <c r="L1859">
        <v>367.80619999999999</v>
      </c>
      <c r="M1859">
        <v>0.99980530000000001</v>
      </c>
      <c r="N1859">
        <v>0</v>
      </c>
      <c r="O1859">
        <v>1.469493E-2</v>
      </c>
      <c r="P1859">
        <v>0.99579859999999998</v>
      </c>
      <c r="Q1859">
        <v>1.3258209999999999E-2</v>
      </c>
      <c r="R1859">
        <v>9.0607019999999996E-2</v>
      </c>
      <c r="S1859">
        <v>3.0098569999999998</v>
      </c>
      <c r="T1859">
        <v>-9.7749589999999997E-2</v>
      </c>
      <c r="U1859">
        <v>4.4891359999999998E-2</v>
      </c>
      <c r="V1859">
        <v>-7.5961769999999998E-2</v>
      </c>
      <c r="W1859">
        <v>2.639304E-2</v>
      </c>
      <c r="X1859">
        <v>0.99676140000000002</v>
      </c>
      <c r="Y1859">
        <v>-2.2456829999999999E-4</v>
      </c>
      <c r="Z1859">
        <v>-4.7345740000000002E-4</v>
      </c>
      <c r="AA1859">
        <v>0.99999990000000005</v>
      </c>
      <c r="AB1859">
        <v>22</v>
      </c>
      <c r="AC1859">
        <v>33.899099999999898</v>
      </c>
      <c r="AD1859">
        <v>-1.1046360852099999</v>
      </c>
      <c r="AE1859">
        <v>0.50560000000001504</v>
      </c>
      <c r="AF1859">
        <v>-7.3494937945757198E-3</v>
      </c>
      <c r="AG1859">
        <v>-1.1046360852099999</v>
      </c>
      <c r="AH1859">
        <v>33.866915966774599</v>
      </c>
      <c r="AI1859">
        <v>91.868152213273902</v>
      </c>
      <c r="AJ1859">
        <v>90.012433815047999</v>
      </c>
      <c r="AK1859">
        <v>33.884926914431702</v>
      </c>
      <c r="AL1859">
        <v>88.4876146328902</v>
      </c>
      <c r="AM1859">
        <v>94.358006238687096</v>
      </c>
      <c r="AN1859">
        <v>1.00000003579596</v>
      </c>
    </row>
    <row r="1860" spans="1:40" x14ac:dyDescent="0.3">
      <c r="A1860" t="str">
        <f>"20200111145946829"</f>
        <v>20200111145946829</v>
      </c>
      <c r="B1860" t="str">
        <f>"1578725986827560"</f>
        <v>1578725986827560</v>
      </c>
      <c r="C1860" t="s">
        <v>40</v>
      </c>
      <c r="D1860">
        <v>4.4395280000000001</v>
      </c>
      <c r="E1860">
        <v>0.52857140000000002</v>
      </c>
      <c r="F1860" t="s">
        <v>45</v>
      </c>
      <c r="G1860">
        <v>-196.38659999999999</v>
      </c>
      <c r="H1860" s="1">
        <v>-7.7961380000000004E-6</v>
      </c>
      <c r="I1860">
        <v>368.30410000000001</v>
      </c>
      <c r="J1860">
        <v>-228.22790000000001</v>
      </c>
      <c r="K1860">
        <v>1.104638</v>
      </c>
      <c r="L1860">
        <v>367.80779999999999</v>
      </c>
      <c r="M1860">
        <v>0.99980440000000004</v>
      </c>
      <c r="N1860">
        <v>0</v>
      </c>
      <c r="O1860">
        <v>1.4694789999999999E-2</v>
      </c>
      <c r="P1860">
        <v>0.99576399999999998</v>
      </c>
      <c r="Q1860">
        <v>1.2529119999999999E-2</v>
      </c>
      <c r="R1860">
        <v>9.1089340000000005E-2</v>
      </c>
      <c r="S1860">
        <v>3.0097659999999999</v>
      </c>
      <c r="T1860">
        <v>-0.1040697</v>
      </c>
      <c r="U1860">
        <v>4.6905519999999999E-2</v>
      </c>
      <c r="V1860">
        <v>-7.644455E-2</v>
      </c>
      <c r="W1860">
        <v>2.572903E-2</v>
      </c>
      <c r="X1860">
        <v>0.99674180000000001</v>
      </c>
      <c r="Y1860">
        <v>-8.9482359999999998E-4</v>
      </c>
      <c r="Z1860">
        <v>-4.9247569999999897E-4</v>
      </c>
      <c r="AA1860">
        <v>0.99999950000000004</v>
      </c>
      <c r="AB1860">
        <v>22</v>
      </c>
      <c r="AC1860">
        <v>31.8413</v>
      </c>
      <c r="AD1860">
        <v>-1.1046457961380001</v>
      </c>
      <c r="AE1860">
        <v>0.496300000000019</v>
      </c>
      <c r="AF1860">
        <v>-2.8270170472059299E-2</v>
      </c>
      <c r="AG1860">
        <v>-1.1046457961380001</v>
      </c>
      <c r="AH1860">
        <v>31.806883111254699</v>
      </c>
      <c r="AI1860">
        <v>91.989069116620399</v>
      </c>
      <c r="AJ1860">
        <v>90.050924858684596</v>
      </c>
      <c r="AK1860">
        <v>31.826071934665201</v>
      </c>
      <c r="AL1860">
        <v>88.525672452687701</v>
      </c>
      <c r="AM1860">
        <v>94.385682016584497</v>
      </c>
      <c r="AN1860">
        <v>0.99999998403834101</v>
      </c>
    </row>
    <row r="1861" spans="1:40" x14ac:dyDescent="0.3">
      <c r="A1861" t="str">
        <f>"20200111145946842"</f>
        <v>20200111145946842</v>
      </c>
      <c r="B1861" t="str">
        <f>"1578725986837320"</f>
        <v>1578725986837320</v>
      </c>
      <c r="C1861" t="s">
        <v>40</v>
      </c>
      <c r="D1861">
        <v>4.4673449999999999</v>
      </c>
      <c r="E1861">
        <v>0.52896949999999998</v>
      </c>
      <c r="F1861" t="s">
        <v>45</v>
      </c>
      <c r="G1861">
        <v>-199.24299999999999</v>
      </c>
      <c r="H1861" s="1">
        <v>-8.8430039999999907E-6</v>
      </c>
      <c r="I1861">
        <v>368.24619999999999</v>
      </c>
      <c r="J1861">
        <v>-228.11349999999999</v>
      </c>
      <c r="K1861">
        <v>1.104646</v>
      </c>
      <c r="L1861">
        <v>367.80939999999998</v>
      </c>
      <c r="M1861">
        <v>0.99980349999999996</v>
      </c>
      <c r="N1861">
        <v>0</v>
      </c>
      <c r="O1861">
        <v>1.4694479999999999E-2</v>
      </c>
      <c r="P1861">
        <v>0.99574410000000002</v>
      </c>
      <c r="Q1861">
        <v>1.2471609999999999E-2</v>
      </c>
      <c r="R1861">
        <v>9.1314409999999999E-2</v>
      </c>
      <c r="S1861">
        <v>3.0100560000000001</v>
      </c>
      <c r="T1861">
        <v>-0.11471679999999999</v>
      </c>
      <c r="U1861">
        <v>4.553223E-2</v>
      </c>
      <c r="V1861">
        <v>-7.6670290000000002E-2</v>
      </c>
      <c r="W1861">
        <v>2.5743800000000001E-2</v>
      </c>
      <c r="X1861">
        <v>0.9967241</v>
      </c>
      <c r="Y1861">
        <v>-4.3958909999999998E-4</v>
      </c>
      <c r="Z1861">
        <v>-5.5143450000000001E-4</v>
      </c>
      <c r="AA1861">
        <v>0.99999979999999999</v>
      </c>
      <c r="AB1861">
        <v>22</v>
      </c>
      <c r="AC1861">
        <v>28.8705</v>
      </c>
      <c r="AD1861">
        <v>-1.104654843004</v>
      </c>
      <c r="AE1861">
        <v>0.43680000000000502</v>
      </c>
      <c r="AF1861">
        <v>-1.2460051059648701E-2</v>
      </c>
      <c r="AG1861">
        <v>-1.104654843004</v>
      </c>
      <c r="AH1861">
        <v>28.831601279913802</v>
      </c>
      <c r="AI1861">
        <v>92.194158794079996</v>
      </c>
      <c r="AJ1861">
        <v>90.024761312660303</v>
      </c>
      <c r="AK1861">
        <v>28.852758099338999</v>
      </c>
      <c r="AL1861">
        <v>88.524825943153999</v>
      </c>
      <c r="AM1861">
        <v>94.398659945941702</v>
      </c>
      <c r="AN1861">
        <v>1.0000000040639601</v>
      </c>
    </row>
    <row r="1862" spans="1:40" x14ac:dyDescent="0.3">
      <c r="A1862" t="str">
        <f>"20200111145946852"</f>
        <v>20200111145946852</v>
      </c>
      <c r="B1862" t="str">
        <f>"1578725986848058"</f>
        <v>1578725986848058</v>
      </c>
      <c r="C1862" t="s">
        <v>40</v>
      </c>
      <c r="D1862">
        <v>4.529827</v>
      </c>
      <c r="E1862">
        <v>0.52900449999999999</v>
      </c>
      <c r="F1862" t="s">
        <v>45</v>
      </c>
      <c r="G1862">
        <v>-200.0395</v>
      </c>
      <c r="H1862" s="1">
        <v>-3.9214029999999999E-7</v>
      </c>
      <c r="I1862">
        <v>368.21019999999999</v>
      </c>
      <c r="J1862">
        <v>-227.995</v>
      </c>
      <c r="K1862">
        <v>1.1046579999999999</v>
      </c>
      <c r="L1862">
        <v>367.81119999999999</v>
      </c>
      <c r="M1862">
        <v>0.99980250000000004</v>
      </c>
      <c r="N1862">
        <v>0</v>
      </c>
      <c r="O1862">
        <v>1.469464E-2</v>
      </c>
      <c r="P1862">
        <v>0.99576249999999999</v>
      </c>
      <c r="Q1862">
        <v>1.230559E-2</v>
      </c>
      <c r="R1862">
        <v>9.1136140000000004E-2</v>
      </c>
      <c r="S1862">
        <v>3.0103300000000002</v>
      </c>
      <c r="T1862">
        <v>-0.1184497</v>
      </c>
      <c r="U1862">
        <v>4.296875E-2</v>
      </c>
      <c r="V1862">
        <v>-7.6491290000000003E-2</v>
      </c>
      <c r="W1862">
        <v>2.5650849999999999E-2</v>
      </c>
      <c r="X1862">
        <v>0.99674019999999997</v>
      </c>
      <c r="Y1862">
        <v>4.1200280000000002E-4</v>
      </c>
      <c r="Z1862">
        <v>-5.860711E-4</v>
      </c>
      <c r="AA1862">
        <v>0.99999979999999999</v>
      </c>
      <c r="AB1862">
        <v>22</v>
      </c>
      <c r="AC1862">
        <v>27.955500000000001</v>
      </c>
      <c r="AD1862">
        <v>-1.1046583921402999</v>
      </c>
      <c r="AE1862">
        <v>0.39900000000000002</v>
      </c>
      <c r="AF1862">
        <v>1.1857363500527501E-2</v>
      </c>
      <c r="AG1862">
        <v>-1.1046583921402999</v>
      </c>
      <c r="AH1862">
        <v>27.914766761970501</v>
      </c>
      <c r="AI1862">
        <v>92.266157236595404</v>
      </c>
      <c r="AJ1862">
        <v>89.975662456732394</v>
      </c>
      <c r="AK1862">
        <v>27.936617800578698</v>
      </c>
      <c r="AL1862">
        <v>88.530153272867693</v>
      </c>
      <c r="AM1862">
        <v>94.388360071376496</v>
      </c>
      <c r="AN1862">
        <v>0.999999954923812</v>
      </c>
    </row>
    <row r="1863" spans="1:40" x14ac:dyDescent="0.3">
      <c r="A1863" t="str">
        <f>"20200111145946864"</f>
        <v>20200111145946864</v>
      </c>
      <c r="B1863" t="str">
        <f>"1578725986857816"</f>
        <v>1578725986857816</v>
      </c>
      <c r="C1863" t="s">
        <v>40</v>
      </c>
      <c r="D1863">
        <v>4.4847659999999996</v>
      </c>
      <c r="E1863">
        <v>0.52888049999999998</v>
      </c>
      <c r="F1863" t="s">
        <v>45</v>
      </c>
      <c r="G1863">
        <v>-201.2987</v>
      </c>
      <c r="H1863" s="1">
        <v>-1.144685E-6</v>
      </c>
      <c r="I1863">
        <v>368.18299999999999</v>
      </c>
      <c r="J1863">
        <v>-227.88820000000001</v>
      </c>
      <c r="K1863">
        <v>1.1046670000000001</v>
      </c>
      <c r="L1863">
        <v>367.81270000000001</v>
      </c>
      <c r="M1863">
        <v>0.99980179999999996</v>
      </c>
      <c r="N1863">
        <v>0</v>
      </c>
      <c r="O1863">
        <v>1.4694560000000001E-2</v>
      </c>
      <c r="P1863">
        <v>0.9957935</v>
      </c>
      <c r="Q1863">
        <v>1.2470210000000001E-2</v>
      </c>
      <c r="R1863">
        <v>9.0776750000000003E-2</v>
      </c>
      <c r="S1863">
        <v>3.0104829999999998</v>
      </c>
      <c r="T1863">
        <v>-0.12456979999999999</v>
      </c>
      <c r="U1863">
        <v>4.193115E-2</v>
      </c>
      <c r="V1863">
        <v>-7.6131980000000002E-2</v>
      </c>
      <c r="W1863">
        <v>2.5879659999999999E-2</v>
      </c>
      <c r="X1863">
        <v>0.99676189999999998</v>
      </c>
      <c r="Y1863">
        <v>7.5572029999999998E-4</v>
      </c>
      <c r="Z1863">
        <v>-6.2340279999999995E-4</v>
      </c>
      <c r="AA1863">
        <v>0.99999950000000004</v>
      </c>
      <c r="AB1863">
        <v>22</v>
      </c>
      <c r="AC1863">
        <v>26.589500000000001</v>
      </c>
      <c r="AD1863">
        <v>-1.104668144685</v>
      </c>
      <c r="AE1863">
        <v>0.37030000000004198</v>
      </c>
      <c r="AF1863">
        <v>2.0460936804199501E-2</v>
      </c>
      <c r="AG1863">
        <v>-1.104668144685</v>
      </c>
      <c r="AH1863">
        <v>26.546260249754202</v>
      </c>
      <c r="AI1863">
        <v>92.382870792108505</v>
      </c>
      <c r="AJ1863">
        <v>89.955838408853694</v>
      </c>
      <c r="AK1863">
        <v>26.569242435709299</v>
      </c>
      <c r="AL1863">
        <v>88.517039227502806</v>
      </c>
      <c r="AM1863">
        <v>94.367731436450001</v>
      </c>
      <c r="AN1863">
        <v>1.0000000602360199</v>
      </c>
    </row>
    <row r="1864" spans="1:40" x14ac:dyDescent="0.3">
      <c r="A1864" t="str">
        <f>"20200111145946875"</f>
        <v>20200111145946875</v>
      </c>
      <c r="B1864" t="str">
        <f>"1578725986867576"</f>
        <v>1578725986867576</v>
      </c>
      <c r="C1864" t="s">
        <v>40</v>
      </c>
      <c r="D1864">
        <v>4.503406</v>
      </c>
      <c r="E1864">
        <v>0.52902190000000004</v>
      </c>
      <c r="F1864" t="s">
        <v>45</v>
      </c>
      <c r="G1864">
        <v>-201.68119999999999</v>
      </c>
      <c r="H1864" s="1">
        <v>-1.3725040000000001E-6</v>
      </c>
      <c r="I1864">
        <v>368.17779999999999</v>
      </c>
      <c r="J1864">
        <v>-227.7782</v>
      </c>
      <c r="K1864">
        <v>1.1046739999999999</v>
      </c>
      <c r="L1864">
        <v>367.81439999999998</v>
      </c>
      <c r="M1864">
        <v>0.99980069999999999</v>
      </c>
      <c r="N1864">
        <v>0</v>
      </c>
      <c r="O1864">
        <v>1.4694789999999999E-2</v>
      </c>
      <c r="P1864">
        <v>0.99580650000000004</v>
      </c>
      <c r="Q1864">
        <v>1.270165E-2</v>
      </c>
      <c r="R1864">
        <v>9.0598880000000007E-2</v>
      </c>
      <c r="S1864">
        <v>3.0104220000000002</v>
      </c>
      <c r="T1864">
        <v>-0.12689449999999999</v>
      </c>
      <c r="U1864">
        <v>4.193115E-2</v>
      </c>
      <c r="V1864">
        <v>-7.5953649999999998E-2</v>
      </c>
      <c r="W1864">
        <v>2.6174240000000001E-2</v>
      </c>
      <c r="X1864">
        <v>0.99676779999999998</v>
      </c>
      <c r="Y1864">
        <v>7.5517990000000001E-4</v>
      </c>
      <c r="Z1864">
        <v>-6.3503829999999998E-4</v>
      </c>
      <c r="AA1864">
        <v>0.99999950000000004</v>
      </c>
      <c r="AB1864">
        <v>22</v>
      </c>
      <c r="AC1864">
        <v>26.097000000000001</v>
      </c>
      <c r="AD1864">
        <v>-1.1046753725039999</v>
      </c>
      <c r="AE1864">
        <v>0.36340000000001199</v>
      </c>
      <c r="AF1864">
        <v>2.0128143059917902E-2</v>
      </c>
      <c r="AG1864">
        <v>-1.1046753725039999</v>
      </c>
      <c r="AH1864">
        <v>26.052849955044199</v>
      </c>
      <c r="AI1864">
        <v>92.427961917410101</v>
      </c>
      <c r="AJ1864">
        <v>89.955733924722196</v>
      </c>
      <c r="AK1864">
        <v>26.076267056478901</v>
      </c>
      <c r="AL1864">
        <v>88.500155298985305</v>
      </c>
      <c r="AM1864">
        <v>94.357514309236393</v>
      </c>
      <c r="AN1864">
        <v>1.00000004745236</v>
      </c>
    </row>
    <row r="1865" spans="1:40" x14ac:dyDescent="0.3">
      <c r="A1865" t="str">
        <f>"20200111145946888"</f>
        <v>20200111145946888</v>
      </c>
      <c r="B1865" t="str">
        <f>"1578725986877336"</f>
        <v>1578725986877336</v>
      </c>
      <c r="C1865" t="s">
        <v>40</v>
      </c>
      <c r="D1865">
        <v>4.487476</v>
      </c>
      <c r="E1865">
        <v>0.52900269999999905</v>
      </c>
      <c r="F1865" t="s">
        <v>45</v>
      </c>
      <c r="G1865">
        <v>-202.29509999999999</v>
      </c>
      <c r="H1865" s="1">
        <v>-1.7425919999999901E-6</v>
      </c>
      <c r="I1865">
        <v>368.15249999999997</v>
      </c>
      <c r="J1865">
        <v>-227.66640000000001</v>
      </c>
      <c r="K1865">
        <v>1.1046830000000001</v>
      </c>
      <c r="L1865">
        <v>367.81599999999997</v>
      </c>
      <c r="M1865">
        <v>0.99980000000000002</v>
      </c>
      <c r="N1865">
        <v>0</v>
      </c>
      <c r="O1865">
        <v>1.469503E-2</v>
      </c>
      <c r="P1865">
        <v>0.99583509999999997</v>
      </c>
      <c r="Q1865">
        <v>1.2839450000000001E-2</v>
      </c>
      <c r="R1865">
        <v>9.0264860000000002E-2</v>
      </c>
      <c r="S1865">
        <v>3.0106510000000002</v>
      </c>
      <c r="T1865">
        <v>-0.1305096</v>
      </c>
      <c r="U1865">
        <v>3.9947509999999999E-2</v>
      </c>
      <c r="V1865">
        <v>-7.5618630000000006E-2</v>
      </c>
      <c r="W1865">
        <v>2.637302E-2</v>
      </c>
      <c r="X1865">
        <v>0.99678800000000001</v>
      </c>
      <c r="Y1865">
        <v>1.4138309999999999E-3</v>
      </c>
      <c r="Z1865">
        <v>-6.6734679999999895E-4</v>
      </c>
      <c r="AA1865">
        <v>0.99999870000000002</v>
      </c>
      <c r="AB1865">
        <v>22</v>
      </c>
      <c r="AC1865">
        <v>25.371300000000002</v>
      </c>
      <c r="AD1865">
        <v>-1.1046847425919999</v>
      </c>
      <c r="AE1865">
        <v>0.33650000000000002</v>
      </c>
      <c r="AF1865">
        <v>3.6333794835537302E-2</v>
      </c>
      <c r="AG1865">
        <v>-1.1046847425919999</v>
      </c>
      <c r="AH1865">
        <v>25.325501787592199</v>
      </c>
      <c r="AI1865">
        <v>92.497625223809194</v>
      </c>
      <c r="AJ1865">
        <v>89.917799391027302</v>
      </c>
      <c r="AK1865">
        <v>25.3496092537636</v>
      </c>
      <c r="AL1865">
        <v>88.488762062592997</v>
      </c>
      <c r="AM1865">
        <v>94.338279936272201</v>
      </c>
      <c r="AN1865">
        <v>1.00000001516549</v>
      </c>
    </row>
    <row r="1866" spans="1:40" x14ac:dyDescent="0.3">
      <c r="A1866" t="str">
        <f>"20200111145946898"</f>
        <v>20200111145946898</v>
      </c>
      <c r="B1866" t="str">
        <f>"1578725986888073"</f>
        <v>1578725986888073</v>
      </c>
      <c r="C1866" t="s">
        <v>40</v>
      </c>
      <c r="D1866">
        <v>4.4625180000000002</v>
      </c>
      <c r="E1866">
        <v>0.52923319999999996</v>
      </c>
      <c r="F1866" t="s">
        <v>45</v>
      </c>
      <c r="G1866">
        <v>-202.63149999999999</v>
      </c>
      <c r="H1866" s="1">
        <v>-1.9443990000000002E-6</v>
      </c>
      <c r="I1866">
        <v>368.14240000000001</v>
      </c>
      <c r="J1866">
        <v>-227.5558</v>
      </c>
      <c r="K1866">
        <v>1.1046899999999999</v>
      </c>
      <c r="L1866">
        <v>367.8177</v>
      </c>
      <c r="M1866">
        <v>0.99979929999999995</v>
      </c>
      <c r="N1866">
        <v>0</v>
      </c>
      <c r="O1866">
        <v>1.4695160000000001E-2</v>
      </c>
      <c r="P1866">
        <v>0.99585129999999999</v>
      </c>
      <c r="Q1866">
        <v>1.299314E-2</v>
      </c>
      <c r="R1866">
        <v>9.0065329999999999E-2</v>
      </c>
      <c r="S1866">
        <v>3.0106959999999998</v>
      </c>
      <c r="T1866">
        <v>-0.1328491</v>
      </c>
      <c r="U1866">
        <v>3.924561E-2</v>
      </c>
      <c r="V1866">
        <v>-7.5419050000000001E-2</v>
      </c>
      <c r="W1866">
        <v>2.6585609999999999E-2</v>
      </c>
      <c r="X1866">
        <v>0.99679739999999994</v>
      </c>
      <c r="Y1866">
        <v>1.6465029999999999E-3</v>
      </c>
      <c r="Z1866">
        <v>-6.8442600000000002E-4</v>
      </c>
      <c r="AA1866">
        <v>0.99999839999999995</v>
      </c>
      <c r="AB1866">
        <v>21</v>
      </c>
      <c r="AC1866">
        <v>24.924299999999999</v>
      </c>
      <c r="AD1866">
        <v>-1.104691944399</v>
      </c>
      <c r="AE1866">
        <v>0.32470000000000698</v>
      </c>
      <c r="AF1866">
        <v>4.1553987701642502E-2</v>
      </c>
      <c r="AG1866">
        <v>-1.104691944399</v>
      </c>
      <c r="AH1866">
        <v>24.8775183066527</v>
      </c>
      <c r="AI1866">
        <v>92.542558491842101</v>
      </c>
      <c r="AJ1866">
        <v>89.904296486745295</v>
      </c>
      <c r="AK1866">
        <v>24.902067948741799</v>
      </c>
      <c r="AL1866">
        <v>88.476577169357199</v>
      </c>
      <c r="AM1866">
        <v>94.326832820518902</v>
      </c>
      <c r="AN1866">
        <v>0.99999994220436506</v>
      </c>
    </row>
    <row r="1867" spans="1:40" x14ac:dyDescent="0.3">
      <c r="A1867" t="str">
        <f>"20200111145946914"</f>
        <v>20200111145946914</v>
      </c>
      <c r="B1867" t="str">
        <f>"1578725986907593"</f>
        <v>1578725986907593</v>
      </c>
      <c r="C1867" t="s">
        <v>40</v>
      </c>
      <c r="D1867">
        <v>4.6314460000000004</v>
      </c>
      <c r="E1867">
        <v>0.52920840000000002</v>
      </c>
      <c r="F1867" t="s">
        <v>45</v>
      </c>
      <c r="G1867">
        <v>-203.33510000000001</v>
      </c>
      <c r="H1867" s="1">
        <v>-2.3687409999999999E-6</v>
      </c>
      <c r="I1867">
        <v>368.11270000000002</v>
      </c>
      <c r="J1867">
        <v>-227.41970000000001</v>
      </c>
      <c r="K1867">
        <v>1.1046929999999999</v>
      </c>
      <c r="L1867">
        <v>367.81959999999998</v>
      </c>
      <c r="M1867">
        <v>0.99979830000000003</v>
      </c>
      <c r="N1867">
        <v>0</v>
      </c>
      <c r="O1867">
        <v>1.4695359999999999E-2</v>
      </c>
      <c r="P1867">
        <v>0.99588909999999997</v>
      </c>
      <c r="Q1867">
        <v>1.3485509999999999E-2</v>
      </c>
      <c r="R1867">
        <v>8.9572970000000002E-2</v>
      </c>
      <c r="S1867">
        <v>3.0109710000000001</v>
      </c>
      <c r="T1867">
        <v>-0.13732829999999999</v>
      </c>
      <c r="U1867">
        <v>3.668213E-2</v>
      </c>
      <c r="V1867">
        <v>-7.4925980000000003E-2</v>
      </c>
      <c r="W1867">
        <v>2.714331E-2</v>
      </c>
      <c r="X1867">
        <v>0.99681960000000003</v>
      </c>
      <c r="Y1867">
        <v>2.4971749999999999E-3</v>
      </c>
      <c r="Z1867">
        <v>-7.2681739999999996E-4</v>
      </c>
      <c r="AA1867">
        <v>0.99999660000000001</v>
      </c>
      <c r="AB1867">
        <v>21</v>
      </c>
      <c r="AC1867">
        <v>24.084599999999899</v>
      </c>
      <c r="AD1867">
        <v>-1.1046953687409999</v>
      </c>
      <c r="AE1867">
        <v>0.293100000000038</v>
      </c>
      <c r="AF1867">
        <v>6.0768865067836603E-2</v>
      </c>
      <c r="AG1867">
        <v>-1.1046953687409999</v>
      </c>
      <c r="AH1867">
        <v>24.035747287666101</v>
      </c>
      <c r="AI1867">
        <v>92.631483390998596</v>
      </c>
      <c r="AJ1867">
        <v>89.855141093230102</v>
      </c>
      <c r="AK1867">
        <v>24.061196819552201</v>
      </c>
      <c r="AL1867">
        <v>88.444611845869801</v>
      </c>
      <c r="AM1867">
        <v>94.298556123549702</v>
      </c>
      <c r="AN1867">
        <v>0.99999998835043802</v>
      </c>
    </row>
    <row r="1868" spans="1:40" x14ac:dyDescent="0.3">
      <c r="A1868" t="str">
        <f>"20200111145946926"</f>
        <v>20200111145946926</v>
      </c>
      <c r="B1868" t="str">
        <f>"1578725986917352"</f>
        <v>1578725986917352</v>
      </c>
      <c r="C1868" t="s">
        <v>40</v>
      </c>
      <c r="D1868">
        <v>4.414695</v>
      </c>
      <c r="E1868">
        <v>0.52930940000000004</v>
      </c>
      <c r="F1868" t="s">
        <v>45</v>
      </c>
      <c r="G1868">
        <v>-203.07650000000001</v>
      </c>
      <c r="H1868" s="1">
        <v>-2.2179270000000001E-6</v>
      </c>
      <c r="I1868">
        <v>368.1044</v>
      </c>
      <c r="J1868">
        <v>-227.2978</v>
      </c>
      <c r="K1868">
        <v>1.104698</v>
      </c>
      <c r="L1868">
        <v>367.82139999999998</v>
      </c>
      <c r="M1868">
        <v>0.99979750000000001</v>
      </c>
      <c r="N1868">
        <v>0</v>
      </c>
      <c r="O1868">
        <v>1.469551E-2</v>
      </c>
      <c r="P1868">
        <v>0.99589439999999996</v>
      </c>
      <c r="Q1868">
        <v>1.401108E-2</v>
      </c>
      <c r="R1868">
        <v>8.9432659999999997E-2</v>
      </c>
      <c r="S1868">
        <v>3.0110779999999999</v>
      </c>
      <c r="T1868">
        <v>-0.13664289999999901</v>
      </c>
      <c r="U1868">
        <v>3.5217289999999998E-2</v>
      </c>
      <c r="V1868">
        <v>-7.4785519999999994E-2</v>
      </c>
      <c r="W1868">
        <v>2.7724829999999999E-2</v>
      </c>
      <c r="X1868">
        <v>0.99681410000000004</v>
      </c>
      <c r="Y1868">
        <v>2.9838590000000002E-3</v>
      </c>
      <c r="Z1868">
        <v>-7.3421499999999998E-4</v>
      </c>
      <c r="AA1868">
        <v>0.99999530000000003</v>
      </c>
      <c r="AB1868">
        <v>21</v>
      </c>
      <c r="AC1868">
        <v>24.2212999999999</v>
      </c>
      <c r="AD1868">
        <v>-1.104700217927</v>
      </c>
      <c r="AE1868">
        <v>0.28300000000001502</v>
      </c>
      <c r="AF1868">
        <v>7.2857030901834693E-2</v>
      </c>
      <c r="AG1868">
        <v>-1.104700217927</v>
      </c>
      <c r="AH1868">
        <v>24.172567569434001</v>
      </c>
      <c r="AI1868">
        <v>92.616617520807594</v>
      </c>
      <c r="AJ1868">
        <v>89.827308881196203</v>
      </c>
      <c r="AK1868">
        <v>24.1979068023929</v>
      </c>
      <c r="AL1868">
        <v>88.411280589188195</v>
      </c>
      <c r="AM1868">
        <v>94.290551538942296</v>
      </c>
      <c r="AN1868">
        <v>0.99999994507950296</v>
      </c>
    </row>
    <row r="1869" spans="1:40" x14ac:dyDescent="0.3">
      <c r="A1869" t="str">
        <f>"20200111145946937"</f>
        <v>20200111145946937</v>
      </c>
      <c r="B1869" t="str">
        <f>"1578725986927112"</f>
        <v>1578725986927112</v>
      </c>
      <c r="C1869" t="s">
        <v>40</v>
      </c>
      <c r="D1869">
        <v>4.1439789999999999</v>
      </c>
      <c r="E1869">
        <v>0.52977619999999903</v>
      </c>
      <c r="F1869" t="s">
        <v>45</v>
      </c>
      <c r="G1869">
        <v>-202.5257</v>
      </c>
      <c r="H1869" s="1">
        <v>-1.8923329999999999E-6</v>
      </c>
      <c r="I1869">
        <v>368.1026</v>
      </c>
      <c r="J1869">
        <v>-227.18520000000001</v>
      </c>
      <c r="K1869">
        <v>1.104703</v>
      </c>
      <c r="L1869">
        <v>367.82310000000001</v>
      </c>
      <c r="M1869">
        <v>0.99979669999999998</v>
      </c>
      <c r="N1869">
        <v>0</v>
      </c>
      <c r="O1869">
        <v>1.469583E-2</v>
      </c>
      <c r="P1869">
        <v>0.99588290000000002</v>
      </c>
      <c r="Q1869">
        <v>1.4389239999999999E-2</v>
      </c>
      <c r="R1869">
        <v>8.949944E-2</v>
      </c>
      <c r="S1869">
        <v>3.0111849999999998</v>
      </c>
      <c r="T1869">
        <v>-0.13428219999999999</v>
      </c>
      <c r="U1869">
        <v>3.4179689999999999E-2</v>
      </c>
      <c r="V1869">
        <v>-7.4851650000000006E-2</v>
      </c>
      <c r="W1869">
        <v>2.8151430000000002E-2</v>
      </c>
      <c r="X1869">
        <v>0.9967973</v>
      </c>
      <c r="Y1869">
        <v>3.3294150000000001E-3</v>
      </c>
      <c r="Z1869">
        <v>-7.2923479999999999E-4</v>
      </c>
      <c r="AA1869">
        <v>0.99999420000000006</v>
      </c>
      <c r="AB1869">
        <v>21</v>
      </c>
      <c r="AC1869">
        <v>24.659500000000001</v>
      </c>
      <c r="AD1869">
        <v>-1.1047048923330001</v>
      </c>
      <c r="AE1869">
        <v>0.27949999999998398</v>
      </c>
      <c r="AF1869">
        <v>8.2790417915212799E-2</v>
      </c>
      <c r="AG1869">
        <v>-1.1047048923330001</v>
      </c>
      <c r="AH1869">
        <v>24.611558003674599</v>
      </c>
      <c r="AI1869">
        <v>92.570016684741304</v>
      </c>
      <c r="AJ1869">
        <v>89.807264390255398</v>
      </c>
      <c r="AK1869">
        <v>24.636477315571799</v>
      </c>
      <c r="AL1869">
        <v>88.386828856760502</v>
      </c>
      <c r="AM1869">
        <v>94.294403430484707</v>
      </c>
      <c r="AN1869">
        <v>1.0000000649030201</v>
      </c>
    </row>
    <row r="1870" spans="1:40" x14ac:dyDescent="0.3">
      <c r="A1870" t="str">
        <f>"20200111145946950"</f>
        <v>20200111145946950</v>
      </c>
      <c r="B1870" t="str">
        <f>"1578725986937849"</f>
        <v>1578725986937849</v>
      </c>
      <c r="C1870" t="s">
        <v>40</v>
      </c>
      <c r="D1870">
        <v>4.3013180000000002</v>
      </c>
      <c r="E1870">
        <v>0.52977619999999903</v>
      </c>
      <c r="F1870" t="s">
        <v>45</v>
      </c>
      <c r="G1870">
        <v>-202.05850000000001</v>
      </c>
      <c r="H1870" s="1">
        <v>-1.6216479999999999E-6</v>
      </c>
      <c r="I1870">
        <v>368.08080000000001</v>
      </c>
      <c r="J1870">
        <v>-227.0753</v>
      </c>
      <c r="K1870">
        <v>1.1047119999999999</v>
      </c>
      <c r="L1870">
        <v>367.82470000000001</v>
      </c>
      <c r="M1870">
        <v>0.99979620000000002</v>
      </c>
      <c r="N1870">
        <v>0</v>
      </c>
      <c r="O1870">
        <v>1.4696000000000001E-2</v>
      </c>
      <c r="P1870">
        <v>0.99587060000000005</v>
      </c>
      <c r="Q1870">
        <v>1.4634690000000001E-2</v>
      </c>
      <c r="R1870">
        <v>8.9599310000000001E-2</v>
      </c>
      <c r="S1870">
        <v>3.01152</v>
      </c>
      <c r="T1870">
        <v>-0.13240289999999999</v>
      </c>
      <c r="U1870">
        <v>3.0883790000000001E-2</v>
      </c>
      <c r="V1870">
        <v>-7.4951809999999994E-2</v>
      </c>
      <c r="W1870">
        <v>2.8439800000000001E-2</v>
      </c>
      <c r="X1870">
        <v>0.99678149999999999</v>
      </c>
      <c r="Y1870">
        <v>4.4245969999999997E-3</v>
      </c>
      <c r="Z1870">
        <v>-7.430351E-4</v>
      </c>
      <c r="AA1870">
        <v>0.99998989999999999</v>
      </c>
      <c r="AB1870">
        <v>21</v>
      </c>
      <c r="AC1870">
        <v>25.0167999999999</v>
      </c>
      <c r="AD1870">
        <v>-1.104713621648</v>
      </c>
      <c r="AE1870">
        <v>0.25610000000000299</v>
      </c>
      <c r="AF1870">
        <v>0.11139258450506501</v>
      </c>
      <c r="AG1870">
        <v>-1.104713621648</v>
      </c>
      <c r="AH1870">
        <v>24.969176935265398</v>
      </c>
      <c r="AI1870">
        <v>92.533265266582006</v>
      </c>
      <c r="AJ1870">
        <v>89.744393552210994</v>
      </c>
      <c r="AK1870">
        <v>24.993851190209298</v>
      </c>
      <c r="AL1870">
        <v>88.370299712956793</v>
      </c>
      <c r="AM1870">
        <v>94.3001961952979</v>
      </c>
      <c r="AN1870">
        <v>0.99999997739428204</v>
      </c>
    </row>
    <row r="1871" spans="1:40" x14ac:dyDescent="0.3">
      <c r="A1871" t="str">
        <f>"20200111145946964"</f>
        <v>20200111145946964</v>
      </c>
      <c r="B1871" t="str">
        <f>"1578725986957368"</f>
        <v>1578725986957368</v>
      </c>
      <c r="C1871" t="s">
        <v>40</v>
      </c>
      <c r="D1871">
        <v>4.3400100000000004</v>
      </c>
      <c r="E1871">
        <v>0.59152729999999998</v>
      </c>
      <c r="F1871" t="s">
        <v>45</v>
      </c>
      <c r="G1871">
        <v>-201.803</v>
      </c>
      <c r="H1871" s="1">
        <v>-1.4691719999999999E-6</v>
      </c>
      <c r="I1871">
        <v>368.08539999999999</v>
      </c>
      <c r="J1871">
        <v>-226.94450000000001</v>
      </c>
      <c r="K1871">
        <v>1.1047149999999999</v>
      </c>
      <c r="L1871">
        <v>367.82670000000002</v>
      </c>
      <c r="M1871">
        <v>0.99979560000000001</v>
      </c>
      <c r="N1871">
        <v>0</v>
      </c>
      <c r="O1871">
        <v>1.4696010000000001E-2</v>
      </c>
      <c r="P1871">
        <v>0.99585170000000001</v>
      </c>
      <c r="Q1871">
        <v>1.4758230000000001E-2</v>
      </c>
      <c r="R1871">
        <v>8.9788259999999995E-2</v>
      </c>
      <c r="S1871">
        <v>3.0115509999999999</v>
      </c>
      <c r="T1871">
        <v>-0.13164200000000001</v>
      </c>
      <c r="U1871">
        <v>3.106689E-2</v>
      </c>
      <c r="V1871">
        <v>-7.5141070000000004E-2</v>
      </c>
      <c r="W1871">
        <v>2.8612350000000002E-2</v>
      </c>
      <c r="X1871">
        <v>0.99676229999999999</v>
      </c>
      <c r="Y1871">
        <v>4.3641950000000004E-3</v>
      </c>
      <c r="Z1871">
        <v>-7.3744279999999999E-4</v>
      </c>
      <c r="AA1871">
        <v>0.99999020000000005</v>
      </c>
      <c r="AB1871">
        <v>21</v>
      </c>
      <c r="AC1871">
        <v>25.141500000000001</v>
      </c>
      <c r="AD1871">
        <v>-1.1047164691719999</v>
      </c>
      <c r="AE1871">
        <v>0.258699999999976</v>
      </c>
      <c r="AF1871">
        <v>0.110629726292939</v>
      </c>
      <c r="AG1871">
        <v>-1.1047164691719999</v>
      </c>
      <c r="AH1871">
        <v>25.094141983628901</v>
      </c>
      <c r="AI1871">
        <v>92.5206733753175</v>
      </c>
      <c r="AJ1871">
        <v>89.747408166222499</v>
      </c>
      <c r="AK1871">
        <v>25.118690238707199</v>
      </c>
      <c r="AL1871">
        <v>88.360409280455997</v>
      </c>
      <c r="AM1871">
        <v>94.311096417360602</v>
      </c>
      <c r="AN1871">
        <v>0.99999996483727804</v>
      </c>
    </row>
    <row r="1872" spans="1:40" x14ac:dyDescent="0.3">
      <c r="A1872" t="str">
        <f>"20200111145946977"</f>
        <v>20200111145946977</v>
      </c>
      <c r="B1872" t="str">
        <f>"1578725986967130"</f>
        <v>1578725986967130</v>
      </c>
      <c r="C1872" t="s">
        <v>40</v>
      </c>
      <c r="D1872">
        <v>4.345294</v>
      </c>
      <c r="E1872">
        <v>0.59435680000000002</v>
      </c>
      <c r="F1872" t="s">
        <v>44</v>
      </c>
      <c r="G1872">
        <v>-158.19499999999999</v>
      </c>
      <c r="H1872">
        <v>0.41349789999999997</v>
      </c>
      <c r="I1872">
        <v>357.50979999999998</v>
      </c>
      <c r="J1872">
        <v>-226.804</v>
      </c>
      <c r="K1872">
        <v>1.1047169999999999</v>
      </c>
      <c r="L1872">
        <v>367.82870000000003</v>
      </c>
      <c r="M1872">
        <v>0.99979499999999999</v>
      </c>
      <c r="N1872">
        <v>0</v>
      </c>
      <c r="O1872">
        <v>1.469615E-2</v>
      </c>
      <c r="P1872">
        <v>0.99585509999999999</v>
      </c>
      <c r="Q1872">
        <v>1.5073909999999999E-2</v>
      </c>
      <c r="R1872">
        <v>8.9698780000000006E-2</v>
      </c>
      <c r="S1872">
        <v>3.0542910000000001</v>
      </c>
      <c r="T1872">
        <v>-3.070438E-2</v>
      </c>
      <c r="U1872">
        <v>-0.45834350000000001</v>
      </c>
      <c r="V1872">
        <v>-7.5051889999999996E-2</v>
      </c>
      <c r="W1872">
        <v>2.897603E-2</v>
      </c>
      <c r="X1872">
        <v>0.99675849999999999</v>
      </c>
      <c r="Y1872">
        <v>0.1629138</v>
      </c>
      <c r="Z1872">
        <v>-9.6125880000000005E-4</v>
      </c>
      <c r="AA1872">
        <v>0.98663990000000001</v>
      </c>
      <c r="AB1872">
        <v>21</v>
      </c>
      <c r="AC1872">
        <v>68.608999999999995</v>
      </c>
      <c r="AD1872">
        <v>-0.69121909999999898</v>
      </c>
      <c r="AE1872">
        <v>-10.318899999999999</v>
      </c>
      <c r="AF1872">
        <v>11.3250472923784</v>
      </c>
      <c r="AG1872">
        <v>-0.69121909999999898</v>
      </c>
      <c r="AH1872">
        <v>68.443133012715194</v>
      </c>
      <c r="AI1872">
        <v>90.570858841910905</v>
      </c>
      <c r="AJ1872">
        <v>80.604595447508601</v>
      </c>
      <c r="AK1872">
        <v>69.377207616154706</v>
      </c>
      <c r="AL1872">
        <v>88.339563285504696</v>
      </c>
      <c r="AM1872">
        <v>94.306015469990101</v>
      </c>
      <c r="AN1872">
        <v>0.99999995191469004</v>
      </c>
    </row>
    <row r="1873" spans="1:40" x14ac:dyDescent="0.3">
      <c r="A1873" t="str">
        <f>"20200111145946992"</f>
        <v>20200111145946992</v>
      </c>
      <c r="B1873" t="str">
        <f>"1578725986987624"</f>
        <v>1578725986987624</v>
      </c>
      <c r="C1873" t="s">
        <v>40</v>
      </c>
      <c r="D1873">
        <v>4.3103210000000001</v>
      </c>
      <c r="E1873">
        <v>0.59838290000000005</v>
      </c>
      <c r="F1873" t="s">
        <v>44</v>
      </c>
      <c r="G1873">
        <v>-158.19499999999999</v>
      </c>
      <c r="H1873">
        <v>0.64748569999999905</v>
      </c>
      <c r="I1873">
        <v>357.03410000000002</v>
      </c>
      <c r="J1873">
        <v>-226.67310000000001</v>
      </c>
      <c r="K1873">
        <v>1.104714</v>
      </c>
      <c r="L1873">
        <v>367.83069999999998</v>
      </c>
      <c r="M1873">
        <v>0.99979419999999997</v>
      </c>
      <c r="N1873">
        <v>0</v>
      </c>
      <c r="O1873">
        <v>1.46964E-2</v>
      </c>
      <c r="P1873">
        <v>0.99592270000000005</v>
      </c>
      <c r="Q1873">
        <v>1.4665650000000001E-2</v>
      </c>
      <c r="R1873">
        <v>8.9012839999999996E-2</v>
      </c>
      <c r="S1873">
        <v>3.0561069999999999</v>
      </c>
      <c r="T1873">
        <v>-2.0362849999999998E-2</v>
      </c>
      <c r="U1873">
        <v>-0.48083500000000001</v>
      </c>
      <c r="V1873">
        <v>-7.4364440000000004E-2</v>
      </c>
      <c r="W1873">
        <v>2.8608539999999998E-2</v>
      </c>
      <c r="X1873">
        <v>0.9968207</v>
      </c>
      <c r="Y1873">
        <v>0.1699223</v>
      </c>
      <c r="Z1873">
        <v>-6.5998710000000004E-4</v>
      </c>
      <c r="AA1873">
        <v>0.98545720000000003</v>
      </c>
      <c r="AB1873">
        <v>21</v>
      </c>
      <c r="AC1873">
        <v>68.478099999999998</v>
      </c>
      <c r="AD1873">
        <v>-0.45722829999999898</v>
      </c>
      <c r="AE1873">
        <v>-10.7965999999999</v>
      </c>
      <c r="AF1873">
        <v>11.801400363190901</v>
      </c>
      <c r="AG1873">
        <v>-0.45722829999999898</v>
      </c>
      <c r="AH1873">
        <v>68.309044880470196</v>
      </c>
      <c r="AI1873">
        <v>90.377906816895106</v>
      </c>
      <c r="AJ1873">
        <v>80.198061944474304</v>
      </c>
      <c r="AK1873">
        <v>69.322490727993397</v>
      </c>
      <c r="AL1873">
        <v>88.360627746126696</v>
      </c>
      <c r="AM1873">
        <v>94.266454891369406</v>
      </c>
      <c r="AN1873">
        <v>1.0000000132229601</v>
      </c>
    </row>
    <row r="1874" spans="1:40" x14ac:dyDescent="0.3">
      <c r="A1874" t="str">
        <f>"20200111145947008"</f>
        <v>20200111145947008</v>
      </c>
      <c r="B1874" t="str">
        <f>"1578725986997384"</f>
        <v>1578725986997384</v>
      </c>
      <c r="C1874" t="s">
        <v>40</v>
      </c>
      <c r="D1874">
        <v>4.3357269999999897</v>
      </c>
      <c r="E1874">
        <v>0.5999565</v>
      </c>
      <c r="F1874" t="s">
        <v>44</v>
      </c>
      <c r="G1874">
        <v>-158.19499999999999</v>
      </c>
      <c r="H1874">
        <v>0.53351210000000004</v>
      </c>
      <c r="I1874">
        <v>356.29640000000001</v>
      </c>
      <c r="J1874">
        <v>-226.52029999999999</v>
      </c>
      <c r="K1874">
        <v>1.1047100000000001</v>
      </c>
      <c r="L1874">
        <v>367.8329</v>
      </c>
      <c r="M1874">
        <v>0.99979370000000001</v>
      </c>
      <c r="N1874">
        <v>0</v>
      </c>
      <c r="O1874">
        <v>1.469638E-2</v>
      </c>
      <c r="P1874">
        <v>0.99597999999999998</v>
      </c>
      <c r="Q1874">
        <v>1.423522E-2</v>
      </c>
      <c r="R1874">
        <v>8.8439989999999996E-2</v>
      </c>
      <c r="S1874">
        <v>3.0586850000000001</v>
      </c>
      <c r="T1874">
        <v>-2.550972E-2</v>
      </c>
      <c r="U1874">
        <v>-0.51519780000000004</v>
      </c>
      <c r="V1874">
        <v>-7.379057E-2</v>
      </c>
      <c r="W1874">
        <v>2.8221980000000001E-2</v>
      </c>
      <c r="X1874">
        <v>0.99687429999999999</v>
      </c>
      <c r="Y1874">
        <v>0.18056700000000001</v>
      </c>
      <c r="Z1874">
        <v>-8.6944979999999995E-4</v>
      </c>
      <c r="AA1874">
        <v>0.9835623</v>
      </c>
      <c r="AB1874">
        <v>21</v>
      </c>
      <c r="AC1874">
        <v>68.325299999999999</v>
      </c>
      <c r="AD1874">
        <v>-0.57119790000000004</v>
      </c>
      <c r="AE1874">
        <v>-11.536499999999901</v>
      </c>
      <c r="AF1874">
        <v>12.5386350959868</v>
      </c>
      <c r="AG1874">
        <v>-0.57119790000000004</v>
      </c>
      <c r="AH1874">
        <v>68.143727625462205</v>
      </c>
      <c r="AI1874">
        <v>90.472327539962507</v>
      </c>
      <c r="AJ1874">
        <v>79.574037592326903</v>
      </c>
      <c r="AK1874">
        <v>69.290051607748495</v>
      </c>
      <c r="AL1874">
        <v>88.382784845883606</v>
      </c>
      <c r="AM1874">
        <v>94.2334240473146</v>
      </c>
      <c r="AN1874">
        <v>0.99999994918826596</v>
      </c>
    </row>
    <row r="1875" spans="1:40" x14ac:dyDescent="0.3">
      <c r="A1875" t="str">
        <f>"20200111145947023"</f>
        <v>20200111145947023</v>
      </c>
      <c r="B1875" t="str">
        <f>"1578725987017881"</f>
        <v>1578725987017881</v>
      </c>
      <c r="C1875" t="s">
        <v>40</v>
      </c>
      <c r="D1875">
        <v>4.3227099999999998</v>
      </c>
      <c r="E1875">
        <v>0.60223780000000005</v>
      </c>
      <c r="F1875" t="s">
        <v>44</v>
      </c>
      <c r="G1875">
        <v>-158.19499999999999</v>
      </c>
      <c r="H1875">
        <v>0.43651580000000001</v>
      </c>
      <c r="I1875">
        <v>356.01319999999998</v>
      </c>
      <c r="J1875">
        <v>-226.3759</v>
      </c>
      <c r="K1875">
        <v>1.1047070000000001</v>
      </c>
      <c r="L1875">
        <v>367.83499999999998</v>
      </c>
      <c r="M1875">
        <v>0.99979309999999999</v>
      </c>
      <c r="N1875">
        <v>0</v>
      </c>
      <c r="O1875">
        <v>1.469648E-2</v>
      </c>
      <c r="P1875">
        <v>0.99603889999999995</v>
      </c>
      <c r="Q1875">
        <v>1.333122E-2</v>
      </c>
      <c r="R1875">
        <v>8.7915350000000003E-2</v>
      </c>
      <c r="S1875">
        <v>3.0595089999999998</v>
      </c>
      <c r="T1875">
        <v>-2.9916760000000001E-2</v>
      </c>
      <c r="U1875">
        <v>-0.52926640000000003</v>
      </c>
      <c r="V1875">
        <v>-7.3265170000000004E-2</v>
      </c>
      <c r="W1875">
        <v>2.7355899999999999E-2</v>
      </c>
      <c r="X1875">
        <v>0.99693719999999997</v>
      </c>
      <c r="Y1875">
        <v>0.184914</v>
      </c>
      <c r="Z1875">
        <v>-1.0400850000000001E-3</v>
      </c>
      <c r="AA1875">
        <v>0.98275420000000002</v>
      </c>
      <c r="AB1875">
        <v>21</v>
      </c>
      <c r="AC1875">
        <v>68.180899999999994</v>
      </c>
      <c r="AD1875">
        <v>-0.66819119999999899</v>
      </c>
      <c r="AE1875">
        <v>-11.8217999999999</v>
      </c>
      <c r="AF1875">
        <v>12.8214458383256</v>
      </c>
      <c r="AG1875">
        <v>-0.66819119999999899</v>
      </c>
      <c r="AH1875">
        <v>67.993439187776602</v>
      </c>
      <c r="AI1875">
        <v>90.553293560129305</v>
      </c>
      <c r="AJ1875">
        <v>79.321194492596504</v>
      </c>
      <c r="AK1875">
        <v>69.194968931611996</v>
      </c>
      <c r="AL1875">
        <v>88.432426759758698</v>
      </c>
      <c r="AM1875">
        <v>94.203125596955402</v>
      </c>
      <c r="AN1875">
        <v>0.99999995557188803</v>
      </c>
    </row>
    <row r="1876" spans="1:40" x14ac:dyDescent="0.3">
      <c r="A1876" t="str">
        <f>"20200111145947036"</f>
        <v>20200111145947036</v>
      </c>
      <c r="B1876" t="str">
        <f>"1578725987027641"</f>
        <v>1578725987027641</v>
      </c>
      <c r="C1876" t="s">
        <v>40</v>
      </c>
      <c r="D1876">
        <v>3.976426</v>
      </c>
      <c r="E1876">
        <v>0.60147629999999996</v>
      </c>
      <c r="F1876" t="s">
        <v>44</v>
      </c>
      <c r="G1876">
        <v>-158.19499999999999</v>
      </c>
      <c r="H1876">
        <v>0.26105789999999901</v>
      </c>
      <c r="I1876">
        <v>355.60660000000001</v>
      </c>
      <c r="J1876">
        <v>-226.24930000000001</v>
      </c>
      <c r="K1876">
        <v>1.104695</v>
      </c>
      <c r="L1876">
        <v>367.83690000000001</v>
      </c>
      <c r="M1876">
        <v>0.99979269999999998</v>
      </c>
      <c r="N1876">
        <v>0</v>
      </c>
      <c r="O1876">
        <v>1.469644E-2</v>
      </c>
      <c r="P1876">
        <v>0.99619709999999995</v>
      </c>
      <c r="Q1876">
        <v>1.20252E-2</v>
      </c>
      <c r="R1876">
        <v>8.6295280000000002E-2</v>
      </c>
      <c r="S1876">
        <v>3.0608979999999999</v>
      </c>
      <c r="T1876">
        <v>-3.7870529999999999E-2</v>
      </c>
      <c r="U1876">
        <v>-0.54898069999999999</v>
      </c>
      <c r="V1876">
        <v>-7.1643139999999994E-2</v>
      </c>
      <c r="W1876">
        <v>2.608129E-2</v>
      </c>
      <c r="X1876">
        <v>0.99708929999999996</v>
      </c>
      <c r="Y1876">
        <v>0.19096869999999999</v>
      </c>
      <c r="Z1876">
        <v>-1.3524279999999999E-3</v>
      </c>
      <c r="AA1876">
        <v>0.9815952</v>
      </c>
      <c r="AB1876">
        <v>21</v>
      </c>
      <c r="AC1876">
        <v>68.054299999999998</v>
      </c>
      <c r="AD1876">
        <v>-0.84363709999999903</v>
      </c>
      <c r="AE1876">
        <v>-12.2303</v>
      </c>
      <c r="AF1876">
        <v>13.2272650463514</v>
      </c>
      <c r="AG1876">
        <v>-0.84363709999999903</v>
      </c>
      <c r="AH1876">
        <v>67.857087445983097</v>
      </c>
      <c r="AI1876">
        <v>90.699138914649893</v>
      </c>
      <c r="AJ1876">
        <v>78.969750013164898</v>
      </c>
      <c r="AK1876">
        <v>69.1393996272366</v>
      </c>
      <c r="AL1876">
        <v>88.505482723150706</v>
      </c>
      <c r="AM1876">
        <v>94.109769556777394</v>
      </c>
      <c r="AN1876">
        <v>1.0000000226857999</v>
      </c>
    </row>
    <row r="1877" spans="1:40" x14ac:dyDescent="0.3">
      <c r="A1877" t="str">
        <f>"20200111145947051"</f>
        <v>20200111145947051</v>
      </c>
      <c r="B1877" t="str">
        <f>"1578725987047160"</f>
        <v>1578725987047160</v>
      </c>
      <c r="C1877" t="s">
        <v>40</v>
      </c>
      <c r="D1877">
        <v>4.3091039999999996</v>
      </c>
      <c r="E1877">
        <v>0.60287279999999999</v>
      </c>
      <c r="F1877" t="s">
        <v>44</v>
      </c>
      <c r="G1877">
        <v>-158.19499999999999</v>
      </c>
      <c r="H1877">
        <v>0.28691480000000003</v>
      </c>
      <c r="I1877">
        <v>355.64789999999999</v>
      </c>
      <c r="J1877">
        <v>-226.1232</v>
      </c>
      <c r="K1877">
        <v>1.1046910000000001</v>
      </c>
      <c r="L1877">
        <v>367.83870000000002</v>
      </c>
      <c r="M1877">
        <v>0.99979249999999997</v>
      </c>
      <c r="N1877">
        <v>0</v>
      </c>
      <c r="O1877">
        <v>1.4696249999999999E-2</v>
      </c>
      <c r="P1877">
        <v>0.99626459999999994</v>
      </c>
      <c r="Q1877">
        <v>1.1110470000000001E-2</v>
      </c>
      <c r="R1877">
        <v>8.5635710000000004E-2</v>
      </c>
      <c r="S1877">
        <v>3.059326</v>
      </c>
      <c r="T1877">
        <v>-3.6758659999999999E-2</v>
      </c>
      <c r="U1877">
        <v>-0.54794309999999902</v>
      </c>
      <c r="V1877">
        <v>-7.0982429999999999E-2</v>
      </c>
      <c r="W1877">
        <v>2.5194190000000002E-2</v>
      </c>
      <c r="X1877">
        <v>0.99715940000000003</v>
      </c>
      <c r="Y1877">
        <v>0.1907344</v>
      </c>
      <c r="Z1877">
        <v>-1.31202799999999E-3</v>
      </c>
      <c r="AA1877">
        <v>0.98164079999999998</v>
      </c>
      <c r="AB1877">
        <v>21</v>
      </c>
      <c r="AC1877">
        <v>67.928200000000004</v>
      </c>
      <c r="AD1877">
        <v>-0.81777619999999995</v>
      </c>
      <c r="AE1877">
        <v>-12.190799999999999</v>
      </c>
      <c r="AF1877">
        <v>13.1860208624595</v>
      </c>
      <c r="AG1877">
        <v>-0.81777619999999995</v>
      </c>
      <c r="AH1877">
        <v>67.732175363844703</v>
      </c>
      <c r="AI1877">
        <v>90.678991003540304</v>
      </c>
      <c r="AJ1877">
        <v>78.983519489016004</v>
      </c>
      <c r="AK1877">
        <v>69.008604417254404</v>
      </c>
      <c r="AL1877">
        <v>88.556326577101899</v>
      </c>
      <c r="AM1877">
        <v>94.071711076776893</v>
      </c>
      <c r="AN1877">
        <v>1.0000000607934001</v>
      </c>
    </row>
    <row r="1878" spans="1:40" x14ac:dyDescent="0.3">
      <c r="A1878" t="str">
        <f>"20200111145947061"</f>
        <v>20200111145947061</v>
      </c>
      <c r="B1878" t="str">
        <f>"1578725987057896"</f>
        <v>1578725987057896</v>
      </c>
      <c r="C1878" t="s">
        <v>40</v>
      </c>
      <c r="D1878">
        <v>4.278111</v>
      </c>
      <c r="E1878">
        <v>0.60333760000000003</v>
      </c>
      <c r="F1878" t="s">
        <v>44</v>
      </c>
      <c r="G1878">
        <v>-158.19499999999999</v>
      </c>
      <c r="H1878">
        <v>0.1409407</v>
      </c>
      <c r="I1878">
        <v>355.3836</v>
      </c>
      <c r="J1878">
        <v>-226.0163</v>
      </c>
      <c r="K1878">
        <v>1.1046849999999999</v>
      </c>
      <c r="L1878">
        <v>367.84030000000001</v>
      </c>
      <c r="M1878">
        <v>0.99979209999999996</v>
      </c>
      <c r="N1878">
        <v>0</v>
      </c>
      <c r="O1878">
        <v>1.46964E-2</v>
      </c>
      <c r="P1878">
        <v>0.9962936</v>
      </c>
      <c r="Q1878">
        <v>1.0427809999999999E-2</v>
      </c>
      <c r="R1878">
        <v>8.5384420000000003E-2</v>
      </c>
      <c r="S1878">
        <v>3.0599669999999999</v>
      </c>
      <c r="T1878">
        <v>-4.341018E-2</v>
      </c>
      <c r="U1878">
        <v>-0.561065699999999</v>
      </c>
      <c r="V1878">
        <v>-7.0731130000000003E-2</v>
      </c>
      <c r="W1878">
        <v>2.4532539999999999E-2</v>
      </c>
      <c r="X1878">
        <v>0.99719369999999996</v>
      </c>
      <c r="Y1878">
        <v>0.1947672</v>
      </c>
      <c r="Z1878">
        <v>-1.576884E-3</v>
      </c>
      <c r="AA1878">
        <v>0.98084830000000001</v>
      </c>
      <c r="AB1878">
        <v>21</v>
      </c>
      <c r="AC1878">
        <v>67.821299999999994</v>
      </c>
      <c r="AD1878">
        <v>-0.9637443</v>
      </c>
      <c r="AE1878">
        <v>-12.4567</v>
      </c>
      <c r="AF1878">
        <v>13.449555778045999</v>
      </c>
      <c r="AG1878">
        <v>-0.9637443</v>
      </c>
      <c r="AH1878">
        <v>67.617678871328707</v>
      </c>
      <c r="AI1878">
        <v>90.800885417325802</v>
      </c>
      <c r="AJ1878">
        <v>78.750356038013607</v>
      </c>
      <c r="AK1878">
        <v>68.949038061808295</v>
      </c>
      <c r="AL1878">
        <v>88.594247975171598</v>
      </c>
      <c r="AM1878">
        <v>94.057205081500797</v>
      </c>
      <c r="AN1878">
        <v>1.0000000067948001</v>
      </c>
    </row>
    <row r="1879" spans="1:40" x14ac:dyDescent="0.3">
      <c r="A1879" t="str">
        <f>"20200111145947072"</f>
        <v>20200111145947072</v>
      </c>
      <c r="B1879" t="str">
        <f>"1578725987067657"</f>
        <v>1578725987067657</v>
      </c>
      <c r="C1879" t="s">
        <v>40</v>
      </c>
      <c r="D1879">
        <v>4.3182330000000002</v>
      </c>
      <c r="E1879">
        <v>0.60372109999999901</v>
      </c>
      <c r="F1879" t="s">
        <v>44</v>
      </c>
      <c r="G1879">
        <v>-158.19499999999999</v>
      </c>
      <c r="H1879">
        <v>0.1088581</v>
      </c>
      <c r="I1879">
        <v>355.30720000000002</v>
      </c>
      <c r="J1879">
        <v>-225.904</v>
      </c>
      <c r="K1879">
        <v>1.104681</v>
      </c>
      <c r="L1879">
        <v>367.84190000000001</v>
      </c>
      <c r="M1879">
        <v>0.99979180000000001</v>
      </c>
      <c r="N1879">
        <v>0</v>
      </c>
      <c r="O1879">
        <v>1.4696259999999999E-2</v>
      </c>
      <c r="P1879">
        <v>0.99631630000000004</v>
      </c>
      <c r="Q1879">
        <v>9.5340140000000004E-3</v>
      </c>
      <c r="R1879">
        <v>8.5224510000000003E-2</v>
      </c>
      <c r="S1879">
        <v>3.0600890000000001</v>
      </c>
      <c r="T1879">
        <v>-4.4927599999999998E-2</v>
      </c>
      <c r="U1879">
        <v>-0.56549069999999901</v>
      </c>
      <c r="V1879">
        <v>-7.0570949999999993E-2</v>
      </c>
      <c r="W1879">
        <v>2.3658760000000001E-2</v>
      </c>
      <c r="X1879">
        <v>0.99722619999999895</v>
      </c>
      <c r="Y1879">
        <v>0.1961302</v>
      </c>
      <c r="Z1879">
        <v>-1.6416429999999999E-3</v>
      </c>
      <c r="AA1879">
        <v>0.98057649999999996</v>
      </c>
      <c r="AB1879">
        <v>21</v>
      </c>
      <c r="AC1879">
        <v>67.709000000000003</v>
      </c>
      <c r="AD1879">
        <v>-0.99582289999999996</v>
      </c>
      <c r="AE1879">
        <v>-12.5346999999999</v>
      </c>
      <c r="AF1879">
        <v>13.5256860505945</v>
      </c>
      <c r="AG1879">
        <v>-0.99582289999999996</v>
      </c>
      <c r="AH1879">
        <v>67.503336935812897</v>
      </c>
      <c r="AI1879">
        <v>90.828708060472295</v>
      </c>
      <c r="AJ1879">
        <v>78.669650278909899</v>
      </c>
      <c r="AK1879">
        <v>68.852279147877894</v>
      </c>
      <c r="AL1879">
        <v>88.644326474262002</v>
      </c>
      <c r="AM1879">
        <v>94.047916094874793</v>
      </c>
      <c r="AN1879">
        <v>1.0000000449375299</v>
      </c>
    </row>
    <row r="1880" spans="1:40" x14ac:dyDescent="0.3">
      <c r="A1880" t="str">
        <f>"20200111145947083"</f>
        <v>20200111145947083</v>
      </c>
      <c r="B1880" t="str">
        <f>"1578725987077416"</f>
        <v>1578725987077416</v>
      </c>
      <c r="C1880" t="s">
        <v>40</v>
      </c>
      <c r="D1880">
        <v>4.3163989999999997</v>
      </c>
      <c r="E1880">
        <v>0.6041919</v>
      </c>
      <c r="F1880" t="s">
        <v>44</v>
      </c>
      <c r="G1880">
        <v>-158.19499999999999</v>
      </c>
      <c r="H1880">
        <v>6.093121E-2</v>
      </c>
      <c r="I1880">
        <v>355.25119999999998</v>
      </c>
      <c r="J1880">
        <v>-225.81200000000001</v>
      </c>
      <c r="K1880">
        <v>1.104679</v>
      </c>
      <c r="L1880">
        <v>367.8433</v>
      </c>
      <c r="M1880">
        <v>0.99979150000000006</v>
      </c>
      <c r="N1880">
        <v>0</v>
      </c>
      <c r="O1880">
        <v>1.4696320000000001E-2</v>
      </c>
      <c r="P1880">
        <v>0.99634049999999996</v>
      </c>
      <c r="Q1880">
        <v>8.7668840000000008E-3</v>
      </c>
      <c r="R1880">
        <v>8.5022130000000001E-2</v>
      </c>
      <c r="S1880">
        <v>3.0602260000000001</v>
      </c>
      <c r="T1880">
        <v>-4.7170160000000003E-2</v>
      </c>
      <c r="U1880">
        <v>-0.56906129999999999</v>
      </c>
      <c r="V1880">
        <v>-7.0368189999999997E-2</v>
      </c>
      <c r="W1880">
        <v>2.2907940000000002E-2</v>
      </c>
      <c r="X1880">
        <v>0.99725799999999998</v>
      </c>
      <c r="Y1880">
        <v>0.19722600000000001</v>
      </c>
      <c r="Z1880">
        <v>-1.7316930000000001E-3</v>
      </c>
      <c r="AA1880">
        <v>0.98035649999999996</v>
      </c>
      <c r="AB1880">
        <v>21</v>
      </c>
      <c r="AC1880">
        <v>67.617000000000004</v>
      </c>
      <c r="AD1880">
        <v>-1.0437477900000001</v>
      </c>
      <c r="AE1880">
        <v>-12.5921</v>
      </c>
      <c r="AF1880">
        <v>13.5814331077326</v>
      </c>
      <c r="AG1880">
        <v>-1.0437477900000001</v>
      </c>
      <c r="AH1880">
        <v>67.409096416268397</v>
      </c>
      <c r="AI1880">
        <v>90.869612625783006</v>
      </c>
      <c r="AJ1880">
        <v>78.608678339388007</v>
      </c>
      <c r="AK1880">
        <v>68.771585806688506</v>
      </c>
      <c r="AL1880">
        <v>88.687356880043396</v>
      </c>
      <c r="AM1880">
        <v>94.036196091045596</v>
      </c>
      <c r="AN1880">
        <v>0.999999987221459</v>
      </c>
    </row>
    <row r="1881" spans="1:40" x14ac:dyDescent="0.3">
      <c r="A1881" t="str">
        <f>"20200111145947094"</f>
        <v>20200111145947094</v>
      </c>
      <c r="B1881" t="str">
        <f>"1578725987087177"</f>
        <v>1578725987087177</v>
      </c>
      <c r="C1881" t="s">
        <v>40</v>
      </c>
      <c r="D1881">
        <v>4.3035680000000003</v>
      </c>
      <c r="E1881">
        <v>0.60462389999999999</v>
      </c>
      <c r="F1881" t="s">
        <v>43</v>
      </c>
      <c r="G1881">
        <v>-157.49279999999999</v>
      </c>
      <c r="H1881">
        <v>-0.05</v>
      </c>
      <c r="I1881">
        <v>355.0403</v>
      </c>
      <c r="J1881">
        <v>-225.69560000000001</v>
      </c>
      <c r="K1881">
        <v>1.104678</v>
      </c>
      <c r="L1881">
        <v>367.84500000000003</v>
      </c>
      <c r="M1881">
        <v>0.9997914</v>
      </c>
      <c r="N1881">
        <v>0</v>
      </c>
      <c r="O1881">
        <v>1.469619E-2</v>
      </c>
      <c r="P1881">
        <v>0.9963436</v>
      </c>
      <c r="Q1881">
        <v>8.2944909999999993E-3</v>
      </c>
      <c r="R1881">
        <v>8.5034559999999995E-2</v>
      </c>
      <c r="S1881">
        <v>3.0603940000000001</v>
      </c>
      <c r="T1881">
        <v>-5.1724430000000002E-2</v>
      </c>
      <c r="U1881">
        <v>-0.57351680000000005</v>
      </c>
      <c r="V1881">
        <v>-7.0380780000000004E-2</v>
      </c>
      <c r="W1881">
        <v>2.2453629999999999E-2</v>
      </c>
      <c r="X1881">
        <v>0.99726749999999997</v>
      </c>
      <c r="Y1881">
        <v>0.19859009999999999</v>
      </c>
      <c r="Z1881">
        <v>-1.9099379999999999E-3</v>
      </c>
      <c r="AA1881">
        <v>0.98008079999999997</v>
      </c>
      <c r="AB1881">
        <v>21</v>
      </c>
      <c r="AC1881">
        <v>68.202799999999996</v>
      </c>
      <c r="AD1881">
        <v>-1.1546780000000001</v>
      </c>
      <c r="AE1881">
        <v>-12.8047</v>
      </c>
      <c r="AF1881">
        <v>13.8019177143762</v>
      </c>
      <c r="AG1881">
        <v>-1.1546780000000001</v>
      </c>
      <c r="AH1881">
        <v>67.988409907783904</v>
      </c>
      <c r="AI1881">
        <v>90.953540728658396</v>
      </c>
      <c r="AJ1881">
        <v>78.524668054976601</v>
      </c>
      <c r="AK1881">
        <v>69.384797294990705</v>
      </c>
      <c r="AL1881">
        <v>88.713393695875396</v>
      </c>
      <c r="AM1881">
        <v>94.036877515406005</v>
      </c>
      <c r="AN1881">
        <v>1.0000000431249101</v>
      </c>
    </row>
    <row r="1882" spans="1:40" x14ac:dyDescent="0.3">
      <c r="A1882" t="str">
        <f>"20200111145947106"</f>
        <v>20200111145947106</v>
      </c>
      <c r="B1882" t="str">
        <f>"1578725987097912"</f>
        <v>1578725987097912</v>
      </c>
      <c r="C1882" t="s">
        <v>40</v>
      </c>
      <c r="D1882">
        <v>4.2836790000000002</v>
      </c>
      <c r="E1882">
        <v>0.60481289999999999</v>
      </c>
      <c r="F1882" t="s">
        <v>43</v>
      </c>
      <c r="G1882">
        <v>-161.79040000000001</v>
      </c>
      <c r="H1882">
        <v>-0.05</v>
      </c>
      <c r="I1882">
        <v>355.79910000000001</v>
      </c>
      <c r="J1882">
        <v>-225.5942</v>
      </c>
      <c r="K1882">
        <v>1.1046769999999999</v>
      </c>
      <c r="L1882">
        <v>367.84649999999999</v>
      </c>
      <c r="M1882">
        <v>0.99979130000000005</v>
      </c>
      <c r="N1882">
        <v>0</v>
      </c>
      <c r="O1882">
        <v>1.4694230000000001E-2</v>
      </c>
      <c r="P1882">
        <v>0.99633059999999996</v>
      </c>
      <c r="Q1882">
        <v>8.2347659999999993E-3</v>
      </c>
      <c r="R1882">
        <v>8.5193199999999997E-2</v>
      </c>
      <c r="S1882">
        <v>3.0606990000000001</v>
      </c>
      <c r="T1882">
        <v>-5.5302619999999997E-2</v>
      </c>
      <c r="U1882">
        <v>-0.57693479999999997</v>
      </c>
      <c r="V1882">
        <v>-7.0541580000000007E-2</v>
      </c>
      <c r="W1882">
        <v>2.2407389999999999E-2</v>
      </c>
      <c r="X1882">
        <v>0.99725710000000001</v>
      </c>
      <c r="Y1882">
        <v>0.1996232</v>
      </c>
      <c r="Z1882">
        <v>-2.0508499999999999E-3</v>
      </c>
      <c r="AA1882">
        <v>0.97987060000000004</v>
      </c>
      <c r="AB1882">
        <v>21</v>
      </c>
      <c r="AC1882">
        <v>63.803800000000003</v>
      </c>
      <c r="AD1882">
        <v>-1.154677</v>
      </c>
      <c r="AE1882">
        <v>-12.0473999999999</v>
      </c>
      <c r="AF1882">
        <v>12.979636530813501</v>
      </c>
      <c r="AG1882">
        <v>-1.154677</v>
      </c>
      <c r="AH1882">
        <v>63.599752225505902</v>
      </c>
      <c r="AI1882">
        <v>91.019109917176294</v>
      </c>
      <c r="AJ1882">
        <v>78.465296959580002</v>
      </c>
      <c r="AK1882">
        <v>64.920972933190797</v>
      </c>
      <c r="AL1882">
        <v>88.716043618459494</v>
      </c>
      <c r="AM1882">
        <v>94.046112086156498</v>
      </c>
      <c r="AN1882">
        <v>0.99999996456795803</v>
      </c>
    </row>
    <row r="1883" spans="1:40" x14ac:dyDescent="0.3">
      <c r="A1883" t="str">
        <f>"20200111145947119"</f>
        <v>20200111145947119</v>
      </c>
      <c r="B1883" t="str">
        <f>"1578725987107672"</f>
        <v>1578725987107672</v>
      </c>
      <c r="C1883" t="s">
        <v>40</v>
      </c>
      <c r="D1883">
        <v>4.1104570000000002</v>
      </c>
      <c r="E1883">
        <v>0.60457139999999998</v>
      </c>
      <c r="F1883" t="s">
        <v>43</v>
      </c>
      <c r="G1883">
        <v>-159.863</v>
      </c>
      <c r="H1883">
        <v>-0.05</v>
      </c>
      <c r="I1883">
        <v>355.43560000000002</v>
      </c>
      <c r="J1883">
        <v>-225.4693</v>
      </c>
      <c r="K1883">
        <v>1.104668</v>
      </c>
      <c r="L1883">
        <v>367.84829999999999</v>
      </c>
      <c r="M1883">
        <v>0.99979099999999999</v>
      </c>
      <c r="N1883">
        <v>0</v>
      </c>
      <c r="O1883">
        <v>1.468972E-2</v>
      </c>
      <c r="P1883">
        <v>0.99631579999999997</v>
      </c>
      <c r="Q1883">
        <v>8.3502279999999995E-3</v>
      </c>
      <c r="R1883">
        <v>8.535334E-2</v>
      </c>
      <c r="S1883">
        <v>3.0609280000000001</v>
      </c>
      <c r="T1883">
        <v>-5.3770180000000001E-2</v>
      </c>
      <c r="U1883">
        <v>-0.57794190000000001</v>
      </c>
      <c r="V1883">
        <v>-7.0705900000000002E-2</v>
      </c>
      <c r="W1883">
        <v>2.2539440000000001E-2</v>
      </c>
      <c r="X1883">
        <v>0.99724250000000003</v>
      </c>
      <c r="Y1883">
        <v>0.1999185</v>
      </c>
      <c r="Z1883">
        <v>-1.9963160000000001E-3</v>
      </c>
      <c r="AA1883">
        <v>0.97981050000000003</v>
      </c>
      <c r="AB1883">
        <v>21</v>
      </c>
      <c r="AC1883">
        <v>65.606300000000005</v>
      </c>
      <c r="AD1883">
        <v>-1.154668</v>
      </c>
      <c r="AE1883">
        <v>-12.4126999999999</v>
      </c>
      <c r="AF1883">
        <v>13.371197310957299</v>
      </c>
      <c r="AG1883">
        <v>-1.154668</v>
      </c>
      <c r="AH1883">
        <v>65.397304858382995</v>
      </c>
      <c r="AI1883">
        <v>90.991022529425095</v>
      </c>
      <c r="AJ1883">
        <v>78.444514721203504</v>
      </c>
      <c r="AK1883">
        <v>66.760240101868007</v>
      </c>
      <c r="AL1883">
        <v>88.708475815533404</v>
      </c>
      <c r="AM1883">
        <v>94.055564888816605</v>
      </c>
      <c r="AN1883">
        <v>0.99999997722828604</v>
      </c>
    </row>
    <row r="1884" spans="1:40" x14ac:dyDescent="0.3">
      <c r="A1884" t="str">
        <f>"20200111145947133"</f>
        <v>20200111145947133</v>
      </c>
      <c r="B1884" t="str">
        <f>"1578725987127193"</f>
        <v>1578725987127193</v>
      </c>
      <c r="C1884" t="s">
        <v>40</v>
      </c>
      <c r="D1884">
        <v>4.3310110000000002</v>
      </c>
      <c r="E1884">
        <v>0.60498009999999902</v>
      </c>
      <c r="F1884" t="s">
        <v>43</v>
      </c>
      <c r="G1884">
        <v>-159.35499999999999</v>
      </c>
      <c r="H1884">
        <v>-0.05</v>
      </c>
      <c r="I1884">
        <v>355.4246</v>
      </c>
      <c r="J1884">
        <v>-225.34049999999999</v>
      </c>
      <c r="K1884">
        <v>1.1046609999999999</v>
      </c>
      <c r="L1884">
        <v>367.8503</v>
      </c>
      <c r="M1884">
        <v>0.99979099999999999</v>
      </c>
      <c r="N1884">
        <v>0</v>
      </c>
      <c r="O1884">
        <v>1.467161E-2</v>
      </c>
      <c r="P1884">
        <v>0.99629780000000001</v>
      </c>
      <c r="Q1884">
        <v>8.7318759999999995E-3</v>
      </c>
      <c r="R1884">
        <v>8.552469E-2</v>
      </c>
      <c r="S1884">
        <v>3.0608059999999999</v>
      </c>
      <c r="T1884">
        <v>-5.3456190000000001E-2</v>
      </c>
      <c r="U1884">
        <v>-0.57516480000000003</v>
      </c>
      <c r="V1884">
        <v>-7.0894990000000005E-2</v>
      </c>
      <c r="W1884">
        <v>2.2937019999999999E-2</v>
      </c>
      <c r="X1884">
        <v>0.99722</v>
      </c>
      <c r="Y1884">
        <v>0.1990498</v>
      </c>
      <c r="Z1884">
        <v>-1.9770690000000001E-3</v>
      </c>
      <c r="AA1884">
        <v>0.97998739999999995</v>
      </c>
      <c r="AB1884">
        <v>21</v>
      </c>
      <c r="AC1884">
        <v>65.985500000000002</v>
      </c>
      <c r="AD1884">
        <v>-1.1546609999999999</v>
      </c>
      <c r="AE1884">
        <v>-12.425700000000001</v>
      </c>
      <c r="AF1884">
        <v>13.3886146971612</v>
      </c>
      <c r="AG1884">
        <v>-1.1546609999999999</v>
      </c>
      <c r="AH1884">
        <v>65.776621420591098</v>
      </c>
      <c r="AI1884">
        <v>90.985479132712001</v>
      </c>
      <c r="AJ1884">
        <v>78.494805933074701</v>
      </c>
      <c r="AK1884">
        <v>67.135327295260296</v>
      </c>
      <c r="AL1884">
        <v>88.685690254852602</v>
      </c>
      <c r="AM1884">
        <v>94.066465860912501</v>
      </c>
      <c r="AN1884">
        <v>0.99999996744678898</v>
      </c>
    </row>
    <row r="1885" spans="1:40" x14ac:dyDescent="0.3">
      <c r="A1885" t="str">
        <f>"20200111145947146"</f>
        <v>20200111145947146</v>
      </c>
      <c r="B1885" t="str">
        <f>"1578725987137928"</f>
        <v>1578725987137928</v>
      </c>
      <c r="C1885" t="s">
        <v>40</v>
      </c>
      <c r="D1885">
        <v>4.2735180000000001</v>
      </c>
      <c r="E1885">
        <v>0.604998699999999</v>
      </c>
      <c r="F1885" t="s">
        <v>43</v>
      </c>
      <c r="G1885">
        <v>-159.76849999999999</v>
      </c>
      <c r="H1885">
        <v>-0.05</v>
      </c>
      <c r="I1885">
        <v>355.4649</v>
      </c>
      <c r="J1885">
        <v>-225.22049999999999</v>
      </c>
      <c r="K1885">
        <v>1.104651</v>
      </c>
      <c r="L1885">
        <v>367.85199999999998</v>
      </c>
      <c r="M1885">
        <v>0.99979130000000005</v>
      </c>
      <c r="N1885">
        <v>0</v>
      </c>
      <c r="O1885">
        <v>1.4643740000000001E-2</v>
      </c>
      <c r="P1885">
        <v>0.99628000000000005</v>
      </c>
      <c r="Q1885">
        <v>9.4133399999999992E-3</v>
      </c>
      <c r="R1885">
        <v>8.5661390000000004E-2</v>
      </c>
      <c r="S1885">
        <v>3.061264</v>
      </c>
      <c r="T1885">
        <v>-5.3905960000000003E-2</v>
      </c>
      <c r="U1885">
        <v>-0.57821659999999997</v>
      </c>
      <c r="V1885">
        <v>-7.1059800000000006E-2</v>
      </c>
      <c r="W1885">
        <v>2.363254E-2</v>
      </c>
      <c r="X1885">
        <v>0.99719210000000003</v>
      </c>
      <c r="Y1885">
        <v>0.19993859999999999</v>
      </c>
      <c r="Z1885">
        <v>-2.000496E-3</v>
      </c>
      <c r="AA1885">
        <v>0.97980639999999997</v>
      </c>
      <c r="AB1885">
        <v>21</v>
      </c>
      <c r="AC1885">
        <v>65.451999999999998</v>
      </c>
      <c r="AD1885">
        <v>-1.1546510000000001</v>
      </c>
      <c r="AE1885">
        <v>-12.387099999999901</v>
      </c>
      <c r="AF1885">
        <v>13.340322747168701</v>
      </c>
      <c r="AG1885">
        <v>-1.1546510000000001</v>
      </c>
      <c r="AH1885">
        <v>65.243966025710705</v>
      </c>
      <c r="AI1885">
        <v>90.993335154072099</v>
      </c>
      <c r="AJ1885">
        <v>78.444112433498702</v>
      </c>
      <c r="AK1885">
        <v>66.603847731903002</v>
      </c>
      <c r="AL1885">
        <v>88.645829180580506</v>
      </c>
      <c r="AM1885">
        <v>94.076001027299597</v>
      </c>
      <c r="AN1885">
        <v>1.0000000382126499</v>
      </c>
    </row>
    <row r="1886" spans="1:40" x14ac:dyDescent="0.3">
      <c r="A1886" t="str">
        <f>"20200111145947158"</f>
        <v>20200111145947158</v>
      </c>
      <c r="B1886" t="str">
        <f>"1578725987147688"</f>
        <v>1578725987147688</v>
      </c>
      <c r="C1886" t="s">
        <v>40</v>
      </c>
      <c r="D1886">
        <v>4.3182919999999996</v>
      </c>
      <c r="E1886">
        <v>0.60504309999999994</v>
      </c>
      <c r="F1886" t="s">
        <v>43</v>
      </c>
      <c r="G1886">
        <v>-157.1909</v>
      </c>
      <c r="H1886">
        <v>-0.05</v>
      </c>
      <c r="I1886">
        <v>355.00099999999998</v>
      </c>
      <c r="J1886">
        <v>-225.10059999999999</v>
      </c>
      <c r="K1886">
        <v>1.1046370000000001</v>
      </c>
      <c r="L1886">
        <v>367.8537</v>
      </c>
      <c r="M1886">
        <v>0.99979169999999995</v>
      </c>
      <c r="N1886">
        <v>0</v>
      </c>
      <c r="O1886">
        <v>1.460322E-2</v>
      </c>
      <c r="P1886">
        <v>0.99628720000000004</v>
      </c>
      <c r="Q1886">
        <v>9.7292850000000007E-3</v>
      </c>
      <c r="R1886">
        <v>8.5539920000000005E-2</v>
      </c>
      <c r="S1886">
        <v>3.0614170000000001</v>
      </c>
      <c r="T1886">
        <v>-5.196071E-2</v>
      </c>
      <c r="U1886">
        <v>-0.57830809999999999</v>
      </c>
      <c r="V1886">
        <v>-7.0977460000000006E-2</v>
      </c>
      <c r="W1886">
        <v>2.396241E-2</v>
      </c>
      <c r="X1886">
        <v>0.99719009999999997</v>
      </c>
      <c r="Y1886">
        <v>0.1999206</v>
      </c>
      <c r="Z1886">
        <v>-1.927383E-3</v>
      </c>
      <c r="AA1886">
        <v>0.97981019999999996</v>
      </c>
      <c r="AB1886">
        <v>21</v>
      </c>
      <c r="AC1886">
        <v>67.909699999999901</v>
      </c>
      <c r="AD1886">
        <v>-1.1546369999999999</v>
      </c>
      <c r="AE1886">
        <v>-12.8527</v>
      </c>
      <c r="AF1886">
        <v>13.839267925084201</v>
      </c>
      <c r="AG1886">
        <v>-1.1546369999999999</v>
      </c>
      <c r="AH1886">
        <v>67.695854062807499</v>
      </c>
      <c r="AI1886">
        <v>90.957359216561997</v>
      </c>
      <c r="AJ1886">
        <v>78.4460526336442</v>
      </c>
      <c r="AK1886">
        <v>69.105623364506101</v>
      </c>
      <c r="AL1886">
        <v>88.626923679397905</v>
      </c>
      <c r="AM1886">
        <v>94.071302021717997</v>
      </c>
      <c r="AN1886">
        <v>1.00000004622953</v>
      </c>
    </row>
    <row r="1887" spans="1:40" x14ac:dyDescent="0.3">
      <c r="A1887" t="str">
        <f>"20200111145947172"</f>
        <v>20200111145947172</v>
      </c>
      <c r="B1887" t="str">
        <f>"1578725987167209"</f>
        <v>1578725987167209</v>
      </c>
      <c r="C1887" t="s">
        <v>40</v>
      </c>
      <c r="D1887">
        <v>4.2920800000000003</v>
      </c>
      <c r="E1887">
        <v>0.60502739999999999</v>
      </c>
      <c r="F1887" t="s">
        <v>43</v>
      </c>
      <c r="G1887">
        <v>-155.08009999999999</v>
      </c>
      <c r="H1887">
        <v>-0.05</v>
      </c>
      <c r="I1887">
        <v>354.61329999999998</v>
      </c>
      <c r="J1887">
        <v>-224.97710000000001</v>
      </c>
      <c r="K1887">
        <v>1.1046129999999901</v>
      </c>
      <c r="L1887">
        <v>367.85550000000001</v>
      </c>
      <c r="M1887">
        <v>0.99979249999999997</v>
      </c>
      <c r="N1887">
        <v>0</v>
      </c>
      <c r="O1887">
        <v>1.453666E-2</v>
      </c>
      <c r="P1887">
        <v>0.9963014</v>
      </c>
      <c r="Q1887">
        <v>9.3311160000000004E-3</v>
      </c>
      <c r="R1887">
        <v>8.5419720000000005E-2</v>
      </c>
      <c r="S1887">
        <v>3.0613860000000002</v>
      </c>
      <c r="T1887">
        <v>-5.0482150000000003E-2</v>
      </c>
      <c r="U1887">
        <v>-0.57888790000000001</v>
      </c>
      <c r="V1887">
        <v>-7.0921999999999999E-2</v>
      </c>
      <c r="W1887">
        <v>2.3578669999999999E-2</v>
      </c>
      <c r="X1887">
        <v>0.99720319999999996</v>
      </c>
      <c r="Y1887">
        <v>0.20003799999999999</v>
      </c>
      <c r="Z1887">
        <v>-1.8724029999999999E-3</v>
      </c>
      <c r="AA1887">
        <v>0.9797863</v>
      </c>
      <c r="AB1887">
        <v>21</v>
      </c>
      <c r="AC1887">
        <v>69.897000000000006</v>
      </c>
      <c r="AD1887">
        <v>-1.1546129999999999</v>
      </c>
      <c r="AE1887">
        <v>-13.2422</v>
      </c>
      <c r="AF1887">
        <v>14.2532183868916</v>
      </c>
      <c r="AG1887">
        <v>-1.1546129999999999</v>
      </c>
      <c r="AH1887">
        <v>69.678741566046895</v>
      </c>
      <c r="AI1887">
        <v>90.930078144694306</v>
      </c>
      <c r="AJ1887">
        <v>78.439278426951006</v>
      </c>
      <c r="AK1887">
        <v>71.130966475875596</v>
      </c>
      <c r="AL1887">
        <v>88.648916584291598</v>
      </c>
      <c r="AM1887">
        <v>94.068078231338305</v>
      </c>
      <c r="AN1887">
        <v>1.0000000529266</v>
      </c>
    </row>
    <row r="1888" spans="1:40" x14ac:dyDescent="0.3">
      <c r="A1888" t="str">
        <f>"20200111145947184"</f>
        <v>20200111145947184</v>
      </c>
      <c r="B1888" t="str">
        <f>"1578725987177944"</f>
        <v>1578725987177944</v>
      </c>
      <c r="C1888" t="s">
        <v>40</v>
      </c>
      <c r="D1888">
        <v>4.3533759999999999</v>
      </c>
      <c r="E1888">
        <v>0.6050837</v>
      </c>
      <c r="F1888" t="s">
        <v>43</v>
      </c>
      <c r="G1888">
        <v>-154.56049999999999</v>
      </c>
      <c r="H1888">
        <v>-0.05</v>
      </c>
      <c r="I1888">
        <v>354.5333</v>
      </c>
      <c r="J1888">
        <v>-224.86349999999999</v>
      </c>
      <c r="K1888">
        <v>1.1045910000000001</v>
      </c>
      <c r="L1888">
        <v>367.8571</v>
      </c>
      <c r="M1888">
        <v>0.9997935</v>
      </c>
      <c r="N1888">
        <v>0</v>
      </c>
      <c r="O1888">
        <v>1.4461689999999999E-2</v>
      </c>
      <c r="P1888">
        <v>0.99629840000000003</v>
      </c>
      <c r="Q1888">
        <v>8.1712099999999999E-3</v>
      </c>
      <c r="R1888">
        <v>8.5574040000000004E-2</v>
      </c>
      <c r="S1888">
        <v>3.0612789999999999</v>
      </c>
      <c r="T1888">
        <v>-5.0195459999999997E-2</v>
      </c>
      <c r="U1888">
        <v>-0.57916259999999997</v>
      </c>
      <c r="V1888">
        <v>-7.115022E-2</v>
      </c>
      <c r="W1888">
        <v>2.243123E-2</v>
      </c>
      <c r="X1888">
        <v>0.99721340000000003</v>
      </c>
      <c r="Y1888">
        <v>0.20005590000000001</v>
      </c>
      <c r="Z1888">
        <v>-1.8607459999999999E-3</v>
      </c>
      <c r="AA1888">
        <v>0.97978270000000001</v>
      </c>
      <c r="AB1888">
        <v>21</v>
      </c>
      <c r="AC1888">
        <v>70.302999999999997</v>
      </c>
      <c r="AD1888">
        <v>-1.1545909999999999</v>
      </c>
      <c r="AE1888">
        <v>-13.3238</v>
      </c>
      <c r="AF1888">
        <v>14.3354777251519</v>
      </c>
      <c r="AG1888">
        <v>-1.1545909999999999</v>
      </c>
      <c r="AH1888">
        <v>70.084694577204203</v>
      </c>
      <c r="AI1888">
        <v>90.924676178537098</v>
      </c>
      <c r="AJ1888">
        <v>78.439891164448596</v>
      </c>
      <c r="AK1888">
        <v>71.545114549950895</v>
      </c>
      <c r="AL1888">
        <v>88.714677439965996</v>
      </c>
      <c r="AM1888">
        <v>94.081083140796494</v>
      </c>
      <c r="AN1888">
        <v>1.00000003951245</v>
      </c>
    </row>
    <row r="1889" spans="1:40" x14ac:dyDescent="0.3">
      <c r="A1889" t="str">
        <f>"20200111145947195"</f>
        <v>20200111145947195</v>
      </c>
      <c r="B1889" t="str">
        <f>"1578725987187705"</f>
        <v>1578725987187705</v>
      </c>
      <c r="C1889" t="s">
        <v>40</v>
      </c>
      <c r="D1889">
        <v>4.2958429999999996</v>
      </c>
      <c r="E1889">
        <v>0.60528210000000005</v>
      </c>
      <c r="F1889" t="s">
        <v>43</v>
      </c>
      <c r="G1889">
        <v>-157.1328</v>
      </c>
      <c r="H1889">
        <v>-0.05</v>
      </c>
      <c r="I1889">
        <v>355.04129999999998</v>
      </c>
      <c r="J1889">
        <v>-224.75919999999999</v>
      </c>
      <c r="K1889">
        <v>1.1045659999999999</v>
      </c>
      <c r="L1889">
        <v>367.85849999999999</v>
      </c>
      <c r="M1889">
        <v>0.99979470000000004</v>
      </c>
      <c r="N1889">
        <v>0</v>
      </c>
      <c r="O1889">
        <v>1.4371490000000001E-2</v>
      </c>
      <c r="P1889">
        <v>0.99629429999999997</v>
      </c>
      <c r="Q1889">
        <v>7.1690649999999996E-3</v>
      </c>
      <c r="R1889">
        <v>8.5710540000000002E-2</v>
      </c>
      <c r="S1889">
        <v>3.0613100000000002</v>
      </c>
      <c r="T1889">
        <v>-5.2185540000000002E-2</v>
      </c>
      <c r="U1889">
        <v>-0.57925419999999905</v>
      </c>
      <c r="V1889">
        <v>-7.1375250000000001E-2</v>
      </c>
      <c r="W1889">
        <v>2.1440589999999999E-2</v>
      </c>
      <c r="X1889">
        <v>0.99721910000000002</v>
      </c>
      <c r="Y1889">
        <v>0.1999918</v>
      </c>
      <c r="Z1889">
        <v>-1.9324170000000001E-3</v>
      </c>
      <c r="AA1889">
        <v>0.97979559999999999</v>
      </c>
      <c r="AB1889">
        <v>21</v>
      </c>
      <c r="AC1889">
        <v>67.626399999999904</v>
      </c>
      <c r="AD1889">
        <v>-1.154566</v>
      </c>
      <c r="AE1889">
        <v>-12.8172</v>
      </c>
      <c r="AF1889">
        <v>13.7839889150301</v>
      </c>
      <c r="AG1889">
        <v>-1.154566</v>
      </c>
      <c r="AH1889">
        <v>67.416224470748404</v>
      </c>
      <c r="AI1889">
        <v>90.961265035614304</v>
      </c>
      <c r="AJ1889">
        <v>78.444513649887597</v>
      </c>
      <c r="AK1889">
        <v>68.820626958408099</v>
      </c>
      <c r="AL1889">
        <v>88.771450579340296</v>
      </c>
      <c r="AM1889">
        <v>94.093923425933198</v>
      </c>
      <c r="AN1889">
        <v>1.0000000293084499</v>
      </c>
    </row>
    <row r="1890" spans="1:40" x14ac:dyDescent="0.3">
      <c r="A1890" t="str">
        <f>"20200111145947208"</f>
        <v>20200111145947208</v>
      </c>
      <c r="B1890" t="str">
        <f>"1578725987197465"</f>
        <v>1578725987197465</v>
      </c>
      <c r="C1890" t="s">
        <v>40</v>
      </c>
      <c r="D1890">
        <v>4.2207689999999998</v>
      </c>
      <c r="E1890">
        <v>0.60528119999999996</v>
      </c>
      <c r="F1890" t="s">
        <v>43</v>
      </c>
      <c r="G1890">
        <v>-160.45570000000001</v>
      </c>
      <c r="H1890">
        <v>-0.05</v>
      </c>
      <c r="I1890">
        <v>355.66930000000002</v>
      </c>
      <c r="J1890">
        <v>-224.64349999999999</v>
      </c>
      <c r="K1890">
        <v>1.104536</v>
      </c>
      <c r="L1890">
        <v>367.86</v>
      </c>
      <c r="M1890">
        <v>0.99979629999999997</v>
      </c>
      <c r="N1890">
        <v>0</v>
      </c>
      <c r="O1890">
        <v>1.4247579999999999E-2</v>
      </c>
      <c r="P1890">
        <v>0.99631550000000002</v>
      </c>
      <c r="Q1890">
        <v>6.4470309999999998E-3</v>
      </c>
      <c r="R1890">
        <v>8.5520250000000006E-2</v>
      </c>
      <c r="S1890">
        <v>3.0614620000000001</v>
      </c>
      <c r="T1890">
        <v>-5.4968360000000001E-2</v>
      </c>
      <c r="U1890">
        <v>-0.58032229999999996</v>
      </c>
      <c r="V1890">
        <v>-7.1307369999999995E-2</v>
      </c>
      <c r="W1890">
        <v>2.0731220000000002E-2</v>
      </c>
      <c r="X1890">
        <v>0.99723890000000004</v>
      </c>
      <c r="Y1890">
        <v>0.20018820000000001</v>
      </c>
      <c r="Z1890">
        <v>-2.0348240000000002E-3</v>
      </c>
      <c r="AA1890">
        <v>0.9797553</v>
      </c>
      <c r="AB1890">
        <v>21</v>
      </c>
      <c r="AC1890">
        <v>64.187799999999896</v>
      </c>
      <c r="AD1890">
        <v>-1.154536</v>
      </c>
      <c r="AE1890">
        <v>-12.1906999999999</v>
      </c>
      <c r="AF1890">
        <v>13.0999860032585</v>
      </c>
      <c r="AG1890">
        <v>-1.154536</v>
      </c>
      <c r="AH1890">
        <v>63.987596793992701</v>
      </c>
      <c r="AI1890">
        <v>91.012682559402194</v>
      </c>
      <c r="AJ1890">
        <v>78.429887837557899</v>
      </c>
      <c r="AK1890">
        <v>65.324996212257503</v>
      </c>
      <c r="AL1890">
        <v>88.812103458974903</v>
      </c>
      <c r="AM1890">
        <v>94.089962270209597</v>
      </c>
      <c r="AN1890">
        <v>0.99999997408610697</v>
      </c>
    </row>
    <row r="1891" spans="1:40" x14ac:dyDescent="0.3">
      <c r="A1891" t="str">
        <f>"20200111145947219"</f>
        <v>20200111145947219</v>
      </c>
      <c r="B1891" t="str">
        <f>"1578725987217959"</f>
        <v>1578725987217959</v>
      </c>
      <c r="C1891" t="s">
        <v>40</v>
      </c>
      <c r="D1891">
        <v>4.2840400000000001</v>
      </c>
      <c r="E1891">
        <v>0.60551829999999995</v>
      </c>
      <c r="F1891" t="s">
        <v>43</v>
      </c>
      <c r="G1891">
        <v>-162.12370000000001</v>
      </c>
      <c r="H1891">
        <v>-0.05</v>
      </c>
      <c r="I1891">
        <v>355.99400000000003</v>
      </c>
      <c r="J1891">
        <v>-224.53020000000001</v>
      </c>
      <c r="K1891">
        <v>1.104509</v>
      </c>
      <c r="L1891">
        <v>367.86149999999998</v>
      </c>
      <c r="M1891">
        <v>0.99979819999999997</v>
      </c>
      <c r="N1891">
        <v>0</v>
      </c>
      <c r="O1891">
        <v>1.411072E-2</v>
      </c>
      <c r="P1891">
        <v>0.99635260000000003</v>
      </c>
      <c r="Q1891">
        <v>6.325954E-3</v>
      </c>
      <c r="R1891">
        <v>8.5100010000000004E-2</v>
      </c>
      <c r="S1891">
        <v>3.0613100000000002</v>
      </c>
      <c r="T1891">
        <v>-5.653238E-2</v>
      </c>
      <c r="U1891">
        <v>-0.58102419999999899</v>
      </c>
      <c r="V1891">
        <v>-7.102174E-2</v>
      </c>
      <c r="W1891">
        <v>2.062253E-2</v>
      </c>
      <c r="X1891">
        <v>0.99726159999999997</v>
      </c>
      <c r="Y1891">
        <v>0.20027790000000001</v>
      </c>
      <c r="Z1891">
        <v>-2.0910849999999999E-3</v>
      </c>
      <c r="AA1891">
        <v>0.97973690000000002</v>
      </c>
      <c r="AB1891">
        <v>21</v>
      </c>
      <c r="AC1891">
        <v>62.406500000000001</v>
      </c>
      <c r="AD1891">
        <v>-1.154509</v>
      </c>
      <c r="AE1891">
        <v>-11.8674999999999</v>
      </c>
      <c r="AF1891">
        <v>12.7427999631117</v>
      </c>
      <c r="AG1891">
        <v>-1.154509</v>
      </c>
      <c r="AH1891">
        <v>62.212260734631698</v>
      </c>
      <c r="AI1891">
        <v>91.041529966558699</v>
      </c>
      <c r="AJ1891">
        <v>78.424342992531606</v>
      </c>
      <c r="AK1891">
        <v>63.514385989669798</v>
      </c>
      <c r="AL1891">
        <v>88.818332344090607</v>
      </c>
      <c r="AM1891">
        <v>94.073542299653894</v>
      </c>
      <c r="AN1891">
        <v>1.0000000375653899</v>
      </c>
    </row>
    <row r="1892" spans="1:40" x14ac:dyDescent="0.3">
      <c r="A1892" t="str">
        <f>"20200111145947231"</f>
        <v>20200111145947231</v>
      </c>
      <c r="B1892" t="str">
        <f>"1578725987227721"</f>
        <v>1578725987227721</v>
      </c>
      <c r="C1892" t="s">
        <v>40</v>
      </c>
      <c r="D1892">
        <v>4.2569019999999904</v>
      </c>
      <c r="E1892">
        <v>0.60556840000000001</v>
      </c>
      <c r="F1892" t="s">
        <v>43</v>
      </c>
      <c r="G1892">
        <v>-162.6165</v>
      </c>
      <c r="H1892">
        <v>-0.05</v>
      </c>
      <c r="I1892">
        <v>356.04669999999999</v>
      </c>
      <c r="J1892">
        <v>-224.42660000000001</v>
      </c>
      <c r="K1892">
        <v>1.1044830000000001</v>
      </c>
      <c r="L1892">
        <v>367.86279999999999</v>
      </c>
      <c r="M1892">
        <v>0.99980060000000004</v>
      </c>
      <c r="N1892">
        <v>0</v>
      </c>
      <c r="O1892">
        <v>1.3944730000000001E-2</v>
      </c>
      <c r="P1892">
        <v>0.99640810000000002</v>
      </c>
      <c r="Q1892">
        <v>7.493418E-3</v>
      </c>
      <c r="R1892">
        <v>8.4351120000000002E-2</v>
      </c>
      <c r="S1892">
        <v>3.0612339999999998</v>
      </c>
      <c r="T1892">
        <v>-5.7083010000000003E-2</v>
      </c>
      <c r="U1892">
        <v>-0.58416749999999995</v>
      </c>
      <c r="V1892">
        <v>-7.0435059999999994E-2</v>
      </c>
      <c r="W1892">
        <v>2.180004E-2</v>
      </c>
      <c r="X1892">
        <v>0.9972782</v>
      </c>
      <c r="Y1892">
        <v>0.20108970000000001</v>
      </c>
      <c r="Z1892">
        <v>-2.1157319999999999E-3</v>
      </c>
      <c r="AA1892">
        <v>0.97957059999999996</v>
      </c>
      <c r="AB1892">
        <v>21</v>
      </c>
      <c r="AC1892">
        <v>61.810099999999998</v>
      </c>
      <c r="AD1892">
        <v>-1.1544829999999999</v>
      </c>
      <c r="AE1892">
        <v>-11.8161</v>
      </c>
      <c r="AF1892">
        <v>12.6726988961733</v>
      </c>
      <c r="AG1892">
        <v>-1.1544829999999999</v>
      </c>
      <c r="AH1892">
        <v>61.618561059622898</v>
      </c>
      <c r="AI1892">
        <v>91.051366215308306</v>
      </c>
      <c r="AJ1892">
        <v>78.378387083150997</v>
      </c>
      <c r="AK1892">
        <v>62.9188143194771</v>
      </c>
      <c r="AL1892">
        <v>88.750850852359207</v>
      </c>
      <c r="AM1892">
        <v>94.039937382292393</v>
      </c>
      <c r="AN1892">
        <v>1.00000007380822</v>
      </c>
    </row>
    <row r="1893" spans="1:40" x14ac:dyDescent="0.3">
      <c r="A1893" t="str">
        <f>"20200111145947243"</f>
        <v>20200111145947243</v>
      </c>
      <c r="B1893" t="str">
        <f>"1578725987237480"</f>
        <v>1578725987237480</v>
      </c>
      <c r="C1893" t="s">
        <v>40</v>
      </c>
      <c r="D1893">
        <v>4.2749990000000002</v>
      </c>
      <c r="E1893">
        <v>0.60563800000000001</v>
      </c>
      <c r="F1893" t="s">
        <v>43</v>
      </c>
      <c r="G1893">
        <v>-158.2552</v>
      </c>
      <c r="H1893">
        <v>-0.05</v>
      </c>
      <c r="I1893">
        <v>355.17599999999999</v>
      </c>
      <c r="J1893">
        <v>-224.31739999999999</v>
      </c>
      <c r="K1893">
        <v>1.104457</v>
      </c>
      <c r="L1893">
        <v>367.86410000000001</v>
      </c>
      <c r="M1893">
        <v>0.999803</v>
      </c>
      <c r="N1893">
        <v>0</v>
      </c>
      <c r="O1893">
        <v>1.375647E-2</v>
      </c>
      <c r="P1893">
        <v>0.99650059999999996</v>
      </c>
      <c r="Q1893">
        <v>8.9155580000000005E-3</v>
      </c>
      <c r="R1893">
        <v>8.3108920000000003E-2</v>
      </c>
      <c r="S1893">
        <v>3.0608979999999999</v>
      </c>
      <c r="T1893">
        <v>-5.3403020000000002E-2</v>
      </c>
      <c r="U1893">
        <v>-0.58685299999999996</v>
      </c>
      <c r="V1893">
        <v>-6.9377560000000005E-2</v>
      </c>
      <c r="W1893">
        <v>2.3233529999999999E-2</v>
      </c>
      <c r="X1893">
        <v>0.99731990000000004</v>
      </c>
      <c r="Y1893">
        <v>0.20175850000000001</v>
      </c>
      <c r="Z1893">
        <v>-1.981933E-3</v>
      </c>
      <c r="AA1893">
        <v>0.97943329999999995</v>
      </c>
      <c r="AB1893">
        <v>21</v>
      </c>
      <c r="AC1893">
        <v>66.062199999999905</v>
      </c>
      <c r="AD1893">
        <v>-1.1544570000000001</v>
      </c>
      <c r="AE1893">
        <v>-12.6881</v>
      </c>
      <c r="AF1893">
        <v>13.591771782465999</v>
      </c>
      <c r="AG1893">
        <v>-1.1544570000000001</v>
      </c>
      <c r="AH1893">
        <v>65.861988471818407</v>
      </c>
      <c r="AI1893">
        <v>90.983482498151005</v>
      </c>
      <c r="AJ1893">
        <v>78.339703780418304</v>
      </c>
      <c r="AK1893">
        <v>67.259724624870699</v>
      </c>
      <c r="AL1893">
        <v>88.668697014376306</v>
      </c>
      <c r="AM1893">
        <v>93.979312950103207</v>
      </c>
      <c r="AN1893">
        <v>1.00000001284191</v>
      </c>
    </row>
    <row r="1894" spans="1:40" x14ac:dyDescent="0.3">
      <c r="A1894" t="str">
        <f>"20200111145947254"</f>
        <v>20200111145947254</v>
      </c>
      <c r="B1894" t="str">
        <f>"1578725987247240"</f>
        <v>1578725987247240</v>
      </c>
      <c r="C1894" t="s">
        <v>40</v>
      </c>
      <c r="D1894">
        <v>4.2929399999999998</v>
      </c>
      <c r="E1894">
        <v>0.6057515</v>
      </c>
      <c r="F1894" t="s">
        <v>44</v>
      </c>
      <c r="G1894">
        <v>-158.19499999999999</v>
      </c>
      <c r="H1894">
        <v>5.25341E-2</v>
      </c>
      <c r="I1894">
        <v>355.08800000000002</v>
      </c>
      <c r="J1894">
        <v>-224.20760000000001</v>
      </c>
      <c r="K1894">
        <v>1.1044309999999999</v>
      </c>
      <c r="L1894">
        <v>367.86540000000002</v>
      </c>
      <c r="M1894">
        <v>0.99980619999999998</v>
      </c>
      <c r="N1894">
        <v>0</v>
      </c>
      <c r="O1894">
        <v>1.3523220000000001E-2</v>
      </c>
      <c r="P1894">
        <v>0.99662720000000005</v>
      </c>
      <c r="Q1894">
        <v>1.066682E-2</v>
      </c>
      <c r="R1894">
        <v>8.1368629999999997E-2</v>
      </c>
      <c r="S1894">
        <v>3.0602870000000002</v>
      </c>
      <c r="T1894">
        <v>-4.8681139999999998E-2</v>
      </c>
      <c r="U1894">
        <v>-0.59130859999999996</v>
      </c>
      <c r="V1894">
        <v>-6.7864690000000005E-2</v>
      </c>
      <c r="W1894">
        <v>2.4994929999999999E-2</v>
      </c>
      <c r="X1894">
        <v>0.99738139999999997</v>
      </c>
      <c r="Y1894">
        <v>0.2029463</v>
      </c>
      <c r="Z1894">
        <v>-1.812503E-3</v>
      </c>
      <c r="AA1894">
        <v>0.97918819999999995</v>
      </c>
      <c r="AB1894">
        <v>21</v>
      </c>
      <c r="AC1894">
        <v>66.012600000000006</v>
      </c>
      <c r="AD1894">
        <v>-1.0518969</v>
      </c>
      <c r="AE1894">
        <v>-12.7774</v>
      </c>
      <c r="AF1894">
        <v>13.665680998976899</v>
      </c>
      <c r="AG1894">
        <v>-1.0518969</v>
      </c>
      <c r="AH1894">
        <v>65.8176443694543</v>
      </c>
      <c r="AI1894">
        <v>90.896505538200302</v>
      </c>
      <c r="AJ1894">
        <v>78.270368689532404</v>
      </c>
      <c r="AK1894">
        <v>67.229603855727007</v>
      </c>
      <c r="AL1894">
        <v>88.567746856977294</v>
      </c>
      <c r="AM1894">
        <v>93.892569193368502</v>
      </c>
      <c r="AN1894">
        <v>1.00000000987023</v>
      </c>
    </row>
    <row r="1895" spans="1:40" x14ac:dyDescent="0.3">
      <c r="A1895" t="str">
        <f>"20200111145947265"</f>
        <v>20200111145947265</v>
      </c>
      <c r="B1895" t="str">
        <f>"1578725987257976"</f>
        <v>1578725987257976</v>
      </c>
      <c r="C1895" t="s">
        <v>40</v>
      </c>
      <c r="D1895">
        <v>4.2311829999999997</v>
      </c>
      <c r="E1895">
        <v>0.60574659999999902</v>
      </c>
      <c r="F1895" t="s">
        <v>44</v>
      </c>
      <c r="G1895">
        <v>-166.58160000000001</v>
      </c>
      <c r="H1895">
        <v>0.27385229999999999</v>
      </c>
      <c r="I1895">
        <v>356.61509999999998</v>
      </c>
      <c r="J1895">
        <v>-224.10900000000001</v>
      </c>
      <c r="K1895">
        <v>1.104409</v>
      </c>
      <c r="L1895">
        <v>367.86649999999997</v>
      </c>
      <c r="M1895">
        <v>0.99980910000000001</v>
      </c>
      <c r="N1895">
        <v>0</v>
      </c>
      <c r="O1895">
        <v>1.3290669999999999E-2</v>
      </c>
      <c r="P1895">
        <v>0.99677629999999995</v>
      </c>
      <c r="Q1895">
        <v>1.283308E-2</v>
      </c>
      <c r="R1895">
        <v>7.920025E-2</v>
      </c>
      <c r="S1895">
        <v>3.059418</v>
      </c>
      <c r="T1895">
        <v>-4.4091459999999999E-2</v>
      </c>
      <c r="U1895">
        <v>-0.59728999999999999</v>
      </c>
      <c r="V1895">
        <v>-6.5923759999999998E-2</v>
      </c>
      <c r="W1895">
        <v>2.717048E-2</v>
      </c>
      <c r="X1895">
        <v>0.99745459999999997</v>
      </c>
      <c r="Y1895">
        <v>0.20461950000000001</v>
      </c>
      <c r="Z1895">
        <v>-1.650414E-3</v>
      </c>
      <c r="AA1895">
        <v>0.97884020000000005</v>
      </c>
      <c r="AB1895">
        <v>21</v>
      </c>
      <c r="AC1895">
        <v>57.5274</v>
      </c>
      <c r="AD1895">
        <v>-0.83055669999999904</v>
      </c>
      <c r="AE1895">
        <v>-11.251399999999901</v>
      </c>
      <c r="AF1895">
        <v>12.012650426588101</v>
      </c>
      <c r="AG1895">
        <v>-0.83055669999999904</v>
      </c>
      <c r="AH1895">
        <v>57.361247798050996</v>
      </c>
      <c r="AI1895">
        <v>90.811939590856198</v>
      </c>
      <c r="AJ1895">
        <v>78.171997112843698</v>
      </c>
      <c r="AK1895">
        <v>58.611486448073798</v>
      </c>
      <c r="AL1895">
        <v>88.443054451316499</v>
      </c>
      <c r="AM1895">
        <v>93.781292764120494</v>
      </c>
      <c r="AN1895">
        <v>0.99999992808856097</v>
      </c>
    </row>
    <row r="1896" spans="1:40" x14ac:dyDescent="0.3">
      <c r="A1896" t="str">
        <f>"20200111145947276"</f>
        <v>20200111145947276</v>
      </c>
      <c r="B1896" t="str">
        <f>"1578725987267736"</f>
        <v>1578725987267736</v>
      </c>
      <c r="C1896" t="s">
        <v>40</v>
      </c>
      <c r="D1896">
        <v>4.3029489999999999</v>
      </c>
      <c r="E1896">
        <v>0.60586739999999994</v>
      </c>
      <c r="F1896" t="s">
        <v>44</v>
      </c>
      <c r="G1896">
        <v>-167.15270000000001</v>
      </c>
      <c r="H1896">
        <v>0.40813830000000001</v>
      </c>
      <c r="I1896">
        <v>356.61509999999998</v>
      </c>
      <c r="J1896">
        <v>-224.0001</v>
      </c>
      <c r="K1896">
        <v>1.104382</v>
      </c>
      <c r="L1896">
        <v>367.86759999999998</v>
      </c>
      <c r="M1896">
        <v>0.99981279999999995</v>
      </c>
      <c r="N1896">
        <v>0</v>
      </c>
      <c r="O1896">
        <v>1.3004399999999999E-2</v>
      </c>
      <c r="P1896">
        <v>0.99689510000000003</v>
      </c>
      <c r="Q1896">
        <v>1.4614739999999999E-2</v>
      </c>
      <c r="R1896">
        <v>7.737318E-2</v>
      </c>
      <c r="S1896">
        <v>3.058182</v>
      </c>
      <c r="T1896">
        <v>-3.7380459999999997E-2</v>
      </c>
      <c r="U1896">
        <v>-0.60412600000000005</v>
      </c>
      <c r="V1896">
        <v>-6.4376559999999999E-2</v>
      </c>
      <c r="W1896">
        <v>2.8961250000000001E-2</v>
      </c>
      <c r="X1896">
        <v>0.99750539999999999</v>
      </c>
      <c r="Y1896">
        <v>0.20652599999999999</v>
      </c>
      <c r="Z1896">
        <v>-1.4075590000000001E-3</v>
      </c>
      <c r="AA1896">
        <v>0.97844010000000003</v>
      </c>
      <c r="AB1896">
        <v>21</v>
      </c>
      <c r="AC1896">
        <v>56.847399999999901</v>
      </c>
      <c r="AD1896">
        <v>-0.69624370000000002</v>
      </c>
      <c r="AE1896">
        <v>-11.2524999999999</v>
      </c>
      <c r="AF1896">
        <v>11.989159883500101</v>
      </c>
      <c r="AG1896">
        <v>-0.69624370000000002</v>
      </c>
      <c r="AH1896">
        <v>56.688062125970902</v>
      </c>
      <c r="AI1896">
        <v>90.688445340006595</v>
      </c>
      <c r="AJ1896">
        <v>78.058285489407893</v>
      </c>
      <c r="AK1896">
        <v>57.946191398571301</v>
      </c>
      <c r="AL1896">
        <v>88.340410650902598</v>
      </c>
      <c r="AM1896">
        <v>93.692608535727004</v>
      </c>
      <c r="AN1896">
        <v>1.0000000592540701</v>
      </c>
    </row>
    <row r="1897" spans="1:40" x14ac:dyDescent="0.3">
      <c r="A1897" t="str">
        <f>"20200111145947288"</f>
        <v>20200111145947288</v>
      </c>
      <c r="B1897" t="str">
        <f>"1578725987277497"</f>
        <v>1578725987277497</v>
      </c>
      <c r="C1897" t="s">
        <v>40</v>
      </c>
      <c r="D1897">
        <v>4.3688830000000003</v>
      </c>
      <c r="E1897">
        <v>0.60607029999999995</v>
      </c>
      <c r="F1897" t="s">
        <v>44</v>
      </c>
      <c r="G1897">
        <v>-167.68369999999999</v>
      </c>
      <c r="H1897">
        <v>0.50566959999999905</v>
      </c>
      <c r="I1897">
        <v>356.61509999999998</v>
      </c>
      <c r="J1897">
        <v>-223.8981</v>
      </c>
      <c r="K1897">
        <v>1.1043559999999999</v>
      </c>
      <c r="L1897">
        <v>367.86869999999999</v>
      </c>
      <c r="M1897">
        <v>0.99981679999999995</v>
      </c>
      <c r="N1897">
        <v>0</v>
      </c>
      <c r="O1897">
        <v>1.269518E-2</v>
      </c>
      <c r="P1897">
        <v>0.99698209999999998</v>
      </c>
      <c r="Q1897">
        <v>1.5655809999999999E-2</v>
      </c>
      <c r="R1897">
        <v>7.6039140000000005E-2</v>
      </c>
      <c r="S1897">
        <v>3.0572509999999999</v>
      </c>
      <c r="T1897">
        <v>-3.2497529999999997E-2</v>
      </c>
      <c r="U1897">
        <v>-0.61087040000000004</v>
      </c>
      <c r="V1897">
        <v>-6.3346219999999995E-2</v>
      </c>
      <c r="W1897">
        <v>3.0010789999999999E-2</v>
      </c>
      <c r="X1897">
        <v>0.99754030000000005</v>
      </c>
      <c r="Y1897">
        <v>0.20835989999999999</v>
      </c>
      <c r="Z1897">
        <v>-1.230203E-3</v>
      </c>
      <c r="AA1897">
        <v>0.97805149999999996</v>
      </c>
      <c r="AB1897">
        <v>21</v>
      </c>
      <c r="AC1897">
        <v>56.214399999999998</v>
      </c>
      <c r="AD1897">
        <v>-0.59868639999999995</v>
      </c>
      <c r="AE1897">
        <v>-11.2536</v>
      </c>
      <c r="AF1897">
        <v>11.965113243727201</v>
      </c>
      <c r="AG1897">
        <v>-0.59868639999999995</v>
      </c>
      <c r="AH1897">
        <v>56.0608741621013</v>
      </c>
      <c r="AI1897">
        <v>90.5983749591677</v>
      </c>
      <c r="AJ1897">
        <v>77.952087512856593</v>
      </c>
      <c r="AK1897">
        <v>57.326642777679901</v>
      </c>
      <c r="AL1897">
        <v>88.2802502146357</v>
      </c>
      <c r="AM1897">
        <v>93.633541563627105</v>
      </c>
      <c r="AN1897">
        <v>1.0000000206144</v>
      </c>
    </row>
    <row r="1898" spans="1:40" x14ac:dyDescent="0.3">
      <c r="A1898" t="str">
        <f>"20200111145947301"</f>
        <v>20200111145947301</v>
      </c>
      <c r="B1898" t="str">
        <f>"1578725987297992"</f>
        <v>1578725987297992</v>
      </c>
      <c r="C1898" t="s">
        <v>40</v>
      </c>
      <c r="D1898">
        <v>4.3567710000000002</v>
      </c>
      <c r="E1898">
        <v>0.60622449999999894</v>
      </c>
      <c r="F1898" t="s">
        <v>44</v>
      </c>
      <c r="G1898">
        <v>-168.1079</v>
      </c>
      <c r="H1898">
        <v>0.57845690000000005</v>
      </c>
      <c r="I1898">
        <v>356.61509999999998</v>
      </c>
      <c r="J1898">
        <v>-223.77690000000001</v>
      </c>
      <c r="K1898">
        <v>1.10432</v>
      </c>
      <c r="L1898">
        <v>367.8698</v>
      </c>
      <c r="M1898">
        <v>0.99982179999999998</v>
      </c>
      <c r="N1898">
        <v>0</v>
      </c>
      <c r="O1898">
        <v>1.2301339999999999E-2</v>
      </c>
      <c r="P1898">
        <v>0.99703280000000005</v>
      </c>
      <c r="Q1898">
        <v>1.6543510000000001E-2</v>
      </c>
      <c r="R1898">
        <v>7.5180720000000006E-2</v>
      </c>
      <c r="S1898">
        <v>3.0565639999999998</v>
      </c>
      <c r="T1898">
        <v>-2.88074E-2</v>
      </c>
      <c r="U1898">
        <v>-0.61654659999999994</v>
      </c>
      <c r="V1898">
        <v>-6.2875970000000003E-2</v>
      </c>
      <c r="W1898">
        <v>3.0908740000000001E-2</v>
      </c>
      <c r="X1898">
        <v>0.99754259999999995</v>
      </c>
      <c r="Y1898">
        <v>0.20976510000000001</v>
      </c>
      <c r="Z1898">
        <v>-1.0934409999999999E-3</v>
      </c>
      <c r="AA1898">
        <v>0.97775120000000004</v>
      </c>
      <c r="AB1898">
        <v>21</v>
      </c>
      <c r="AC1898">
        <v>55.668999999999997</v>
      </c>
      <c r="AD1898">
        <v>-0.52586309999999903</v>
      </c>
      <c r="AE1898">
        <v>-11.2547</v>
      </c>
      <c r="AF1898">
        <v>11.937698370777801</v>
      </c>
      <c r="AG1898">
        <v>-0.52586309999999903</v>
      </c>
      <c r="AH1898">
        <v>55.521565159941098</v>
      </c>
      <c r="AI1898">
        <v>90.530527337251797</v>
      </c>
      <c r="AJ1898">
        <v>77.865565632424705</v>
      </c>
      <c r="AK1898">
        <v>56.792863743618298</v>
      </c>
      <c r="AL1898">
        <v>88.228777527893897</v>
      </c>
      <c r="AM1898">
        <v>93.606631174493003</v>
      </c>
      <c r="AN1898">
        <v>0.99999998831329395</v>
      </c>
    </row>
    <row r="1899" spans="1:40" x14ac:dyDescent="0.3">
      <c r="A1899" t="str">
        <f>"20200111145947314"</f>
        <v>20200111145947314</v>
      </c>
      <c r="B1899" t="str">
        <f>"1578725987307754"</f>
        <v>1578725987307754</v>
      </c>
      <c r="C1899" t="s">
        <v>40</v>
      </c>
      <c r="D1899">
        <v>4.2704240000000002</v>
      </c>
      <c r="E1899">
        <v>0.60614060000000003</v>
      </c>
      <c r="F1899" t="s">
        <v>44</v>
      </c>
      <c r="G1899">
        <v>-168.3458</v>
      </c>
      <c r="H1899">
        <v>0.64387799999999995</v>
      </c>
      <c r="I1899">
        <v>356.61509999999998</v>
      </c>
      <c r="J1899">
        <v>-223.6559</v>
      </c>
      <c r="K1899">
        <v>1.104276</v>
      </c>
      <c r="L1899">
        <v>367.87079999999997</v>
      </c>
      <c r="M1899">
        <v>0.99982729999999997</v>
      </c>
      <c r="N1899">
        <v>0</v>
      </c>
      <c r="O1899">
        <v>1.183213E-2</v>
      </c>
      <c r="P1899">
        <v>0.99708189999999997</v>
      </c>
      <c r="Q1899">
        <v>1.6820180000000001E-2</v>
      </c>
      <c r="R1899">
        <v>7.4464260000000004E-2</v>
      </c>
      <c r="S1899">
        <v>3.0561219999999998</v>
      </c>
      <c r="T1899">
        <v>-2.5380969999999999E-2</v>
      </c>
      <c r="U1899">
        <v>-0.62051389999999995</v>
      </c>
      <c r="V1899">
        <v>-6.2622819999999996E-2</v>
      </c>
      <c r="W1899">
        <v>3.1196129999999999E-2</v>
      </c>
      <c r="X1899">
        <v>0.99754960000000004</v>
      </c>
      <c r="Y1899">
        <v>0.21055499999999999</v>
      </c>
      <c r="Z1899">
        <v>-9.6278960000000002E-4</v>
      </c>
      <c r="AA1899">
        <v>0.97758160000000005</v>
      </c>
      <c r="AB1899">
        <v>21</v>
      </c>
      <c r="AC1899">
        <v>55.310099999999998</v>
      </c>
      <c r="AD1899">
        <v>-0.46039799999999997</v>
      </c>
      <c r="AE1899">
        <v>-11.2556999999999</v>
      </c>
      <c r="AF1899">
        <v>11.908623107873799</v>
      </c>
      <c r="AG1899">
        <v>-0.46039799999999997</v>
      </c>
      <c r="AH1899">
        <v>55.169364232716198</v>
      </c>
      <c r="AI1899">
        <v>90.467368450435202</v>
      </c>
      <c r="AJ1899">
        <v>77.819264905261505</v>
      </c>
      <c r="AK1899">
        <v>56.441881794336901</v>
      </c>
      <c r="AL1899">
        <v>88.212303388303496</v>
      </c>
      <c r="AM1899">
        <v>93.592123183533502</v>
      </c>
      <c r="AN1899">
        <v>1.0000000102859401</v>
      </c>
    </row>
    <row r="1900" spans="1:40" x14ac:dyDescent="0.3">
      <c r="A1900" t="str">
        <f>"20200111145947326"</f>
        <v>20200111145947326</v>
      </c>
      <c r="B1900" t="str">
        <f>"1578725987318021"</f>
        <v>1578725987318021</v>
      </c>
      <c r="C1900" t="s">
        <v>40</v>
      </c>
      <c r="D1900">
        <v>4.2161569999999999</v>
      </c>
      <c r="E1900">
        <v>0.60613879999999998</v>
      </c>
      <c r="F1900" t="s">
        <v>44</v>
      </c>
      <c r="G1900">
        <v>-168.392</v>
      </c>
      <c r="H1900">
        <v>0.70802779999999998</v>
      </c>
      <c r="I1900">
        <v>356.61509999999998</v>
      </c>
      <c r="J1900">
        <v>-223.54820000000001</v>
      </c>
      <c r="K1900">
        <v>1.1042419999999999</v>
      </c>
      <c r="L1900">
        <v>367.8716</v>
      </c>
      <c r="M1900">
        <v>0.99983250000000001</v>
      </c>
      <c r="N1900">
        <v>0</v>
      </c>
      <c r="O1900">
        <v>1.1378839999999999E-2</v>
      </c>
      <c r="P1900">
        <v>0.99711019999999995</v>
      </c>
      <c r="Q1900">
        <v>1.7936830000000001E-2</v>
      </c>
      <c r="R1900">
        <v>7.381915E-2</v>
      </c>
      <c r="S1900">
        <v>3.0556179999999999</v>
      </c>
      <c r="T1900">
        <v>-2.190423E-2</v>
      </c>
      <c r="U1900">
        <v>-0.62234500000000004</v>
      </c>
      <c r="V1900">
        <v>-6.2424599999999997E-2</v>
      </c>
      <c r="W1900">
        <v>3.2322320000000002E-2</v>
      </c>
      <c r="X1900">
        <v>0.99752620000000003</v>
      </c>
      <c r="Y1900">
        <v>0.2107077</v>
      </c>
      <c r="Z1900">
        <v>-8.2831649999999903E-4</v>
      </c>
      <c r="AA1900">
        <v>0.9775488</v>
      </c>
      <c r="AB1900">
        <v>21</v>
      </c>
      <c r="AC1900">
        <v>55.156199999999998</v>
      </c>
      <c r="AD1900">
        <v>-0.39621420000000002</v>
      </c>
      <c r="AE1900">
        <v>-11.256500000000001</v>
      </c>
      <c r="AF1900">
        <v>11.8828604941734</v>
      </c>
      <c r="AG1900">
        <v>-0.39621420000000002</v>
      </c>
      <c r="AH1900">
        <v>55.021803579224603</v>
      </c>
      <c r="AI1900">
        <v>90.403284659705903</v>
      </c>
      <c r="AJ1900">
        <v>77.813206478151798</v>
      </c>
      <c r="AK1900">
        <v>56.291724332507698</v>
      </c>
      <c r="AL1900">
        <v>88.147744942582904</v>
      </c>
      <c r="AM1900">
        <v>93.580866446314303</v>
      </c>
      <c r="AN1900">
        <v>1.00000004137089</v>
      </c>
    </row>
    <row r="1901" spans="1:40" x14ac:dyDescent="0.3">
      <c r="A1901" t="str">
        <f>"20200111145947340"</f>
        <v>20200111145947340</v>
      </c>
      <c r="B1901" t="str">
        <f>"1578725987337541"</f>
        <v>1578725987337541</v>
      </c>
      <c r="C1901" t="s">
        <v>40</v>
      </c>
      <c r="D1901">
        <v>4.4561809999999999</v>
      </c>
      <c r="E1901">
        <v>0.60638979999999998</v>
      </c>
      <c r="F1901" t="s">
        <v>44</v>
      </c>
      <c r="G1901">
        <v>-168.48650000000001</v>
      </c>
      <c r="H1901">
        <v>0.77202419999999905</v>
      </c>
      <c r="I1901">
        <v>356.61509999999998</v>
      </c>
      <c r="J1901">
        <v>-223.42009999999999</v>
      </c>
      <c r="K1901">
        <v>1.10419</v>
      </c>
      <c r="L1901">
        <v>367.8725</v>
      </c>
      <c r="M1901">
        <v>0.99983889999999997</v>
      </c>
      <c r="N1901">
        <v>0</v>
      </c>
      <c r="O1901">
        <v>1.079538E-2</v>
      </c>
      <c r="P1901">
        <v>0.99711369999999999</v>
      </c>
      <c r="Q1901">
        <v>1.9399369999999999E-2</v>
      </c>
      <c r="R1901">
        <v>7.3402640000000005E-2</v>
      </c>
      <c r="S1901">
        <v>3.0552670000000002</v>
      </c>
      <c r="T1901">
        <v>-1.8429279999999999E-2</v>
      </c>
      <c r="U1901">
        <v>-0.62460329999999997</v>
      </c>
      <c r="V1901">
        <v>-6.2583280000000005E-2</v>
      </c>
      <c r="W1901">
        <v>3.379733E-2</v>
      </c>
      <c r="X1901">
        <v>0.99746729999999995</v>
      </c>
      <c r="Y1901">
        <v>0.2108544</v>
      </c>
      <c r="Z1901">
        <v>-6.9389250000000005E-4</v>
      </c>
      <c r="AA1901">
        <v>0.97751719999999998</v>
      </c>
      <c r="AB1901">
        <v>21</v>
      </c>
      <c r="AC1901">
        <v>54.933599999999899</v>
      </c>
      <c r="AD1901">
        <v>-0.33216580000000001</v>
      </c>
      <c r="AE1901">
        <v>-11.257400000000001</v>
      </c>
      <c r="AF1901">
        <v>11.8494181642192</v>
      </c>
      <c r="AG1901">
        <v>-0.33216580000000001</v>
      </c>
      <c r="AH1901">
        <v>54.806934746125002</v>
      </c>
      <c r="AI1901">
        <v>90.339403860455207</v>
      </c>
      <c r="AJ1901">
        <v>77.800260230420406</v>
      </c>
      <c r="AK1901">
        <v>56.074228850829698</v>
      </c>
      <c r="AL1901">
        <v>88.063186731760098</v>
      </c>
      <c r="AM1901">
        <v>93.590156473757204</v>
      </c>
      <c r="AN1901">
        <v>0.99999997050998801</v>
      </c>
    </row>
    <row r="1902" spans="1:40" x14ac:dyDescent="0.3">
      <c r="A1902" t="str">
        <f>"20200111145947352"</f>
        <v>20200111145947352</v>
      </c>
      <c r="B1902" t="str">
        <f>"1578725987347300"</f>
        <v>1578725987347300</v>
      </c>
      <c r="C1902" t="s">
        <v>40</v>
      </c>
      <c r="D1902">
        <v>4.5613999999999999</v>
      </c>
      <c r="E1902">
        <v>0.60638979999999998</v>
      </c>
      <c r="F1902" t="s">
        <v>44</v>
      </c>
      <c r="G1902">
        <v>-168.64920000000001</v>
      </c>
      <c r="H1902">
        <v>0.82399080000000002</v>
      </c>
      <c r="I1902">
        <v>356.61509999999998</v>
      </c>
      <c r="J1902">
        <v>-223.31890000000001</v>
      </c>
      <c r="K1902">
        <v>1.104142</v>
      </c>
      <c r="L1902">
        <v>367.87299999999999</v>
      </c>
      <c r="M1902">
        <v>0.99984459999999997</v>
      </c>
      <c r="N1902">
        <v>0</v>
      </c>
      <c r="O1902">
        <v>1.0250789999999999E-2</v>
      </c>
      <c r="P1902">
        <v>0.99712900000000004</v>
      </c>
      <c r="Q1902">
        <v>2.1099570000000002E-2</v>
      </c>
      <c r="R1902">
        <v>7.2720129999999994E-2</v>
      </c>
      <c r="S1902">
        <v>3.0552220000000001</v>
      </c>
      <c r="T1902">
        <v>-1.5625119999999999E-2</v>
      </c>
      <c r="U1902">
        <v>-0.62796019999999997</v>
      </c>
      <c r="V1902">
        <v>-6.2436400000000003E-2</v>
      </c>
      <c r="W1902">
        <v>3.5506709999999997E-2</v>
      </c>
      <c r="X1902">
        <v>0.9974172</v>
      </c>
      <c r="Y1902">
        <v>0.21135670000000001</v>
      </c>
      <c r="Z1902">
        <v>-5.8677049999999998E-4</v>
      </c>
      <c r="AA1902">
        <v>0.97740879999999997</v>
      </c>
      <c r="AB1902">
        <v>21</v>
      </c>
      <c r="AC1902">
        <v>54.669699999999999</v>
      </c>
      <c r="AD1902">
        <v>-0.28015119999999899</v>
      </c>
      <c r="AE1902">
        <v>-11.257899999999999</v>
      </c>
      <c r="AF1902">
        <v>11.8174759395578</v>
      </c>
      <c r="AG1902">
        <v>-0.28015119999999899</v>
      </c>
      <c r="AH1902">
        <v>54.550038583483101</v>
      </c>
      <c r="AI1902">
        <v>90.287579147070801</v>
      </c>
      <c r="AJ1902">
        <v>77.776581923600901</v>
      </c>
      <c r="AK1902">
        <v>55.816108174400597</v>
      </c>
      <c r="AL1902">
        <v>87.965187765986101</v>
      </c>
      <c r="AM1902">
        <v>93.581931948751702</v>
      </c>
      <c r="AN1902">
        <v>1.0000000506779101</v>
      </c>
    </row>
    <row r="1903" spans="1:40" x14ac:dyDescent="0.3">
      <c r="A1903" t="str">
        <f>"20200111145947362"</f>
        <v>20200111145947362</v>
      </c>
      <c r="B1903" t="str">
        <f>"1578725987358036"</f>
        <v>1578725987358036</v>
      </c>
      <c r="C1903" t="s">
        <v>40</v>
      </c>
      <c r="D1903">
        <v>4.655875</v>
      </c>
      <c r="E1903">
        <v>0.62604649999999995</v>
      </c>
      <c r="F1903" t="s">
        <v>44</v>
      </c>
      <c r="G1903">
        <v>-168.74459999999999</v>
      </c>
      <c r="H1903">
        <v>0.93674559999999996</v>
      </c>
      <c r="I1903">
        <v>356.61509999999998</v>
      </c>
      <c r="J1903">
        <v>-223.21190000000001</v>
      </c>
      <c r="K1903">
        <v>1.10409</v>
      </c>
      <c r="L1903">
        <v>367.87349999999998</v>
      </c>
      <c r="M1903">
        <v>0.99985060000000003</v>
      </c>
      <c r="N1903">
        <v>0</v>
      </c>
      <c r="O1903">
        <v>9.6487320000000001E-3</v>
      </c>
      <c r="P1903">
        <v>0.99712489999999998</v>
      </c>
      <c r="Q1903">
        <v>2.3042050000000001E-2</v>
      </c>
      <c r="R1903">
        <v>7.2186159999999999E-2</v>
      </c>
      <c r="S1903">
        <v>3.0547789999999999</v>
      </c>
      <c r="T1903">
        <v>-9.3649630000000005E-3</v>
      </c>
      <c r="U1903">
        <v>-0.63015750000000004</v>
      </c>
      <c r="V1903">
        <v>-6.2494719999999997E-2</v>
      </c>
      <c r="W1903">
        <v>3.7460930000000003E-2</v>
      </c>
      <c r="X1903">
        <v>0.99734199999999995</v>
      </c>
      <c r="Y1903">
        <v>0.2114723</v>
      </c>
      <c r="Z1903">
        <v>-3.500566E-4</v>
      </c>
      <c r="AA1903">
        <v>0.97738389999999997</v>
      </c>
      <c r="AB1903">
        <v>21</v>
      </c>
      <c r="AC1903">
        <v>54.467300000000002</v>
      </c>
      <c r="AD1903">
        <v>-0.16734439999999901</v>
      </c>
      <c r="AE1903">
        <v>-11.2583999999999</v>
      </c>
      <c r="AF1903">
        <v>11.7833635759047</v>
      </c>
      <c r="AG1903">
        <v>-0.16734439999999901</v>
      </c>
      <c r="AH1903">
        <v>54.355631494373696</v>
      </c>
      <c r="AI1903">
        <v>90.172391443119395</v>
      </c>
      <c r="AJ1903">
        <v>77.768524318410599</v>
      </c>
      <c r="AK1903">
        <v>55.618435221267397</v>
      </c>
      <c r="AL1903">
        <v>87.853144467752301</v>
      </c>
      <c r="AM1903">
        <v>93.585538628401906</v>
      </c>
      <c r="AN1903">
        <v>0.99999998813417101</v>
      </c>
    </row>
    <row r="1904" spans="1:40" x14ac:dyDescent="0.3">
      <c r="A1904" t="str">
        <f>"20200111145947373"</f>
        <v>20200111145947373</v>
      </c>
      <c r="B1904" t="str">
        <f>"1578725987367796"</f>
        <v>1578725987367796</v>
      </c>
      <c r="C1904" t="s">
        <v>40</v>
      </c>
      <c r="D1904">
        <v>4.2304149999999998</v>
      </c>
      <c r="E1904">
        <v>0.62604649999999995</v>
      </c>
      <c r="F1904" t="s">
        <v>45</v>
      </c>
      <c r="G1904">
        <v>-201.5814</v>
      </c>
      <c r="H1904" s="1">
        <v>-2.8582969999999999E-6</v>
      </c>
      <c r="I1904">
        <v>362.29340000000002</v>
      </c>
      <c r="J1904">
        <v>-223.11320000000001</v>
      </c>
      <c r="K1904">
        <v>1.104033</v>
      </c>
      <c r="L1904">
        <v>367.87380000000002</v>
      </c>
      <c r="M1904">
        <v>0.99985659999999998</v>
      </c>
      <c r="N1904">
        <v>0</v>
      </c>
      <c r="O1904">
        <v>9.0073730000000008E-3</v>
      </c>
      <c r="P1904">
        <v>0.99707440000000003</v>
      </c>
      <c r="Q1904">
        <v>2.5212809999999999E-2</v>
      </c>
      <c r="R1904">
        <v>7.2160829999999995E-2</v>
      </c>
      <c r="S1904">
        <v>3.0695950000000001</v>
      </c>
      <c r="T1904">
        <v>-0.156682399999999</v>
      </c>
      <c r="U1904">
        <v>-0.79187010000000002</v>
      </c>
      <c r="V1904">
        <v>-6.3099559999999999E-2</v>
      </c>
      <c r="W1904">
        <v>3.9644159999999998E-2</v>
      </c>
      <c r="X1904">
        <v>0.99721950000000004</v>
      </c>
      <c r="Y1904">
        <v>0.25818049999999998</v>
      </c>
      <c r="Z1904">
        <v>-6.9313069999999899E-3</v>
      </c>
      <c r="AA1904">
        <v>0.96607180000000004</v>
      </c>
      <c r="AB1904">
        <v>21</v>
      </c>
      <c r="AC1904">
        <v>21.5318</v>
      </c>
      <c r="AD1904">
        <v>-1.104035858297</v>
      </c>
      <c r="AE1904">
        <v>-5.5803999999999903</v>
      </c>
      <c r="AF1904">
        <v>5.7599481904581502</v>
      </c>
      <c r="AG1904">
        <v>-1.104035858297</v>
      </c>
      <c r="AH1904">
        <v>21.427866460429001</v>
      </c>
      <c r="AI1904">
        <v>92.848521073964804</v>
      </c>
      <c r="AJ1904">
        <v>74.954184125950107</v>
      </c>
      <c r="AK1904">
        <v>22.215970817840699</v>
      </c>
      <c r="AL1904">
        <v>87.727961476885994</v>
      </c>
      <c r="AM1904">
        <v>93.620592074381307</v>
      </c>
      <c r="AN1904">
        <v>0.99999997253727402</v>
      </c>
    </row>
    <row r="1905" spans="1:40" x14ac:dyDescent="0.3">
      <c r="A1905" t="str">
        <f>"20200111145947383"</f>
        <v>20200111145947383</v>
      </c>
      <c r="B1905" t="str">
        <f>"1578725987377557"</f>
        <v>1578725987377557</v>
      </c>
      <c r="C1905" t="s">
        <v>40</v>
      </c>
      <c r="D1905">
        <v>4.212243</v>
      </c>
      <c r="E1905">
        <v>0.60040479999999996</v>
      </c>
      <c r="F1905" t="s">
        <v>45</v>
      </c>
      <c r="G1905">
        <v>-200.2577</v>
      </c>
      <c r="H1905" s="1">
        <v>-2.1807499999999998E-6</v>
      </c>
      <c r="I1905">
        <v>361.97329999999999</v>
      </c>
      <c r="J1905">
        <v>-223.02340000000001</v>
      </c>
      <c r="K1905">
        <v>1.1039810000000001</v>
      </c>
      <c r="L1905">
        <v>367.87400000000002</v>
      </c>
      <c r="M1905">
        <v>0.99986200000000003</v>
      </c>
      <c r="N1905">
        <v>0</v>
      </c>
      <c r="O1905">
        <v>8.3945719999999995E-3</v>
      </c>
      <c r="P1905">
        <v>0.99700149999999998</v>
      </c>
      <c r="Q1905">
        <v>2.7755249999999999E-2</v>
      </c>
      <c r="R1905">
        <v>7.223707E-2</v>
      </c>
      <c r="S1905">
        <v>3.0699160000000001</v>
      </c>
      <c r="T1905">
        <v>-0.14829220000000001</v>
      </c>
      <c r="U1905">
        <v>-0.79254150000000001</v>
      </c>
      <c r="V1905">
        <v>-6.3775689999999996E-2</v>
      </c>
      <c r="W1905">
        <v>4.2197869999999998E-2</v>
      </c>
      <c r="X1905">
        <v>0.99707170000000001</v>
      </c>
      <c r="Y1905">
        <v>0.2577972</v>
      </c>
      <c r="Z1905">
        <v>-6.5214969999999898E-3</v>
      </c>
      <c r="AA1905">
        <v>0.96617699999999995</v>
      </c>
      <c r="AB1905">
        <v>21</v>
      </c>
      <c r="AC1905">
        <v>22.765699999999999</v>
      </c>
      <c r="AD1905">
        <v>-1.10398318074999</v>
      </c>
      <c r="AE1905">
        <v>-5.90070000000002</v>
      </c>
      <c r="AF1905">
        <v>6.0782262573091304</v>
      </c>
      <c r="AG1905">
        <v>-1.10398318074999</v>
      </c>
      <c r="AH1905">
        <v>22.6654141406833</v>
      </c>
      <c r="AI1905">
        <v>92.693524471442899</v>
      </c>
      <c r="AJ1905">
        <v>74.988097393559499</v>
      </c>
      <c r="AK1905">
        <v>23.492224489543499</v>
      </c>
      <c r="AL1905">
        <v>87.581522002494395</v>
      </c>
      <c r="AM1905">
        <v>93.659823865540005</v>
      </c>
      <c r="AN1905">
        <v>0.999999986904201</v>
      </c>
    </row>
    <row r="1906" spans="1:40" x14ac:dyDescent="0.3">
      <c r="A1906" t="str">
        <f>"20200111145947395"</f>
        <v>20200111145947395</v>
      </c>
      <c r="B1906" t="str">
        <f>"1578725987387317"</f>
        <v>1578725987387317</v>
      </c>
      <c r="C1906" t="s">
        <v>40</v>
      </c>
      <c r="D1906">
        <v>4.2744589999999896</v>
      </c>
      <c r="E1906">
        <v>0.60042629999999997</v>
      </c>
      <c r="F1906" t="s">
        <v>44</v>
      </c>
      <c r="G1906">
        <v>-158.19499999999999</v>
      </c>
      <c r="H1906">
        <v>1.2081329999999999</v>
      </c>
      <c r="I1906">
        <v>355.46120000000002</v>
      </c>
      <c r="J1906">
        <v>-222.916</v>
      </c>
      <c r="K1906">
        <v>1.103907</v>
      </c>
      <c r="L1906">
        <v>367.87400000000002</v>
      </c>
      <c r="M1906">
        <v>0.99986830000000004</v>
      </c>
      <c r="N1906">
        <v>0</v>
      </c>
      <c r="O1906">
        <v>7.5798439999999996E-3</v>
      </c>
      <c r="P1906">
        <v>0.99691850000000004</v>
      </c>
      <c r="Q1906">
        <v>2.9855610000000001E-2</v>
      </c>
      <c r="R1906">
        <v>7.2541809999999998E-2</v>
      </c>
      <c r="S1906">
        <v>3.0512389999999998</v>
      </c>
      <c r="T1906">
        <v>4.9061779999999998E-3</v>
      </c>
      <c r="U1906">
        <v>-0.58422850000000004</v>
      </c>
      <c r="V1906">
        <v>-6.488033E-2</v>
      </c>
      <c r="W1906">
        <v>4.4314949999999999E-2</v>
      </c>
      <c r="X1906">
        <v>0.99690860000000003</v>
      </c>
      <c r="Y1906">
        <v>0.19549610000000001</v>
      </c>
      <c r="Z1906">
        <v>1.678386E-4</v>
      </c>
      <c r="AA1906">
        <v>0.98070449999999998</v>
      </c>
      <c r="AB1906">
        <v>20</v>
      </c>
      <c r="AC1906">
        <v>64.721000000000004</v>
      </c>
      <c r="AD1906">
        <v>0.104225999999999</v>
      </c>
      <c r="AE1906">
        <v>-12.412800000000001</v>
      </c>
      <c r="AF1906">
        <v>12.9030366667997</v>
      </c>
      <c r="AG1906">
        <v>0.104225999999999</v>
      </c>
      <c r="AH1906">
        <v>64.624881923130701</v>
      </c>
      <c r="AI1906">
        <v>89.909382883111306</v>
      </c>
      <c r="AJ1906">
        <v>78.7087721467542</v>
      </c>
      <c r="AK1906">
        <v>65.900489997134599</v>
      </c>
      <c r="AL1906">
        <v>87.460108656492196</v>
      </c>
      <c r="AM1906">
        <v>93.723645221968894</v>
      </c>
      <c r="AN1906">
        <v>1.0000000143841801</v>
      </c>
    </row>
    <row r="1907" spans="1:40" x14ac:dyDescent="0.3">
      <c r="A1907" t="str">
        <f>"20200111145947406"</f>
        <v>20200111145947406</v>
      </c>
      <c r="B1907" t="str">
        <f>"1578725987398053"</f>
        <v>1578725987398053</v>
      </c>
      <c r="C1907" t="s">
        <v>40</v>
      </c>
      <c r="D1907">
        <v>4.2140630000000003</v>
      </c>
      <c r="E1907">
        <v>0.60041269999999902</v>
      </c>
      <c r="F1907" t="s">
        <v>44</v>
      </c>
      <c r="G1907">
        <v>-158.19499999999999</v>
      </c>
      <c r="H1907">
        <v>1.29495</v>
      </c>
      <c r="I1907">
        <v>355.48349999999999</v>
      </c>
      <c r="J1907">
        <v>-222.809</v>
      </c>
      <c r="K1907">
        <v>1.103828</v>
      </c>
      <c r="L1907">
        <v>367.87389999999999</v>
      </c>
      <c r="M1907">
        <v>0.99987459999999995</v>
      </c>
      <c r="N1907">
        <v>0</v>
      </c>
      <c r="O1907">
        <v>6.7005420000000003E-3</v>
      </c>
      <c r="P1907">
        <v>0.99683109999999997</v>
      </c>
      <c r="Q1907">
        <v>3.2070319999999999E-2</v>
      </c>
      <c r="R1907">
        <v>7.2797520000000004E-2</v>
      </c>
      <c r="S1907">
        <v>3.0515140000000001</v>
      </c>
      <c r="T1907">
        <v>9.0115070000000002E-3</v>
      </c>
      <c r="U1907">
        <v>-0.584198</v>
      </c>
      <c r="V1907">
        <v>-6.5997810000000004E-2</v>
      </c>
      <c r="W1907">
        <v>4.6547579999999998E-2</v>
      </c>
      <c r="X1907">
        <v>0.99673350000000005</v>
      </c>
      <c r="Y1907">
        <v>0.19460720000000001</v>
      </c>
      <c r="Z1907">
        <v>3.0437800000000001E-4</v>
      </c>
      <c r="AA1907">
        <v>0.98088120000000001</v>
      </c>
      <c r="AB1907">
        <v>20</v>
      </c>
      <c r="AC1907">
        <v>64.614000000000004</v>
      </c>
      <c r="AD1907">
        <v>0.19112199999999999</v>
      </c>
      <c r="AE1907">
        <v>-12.3904</v>
      </c>
      <c r="AF1907">
        <v>12.8230069771893</v>
      </c>
      <c r="AG1907">
        <v>0.19112199999999999</v>
      </c>
      <c r="AH1907">
        <v>64.528973693294802</v>
      </c>
      <c r="AI1907">
        <v>89.833556247947698</v>
      </c>
      <c r="AJ1907">
        <v>78.760765605697998</v>
      </c>
      <c r="AK1907">
        <v>65.790990883751405</v>
      </c>
      <c r="AL1907">
        <v>87.3320561761074</v>
      </c>
      <c r="AM1907">
        <v>93.788258541857104</v>
      </c>
      <c r="AN1907">
        <v>1.00000002907545</v>
      </c>
    </row>
    <row r="1908" spans="1:40" x14ac:dyDescent="0.3">
      <c r="A1908" t="str">
        <f>"20200111145947419"</f>
        <v>20200111145947419</v>
      </c>
      <c r="B1908" t="str">
        <f>"1578725987417572"</f>
        <v>1578725987417572</v>
      </c>
      <c r="C1908" t="s">
        <v>40</v>
      </c>
      <c r="D1908">
        <v>4.3630230000000001</v>
      </c>
      <c r="E1908">
        <v>0.60244189999999997</v>
      </c>
      <c r="F1908" t="s">
        <v>44</v>
      </c>
      <c r="G1908">
        <v>-158.19499999999999</v>
      </c>
      <c r="H1908">
        <v>1.51542</v>
      </c>
      <c r="I1908">
        <v>355.52569999999997</v>
      </c>
      <c r="J1908">
        <v>-222.69049999999999</v>
      </c>
      <c r="K1908">
        <v>1.1037319999999999</v>
      </c>
      <c r="L1908">
        <v>367.87360000000001</v>
      </c>
      <c r="M1908">
        <v>0.99988100000000002</v>
      </c>
      <c r="N1908">
        <v>0</v>
      </c>
      <c r="O1908">
        <v>5.6647349999999997E-3</v>
      </c>
      <c r="P1908">
        <v>0.99678180000000005</v>
      </c>
      <c r="Q1908">
        <v>3.4049339999999997E-2</v>
      </c>
      <c r="R1908">
        <v>7.2574559999999996E-2</v>
      </c>
      <c r="S1908">
        <v>3.0514830000000002</v>
      </c>
      <c r="T1908">
        <v>1.944208E-2</v>
      </c>
      <c r="U1908">
        <v>-0.58316040000000002</v>
      </c>
      <c r="V1908">
        <v>-6.6791799999999998E-2</v>
      </c>
      <c r="W1908">
        <v>4.8546600000000002E-2</v>
      </c>
      <c r="X1908">
        <v>0.99658519999999995</v>
      </c>
      <c r="Y1908">
        <v>0.19326789999999999</v>
      </c>
      <c r="Z1908">
        <v>6.4593829999999997E-4</v>
      </c>
      <c r="AA1908">
        <v>0.98114579999999996</v>
      </c>
      <c r="AB1908">
        <v>20</v>
      </c>
      <c r="AC1908">
        <v>64.495499999999893</v>
      </c>
      <c r="AD1908">
        <v>0.411688</v>
      </c>
      <c r="AE1908">
        <v>-12.347899999999999</v>
      </c>
      <c r="AF1908">
        <v>12.712589711064901</v>
      </c>
      <c r="AG1908">
        <v>0.411688</v>
      </c>
      <c r="AH1908">
        <v>64.421978108897406</v>
      </c>
      <c r="AI1908">
        <v>89.640783906296306</v>
      </c>
      <c r="AJ1908">
        <v>78.837066795163693</v>
      </c>
      <c r="AK1908">
        <v>65.665597443672695</v>
      </c>
      <c r="AL1908">
        <v>87.217390952603594</v>
      </c>
      <c r="AM1908">
        <v>93.834267061259595</v>
      </c>
      <c r="AN1908">
        <v>0.99999998888891894</v>
      </c>
    </row>
    <row r="1909" spans="1:40" x14ac:dyDescent="0.3">
      <c r="A1909" t="str">
        <f>"20200111145947431"</f>
        <v>20200111145947431</v>
      </c>
      <c r="B1909" t="str">
        <f>"1578725987427333"</f>
        <v>1578725987427333</v>
      </c>
      <c r="C1909" t="s">
        <v>40</v>
      </c>
      <c r="D1909">
        <v>4.5499929999999997</v>
      </c>
      <c r="E1909">
        <v>0.60281569999999995</v>
      </c>
      <c r="F1909" t="s">
        <v>44</v>
      </c>
      <c r="G1909">
        <v>-158.19499999999999</v>
      </c>
      <c r="H1909">
        <v>3.6912940000000001</v>
      </c>
      <c r="I1909">
        <v>355.24610000000001</v>
      </c>
      <c r="J1909">
        <v>-222.5865</v>
      </c>
      <c r="K1909">
        <v>1.1036509999999999</v>
      </c>
      <c r="L1909">
        <v>367.87310000000002</v>
      </c>
      <c r="M1909">
        <v>0.99988619999999995</v>
      </c>
      <c r="N1909">
        <v>0</v>
      </c>
      <c r="O1909">
        <v>4.6387059999999898E-3</v>
      </c>
      <c r="P1909">
        <v>0.99672890000000003</v>
      </c>
      <c r="Q1909">
        <v>3.5953209999999999E-2</v>
      </c>
      <c r="R1909">
        <v>7.2381940000000006E-2</v>
      </c>
      <c r="S1909">
        <v>3.0489649999999999</v>
      </c>
      <c r="T1909">
        <v>0.1223286</v>
      </c>
      <c r="U1909">
        <v>-0.59695430000000005</v>
      </c>
      <c r="V1909">
        <v>-6.7606490000000005E-2</v>
      </c>
      <c r="W1909">
        <v>5.0468279999999997E-2</v>
      </c>
      <c r="X1909">
        <v>0.99643479999999995</v>
      </c>
      <c r="Y1909">
        <v>0.19653590000000001</v>
      </c>
      <c r="Z1909">
        <v>4.0883680000000002E-3</v>
      </c>
      <c r="AA1909">
        <v>0.98048809999999997</v>
      </c>
      <c r="AB1909">
        <v>20</v>
      </c>
      <c r="AC1909">
        <v>64.391499999999994</v>
      </c>
      <c r="AD1909">
        <v>2.5876429999999999</v>
      </c>
      <c r="AE1909">
        <v>-12.627000000000001</v>
      </c>
      <c r="AF1909">
        <v>12.905518489508401</v>
      </c>
      <c r="AG1909">
        <v>2.5876429999999999</v>
      </c>
      <c r="AH1909">
        <v>64.232339014889604</v>
      </c>
      <c r="AI1909">
        <v>87.738201215296101</v>
      </c>
      <c r="AJ1909">
        <v>78.639428700958405</v>
      </c>
      <c r="AK1909">
        <v>65.567077707506499</v>
      </c>
      <c r="AL1909">
        <v>87.107151625773696</v>
      </c>
      <c r="AM1909">
        <v>93.881477288204294</v>
      </c>
      <c r="AN1909">
        <v>0.99999999771365899</v>
      </c>
    </row>
    <row r="1910" spans="1:40" x14ac:dyDescent="0.3">
      <c r="A1910" t="str">
        <f>"20200111145947442"</f>
        <v>20200111145947442</v>
      </c>
      <c r="B1910" t="str">
        <f>"1578725987438069"</f>
        <v>1578725987438069</v>
      </c>
      <c r="C1910" t="s">
        <v>40</v>
      </c>
      <c r="D1910">
        <v>4.2629979999999996</v>
      </c>
      <c r="E1910">
        <v>0.60323709999999997</v>
      </c>
      <c r="F1910" t="s">
        <v>44</v>
      </c>
      <c r="G1910">
        <v>-158.19499999999999</v>
      </c>
      <c r="H1910">
        <v>3.828036</v>
      </c>
      <c r="I1910">
        <v>355.18799999999999</v>
      </c>
      <c r="J1910">
        <v>-222.47640000000001</v>
      </c>
      <c r="K1910">
        <v>1.1035680000000001</v>
      </c>
      <c r="L1910">
        <v>367.87240000000003</v>
      </c>
      <c r="M1910">
        <v>0.99989079999999997</v>
      </c>
      <c r="N1910">
        <v>0</v>
      </c>
      <c r="O1910">
        <v>3.5157809999999999E-3</v>
      </c>
      <c r="P1910">
        <v>0.99669549999999996</v>
      </c>
      <c r="Q1910">
        <v>3.7706749999999997E-2</v>
      </c>
      <c r="R1910">
        <v>7.1949159999999998E-2</v>
      </c>
      <c r="S1910">
        <v>3.048813</v>
      </c>
      <c r="T1910">
        <v>0.12899849999999999</v>
      </c>
      <c r="U1910">
        <v>-0.6006165</v>
      </c>
      <c r="V1910">
        <v>-6.8276359999999994E-2</v>
      </c>
      <c r="W1910">
        <v>5.2241200000000002E-2</v>
      </c>
      <c r="X1910">
        <v>0.99629769999999895</v>
      </c>
      <c r="Y1910">
        <v>0.1965615</v>
      </c>
      <c r="Z1910">
        <v>4.2642970000000002E-3</v>
      </c>
      <c r="AA1910">
        <v>0.98048219999999997</v>
      </c>
      <c r="AB1910">
        <v>20</v>
      </c>
      <c r="AC1910">
        <v>64.281400000000005</v>
      </c>
      <c r="AD1910">
        <v>2.7244679999999999</v>
      </c>
      <c r="AE1910">
        <v>-12.684399999999901</v>
      </c>
      <c r="AF1910">
        <v>12.8880603161503</v>
      </c>
      <c r="AG1910">
        <v>2.7244679999999999</v>
      </c>
      <c r="AH1910">
        <v>64.125527309223799</v>
      </c>
      <c r="AI1910">
        <v>87.614806788196006</v>
      </c>
      <c r="AJ1910">
        <v>78.635991414802803</v>
      </c>
      <c r="AK1910">
        <v>65.464555885469494</v>
      </c>
      <c r="AL1910">
        <v>87.005436437068994</v>
      </c>
      <c r="AM1910">
        <v>93.920354810595597</v>
      </c>
      <c r="AN1910">
        <v>0.99999995566878797</v>
      </c>
    </row>
    <row r="1911" spans="1:40" x14ac:dyDescent="0.3">
      <c r="A1911" t="str">
        <f>"20200111145947453"</f>
        <v>20200111145947453</v>
      </c>
      <c r="B1911" t="str">
        <f>"1578725987447829"</f>
        <v>1578725987447829</v>
      </c>
      <c r="C1911" t="s">
        <v>40</v>
      </c>
      <c r="D1911">
        <v>4.5046330000000001</v>
      </c>
      <c r="E1911">
        <v>0.60151730000000003</v>
      </c>
      <c r="F1911" t="s">
        <v>44</v>
      </c>
      <c r="G1911">
        <v>-158.19499999999999</v>
      </c>
      <c r="H1911">
        <v>4.0911489999999997</v>
      </c>
      <c r="I1911">
        <v>355.11599999999999</v>
      </c>
      <c r="J1911">
        <v>-222.37440000000001</v>
      </c>
      <c r="K1911">
        <v>1.10349599999999</v>
      </c>
      <c r="L1911">
        <v>367.87150000000003</v>
      </c>
      <c r="M1911">
        <v>0.99989399999999995</v>
      </c>
      <c r="N1911">
        <v>0</v>
      </c>
      <c r="O1911">
        <v>2.3800190000000001E-3</v>
      </c>
      <c r="P1911">
        <v>0.99665649999999995</v>
      </c>
      <c r="Q1911">
        <v>3.9151060000000001E-2</v>
      </c>
      <c r="R1911">
        <v>7.1716169999999996E-2</v>
      </c>
      <c r="S1911">
        <v>3.048279</v>
      </c>
      <c r="T1911">
        <v>0.14167769999999999</v>
      </c>
      <c r="U1911">
        <v>-0.6049194</v>
      </c>
      <c r="V1911">
        <v>-6.9160299999999994E-2</v>
      </c>
      <c r="W1911">
        <v>5.3703519999999998E-2</v>
      </c>
      <c r="X1911">
        <v>0.99615900000000002</v>
      </c>
      <c r="Y1911">
        <v>0.1967778</v>
      </c>
      <c r="Z1911">
        <v>4.6358959999999996E-3</v>
      </c>
      <c r="AA1911">
        <v>0.98043720000000001</v>
      </c>
      <c r="AB1911">
        <v>20</v>
      </c>
      <c r="AC1911">
        <v>64.179400000000001</v>
      </c>
      <c r="AD1911">
        <v>2.9876529999999999</v>
      </c>
      <c r="AE1911">
        <v>-12.7555</v>
      </c>
      <c r="AF1911">
        <v>12.8813739741679</v>
      </c>
      <c r="AG1911">
        <v>2.9876529999999999</v>
      </c>
      <c r="AH1911">
        <v>64.015403600307806</v>
      </c>
      <c r="AI1911">
        <v>87.380331010746502</v>
      </c>
      <c r="AJ1911">
        <v>78.622703689149404</v>
      </c>
      <c r="AK1911">
        <v>65.366870538684097</v>
      </c>
      <c r="AL1911">
        <v>86.921533948484196</v>
      </c>
      <c r="AM1911">
        <v>93.971499475121604</v>
      </c>
      <c r="AN1911">
        <v>0.99999998421874003</v>
      </c>
    </row>
    <row r="1912" spans="1:40" x14ac:dyDescent="0.3">
      <c r="A1912" t="str">
        <f>"20200111145947466"</f>
        <v>20200111145947466</v>
      </c>
      <c r="B1912" t="str">
        <f>"1578725987457589"</f>
        <v>1578725987457589</v>
      </c>
      <c r="C1912" t="s">
        <v>40</v>
      </c>
      <c r="D1912">
        <v>4.4647300000000003</v>
      </c>
      <c r="E1912">
        <v>0.60247469999999903</v>
      </c>
      <c r="F1912" t="s">
        <v>44</v>
      </c>
      <c r="G1912">
        <v>-158.19499999999999</v>
      </c>
      <c r="H1912">
        <v>4.373456</v>
      </c>
      <c r="I1912">
        <v>355.40660000000003</v>
      </c>
      <c r="J1912">
        <v>-222.2706</v>
      </c>
      <c r="K1912">
        <v>1.1034299999999999</v>
      </c>
      <c r="L1912">
        <v>367.87049999999999</v>
      </c>
      <c r="M1912">
        <v>0.99989600000000001</v>
      </c>
      <c r="N1912">
        <v>0</v>
      </c>
      <c r="O1912">
        <v>1.173063E-3</v>
      </c>
      <c r="P1912">
        <v>0.99661279999999997</v>
      </c>
      <c r="Q1912">
        <v>4.1000679999999998E-2</v>
      </c>
      <c r="R1912">
        <v>7.1287279999999995E-2</v>
      </c>
      <c r="S1912">
        <v>3.0465550000000001</v>
      </c>
      <c r="T1912">
        <v>0.155226799999999</v>
      </c>
      <c r="U1912">
        <v>-0.59170529999999999</v>
      </c>
      <c r="V1912">
        <v>-6.9918359999999999E-2</v>
      </c>
      <c r="W1912">
        <v>5.5570399999999999E-2</v>
      </c>
      <c r="X1912">
        <v>0.99600370000000005</v>
      </c>
      <c r="Y1912">
        <v>0.19156899999999999</v>
      </c>
      <c r="Z1912">
        <v>4.8913359999999996E-3</v>
      </c>
      <c r="AA1912">
        <v>0.98146690000000003</v>
      </c>
      <c r="AB1912">
        <v>20</v>
      </c>
      <c r="AC1912">
        <v>64.075599999999994</v>
      </c>
      <c r="AD1912">
        <v>3.2700259999999899</v>
      </c>
      <c r="AE1912">
        <v>-12.463899999999899</v>
      </c>
      <c r="AF1912">
        <v>12.5076758567265</v>
      </c>
      <c r="AG1912">
        <v>3.2700259999999899</v>
      </c>
      <c r="AH1912">
        <v>63.900574782226897</v>
      </c>
      <c r="AI1912">
        <v>87.124984052236002</v>
      </c>
      <c r="AJ1912">
        <v>78.925143233841496</v>
      </c>
      <c r="AK1912">
        <v>65.195233590168101</v>
      </c>
      <c r="AL1912">
        <v>86.814409650170404</v>
      </c>
      <c r="AM1912">
        <v>94.015513108475602</v>
      </c>
      <c r="AN1912">
        <v>1.0000000084174601</v>
      </c>
    </row>
    <row r="1913" spans="1:40" x14ac:dyDescent="0.3">
      <c r="A1913" t="str">
        <f>"20200111145947477"</f>
        <v>20200111145947477</v>
      </c>
      <c r="B1913" t="str">
        <f>"1578725987467349"</f>
        <v>1578725987467349</v>
      </c>
      <c r="C1913" t="s">
        <v>40</v>
      </c>
      <c r="D1913">
        <v>4.5698280000000002</v>
      </c>
      <c r="E1913">
        <v>0.60315669999999899</v>
      </c>
      <c r="F1913" t="s">
        <v>44</v>
      </c>
      <c r="G1913">
        <v>-158.19499999999999</v>
      </c>
      <c r="H1913">
        <v>4.4980039999999999</v>
      </c>
      <c r="I1913">
        <v>355.23989999999998</v>
      </c>
      <c r="J1913">
        <v>-222.16390000000001</v>
      </c>
      <c r="K1913">
        <v>1.1033710000000001</v>
      </c>
      <c r="L1913">
        <v>367.86919999999998</v>
      </c>
      <c r="M1913">
        <v>0.99989680000000003</v>
      </c>
      <c r="N1913">
        <v>0</v>
      </c>
      <c r="O1913">
        <v>-1.275456E-4</v>
      </c>
      <c r="P1913">
        <v>0.99654949999999998</v>
      </c>
      <c r="Q1913">
        <v>4.306927E-2</v>
      </c>
      <c r="R1913">
        <v>7.095224E-2</v>
      </c>
      <c r="S1913">
        <v>3.0465089999999999</v>
      </c>
      <c r="T1913">
        <v>0.16140079999999901</v>
      </c>
      <c r="U1913">
        <v>-0.60052490000000003</v>
      </c>
      <c r="V1913">
        <v>-7.0862170000000002E-2</v>
      </c>
      <c r="W1913">
        <v>5.7655119999999997E-2</v>
      </c>
      <c r="X1913">
        <v>0.99581850000000005</v>
      </c>
      <c r="Y1913">
        <v>0.19301209999999999</v>
      </c>
      <c r="Z1913">
        <v>5.0539269999999997E-3</v>
      </c>
      <c r="AA1913">
        <v>0.98118340000000004</v>
      </c>
      <c r="AB1913">
        <v>20</v>
      </c>
      <c r="AC1913">
        <v>63.968899999999998</v>
      </c>
      <c r="AD1913">
        <v>3.3946329999999998</v>
      </c>
      <c r="AE1913">
        <v>-12.629300000000001</v>
      </c>
      <c r="AF1913">
        <v>12.5870235980261</v>
      </c>
      <c r="AG1913">
        <v>3.3946329999999998</v>
      </c>
      <c r="AH1913">
        <v>63.797590241688397</v>
      </c>
      <c r="AI1913">
        <v>87.011695299526593</v>
      </c>
      <c r="AJ1913">
        <v>78.839101416557398</v>
      </c>
      <c r="AK1913">
        <v>65.115967449684206</v>
      </c>
      <c r="AL1913">
        <v>86.694772144991205</v>
      </c>
      <c r="AM1913">
        <v>94.070290878621194</v>
      </c>
      <c r="AN1913">
        <v>1.0000000224707799</v>
      </c>
    </row>
    <row r="1914" spans="1:40" x14ac:dyDescent="0.3">
      <c r="A1914" t="str">
        <f>"20200111145947487"</f>
        <v>20200111145947487</v>
      </c>
      <c r="B1914" t="str">
        <f>"1578725987477110"</f>
        <v>1578725987477110</v>
      </c>
      <c r="C1914" t="s">
        <v>40</v>
      </c>
      <c r="D1914">
        <v>4.4537079999999998</v>
      </c>
      <c r="E1914">
        <v>0.60361909999999996</v>
      </c>
      <c r="F1914" t="s">
        <v>44</v>
      </c>
      <c r="G1914">
        <v>-158.19499999999999</v>
      </c>
      <c r="H1914">
        <v>4.5353450000000004</v>
      </c>
      <c r="I1914">
        <v>355.12029999999999</v>
      </c>
      <c r="J1914">
        <v>-222.06829999999999</v>
      </c>
      <c r="K1914">
        <v>1.103334</v>
      </c>
      <c r="L1914">
        <v>367.86779999999999</v>
      </c>
      <c r="M1914">
        <v>0.99989589999999995</v>
      </c>
      <c r="N1914">
        <v>0</v>
      </c>
      <c r="O1914">
        <v>-1.3566610000000001E-3</v>
      </c>
      <c r="P1914">
        <v>0.99649719999999997</v>
      </c>
      <c r="Q1914">
        <v>4.5180190000000002E-2</v>
      </c>
      <c r="R1914">
        <v>7.0373950000000005E-2</v>
      </c>
      <c r="S1914">
        <v>3.0465849999999999</v>
      </c>
      <c r="T1914">
        <v>0.163455399999999</v>
      </c>
      <c r="U1914">
        <v>-0.60717769999999904</v>
      </c>
      <c r="V1914">
        <v>-7.1493310000000004E-2</v>
      </c>
      <c r="W1914">
        <v>5.9778619999999998E-2</v>
      </c>
      <c r="X1914">
        <v>0.99564810000000004</v>
      </c>
      <c r="Y1914">
        <v>0.1938568</v>
      </c>
      <c r="Z1914">
        <v>5.0741359999999999E-3</v>
      </c>
      <c r="AA1914">
        <v>0.98101669999999996</v>
      </c>
      <c r="AB1914">
        <v>20</v>
      </c>
      <c r="AC1914">
        <v>63.8733</v>
      </c>
      <c r="AD1914">
        <v>3.4320110000000001</v>
      </c>
      <c r="AE1914">
        <v>-12.7475</v>
      </c>
      <c r="AF1914">
        <v>12.6257695754983</v>
      </c>
      <c r="AG1914">
        <v>3.4320110000000001</v>
      </c>
      <c r="AH1914">
        <v>63.713636697071202</v>
      </c>
      <c r="AI1914">
        <v>86.975377235004103</v>
      </c>
      <c r="AJ1914">
        <v>78.791234519333202</v>
      </c>
      <c r="AK1914">
        <v>65.043187637477303</v>
      </c>
      <c r="AL1914">
        <v>86.572894036419598</v>
      </c>
      <c r="AM1914">
        <v>94.107120188920206</v>
      </c>
      <c r="AN1914">
        <v>0.99999995790873397</v>
      </c>
    </row>
    <row r="1915" spans="1:40" x14ac:dyDescent="0.3">
      <c r="A1915" t="str">
        <f>"20200111145947500"</f>
        <v>20200111145947500</v>
      </c>
      <c r="B1915" t="str">
        <f>"1578725987497605"</f>
        <v>1578725987497605</v>
      </c>
      <c r="C1915" t="s">
        <v>40</v>
      </c>
      <c r="D1915">
        <v>4.4379679999999997</v>
      </c>
      <c r="E1915">
        <v>0.60436389999999995</v>
      </c>
      <c r="F1915" t="s">
        <v>44</v>
      </c>
      <c r="G1915">
        <v>-158.19499999999999</v>
      </c>
      <c r="H1915">
        <v>4.703417</v>
      </c>
      <c r="I1915">
        <v>355.02499999999998</v>
      </c>
      <c r="J1915">
        <v>-221.9556</v>
      </c>
      <c r="K1915">
        <v>1.1032879999999901</v>
      </c>
      <c r="L1915">
        <v>367.86599999999999</v>
      </c>
      <c r="M1915">
        <v>0.99989280000000003</v>
      </c>
      <c r="N1915">
        <v>0</v>
      </c>
      <c r="O1915">
        <v>-2.8333579999999998E-3</v>
      </c>
      <c r="P1915">
        <v>0.9964963</v>
      </c>
      <c r="Q1915">
        <v>4.6955410000000003E-2</v>
      </c>
      <c r="R1915">
        <v>6.921542E-2</v>
      </c>
      <c r="S1915">
        <v>3.046036</v>
      </c>
      <c r="T1915">
        <v>0.17168749999999999</v>
      </c>
      <c r="U1915">
        <v>-0.61245729999999998</v>
      </c>
      <c r="V1915">
        <v>-7.1790279999999998E-2</v>
      </c>
      <c r="W1915">
        <v>6.1566320000000001E-2</v>
      </c>
      <c r="X1915">
        <v>0.99551780000000001</v>
      </c>
      <c r="Y1915">
        <v>0.19405140000000001</v>
      </c>
      <c r="Z1915">
        <v>5.2524269999999996E-3</v>
      </c>
      <c r="AA1915">
        <v>0.98097730000000005</v>
      </c>
      <c r="AB1915">
        <v>20</v>
      </c>
      <c r="AC1915">
        <v>63.760599999999997</v>
      </c>
      <c r="AD1915">
        <v>3.6001289999999999</v>
      </c>
      <c r="AE1915">
        <v>-12.840999999999999</v>
      </c>
      <c r="AF1915">
        <v>12.621602774744501</v>
      </c>
      <c r="AG1915">
        <v>3.6001289999999999</v>
      </c>
      <c r="AH1915">
        <v>63.6018657312611</v>
      </c>
      <c r="AI1915">
        <v>86.822118179971994</v>
      </c>
      <c r="AJ1915">
        <v>78.775648164114102</v>
      </c>
      <c r="AK1915">
        <v>64.941998043773296</v>
      </c>
      <c r="AL1915">
        <v>86.470277359007198</v>
      </c>
      <c r="AM1915">
        <v>94.124659592499498</v>
      </c>
      <c r="AN1915">
        <v>0.99999997308883004</v>
      </c>
    </row>
    <row r="1916" spans="1:40" x14ac:dyDescent="0.3">
      <c r="A1916" t="str">
        <f>"20200111145947512"</f>
        <v>20200111145947512</v>
      </c>
      <c r="B1916" t="str">
        <f>"1578725987507365"</f>
        <v>1578725987507365</v>
      </c>
      <c r="C1916" t="s">
        <v>40</v>
      </c>
      <c r="D1916">
        <v>4.4757509999999998</v>
      </c>
      <c r="E1916">
        <v>0.62480219999999997</v>
      </c>
      <c r="F1916" t="s">
        <v>44</v>
      </c>
      <c r="G1916">
        <v>-166.8801</v>
      </c>
      <c r="H1916">
        <v>4.2421259999999998</v>
      </c>
      <c r="I1916">
        <v>356.61509999999998</v>
      </c>
      <c r="J1916">
        <v>-221.85319999999999</v>
      </c>
      <c r="K1916">
        <v>1.103262</v>
      </c>
      <c r="L1916">
        <v>367.86410000000001</v>
      </c>
      <c r="M1916">
        <v>0.99988759999999999</v>
      </c>
      <c r="N1916">
        <v>0</v>
      </c>
      <c r="O1916">
        <v>-4.2538130000000004E-3</v>
      </c>
      <c r="P1916">
        <v>0.99652030000000003</v>
      </c>
      <c r="Q1916">
        <v>4.897282E-2</v>
      </c>
      <c r="R1916">
        <v>6.7447069999999998E-2</v>
      </c>
      <c r="S1916">
        <v>3.0455930000000002</v>
      </c>
      <c r="T1916">
        <v>0.1735777</v>
      </c>
      <c r="U1916">
        <v>-0.62216190000000005</v>
      </c>
      <c r="V1916">
        <v>-7.1423269999999997E-2</v>
      </c>
      <c r="W1916">
        <v>6.3590350000000004E-2</v>
      </c>
      <c r="X1916">
        <v>0.995417</v>
      </c>
      <c r="Y1916">
        <v>0.19568099999999999</v>
      </c>
      <c r="Z1916">
        <v>5.2751269999999897E-3</v>
      </c>
      <c r="AA1916">
        <v>0.98065340000000001</v>
      </c>
      <c r="AB1916">
        <v>20</v>
      </c>
      <c r="AC1916">
        <v>54.973099999999903</v>
      </c>
      <c r="AD1916">
        <v>3.1388639999999999</v>
      </c>
      <c r="AE1916">
        <v>-11.249000000000001</v>
      </c>
      <c r="AF1916">
        <v>10.9806682987419</v>
      </c>
      <c r="AG1916">
        <v>3.1388639999999999</v>
      </c>
      <c r="AH1916">
        <v>54.848826968624699</v>
      </c>
      <c r="AI1916">
        <v>86.788268026942703</v>
      </c>
      <c r="AJ1916">
        <v>78.679116682514902</v>
      </c>
      <c r="AK1916">
        <v>56.025185080744102</v>
      </c>
      <c r="AL1916">
        <v>86.354081355910793</v>
      </c>
      <c r="AM1916">
        <v>94.104059646917307</v>
      </c>
      <c r="AN1916">
        <v>1.0000000099998001</v>
      </c>
    </row>
    <row r="1917" spans="1:40" x14ac:dyDescent="0.3">
      <c r="A1917" t="str">
        <f>"20200111145947523"</f>
        <v>20200111145947523</v>
      </c>
      <c r="B1917" t="str">
        <f>"1578725987518101"</f>
        <v>1578725987518101</v>
      </c>
      <c r="C1917" t="s">
        <v>40</v>
      </c>
      <c r="D1917">
        <v>4.6482599999999996</v>
      </c>
      <c r="E1917">
        <v>0.62554929999999997</v>
      </c>
      <c r="F1917" t="s">
        <v>45</v>
      </c>
      <c r="G1917">
        <v>-189.90989999999999</v>
      </c>
      <c r="H1917" s="1">
        <v>-5.2506719999999996E-6</v>
      </c>
      <c r="I1917">
        <v>359.51049999999998</v>
      </c>
      <c r="J1917">
        <v>-221.745</v>
      </c>
      <c r="K1917">
        <v>1.1032329999999999</v>
      </c>
      <c r="L1917">
        <v>367.86200000000002</v>
      </c>
      <c r="M1917">
        <v>0.99987990000000004</v>
      </c>
      <c r="N1917">
        <v>0</v>
      </c>
      <c r="O1917">
        <v>-5.7713840000000001E-3</v>
      </c>
      <c r="P1917">
        <v>0.9965714</v>
      </c>
      <c r="Q1917">
        <v>5.051398E-2</v>
      </c>
      <c r="R1917">
        <v>6.5527450000000001E-2</v>
      </c>
      <c r="S1917">
        <v>3.0700379999999998</v>
      </c>
      <c r="T1917">
        <v>-0.1060339</v>
      </c>
      <c r="U1917">
        <v>-0.80285640000000003</v>
      </c>
      <c r="V1917">
        <v>-7.100368E-2</v>
      </c>
      <c r="W1917">
        <v>6.5137329999999993E-2</v>
      </c>
      <c r="X1917">
        <v>0.99534699999999998</v>
      </c>
      <c r="Y1917">
        <v>0.247282</v>
      </c>
      <c r="Z1917">
        <v>-4.0025800000000004E-3</v>
      </c>
      <c r="AA1917">
        <v>0.96893530000000005</v>
      </c>
      <c r="AB1917">
        <v>20</v>
      </c>
      <c r="AC1917">
        <v>31.835100000000001</v>
      </c>
      <c r="AD1917">
        <v>-1.103238250672</v>
      </c>
      <c r="AE1917">
        <v>-8.3514999999999802</v>
      </c>
      <c r="AF1917">
        <v>8.15844225402682</v>
      </c>
      <c r="AG1917">
        <v>-1.103238250672</v>
      </c>
      <c r="AH1917">
        <v>31.8469903074656</v>
      </c>
      <c r="AI1917">
        <v>91.922021058309994</v>
      </c>
      <c r="AJ1917">
        <v>75.631187079868397</v>
      </c>
      <c r="AK1917">
        <v>32.893891625860299</v>
      </c>
      <c r="AL1917">
        <v>86.265261801503897</v>
      </c>
      <c r="AM1917">
        <v>94.080317174857498</v>
      </c>
      <c r="AN1917">
        <v>1.0000000223710299</v>
      </c>
    </row>
    <row r="1918" spans="1:40" x14ac:dyDescent="0.3">
      <c r="A1918" t="str">
        <f>"20200111145947534"</f>
        <v>20200111145947534</v>
      </c>
      <c r="B1918" t="str">
        <f>"1578725987527861"</f>
        <v>1578725987527861</v>
      </c>
      <c r="C1918" t="s">
        <v>40</v>
      </c>
      <c r="D1918">
        <v>4.1947530000000004</v>
      </c>
      <c r="E1918">
        <v>0.62554929999999997</v>
      </c>
      <c r="F1918" t="s">
        <v>45</v>
      </c>
      <c r="G1918">
        <v>-179.75069999999999</v>
      </c>
      <c r="H1918">
        <v>7.9987890000000006E-2</v>
      </c>
      <c r="I1918">
        <v>356.72410000000002</v>
      </c>
      <c r="J1918">
        <v>-221.63900000000001</v>
      </c>
      <c r="K1918">
        <v>1.103216</v>
      </c>
      <c r="L1918">
        <v>367.85969999999998</v>
      </c>
      <c r="M1918">
        <v>0.99986989999999998</v>
      </c>
      <c r="N1918">
        <v>0</v>
      </c>
      <c r="O1918">
        <v>-7.3034900000000002E-3</v>
      </c>
      <c r="P1918">
        <v>0.99663380000000001</v>
      </c>
      <c r="Q1918">
        <v>5.176103E-2</v>
      </c>
      <c r="R1918">
        <v>6.3576179999999996E-2</v>
      </c>
      <c r="S1918">
        <v>3.067612</v>
      </c>
      <c r="T1918">
        <v>-7.474625E-2</v>
      </c>
      <c r="U1918">
        <v>-0.81359859999999995</v>
      </c>
      <c r="V1918">
        <v>-7.0570220000000003E-2</v>
      </c>
      <c r="W1918">
        <v>6.6388210000000003E-2</v>
      </c>
      <c r="X1918">
        <v>0.99529520000000005</v>
      </c>
      <c r="Y1918">
        <v>0.2492249</v>
      </c>
      <c r="Z1918">
        <v>-2.8094370000000001E-3</v>
      </c>
      <c r="AA1918">
        <v>0.96844149999999996</v>
      </c>
      <c r="AB1918">
        <v>20</v>
      </c>
      <c r="AC1918">
        <v>41.888300000000001</v>
      </c>
      <c r="AD1918">
        <v>-1.02322811</v>
      </c>
      <c r="AE1918">
        <v>-11.135599999999901</v>
      </c>
      <c r="AF1918">
        <v>10.8233084890638</v>
      </c>
      <c r="AG1918">
        <v>-1.02322811</v>
      </c>
      <c r="AH1918">
        <v>41.945142928597498</v>
      </c>
      <c r="AI1918">
        <v>91.353117604760598</v>
      </c>
      <c r="AJ1918">
        <v>75.531299748799995</v>
      </c>
      <c r="AK1918">
        <v>43.331120660733099</v>
      </c>
      <c r="AL1918">
        <v>86.193436249467894</v>
      </c>
      <c r="AM1918">
        <v>94.055701573874103</v>
      </c>
      <c r="AN1918">
        <v>1.0000000427604401</v>
      </c>
    </row>
    <row r="1919" spans="1:40" x14ac:dyDescent="0.3">
      <c r="A1919" t="str">
        <f>"20200111145947546"</f>
        <v>20200111145947546</v>
      </c>
      <c r="B1919" t="str">
        <f>"1578725987537620"</f>
        <v>1578725987537620</v>
      </c>
      <c r="C1919" t="s">
        <v>40</v>
      </c>
      <c r="D1919">
        <v>4.5490349999999999</v>
      </c>
      <c r="E1919">
        <v>0.60271909999999995</v>
      </c>
      <c r="F1919" t="s">
        <v>45</v>
      </c>
      <c r="G1919">
        <v>-177.55709999999999</v>
      </c>
      <c r="H1919">
        <v>7.9987989999999995E-2</v>
      </c>
      <c r="I1919">
        <v>356.08170000000001</v>
      </c>
      <c r="J1919">
        <v>-221.53909999999999</v>
      </c>
      <c r="K1919">
        <v>1.103205</v>
      </c>
      <c r="L1919">
        <v>367.85730000000001</v>
      </c>
      <c r="M1919">
        <v>0.99985809999999997</v>
      </c>
      <c r="N1919">
        <v>0</v>
      </c>
      <c r="O1919">
        <v>-8.7680750000000002E-3</v>
      </c>
      <c r="P1919">
        <v>0.99669379999999996</v>
      </c>
      <c r="Q1919">
        <v>5.2695069999999997E-2</v>
      </c>
      <c r="R1919">
        <v>6.1843269999999999E-2</v>
      </c>
      <c r="S1919">
        <v>3.0661010000000002</v>
      </c>
      <c r="T1919">
        <v>-7.1170330000000004E-2</v>
      </c>
      <c r="U1919">
        <v>-0.81921390000000005</v>
      </c>
      <c r="V1919">
        <v>-7.0290069999999996E-2</v>
      </c>
      <c r="W1919">
        <v>6.7324999999999996E-2</v>
      </c>
      <c r="X1919">
        <v>0.99525209999999997</v>
      </c>
      <c r="Y1919">
        <v>0.24958720000000001</v>
      </c>
      <c r="Z1919">
        <v>-2.6464629999999999E-3</v>
      </c>
      <c r="AA1919">
        <v>0.96834869999999995</v>
      </c>
      <c r="AB1919">
        <v>20</v>
      </c>
      <c r="AC1919">
        <v>43.981999999999999</v>
      </c>
      <c r="AD1919">
        <v>-1.02321701</v>
      </c>
      <c r="AE1919">
        <v>-11.775599999999899</v>
      </c>
      <c r="AF1919">
        <v>11.383720725998</v>
      </c>
      <c r="AG1919">
        <v>-1.02321701</v>
      </c>
      <c r="AH1919">
        <v>44.061316604156602</v>
      </c>
      <c r="AI1919">
        <v>91.288037028629404</v>
      </c>
      <c r="AJ1919">
        <v>75.513786645651194</v>
      </c>
      <c r="AK1919">
        <v>45.519618753992198</v>
      </c>
      <c r="AL1919">
        <v>86.139641789175599</v>
      </c>
      <c r="AM1919">
        <v>94.039828999798203</v>
      </c>
      <c r="AN1919">
        <v>1.00000004606</v>
      </c>
    </row>
    <row r="1920" spans="1:40" x14ac:dyDescent="0.3">
      <c r="A1920" t="str">
        <f>"20200111145947557"</f>
        <v>20200111145947557</v>
      </c>
      <c r="B1920" t="str">
        <f>"1578725987547382"</f>
        <v>1578725987547382</v>
      </c>
      <c r="C1920" t="s">
        <v>40</v>
      </c>
      <c r="D1920">
        <v>4.5149359999999996</v>
      </c>
      <c r="E1920">
        <v>0.60271909999999995</v>
      </c>
      <c r="F1920" t="s">
        <v>44</v>
      </c>
      <c r="G1920">
        <v>-167.643</v>
      </c>
      <c r="H1920">
        <v>3.1830500000000002</v>
      </c>
      <c r="I1920">
        <v>356.61509999999998</v>
      </c>
      <c r="J1920">
        <v>-221.43690000000001</v>
      </c>
      <c r="K1920">
        <v>1.1031930000000001</v>
      </c>
      <c r="L1920">
        <v>367.85480000000001</v>
      </c>
      <c r="M1920">
        <v>0.9998437</v>
      </c>
      <c r="N1920">
        <v>0</v>
      </c>
      <c r="O1920">
        <v>-1.0285600000000001E-2</v>
      </c>
      <c r="P1920">
        <v>0.99676659999999995</v>
      </c>
      <c r="Q1920">
        <v>5.2919809999999998E-2</v>
      </c>
      <c r="R1920">
        <v>6.0466010000000001E-2</v>
      </c>
      <c r="S1920">
        <v>3.0431210000000002</v>
      </c>
      <c r="T1920">
        <v>0.1174384</v>
      </c>
      <c r="U1920">
        <v>-0.63476560000000004</v>
      </c>
      <c r="V1920">
        <v>-7.0422310000000002E-2</v>
      </c>
      <c r="W1920">
        <v>6.7552890000000004E-2</v>
      </c>
      <c r="X1920">
        <v>0.99522730000000004</v>
      </c>
      <c r="Y1920">
        <v>0.19398370000000001</v>
      </c>
      <c r="Z1920">
        <v>3.309368E-3</v>
      </c>
      <c r="AA1920">
        <v>0.98099919999999996</v>
      </c>
      <c r="AB1920">
        <v>20</v>
      </c>
      <c r="AC1920">
        <v>53.793900000000001</v>
      </c>
      <c r="AD1920">
        <v>2.0798570000000001</v>
      </c>
      <c r="AE1920">
        <v>-11.239699999999999</v>
      </c>
      <c r="AF1920">
        <v>10.670461925508</v>
      </c>
      <c r="AG1920">
        <v>2.0798570000000001</v>
      </c>
      <c r="AH1920">
        <v>53.829571035265801</v>
      </c>
      <c r="AI1920">
        <v>87.829507975978899</v>
      </c>
      <c r="AJ1920">
        <v>78.787791785612896</v>
      </c>
      <c r="AK1920">
        <v>54.916366237078101</v>
      </c>
      <c r="AL1920">
        <v>86.126554824503302</v>
      </c>
      <c r="AM1920">
        <v>94.047504605696005</v>
      </c>
      <c r="AN1920">
        <v>1.0000000366791799</v>
      </c>
    </row>
    <row r="1921" spans="1:40" x14ac:dyDescent="0.3">
      <c r="A1921" t="str">
        <f>"20200111145947568"</f>
        <v>20200111145947568</v>
      </c>
      <c r="B1921" t="str">
        <f>"1578725987557140"</f>
        <v>1578725987557140</v>
      </c>
      <c r="C1921" t="s">
        <v>40</v>
      </c>
      <c r="D1921">
        <v>4.5706309999999997</v>
      </c>
      <c r="E1921">
        <v>0.62513039999999997</v>
      </c>
      <c r="F1921" t="s">
        <v>44</v>
      </c>
      <c r="G1921">
        <v>-167.93729999999999</v>
      </c>
      <c r="H1921">
        <v>3.1966019999999999</v>
      </c>
      <c r="I1921">
        <v>356.61509999999998</v>
      </c>
      <c r="J1921">
        <v>-221.33680000000001</v>
      </c>
      <c r="K1921">
        <v>1.1031850000000001</v>
      </c>
      <c r="L1921">
        <v>367.85210000000001</v>
      </c>
      <c r="M1921">
        <v>0.99982709999999997</v>
      </c>
      <c r="N1921">
        <v>0</v>
      </c>
      <c r="O1921">
        <v>-1.178769E-2</v>
      </c>
      <c r="P1921">
        <v>0.99685800000000002</v>
      </c>
      <c r="Q1921">
        <v>5.266726E-2</v>
      </c>
      <c r="R1921">
        <v>5.9166049999999998E-2</v>
      </c>
      <c r="S1921">
        <v>3.0421749999999999</v>
      </c>
      <c r="T1921">
        <v>0.1190435</v>
      </c>
      <c r="U1921">
        <v>-0.63912959999999996</v>
      </c>
      <c r="V1921">
        <v>-7.0620459999999996E-2</v>
      </c>
      <c r="W1921">
        <v>6.7303109999999999E-2</v>
      </c>
      <c r="X1921">
        <v>0.99523010000000001</v>
      </c>
      <c r="Y1921">
        <v>0.19391659999999999</v>
      </c>
      <c r="Z1921">
        <v>3.2957070000000002E-3</v>
      </c>
      <c r="AA1921">
        <v>0.98101249999999995</v>
      </c>
      <c r="AB1921">
        <v>20</v>
      </c>
      <c r="AC1921">
        <v>53.399500000000003</v>
      </c>
      <c r="AD1921">
        <v>2.0934170000000001</v>
      </c>
      <c r="AE1921">
        <v>-11.237</v>
      </c>
      <c r="AF1921">
        <v>10.591110328885801</v>
      </c>
      <c r="AG1921">
        <v>2.0934170000000001</v>
      </c>
      <c r="AH1921">
        <v>53.449599367964403</v>
      </c>
      <c r="AI1921">
        <v>87.799823861799993</v>
      </c>
      <c r="AJ1921">
        <v>78.791949582434896</v>
      </c>
      <c r="AK1921">
        <v>54.529016911461198</v>
      </c>
      <c r="AL1921">
        <v>86.140898492865901</v>
      </c>
      <c r="AM1921">
        <v>94.058843836019193</v>
      </c>
      <c r="AN1921">
        <v>0.99999995496614502</v>
      </c>
    </row>
    <row r="1922" spans="1:40" x14ac:dyDescent="0.3">
      <c r="A1922" t="str">
        <f>"20200111145947579"</f>
        <v>20200111145947579</v>
      </c>
      <c r="B1922" t="str">
        <f>"1578725987577636"</f>
        <v>1578725987577636</v>
      </c>
      <c r="C1922" t="s">
        <v>40</v>
      </c>
      <c r="D1922">
        <v>4.526599</v>
      </c>
      <c r="E1922">
        <v>0.62473669999999903</v>
      </c>
      <c r="F1922" t="s">
        <v>45</v>
      </c>
      <c r="G1922">
        <v>-192.2868</v>
      </c>
      <c r="H1922" s="1">
        <v>-7.5960319999999998E-6</v>
      </c>
      <c r="I1922">
        <v>359.9615</v>
      </c>
      <c r="J1922">
        <v>-221.2337</v>
      </c>
      <c r="K1922">
        <v>1.1031789999999999</v>
      </c>
      <c r="L1922">
        <v>367.8492</v>
      </c>
      <c r="M1922">
        <v>0.99980769999999997</v>
      </c>
      <c r="N1922">
        <v>0</v>
      </c>
      <c r="O1922">
        <v>-1.3339790000000001E-2</v>
      </c>
      <c r="P1922">
        <v>0.9969652</v>
      </c>
      <c r="Q1922">
        <v>5.1831780000000001E-2</v>
      </c>
      <c r="R1922">
        <v>5.8089380000000003E-2</v>
      </c>
      <c r="S1922">
        <v>3.0650179999999998</v>
      </c>
      <c r="T1922">
        <v>-0.11639620000000001</v>
      </c>
      <c r="U1922">
        <v>-0.83251949999999997</v>
      </c>
      <c r="V1922">
        <v>-7.109472E-2</v>
      </c>
      <c r="W1922">
        <v>6.6471000000000002E-2</v>
      </c>
      <c r="X1922">
        <v>0.99525229999999998</v>
      </c>
      <c r="Y1922">
        <v>0.2490665</v>
      </c>
      <c r="Z1922">
        <v>-4.1462770000000003E-3</v>
      </c>
      <c r="AA1922">
        <v>0.96847749999999999</v>
      </c>
      <c r="AB1922">
        <v>20</v>
      </c>
      <c r="AC1922">
        <v>28.946899999999999</v>
      </c>
      <c r="AD1922">
        <v>-1.103186596032</v>
      </c>
      <c r="AE1922">
        <v>-7.8876999999999899</v>
      </c>
      <c r="AF1922">
        <v>7.4906848706674598</v>
      </c>
      <c r="AG1922">
        <v>-1.103186596032</v>
      </c>
      <c r="AH1922">
        <v>29.0103319047318</v>
      </c>
      <c r="AI1922">
        <v>92.108664584381401</v>
      </c>
      <c r="AJ1922">
        <v>75.5220260662702</v>
      </c>
      <c r="AK1922">
        <v>29.9821069593185</v>
      </c>
      <c r="AL1922">
        <v>86.188682055778202</v>
      </c>
      <c r="AM1922">
        <v>94.085918628973502</v>
      </c>
      <c r="AN1922">
        <v>0.99999999685408403</v>
      </c>
    </row>
    <row r="1923" spans="1:40" x14ac:dyDescent="0.3">
      <c r="A1923" t="str">
        <f>"20200111145947592"</f>
        <v>20200111145947592</v>
      </c>
      <c r="B1923" t="str">
        <f>"1578725987587396"</f>
        <v>1578725987587396</v>
      </c>
      <c r="C1923" t="s">
        <v>40</v>
      </c>
      <c r="D1923">
        <v>4.4812799999999999</v>
      </c>
      <c r="E1923">
        <v>0.62432270000000001</v>
      </c>
      <c r="F1923" t="s">
        <v>45</v>
      </c>
      <c r="G1923">
        <v>-194.3262</v>
      </c>
      <c r="H1923" s="1">
        <v>-8.2223219999999994E-6</v>
      </c>
      <c r="I1923">
        <v>360.53489999999999</v>
      </c>
      <c r="J1923">
        <v>-221.13030000000001</v>
      </c>
      <c r="K1923">
        <v>1.103178</v>
      </c>
      <c r="L1923">
        <v>367.84589999999997</v>
      </c>
      <c r="M1923">
        <v>0.99978540000000005</v>
      </c>
      <c r="N1923">
        <v>0</v>
      </c>
      <c r="O1923">
        <v>-1.490552E-2</v>
      </c>
      <c r="P1923">
        <v>0.99710940000000003</v>
      </c>
      <c r="Q1923">
        <v>5.0529089999999999E-2</v>
      </c>
      <c r="R1923">
        <v>5.674452E-2</v>
      </c>
      <c r="S1923">
        <v>3.064209</v>
      </c>
      <c r="T1923">
        <v>-0.12563009999999999</v>
      </c>
      <c r="U1923">
        <v>-0.83294679999999999</v>
      </c>
      <c r="V1923">
        <v>-7.1318690000000004E-2</v>
      </c>
      <c r="W1923">
        <v>6.5168719999999999E-2</v>
      </c>
      <c r="X1923">
        <v>0.99532240000000005</v>
      </c>
      <c r="Y1923">
        <v>0.24771609999999999</v>
      </c>
      <c r="Z1923">
        <v>-4.3858689999999997E-3</v>
      </c>
      <c r="AA1923">
        <v>0.96882270000000004</v>
      </c>
      <c r="AB1923">
        <v>20</v>
      </c>
      <c r="AC1923">
        <v>26.804099999999998</v>
      </c>
      <c r="AD1923">
        <v>-1.1031862223219999</v>
      </c>
      <c r="AE1923">
        <v>-7.3109999999999697</v>
      </c>
      <c r="AF1923">
        <v>6.89973886708521</v>
      </c>
      <c r="AG1923">
        <v>-1.1031862223219999</v>
      </c>
      <c r="AH1923">
        <v>26.867746574636602</v>
      </c>
      <c r="AI1923">
        <v>92.277421243993203</v>
      </c>
      <c r="AJ1923">
        <v>75.597451145016095</v>
      </c>
      <c r="AK1923">
        <v>27.761470102895899</v>
      </c>
      <c r="AL1923">
        <v>86.263459369267196</v>
      </c>
      <c r="AM1923">
        <v>94.098459026123294</v>
      </c>
      <c r="AN1923">
        <v>0.99999999877575696</v>
      </c>
    </row>
    <row r="1924" spans="1:40" x14ac:dyDescent="0.3">
      <c r="A1924" t="str">
        <f>"20200111145947604"</f>
        <v>20200111145947604</v>
      </c>
      <c r="B1924" t="str">
        <f>"1578725987597156"</f>
        <v>1578725987597156</v>
      </c>
      <c r="C1924" t="s">
        <v>40</v>
      </c>
      <c r="D1924">
        <v>4.5281349999999998</v>
      </c>
      <c r="E1924">
        <v>0.62449709999999903</v>
      </c>
      <c r="F1924" t="s">
        <v>45</v>
      </c>
      <c r="G1924">
        <v>-196.6037</v>
      </c>
      <c r="H1924" s="1">
        <v>-8.9231939999999998E-6</v>
      </c>
      <c r="I1924">
        <v>361.16590000000002</v>
      </c>
      <c r="J1924">
        <v>-221.01509999999999</v>
      </c>
      <c r="K1924">
        <v>1.103183</v>
      </c>
      <c r="L1924">
        <v>367.84230000000002</v>
      </c>
      <c r="M1924">
        <v>0.99975789999999998</v>
      </c>
      <c r="N1924">
        <v>0</v>
      </c>
      <c r="O1924">
        <v>-1.664759E-2</v>
      </c>
      <c r="P1924">
        <v>0.99727639999999995</v>
      </c>
      <c r="Q1924">
        <v>4.9007839999999997E-2</v>
      </c>
      <c r="R1924">
        <v>5.512069E-2</v>
      </c>
      <c r="S1924">
        <v>3.0631710000000001</v>
      </c>
      <c r="T1924">
        <v>-0.13777919999999999</v>
      </c>
      <c r="U1924">
        <v>-0.83428959999999996</v>
      </c>
      <c r="V1924">
        <v>-7.1441519999999994E-2</v>
      </c>
      <c r="W1924">
        <v>6.3646960000000002E-2</v>
      </c>
      <c r="X1924">
        <v>0.99541210000000002</v>
      </c>
      <c r="Y1924">
        <v>0.2464722</v>
      </c>
      <c r="Z1924">
        <v>-4.7066180000000001E-3</v>
      </c>
      <c r="AA1924">
        <v>0.96913839999999996</v>
      </c>
      <c r="AB1924">
        <v>20</v>
      </c>
      <c r="AC1924">
        <v>24.411399999999901</v>
      </c>
      <c r="AD1924">
        <v>-1.1031919231939999</v>
      </c>
      <c r="AE1924">
        <v>-6.6764000000000001</v>
      </c>
      <c r="AF1924">
        <v>6.2571519763852503</v>
      </c>
      <c r="AG1924">
        <v>-1.1031919231939999</v>
      </c>
      <c r="AH1924">
        <v>24.472671929012101</v>
      </c>
      <c r="AI1924">
        <v>92.500724329221697</v>
      </c>
      <c r="AJ1924">
        <v>75.657917422024397</v>
      </c>
      <c r="AK1924">
        <v>25.283999972710699</v>
      </c>
      <c r="AL1924">
        <v>86.350831358796299</v>
      </c>
      <c r="AM1924">
        <v>94.105124865969998</v>
      </c>
      <c r="AN1924">
        <v>1.0000000375617799</v>
      </c>
    </row>
    <row r="1925" spans="1:40" x14ac:dyDescent="0.3">
      <c r="A1925" t="str">
        <f>"20200111145947616"</f>
        <v>20200111145947616</v>
      </c>
      <c r="B1925" t="str">
        <f>"1578725987607892"</f>
        <v>1578725987607892</v>
      </c>
      <c r="C1925" t="s">
        <v>40</v>
      </c>
      <c r="D1925">
        <v>4.560816</v>
      </c>
      <c r="E1925">
        <v>0.62477539999999998</v>
      </c>
      <c r="F1925" t="s">
        <v>45</v>
      </c>
      <c r="G1925">
        <v>-198.2182</v>
      </c>
      <c r="H1925" s="1">
        <v>-9.4272759999999997E-6</v>
      </c>
      <c r="I1925">
        <v>361.5829</v>
      </c>
      <c r="J1925">
        <v>-220.90530000000001</v>
      </c>
      <c r="K1925">
        <v>1.1031879999999901</v>
      </c>
      <c r="L1925">
        <v>367.83859999999999</v>
      </c>
      <c r="M1925">
        <v>0.99972890000000003</v>
      </c>
      <c r="N1925">
        <v>0</v>
      </c>
      <c r="O1925">
        <v>-1.8305499999999999E-2</v>
      </c>
      <c r="P1925">
        <v>0.9974307</v>
      </c>
      <c r="Q1925">
        <v>4.7191959999999998E-2</v>
      </c>
      <c r="R1925">
        <v>5.3897390000000003E-2</v>
      </c>
      <c r="S1925">
        <v>3.0619510000000001</v>
      </c>
      <c r="T1925">
        <v>-0.14817429999999901</v>
      </c>
      <c r="U1925">
        <v>-0.84072880000000005</v>
      </c>
      <c r="V1925">
        <v>-7.1883089999999997E-2</v>
      </c>
      <c r="W1925">
        <v>6.1830929999999999E-2</v>
      </c>
      <c r="X1925">
        <v>0.99549469999999995</v>
      </c>
      <c r="Y1925">
        <v>0.24682680000000001</v>
      </c>
      <c r="Z1925">
        <v>-4.9916980000000001E-3</v>
      </c>
      <c r="AA1925">
        <v>0.96904679999999999</v>
      </c>
      <c r="AB1925">
        <v>20</v>
      </c>
      <c r="AC1925">
        <v>22.687100000000001</v>
      </c>
      <c r="AD1925">
        <v>-1.1031974272759999</v>
      </c>
      <c r="AE1925">
        <v>-6.2556999999999903</v>
      </c>
      <c r="AF1925">
        <v>5.8265062842858502</v>
      </c>
      <c r="AG1925">
        <v>-1.1031974272759999</v>
      </c>
      <c r="AH1925">
        <v>22.747835591886499</v>
      </c>
      <c r="AI1925">
        <v>92.689790630102493</v>
      </c>
      <c r="AJ1925">
        <v>75.633429518910503</v>
      </c>
      <c r="AK1925">
        <v>23.5080676398522</v>
      </c>
      <c r="AL1925">
        <v>86.455087372271706</v>
      </c>
      <c r="AM1925">
        <v>94.130068988391002</v>
      </c>
      <c r="AN1925">
        <v>0.99999997013035102</v>
      </c>
    </row>
    <row r="1926" spans="1:40" x14ac:dyDescent="0.3">
      <c r="A1926" t="str">
        <f>"20200111145947631"</f>
        <v>20200111145947631</v>
      </c>
      <c r="B1926" t="str">
        <f>"1578725987627442"</f>
        <v>1578725987627442</v>
      </c>
      <c r="C1926" t="s">
        <v>40</v>
      </c>
      <c r="D1926">
        <v>4.5513029999999999</v>
      </c>
      <c r="E1926">
        <v>0.62457929999999995</v>
      </c>
      <c r="F1926" t="s">
        <v>45</v>
      </c>
      <c r="G1926">
        <v>-198.41050000000001</v>
      </c>
      <c r="H1926" s="1">
        <v>-9.4931730000000003E-6</v>
      </c>
      <c r="I1926">
        <v>361.61099999999999</v>
      </c>
      <c r="J1926">
        <v>-220.7774</v>
      </c>
      <c r="K1926">
        <v>1.103208</v>
      </c>
      <c r="L1926">
        <v>367.834</v>
      </c>
      <c r="M1926">
        <v>0.99969200000000003</v>
      </c>
      <c r="N1926">
        <v>0</v>
      </c>
      <c r="O1926">
        <v>-2.0226790000000001E-2</v>
      </c>
      <c r="P1926">
        <v>0.99755640000000001</v>
      </c>
      <c r="Q1926">
        <v>4.6696229999999998E-2</v>
      </c>
      <c r="R1926">
        <v>5.197127E-2</v>
      </c>
      <c r="S1926">
        <v>3.0606230000000001</v>
      </c>
      <c r="T1926">
        <v>-0.15009990000000001</v>
      </c>
      <c r="U1926">
        <v>-0.84732059999999998</v>
      </c>
      <c r="V1926">
        <v>-7.1880100000000002E-2</v>
      </c>
      <c r="W1926">
        <v>6.1330259999999998E-2</v>
      </c>
      <c r="X1926">
        <v>0.99552589999999996</v>
      </c>
      <c r="Y1926">
        <v>0.2470069</v>
      </c>
      <c r="Z1926">
        <v>-4.9692149999999999E-3</v>
      </c>
      <c r="AA1926">
        <v>0.969001</v>
      </c>
      <c r="AB1926">
        <v>20</v>
      </c>
      <c r="AC1926">
        <v>22.366899999999902</v>
      </c>
      <c r="AD1926">
        <v>-1.1032174931730001</v>
      </c>
      <c r="AE1926">
        <v>-6.2230000000000096</v>
      </c>
      <c r="AF1926">
        <v>5.7562713961015799</v>
      </c>
      <c r="AG1926">
        <v>-1.1032174931730001</v>
      </c>
      <c r="AH1926">
        <v>22.437542790570902</v>
      </c>
      <c r="AI1926">
        <v>92.726712234324197</v>
      </c>
      <c r="AJ1926">
        <v>75.611285046327893</v>
      </c>
      <c r="AK1926">
        <v>23.1904091318269</v>
      </c>
      <c r="AL1926">
        <v>86.483828245483807</v>
      </c>
      <c r="AM1926">
        <v>94.129768807214703</v>
      </c>
      <c r="AN1926">
        <v>0.99999998356924302</v>
      </c>
    </row>
    <row r="1927" spans="1:40" x14ac:dyDescent="0.3">
      <c r="A1927" t="str">
        <f>"20200111145947642"</f>
        <v>20200111145947642</v>
      </c>
      <c r="B1927" t="str">
        <f>"1578725987637201"</f>
        <v>1578725987637201</v>
      </c>
      <c r="C1927" t="s">
        <v>40</v>
      </c>
      <c r="D1927">
        <v>4.5660230000000004</v>
      </c>
      <c r="E1927">
        <v>0.62437609999999999</v>
      </c>
      <c r="F1927" t="s">
        <v>45</v>
      </c>
      <c r="G1927">
        <v>-197.57660000000001</v>
      </c>
      <c r="H1927" s="1">
        <v>-9.2323490000000004E-6</v>
      </c>
      <c r="I1927">
        <v>361.37299999999999</v>
      </c>
      <c r="J1927">
        <v>-220.67779999999999</v>
      </c>
      <c r="K1927">
        <v>1.1032249999999999</v>
      </c>
      <c r="L1927">
        <v>367.8304</v>
      </c>
      <c r="M1927">
        <v>0.99966069999999996</v>
      </c>
      <c r="N1927">
        <v>0</v>
      </c>
      <c r="O1927">
        <v>-2.17165E-2</v>
      </c>
      <c r="P1927">
        <v>0.9976199</v>
      </c>
      <c r="Q1927">
        <v>4.6807479999999999E-2</v>
      </c>
      <c r="R1927">
        <v>5.063053E-2</v>
      </c>
      <c r="S1927">
        <v>3.0585170000000002</v>
      </c>
      <c r="T1927">
        <v>-0.14543519999999999</v>
      </c>
      <c r="U1927">
        <v>-0.85174559999999999</v>
      </c>
      <c r="V1927">
        <v>-7.2028190000000006E-2</v>
      </c>
      <c r="W1927">
        <v>6.1436869999999998E-2</v>
      </c>
      <c r="X1927">
        <v>0.99550859999999997</v>
      </c>
      <c r="Y1927">
        <v>0.24705279999999999</v>
      </c>
      <c r="Z1927">
        <v>-4.748932E-3</v>
      </c>
      <c r="AA1927">
        <v>0.96899040000000003</v>
      </c>
      <c r="AB1927">
        <v>20</v>
      </c>
      <c r="AC1927">
        <v>23.101199999999899</v>
      </c>
      <c r="AD1927">
        <v>-1.1032342323490001</v>
      </c>
      <c r="AE1927">
        <v>-6.4573999999999501</v>
      </c>
      <c r="AF1927">
        <v>5.9415788830641301</v>
      </c>
      <c r="AG1927">
        <v>-1.1032342323490001</v>
      </c>
      <c r="AH1927">
        <v>23.186947781897601</v>
      </c>
      <c r="AI1927">
        <v>92.638941188710902</v>
      </c>
      <c r="AJ1927">
        <v>75.627398669661204</v>
      </c>
      <c r="AK1927">
        <v>23.961511488959701</v>
      </c>
      <c r="AL1927">
        <v>86.477708321930805</v>
      </c>
      <c r="AM1927">
        <v>94.138319243624295</v>
      </c>
      <c r="AN1927">
        <v>0.99999996091201504</v>
      </c>
    </row>
    <row r="1928" spans="1:40" x14ac:dyDescent="0.3">
      <c r="A1928" t="str">
        <f>"20200111145947652"</f>
        <v>20200111145947652</v>
      </c>
      <c r="B1928" t="str">
        <f>"1578725987647937"</f>
        <v>1578725987647937</v>
      </c>
      <c r="C1928" t="s">
        <v>40</v>
      </c>
      <c r="D1928">
        <v>4.5378699999999998</v>
      </c>
      <c r="E1928">
        <v>0.62469519999999901</v>
      </c>
      <c r="F1928" t="s">
        <v>45</v>
      </c>
      <c r="G1928">
        <v>-197.48419999999999</v>
      </c>
      <c r="H1928" s="1">
        <v>-9.2034999999999992E-6</v>
      </c>
      <c r="I1928">
        <v>361.34989999999999</v>
      </c>
      <c r="J1928">
        <v>-220.57839999999999</v>
      </c>
      <c r="K1928">
        <v>1.1032489999999999</v>
      </c>
      <c r="L1928">
        <v>367.82639999999998</v>
      </c>
      <c r="M1928">
        <v>0.99962759999999995</v>
      </c>
      <c r="N1928">
        <v>0</v>
      </c>
      <c r="O1928">
        <v>-2.31892E-2</v>
      </c>
      <c r="P1928">
        <v>0.99769459999999999</v>
      </c>
      <c r="Q1928">
        <v>4.6771819999999999E-2</v>
      </c>
      <c r="R1928">
        <v>4.9171119999999999E-2</v>
      </c>
      <c r="S1928">
        <v>3.0573429999999999</v>
      </c>
      <c r="T1928">
        <v>-0.14542620000000001</v>
      </c>
      <c r="U1928">
        <v>-0.85424800000000001</v>
      </c>
      <c r="V1928">
        <v>-7.2041679999999997E-2</v>
      </c>
      <c r="W1928">
        <v>6.1394990000000003E-2</v>
      </c>
      <c r="X1928">
        <v>0.99551020000000001</v>
      </c>
      <c r="Y1928">
        <v>0.2464595</v>
      </c>
      <c r="Z1928">
        <v>-4.6674580000000002E-3</v>
      </c>
      <c r="AA1928">
        <v>0.96914180000000005</v>
      </c>
      <c r="AB1928">
        <v>20</v>
      </c>
      <c r="AC1928">
        <v>23.094200000000001</v>
      </c>
      <c r="AD1928">
        <v>-1.1032582035</v>
      </c>
      <c r="AE1928">
        <v>-6.4764999999999802</v>
      </c>
      <c r="AF1928">
        <v>5.9266272183089503</v>
      </c>
      <c r="AG1928">
        <v>-1.1032582035</v>
      </c>
      <c r="AH1928">
        <v>23.1891259531853</v>
      </c>
      <c r="AI1928">
        <v>92.639174247303998</v>
      </c>
      <c r="AJ1928">
        <v>75.663364906959501</v>
      </c>
      <c r="AK1928">
        <v>23.9599175983784</v>
      </c>
      <c r="AL1928">
        <v>86.480112381011693</v>
      </c>
      <c r="AM1928">
        <v>94.139084977488906</v>
      </c>
      <c r="AN1928">
        <v>0.99999995337918002</v>
      </c>
    </row>
    <row r="1929" spans="1:40" x14ac:dyDescent="0.3">
      <c r="A1929" t="str">
        <f>"20200111145947663"</f>
        <v>20200111145947663</v>
      </c>
      <c r="B1929" t="str">
        <f>"1578725987657697"</f>
        <v>1578725987657697</v>
      </c>
      <c r="C1929" t="s">
        <v>40</v>
      </c>
      <c r="D1929">
        <v>4.3310000000000004</v>
      </c>
      <c r="E1929">
        <v>0.62469519999999901</v>
      </c>
      <c r="F1929" t="s">
        <v>45</v>
      </c>
      <c r="G1929">
        <v>-197.4504</v>
      </c>
      <c r="H1929" s="1">
        <v>-9.1985179999999993E-6</v>
      </c>
      <c r="I1929">
        <v>361.30579999999998</v>
      </c>
      <c r="J1929">
        <v>-220.48759999999999</v>
      </c>
      <c r="K1929">
        <v>1.1032690000000001</v>
      </c>
      <c r="L1929">
        <v>367.82279999999997</v>
      </c>
      <c r="M1929">
        <v>0.99959580000000003</v>
      </c>
      <c r="N1929">
        <v>0</v>
      </c>
      <c r="O1929">
        <v>-2.452758E-2</v>
      </c>
      <c r="P1929">
        <v>0.99778520000000004</v>
      </c>
      <c r="Q1929">
        <v>4.6843379999999997E-2</v>
      </c>
      <c r="R1929">
        <v>4.7229420000000001E-2</v>
      </c>
      <c r="S1929">
        <v>3.0562130000000001</v>
      </c>
      <c r="T1929">
        <v>-0.14578820000000001</v>
      </c>
      <c r="U1929">
        <v>-0.86166379999999998</v>
      </c>
      <c r="V1929">
        <v>-7.1439939999999993E-2</v>
      </c>
      <c r="W1929">
        <v>6.1459229999999997E-2</v>
      </c>
      <c r="X1929">
        <v>0.99554960000000003</v>
      </c>
      <c r="Y1929">
        <v>0.24743380000000001</v>
      </c>
      <c r="Z1929">
        <v>-4.6395339999999998E-3</v>
      </c>
      <c r="AA1929">
        <v>0.96889369999999997</v>
      </c>
      <c r="AB1929">
        <v>20</v>
      </c>
      <c r="AC1929">
        <v>23.037199999999899</v>
      </c>
      <c r="AD1929">
        <v>-1.103278198518</v>
      </c>
      <c r="AE1929">
        <v>-6.5169999999999897</v>
      </c>
      <c r="AF1929">
        <v>5.9373252226483304</v>
      </c>
      <c r="AG1929">
        <v>-1.103278198518</v>
      </c>
      <c r="AH1929">
        <v>23.140988079985298</v>
      </c>
      <c r="AI1929">
        <v>92.644073584569696</v>
      </c>
      <c r="AJ1929">
        <v>75.609920374263993</v>
      </c>
      <c r="AK1929">
        <v>23.915985927844201</v>
      </c>
      <c r="AL1929">
        <v>86.476424738370994</v>
      </c>
      <c r="AM1929">
        <v>94.104469359832393</v>
      </c>
      <c r="AN1929">
        <v>0.99999995401977704</v>
      </c>
    </row>
    <row r="1930" spans="1:40" x14ac:dyDescent="0.3">
      <c r="A1930" t="str">
        <f>"20200111145947674"</f>
        <v>20200111145947674</v>
      </c>
      <c r="B1930" t="str">
        <f>"1578725987667458"</f>
        <v>1578725987667458</v>
      </c>
      <c r="C1930" t="s">
        <v>40</v>
      </c>
      <c r="D1930">
        <v>4.5768870000000001</v>
      </c>
      <c r="E1930">
        <v>0.60290089999999996</v>
      </c>
      <c r="F1930" t="s">
        <v>45</v>
      </c>
      <c r="G1930">
        <v>-197.1919</v>
      </c>
      <c r="H1930" s="1">
        <v>-9.1232600000000001E-6</v>
      </c>
      <c r="I1930">
        <v>361.20679999999999</v>
      </c>
      <c r="J1930">
        <v>-220.386</v>
      </c>
      <c r="K1930">
        <v>1.1032959999999901</v>
      </c>
      <c r="L1930">
        <v>367.8186</v>
      </c>
      <c r="M1930">
        <v>0.99955830000000001</v>
      </c>
      <c r="N1930">
        <v>0</v>
      </c>
      <c r="O1930">
        <v>-2.6011389999999999E-2</v>
      </c>
      <c r="P1930">
        <v>0.99789419999999995</v>
      </c>
      <c r="Q1930">
        <v>4.6569270000000003E-2</v>
      </c>
      <c r="R1930">
        <v>4.515081E-2</v>
      </c>
      <c r="S1930">
        <v>3.0545200000000001</v>
      </c>
      <c r="T1930">
        <v>-0.14466109999999999</v>
      </c>
      <c r="U1930">
        <v>-0.86749270000000001</v>
      </c>
      <c r="V1930">
        <v>-7.0848720000000004E-2</v>
      </c>
      <c r="W1930">
        <v>6.1175569999999999E-2</v>
      </c>
      <c r="X1930">
        <v>0.99560930000000003</v>
      </c>
      <c r="Y1930">
        <v>0.2478523</v>
      </c>
      <c r="Z1930">
        <v>-4.5459609999999899E-3</v>
      </c>
      <c r="AA1930">
        <v>0.96878719999999996</v>
      </c>
      <c r="AB1930">
        <v>20</v>
      </c>
      <c r="AC1930">
        <v>23.194099999999899</v>
      </c>
      <c r="AD1930">
        <v>-1.10330512325999</v>
      </c>
      <c r="AE1930">
        <v>-6.6118000000000103</v>
      </c>
      <c r="AF1930">
        <v>5.9936464343175997</v>
      </c>
      <c r="AG1930">
        <v>-1.10330512325999</v>
      </c>
      <c r="AH1930">
        <v>23.3094708864441</v>
      </c>
      <c r="AI1930">
        <v>92.624698023883596</v>
      </c>
      <c r="AJ1930">
        <v>75.579728358893206</v>
      </c>
      <c r="AK1930">
        <v>24.0929971730502</v>
      </c>
      <c r="AL1930">
        <v>86.492707832473698</v>
      </c>
      <c r="AM1930">
        <v>94.0703731370198</v>
      </c>
      <c r="AN1930">
        <v>0.99999993486847405</v>
      </c>
    </row>
    <row r="1931" spans="1:40" x14ac:dyDescent="0.3">
      <c r="A1931" t="str">
        <f>"20200111145947686"</f>
        <v>20200111145947686</v>
      </c>
      <c r="B1931" t="str">
        <f>"1578725987677218"</f>
        <v>1578725987677218</v>
      </c>
      <c r="C1931" t="s">
        <v>40</v>
      </c>
      <c r="D1931">
        <v>4.5575809999999999</v>
      </c>
      <c r="E1931">
        <v>0.60290089999999996</v>
      </c>
      <c r="F1931" t="s">
        <v>44</v>
      </c>
      <c r="G1931">
        <v>-169.2955</v>
      </c>
      <c r="H1931">
        <v>2.5609280000000001</v>
      </c>
      <c r="I1931">
        <v>356.22649999999999</v>
      </c>
      <c r="J1931">
        <v>-220.28399999999999</v>
      </c>
      <c r="K1931">
        <v>1.1033139999999999</v>
      </c>
      <c r="L1931">
        <v>367.81420000000003</v>
      </c>
      <c r="M1931">
        <v>0.99951889999999999</v>
      </c>
      <c r="N1931">
        <v>0</v>
      </c>
      <c r="O1931">
        <v>-2.7487080000000001E-2</v>
      </c>
      <c r="P1931">
        <v>0.99801019999999896</v>
      </c>
      <c r="Q1931">
        <v>4.6077060000000003E-2</v>
      </c>
      <c r="R1931">
        <v>4.304533E-2</v>
      </c>
      <c r="S1931">
        <v>3.0334319999999999</v>
      </c>
      <c r="T1931">
        <v>8.6550240000000001E-2</v>
      </c>
      <c r="U1931">
        <v>-0.68826290000000001</v>
      </c>
      <c r="V1931">
        <v>-7.0224190000000006E-2</v>
      </c>
      <c r="W1931">
        <v>6.0674859999999997E-2</v>
      </c>
      <c r="X1931">
        <v>0.99568429999999997</v>
      </c>
      <c r="Y1931">
        <v>0.19431190000000001</v>
      </c>
      <c r="Z1931">
        <v>1.9630580000000002E-3</v>
      </c>
      <c r="AA1931">
        <v>0.98093779999999997</v>
      </c>
      <c r="AB1931">
        <v>20</v>
      </c>
      <c r="AC1931">
        <v>50.988500000000002</v>
      </c>
      <c r="AD1931">
        <v>1.457614</v>
      </c>
      <c r="AE1931">
        <v>-11.5877</v>
      </c>
      <c r="AF1931">
        <v>10.1737452288714</v>
      </c>
      <c r="AG1931">
        <v>1.457614</v>
      </c>
      <c r="AH1931">
        <v>51.247951201782101</v>
      </c>
      <c r="AI1931">
        <v>88.401978804776405</v>
      </c>
      <c r="AJ1931">
        <v>78.771624881369206</v>
      </c>
      <c r="AK1931">
        <v>52.268367421751599</v>
      </c>
      <c r="AL1931">
        <v>86.521450199708497</v>
      </c>
      <c r="AM1931">
        <v>94.034308995002107</v>
      </c>
      <c r="AN1931">
        <v>1.00000005038183</v>
      </c>
    </row>
    <row r="1932" spans="1:40" x14ac:dyDescent="0.3">
      <c r="A1932" t="str">
        <f>"20200111145947697"</f>
        <v>20200111145947697</v>
      </c>
      <c r="B1932" t="str">
        <f>"1578725987687954"</f>
        <v>1578725987687954</v>
      </c>
      <c r="C1932" t="s">
        <v>40</v>
      </c>
      <c r="D1932">
        <v>4.5486779999999998</v>
      </c>
      <c r="E1932">
        <v>0.62602219999999997</v>
      </c>
      <c r="F1932" t="s">
        <v>44</v>
      </c>
      <c r="G1932">
        <v>-169.2955</v>
      </c>
      <c r="H1932">
        <v>2.5423870000000002</v>
      </c>
      <c r="I1932">
        <v>356.12699999999899</v>
      </c>
      <c r="J1932">
        <v>-220.1789</v>
      </c>
      <c r="K1932">
        <v>1.10334</v>
      </c>
      <c r="L1932">
        <v>367.80959999999999</v>
      </c>
      <c r="M1932">
        <v>0.99947629999999998</v>
      </c>
      <c r="N1932">
        <v>0</v>
      </c>
      <c r="O1932">
        <v>-2.8994559999999999E-2</v>
      </c>
      <c r="P1932">
        <v>0.99810140000000003</v>
      </c>
      <c r="Q1932">
        <v>4.5870439999999998E-2</v>
      </c>
      <c r="R1932">
        <v>4.1103550000000003E-2</v>
      </c>
      <c r="S1932">
        <v>3.0320130000000001</v>
      </c>
      <c r="T1932">
        <v>8.5579039999999995E-2</v>
      </c>
      <c r="U1932">
        <v>-0.69497679999999995</v>
      </c>
      <c r="V1932">
        <v>-6.9794019999999998E-2</v>
      </c>
      <c r="W1932">
        <v>6.0458789999999998E-2</v>
      </c>
      <c r="X1932">
        <v>0.99572769999999999</v>
      </c>
      <c r="Y1932">
        <v>0.1949978</v>
      </c>
      <c r="Z1932">
        <v>1.909092E-3</v>
      </c>
      <c r="AA1932">
        <v>0.98080179999999995</v>
      </c>
      <c r="AB1932">
        <v>20</v>
      </c>
      <c r="AC1932">
        <v>50.883400000000002</v>
      </c>
      <c r="AD1932">
        <v>1.43904699999999</v>
      </c>
      <c r="AE1932">
        <v>-11.682600000000001</v>
      </c>
      <c r="AF1932">
        <v>10.1944476320833</v>
      </c>
      <c r="AG1932">
        <v>1.43904699999999</v>
      </c>
      <c r="AH1932">
        <v>51.161897723425703</v>
      </c>
      <c r="AI1932">
        <v>88.419894840988206</v>
      </c>
      <c r="AJ1932">
        <v>78.730919141999195</v>
      </c>
      <c r="AK1932">
        <v>52.187521472606598</v>
      </c>
      <c r="AL1932">
        <v>86.533852906384496</v>
      </c>
      <c r="AM1932">
        <v>94.009502820430697</v>
      </c>
      <c r="AN1932">
        <v>1.00000006153165</v>
      </c>
    </row>
    <row r="1933" spans="1:40" x14ac:dyDescent="0.3">
      <c r="A1933" t="str">
        <f>"20200111145947709"</f>
        <v>20200111145947709</v>
      </c>
      <c r="B1933" t="str">
        <f>"1578725987697714"</f>
        <v>1578725987697714</v>
      </c>
      <c r="C1933" t="s">
        <v>40</v>
      </c>
      <c r="D1933">
        <v>4.5351549999999996</v>
      </c>
      <c r="E1933">
        <v>0.62539919999999904</v>
      </c>
      <c r="F1933" t="s">
        <v>45</v>
      </c>
      <c r="G1933">
        <v>-199.66480000000001</v>
      </c>
      <c r="H1933" s="1">
        <v>-9.9271300000000006E-6</v>
      </c>
      <c r="I1933">
        <v>361.76479999999998</v>
      </c>
      <c r="J1933">
        <v>-220.07990000000001</v>
      </c>
      <c r="K1933">
        <v>1.103364</v>
      </c>
      <c r="L1933">
        <v>367.80509999999998</v>
      </c>
      <c r="M1933">
        <v>0.99943479999999996</v>
      </c>
      <c r="N1933">
        <v>0</v>
      </c>
      <c r="O1933">
        <v>-3.0394319999999999E-2</v>
      </c>
      <c r="P1933">
        <v>0.99819519999999995</v>
      </c>
      <c r="Q1933">
        <v>4.5589539999999998E-2</v>
      </c>
      <c r="R1933">
        <v>3.9094810000000001E-2</v>
      </c>
      <c r="S1933">
        <v>3.0502470000000002</v>
      </c>
      <c r="T1933">
        <v>-0.1640578</v>
      </c>
      <c r="U1933">
        <v>-0.89880369999999998</v>
      </c>
      <c r="V1933">
        <v>-6.9189849999999997E-2</v>
      </c>
      <c r="W1933">
        <v>6.0168930000000002E-2</v>
      </c>
      <c r="X1933">
        <v>0.99578739999999999</v>
      </c>
      <c r="Y1933">
        <v>0.25306620000000002</v>
      </c>
      <c r="Z1933">
        <v>-5.0615469999999996E-3</v>
      </c>
      <c r="AA1933">
        <v>0.96743570000000001</v>
      </c>
      <c r="AB1933">
        <v>20</v>
      </c>
      <c r="AC1933">
        <v>20.415099999999899</v>
      </c>
      <c r="AD1933">
        <v>-1.10337392713</v>
      </c>
      <c r="AE1933">
        <v>-6.0403000000000002</v>
      </c>
      <c r="AF1933">
        <v>5.40243101964841</v>
      </c>
      <c r="AG1933">
        <v>-1.10337392713</v>
      </c>
      <c r="AH1933">
        <v>20.5341222843327</v>
      </c>
      <c r="AI1933">
        <v>92.974715111201803</v>
      </c>
      <c r="AJ1933">
        <v>75.259791460898498</v>
      </c>
      <c r="AK1933">
        <v>21.2615585725285</v>
      </c>
      <c r="AL1933">
        <v>86.550490878449907</v>
      </c>
      <c r="AM1933">
        <v>93.974668869508605</v>
      </c>
      <c r="AN1933">
        <v>1.0000000407395599</v>
      </c>
    </row>
    <row r="1934" spans="1:40" x14ac:dyDescent="0.3">
      <c r="A1934" t="str">
        <f>"20200111145947723"</f>
        <v>20200111145947723</v>
      </c>
      <c r="B1934" t="str">
        <f>"1578725987717233"</f>
        <v>1578725987717233</v>
      </c>
      <c r="C1934" t="s">
        <v>40</v>
      </c>
      <c r="D1934">
        <v>4.5741310000000004</v>
      </c>
      <c r="E1934">
        <v>0.60435519999999998</v>
      </c>
      <c r="F1934" t="s">
        <v>45</v>
      </c>
      <c r="G1934">
        <v>-199.1182</v>
      </c>
      <c r="H1934" s="1">
        <v>-9.7499350000000004E-6</v>
      </c>
      <c r="I1934">
        <v>361.6148</v>
      </c>
      <c r="J1934">
        <v>-219.96539999999999</v>
      </c>
      <c r="K1934">
        <v>1.1033959999999901</v>
      </c>
      <c r="L1934">
        <v>367.7998</v>
      </c>
      <c r="M1934">
        <v>0.99938459999999996</v>
      </c>
      <c r="N1934">
        <v>0</v>
      </c>
      <c r="O1934">
        <v>-3.2002709999999997E-2</v>
      </c>
      <c r="P1934">
        <v>0.99826510000000002</v>
      </c>
      <c r="Q1934">
        <v>4.5681520000000003E-2</v>
      </c>
      <c r="R1934">
        <v>3.7154189999999997E-2</v>
      </c>
      <c r="S1934">
        <v>3.047974</v>
      </c>
      <c r="T1934">
        <v>-0.1604381</v>
      </c>
      <c r="U1934">
        <v>-0.90011600000000003</v>
      </c>
      <c r="V1934">
        <v>-6.8860420000000006E-2</v>
      </c>
      <c r="W1934">
        <v>6.0251260000000001E-2</v>
      </c>
      <c r="X1934">
        <v>0.99580519999999995</v>
      </c>
      <c r="Y1934">
        <v>0.25210399999999999</v>
      </c>
      <c r="Z1934">
        <v>-4.8458520000000003E-3</v>
      </c>
      <c r="AA1934">
        <v>0.96768799999999999</v>
      </c>
      <c r="AB1934">
        <v>20</v>
      </c>
      <c r="AC1934">
        <v>20.847199999999901</v>
      </c>
      <c r="AD1934">
        <v>-1.1034057499349901</v>
      </c>
      <c r="AE1934">
        <v>-6.1849999999999996</v>
      </c>
      <c r="AF1934">
        <v>5.5004332371835796</v>
      </c>
      <c r="AG1934">
        <v>-1.1034057499349901</v>
      </c>
      <c r="AH1934">
        <v>20.9804568761677</v>
      </c>
      <c r="AI1934">
        <v>92.912286725314203</v>
      </c>
      <c r="AJ1934">
        <v>75.3094198573136</v>
      </c>
      <c r="AK1934">
        <v>21.717546840710099</v>
      </c>
      <c r="AL1934">
        <v>86.545764947317906</v>
      </c>
      <c r="AM1934">
        <v>93.955734226348397</v>
      </c>
      <c r="AN1934">
        <v>0.99999998406060098</v>
      </c>
    </row>
    <row r="1935" spans="1:40" x14ac:dyDescent="0.3">
      <c r="A1935" t="str">
        <f>"20200111145947733"</f>
        <v>20200111145947733</v>
      </c>
      <c r="B1935" t="str">
        <f>"1578725987727969"</f>
        <v>1578725987727969</v>
      </c>
      <c r="C1935" t="s">
        <v>40</v>
      </c>
      <c r="D1935">
        <v>4.6344799999999999</v>
      </c>
      <c r="E1935">
        <v>0.60591390000000001</v>
      </c>
      <c r="F1935" t="s">
        <v>44</v>
      </c>
      <c r="G1935">
        <v>-169.2955</v>
      </c>
      <c r="H1935">
        <v>2.633543</v>
      </c>
      <c r="I1935">
        <v>355.68040000000002</v>
      </c>
      <c r="J1935">
        <v>-219.8545</v>
      </c>
      <c r="K1935">
        <v>1.103423</v>
      </c>
      <c r="L1935">
        <v>367.7944</v>
      </c>
      <c r="M1935">
        <v>0.99933430000000001</v>
      </c>
      <c r="N1935">
        <v>0</v>
      </c>
      <c r="O1935">
        <v>-3.353594E-2</v>
      </c>
      <c r="P1935">
        <v>0.99832609999999999</v>
      </c>
      <c r="Q1935">
        <v>4.5860089999999999E-2</v>
      </c>
      <c r="R1935">
        <v>3.5243330000000003E-2</v>
      </c>
      <c r="S1935">
        <v>3.0279850000000001</v>
      </c>
      <c r="T1935">
        <v>9.1445209999999999E-2</v>
      </c>
      <c r="U1935">
        <v>-0.72424319999999998</v>
      </c>
      <c r="V1935">
        <v>-6.8485080000000004E-2</v>
      </c>
      <c r="W1935">
        <v>6.0419760000000003E-2</v>
      </c>
      <c r="X1935">
        <v>0.99582090000000001</v>
      </c>
      <c r="Y1935">
        <v>0.19980000000000001</v>
      </c>
      <c r="Z1935">
        <v>1.9769150000000001E-3</v>
      </c>
      <c r="AA1935">
        <v>0.97983469999999995</v>
      </c>
      <c r="AB1935">
        <v>20</v>
      </c>
      <c r="AC1935">
        <v>50.558999999999997</v>
      </c>
      <c r="AD1935">
        <v>1.5301199999999999</v>
      </c>
      <c r="AE1935">
        <v>-12.1139999999999</v>
      </c>
      <c r="AF1935">
        <v>10.4024556444519</v>
      </c>
      <c r="AG1935">
        <v>1.5301199999999999</v>
      </c>
      <c r="AH1935">
        <v>50.8927689955635</v>
      </c>
      <c r="AI1935">
        <v>88.312753057898902</v>
      </c>
      <c r="AJ1935">
        <v>78.447897149085804</v>
      </c>
      <c r="AK1935">
        <v>51.967550324072199</v>
      </c>
      <c r="AL1935">
        <v>86.536093074765404</v>
      </c>
      <c r="AM1935">
        <v>93.934178625098596</v>
      </c>
      <c r="AN1935">
        <v>1.0000000092289301</v>
      </c>
    </row>
    <row r="1936" spans="1:40" x14ac:dyDescent="0.3">
      <c r="A1936" t="str">
        <f>"20200111145947745"</f>
        <v>20200111145947745</v>
      </c>
      <c r="B1936" t="str">
        <f>"1578725987737729"</f>
        <v>1578725987737729</v>
      </c>
      <c r="C1936" t="s">
        <v>40</v>
      </c>
      <c r="D1936">
        <v>4.4665540000000004</v>
      </c>
      <c r="E1936">
        <v>0.60591390000000001</v>
      </c>
      <c r="F1936" t="s">
        <v>44</v>
      </c>
      <c r="G1936">
        <v>-169.2955</v>
      </c>
      <c r="H1936">
        <v>2.6728019999999999</v>
      </c>
      <c r="I1936">
        <v>355.3931</v>
      </c>
      <c r="J1936">
        <v>-219.75739999999999</v>
      </c>
      <c r="K1936">
        <v>1.103453</v>
      </c>
      <c r="L1936">
        <v>367.78960000000001</v>
      </c>
      <c r="M1936">
        <v>0.99928890000000004</v>
      </c>
      <c r="N1936">
        <v>0</v>
      </c>
      <c r="O1936">
        <v>-3.4867479999999999E-2</v>
      </c>
      <c r="P1936">
        <v>0.99838309999999997</v>
      </c>
      <c r="Q1936">
        <v>4.6028090000000001E-2</v>
      </c>
      <c r="R1936">
        <v>3.3358319999999997E-2</v>
      </c>
      <c r="S1936">
        <v>3.0269469999999998</v>
      </c>
      <c r="T1936">
        <v>9.3963270000000002E-2</v>
      </c>
      <c r="U1936">
        <v>-0.74246219999999996</v>
      </c>
      <c r="V1936">
        <v>-6.793362E-2</v>
      </c>
      <c r="W1936">
        <v>6.0578729999999997E-2</v>
      </c>
      <c r="X1936">
        <v>0.99584899999999998</v>
      </c>
      <c r="Y1936">
        <v>0.2041338</v>
      </c>
      <c r="Z1936">
        <v>2.0562549999999999E-3</v>
      </c>
      <c r="AA1936">
        <v>0.97894080000000006</v>
      </c>
      <c r="AB1936">
        <v>20</v>
      </c>
      <c r="AC1936">
        <v>50.461899999999901</v>
      </c>
      <c r="AD1936">
        <v>1.5693490000000001</v>
      </c>
      <c r="AE1936">
        <v>-12.3965</v>
      </c>
      <c r="AF1936">
        <v>10.6196135777123</v>
      </c>
      <c r="AG1936">
        <v>1.5693490000000001</v>
      </c>
      <c r="AH1936">
        <v>50.817136774887899</v>
      </c>
      <c r="AI1936">
        <v>88.268518518506994</v>
      </c>
      <c r="AJ1936">
        <v>78.196369466156895</v>
      </c>
      <c r="AK1936">
        <v>51.938621841760501</v>
      </c>
      <c r="AL1936">
        <v>86.526968000561496</v>
      </c>
      <c r="AM1936">
        <v>93.902488082904895</v>
      </c>
      <c r="AN1936">
        <v>0.99999999502785797</v>
      </c>
    </row>
    <row r="1937" spans="1:40" x14ac:dyDescent="0.3">
      <c r="A1937" t="str">
        <f>"20200111145947757"</f>
        <v>20200111145947757</v>
      </c>
      <c r="B1937" t="str">
        <f>"1578725987747490"</f>
        <v>1578725987747490</v>
      </c>
      <c r="C1937" t="s">
        <v>40</v>
      </c>
      <c r="D1937">
        <v>4.5032189999999996</v>
      </c>
      <c r="E1937">
        <v>0.62160389999999999</v>
      </c>
      <c r="F1937" t="s">
        <v>44</v>
      </c>
      <c r="G1937">
        <v>-169.2955</v>
      </c>
      <c r="H1937">
        <v>2.682944</v>
      </c>
      <c r="I1937">
        <v>355.31349999999998</v>
      </c>
      <c r="J1937">
        <v>-219.6516</v>
      </c>
      <c r="K1937">
        <v>1.1034809999999999</v>
      </c>
      <c r="L1937">
        <v>367.78429999999997</v>
      </c>
      <c r="M1937">
        <v>0.99923779999999995</v>
      </c>
      <c r="N1937">
        <v>0</v>
      </c>
      <c r="O1937">
        <v>-3.6306280000000003E-2</v>
      </c>
      <c r="P1937">
        <v>0.99844100000000002</v>
      </c>
      <c r="Q1937">
        <v>4.6387240000000003E-2</v>
      </c>
      <c r="R1937">
        <v>3.1048610000000001E-2</v>
      </c>
      <c r="S1937">
        <v>3.0254970000000001</v>
      </c>
      <c r="T1937">
        <v>9.47051E-2</v>
      </c>
      <c r="U1937">
        <v>-0.74801640000000003</v>
      </c>
      <c r="V1937">
        <v>-6.7065050000000001E-2</v>
      </c>
      <c r="W1937">
        <v>6.0928089999999997E-2</v>
      </c>
      <c r="X1937">
        <v>0.99588659999999996</v>
      </c>
      <c r="Y1937">
        <v>0.2045264</v>
      </c>
      <c r="Z1937">
        <v>2.0348100000000002E-3</v>
      </c>
      <c r="AA1937">
        <v>0.97885889999999998</v>
      </c>
      <c r="AB1937">
        <v>20</v>
      </c>
      <c r="AC1937">
        <v>50.356099999999998</v>
      </c>
      <c r="AD1937">
        <v>1.5794629999999901</v>
      </c>
      <c r="AE1937">
        <v>-12.470799999999899</v>
      </c>
      <c r="AF1937">
        <v>10.624297366374099</v>
      </c>
      <c r="AG1937">
        <v>1.5794629999999901</v>
      </c>
      <c r="AH1937">
        <v>50.728685056213202</v>
      </c>
      <c r="AI1937">
        <v>88.254489553134704</v>
      </c>
      <c r="AJ1937">
        <v>78.171299304109098</v>
      </c>
      <c r="AK1937">
        <v>51.853349799506503</v>
      </c>
      <c r="AL1937">
        <v>86.506914248673496</v>
      </c>
      <c r="AM1937">
        <v>93.852598766454605</v>
      </c>
      <c r="AN1937">
        <v>1.00000003657105</v>
      </c>
    </row>
    <row r="1938" spans="1:40" x14ac:dyDescent="0.3">
      <c r="A1938" t="str">
        <f>"20200111145947767"</f>
        <v>20200111145947767</v>
      </c>
      <c r="B1938" t="str">
        <f>"1578725987757249"</f>
        <v>1578725987757249</v>
      </c>
      <c r="C1938" t="s">
        <v>40</v>
      </c>
      <c r="D1938">
        <v>4.4343000000000004</v>
      </c>
      <c r="E1938">
        <v>0.62132549999999998</v>
      </c>
      <c r="F1938" t="s">
        <v>45</v>
      </c>
      <c r="G1938">
        <v>-200.63300000000001</v>
      </c>
      <c r="H1938" s="1">
        <v>-2.3475930000000002E-6</v>
      </c>
      <c r="I1938">
        <v>362.18110000000001</v>
      </c>
      <c r="J1938">
        <v>-219.55950000000001</v>
      </c>
      <c r="K1938">
        <v>1.1035060000000001</v>
      </c>
      <c r="L1938">
        <v>367.77949999999998</v>
      </c>
      <c r="M1938">
        <v>0.99919190000000002</v>
      </c>
      <c r="N1938">
        <v>0</v>
      </c>
      <c r="O1938">
        <v>-3.7545790000000002E-2</v>
      </c>
      <c r="P1938">
        <v>0.99849929999999998</v>
      </c>
      <c r="Q1938">
        <v>4.643589E-2</v>
      </c>
      <c r="R1938">
        <v>2.903246E-2</v>
      </c>
      <c r="S1938">
        <v>3.0407259999999998</v>
      </c>
      <c r="T1938">
        <v>-0.17642639999999901</v>
      </c>
      <c r="U1938">
        <v>-0.89584349999999902</v>
      </c>
      <c r="V1938">
        <v>-6.6291790000000003E-2</v>
      </c>
      <c r="W1938">
        <v>6.0968550000000003E-2</v>
      </c>
      <c r="X1938">
        <v>0.99593589999999999</v>
      </c>
      <c r="Y1938">
        <v>0.24606529999999999</v>
      </c>
      <c r="Z1938">
        <v>-4.8560449999999998E-3</v>
      </c>
      <c r="AA1938">
        <v>0.96924109999999997</v>
      </c>
      <c r="AB1938">
        <v>20</v>
      </c>
      <c r="AC1938">
        <v>18.926500000000001</v>
      </c>
      <c r="AD1938">
        <v>-1.1035083475930001</v>
      </c>
      <c r="AE1938">
        <v>-5.5983999999999696</v>
      </c>
      <c r="AF1938">
        <v>4.86854937489269</v>
      </c>
      <c r="AG1938">
        <v>-1.1035083475930001</v>
      </c>
      <c r="AH1938">
        <v>19.063777767234299</v>
      </c>
      <c r="AI1938">
        <v>93.210072762528995</v>
      </c>
      <c r="AJ1938">
        <v>75.6738889676854</v>
      </c>
      <c r="AK1938">
        <v>19.706550343666802</v>
      </c>
      <c r="AL1938">
        <v>86.504591760038096</v>
      </c>
      <c r="AM1938">
        <v>93.808121817395502</v>
      </c>
      <c r="AN1938">
        <v>1.0000000412096499</v>
      </c>
    </row>
    <row r="1939" spans="1:40" x14ac:dyDescent="0.3">
      <c r="A1939" t="str">
        <f>"20200111145947778"</f>
        <v>20200111145947778</v>
      </c>
      <c r="B1939" t="str">
        <f>"1578725987767985"</f>
        <v>1578725987767985</v>
      </c>
      <c r="C1939" t="s">
        <v>40</v>
      </c>
      <c r="D1939">
        <v>4.5575729999999997</v>
      </c>
      <c r="E1939">
        <v>0.62159409999999904</v>
      </c>
      <c r="F1939" t="s">
        <v>45</v>
      </c>
      <c r="G1939">
        <v>-199.22309999999999</v>
      </c>
      <c r="H1939" s="1">
        <v>-9.7673179999999997E-6</v>
      </c>
      <c r="I1939">
        <v>361.75920000000002</v>
      </c>
      <c r="J1939">
        <v>-219.46109999999999</v>
      </c>
      <c r="K1939">
        <v>1.103532</v>
      </c>
      <c r="L1939">
        <v>367.77420000000001</v>
      </c>
      <c r="M1939">
        <v>0.99914139999999996</v>
      </c>
      <c r="N1939">
        <v>0</v>
      </c>
      <c r="O1939">
        <v>-3.8865980000000001E-2</v>
      </c>
      <c r="P1939">
        <v>0.99856109999999998</v>
      </c>
      <c r="Q1939">
        <v>4.6448129999999997E-2</v>
      </c>
      <c r="R1939">
        <v>2.6795329999999999E-2</v>
      </c>
      <c r="S1939">
        <v>3.0383450000000001</v>
      </c>
      <c r="T1939">
        <v>-0.1648694</v>
      </c>
      <c r="U1939">
        <v>-0.89944460000000004</v>
      </c>
      <c r="V1939">
        <v>-6.5378030000000004E-2</v>
      </c>
      <c r="W1939">
        <v>6.0971400000000002E-2</v>
      </c>
      <c r="X1939">
        <v>0.99599610000000005</v>
      </c>
      <c r="Y1939">
        <v>0.24608930000000001</v>
      </c>
      <c r="Z1939">
        <v>-4.4718520000000001E-3</v>
      </c>
      <c r="AA1939">
        <v>0.96923689999999996</v>
      </c>
      <c r="AB1939">
        <v>20</v>
      </c>
      <c r="AC1939">
        <v>20.238</v>
      </c>
      <c r="AD1939">
        <v>-1.1035417673179999</v>
      </c>
      <c r="AE1939">
        <v>-6.0149999999999801</v>
      </c>
      <c r="AF1939">
        <v>5.2095711225188204</v>
      </c>
      <c r="AG1939">
        <v>-1.1035417673179999</v>
      </c>
      <c r="AH1939">
        <v>20.400773850979999</v>
      </c>
      <c r="AI1939">
        <v>93.000199049437796</v>
      </c>
      <c r="AJ1939">
        <v>75.675004879909594</v>
      </c>
      <c r="AK1939">
        <v>21.084330898362101</v>
      </c>
      <c r="AL1939">
        <v>86.504428070355004</v>
      </c>
      <c r="AM1939">
        <v>93.755555936627999</v>
      </c>
      <c r="AN1939">
        <v>1.00000001481992</v>
      </c>
    </row>
    <row r="1940" spans="1:40" x14ac:dyDescent="0.3">
      <c r="A1940" t="str">
        <f>"20200111145947791"</f>
        <v>20200111145947791</v>
      </c>
      <c r="B1940" t="str">
        <f>"1578725987787505"</f>
        <v>1578725987787505</v>
      </c>
      <c r="C1940" t="s">
        <v>40</v>
      </c>
      <c r="D1940">
        <v>4.5158050000000003</v>
      </c>
      <c r="E1940">
        <v>0.62132739999999997</v>
      </c>
      <c r="F1940" t="s">
        <v>45</v>
      </c>
      <c r="G1940">
        <v>-197.42099999999999</v>
      </c>
      <c r="H1940" s="1">
        <v>-9.2072870000000002E-6</v>
      </c>
      <c r="I1940">
        <v>361.18360000000001</v>
      </c>
      <c r="J1940">
        <v>-219.35640000000001</v>
      </c>
      <c r="K1940">
        <v>1.1035549999999901</v>
      </c>
      <c r="L1940">
        <v>367.76850000000002</v>
      </c>
      <c r="M1940">
        <v>0.99908649999999999</v>
      </c>
      <c r="N1940">
        <v>0</v>
      </c>
      <c r="O1940">
        <v>-4.0253570000000002E-2</v>
      </c>
      <c r="P1940">
        <v>0.99859129999999996</v>
      </c>
      <c r="Q1940">
        <v>4.6965769999999997E-2</v>
      </c>
      <c r="R1940">
        <v>2.4688379999999999E-2</v>
      </c>
      <c r="S1940">
        <v>3.0357509999999999</v>
      </c>
      <c r="T1940">
        <v>-0.1519993</v>
      </c>
      <c r="U1940">
        <v>-0.90777589999999997</v>
      </c>
      <c r="V1940">
        <v>-6.4659330000000001E-2</v>
      </c>
      <c r="W1940">
        <v>6.1480659999999999E-2</v>
      </c>
      <c r="X1940">
        <v>0.99601170000000006</v>
      </c>
      <c r="Y1940">
        <v>0.2474538</v>
      </c>
      <c r="Z1940">
        <v>-4.090705E-3</v>
      </c>
      <c r="AA1940">
        <v>0.96889110000000001</v>
      </c>
      <c r="AB1940">
        <v>20</v>
      </c>
      <c r="AC1940">
        <v>21.935400000000001</v>
      </c>
      <c r="AD1940">
        <v>-1.10356420728699</v>
      </c>
      <c r="AE1940">
        <v>-6.5849000000000002</v>
      </c>
      <c r="AF1940">
        <v>5.6832971126499903</v>
      </c>
      <c r="AG1940">
        <v>-1.10356420728699</v>
      </c>
      <c r="AH1940">
        <v>22.131325399861499</v>
      </c>
      <c r="AI1940">
        <v>92.765081593606098</v>
      </c>
      <c r="AJ1940">
        <v>75.597720480339902</v>
      </c>
      <c r="AK1940">
        <v>22.876041702725001</v>
      </c>
      <c r="AL1940">
        <v>86.475194738129801</v>
      </c>
      <c r="AM1940">
        <v>93.714329350019597</v>
      </c>
      <c r="AN1940">
        <v>1.00000000352348</v>
      </c>
    </row>
    <row r="1941" spans="1:40" x14ac:dyDescent="0.3">
      <c r="A1941" t="str">
        <f>"20200111145947803"</f>
        <v>20200111145947803</v>
      </c>
      <c r="B1941" t="str">
        <f>"1578725987797266"</f>
        <v>1578725987797266</v>
      </c>
      <c r="C1941" t="s">
        <v>40</v>
      </c>
      <c r="D1941">
        <v>4.4748760000000001</v>
      </c>
      <c r="E1941">
        <v>0.62125549999999996</v>
      </c>
      <c r="F1941" t="s">
        <v>45</v>
      </c>
      <c r="G1941">
        <v>-197.73689999999999</v>
      </c>
      <c r="H1941" s="1">
        <v>-9.3057150000000007E-6</v>
      </c>
      <c r="I1941">
        <v>361.26330000000002</v>
      </c>
      <c r="J1941">
        <v>-219.25399999999999</v>
      </c>
      <c r="K1941">
        <v>1.1035790000000001</v>
      </c>
      <c r="L1941">
        <v>367.76280000000003</v>
      </c>
      <c r="M1941">
        <v>0.99903120000000001</v>
      </c>
      <c r="N1941">
        <v>0</v>
      </c>
      <c r="O1941">
        <v>-4.1606270000000001E-2</v>
      </c>
      <c r="P1941">
        <v>0.9986218</v>
      </c>
      <c r="Q1941">
        <v>4.7478069999999997E-2</v>
      </c>
      <c r="R1941">
        <v>2.237538E-2</v>
      </c>
      <c r="S1941">
        <v>3.0340729999999998</v>
      </c>
      <c r="T1941">
        <v>-0.1548735</v>
      </c>
      <c r="U1941">
        <v>-0.91293329999999995</v>
      </c>
      <c r="V1941">
        <v>-6.3699829999999999E-2</v>
      </c>
      <c r="W1941">
        <v>6.1984190000000002E-2</v>
      </c>
      <c r="X1941">
        <v>0.99604230000000005</v>
      </c>
      <c r="Y1941">
        <v>0.24779209999999999</v>
      </c>
      <c r="Z1941">
        <v>-4.110364E-3</v>
      </c>
      <c r="AA1941">
        <v>0.96880449999999996</v>
      </c>
      <c r="AB1941">
        <v>20</v>
      </c>
      <c r="AC1941">
        <v>21.517099999999999</v>
      </c>
      <c r="AD1941">
        <v>-1.103588305715</v>
      </c>
      <c r="AE1941">
        <v>-6.49950000000001</v>
      </c>
      <c r="AF1941">
        <v>5.5850691255321596</v>
      </c>
      <c r="AG1941">
        <v>-1.103588305715</v>
      </c>
      <c r="AH1941">
        <v>21.716561898160101</v>
      </c>
      <c r="AI1941">
        <v>92.817610203569203</v>
      </c>
      <c r="AJ1941">
        <v>75.577221504292098</v>
      </c>
      <c r="AK1941">
        <v>22.450388971287399</v>
      </c>
      <c r="AL1941">
        <v>86.446289400877703</v>
      </c>
      <c r="AM1941">
        <v>93.659250029625596</v>
      </c>
      <c r="AN1941">
        <v>0.99999998577063698</v>
      </c>
    </row>
    <row r="1942" spans="1:40" x14ac:dyDescent="0.3">
      <c r="A1942" t="str">
        <f>"20200111145947813"</f>
        <v>20200111145947813</v>
      </c>
      <c r="B1942" t="str">
        <f>"1578725987808002"</f>
        <v>1578725987808002</v>
      </c>
      <c r="C1942" t="s">
        <v>40</v>
      </c>
      <c r="D1942">
        <v>4.4896560000000001</v>
      </c>
      <c r="E1942">
        <v>0.62096859999999998</v>
      </c>
      <c r="F1942" t="s">
        <v>45</v>
      </c>
      <c r="G1942">
        <v>-197.33879999999999</v>
      </c>
      <c r="H1942" s="1">
        <v>-9.1887760000000002E-6</v>
      </c>
      <c r="I1942">
        <v>361.11739999999998</v>
      </c>
      <c r="J1942">
        <v>-219.1516</v>
      </c>
      <c r="K1942">
        <v>1.1035969999999999</v>
      </c>
      <c r="L1942">
        <v>367.75700000000001</v>
      </c>
      <c r="M1942">
        <v>0.99897449999999999</v>
      </c>
      <c r="N1942">
        <v>0</v>
      </c>
      <c r="O1942">
        <v>-4.2947819999999998E-2</v>
      </c>
      <c r="P1942">
        <v>0.99863930000000001</v>
      </c>
      <c r="Q1942">
        <v>4.7984939999999997E-2</v>
      </c>
      <c r="R1942">
        <v>2.0421700000000001E-2</v>
      </c>
      <c r="S1942">
        <v>3.0319980000000002</v>
      </c>
      <c r="T1942">
        <v>-0.1526825</v>
      </c>
      <c r="U1942">
        <v>-0.91940310000000003</v>
      </c>
      <c r="V1942">
        <v>-6.3087550000000006E-2</v>
      </c>
      <c r="W1942">
        <v>6.2483900000000002E-2</v>
      </c>
      <c r="X1942">
        <v>0.99605010000000005</v>
      </c>
      <c r="Y1942">
        <v>0.24857570000000001</v>
      </c>
      <c r="Z1942">
        <v>-4.0072349999999996E-3</v>
      </c>
      <c r="AA1942">
        <v>0.96860409999999997</v>
      </c>
      <c r="AB1942">
        <v>20</v>
      </c>
      <c r="AC1942">
        <v>21.812799999999999</v>
      </c>
      <c r="AD1942">
        <v>-1.103606188776</v>
      </c>
      <c r="AE1942">
        <v>-6.6395999999999704</v>
      </c>
      <c r="AF1942">
        <v>5.6832496997928299</v>
      </c>
      <c r="AG1942">
        <v>-1.103606188776</v>
      </c>
      <c r="AH1942">
        <v>22.026253538120599</v>
      </c>
      <c r="AI1942">
        <v>92.777537967022099</v>
      </c>
      <c r="AJ1942">
        <v>75.5320100368765</v>
      </c>
      <c r="AK1942">
        <v>22.774396121426999</v>
      </c>
      <c r="AL1942">
        <v>86.417602710765294</v>
      </c>
      <c r="AM1942">
        <v>93.624143367849797</v>
      </c>
      <c r="AN1942">
        <v>1.00000003921711</v>
      </c>
    </row>
    <row r="1943" spans="1:40" x14ac:dyDescent="0.3">
      <c r="A1943" t="str">
        <f>"20200111145947826"</f>
        <v>20200111145947826</v>
      </c>
      <c r="B1943" t="str">
        <f>"1578725987817761"</f>
        <v>1578725987817761</v>
      </c>
      <c r="C1943" t="s">
        <v>40</v>
      </c>
      <c r="D1943">
        <v>4.4546510000000001</v>
      </c>
      <c r="E1943">
        <v>0.62096859999999998</v>
      </c>
      <c r="F1943" t="s">
        <v>45</v>
      </c>
      <c r="G1943">
        <v>-196.2766</v>
      </c>
      <c r="H1943" s="1">
        <v>-8.8668990000000004E-6</v>
      </c>
      <c r="I1943">
        <v>360.7912</v>
      </c>
      <c r="J1943">
        <v>-219.04320000000001</v>
      </c>
      <c r="K1943">
        <v>1.1036159999999999</v>
      </c>
      <c r="L1943">
        <v>367.75069999999999</v>
      </c>
      <c r="M1943">
        <v>0.99891280000000005</v>
      </c>
      <c r="N1943">
        <v>0</v>
      </c>
      <c r="O1943">
        <v>-4.4362220000000001E-2</v>
      </c>
      <c r="P1943">
        <v>0.99866940000000004</v>
      </c>
      <c r="Q1943">
        <v>4.8225530000000003E-2</v>
      </c>
      <c r="R1943">
        <v>1.8271820000000001E-2</v>
      </c>
      <c r="S1943">
        <v>3.0299529999999999</v>
      </c>
      <c r="T1943">
        <v>-0.14618039999999999</v>
      </c>
      <c r="U1943">
        <v>-0.9226685</v>
      </c>
      <c r="V1943">
        <v>-6.2353279999999997E-2</v>
      </c>
      <c r="W1943">
        <v>6.2716599999999997E-2</v>
      </c>
      <c r="X1943">
        <v>0.99608169999999996</v>
      </c>
      <c r="Y1943">
        <v>0.2483629</v>
      </c>
      <c r="Z1943">
        <v>-3.7672220000000002E-3</v>
      </c>
      <c r="AA1943">
        <v>0.96865979999999996</v>
      </c>
      <c r="AB1943">
        <v>20</v>
      </c>
      <c r="AC1943">
        <v>22.7666</v>
      </c>
      <c r="AD1943">
        <v>-1.1036248668990001</v>
      </c>
      <c r="AE1943">
        <v>-6.9594999999999896</v>
      </c>
      <c r="AF1943">
        <v>5.9298229174874901</v>
      </c>
      <c r="AG1943">
        <v>-1.1036248668990001</v>
      </c>
      <c r="AH1943">
        <v>23.003516479970799</v>
      </c>
      <c r="AI1943">
        <v>92.659913259651205</v>
      </c>
      <c r="AJ1943">
        <v>75.545045697882401</v>
      </c>
      <c r="AK1943">
        <v>23.781138705366601</v>
      </c>
      <c r="AL1943">
        <v>86.4042437427902</v>
      </c>
      <c r="AM1943">
        <v>93.581959435876996</v>
      </c>
      <c r="AN1943">
        <v>1.0000000282585999</v>
      </c>
    </row>
    <row r="1944" spans="1:40" x14ac:dyDescent="0.3">
      <c r="A1944" t="str">
        <f>"20200111145947840"</f>
        <v>20200111145947840</v>
      </c>
      <c r="B1944" t="str">
        <f>"1578725987837281"</f>
        <v>1578725987837281</v>
      </c>
      <c r="C1944" t="s">
        <v>40</v>
      </c>
      <c r="D1944">
        <v>4.3943649999999996</v>
      </c>
      <c r="E1944">
        <v>0.6207821</v>
      </c>
      <c r="F1944" t="s">
        <v>45</v>
      </c>
      <c r="G1944">
        <v>-196.00139999999999</v>
      </c>
      <c r="H1944" s="1">
        <v>-8.7880109999999996E-6</v>
      </c>
      <c r="I1944">
        <v>360.67779999999999</v>
      </c>
      <c r="J1944">
        <v>-218.9238</v>
      </c>
      <c r="K1944">
        <v>1.1036319999999999</v>
      </c>
      <c r="L1944">
        <v>367.74360000000001</v>
      </c>
      <c r="M1944">
        <v>0.99884280000000003</v>
      </c>
      <c r="N1944">
        <v>0</v>
      </c>
      <c r="O1944">
        <v>-4.5914419999999997E-2</v>
      </c>
      <c r="P1944">
        <v>0.99872110000000003</v>
      </c>
      <c r="Q1944">
        <v>4.8109470000000001E-2</v>
      </c>
      <c r="R1944">
        <v>1.5559069999999999E-2</v>
      </c>
      <c r="S1944">
        <v>3.028</v>
      </c>
      <c r="T1944">
        <v>-0.14503089999999999</v>
      </c>
      <c r="U1944">
        <v>-0.92947389999999996</v>
      </c>
      <c r="V1944">
        <v>-6.1198130000000003E-2</v>
      </c>
      <c r="W1944">
        <v>6.2592410000000001E-2</v>
      </c>
      <c r="X1944">
        <v>0.99616110000000002</v>
      </c>
      <c r="Y1944">
        <v>0.24902679999999999</v>
      </c>
      <c r="Z1944">
        <v>-3.681953E-3</v>
      </c>
      <c r="AA1944">
        <v>0.96848959999999995</v>
      </c>
      <c r="AB1944">
        <v>20</v>
      </c>
      <c r="AC1944">
        <v>22.9224</v>
      </c>
      <c r="AD1944">
        <v>-1.103640788011</v>
      </c>
      <c r="AE1944">
        <v>-7.0658000000000198</v>
      </c>
      <c r="AF1944">
        <v>5.99308299229242</v>
      </c>
      <c r="AG1944">
        <v>-1.103640788011</v>
      </c>
      <c r="AH1944">
        <v>23.173618091283899</v>
      </c>
      <c r="AI1944">
        <v>92.639919860215102</v>
      </c>
      <c r="AJ1944">
        <v>75.500051306831807</v>
      </c>
      <c r="AK1944">
        <v>23.961461603628099</v>
      </c>
      <c r="AL1944">
        <v>86.411373136188004</v>
      </c>
      <c r="AM1944">
        <v>93.515488936530403</v>
      </c>
      <c r="AN1944">
        <v>0.99999997902915705</v>
      </c>
    </row>
    <row r="1945" spans="1:40" x14ac:dyDescent="0.3">
      <c r="A1945" t="str">
        <f>"20200111145947851"</f>
        <v>20200111145947851</v>
      </c>
      <c r="B1945" t="str">
        <f>"1578725987848017"</f>
        <v>1578725987848017</v>
      </c>
      <c r="C1945" t="s">
        <v>40</v>
      </c>
      <c r="D1945">
        <v>4.362806</v>
      </c>
      <c r="E1945">
        <v>0.62051919999999905</v>
      </c>
      <c r="F1945" t="s">
        <v>45</v>
      </c>
      <c r="G1945">
        <v>-196.0377</v>
      </c>
      <c r="H1945" s="1">
        <v>-8.8035800000000002E-6</v>
      </c>
      <c r="I1945">
        <v>360.65969999999999</v>
      </c>
      <c r="J1945">
        <v>-218.8218</v>
      </c>
      <c r="K1945">
        <v>1.10364</v>
      </c>
      <c r="L1945">
        <v>367.7373</v>
      </c>
      <c r="M1945">
        <v>0.99878109999999998</v>
      </c>
      <c r="N1945">
        <v>0</v>
      </c>
      <c r="O1945">
        <v>-4.7234749999999999E-2</v>
      </c>
      <c r="P1945">
        <v>0.99875389999999997</v>
      </c>
      <c r="Q1945">
        <v>4.8039980000000003E-2</v>
      </c>
      <c r="R1945">
        <v>1.3536629999999999E-2</v>
      </c>
      <c r="S1945">
        <v>3.025452</v>
      </c>
      <c r="T1945">
        <v>-0.145897</v>
      </c>
      <c r="U1945">
        <v>-0.93646240000000003</v>
      </c>
      <c r="V1945">
        <v>-6.0498240000000002E-2</v>
      </c>
      <c r="W1945">
        <v>6.2516730000000006E-2</v>
      </c>
      <c r="X1945">
        <v>0.9962086</v>
      </c>
      <c r="Y1945">
        <v>0.25001580000000001</v>
      </c>
      <c r="Z1945">
        <v>-3.6670639999999998E-3</v>
      </c>
      <c r="AA1945">
        <v>0.96823479999999995</v>
      </c>
      <c r="AB1945">
        <v>20</v>
      </c>
      <c r="AC1945">
        <v>22.784099999999899</v>
      </c>
      <c r="AD1945">
        <v>-1.1036488035800001</v>
      </c>
      <c r="AE1945">
        <v>-7.0776000000000101</v>
      </c>
      <c r="AF1945">
        <v>5.9805889853646796</v>
      </c>
      <c r="AG1945">
        <v>-1.1036488035800001</v>
      </c>
      <c r="AH1945">
        <v>23.043695575073599</v>
      </c>
      <c r="AI1945">
        <v>92.654212568008802</v>
      </c>
      <c r="AJ1945">
        <v>75.450873892125699</v>
      </c>
      <c r="AK1945">
        <v>23.832695841011699</v>
      </c>
      <c r="AL1945">
        <v>86.415717781119696</v>
      </c>
      <c r="AM1945">
        <v>93.475217994074995</v>
      </c>
      <c r="AN1945">
        <v>0.99999997664347495</v>
      </c>
    </row>
    <row r="1946" spans="1:40" x14ac:dyDescent="0.3">
      <c r="A1946" t="str">
        <f>"20200111145947863"</f>
        <v>20200111145947863</v>
      </c>
      <c r="B1946" t="str">
        <f>"1578725987857777"</f>
        <v>1578725987857777</v>
      </c>
      <c r="C1946" t="s">
        <v>40</v>
      </c>
      <c r="D1946">
        <v>4.45566</v>
      </c>
      <c r="E1946">
        <v>0.62063939999999995</v>
      </c>
      <c r="F1946" t="s">
        <v>45</v>
      </c>
      <c r="G1946">
        <v>-196.2741</v>
      </c>
      <c r="H1946" s="1">
        <v>-8.8766749999999992E-6</v>
      </c>
      <c r="I1946">
        <v>360.72300000000001</v>
      </c>
      <c r="J1946">
        <v>-218.7243</v>
      </c>
      <c r="K1946">
        <v>1.103645</v>
      </c>
      <c r="L1946">
        <v>367.73129999999998</v>
      </c>
      <c r="M1946">
        <v>0.99872090000000002</v>
      </c>
      <c r="N1946">
        <v>0</v>
      </c>
      <c r="O1946">
        <v>-4.849407E-2</v>
      </c>
      <c r="P1946">
        <v>0.9987994</v>
      </c>
      <c r="Q1946">
        <v>4.7637159999999998E-2</v>
      </c>
      <c r="R1946">
        <v>1.142634E-2</v>
      </c>
      <c r="S1946">
        <v>3.0236049999999999</v>
      </c>
      <c r="T1946">
        <v>-0.1479975</v>
      </c>
      <c r="U1946">
        <v>-0.94061280000000003</v>
      </c>
      <c r="V1946">
        <v>-5.965181E-2</v>
      </c>
      <c r="W1946">
        <v>6.2107919999999997E-2</v>
      </c>
      <c r="X1946">
        <v>0.99628530000000004</v>
      </c>
      <c r="Y1946">
        <v>0.25016919999999998</v>
      </c>
      <c r="Z1946">
        <v>-3.6649949999999999E-3</v>
      </c>
      <c r="AA1946">
        <v>0.96819520000000003</v>
      </c>
      <c r="AB1946">
        <v>20</v>
      </c>
      <c r="AC1946">
        <v>22.450199999999899</v>
      </c>
      <c r="AD1946">
        <v>-1.1036538766749999</v>
      </c>
      <c r="AE1946">
        <v>-7.0082999999999602</v>
      </c>
      <c r="AF1946">
        <v>5.8982510809189304</v>
      </c>
      <c r="AG1946">
        <v>-1.1036538766749999</v>
      </c>
      <c r="AH1946">
        <v>22.713658945065301</v>
      </c>
      <c r="AI1946">
        <v>92.692639608078693</v>
      </c>
      <c r="AJ1946">
        <v>75.443034170284193</v>
      </c>
      <c r="AK1946">
        <v>23.4929291567869</v>
      </c>
      <c r="AL1946">
        <v>86.439186793292095</v>
      </c>
      <c r="AM1946">
        <v>93.426449769322204</v>
      </c>
      <c r="AN1946">
        <v>1.00000006557954</v>
      </c>
    </row>
    <row r="1947" spans="1:40" x14ac:dyDescent="0.3">
      <c r="A1947" t="str">
        <f>"20200111145947874"</f>
        <v>20200111145947874</v>
      </c>
      <c r="B1947" t="str">
        <f>"1578725987867538"</f>
        <v>1578725987867538</v>
      </c>
      <c r="C1947" t="s">
        <v>40</v>
      </c>
      <c r="D1947">
        <v>4.2037300000000002</v>
      </c>
      <c r="E1947">
        <v>0.62063939999999995</v>
      </c>
      <c r="F1947" t="s">
        <v>45</v>
      </c>
      <c r="G1947">
        <v>-195.88730000000001</v>
      </c>
      <c r="H1947" s="1">
        <v>-8.7652720000000007E-6</v>
      </c>
      <c r="I1947">
        <v>360.5668</v>
      </c>
      <c r="J1947">
        <v>-218.6207</v>
      </c>
      <c r="K1947">
        <v>1.1036509999999999</v>
      </c>
      <c r="L1947">
        <v>367.72469999999998</v>
      </c>
      <c r="M1947">
        <v>0.99865510000000002</v>
      </c>
      <c r="N1947">
        <v>0</v>
      </c>
      <c r="O1947">
        <v>-4.9830659999999999E-2</v>
      </c>
      <c r="P1947">
        <v>0.99883949999999999</v>
      </c>
      <c r="Q1947">
        <v>4.732662E-2</v>
      </c>
      <c r="R1947">
        <v>8.9553029999999995E-3</v>
      </c>
      <c r="S1947">
        <v>3.0214080000000001</v>
      </c>
      <c r="T1947">
        <v>-0.14601629999999999</v>
      </c>
      <c r="U1947">
        <v>-0.94787600000000005</v>
      </c>
      <c r="V1947">
        <v>-5.8522739999999997E-2</v>
      </c>
      <c r="W1947">
        <v>6.1791430000000001E-2</v>
      </c>
      <c r="X1947">
        <v>0.99637189999999998</v>
      </c>
      <c r="Y1947">
        <v>0.25119950000000002</v>
      </c>
      <c r="Z1947">
        <v>-3.578805E-3</v>
      </c>
      <c r="AA1947">
        <v>0.96792869999999998</v>
      </c>
      <c r="AB1947">
        <v>20</v>
      </c>
      <c r="AC1947">
        <v>22.7333999999999</v>
      </c>
      <c r="AD1947">
        <v>-1.1036597652719999</v>
      </c>
      <c r="AE1947">
        <v>-7.1578999999999802</v>
      </c>
      <c r="AF1947">
        <v>6.0031966189128596</v>
      </c>
      <c r="AG1947">
        <v>-1.1036597652719999</v>
      </c>
      <c r="AH1947">
        <v>23.012525328220601</v>
      </c>
      <c r="AI1947">
        <v>92.6569662506013</v>
      </c>
      <c r="AJ1947">
        <v>75.379291190386795</v>
      </c>
      <c r="AK1947">
        <v>23.808249757275298</v>
      </c>
      <c r="AL1947">
        <v>86.457355094992295</v>
      </c>
      <c r="AM1947">
        <v>93.361453700854696</v>
      </c>
      <c r="AN1947">
        <v>1.0000000275140799</v>
      </c>
    </row>
    <row r="1948" spans="1:40" x14ac:dyDescent="0.3">
      <c r="A1948" t="str">
        <f>"20200111145947888"</f>
        <v>20200111145947888</v>
      </c>
      <c r="B1948" t="str">
        <f>"1578725987877297"</f>
        <v>1578725987877297</v>
      </c>
      <c r="C1948" t="s">
        <v>40</v>
      </c>
      <c r="D1948">
        <v>4.3029919999999997</v>
      </c>
      <c r="E1948">
        <v>0.62276609999999999</v>
      </c>
      <c r="F1948" t="s">
        <v>45</v>
      </c>
      <c r="G1948">
        <v>-195.9828</v>
      </c>
      <c r="H1948" s="1">
        <v>-8.7995650000000005E-6</v>
      </c>
      <c r="I1948">
        <v>360.56200000000001</v>
      </c>
      <c r="J1948">
        <v>-218.5136</v>
      </c>
      <c r="K1948">
        <v>1.103653</v>
      </c>
      <c r="L1948">
        <v>367.71769999999998</v>
      </c>
      <c r="M1948">
        <v>0.9985851</v>
      </c>
      <c r="N1948">
        <v>0</v>
      </c>
      <c r="O1948">
        <v>-5.1212699999999903E-2</v>
      </c>
      <c r="P1948">
        <v>0.99887409999999999</v>
      </c>
      <c r="Q1948">
        <v>4.7003839999999998E-2</v>
      </c>
      <c r="R1948">
        <v>6.4277429999999997E-3</v>
      </c>
      <c r="S1948">
        <v>3.019028</v>
      </c>
      <c r="T1948">
        <v>-0.1471856</v>
      </c>
      <c r="U1948">
        <v>-0.95523069999999999</v>
      </c>
      <c r="V1948">
        <v>-5.7381719999999997E-2</v>
      </c>
      <c r="W1948">
        <v>6.1462099999999999E-2</v>
      </c>
      <c r="X1948">
        <v>0.99645859999999997</v>
      </c>
      <c r="Y1948">
        <v>0.25221959999999999</v>
      </c>
      <c r="Z1948">
        <v>-3.5677259999999998E-3</v>
      </c>
      <c r="AA1948">
        <v>0.96766350000000001</v>
      </c>
      <c r="AB1948">
        <v>20</v>
      </c>
      <c r="AC1948">
        <v>22.530799999999999</v>
      </c>
      <c r="AD1948">
        <v>-1.103661799565</v>
      </c>
      <c r="AE1948">
        <v>-7.1557000000000199</v>
      </c>
      <c r="AF1948">
        <v>5.97929403753795</v>
      </c>
      <c r="AG1948">
        <v>-1.103661799565</v>
      </c>
      <c r="AH1948">
        <v>22.817993710281399</v>
      </c>
      <c r="AI1948">
        <v>92.6788196636424</v>
      </c>
      <c r="AJ1948">
        <v>75.316198573298095</v>
      </c>
      <c r="AK1948">
        <v>23.614208932708198</v>
      </c>
      <c r="AL1948">
        <v>86.476260137966506</v>
      </c>
      <c r="AM1948">
        <v>93.295775092965997</v>
      </c>
      <c r="AN1948">
        <v>0.99999999652026395</v>
      </c>
    </row>
    <row r="1949" spans="1:40" x14ac:dyDescent="0.3">
      <c r="A1949" t="str">
        <f>"20200111145948025"</f>
        <v>20200111145948025</v>
      </c>
      <c r="B1949" t="str">
        <f>"1578725988017843"</f>
        <v>1578725988017843</v>
      </c>
      <c r="C1949" t="s">
        <v>40</v>
      </c>
      <c r="D1949">
        <v>4.5508119999999996</v>
      </c>
      <c r="E1949">
        <v>0.67142089999999999</v>
      </c>
      <c r="F1949" t="s">
        <v>45</v>
      </c>
      <c r="G1949">
        <v>-191.0307</v>
      </c>
      <c r="H1949" s="1">
        <v>-5.1442069999999998E-6</v>
      </c>
      <c r="I1949">
        <v>358.80259999999998</v>
      </c>
      <c r="J1949">
        <v>-217.3142</v>
      </c>
      <c r="K1949">
        <v>1.103618</v>
      </c>
      <c r="L1949">
        <v>367.62959999999998</v>
      </c>
      <c r="M1949">
        <v>0.99766580000000005</v>
      </c>
      <c r="N1949">
        <v>0</v>
      </c>
      <c r="O1949">
        <v>-6.6777050000000004E-2</v>
      </c>
      <c r="P1949">
        <v>0.99862470000000003</v>
      </c>
      <c r="Q1949">
        <v>3.938796E-2</v>
      </c>
      <c r="R1949">
        <v>-3.4601020000000003E-2</v>
      </c>
      <c r="S1949">
        <v>3.0153660000000002</v>
      </c>
      <c r="T1949">
        <v>-0.121091</v>
      </c>
      <c r="U1949">
        <v>-0.97814939999999995</v>
      </c>
      <c r="V1949">
        <v>-3.1995290000000003E-2</v>
      </c>
      <c r="W1949">
        <v>5.3754459999999997E-2</v>
      </c>
      <c r="X1949">
        <v>0.99804150000000003</v>
      </c>
      <c r="Y1949">
        <v>0.24421699999999999</v>
      </c>
      <c r="Z1949">
        <v>-2.1736799999999999E-3</v>
      </c>
      <c r="AA1949">
        <v>0.96971819999999997</v>
      </c>
      <c r="AB1949">
        <v>19</v>
      </c>
      <c r="AC1949">
        <v>26.2835</v>
      </c>
      <c r="AD1949">
        <v>-1.1036231442069999</v>
      </c>
      <c r="AE1949">
        <v>-8.8269999999999893</v>
      </c>
      <c r="AF1949">
        <v>7.0408245382244896</v>
      </c>
      <c r="AG1949">
        <v>-1.1036231442069999</v>
      </c>
      <c r="AH1949">
        <v>26.771905051295601</v>
      </c>
      <c r="AI1949">
        <v>92.283030888943102</v>
      </c>
      <c r="AJ1949">
        <v>75.265271564492593</v>
      </c>
      <c r="AK1949">
        <v>27.704261302155</v>
      </c>
      <c r="AL1949">
        <v>86.918611245808705</v>
      </c>
      <c r="AM1949">
        <v>91.836163590768706</v>
      </c>
      <c r="AN1949">
        <v>1.0000000381371601</v>
      </c>
    </row>
    <row r="1950" spans="1:40" x14ac:dyDescent="0.3">
      <c r="A1950" t="str">
        <f>"20200111145948051"</f>
        <v>20200111145948051</v>
      </c>
      <c r="B1950" t="str">
        <f>"1578725988048097"</f>
        <v>1578725988048097</v>
      </c>
      <c r="C1950" t="s">
        <v>40</v>
      </c>
      <c r="D1950">
        <v>4.4953880000000002</v>
      </c>
      <c r="E1950">
        <v>0.6688501</v>
      </c>
      <c r="F1950" t="s">
        <v>48</v>
      </c>
      <c r="G1950">
        <v>-167.61179999999999</v>
      </c>
      <c r="H1950">
        <v>6.4135700000000004E-2</v>
      </c>
      <c r="I1950">
        <v>342.64389999999997</v>
      </c>
      <c r="J1950">
        <v>-217.10130000000001</v>
      </c>
      <c r="K1950">
        <v>1.1036159999999999</v>
      </c>
      <c r="L1950">
        <v>367.61200000000002</v>
      </c>
      <c r="M1950">
        <v>0.99747350000000001</v>
      </c>
      <c r="N1950">
        <v>0</v>
      </c>
      <c r="O1950">
        <v>-6.9590620000000006E-2</v>
      </c>
      <c r="P1950">
        <v>0.99840370000000001</v>
      </c>
      <c r="Q1950">
        <v>3.8927629999999998E-2</v>
      </c>
      <c r="R1950">
        <v>-4.092809E-2</v>
      </c>
      <c r="S1950">
        <v>2.9550779999999999</v>
      </c>
      <c r="T1950">
        <v>-6.1802389999999999E-2</v>
      </c>
      <c r="U1950">
        <v>-1.485535</v>
      </c>
      <c r="V1950">
        <v>-2.8485079999999999E-2</v>
      </c>
      <c r="W1950">
        <v>5.3280689999999999E-2</v>
      </c>
      <c r="X1950">
        <v>0.99817319999999998</v>
      </c>
      <c r="Y1950">
        <v>0.3858201</v>
      </c>
      <c r="Z1950">
        <v>-2.4400670000000002E-3</v>
      </c>
      <c r="AA1950">
        <v>0.92257080000000002</v>
      </c>
      <c r="AB1950">
        <v>19</v>
      </c>
      <c r="AC1950">
        <v>49.4895</v>
      </c>
      <c r="AD1950">
        <v>-1.0394802999999999</v>
      </c>
      <c r="AE1950">
        <v>-24.9681</v>
      </c>
      <c r="AF1950">
        <v>21.4556547988565</v>
      </c>
      <c r="AG1950">
        <v>-1.0394802999999999</v>
      </c>
      <c r="AH1950">
        <v>51.089251372663597</v>
      </c>
      <c r="AI1950">
        <v>91.074698069267697</v>
      </c>
      <c r="AJ1950">
        <v>67.219339606289907</v>
      </c>
      <c r="AK1950">
        <v>55.421451153510802</v>
      </c>
      <c r="AL1950">
        <v>86.945795059521004</v>
      </c>
      <c r="AM1950">
        <v>91.634618160963996</v>
      </c>
      <c r="AN1950">
        <v>0.99999998445386096</v>
      </c>
    </row>
    <row r="1951" spans="1:40" x14ac:dyDescent="0.3">
      <c r="A1951" t="str">
        <f>"20200111145948064"</f>
        <v>20200111145948064</v>
      </c>
      <c r="B1951" t="str">
        <f>"1578725988057860"</f>
        <v>1578725988057860</v>
      </c>
      <c r="C1951" t="s">
        <v>40</v>
      </c>
      <c r="D1951">
        <v>4.5325769999999999</v>
      </c>
      <c r="E1951">
        <v>0.66697479999999998</v>
      </c>
      <c r="F1951" t="s">
        <v>45</v>
      </c>
      <c r="G1951">
        <v>-190.61699999999999</v>
      </c>
      <c r="H1951" s="1">
        <v>-2.9077959999999998E-6</v>
      </c>
      <c r="I1951">
        <v>354.23790000000002</v>
      </c>
      <c r="J1951">
        <v>-216.9862</v>
      </c>
      <c r="K1951">
        <v>1.103621</v>
      </c>
      <c r="L1951">
        <v>367.60219999999998</v>
      </c>
      <c r="M1951">
        <v>0.99736539999999996</v>
      </c>
      <c r="N1951">
        <v>0</v>
      </c>
      <c r="O1951">
        <v>-7.1123710000000007E-2</v>
      </c>
      <c r="P1951">
        <v>0.99818609999999997</v>
      </c>
      <c r="Q1951">
        <v>3.9895119999999999E-2</v>
      </c>
      <c r="R1951">
        <v>-4.5090459999999999E-2</v>
      </c>
      <c r="S1951">
        <v>2.9485779999999999</v>
      </c>
      <c r="T1951">
        <v>-0.12286900000000001</v>
      </c>
      <c r="U1951">
        <v>-1.4889829999999999</v>
      </c>
      <c r="V1951">
        <v>-2.5849179999999999E-2</v>
      </c>
      <c r="W1951">
        <v>5.4238219999999997E-2</v>
      </c>
      <c r="X1951">
        <v>0.99819340000000001</v>
      </c>
      <c r="Y1951">
        <v>0.38591690000000001</v>
      </c>
      <c r="Z1951">
        <v>-4.8004110000000001E-3</v>
      </c>
      <c r="AA1951">
        <v>0.92252109999999998</v>
      </c>
      <c r="AB1951">
        <v>19</v>
      </c>
      <c r="AC1951">
        <v>26.3691999999999</v>
      </c>
      <c r="AD1951">
        <v>-1.1036239077959999</v>
      </c>
      <c r="AE1951">
        <v>-13.364299999999901</v>
      </c>
      <c r="AF1951">
        <v>11.438839672269401</v>
      </c>
      <c r="AG1951">
        <v>-1.1036239077959999</v>
      </c>
      <c r="AH1951">
        <v>27.215092900785699</v>
      </c>
      <c r="AI1951">
        <v>92.1409462532784</v>
      </c>
      <c r="AJ1951">
        <v>67.202383131965206</v>
      </c>
      <c r="AK1951">
        <v>29.5419417164163</v>
      </c>
      <c r="AL1951">
        <v>86.890853270758797</v>
      </c>
      <c r="AM1951">
        <v>91.483397893389395</v>
      </c>
      <c r="AN1951">
        <v>1.0000000142095</v>
      </c>
    </row>
    <row r="1952" spans="1:40" x14ac:dyDescent="0.3">
      <c r="A1952" t="str">
        <f>"20200111145948076"</f>
        <v>20200111145948076</v>
      </c>
      <c r="B1952" t="str">
        <f>"1578725988067617"</f>
        <v>1578725988067617</v>
      </c>
      <c r="C1952" t="s">
        <v>40</v>
      </c>
      <c r="D1952">
        <v>4.5322509999999996</v>
      </c>
      <c r="E1952">
        <v>0.66557639999999996</v>
      </c>
      <c r="F1952" t="s">
        <v>45</v>
      </c>
      <c r="G1952">
        <v>-194.911</v>
      </c>
      <c r="H1952" s="1">
        <v>-4.9022670000000002E-6</v>
      </c>
      <c r="I1952">
        <v>356.43619999999999</v>
      </c>
      <c r="J1952">
        <v>-216.8783</v>
      </c>
      <c r="K1952">
        <v>1.1036189999999999</v>
      </c>
      <c r="L1952">
        <v>367.59280000000001</v>
      </c>
      <c r="M1952">
        <v>0.99726090000000001</v>
      </c>
      <c r="N1952">
        <v>0</v>
      </c>
      <c r="O1952">
        <v>-7.257508E-2</v>
      </c>
      <c r="P1952">
        <v>0.99804099999999996</v>
      </c>
      <c r="Q1952">
        <v>4.0637069999999997E-2</v>
      </c>
      <c r="R1952">
        <v>-4.757115E-2</v>
      </c>
      <c r="S1952">
        <v>2.9440770000000001</v>
      </c>
      <c r="T1952">
        <v>-0.14718589999999901</v>
      </c>
      <c r="U1952">
        <v>-1.489166</v>
      </c>
      <c r="V1952">
        <v>-2.4814340000000001E-2</v>
      </c>
      <c r="W1952">
        <v>5.4974790000000003E-2</v>
      </c>
      <c r="X1952">
        <v>0.99817940000000005</v>
      </c>
      <c r="Y1952">
        <v>0.38509500000000002</v>
      </c>
      <c r="Z1952">
        <v>-5.6702660000000002E-3</v>
      </c>
      <c r="AA1952">
        <v>0.92285950000000005</v>
      </c>
      <c r="AB1952">
        <v>19</v>
      </c>
      <c r="AC1952">
        <v>21.967300000000002</v>
      </c>
      <c r="AD1952">
        <v>-1.103623902267</v>
      </c>
      <c r="AE1952">
        <v>-11.156599999999999</v>
      </c>
      <c r="AF1952">
        <v>9.5136439188206108</v>
      </c>
      <c r="AG1952">
        <v>-1.103623902267</v>
      </c>
      <c r="AH1952">
        <v>22.673639159969099</v>
      </c>
      <c r="AI1952">
        <v>92.569905087963093</v>
      </c>
      <c r="AJ1952">
        <v>67.237540907797893</v>
      </c>
      <c r="AK1952">
        <v>24.613437774684201</v>
      </c>
      <c r="AL1952">
        <v>86.848587958831999</v>
      </c>
      <c r="AM1952">
        <v>91.424056818016595</v>
      </c>
      <c r="AN1952">
        <v>1.0000000467947601</v>
      </c>
    </row>
    <row r="1953" spans="1:40" x14ac:dyDescent="0.3">
      <c r="A1953" t="str">
        <f>"20200111145948089"</f>
        <v>20200111145948089</v>
      </c>
      <c r="B1953" t="str">
        <f>"1578725988077377"</f>
        <v>1578725988077377</v>
      </c>
      <c r="C1953" t="s">
        <v>40</v>
      </c>
      <c r="D1953">
        <v>4.4917999999999996</v>
      </c>
      <c r="E1953">
        <v>0.66409680000000004</v>
      </c>
      <c r="F1953" t="s">
        <v>45</v>
      </c>
      <c r="G1953">
        <v>-196.71279999999999</v>
      </c>
      <c r="H1953" s="1">
        <v>-5.5982650000000003E-6</v>
      </c>
      <c r="I1953">
        <v>357.3974</v>
      </c>
      <c r="J1953">
        <v>-216.77610000000001</v>
      </c>
      <c r="K1953">
        <v>1.1036109999999999</v>
      </c>
      <c r="L1953">
        <v>367.5838</v>
      </c>
      <c r="M1953">
        <v>0.99715889999999996</v>
      </c>
      <c r="N1953">
        <v>0</v>
      </c>
      <c r="O1953">
        <v>-7.3962E-2</v>
      </c>
      <c r="P1953">
        <v>0.99791209999999997</v>
      </c>
      <c r="Q1953">
        <v>4.0899400000000002E-2</v>
      </c>
      <c r="R1953">
        <v>-4.9985109999999999E-2</v>
      </c>
      <c r="S1953">
        <v>2.9415439999999999</v>
      </c>
      <c r="T1953">
        <v>-0.16098570000000001</v>
      </c>
      <c r="U1953">
        <v>-1.4872129999999999</v>
      </c>
      <c r="V1953">
        <v>-2.3783990000000001E-2</v>
      </c>
      <c r="W1953">
        <v>5.5232360000000001E-2</v>
      </c>
      <c r="X1953">
        <v>0.99819020000000003</v>
      </c>
      <c r="Y1953">
        <v>0.38358560000000003</v>
      </c>
      <c r="Z1953">
        <v>-6.0971669999999997E-3</v>
      </c>
      <c r="AA1953">
        <v>0.92348520000000001</v>
      </c>
      <c r="AB1953">
        <v>19</v>
      </c>
      <c r="AC1953">
        <v>20.063300000000002</v>
      </c>
      <c r="AD1953">
        <v>-1.1036165982649999</v>
      </c>
      <c r="AE1953">
        <v>-10.1863999999999</v>
      </c>
      <c r="AF1953">
        <v>8.6536039733975691</v>
      </c>
      <c r="AG1953">
        <v>-1.1036165982649999</v>
      </c>
      <c r="AH1953">
        <v>20.711994418409802</v>
      </c>
      <c r="AI1953">
        <v>92.814695144168994</v>
      </c>
      <c r="AJ1953">
        <v>67.324515361217095</v>
      </c>
      <c r="AK1953">
        <v>22.4741972962908</v>
      </c>
      <c r="AL1953">
        <v>86.833807628898796</v>
      </c>
      <c r="AM1953">
        <v>91.364934706942293</v>
      </c>
      <c r="AN1953">
        <v>0.99999998357376396</v>
      </c>
    </row>
    <row r="1954" spans="1:40" x14ac:dyDescent="0.3">
      <c r="A1954" t="str">
        <f>"20200111145948099"</f>
        <v>20200111145948099</v>
      </c>
      <c r="B1954" t="str">
        <f>"1578725988097874"</f>
        <v>1578725988097874</v>
      </c>
      <c r="C1954" t="s">
        <v>40</v>
      </c>
      <c r="D1954">
        <v>4.4561729999999997</v>
      </c>
      <c r="E1954">
        <v>0.66099479999999999</v>
      </c>
      <c r="F1954" t="s">
        <v>45</v>
      </c>
      <c r="G1954">
        <v>-197.76519999999999</v>
      </c>
      <c r="H1954" s="1">
        <v>-5.9598470000000003E-6</v>
      </c>
      <c r="I1954">
        <v>357.98649999999998</v>
      </c>
      <c r="J1954">
        <v>-216.68020000000001</v>
      </c>
      <c r="K1954">
        <v>1.103604</v>
      </c>
      <c r="L1954">
        <v>367.5752</v>
      </c>
      <c r="M1954">
        <v>0.99706130000000004</v>
      </c>
      <c r="N1954">
        <v>0</v>
      </c>
      <c r="O1954">
        <v>-7.5268219999999997E-2</v>
      </c>
      <c r="P1954">
        <v>0.99780170000000001</v>
      </c>
      <c r="Q1954">
        <v>4.1370770000000001E-2</v>
      </c>
      <c r="R1954">
        <v>-5.177209E-2</v>
      </c>
      <c r="S1954">
        <v>2.9389500000000002</v>
      </c>
      <c r="T1954">
        <v>-0.1706115</v>
      </c>
      <c r="U1954">
        <v>-1.483673</v>
      </c>
      <c r="V1954">
        <v>-2.3299319999999998E-2</v>
      </c>
      <c r="W1954">
        <v>5.5700850000000003E-2</v>
      </c>
      <c r="X1954">
        <v>0.99817560000000005</v>
      </c>
      <c r="Y1954">
        <v>0.3817758</v>
      </c>
      <c r="Z1954">
        <v>-6.3477150000000003E-3</v>
      </c>
      <c r="AA1954">
        <v>0.92423319999999998</v>
      </c>
      <c r="AB1954">
        <v>19</v>
      </c>
      <c r="AC1954">
        <v>18.914999999999999</v>
      </c>
      <c r="AD1954">
        <v>-1.1036099598469999</v>
      </c>
      <c r="AE1954">
        <v>-9.58870000000001</v>
      </c>
      <c r="AF1954">
        <v>8.1156719248213403</v>
      </c>
      <c r="AG1954">
        <v>-1.1036099598469999</v>
      </c>
      <c r="AH1954">
        <v>19.530238400395501</v>
      </c>
      <c r="AI1954">
        <v>92.9870866410552</v>
      </c>
      <c r="AJ1954">
        <v>67.434969212685601</v>
      </c>
      <c r="AK1954">
        <v>21.178108926698101</v>
      </c>
      <c r="AL1954">
        <v>86.806923748730995</v>
      </c>
      <c r="AM1954">
        <v>91.337149829675994</v>
      </c>
      <c r="AN1954">
        <v>0.99999998571927196</v>
      </c>
    </row>
    <row r="1955" spans="1:40" x14ac:dyDescent="0.3">
      <c r="A1955" t="str">
        <f>"20200111145948147"</f>
        <v>20200111145948147</v>
      </c>
      <c r="B1955" t="str">
        <f>"1578725988137889"</f>
        <v>1578725988137889</v>
      </c>
      <c r="C1955" t="s">
        <v>40</v>
      </c>
      <c r="D1955">
        <v>4.5227830000000004</v>
      </c>
      <c r="E1955">
        <v>0.66079100000000002</v>
      </c>
      <c r="F1955" t="s">
        <v>45</v>
      </c>
      <c r="G1955">
        <v>-198.41640000000001</v>
      </c>
      <c r="H1955" s="1">
        <v>-6.2215849999999997E-6</v>
      </c>
      <c r="I1955">
        <v>358.46449999999999</v>
      </c>
      <c r="J1955">
        <v>-216.28229999999999</v>
      </c>
      <c r="K1955">
        <v>1.103561</v>
      </c>
      <c r="L1955">
        <v>367.53789999999998</v>
      </c>
      <c r="M1955">
        <v>0.99662419999999996</v>
      </c>
      <c r="N1955">
        <v>0</v>
      </c>
      <c r="O1955">
        <v>-8.0849309999999994E-2</v>
      </c>
      <c r="P1955">
        <v>0.99722279999999996</v>
      </c>
      <c r="Q1955">
        <v>4.304649E-2</v>
      </c>
      <c r="R1955">
        <v>-6.0773019999999997E-2</v>
      </c>
      <c r="S1955">
        <v>2.9379270000000002</v>
      </c>
      <c r="T1955">
        <v>-0.1775275</v>
      </c>
      <c r="U1955">
        <v>-1.465546</v>
      </c>
      <c r="V1955">
        <v>-1.985893E-2</v>
      </c>
      <c r="W1955">
        <v>5.7361879999999997E-2</v>
      </c>
      <c r="X1955">
        <v>0.99815589999999998</v>
      </c>
      <c r="Y1955">
        <v>0.37214259999999999</v>
      </c>
      <c r="Z1955">
        <v>-6.0257230000000002E-3</v>
      </c>
      <c r="AA1955">
        <v>0.92815599999999998</v>
      </c>
      <c r="AB1955">
        <v>19</v>
      </c>
      <c r="AC1955">
        <v>17.8658999999999</v>
      </c>
      <c r="AD1955">
        <v>-1.1035672215850001</v>
      </c>
      <c r="AE1955">
        <v>-9.0733999999999906</v>
      </c>
      <c r="AF1955">
        <v>7.5761184372997699</v>
      </c>
      <c r="AG1955">
        <v>-1.1035672215850001</v>
      </c>
      <c r="AH1955">
        <v>18.4849862260536</v>
      </c>
      <c r="AI1955">
        <v>93.161866870328396</v>
      </c>
      <c r="AJ1955">
        <v>67.7136045041876</v>
      </c>
      <c r="AK1955">
        <v>20.0077521717444</v>
      </c>
      <c r="AL1955">
        <v>86.711601276471697</v>
      </c>
      <c r="AM1955">
        <v>91.139784655560504</v>
      </c>
      <c r="AN1955">
        <v>0.99999998154134395</v>
      </c>
    </row>
    <row r="1956" spans="1:40" x14ac:dyDescent="0.3">
      <c r="A1956" t="str">
        <f>"20200111145948158"</f>
        <v>20200111145948158</v>
      </c>
      <c r="B1956" t="str">
        <f>"1578725988147650"</f>
        <v>1578725988147650</v>
      </c>
      <c r="C1956" t="s">
        <v>40</v>
      </c>
      <c r="D1956">
        <v>4.5219620000000003</v>
      </c>
      <c r="E1956">
        <v>0.66013279999999996</v>
      </c>
      <c r="F1956" t="s">
        <v>45</v>
      </c>
      <c r="G1956">
        <v>-198.51490000000001</v>
      </c>
      <c r="H1956" s="1">
        <v>-6.2412170000000003E-6</v>
      </c>
      <c r="I1956">
        <v>358.47719999999998</v>
      </c>
      <c r="J1956">
        <v>-216.18289999999999</v>
      </c>
      <c r="K1956">
        <v>1.1035509999999999</v>
      </c>
      <c r="L1956">
        <v>367.52820000000003</v>
      </c>
      <c r="M1956">
        <v>0.99650760000000005</v>
      </c>
      <c r="N1956">
        <v>0</v>
      </c>
      <c r="O1956">
        <v>-8.2275790000000001E-2</v>
      </c>
      <c r="P1956">
        <v>0.99704409999999999</v>
      </c>
      <c r="Q1956">
        <v>4.3531859999999999E-2</v>
      </c>
      <c r="R1956">
        <v>-6.3310820000000004E-2</v>
      </c>
      <c r="S1956">
        <v>2.9252929999999999</v>
      </c>
      <c r="T1956">
        <v>-0.1816961</v>
      </c>
      <c r="U1956">
        <v>-1.4917910000000001</v>
      </c>
      <c r="V1956">
        <v>-1.8741319999999999E-2</v>
      </c>
      <c r="W1956">
        <v>5.784268E-2</v>
      </c>
      <c r="X1956">
        <v>0.99814979999999998</v>
      </c>
      <c r="Y1956">
        <v>0.37900709999999999</v>
      </c>
      <c r="Z1956">
        <v>-6.2977369999999899E-3</v>
      </c>
      <c r="AA1956">
        <v>0.92537239999999998</v>
      </c>
      <c r="AB1956">
        <v>19</v>
      </c>
      <c r="AC1956">
        <v>17.6679999999999</v>
      </c>
      <c r="AD1956">
        <v>-1.1035572412170001</v>
      </c>
      <c r="AE1956">
        <v>-9.0510000000000392</v>
      </c>
      <c r="AF1956">
        <v>7.5431997238988897</v>
      </c>
      <c r="AG1956">
        <v>-1.1035572412170001</v>
      </c>
      <c r="AH1956">
        <v>18.296298260250701</v>
      </c>
      <c r="AI1956">
        <v>93.191658816701903</v>
      </c>
      <c r="AJ1956">
        <v>67.594620458399305</v>
      </c>
      <c r="AK1956">
        <v>19.821004785008299</v>
      </c>
      <c r="AL1956">
        <v>86.684007769665698</v>
      </c>
      <c r="AM1956">
        <v>91.075662570284294</v>
      </c>
      <c r="AN1956">
        <v>1.0000000179724799</v>
      </c>
    </row>
    <row r="1957" spans="1:40" x14ac:dyDescent="0.3">
      <c r="A1957" t="str">
        <f>"20200111145948171"</f>
        <v>20200111145948171</v>
      </c>
      <c r="B1957" t="str">
        <f>"1578725988167169"</f>
        <v>1578725988167169</v>
      </c>
      <c r="C1957" t="s">
        <v>40</v>
      </c>
      <c r="D1957">
        <v>4.4565099999999997</v>
      </c>
      <c r="E1957">
        <v>0.65899399999999997</v>
      </c>
      <c r="F1957" t="s">
        <v>45</v>
      </c>
      <c r="G1957">
        <v>-198.39070000000001</v>
      </c>
      <c r="H1957" s="1">
        <v>-6.2061629999999996E-6</v>
      </c>
      <c r="I1957">
        <v>358.43049999999999</v>
      </c>
      <c r="J1957">
        <v>-216.07900000000001</v>
      </c>
      <c r="K1957">
        <v>1.1035410000000001</v>
      </c>
      <c r="L1957">
        <v>367.5179</v>
      </c>
      <c r="M1957">
        <v>0.99638179999999998</v>
      </c>
      <c r="N1957">
        <v>0</v>
      </c>
      <c r="O1957">
        <v>-8.3785890000000002E-2</v>
      </c>
      <c r="P1957">
        <v>0.99687680000000001</v>
      </c>
      <c r="Q1957">
        <v>4.3985240000000002E-2</v>
      </c>
      <c r="R1957">
        <v>-6.5590529999999994E-2</v>
      </c>
      <c r="S1957">
        <v>2.9219360000000001</v>
      </c>
      <c r="T1957">
        <v>-0.18123230000000001</v>
      </c>
      <c r="U1957">
        <v>-1.4940800000000001</v>
      </c>
      <c r="V1957">
        <v>-1.7965519999999999E-2</v>
      </c>
      <c r="W1957">
        <v>5.8291580000000003E-2</v>
      </c>
      <c r="X1957">
        <v>0.99813799999999997</v>
      </c>
      <c r="Y1957">
        <v>0.37861450000000002</v>
      </c>
      <c r="Z1957">
        <v>-6.188575E-3</v>
      </c>
      <c r="AA1957">
        <v>0.92553379999999996</v>
      </c>
      <c r="AB1957">
        <v>19</v>
      </c>
      <c r="AC1957">
        <v>17.688299999999899</v>
      </c>
      <c r="AD1957">
        <v>-1.1035472061629901</v>
      </c>
      <c r="AE1957">
        <v>-9.0874000000000006</v>
      </c>
      <c r="AF1957">
        <v>7.5500092279510396</v>
      </c>
      <c r="AG1957">
        <v>-1.1035472061629901</v>
      </c>
      <c r="AH1957">
        <v>18.331113667211302</v>
      </c>
      <c r="AI1957">
        <v>93.186041544259496</v>
      </c>
      <c r="AJ1957">
        <v>67.6147777949827</v>
      </c>
      <c r="AK1957">
        <v>19.855734286563099</v>
      </c>
      <c r="AL1957">
        <v>86.658244389275396</v>
      </c>
      <c r="AM1957">
        <v>91.031157351642705</v>
      </c>
      <c r="AN1957">
        <v>1.00000006762588</v>
      </c>
    </row>
    <row r="1958" spans="1:40" x14ac:dyDescent="0.3">
      <c r="A1958" t="str">
        <f>"20200111145948184"</f>
        <v>20200111145948184</v>
      </c>
      <c r="B1958" t="str">
        <f>"1578725988177905"</f>
        <v>1578725988177905</v>
      </c>
      <c r="C1958" t="s">
        <v>40</v>
      </c>
      <c r="D1958">
        <v>4.4259380000000004</v>
      </c>
      <c r="E1958">
        <v>0.65932539999999995</v>
      </c>
      <c r="F1958" t="s">
        <v>45</v>
      </c>
      <c r="G1958">
        <v>-195.77430000000001</v>
      </c>
      <c r="H1958" s="1">
        <v>-5.36933E-6</v>
      </c>
      <c r="I1958">
        <v>357.15129999999999</v>
      </c>
      <c r="J1958">
        <v>-215.96780000000001</v>
      </c>
      <c r="K1958">
        <v>1.1035280000000001</v>
      </c>
      <c r="L1958">
        <v>367.50659999999999</v>
      </c>
      <c r="M1958">
        <v>0.99624380000000001</v>
      </c>
      <c r="N1958">
        <v>0</v>
      </c>
      <c r="O1958">
        <v>-8.5411959999999995E-2</v>
      </c>
      <c r="P1958">
        <v>0.99671829999999995</v>
      </c>
      <c r="Q1958">
        <v>4.3886590000000003E-2</v>
      </c>
      <c r="R1958">
        <v>-6.8020780000000003E-2</v>
      </c>
      <c r="S1958">
        <v>2.9183500000000002</v>
      </c>
      <c r="T1958">
        <v>-0.15861049999999999</v>
      </c>
      <c r="U1958">
        <v>-1.48996</v>
      </c>
      <c r="V1958">
        <v>-1.7159359999999999E-2</v>
      </c>
      <c r="W1958">
        <v>5.818972E-2</v>
      </c>
      <c r="X1958">
        <v>0.99815799999999999</v>
      </c>
      <c r="Y1958">
        <v>0.37663550000000001</v>
      </c>
      <c r="Z1958">
        <v>-5.2918560000000002E-3</v>
      </c>
      <c r="AA1958">
        <v>0.92634640000000001</v>
      </c>
      <c r="AB1958">
        <v>19</v>
      </c>
      <c r="AC1958">
        <v>20.1935</v>
      </c>
      <c r="AD1958">
        <v>-1.10353336933</v>
      </c>
      <c r="AE1958">
        <v>-10.3553</v>
      </c>
      <c r="AF1958">
        <v>8.5722397518264799</v>
      </c>
      <c r="AG1958">
        <v>-1.10353336933</v>
      </c>
      <c r="AH1958">
        <v>20.954699370646999</v>
      </c>
      <c r="AI1958">
        <v>92.790503332261807</v>
      </c>
      <c r="AJ1958">
        <v>67.751297852414694</v>
      </c>
      <c r="AK1958">
        <v>22.667168018396399</v>
      </c>
      <c r="AL1958">
        <v>86.664090034222596</v>
      </c>
      <c r="AM1958">
        <v>90.984876214870297</v>
      </c>
      <c r="AN1958">
        <v>0.99999994005664194</v>
      </c>
    </row>
    <row r="1959" spans="1:40" x14ac:dyDescent="0.3">
      <c r="A1959" t="str">
        <f>"20200111145948272"</f>
        <v>20200111145948272</v>
      </c>
      <c r="B1959" t="str">
        <f>"1578725988267230"</f>
        <v>1578725988267230</v>
      </c>
      <c r="C1959" t="s">
        <v>40</v>
      </c>
      <c r="D1959">
        <v>4.0855189999999997</v>
      </c>
      <c r="E1959">
        <v>0.6645607</v>
      </c>
      <c r="F1959" t="s">
        <v>45</v>
      </c>
      <c r="G1959">
        <v>-195.46729999999999</v>
      </c>
      <c r="H1959" s="1">
        <v>-5.2558489999999996E-6</v>
      </c>
      <c r="I1959">
        <v>356.9556</v>
      </c>
      <c r="J1959">
        <v>-215.2319</v>
      </c>
      <c r="K1959">
        <v>1.103521</v>
      </c>
      <c r="L1959">
        <v>367.42720000000003</v>
      </c>
      <c r="M1959">
        <v>0.99524239999999997</v>
      </c>
      <c r="N1959">
        <v>0</v>
      </c>
      <c r="O1959">
        <v>-9.6382229999999999E-2</v>
      </c>
      <c r="P1959">
        <v>0.99564459999999999</v>
      </c>
      <c r="Q1959">
        <v>4.1874649999999999E-2</v>
      </c>
      <c r="R1959">
        <v>-8.3296529999999994E-2</v>
      </c>
      <c r="S1959">
        <v>2.9144130000000001</v>
      </c>
      <c r="T1959">
        <v>-0.15688160000000001</v>
      </c>
      <c r="U1959">
        <v>-1.4999690000000001</v>
      </c>
      <c r="V1959">
        <v>-1.286328E-2</v>
      </c>
      <c r="W1959">
        <v>5.6150289999999999E-2</v>
      </c>
      <c r="X1959">
        <v>0.99833950000000005</v>
      </c>
      <c r="Y1959">
        <v>0.36947350000000001</v>
      </c>
      <c r="Z1959">
        <v>-4.5076439999999999E-3</v>
      </c>
      <c r="AA1959">
        <v>0.92923029999999995</v>
      </c>
      <c r="AB1959">
        <v>19</v>
      </c>
      <c r="AC1959">
        <v>19.764600000000002</v>
      </c>
      <c r="AD1959">
        <v>-1.103526255849</v>
      </c>
      <c r="AE1959">
        <v>-10.4716</v>
      </c>
      <c r="AF1959">
        <v>8.4970061662274308</v>
      </c>
      <c r="AG1959">
        <v>-1.103526255849</v>
      </c>
      <c r="AH1959">
        <v>20.6317238572842</v>
      </c>
      <c r="AI1959">
        <v>92.831358445610107</v>
      </c>
      <c r="AJ1959">
        <v>67.616088536636099</v>
      </c>
      <c r="AK1959">
        <v>22.340208443733999</v>
      </c>
      <c r="AL1959">
        <v>86.781132536900301</v>
      </c>
      <c r="AM1959">
        <v>90.738196649333503</v>
      </c>
      <c r="AN1959">
        <v>1.00000003814984</v>
      </c>
    </row>
    <row r="1960" spans="1:40" x14ac:dyDescent="0.3">
      <c r="A1960" t="str">
        <f>"20200111145948284"</f>
        <v>20200111145948284</v>
      </c>
      <c r="B1960" t="str">
        <f>"1578725988277966"</f>
        <v>1578725988277966</v>
      </c>
      <c r="C1960" t="s">
        <v>40</v>
      </c>
      <c r="D1960">
        <v>4.0510229999999998</v>
      </c>
      <c r="E1960">
        <v>0.6666936</v>
      </c>
      <c r="F1960" t="s">
        <v>45</v>
      </c>
      <c r="G1960">
        <v>-187.21199999999999</v>
      </c>
      <c r="H1960" s="1">
        <v>-1.8410620000000001E-6</v>
      </c>
      <c r="I1960">
        <v>352.05720000000002</v>
      </c>
      <c r="J1960">
        <v>-215.12780000000001</v>
      </c>
      <c r="K1960">
        <v>1.103531</v>
      </c>
      <c r="L1960">
        <v>367.4153</v>
      </c>
      <c r="M1960">
        <v>0.99509080000000005</v>
      </c>
      <c r="N1960">
        <v>0</v>
      </c>
      <c r="O1960">
        <v>-9.7935919999999996E-2</v>
      </c>
      <c r="P1960">
        <v>0.99552969999999996</v>
      </c>
      <c r="Q1960">
        <v>4.179385E-2</v>
      </c>
      <c r="R1960">
        <v>-8.4697889999999998E-2</v>
      </c>
      <c r="S1960">
        <v>2.8854679999999999</v>
      </c>
      <c r="T1960">
        <v>-0.11364</v>
      </c>
      <c r="U1960">
        <v>-1.582794</v>
      </c>
      <c r="V1960">
        <v>-1.3019009999999999E-2</v>
      </c>
      <c r="W1960">
        <v>5.6067440000000003E-2</v>
      </c>
      <c r="X1960">
        <v>0.99834210000000001</v>
      </c>
      <c r="Y1960">
        <v>0.39257520000000001</v>
      </c>
      <c r="Z1960">
        <v>-3.6442229999999998E-3</v>
      </c>
      <c r="AA1960">
        <v>0.91971270000000005</v>
      </c>
      <c r="AB1960">
        <v>19</v>
      </c>
      <c r="AC1960">
        <v>27.915799999999901</v>
      </c>
      <c r="AD1960">
        <v>-1.103532841062</v>
      </c>
      <c r="AE1960">
        <v>-15.358099999999901</v>
      </c>
      <c r="AF1960">
        <v>12.534980541974001</v>
      </c>
      <c r="AG1960">
        <v>-1.103532841062</v>
      </c>
      <c r="AH1960">
        <v>29.250746898949</v>
      </c>
      <c r="AI1960">
        <v>91.986033901066705</v>
      </c>
      <c r="AJ1960">
        <v>66.803153442091002</v>
      </c>
      <c r="AK1960">
        <v>31.842577095225</v>
      </c>
      <c r="AL1960">
        <v>86.785886860929295</v>
      </c>
      <c r="AM1960">
        <v>90.747130714723198</v>
      </c>
      <c r="AN1960">
        <v>1.0000000005409699</v>
      </c>
    </row>
    <row r="1961" spans="1:40" x14ac:dyDescent="0.3">
      <c r="A1961" t="str">
        <f>"20200111145948295"</f>
        <v>20200111145948295</v>
      </c>
      <c r="B1961" t="str">
        <f>"1578725988287726"</f>
        <v>1578725988287726</v>
      </c>
      <c r="C1961" t="s">
        <v>40</v>
      </c>
      <c r="D1961">
        <v>4.3815119999999999</v>
      </c>
      <c r="E1961">
        <v>0.66633009999999904</v>
      </c>
      <c r="F1961" t="s">
        <v>45</v>
      </c>
      <c r="G1961">
        <v>-183.29169999999999</v>
      </c>
      <c r="H1961" s="1">
        <v>-1.817188E-6</v>
      </c>
      <c r="I1961">
        <v>349.70010000000002</v>
      </c>
      <c r="J1961">
        <v>-215.0265</v>
      </c>
      <c r="K1961">
        <v>1.1035410000000001</v>
      </c>
      <c r="L1961">
        <v>367.40359999999998</v>
      </c>
      <c r="M1961">
        <v>0.99494139999999998</v>
      </c>
      <c r="N1961">
        <v>0</v>
      </c>
      <c r="O1961">
        <v>-9.9443240000000002E-2</v>
      </c>
      <c r="P1961">
        <v>0.9954018</v>
      </c>
      <c r="Q1961">
        <v>4.210212E-2</v>
      </c>
      <c r="R1961">
        <v>-8.6041629999999994E-2</v>
      </c>
      <c r="S1961">
        <v>2.8812410000000002</v>
      </c>
      <c r="T1961">
        <v>-9.9872470000000005E-2</v>
      </c>
      <c r="U1961">
        <v>-1.6032709999999999</v>
      </c>
      <c r="V1961">
        <v>-1.318302E-2</v>
      </c>
      <c r="W1961">
        <v>5.6373079999999999E-2</v>
      </c>
      <c r="X1961">
        <v>0.99832270000000001</v>
      </c>
      <c r="Y1961">
        <v>0.39679120000000001</v>
      </c>
      <c r="Z1961">
        <v>-3.2223809999999999E-3</v>
      </c>
      <c r="AA1961">
        <v>0.91790320000000003</v>
      </c>
      <c r="AB1961">
        <v>19</v>
      </c>
      <c r="AC1961">
        <v>31.7348</v>
      </c>
      <c r="AD1961">
        <v>-1.103542817188</v>
      </c>
      <c r="AE1961">
        <v>-17.703499999999899</v>
      </c>
      <c r="AF1961">
        <v>14.4462762577758</v>
      </c>
      <c r="AG1961">
        <v>-1.103542817188</v>
      </c>
      <c r="AH1961">
        <v>33.307421053081796</v>
      </c>
      <c r="AI1961">
        <v>91.7410344710499</v>
      </c>
      <c r="AJ1961">
        <v>66.552394948537994</v>
      </c>
      <c r="AK1961">
        <v>36.322128264635403</v>
      </c>
      <c r="AL1961">
        <v>86.768347122197696</v>
      </c>
      <c r="AM1961">
        <v>90.756556480000398</v>
      </c>
      <c r="AN1961">
        <v>0.99999996475014696</v>
      </c>
    </row>
    <row r="1962" spans="1:40" x14ac:dyDescent="0.3">
      <c r="A1962" t="str">
        <f>"20200111145948321"</f>
        <v>20200111145948321</v>
      </c>
      <c r="B1962" t="str">
        <f>"1578725988317982"</f>
        <v>1578725988317982</v>
      </c>
      <c r="C1962" t="s">
        <v>40</v>
      </c>
      <c r="D1962">
        <v>4.0111520000000001</v>
      </c>
      <c r="E1962">
        <v>0.66633009999999904</v>
      </c>
      <c r="F1962" t="s">
        <v>45</v>
      </c>
      <c r="G1962">
        <v>-184.78649999999999</v>
      </c>
      <c r="H1962" s="1">
        <v>-1.7073120000000001E-6</v>
      </c>
      <c r="I1962">
        <v>350.55110000000002</v>
      </c>
      <c r="J1962">
        <v>-214.81440000000001</v>
      </c>
      <c r="K1962">
        <v>1.103564</v>
      </c>
      <c r="L1962">
        <v>367.37860000000001</v>
      </c>
      <c r="M1962">
        <v>0.99462260000000002</v>
      </c>
      <c r="N1962">
        <v>0</v>
      </c>
      <c r="O1962">
        <v>-0.1025821</v>
      </c>
      <c r="P1962">
        <v>0.9952415</v>
      </c>
      <c r="Q1962">
        <v>4.1869129999999997E-2</v>
      </c>
      <c r="R1962">
        <v>-8.7986259999999997E-2</v>
      </c>
      <c r="S1962">
        <v>2.879578</v>
      </c>
      <c r="T1962">
        <v>-0.10508389999999999</v>
      </c>
      <c r="U1962">
        <v>-1.6047670000000001</v>
      </c>
      <c r="V1962">
        <v>-1.4388049999999999E-2</v>
      </c>
      <c r="W1962">
        <v>5.6137430000000002E-2</v>
      </c>
      <c r="X1962">
        <v>0.99831939999999997</v>
      </c>
      <c r="Y1962">
        <v>0.39447120000000002</v>
      </c>
      <c r="Z1962">
        <v>-3.247308E-3</v>
      </c>
      <c r="AA1962">
        <v>0.91890260000000001</v>
      </c>
      <c r="AB1962">
        <v>19</v>
      </c>
      <c r="AC1962">
        <v>30.027899999999999</v>
      </c>
      <c r="AD1962">
        <v>-1.103565707312</v>
      </c>
      <c r="AE1962">
        <v>-16.827499999999901</v>
      </c>
      <c r="AF1962">
        <v>13.644047470552801</v>
      </c>
      <c r="AG1962">
        <v>-1.103565707312</v>
      </c>
      <c r="AH1962">
        <v>31.563389218931999</v>
      </c>
      <c r="AI1962">
        <v>91.838180648083807</v>
      </c>
      <c r="AJ1962">
        <v>66.622403957216704</v>
      </c>
      <c r="AK1962">
        <v>34.403857743498001</v>
      </c>
      <c r="AL1962">
        <v>86.781870484599395</v>
      </c>
      <c r="AM1962">
        <v>90.825705149685902</v>
      </c>
      <c r="AN1962">
        <v>1.0000000257230801</v>
      </c>
    </row>
    <row r="1963" spans="1:40" x14ac:dyDescent="0.3">
      <c r="A1963" t="str">
        <f>"20200111145948332"</f>
        <v>20200111145948332</v>
      </c>
      <c r="B1963" t="str">
        <f>"1578725988327742"</f>
        <v>1578725988327742</v>
      </c>
      <c r="C1963" t="s">
        <v>40</v>
      </c>
      <c r="D1963">
        <v>4.3487790000000004</v>
      </c>
      <c r="E1963">
        <v>0.60344819999999999</v>
      </c>
      <c r="F1963" t="s">
        <v>45</v>
      </c>
      <c r="G1963">
        <v>-184.49709999999999</v>
      </c>
      <c r="H1963" s="1">
        <v>-1.7343479999999999E-6</v>
      </c>
      <c r="I1963">
        <v>350.40339999999998</v>
      </c>
      <c r="J1963">
        <v>-214.72190000000001</v>
      </c>
      <c r="K1963">
        <v>1.1035729999999999</v>
      </c>
      <c r="L1963">
        <v>367.36750000000001</v>
      </c>
      <c r="M1963">
        <v>0.99448130000000001</v>
      </c>
      <c r="N1963">
        <v>0</v>
      </c>
      <c r="O1963">
        <v>-0.10394349999999999</v>
      </c>
      <c r="P1963">
        <v>0.99523740000000005</v>
      </c>
      <c r="Q1963">
        <v>4.1436359999999998E-2</v>
      </c>
      <c r="R1963">
        <v>-8.823599E-2</v>
      </c>
      <c r="S1963">
        <v>2.8763730000000001</v>
      </c>
      <c r="T1963">
        <v>-0.10470119999999999</v>
      </c>
      <c r="U1963">
        <v>-1.610535</v>
      </c>
      <c r="V1963">
        <v>-1.5509480000000001E-2</v>
      </c>
      <c r="W1963">
        <v>5.5706569999999997E-2</v>
      </c>
      <c r="X1963">
        <v>0.99832670000000001</v>
      </c>
      <c r="Y1963">
        <v>0.39505380000000001</v>
      </c>
      <c r="Z1963">
        <v>-3.2017510000000001E-3</v>
      </c>
      <c r="AA1963">
        <v>0.91865240000000004</v>
      </c>
      <c r="AB1963">
        <v>19</v>
      </c>
      <c r="AC1963">
        <v>30.224799999999998</v>
      </c>
      <c r="AD1963">
        <v>-1.103574734348</v>
      </c>
      <c r="AE1963">
        <v>-16.964099999999998</v>
      </c>
      <c r="AF1963">
        <v>13.7162949503475</v>
      </c>
      <c r="AG1963">
        <v>-1.103574734348</v>
      </c>
      <c r="AH1963">
        <v>31.7923012895616</v>
      </c>
      <c r="AI1963">
        <v>91.825526880612102</v>
      </c>
      <c r="AJ1963">
        <v>66.662967143565695</v>
      </c>
      <c r="AK1963">
        <v>34.642532321490002</v>
      </c>
      <c r="AL1963">
        <v>86.806595498278796</v>
      </c>
      <c r="AM1963">
        <v>90.890045579663493</v>
      </c>
      <c r="AN1963">
        <v>0.99999998292196202</v>
      </c>
    </row>
    <row r="1964" spans="1:40" x14ac:dyDescent="0.3">
      <c r="A1964" t="str">
        <f>"20200111145948344"</f>
        <v>20200111145948344</v>
      </c>
      <c r="B1964" t="str">
        <f>"1578725988337502"</f>
        <v>1578725988337502</v>
      </c>
      <c r="C1964" t="s">
        <v>40</v>
      </c>
      <c r="D1964">
        <v>4.3557379999999997</v>
      </c>
      <c r="E1964">
        <v>0.60583980000000004</v>
      </c>
      <c r="F1964" t="s">
        <v>48</v>
      </c>
      <c r="G1964">
        <v>-149.15369999999999</v>
      </c>
      <c r="H1964">
        <v>1.401092</v>
      </c>
      <c r="I1964">
        <v>342.64400000000001</v>
      </c>
      <c r="J1964">
        <v>-214.63130000000001</v>
      </c>
      <c r="K1964">
        <v>1.103583</v>
      </c>
      <c r="L1964">
        <v>367.35640000000001</v>
      </c>
      <c r="M1964">
        <v>0.99434140000000004</v>
      </c>
      <c r="N1964">
        <v>0</v>
      </c>
      <c r="O1964">
        <v>-0.1052753</v>
      </c>
      <c r="P1964">
        <v>0.99529290000000004</v>
      </c>
      <c r="Q1964">
        <v>4.0551190000000001E-2</v>
      </c>
      <c r="R1964">
        <v>-8.8022600000000006E-2</v>
      </c>
      <c r="S1964">
        <v>2.9163209999999999</v>
      </c>
      <c r="T1964">
        <v>1.3233180000000001E-2</v>
      </c>
      <c r="U1964">
        <v>-1.09964</v>
      </c>
      <c r="V1964">
        <v>-1.7069319999999999E-2</v>
      </c>
      <c r="W1964">
        <v>5.4823379999999998E-2</v>
      </c>
      <c r="X1964">
        <v>0.99835010000000002</v>
      </c>
      <c r="Y1964">
        <v>0.25233860000000002</v>
      </c>
      <c r="Z1964" s="1">
        <v>9.4450780000000006E-5</v>
      </c>
      <c r="AA1964">
        <v>0.96763900000000003</v>
      </c>
      <c r="AB1964">
        <v>19</v>
      </c>
      <c r="AC1964">
        <v>65.477599999999995</v>
      </c>
      <c r="AD1964">
        <v>0.29750900000000002</v>
      </c>
      <c r="AE1964">
        <v>-24.712399999999999</v>
      </c>
      <c r="AF1964">
        <v>17.680857387046501</v>
      </c>
      <c r="AG1964">
        <v>0.29750900000000002</v>
      </c>
      <c r="AH1964">
        <v>67.714319602039097</v>
      </c>
      <c r="AI1964">
        <v>89.7564333920363</v>
      </c>
      <c r="AJ1964">
        <v>75.366251285430096</v>
      </c>
      <c r="AK1964">
        <v>69.985214929392399</v>
      </c>
      <c r="AL1964">
        <v>86.857275889909602</v>
      </c>
      <c r="AM1964">
        <v>90.979520825164798</v>
      </c>
      <c r="AN1964">
        <v>0.99999994342494603</v>
      </c>
    </row>
    <row r="1965" spans="1:40" x14ac:dyDescent="0.3">
      <c r="A1965" t="str">
        <f>"20200111145948356"</f>
        <v>20200111145948356</v>
      </c>
      <c r="B1965" t="str">
        <f>"1578725988347262"</f>
        <v>1578725988347262</v>
      </c>
      <c r="C1965" t="s">
        <v>40</v>
      </c>
      <c r="D1965">
        <v>4.3673270000000004</v>
      </c>
      <c r="E1965">
        <v>0.60816320000000001</v>
      </c>
      <c r="F1965" t="s">
        <v>48</v>
      </c>
      <c r="G1965">
        <v>-149.96559999999999</v>
      </c>
      <c r="H1965">
        <v>0.78993809999999998</v>
      </c>
      <c r="I1965">
        <v>342.51229999999998</v>
      </c>
      <c r="J1965">
        <v>-214.5273</v>
      </c>
      <c r="K1965">
        <v>1.103593</v>
      </c>
      <c r="L1965">
        <v>367.34359999999998</v>
      </c>
      <c r="M1965">
        <v>0.99417880000000003</v>
      </c>
      <c r="N1965">
        <v>0</v>
      </c>
      <c r="O1965">
        <v>-0.10679959999999999</v>
      </c>
      <c r="P1965">
        <v>0.99532209999999999</v>
      </c>
      <c r="Q1965">
        <v>3.9940099999999999E-2</v>
      </c>
      <c r="R1965">
        <v>-8.7970229999999996E-2</v>
      </c>
      <c r="S1965">
        <v>2.9156650000000002</v>
      </c>
      <c r="T1965">
        <v>-1.414144E-2</v>
      </c>
      <c r="U1965">
        <v>-1.1201779999999999</v>
      </c>
      <c r="V1965">
        <v>-1.8659459999999999E-2</v>
      </c>
      <c r="W1965">
        <v>5.4214409999999998E-2</v>
      </c>
      <c r="X1965">
        <v>0.99835499999999999</v>
      </c>
      <c r="Y1965">
        <v>0.25687739999999998</v>
      </c>
      <c r="Z1965">
        <v>-1.044617E-4</v>
      </c>
      <c r="AA1965">
        <v>0.96644399999999997</v>
      </c>
      <c r="AB1965">
        <v>19</v>
      </c>
      <c r="AC1965">
        <v>64.561700000000002</v>
      </c>
      <c r="AD1965">
        <v>-0.31365490000000001</v>
      </c>
      <c r="AE1965">
        <v>-24.831299999999999</v>
      </c>
      <c r="AF1965">
        <v>17.7930228804256</v>
      </c>
      <c r="AG1965">
        <v>-0.31365490000000001</v>
      </c>
      <c r="AH1965">
        <v>66.843235638560799</v>
      </c>
      <c r="AI1965">
        <v>90.259805576780593</v>
      </c>
      <c r="AJ1965">
        <v>75.094066058504595</v>
      </c>
      <c r="AK1965">
        <v>69.171585157865294</v>
      </c>
      <c r="AL1965">
        <v>86.892219579435107</v>
      </c>
      <c r="AM1965">
        <v>91.070745219647705</v>
      </c>
      <c r="AN1965">
        <v>1.00000004186206</v>
      </c>
    </row>
    <row r="1966" spans="1:40" x14ac:dyDescent="0.3">
      <c r="A1966" t="str">
        <f>"20200111145948369"</f>
        <v>20200111145948369</v>
      </c>
      <c r="B1966" t="str">
        <f>"1578725988357998"</f>
        <v>1578725988357998</v>
      </c>
      <c r="C1966" t="s">
        <v>40</v>
      </c>
      <c r="D1966">
        <v>4.3322849999999997</v>
      </c>
      <c r="E1966">
        <v>0.60888169999999897</v>
      </c>
      <c r="F1966" t="s">
        <v>48</v>
      </c>
      <c r="G1966">
        <v>-150.20169999999999</v>
      </c>
      <c r="H1966">
        <v>0.51484220000000003</v>
      </c>
      <c r="I1966">
        <v>342.19</v>
      </c>
      <c r="J1966">
        <v>-214.42580000000001</v>
      </c>
      <c r="K1966">
        <v>1.1036049999999999</v>
      </c>
      <c r="L1966">
        <v>367.33100000000002</v>
      </c>
      <c r="M1966">
        <v>0.99401839999999997</v>
      </c>
      <c r="N1966">
        <v>0</v>
      </c>
      <c r="O1966">
        <v>-0.1082828</v>
      </c>
      <c r="P1966">
        <v>0.99534489999999998</v>
      </c>
      <c r="Q1966">
        <v>3.986435E-2</v>
      </c>
      <c r="R1966">
        <v>-8.7746660000000004E-2</v>
      </c>
      <c r="S1966">
        <v>2.914444</v>
      </c>
      <c r="T1966">
        <v>-2.6674630000000001E-2</v>
      </c>
      <c r="U1966">
        <v>-1.139648</v>
      </c>
      <c r="V1966">
        <v>-2.0376160000000001E-2</v>
      </c>
      <c r="W1966">
        <v>5.4141090000000003E-2</v>
      </c>
      <c r="X1966">
        <v>0.99832529999999997</v>
      </c>
      <c r="Y1966">
        <v>0.261177299999999</v>
      </c>
      <c r="Z1966">
        <v>-2.0303629999999999E-4</v>
      </c>
      <c r="AA1966">
        <v>0.9652908</v>
      </c>
      <c r="AB1966">
        <v>19</v>
      </c>
      <c r="AC1966">
        <v>64.224100000000007</v>
      </c>
      <c r="AD1966">
        <v>-0.58876279999999903</v>
      </c>
      <c r="AE1966">
        <v>-25.140999999999899</v>
      </c>
      <c r="AF1966">
        <v>18.036761073761301</v>
      </c>
      <c r="AG1966">
        <v>-0.58876279999999903</v>
      </c>
      <c r="AH1966">
        <v>66.564156603111698</v>
      </c>
      <c r="AI1966">
        <v>90.489132388605597</v>
      </c>
      <c r="AJ1966">
        <v>74.838739888546797</v>
      </c>
      <c r="AK1966">
        <v>68.967081538587607</v>
      </c>
      <c r="AL1966">
        <v>86.896426321935706</v>
      </c>
      <c r="AM1966">
        <v>91.169264062325396</v>
      </c>
      <c r="AN1966">
        <v>0.999999925071409</v>
      </c>
    </row>
    <row r="1967" spans="1:40" x14ac:dyDescent="0.3">
      <c r="A1967" t="str">
        <f>"20200111145948381"</f>
        <v>20200111145948381</v>
      </c>
      <c r="B1967" t="str">
        <f>"1578725988367759"</f>
        <v>1578725988367759</v>
      </c>
      <c r="C1967" t="s">
        <v>40</v>
      </c>
      <c r="D1967">
        <v>4.3504719999999999</v>
      </c>
      <c r="E1967">
        <v>0.60955870000000001</v>
      </c>
      <c r="F1967" t="s">
        <v>48</v>
      </c>
      <c r="G1967">
        <v>-150.51939999999999</v>
      </c>
      <c r="H1967">
        <v>7.3227020000000004E-2</v>
      </c>
      <c r="I1967">
        <v>342.19</v>
      </c>
      <c r="J1967">
        <v>-214.32660000000001</v>
      </c>
      <c r="K1967">
        <v>1.1036140000000001</v>
      </c>
      <c r="L1967">
        <v>367.31849999999997</v>
      </c>
      <c r="M1967">
        <v>0.99385959999999995</v>
      </c>
      <c r="N1967">
        <v>0</v>
      </c>
      <c r="O1967">
        <v>-0.1097321</v>
      </c>
      <c r="P1967">
        <v>0.99534849999999997</v>
      </c>
      <c r="Q1967">
        <v>3.9902670000000001E-2</v>
      </c>
      <c r="R1967">
        <v>-8.769035E-2</v>
      </c>
      <c r="S1967">
        <v>2.914825</v>
      </c>
      <c r="T1967">
        <v>-4.6996120000000002E-2</v>
      </c>
      <c r="U1967">
        <v>-1.146698</v>
      </c>
      <c r="V1967">
        <v>-2.1889889999999999E-2</v>
      </c>
      <c r="W1967">
        <v>5.4181090000000001E-2</v>
      </c>
      <c r="X1967">
        <v>0.99829109999999999</v>
      </c>
      <c r="Y1967">
        <v>0.26173869999999999</v>
      </c>
      <c r="Z1967">
        <v>-3.3971709999999999E-4</v>
      </c>
      <c r="AA1967">
        <v>0.96513870000000002</v>
      </c>
      <c r="AB1967">
        <v>19</v>
      </c>
      <c r="AC1967">
        <v>63.807200000000002</v>
      </c>
      <c r="AD1967">
        <v>-1.0303869799999901</v>
      </c>
      <c r="AE1967">
        <v>-25.128499999999899</v>
      </c>
      <c r="AF1967">
        <v>17.9702611212813</v>
      </c>
      <c r="AG1967">
        <v>-1.0303869799999901</v>
      </c>
      <c r="AH1967">
        <v>66.164547330962506</v>
      </c>
      <c r="AI1967">
        <v>90.861013712319703</v>
      </c>
      <c r="AJ1967">
        <v>74.805039117841403</v>
      </c>
      <c r="AK1967">
        <v>68.569230020518503</v>
      </c>
      <c r="AL1967">
        <v>86.894131165228799</v>
      </c>
      <c r="AM1967">
        <v>91.256143983402794</v>
      </c>
      <c r="AN1967">
        <v>0.99999993906850304</v>
      </c>
    </row>
    <row r="1968" spans="1:40" x14ac:dyDescent="0.3">
      <c r="A1968" t="str">
        <f>"20200111145948393"</f>
        <v>20200111145948393</v>
      </c>
      <c r="B1968" t="str">
        <f>"1578725988387280"</f>
        <v>1578725988387280</v>
      </c>
      <c r="C1968" t="s">
        <v>40</v>
      </c>
      <c r="D1968">
        <v>4.2649119999999998</v>
      </c>
      <c r="E1968">
        <v>0.60907159999999905</v>
      </c>
      <c r="F1968" t="s">
        <v>43</v>
      </c>
      <c r="G1968">
        <v>-158.5008</v>
      </c>
      <c r="H1968">
        <v>-0.05</v>
      </c>
      <c r="I1968">
        <v>345.23989999999998</v>
      </c>
      <c r="J1968">
        <v>-214.22290000000001</v>
      </c>
      <c r="K1968">
        <v>1.103623</v>
      </c>
      <c r="L1968">
        <v>367.30520000000001</v>
      </c>
      <c r="M1968">
        <v>0.99369099999999999</v>
      </c>
      <c r="N1968">
        <v>0</v>
      </c>
      <c r="O1968">
        <v>-0.1112481</v>
      </c>
      <c r="P1968">
        <v>0.99533839999999996</v>
      </c>
      <c r="Q1968">
        <v>4.0088400000000003E-2</v>
      </c>
      <c r="R1968">
        <v>-8.7720909999999999E-2</v>
      </c>
      <c r="S1968">
        <v>2.9148559999999999</v>
      </c>
      <c r="T1968">
        <v>-6.0234070000000001E-2</v>
      </c>
      <c r="U1968">
        <v>-1.1528020000000001</v>
      </c>
      <c r="V1968">
        <v>-2.338196E-2</v>
      </c>
      <c r="W1968">
        <v>5.4368220000000002E-2</v>
      </c>
      <c r="X1968">
        <v>0.99824710000000005</v>
      </c>
      <c r="Y1968">
        <v>0.26200109999999999</v>
      </c>
      <c r="Z1968">
        <v>-4.0815890000000003E-4</v>
      </c>
      <c r="AA1968">
        <v>0.96506749999999997</v>
      </c>
      <c r="AB1968">
        <v>19</v>
      </c>
      <c r="AC1968">
        <v>55.722099999999998</v>
      </c>
      <c r="AD1968">
        <v>-1.1536230000000001</v>
      </c>
      <c r="AE1968">
        <v>-22.065300000000001</v>
      </c>
      <c r="AF1968">
        <v>15.7228757495928</v>
      </c>
      <c r="AG1968">
        <v>-1.1536230000000001</v>
      </c>
      <c r="AH1968">
        <v>57.809695183391902</v>
      </c>
      <c r="AI1968">
        <v>91.103153313826894</v>
      </c>
      <c r="AJ1968">
        <v>74.784929588178997</v>
      </c>
      <c r="AK1968">
        <v>59.920785417582302</v>
      </c>
      <c r="AL1968">
        <v>86.883393600328404</v>
      </c>
      <c r="AM1968">
        <v>91.341794736273101</v>
      </c>
      <c r="AN1968">
        <v>0.99999994602890796</v>
      </c>
    </row>
    <row r="1969" spans="1:40" x14ac:dyDescent="0.3">
      <c r="A1969" t="str">
        <f>"20200111145948404"</f>
        <v>20200111145948404</v>
      </c>
      <c r="B1969" t="str">
        <f>"1578725988398014"</f>
        <v>1578725988398014</v>
      </c>
      <c r="C1969" t="s">
        <v>40</v>
      </c>
      <c r="D1969">
        <v>4.3030759999999999</v>
      </c>
      <c r="E1969">
        <v>0.60961269999999901</v>
      </c>
      <c r="F1969" t="s">
        <v>43</v>
      </c>
      <c r="G1969">
        <v>-161.06039999999999</v>
      </c>
      <c r="H1969">
        <v>-0.05</v>
      </c>
      <c r="I1969">
        <v>346.35</v>
      </c>
      <c r="J1969">
        <v>-214.12309999999999</v>
      </c>
      <c r="K1969">
        <v>1.103629</v>
      </c>
      <c r="L1969">
        <v>367.29239999999999</v>
      </c>
      <c r="M1969">
        <v>0.99352640000000003</v>
      </c>
      <c r="N1969">
        <v>0</v>
      </c>
      <c r="O1969">
        <v>-0.11270810000000001</v>
      </c>
      <c r="P1969">
        <v>0.99531170000000002</v>
      </c>
      <c r="Q1969">
        <v>4.0371890000000001E-2</v>
      </c>
      <c r="R1969">
        <v>-8.78916E-2</v>
      </c>
      <c r="S1969">
        <v>2.915314</v>
      </c>
      <c r="T1969">
        <v>-6.3262100000000002E-2</v>
      </c>
      <c r="U1969">
        <v>-1.1491389999999999</v>
      </c>
      <c r="V1969">
        <v>-2.4676750000000001E-2</v>
      </c>
      <c r="W1969">
        <v>5.4652930000000002E-2</v>
      </c>
      <c r="X1969">
        <v>0.99820039999999999</v>
      </c>
      <c r="Y1969">
        <v>0.25947949999999997</v>
      </c>
      <c r="Z1969">
        <v>-3.7222500000000001E-4</v>
      </c>
      <c r="AA1969">
        <v>0.96574850000000001</v>
      </c>
      <c r="AB1969">
        <v>19</v>
      </c>
      <c r="AC1969">
        <v>53.0627</v>
      </c>
      <c r="AD1969">
        <v>-1.153629</v>
      </c>
      <c r="AE1969">
        <v>-20.9423999999999</v>
      </c>
      <c r="AF1969">
        <v>14.821668660911699</v>
      </c>
      <c r="AG1969">
        <v>-1.153629</v>
      </c>
      <c r="AH1969">
        <v>55.062621617049999</v>
      </c>
      <c r="AI1969">
        <v>91.158998100117401</v>
      </c>
      <c r="AJ1969">
        <v>74.934309352273999</v>
      </c>
      <c r="AK1969">
        <v>57.034244284516603</v>
      </c>
      <c r="AL1969">
        <v>86.867056677086694</v>
      </c>
      <c r="AM1969">
        <v>91.4161341830103</v>
      </c>
      <c r="AN1969">
        <v>0.99999996165415295</v>
      </c>
    </row>
    <row r="1970" spans="1:40" x14ac:dyDescent="0.3">
      <c r="A1970" t="str">
        <f>"20200111145948416"</f>
        <v>20200111145948416</v>
      </c>
      <c r="B1970" t="str">
        <f>"1578725988407776"</f>
        <v>1578725988407776</v>
      </c>
      <c r="C1970" t="s">
        <v>40</v>
      </c>
      <c r="D1970">
        <v>4.2881470000000004</v>
      </c>
      <c r="E1970">
        <v>0.61000829999999995</v>
      </c>
      <c r="F1970" t="s">
        <v>43</v>
      </c>
      <c r="G1970">
        <v>-166.2313</v>
      </c>
      <c r="H1970">
        <v>-0.05</v>
      </c>
      <c r="I1970">
        <v>348.32260000000002</v>
      </c>
      <c r="J1970">
        <v>-214.0275</v>
      </c>
      <c r="K1970">
        <v>1.1036330000000001</v>
      </c>
      <c r="L1970">
        <v>367.27980000000002</v>
      </c>
      <c r="M1970">
        <v>0.99336650000000004</v>
      </c>
      <c r="N1970">
        <v>0</v>
      </c>
      <c r="O1970">
        <v>-0.1141095</v>
      </c>
      <c r="P1970">
        <v>0.99527069999999995</v>
      </c>
      <c r="Q1970">
        <v>4.0824300000000001E-2</v>
      </c>
      <c r="R1970">
        <v>-8.8147050000000005E-2</v>
      </c>
      <c r="S1970">
        <v>2.9150239999999998</v>
      </c>
      <c r="T1970">
        <v>-7.0217849999999998E-2</v>
      </c>
      <c r="U1970">
        <v>-1.154633</v>
      </c>
      <c r="V1970">
        <v>-2.5825580000000001E-2</v>
      </c>
      <c r="W1970">
        <v>5.5105710000000002E-2</v>
      </c>
      <c r="X1970">
        <v>0.99814650000000005</v>
      </c>
      <c r="Y1970">
        <v>0.25971749999999999</v>
      </c>
      <c r="Z1970">
        <v>-3.8384269999999998E-4</v>
      </c>
      <c r="AA1970">
        <v>0.9656846</v>
      </c>
      <c r="AB1970">
        <v>18</v>
      </c>
      <c r="AC1970">
        <v>47.796199999999999</v>
      </c>
      <c r="AD1970">
        <v>-1.1536329999999999</v>
      </c>
      <c r="AE1970">
        <v>-18.9572</v>
      </c>
      <c r="AF1970">
        <v>13.3720671162889</v>
      </c>
      <c r="AG1970">
        <v>-1.1536329999999999</v>
      </c>
      <c r="AH1970">
        <v>49.622376581346003</v>
      </c>
      <c r="AI1970">
        <v>91.285930067463696</v>
      </c>
      <c r="AJ1970">
        <v>74.9183819194281</v>
      </c>
      <c r="AK1970">
        <v>51.405479334815503</v>
      </c>
      <c r="AL1970">
        <v>86.841075315593798</v>
      </c>
      <c r="AM1970">
        <v>91.482113778584306</v>
      </c>
      <c r="AN1970">
        <v>1.00000001765959</v>
      </c>
    </row>
    <row r="1971" spans="1:40" x14ac:dyDescent="0.3">
      <c r="A1971" t="str">
        <f>"20200111145948428"</f>
        <v>20200111145948428</v>
      </c>
      <c r="B1971" t="str">
        <f>"1578725988417534"</f>
        <v>1578725988417534</v>
      </c>
      <c r="C1971" t="s">
        <v>40</v>
      </c>
      <c r="D1971">
        <v>4.3329399999999998</v>
      </c>
      <c r="E1971">
        <v>0.61034270000000002</v>
      </c>
      <c r="F1971" t="s">
        <v>43</v>
      </c>
      <c r="G1971">
        <v>-168.37190000000001</v>
      </c>
      <c r="H1971">
        <v>-0.05</v>
      </c>
      <c r="I1971">
        <v>349.12389999999999</v>
      </c>
      <c r="J1971">
        <v>-213.93520000000001</v>
      </c>
      <c r="K1971">
        <v>1.103637</v>
      </c>
      <c r="L1971">
        <v>367.26760000000002</v>
      </c>
      <c r="M1971">
        <v>0.99320969999999997</v>
      </c>
      <c r="N1971">
        <v>0</v>
      </c>
      <c r="O1971">
        <v>-0.1154681</v>
      </c>
      <c r="P1971">
        <v>0.99519820000000003</v>
      </c>
      <c r="Q1971">
        <v>4.1772190000000001E-2</v>
      </c>
      <c r="R1971">
        <v>-8.8520970000000004E-2</v>
      </c>
      <c r="S1971">
        <v>2.914612</v>
      </c>
      <c r="T1971">
        <v>-7.3646899999999904E-2</v>
      </c>
      <c r="U1971">
        <v>-1.1590579999999999</v>
      </c>
      <c r="V1971">
        <v>-2.68089E-2</v>
      </c>
      <c r="W1971">
        <v>5.605363E-2</v>
      </c>
      <c r="X1971">
        <v>0.99806779999999995</v>
      </c>
      <c r="Y1971">
        <v>0.25970680000000002</v>
      </c>
      <c r="Z1971">
        <v>-3.6990619999999999E-4</v>
      </c>
      <c r="AA1971">
        <v>0.96568750000000003</v>
      </c>
      <c r="AB1971">
        <v>18</v>
      </c>
      <c r="AC1971">
        <v>45.563299999999998</v>
      </c>
      <c r="AD1971">
        <v>-1.153637</v>
      </c>
      <c r="AE1971">
        <v>-18.143699999999999</v>
      </c>
      <c r="AF1971">
        <v>12.753620571516899</v>
      </c>
      <c r="AG1971">
        <v>-1.153637</v>
      </c>
      <c r="AH1971">
        <v>47.3275159908654</v>
      </c>
      <c r="AI1971">
        <v>91.348265882709995</v>
      </c>
      <c r="AJ1971">
        <v>74.918421893856802</v>
      </c>
      <c r="AK1971">
        <v>49.029373704704902</v>
      </c>
      <c r="AL1971">
        <v>86.786679456637401</v>
      </c>
      <c r="AM1971">
        <v>91.538640526265098</v>
      </c>
      <c r="AN1971">
        <v>1.00000002997611</v>
      </c>
    </row>
    <row r="1972" spans="1:40" x14ac:dyDescent="0.3">
      <c r="A1972" t="str">
        <f>"20200111145948440"</f>
        <v>20200111145948440</v>
      </c>
      <c r="B1972" t="str">
        <f>"1578725988438030"</f>
        <v>1578725988438030</v>
      </c>
      <c r="C1972" t="s">
        <v>40</v>
      </c>
      <c r="D1972">
        <v>4.3468239999999998</v>
      </c>
      <c r="E1972">
        <v>0.61137710000000001</v>
      </c>
      <c r="F1972" t="s">
        <v>43</v>
      </c>
      <c r="G1972">
        <v>-168.72470000000001</v>
      </c>
      <c r="H1972">
        <v>-0.05</v>
      </c>
      <c r="I1972">
        <v>349.22829999999999</v>
      </c>
      <c r="J1972">
        <v>-213.83359999999999</v>
      </c>
      <c r="K1972">
        <v>1.10364</v>
      </c>
      <c r="L1972">
        <v>367.25409999999999</v>
      </c>
      <c r="M1972">
        <v>0.99303439999999998</v>
      </c>
      <c r="N1972">
        <v>0</v>
      </c>
      <c r="O1972">
        <v>-0.1169655</v>
      </c>
      <c r="P1972">
        <v>0.99506249999999996</v>
      </c>
      <c r="Q1972">
        <v>4.2646290000000003E-2</v>
      </c>
      <c r="R1972">
        <v>-8.9620309999999995E-2</v>
      </c>
      <c r="S1972">
        <v>2.9141849999999998</v>
      </c>
      <c r="T1972">
        <v>-7.4361319999999995E-2</v>
      </c>
      <c r="U1972">
        <v>-1.1627809999999901</v>
      </c>
      <c r="V1972">
        <v>-2.720351E-2</v>
      </c>
      <c r="W1972">
        <v>5.6926280000000003E-2</v>
      </c>
      <c r="X1972">
        <v>0.99800770000000005</v>
      </c>
      <c r="Y1972">
        <v>0.25936379999999998</v>
      </c>
      <c r="Z1972">
        <v>-3.330885E-4</v>
      </c>
      <c r="AA1972">
        <v>0.96577959999999996</v>
      </c>
      <c r="AB1972">
        <v>18</v>
      </c>
      <c r="AC1972">
        <v>45.108899999999899</v>
      </c>
      <c r="AD1972">
        <v>-1.15364</v>
      </c>
      <c r="AE1972">
        <v>-18.0258</v>
      </c>
      <c r="AF1972">
        <v>12.618211481945099</v>
      </c>
      <c r="AG1972">
        <v>-1.15364</v>
      </c>
      <c r="AH1972">
        <v>46.881377363484397</v>
      </c>
      <c r="AI1972">
        <v>91.361205827087403</v>
      </c>
      <c r="AJ1972">
        <v>74.935725737756897</v>
      </c>
      <c r="AK1972">
        <v>48.563501621589403</v>
      </c>
      <c r="AL1972">
        <v>86.736600231197301</v>
      </c>
      <c r="AM1972">
        <v>91.561371183973407</v>
      </c>
      <c r="AN1972">
        <v>1.00000000078512</v>
      </c>
    </row>
    <row r="1973" spans="1:40" x14ac:dyDescent="0.3">
      <c r="A1973" t="str">
        <f>"20200111145948452"</f>
        <v>20200111145948452</v>
      </c>
      <c r="B1973" t="str">
        <f>"1578725988447790"</f>
        <v>1578725988447790</v>
      </c>
      <c r="C1973" t="s">
        <v>40</v>
      </c>
      <c r="D1973">
        <v>4.3345940000000001</v>
      </c>
      <c r="E1973">
        <v>0.61170690000000005</v>
      </c>
      <c r="F1973" t="s">
        <v>43</v>
      </c>
      <c r="G1973">
        <v>-169.6215</v>
      </c>
      <c r="H1973">
        <v>-0.05</v>
      </c>
      <c r="I1973">
        <v>349.41890000000001</v>
      </c>
      <c r="J1973">
        <v>-213.733</v>
      </c>
      <c r="K1973">
        <v>1.1036410000000001</v>
      </c>
      <c r="L1973">
        <v>367.24040000000002</v>
      </c>
      <c r="M1973">
        <v>0.9928572</v>
      </c>
      <c r="N1973">
        <v>0</v>
      </c>
      <c r="O1973">
        <v>-0.11845940000000001</v>
      </c>
      <c r="P1973">
        <v>0.99489179999999999</v>
      </c>
      <c r="Q1973">
        <v>4.3578239999999997E-2</v>
      </c>
      <c r="R1973">
        <v>-9.105597E-2</v>
      </c>
      <c r="S1973">
        <v>2.9123380000000001</v>
      </c>
      <c r="T1973">
        <v>-7.5992580000000004E-2</v>
      </c>
      <c r="U1973">
        <v>-1.1748350000000001</v>
      </c>
      <c r="V1973">
        <v>-2.7256780000000001E-2</v>
      </c>
      <c r="W1973">
        <v>5.7855999999999998E-2</v>
      </c>
      <c r="X1973">
        <v>0.99795279999999997</v>
      </c>
      <c r="Y1973">
        <v>0.26156190000000001</v>
      </c>
      <c r="Z1973">
        <v>-3.3120859999999998E-4</v>
      </c>
      <c r="AA1973">
        <v>0.96518669999999995</v>
      </c>
      <c r="AB1973">
        <v>18</v>
      </c>
      <c r="AC1973">
        <v>44.111499999999999</v>
      </c>
      <c r="AD1973">
        <v>-1.1536409999999999</v>
      </c>
      <c r="AE1973">
        <v>-17.8215</v>
      </c>
      <c r="AF1973">
        <v>12.4627139750043</v>
      </c>
      <c r="AG1973">
        <v>-1.1536409999999999</v>
      </c>
      <c r="AH1973">
        <v>45.885200507279301</v>
      </c>
      <c r="AI1973">
        <v>91.3898881152668</v>
      </c>
      <c r="AJ1973">
        <v>74.804673648299598</v>
      </c>
      <c r="AK1973">
        <v>47.561557509956302</v>
      </c>
      <c r="AL1973">
        <v>86.683243316107195</v>
      </c>
      <c r="AM1973">
        <v>91.564513168549297</v>
      </c>
      <c r="AN1973">
        <v>1.0000000199099</v>
      </c>
    </row>
    <row r="1974" spans="1:40" x14ac:dyDescent="0.3">
      <c r="A1974" t="str">
        <f>"20200111145948466"</f>
        <v>20200111145948466</v>
      </c>
      <c r="B1974" t="str">
        <f>"1578725988457550"</f>
        <v>1578725988457550</v>
      </c>
      <c r="C1974" t="s">
        <v>40</v>
      </c>
      <c r="D1974">
        <v>4.6572719999999999</v>
      </c>
      <c r="E1974">
        <v>0.61140490000000003</v>
      </c>
      <c r="F1974" t="s">
        <v>43</v>
      </c>
      <c r="G1974">
        <v>-170.02979999999999</v>
      </c>
      <c r="H1974">
        <v>-0.05</v>
      </c>
      <c r="I1974">
        <v>349.49220000000003</v>
      </c>
      <c r="J1974">
        <v>-213.62909999999999</v>
      </c>
      <c r="K1974">
        <v>1.1036429999999999</v>
      </c>
      <c r="L1974">
        <v>367.22620000000001</v>
      </c>
      <c r="M1974">
        <v>0.99267110000000003</v>
      </c>
      <c r="N1974">
        <v>0</v>
      </c>
      <c r="O1974">
        <v>-0.1200107</v>
      </c>
      <c r="P1974">
        <v>0.99461949999999999</v>
      </c>
      <c r="Q1974">
        <v>4.5006360000000002E-2</v>
      </c>
      <c r="R1974">
        <v>-9.3310270000000001E-2</v>
      </c>
      <c r="S1974">
        <v>2.9105829999999999</v>
      </c>
      <c r="T1974">
        <v>-7.6831099999999999E-2</v>
      </c>
      <c r="U1974">
        <v>-1.182007</v>
      </c>
      <c r="V1974">
        <v>-2.6540770000000002E-2</v>
      </c>
      <c r="W1974">
        <v>5.9278829999999998E-2</v>
      </c>
      <c r="X1974">
        <v>0.99788860000000001</v>
      </c>
      <c r="Y1974">
        <v>0.26229819999999998</v>
      </c>
      <c r="Z1974">
        <v>-3.056291E-4</v>
      </c>
      <c r="AA1974">
        <v>0.96498680000000003</v>
      </c>
      <c r="AB1974">
        <v>18</v>
      </c>
      <c r="AC1974">
        <v>43.599299999999999</v>
      </c>
      <c r="AD1974">
        <v>-1.153643</v>
      </c>
      <c r="AE1974">
        <v>-17.733999999999899</v>
      </c>
      <c r="AF1974">
        <v>12.365465003128801</v>
      </c>
      <c r="AG1974">
        <v>-1.153643</v>
      </c>
      <c r="AH1974">
        <v>45.385345697416298</v>
      </c>
      <c r="AI1974">
        <v>91.404890196282494</v>
      </c>
      <c r="AJ1974">
        <v>74.759401619537897</v>
      </c>
      <c r="AK1974">
        <v>47.053854475367302</v>
      </c>
      <c r="AL1974">
        <v>86.601580997385796</v>
      </c>
      <c r="AM1974">
        <v>91.523532471416303</v>
      </c>
      <c r="AN1974">
        <v>1.0000000250841601</v>
      </c>
    </row>
    <row r="1975" spans="1:40" x14ac:dyDescent="0.3">
      <c r="A1975" t="str">
        <f>"20200111145948477"</f>
        <v>20200111145948477</v>
      </c>
      <c r="B1975" t="str">
        <f>"1578725988467310"</f>
        <v>1578725988467310</v>
      </c>
      <c r="C1975" t="s">
        <v>40</v>
      </c>
      <c r="D1975">
        <v>4.3357419999999998</v>
      </c>
      <c r="E1975">
        <v>0.61176189999999997</v>
      </c>
      <c r="F1975" t="s">
        <v>43</v>
      </c>
      <c r="G1975">
        <v>-163.9179</v>
      </c>
      <c r="H1975">
        <v>-0.05</v>
      </c>
      <c r="I1975">
        <v>346.96109999999999</v>
      </c>
      <c r="J1975">
        <v>-213.5317</v>
      </c>
      <c r="K1975">
        <v>1.103639</v>
      </c>
      <c r="L1975">
        <v>367.21269999999998</v>
      </c>
      <c r="M1975">
        <v>0.99249350000000003</v>
      </c>
      <c r="N1975">
        <v>0</v>
      </c>
      <c r="O1975">
        <v>-0.1214716</v>
      </c>
      <c r="P1975">
        <v>0.99438789999999999</v>
      </c>
      <c r="Q1975">
        <v>4.5201640000000001E-2</v>
      </c>
      <c r="R1975">
        <v>-9.5655340000000005E-2</v>
      </c>
      <c r="S1975">
        <v>2.9080509999999999</v>
      </c>
      <c r="T1975">
        <v>-6.7486879999999999E-2</v>
      </c>
      <c r="U1975">
        <v>-1.185486</v>
      </c>
      <c r="V1975">
        <v>-2.5653510000000001E-2</v>
      </c>
      <c r="W1975">
        <v>5.9469710000000002E-2</v>
      </c>
      <c r="X1975">
        <v>0.99790040000000002</v>
      </c>
      <c r="Y1975">
        <v>0.26217109999999999</v>
      </c>
      <c r="Z1975">
        <v>-2.3522110000000001E-4</v>
      </c>
      <c r="AA1975">
        <v>0.96502140000000003</v>
      </c>
      <c r="AB1975">
        <v>18</v>
      </c>
      <c r="AC1975">
        <v>49.613799999999998</v>
      </c>
      <c r="AD1975">
        <v>-1.1536389999999901</v>
      </c>
      <c r="AE1975">
        <v>-20.2516</v>
      </c>
      <c r="AF1975">
        <v>14.067810575019401</v>
      </c>
      <c r="AG1975">
        <v>-1.1536389999999901</v>
      </c>
      <c r="AH1975">
        <v>51.682620309057199</v>
      </c>
      <c r="AI1975">
        <v>91.233844442264996</v>
      </c>
      <c r="AJ1975">
        <v>74.773209122008893</v>
      </c>
      <c r="AK1975">
        <v>53.575436716158698</v>
      </c>
      <c r="AL1975">
        <v>86.590624892186398</v>
      </c>
      <c r="AM1975">
        <v>91.472606071800399</v>
      </c>
      <c r="AN1975">
        <v>0.99999997865148105</v>
      </c>
    </row>
    <row r="1976" spans="1:40" x14ac:dyDescent="0.3">
      <c r="A1976" t="str">
        <f>"20200111145948489"</f>
        <v>20200111145948489</v>
      </c>
      <c r="B1976" t="str">
        <f>"1578725988478046"</f>
        <v>1578725988478046</v>
      </c>
      <c r="C1976" t="s">
        <v>40</v>
      </c>
      <c r="D1976">
        <v>4.3245930000000001</v>
      </c>
      <c r="E1976">
        <v>0.61219869999999899</v>
      </c>
      <c r="F1976" t="s">
        <v>43</v>
      </c>
      <c r="G1976">
        <v>-166.71209999999999</v>
      </c>
      <c r="H1976">
        <v>-0.05</v>
      </c>
      <c r="I1976">
        <v>347.94670000000002</v>
      </c>
      <c r="J1976">
        <v>-213.43610000000001</v>
      </c>
      <c r="K1976">
        <v>1.1036330000000001</v>
      </c>
      <c r="L1976">
        <v>367.19920000000002</v>
      </c>
      <c r="M1976">
        <v>0.99231519999999995</v>
      </c>
      <c r="N1976">
        <v>0</v>
      </c>
      <c r="O1976">
        <v>-0.1229184</v>
      </c>
      <c r="P1976">
        <v>0.99419939999999996</v>
      </c>
      <c r="Q1976">
        <v>4.5266479999999998E-2</v>
      </c>
      <c r="R1976">
        <v>-9.7563940000000002E-2</v>
      </c>
      <c r="S1976">
        <v>2.9051819999999999</v>
      </c>
      <c r="T1976">
        <v>-7.158399E-2</v>
      </c>
      <c r="U1976">
        <v>-1.195465</v>
      </c>
      <c r="V1976">
        <v>-2.519043E-2</v>
      </c>
      <c r="W1976">
        <v>5.9531100000000003E-2</v>
      </c>
      <c r="X1976">
        <v>0.99790849999999998</v>
      </c>
      <c r="Y1976">
        <v>0.26393100000000003</v>
      </c>
      <c r="Z1976">
        <v>-2.3689100000000001E-4</v>
      </c>
      <c r="AA1976">
        <v>0.9645416</v>
      </c>
      <c r="AB1976">
        <v>18</v>
      </c>
      <c r="AC1976">
        <v>46.723999999999997</v>
      </c>
      <c r="AD1976">
        <v>-1.1536329999999999</v>
      </c>
      <c r="AE1976">
        <v>-19.252500000000001</v>
      </c>
      <c r="AF1976">
        <v>13.3556960453411</v>
      </c>
      <c r="AG1976">
        <v>-1.1536329999999999</v>
      </c>
      <c r="AH1976">
        <v>48.710950067089797</v>
      </c>
      <c r="AI1976">
        <v>91.308423682314995</v>
      </c>
      <c r="AJ1976">
        <v>74.667297429676793</v>
      </c>
      <c r="AK1976">
        <v>50.521897652332299</v>
      </c>
      <c r="AL1976">
        <v>86.587101136093096</v>
      </c>
      <c r="AM1976">
        <v>91.446023229964197</v>
      </c>
      <c r="AN1976">
        <v>0.99999994200151998</v>
      </c>
    </row>
    <row r="1977" spans="1:40" x14ac:dyDescent="0.3">
      <c r="A1977" t="str">
        <f>"20200111145948499"</f>
        <v>20200111145948499</v>
      </c>
      <c r="B1977" t="str">
        <f>"1578725988487806"</f>
        <v>1578725988487806</v>
      </c>
      <c r="C1977" t="s">
        <v>40</v>
      </c>
      <c r="D1977">
        <v>4.2702559999999998</v>
      </c>
      <c r="E1977">
        <v>0.61230949999999995</v>
      </c>
      <c r="F1977" t="s">
        <v>43</v>
      </c>
      <c r="G1977">
        <v>-167.96440000000001</v>
      </c>
      <c r="H1977">
        <v>-0.05</v>
      </c>
      <c r="I1977">
        <v>348.32859999999999</v>
      </c>
      <c r="J1977">
        <v>-213.35079999999999</v>
      </c>
      <c r="K1977">
        <v>1.1036269999999999</v>
      </c>
      <c r="L1977">
        <v>367.18720000000002</v>
      </c>
      <c r="M1977">
        <v>0.99215410000000004</v>
      </c>
      <c r="N1977">
        <v>0</v>
      </c>
      <c r="O1977">
        <v>-0.1242127</v>
      </c>
      <c r="P1977">
        <v>0.9940118</v>
      </c>
      <c r="Q1977">
        <v>4.5390260000000002E-2</v>
      </c>
      <c r="R1977">
        <v>-9.9401340000000005E-2</v>
      </c>
      <c r="S1977">
        <v>2.9026339999999999</v>
      </c>
      <c r="T1977">
        <v>-7.3640940000000002E-2</v>
      </c>
      <c r="U1977">
        <v>-1.20459</v>
      </c>
      <c r="V1977">
        <v>-2.464541E-2</v>
      </c>
      <c r="W1977">
        <v>5.9652490000000002E-2</v>
      </c>
      <c r="X1977">
        <v>0.99791490000000005</v>
      </c>
      <c r="Y1977">
        <v>0.26555780000000001</v>
      </c>
      <c r="Z1977">
        <v>-2.3274170000000001E-4</v>
      </c>
      <c r="AA1977">
        <v>0.96409489999999998</v>
      </c>
      <c r="AB1977">
        <v>18</v>
      </c>
      <c r="AC1977">
        <v>45.386399999999902</v>
      </c>
      <c r="AD1977">
        <v>-1.153627</v>
      </c>
      <c r="AE1977">
        <v>-18.858599999999999</v>
      </c>
      <c r="AF1977">
        <v>13.0671876430526</v>
      </c>
      <c r="AG1977">
        <v>-1.153627</v>
      </c>
      <c r="AH1977">
        <v>47.351464534831301</v>
      </c>
      <c r="AI1977">
        <v>91.345356629492898</v>
      </c>
      <c r="AJ1977">
        <v>74.5725374511524</v>
      </c>
      <c r="AK1977">
        <v>49.134951325377997</v>
      </c>
      <c r="AL1977">
        <v>86.580133754536604</v>
      </c>
      <c r="AM1977">
        <v>91.414740865632496</v>
      </c>
      <c r="AN1977">
        <v>0.999999981719638</v>
      </c>
    </row>
    <row r="1978" spans="1:40" x14ac:dyDescent="0.3">
      <c r="A1978" t="str">
        <f>"20200111145948511"</f>
        <v>20200111145948511</v>
      </c>
      <c r="B1978" t="str">
        <f>"1578725988507326"</f>
        <v>1578725988507326</v>
      </c>
      <c r="C1978" t="s">
        <v>40</v>
      </c>
      <c r="D1978">
        <v>3.9989499999999998</v>
      </c>
      <c r="E1978">
        <v>0.61256180000000005</v>
      </c>
      <c r="F1978" t="s">
        <v>43</v>
      </c>
      <c r="G1978">
        <v>-168.59190000000001</v>
      </c>
      <c r="H1978">
        <v>-0.05</v>
      </c>
      <c r="I1978">
        <v>348.49560000000002</v>
      </c>
      <c r="J1978">
        <v>-213.2594</v>
      </c>
      <c r="K1978">
        <v>1.103621</v>
      </c>
      <c r="L1978">
        <v>367.17410000000001</v>
      </c>
      <c r="M1978">
        <v>0.9919772</v>
      </c>
      <c r="N1978">
        <v>0</v>
      </c>
      <c r="O1978">
        <v>-0.12561710000000001</v>
      </c>
      <c r="P1978">
        <v>0.99387099999999995</v>
      </c>
      <c r="Q1978">
        <v>4.4817160000000002E-2</v>
      </c>
      <c r="R1978">
        <v>-0.1010544</v>
      </c>
      <c r="S1978">
        <v>2.90036</v>
      </c>
      <c r="T1978">
        <v>-7.4754710000000002E-2</v>
      </c>
      <c r="U1978">
        <v>-1.211212</v>
      </c>
      <c r="V1978">
        <v>-2.4401659999999999E-2</v>
      </c>
      <c r="W1978">
        <v>5.9077480000000002E-2</v>
      </c>
      <c r="X1978">
        <v>0.99795509999999998</v>
      </c>
      <c r="Y1978">
        <v>0.2663354</v>
      </c>
      <c r="Z1978">
        <v>-2.1194709999999999E-4</v>
      </c>
      <c r="AA1978">
        <v>0.96388039999999997</v>
      </c>
      <c r="AB1978">
        <v>18</v>
      </c>
      <c r="AC1978">
        <v>44.667499999999897</v>
      </c>
      <c r="AD1978">
        <v>-1.153621</v>
      </c>
      <c r="AE1978">
        <v>-18.6784999999999</v>
      </c>
      <c r="AF1978">
        <v>12.911615934784599</v>
      </c>
      <c r="AG1978">
        <v>-1.153621</v>
      </c>
      <c r="AH1978">
        <v>46.633707494268897</v>
      </c>
      <c r="AI1978">
        <v>91.365729078196296</v>
      </c>
      <c r="AJ1978">
        <v>74.524025065380798</v>
      </c>
      <c r="AK1978">
        <v>48.401893993107898</v>
      </c>
      <c r="AL1978">
        <v>86.613137622500403</v>
      </c>
      <c r="AM1978">
        <v>91.400697881956603</v>
      </c>
      <c r="AN1978">
        <v>0.99999998563495796</v>
      </c>
    </row>
    <row r="1979" spans="1:40" x14ac:dyDescent="0.3">
      <c r="A1979" t="str">
        <f>"20200111145948522"</f>
        <v>20200111145948522</v>
      </c>
      <c r="B1979" t="str">
        <f>"1578725988518062"</f>
        <v>1578725988518062</v>
      </c>
      <c r="C1979" t="s">
        <v>40</v>
      </c>
      <c r="D1979">
        <v>4.0357560000000001</v>
      </c>
      <c r="E1979">
        <v>0.61205549999999997</v>
      </c>
      <c r="F1979" t="s">
        <v>43</v>
      </c>
      <c r="G1979">
        <v>-167.30369999999999</v>
      </c>
      <c r="H1979">
        <v>-0.05</v>
      </c>
      <c r="I1979">
        <v>347.86410000000001</v>
      </c>
      <c r="J1979">
        <v>-213.16239999999999</v>
      </c>
      <c r="K1979">
        <v>1.1036079999999999</v>
      </c>
      <c r="L1979">
        <v>367.1601</v>
      </c>
      <c r="M1979">
        <v>0.99178670000000002</v>
      </c>
      <c r="N1979">
        <v>0</v>
      </c>
      <c r="O1979">
        <v>-0.1271139</v>
      </c>
      <c r="P1979">
        <v>0.99369189999999996</v>
      </c>
      <c r="Q1979">
        <v>4.4504620000000002E-2</v>
      </c>
      <c r="R1979">
        <v>-0.1029385</v>
      </c>
      <c r="S1979">
        <v>2.8979490000000001</v>
      </c>
      <c r="T1979">
        <v>-7.2746989999999997E-2</v>
      </c>
      <c r="U1979">
        <v>-1.2176819999999999</v>
      </c>
      <c r="V1979">
        <v>-2.4016659999999999E-2</v>
      </c>
      <c r="W1979">
        <v>5.8762839999999997E-2</v>
      </c>
      <c r="X1979">
        <v>0.99798299999999995</v>
      </c>
      <c r="Y1979">
        <v>0.26699859999999997</v>
      </c>
      <c r="Z1979">
        <v>-1.79044399999999E-4</v>
      </c>
      <c r="AA1979">
        <v>0.96369689999999997</v>
      </c>
      <c r="AB1979">
        <v>18</v>
      </c>
      <c r="AC1979">
        <v>45.858699999999999</v>
      </c>
      <c r="AD1979">
        <v>-1.153608</v>
      </c>
      <c r="AE1979">
        <v>-19.2959999999999</v>
      </c>
      <c r="AF1979">
        <v>13.3024252491451</v>
      </c>
      <c r="AG1979">
        <v>-1.153608</v>
      </c>
      <c r="AH1979">
        <v>47.913901805608297</v>
      </c>
      <c r="AI1979">
        <v>91.328977381420003</v>
      </c>
      <c r="AJ1979">
        <v>74.483651356648906</v>
      </c>
      <c r="AK1979">
        <v>49.739595044232402</v>
      </c>
      <c r="AL1979">
        <v>86.631196487304393</v>
      </c>
      <c r="AM1979">
        <v>91.378568280826499</v>
      </c>
      <c r="AN1979">
        <v>0.99999996980571004</v>
      </c>
    </row>
    <row r="1980" spans="1:40" x14ac:dyDescent="0.3">
      <c r="A1980" t="str">
        <f>"20200111145948533"</f>
        <v>20200111145948533</v>
      </c>
      <c r="B1980" t="str">
        <f>"1578725988527822"</f>
        <v>1578725988527822</v>
      </c>
      <c r="C1980" t="s">
        <v>40</v>
      </c>
      <c r="D1980">
        <v>4.3805959999999997</v>
      </c>
      <c r="E1980">
        <v>0.61205549999999997</v>
      </c>
      <c r="F1980" t="s">
        <v>43</v>
      </c>
      <c r="G1980">
        <v>-165.78630000000001</v>
      </c>
      <c r="H1980">
        <v>-0.05</v>
      </c>
      <c r="I1980">
        <v>347.22199999999998</v>
      </c>
      <c r="J1980">
        <v>-213.07579999999999</v>
      </c>
      <c r="K1980">
        <v>1.1035980000000001</v>
      </c>
      <c r="L1980">
        <v>367.14729999999997</v>
      </c>
      <c r="M1980">
        <v>0.99161220000000005</v>
      </c>
      <c r="N1980">
        <v>0</v>
      </c>
      <c r="O1980">
        <v>-0.12846669999999999</v>
      </c>
      <c r="P1980">
        <v>0.99349810000000005</v>
      </c>
      <c r="Q1980">
        <v>4.4336180000000003E-2</v>
      </c>
      <c r="R1980">
        <v>-0.1048612</v>
      </c>
      <c r="S1980">
        <v>2.89595</v>
      </c>
      <c r="T1980">
        <v>-7.0516469999999998E-2</v>
      </c>
      <c r="U1980">
        <v>-1.21875</v>
      </c>
      <c r="V1980">
        <v>-2.3447269999999999E-2</v>
      </c>
      <c r="W1980">
        <v>5.8592419999999999E-2</v>
      </c>
      <c r="X1980">
        <v>0.99800659999999997</v>
      </c>
      <c r="Y1980">
        <v>0.26622610000000002</v>
      </c>
      <c r="Z1980">
        <v>-1.3365809999999999E-4</v>
      </c>
      <c r="AA1980">
        <v>0.96391059999999995</v>
      </c>
      <c r="AB1980">
        <v>18</v>
      </c>
      <c r="AC1980">
        <v>47.289499999999897</v>
      </c>
      <c r="AD1980">
        <v>-1.1535979999999999</v>
      </c>
      <c r="AE1980">
        <v>-19.9253</v>
      </c>
      <c r="AF1980">
        <v>13.677511535259701</v>
      </c>
      <c r="AG1980">
        <v>-1.1535979999999999</v>
      </c>
      <c r="AH1980">
        <v>49.432585488721003</v>
      </c>
      <c r="AI1980">
        <v>91.288463071504296</v>
      </c>
      <c r="AJ1980">
        <v>74.533755566487997</v>
      </c>
      <c r="AK1980">
        <v>51.302881188511002</v>
      </c>
      <c r="AL1980">
        <v>86.640977822351005</v>
      </c>
      <c r="AM1980">
        <v>91.345865363042506</v>
      </c>
      <c r="AN1980">
        <v>1.00000000989773</v>
      </c>
    </row>
    <row r="1981" spans="1:40" x14ac:dyDescent="0.3">
      <c r="A1981" t="str">
        <f>"20200111145948544"</f>
        <v>20200111145948544</v>
      </c>
      <c r="B1981" t="str">
        <f>"1578725988537582"</f>
        <v>1578725988537582</v>
      </c>
      <c r="C1981" t="s">
        <v>40</v>
      </c>
      <c r="D1981">
        <v>4.5627190000000004</v>
      </c>
      <c r="E1981">
        <v>0.66028529999999996</v>
      </c>
      <c r="F1981" t="s">
        <v>43</v>
      </c>
      <c r="G1981">
        <v>-166.31360000000001</v>
      </c>
      <c r="H1981">
        <v>-0.05</v>
      </c>
      <c r="I1981">
        <v>347.36399999999998</v>
      </c>
      <c r="J1981">
        <v>-212.98679999999999</v>
      </c>
      <c r="K1981">
        <v>1.103588</v>
      </c>
      <c r="L1981">
        <v>367.13420000000002</v>
      </c>
      <c r="M1981">
        <v>0.99143009999999998</v>
      </c>
      <c r="N1981">
        <v>0</v>
      </c>
      <c r="O1981">
        <v>-0.12986600000000001</v>
      </c>
      <c r="P1981">
        <v>0.99331460000000005</v>
      </c>
      <c r="Q1981">
        <v>4.4108899999999999E-2</v>
      </c>
      <c r="R1981">
        <v>-0.10668080000000001</v>
      </c>
      <c r="S1981">
        <v>2.8936160000000002</v>
      </c>
      <c r="T1981">
        <v>-7.1383950000000002E-2</v>
      </c>
      <c r="U1981">
        <v>-1.2241820000000001</v>
      </c>
      <c r="V1981">
        <v>-2.3026890000000001E-2</v>
      </c>
      <c r="W1981">
        <v>5.8362509999999999E-2</v>
      </c>
      <c r="X1981">
        <v>0.99802979999999997</v>
      </c>
      <c r="Y1981">
        <v>0.266679</v>
      </c>
      <c r="Z1981">
        <v>-1.08341E-4</v>
      </c>
      <c r="AA1981">
        <v>0.96378540000000001</v>
      </c>
      <c r="AB1981">
        <v>18</v>
      </c>
      <c r="AC1981">
        <v>46.673199999999902</v>
      </c>
      <c r="AD1981">
        <v>-1.1535879999999901</v>
      </c>
      <c r="AE1981">
        <v>-19.7701999999999</v>
      </c>
      <c r="AF1981">
        <v>13.533861723724501</v>
      </c>
      <c r="AG1981">
        <v>-1.1535879999999901</v>
      </c>
      <c r="AH1981">
        <v>48.820318812907303</v>
      </c>
      <c r="AI1981">
        <v>91.304428141549195</v>
      </c>
      <c r="AJ1981">
        <v>74.505678980655901</v>
      </c>
      <c r="AK1981">
        <v>50.674645607291097</v>
      </c>
      <c r="AL1981">
        <v>86.654173078504698</v>
      </c>
      <c r="AM1981">
        <v>91.321713617089898</v>
      </c>
      <c r="AN1981">
        <v>0.99999995096230399</v>
      </c>
    </row>
    <row r="1982" spans="1:40" x14ac:dyDescent="0.3">
      <c r="A1982" t="str">
        <f>"20200111145948557"</f>
        <v>20200111145948557</v>
      </c>
      <c r="B1982" t="str">
        <f>"1578725988547342"</f>
        <v>1578725988547342</v>
      </c>
      <c r="C1982" t="s">
        <v>40</v>
      </c>
      <c r="D1982">
        <v>4.2157679999999997</v>
      </c>
      <c r="E1982">
        <v>0.66540029999999994</v>
      </c>
      <c r="F1982" t="s">
        <v>48</v>
      </c>
      <c r="G1982">
        <v>-168.98320000000001</v>
      </c>
      <c r="H1982">
        <v>3.5151880000000002</v>
      </c>
      <c r="I1982">
        <v>342.46260000000001</v>
      </c>
      <c r="J1982">
        <v>-212.8844</v>
      </c>
      <c r="K1982">
        <v>1.1035759999999999</v>
      </c>
      <c r="L1982">
        <v>367.11880000000002</v>
      </c>
      <c r="M1982">
        <v>0.99121599999999999</v>
      </c>
      <c r="N1982">
        <v>0</v>
      </c>
      <c r="O1982">
        <v>-0.13148969999999999</v>
      </c>
      <c r="P1982">
        <v>0.99308289999999999</v>
      </c>
      <c r="Q1982">
        <v>4.4146060000000001E-2</v>
      </c>
      <c r="R1982">
        <v>-0.10880040000000001</v>
      </c>
      <c r="S1982">
        <v>2.8421479999999999</v>
      </c>
      <c r="T1982">
        <v>0.15576300000000001</v>
      </c>
      <c r="U1982">
        <v>-1.5935060000000001</v>
      </c>
      <c r="V1982">
        <v>-2.2529529999999999E-2</v>
      </c>
      <c r="W1982">
        <v>5.8397739999999997E-2</v>
      </c>
      <c r="X1982">
        <v>0.99803909999999996</v>
      </c>
      <c r="Y1982">
        <v>0.36982860000000001</v>
      </c>
      <c r="Z1982">
        <v>2.7970690000000001E-3</v>
      </c>
      <c r="AA1982">
        <v>0.92909580000000003</v>
      </c>
      <c r="AB1982">
        <v>18</v>
      </c>
      <c r="AC1982">
        <v>43.901199999999903</v>
      </c>
      <c r="AD1982">
        <v>2.4116119999999999</v>
      </c>
      <c r="AE1982">
        <v>-24.656199999999998</v>
      </c>
      <c r="AF1982">
        <v>18.626214735761799</v>
      </c>
      <c r="AG1982">
        <v>2.4116119999999999</v>
      </c>
      <c r="AH1982">
        <v>46.6552874017937</v>
      </c>
      <c r="AI1982">
        <v>87.251586490582099</v>
      </c>
      <c r="AJ1982">
        <v>68.236607363724602</v>
      </c>
      <c r="AK1982">
        <v>50.2938126449489</v>
      </c>
      <c r="AL1982">
        <v>86.652151131237403</v>
      </c>
      <c r="AM1982">
        <v>91.293163553197203</v>
      </c>
      <c r="AN1982">
        <v>0.99999996044396799</v>
      </c>
    </row>
    <row r="1983" spans="1:40" x14ac:dyDescent="0.3">
      <c r="A1983" t="str">
        <f>"20200111145948568"</f>
        <v>20200111145948568</v>
      </c>
      <c r="B1983" t="str">
        <f>"1578725988558078"</f>
        <v>1578725988558078</v>
      </c>
      <c r="C1983" t="s">
        <v>40</v>
      </c>
      <c r="D1983">
        <v>4.4912989999999997</v>
      </c>
      <c r="E1983">
        <v>0.66540029999999994</v>
      </c>
      <c r="F1983" t="s">
        <v>48</v>
      </c>
      <c r="G1983">
        <v>-168.98310000000001</v>
      </c>
      <c r="H1983">
        <v>3.2758669999999999</v>
      </c>
      <c r="I1983">
        <v>341.69810000000001</v>
      </c>
      <c r="J1983">
        <v>-212.79599999999999</v>
      </c>
      <c r="K1983">
        <v>1.1035649999999999</v>
      </c>
      <c r="L1983">
        <v>367.10539999999997</v>
      </c>
      <c r="M1983">
        <v>0.99102650000000003</v>
      </c>
      <c r="N1983">
        <v>0</v>
      </c>
      <c r="O1983">
        <v>-0.1329099</v>
      </c>
      <c r="P1983">
        <v>0.99288100000000001</v>
      </c>
      <c r="Q1983">
        <v>4.4584619999999998E-2</v>
      </c>
      <c r="R1983">
        <v>-0.1104508</v>
      </c>
      <c r="S1983">
        <v>2.8348239999999998</v>
      </c>
      <c r="T1983">
        <v>0.1402707</v>
      </c>
      <c r="U1983">
        <v>-1.6414789999999999</v>
      </c>
      <c r="V1983">
        <v>-2.2294810000000002E-2</v>
      </c>
      <c r="W1983">
        <v>5.8834240000000003E-2</v>
      </c>
      <c r="X1983">
        <v>0.99801879999999998</v>
      </c>
      <c r="Y1983">
        <v>0.38139580000000001</v>
      </c>
      <c r="Z1983">
        <v>2.7182280000000001E-3</v>
      </c>
      <c r="AA1983">
        <v>0.9244078</v>
      </c>
      <c r="AB1983">
        <v>18</v>
      </c>
      <c r="AC1983">
        <v>43.8128999999999</v>
      </c>
      <c r="AD1983">
        <v>2.1723020000000002</v>
      </c>
      <c r="AE1983">
        <v>-25.4072999999999</v>
      </c>
      <c r="AF1983">
        <v>19.322542456610901</v>
      </c>
      <c r="AG1983">
        <v>2.1723020000000002</v>
      </c>
      <c r="AH1983">
        <v>46.715400462944103</v>
      </c>
      <c r="AI1983">
        <v>87.539509321869502</v>
      </c>
      <c r="AJ1983">
        <v>67.528910138348493</v>
      </c>
      <c r="AK1983">
        <v>50.600476118115502</v>
      </c>
      <c r="AL1983">
        <v>86.627098667348406</v>
      </c>
      <c r="AM1983">
        <v>91.279721477421404</v>
      </c>
      <c r="AN1983">
        <v>1.0000000257513699</v>
      </c>
    </row>
    <row r="1984" spans="1:40" x14ac:dyDescent="0.3">
      <c r="A1984" t="str">
        <f>"20200111145948579"</f>
        <v>20200111145948579</v>
      </c>
      <c r="B1984" t="str">
        <f>"1578725988567838"</f>
        <v>1578725988567838</v>
      </c>
      <c r="C1984" t="s">
        <v>40</v>
      </c>
      <c r="D1984">
        <v>4.3674989999999996</v>
      </c>
      <c r="E1984">
        <v>0.68450149999999998</v>
      </c>
      <c r="F1984" t="s">
        <v>48</v>
      </c>
      <c r="G1984">
        <v>-168.98310000000001</v>
      </c>
      <c r="H1984">
        <v>3.2968449999999998</v>
      </c>
      <c r="I1984">
        <v>341.6395</v>
      </c>
      <c r="J1984">
        <v>-212.7045</v>
      </c>
      <c r="K1984">
        <v>1.1035520000000001</v>
      </c>
      <c r="L1984">
        <v>367.0915</v>
      </c>
      <c r="M1984">
        <v>0.99082740000000002</v>
      </c>
      <c r="N1984">
        <v>0</v>
      </c>
      <c r="O1984">
        <v>-0.1343868</v>
      </c>
      <c r="P1984">
        <v>0.99267819999999996</v>
      </c>
      <c r="Q1984">
        <v>4.4735339999999998E-2</v>
      </c>
      <c r="R1984">
        <v>-0.1121988</v>
      </c>
      <c r="S1984">
        <v>2.8320159999999999</v>
      </c>
      <c r="T1984">
        <v>0.14177139999999999</v>
      </c>
      <c r="U1984">
        <v>-1.646088</v>
      </c>
      <c r="V1984">
        <v>-2.2021450000000001E-2</v>
      </c>
      <c r="W1984">
        <v>5.8983710000000002E-2</v>
      </c>
      <c r="X1984">
        <v>0.99801600000000001</v>
      </c>
      <c r="Y1984">
        <v>0.38153690000000001</v>
      </c>
      <c r="Z1984">
        <v>2.6851790000000002E-3</v>
      </c>
      <c r="AA1984">
        <v>0.92434970000000005</v>
      </c>
      <c r="AB1984">
        <v>18</v>
      </c>
      <c r="AC1984">
        <v>43.721399999999903</v>
      </c>
      <c r="AD1984">
        <v>2.1932930000000002</v>
      </c>
      <c r="AE1984">
        <v>-25.452000000000002</v>
      </c>
      <c r="AF1984">
        <v>19.3086145339681</v>
      </c>
      <c r="AG1984">
        <v>2.1932930000000002</v>
      </c>
      <c r="AH1984">
        <v>46.657780872196099</v>
      </c>
      <c r="AI1984">
        <v>87.512885446458895</v>
      </c>
      <c r="AJ1984">
        <v>67.518524684206994</v>
      </c>
      <c r="AK1984">
        <v>50.542869381576303</v>
      </c>
      <c r="AL1984">
        <v>86.618519611603404</v>
      </c>
      <c r="AM1984">
        <v>91.264039288553306</v>
      </c>
      <c r="AN1984">
        <v>0.99999997928073303</v>
      </c>
    </row>
    <row r="1985" spans="1:40" x14ac:dyDescent="0.3">
      <c r="A1985" t="str">
        <f>"20200111145948592"</f>
        <v>20200111145948592</v>
      </c>
      <c r="B1985" t="str">
        <f>"1578725988587358"</f>
        <v>1578725988587358</v>
      </c>
      <c r="C1985" t="s">
        <v>40</v>
      </c>
      <c r="D1985">
        <v>4.4314939999999998</v>
      </c>
      <c r="E1985">
        <v>0.68627919999999998</v>
      </c>
      <c r="F1985" t="s">
        <v>48</v>
      </c>
      <c r="G1985">
        <v>-168.40020000000001</v>
      </c>
      <c r="H1985">
        <v>0.25988529999999999</v>
      </c>
      <c r="I1985">
        <v>338.48289999999997</v>
      </c>
      <c r="J1985">
        <v>-212.60910000000001</v>
      </c>
      <c r="K1985">
        <v>1.1035410000000001</v>
      </c>
      <c r="L1985">
        <v>367.07670000000002</v>
      </c>
      <c r="M1985">
        <v>0.99061379999999999</v>
      </c>
      <c r="N1985">
        <v>0</v>
      </c>
      <c r="O1985">
        <v>-0.13595189999999999</v>
      </c>
      <c r="P1985">
        <v>0.99249069999999995</v>
      </c>
      <c r="Q1985">
        <v>4.4624129999999998E-2</v>
      </c>
      <c r="R1985">
        <v>-0.1138911</v>
      </c>
      <c r="S1985">
        <v>2.8188170000000001</v>
      </c>
      <c r="T1985">
        <v>-5.3677080000000002E-2</v>
      </c>
      <c r="U1985">
        <v>-1.82019</v>
      </c>
      <c r="V1985">
        <v>-2.189549E-2</v>
      </c>
      <c r="W1985">
        <v>5.8871369999999999E-2</v>
      </c>
      <c r="X1985">
        <v>0.99802539999999995</v>
      </c>
      <c r="Y1985">
        <v>0.42316769999999998</v>
      </c>
      <c r="Z1985">
        <v>-1.3434499999999999E-3</v>
      </c>
      <c r="AA1985">
        <v>0.90605040000000003</v>
      </c>
      <c r="AB1985">
        <v>18</v>
      </c>
      <c r="AC1985">
        <v>44.2089</v>
      </c>
      <c r="AD1985">
        <v>-0.84365569999999901</v>
      </c>
      <c r="AE1985">
        <v>-28.593800000000002</v>
      </c>
      <c r="AF1985">
        <v>22.311647371288199</v>
      </c>
      <c r="AG1985">
        <v>-0.84365569999999901</v>
      </c>
      <c r="AH1985">
        <v>47.673888738156002</v>
      </c>
      <c r="AI1985">
        <v>90.918254468385697</v>
      </c>
      <c r="AJ1985">
        <v>64.920142309939393</v>
      </c>
      <c r="AK1985">
        <v>52.6433379524792</v>
      </c>
      <c r="AL1985">
        <v>86.624967409300794</v>
      </c>
      <c r="AM1985">
        <v>91.256799630566704</v>
      </c>
      <c r="AN1985">
        <v>0.99999997486658798</v>
      </c>
    </row>
    <row r="1986" spans="1:40" x14ac:dyDescent="0.3">
      <c r="A1986" t="str">
        <f>"20200111145948603"</f>
        <v>20200111145948603</v>
      </c>
      <c r="B1986" t="str">
        <f>"1578725988598094"</f>
        <v>1578725988598094</v>
      </c>
      <c r="C1986" t="s">
        <v>40</v>
      </c>
      <c r="D1986">
        <v>4.386012</v>
      </c>
      <c r="E1986">
        <v>0.68447939999999996</v>
      </c>
      <c r="F1986" t="s">
        <v>48</v>
      </c>
      <c r="G1986">
        <v>-168.40010000000001</v>
      </c>
      <c r="H1986">
        <v>0.15691369999999999</v>
      </c>
      <c r="I1986">
        <v>338.1748</v>
      </c>
      <c r="J1986">
        <v>-212.51519999999999</v>
      </c>
      <c r="K1986">
        <v>1.103526</v>
      </c>
      <c r="L1986">
        <v>367.06200000000001</v>
      </c>
      <c r="M1986">
        <v>0.99040019999999995</v>
      </c>
      <c r="N1986">
        <v>0</v>
      </c>
      <c r="O1986">
        <v>-0.13750090000000001</v>
      </c>
      <c r="P1986">
        <v>0.99227739999999998</v>
      </c>
      <c r="Q1986">
        <v>4.4855520000000003E-2</v>
      </c>
      <c r="R1986">
        <v>-0.1156454</v>
      </c>
      <c r="S1986">
        <v>2.81427</v>
      </c>
      <c r="T1986">
        <v>-6.0260300000000003E-2</v>
      </c>
      <c r="U1986">
        <v>-1.839844</v>
      </c>
      <c r="V1986">
        <v>-2.1687700000000001E-2</v>
      </c>
      <c r="W1986">
        <v>5.9101750000000002E-2</v>
      </c>
      <c r="X1986">
        <v>0.99801640000000003</v>
      </c>
      <c r="Y1986">
        <v>0.4268516</v>
      </c>
      <c r="Z1986">
        <v>-1.5144080000000001E-3</v>
      </c>
      <c r="AA1986">
        <v>0.90432040000000002</v>
      </c>
      <c r="AB1986">
        <v>18</v>
      </c>
      <c r="AC1986">
        <v>44.115099999999899</v>
      </c>
      <c r="AD1986">
        <v>-0.94661229999999996</v>
      </c>
      <c r="AE1986">
        <v>-28.887199999999901</v>
      </c>
      <c r="AF1986">
        <v>22.5390247315129</v>
      </c>
      <c r="AG1986">
        <v>-0.94661229999999996</v>
      </c>
      <c r="AH1986">
        <v>47.6530529162535</v>
      </c>
      <c r="AI1986">
        <v>91.028768853933002</v>
      </c>
      <c r="AJ1986">
        <v>64.686704881002001</v>
      </c>
      <c r="AK1986">
        <v>52.723023082269499</v>
      </c>
      <c r="AL1986">
        <v>86.611744851552999</v>
      </c>
      <c r="AM1986">
        <v>91.244887492630596</v>
      </c>
      <c r="AN1986">
        <v>1.00000005392665</v>
      </c>
    </row>
    <row r="1987" spans="1:40" x14ac:dyDescent="0.3">
      <c r="A1987" t="str">
        <f>"20200111145948614"</f>
        <v>20200111145948614</v>
      </c>
      <c r="B1987" t="str">
        <f>"1578725988607854"</f>
        <v>1578725988607854</v>
      </c>
      <c r="C1987" t="s">
        <v>40</v>
      </c>
      <c r="D1987">
        <v>4.4230769999999904</v>
      </c>
      <c r="E1987">
        <v>0.68196400000000001</v>
      </c>
      <c r="F1987" t="s">
        <v>48</v>
      </c>
      <c r="G1987">
        <v>-168.40010000000001</v>
      </c>
      <c r="H1987">
        <v>0.13063330000000001</v>
      </c>
      <c r="I1987">
        <v>338.3467</v>
      </c>
      <c r="J1987">
        <v>-212.42519999999999</v>
      </c>
      <c r="K1987">
        <v>1.1035090000000001</v>
      </c>
      <c r="L1987">
        <v>367.04770000000002</v>
      </c>
      <c r="M1987">
        <v>0.9901896</v>
      </c>
      <c r="N1987">
        <v>0</v>
      </c>
      <c r="O1987">
        <v>-0.13900779999999999</v>
      </c>
      <c r="P1987">
        <v>0.99205120000000002</v>
      </c>
      <c r="Q1987">
        <v>4.5099529999999999E-2</v>
      </c>
      <c r="R1987">
        <v>-0.117476</v>
      </c>
      <c r="S1987">
        <v>2.8127589999999998</v>
      </c>
      <c r="T1987">
        <v>-6.2030790000000002E-2</v>
      </c>
      <c r="U1987">
        <v>-1.8308720000000001</v>
      </c>
      <c r="V1987">
        <v>-2.13595E-2</v>
      </c>
      <c r="W1987">
        <v>5.9344519999999998E-2</v>
      </c>
      <c r="X1987">
        <v>0.99800900000000003</v>
      </c>
      <c r="Y1987">
        <v>0.42367009999999999</v>
      </c>
      <c r="Z1987">
        <v>-1.4992639999999999E-3</v>
      </c>
      <c r="AA1987">
        <v>0.90581540000000005</v>
      </c>
      <c r="AB1987">
        <v>18</v>
      </c>
      <c r="AC1987">
        <v>44.025099999999902</v>
      </c>
      <c r="AD1987">
        <v>-0.97287570000000001</v>
      </c>
      <c r="AE1987">
        <v>-28.701000000000001</v>
      </c>
      <c r="AF1987">
        <v>22.294205246570701</v>
      </c>
      <c r="AG1987">
        <v>-0.97287570000000001</v>
      </c>
      <c r="AH1987">
        <v>47.571348959021599</v>
      </c>
      <c r="AI1987">
        <v>91.060890868165501</v>
      </c>
      <c r="AJ1987">
        <v>64.889968825383306</v>
      </c>
      <c r="AK1987">
        <v>52.5453263048663</v>
      </c>
      <c r="AL1987">
        <v>86.597810453874004</v>
      </c>
      <c r="AM1987">
        <v>91.226063490832701</v>
      </c>
      <c r="AN1987">
        <v>0.99999998218763997</v>
      </c>
    </row>
    <row r="1988" spans="1:40" x14ac:dyDescent="0.3">
      <c r="A1988" t="str">
        <f>"20200111145948626"</f>
        <v>20200111145948626</v>
      </c>
      <c r="B1988" t="str">
        <f>"1578725988607854"</f>
        <v>1578725988607854</v>
      </c>
      <c r="C1988" t="s">
        <v>40</v>
      </c>
      <c r="D1988">
        <v>4.4230769999999904</v>
      </c>
      <c r="E1988">
        <v>0.68196400000000001</v>
      </c>
      <c r="F1988" t="s">
        <v>48</v>
      </c>
      <c r="G1988">
        <v>-168.40010000000001</v>
      </c>
      <c r="H1988">
        <v>0.153739299999999</v>
      </c>
      <c r="I1988">
        <v>338.61930000000001</v>
      </c>
      <c r="J1988">
        <v>-212.32650000000001</v>
      </c>
      <c r="K1988">
        <v>1.10349599999999</v>
      </c>
      <c r="L1988">
        <v>367.03190000000001</v>
      </c>
      <c r="M1988">
        <v>0.98995409999999995</v>
      </c>
      <c r="N1988">
        <v>0</v>
      </c>
      <c r="O1988">
        <v>-0.14067660000000001</v>
      </c>
      <c r="P1988">
        <v>0.99177919999999997</v>
      </c>
      <c r="Q1988">
        <v>4.5568490000000003E-2</v>
      </c>
      <c r="R1988">
        <v>-0.1195741</v>
      </c>
      <c r="S1988">
        <v>2.8117679999999998</v>
      </c>
      <c r="T1988">
        <v>-6.065893E-2</v>
      </c>
      <c r="U1988">
        <v>-1.8156429999999999</v>
      </c>
      <c r="V1988">
        <v>-2.0923480000000001E-2</v>
      </c>
      <c r="W1988">
        <v>5.9811469999999999E-2</v>
      </c>
      <c r="X1988">
        <v>0.99799040000000006</v>
      </c>
      <c r="Y1988">
        <v>0.4188326</v>
      </c>
      <c r="Z1988">
        <v>-1.388727E-3</v>
      </c>
      <c r="AA1988">
        <v>0.90806240000000005</v>
      </c>
      <c r="AB1988">
        <v>18</v>
      </c>
      <c r="AC1988">
        <v>43.926400000000001</v>
      </c>
      <c r="AD1988">
        <v>-0.94975669999999901</v>
      </c>
      <c r="AE1988">
        <v>-28.412600000000001</v>
      </c>
      <c r="AF1988">
        <v>21.942726838085701</v>
      </c>
      <c r="AG1988">
        <v>-0.94975669999999901</v>
      </c>
      <c r="AH1988">
        <v>47.471233505999201</v>
      </c>
      <c r="AI1988">
        <v>91.040419524615501</v>
      </c>
      <c r="AJ1988">
        <v>65.192105812497601</v>
      </c>
      <c r="AK1988">
        <v>52.305863050533297</v>
      </c>
      <c r="AL1988">
        <v>86.571008713511802</v>
      </c>
      <c r="AM1988">
        <v>91.201065152657407</v>
      </c>
      <c r="AN1988">
        <v>1.00000002122551</v>
      </c>
    </row>
    <row r="1989" spans="1:40" x14ac:dyDescent="0.3">
      <c r="A1989" t="str">
        <f>"20200111145948823"</f>
        <v>20200111145948823</v>
      </c>
      <c r="B1989" t="str">
        <f>"1578725988817694"</f>
        <v>1578725988817694</v>
      </c>
      <c r="C1989" t="s">
        <v>40</v>
      </c>
      <c r="D1989">
        <v>4.5372539999999999</v>
      </c>
      <c r="E1989">
        <v>0.68052139999999905</v>
      </c>
      <c r="F1989" t="s">
        <v>48</v>
      </c>
      <c r="G1989">
        <v>-168.40010000000001</v>
      </c>
      <c r="H1989">
        <v>0.17309730000000001</v>
      </c>
      <c r="I1989">
        <v>338.53660000000002</v>
      </c>
      <c r="J1989">
        <v>-210.76730000000001</v>
      </c>
      <c r="K1989">
        <v>1.103135</v>
      </c>
      <c r="L1989">
        <v>366.75409999999999</v>
      </c>
      <c r="M1989">
        <v>0.98532229999999998</v>
      </c>
      <c r="N1989">
        <v>0</v>
      </c>
      <c r="O1989">
        <v>-0.17011509999999999</v>
      </c>
      <c r="P1989">
        <v>0.98420929999999995</v>
      </c>
      <c r="Q1989">
        <v>4.1950290000000001E-2</v>
      </c>
      <c r="R1989">
        <v>-0.17196620000000001</v>
      </c>
      <c r="S1989">
        <v>2.8079990000000001</v>
      </c>
      <c r="T1989">
        <v>-5.947554E-2</v>
      </c>
      <c r="U1989">
        <v>-1.821564</v>
      </c>
      <c r="V1989">
        <v>2.2705009999999999E-3</v>
      </c>
      <c r="W1989">
        <v>5.6104569999999999E-2</v>
      </c>
      <c r="X1989">
        <v>0.99842229999999998</v>
      </c>
      <c r="Y1989">
        <v>0.39352520000000002</v>
      </c>
      <c r="Z1989">
        <v>-5.6703250000000004E-4</v>
      </c>
      <c r="AA1989">
        <v>0.91931359999999995</v>
      </c>
      <c r="AB1989">
        <v>18</v>
      </c>
      <c r="AC1989">
        <v>42.367199999999997</v>
      </c>
      <c r="AD1989">
        <v>-0.93003769999999997</v>
      </c>
      <c r="AE1989">
        <v>-28.217499999999902</v>
      </c>
      <c r="AF1989">
        <v>20.5912263207282</v>
      </c>
      <c r="AG1989">
        <v>-0.93003769999999997</v>
      </c>
      <c r="AH1989">
        <v>46.534710338334499</v>
      </c>
      <c r="AI1989">
        <v>91.047053167584906</v>
      </c>
      <c r="AJ1989">
        <v>66.131004292140204</v>
      </c>
      <c r="AK1989">
        <v>50.895410773345397</v>
      </c>
      <c r="AL1989">
        <v>86.783756059991603</v>
      </c>
      <c r="AM1989">
        <v>89.869704532412598</v>
      </c>
      <c r="AN1989">
        <v>0.99999998354348196</v>
      </c>
    </row>
    <row r="1990" spans="1:40" x14ac:dyDescent="0.3">
      <c r="A1990" t="str">
        <f>"20200111145948835"</f>
        <v>20200111145948835</v>
      </c>
      <c r="B1990" t="str">
        <f>"1578725988827454"</f>
        <v>1578725988827454</v>
      </c>
      <c r="C1990" t="s">
        <v>40</v>
      </c>
      <c r="D1990">
        <v>4.5000400000000003</v>
      </c>
      <c r="E1990">
        <v>0.67965719999999996</v>
      </c>
      <c r="F1990" t="s">
        <v>43</v>
      </c>
      <c r="G1990">
        <v>-168.4435</v>
      </c>
      <c r="H1990">
        <v>-0.05</v>
      </c>
      <c r="I1990">
        <v>336.16469999999998</v>
      </c>
      <c r="J1990">
        <v>-210.67310000000001</v>
      </c>
      <c r="K1990">
        <v>1.103094</v>
      </c>
      <c r="L1990">
        <v>366.73540000000003</v>
      </c>
      <c r="M1990">
        <v>0.9849736</v>
      </c>
      <c r="N1990">
        <v>0</v>
      </c>
      <c r="O1990">
        <v>-0.17212230000000001</v>
      </c>
      <c r="P1990">
        <v>0.98335059999999996</v>
      </c>
      <c r="Q1990">
        <v>3.9401640000000002E-2</v>
      </c>
      <c r="R1990">
        <v>-0.177396</v>
      </c>
      <c r="S1990">
        <v>2.7091669999999999</v>
      </c>
      <c r="T1990">
        <v>-7.3812719999999998E-2</v>
      </c>
      <c r="U1990">
        <v>-1.9580379999999999</v>
      </c>
      <c r="V1990">
        <v>5.7231790000000001E-3</v>
      </c>
      <c r="W1990">
        <v>5.3542100000000002E-2</v>
      </c>
      <c r="X1990">
        <v>0.99854920000000003</v>
      </c>
      <c r="Y1990">
        <v>0.43744670000000002</v>
      </c>
      <c r="Z1990">
        <v>-1.208827E-3</v>
      </c>
      <c r="AA1990">
        <v>0.89924349999999997</v>
      </c>
      <c r="AB1990">
        <v>18</v>
      </c>
      <c r="AC1990">
        <v>42.229599999999998</v>
      </c>
      <c r="AD1990">
        <v>-1.1530940000000001</v>
      </c>
      <c r="AE1990">
        <v>-30.570699999999999</v>
      </c>
      <c r="AF1990">
        <v>22.833801175730301</v>
      </c>
      <c r="AG1990">
        <v>-1.1530940000000001</v>
      </c>
      <c r="AH1990">
        <v>46.8387343669324</v>
      </c>
      <c r="AI1990">
        <v>91.267685719138697</v>
      </c>
      <c r="AJ1990">
        <v>64.010847292316896</v>
      </c>
      <c r="AK1990">
        <v>52.120812915779403</v>
      </c>
      <c r="AL1990">
        <v>86.930796032143306</v>
      </c>
      <c r="AM1990">
        <v>89.671613164872099</v>
      </c>
      <c r="AN1990">
        <v>1.0000000080354501</v>
      </c>
    </row>
    <row r="1991" spans="1:40" x14ac:dyDescent="0.3">
      <c r="A1991" t="str">
        <f>"20200111145948846"</f>
        <v>20200111145948846</v>
      </c>
      <c r="B1991" t="str">
        <f>"1578725988838191"</f>
        <v>1578725988838191</v>
      </c>
      <c r="C1991" t="s">
        <v>40</v>
      </c>
      <c r="D1991">
        <v>4.5042059999999999</v>
      </c>
      <c r="E1991">
        <v>0.67901409999999995</v>
      </c>
      <c r="F1991" t="s">
        <v>42</v>
      </c>
      <c r="G1991">
        <v>-181.13720000000001</v>
      </c>
      <c r="H1991" s="1">
        <v>-4.2494789999999998E-6</v>
      </c>
      <c r="I1991">
        <v>345.20580000000001</v>
      </c>
      <c r="J1991">
        <v>-210.58850000000001</v>
      </c>
      <c r="K1991">
        <v>1.1030549999999999</v>
      </c>
      <c r="L1991">
        <v>366.71839999999997</v>
      </c>
      <c r="M1991">
        <v>0.98465199999999997</v>
      </c>
      <c r="N1991">
        <v>0</v>
      </c>
      <c r="O1991">
        <v>-0.173952</v>
      </c>
      <c r="P1991">
        <v>0.98242309999999999</v>
      </c>
      <c r="Q1991">
        <v>3.7196260000000002E-2</v>
      </c>
      <c r="R1991">
        <v>-0.18292559999999999</v>
      </c>
      <c r="S1991">
        <v>2.6998289999999998</v>
      </c>
      <c r="T1991">
        <v>-0.1008323</v>
      </c>
      <c r="U1991">
        <v>-1.9679869999999999</v>
      </c>
      <c r="V1991">
        <v>9.4659119999999999E-3</v>
      </c>
      <c r="W1991">
        <v>5.1320709999999999E-2</v>
      </c>
      <c r="X1991">
        <v>0.99863740000000001</v>
      </c>
      <c r="Y1991">
        <v>0.43936259999999999</v>
      </c>
      <c r="Z1991">
        <v>-1.6279210000000001E-3</v>
      </c>
      <c r="AA1991">
        <v>0.89830829999999995</v>
      </c>
      <c r="AB1991">
        <v>18</v>
      </c>
      <c r="AC1991">
        <v>29.4513</v>
      </c>
      <c r="AD1991">
        <v>-1.1030592494789999</v>
      </c>
      <c r="AE1991">
        <v>-21.5125999999999</v>
      </c>
      <c r="AF1991">
        <v>16.046249517383401</v>
      </c>
      <c r="AG1991">
        <v>-1.1030592494789999</v>
      </c>
      <c r="AH1991">
        <v>32.714809526214403</v>
      </c>
      <c r="AI1991">
        <v>91.733932548312893</v>
      </c>
      <c r="AJ1991">
        <v>63.8725639350683</v>
      </c>
      <c r="AK1991">
        <v>36.454871082181597</v>
      </c>
      <c r="AL1991">
        <v>87.058247722756505</v>
      </c>
      <c r="AM1991">
        <v>89.456919433959698</v>
      </c>
      <c r="AN1991">
        <v>1.0000000377218199</v>
      </c>
    </row>
    <row r="1992" spans="1:40" x14ac:dyDescent="0.3">
      <c r="A1992" t="str">
        <f>"20200111145948858"</f>
        <v>20200111145948858</v>
      </c>
      <c r="B1992" t="str">
        <f>"1578725988847951"</f>
        <v>1578725988847951</v>
      </c>
      <c r="C1992" t="s">
        <v>40</v>
      </c>
      <c r="D1992">
        <v>4.4663729999999999</v>
      </c>
      <c r="E1992">
        <v>0.67713059999999903</v>
      </c>
      <c r="F1992" t="s">
        <v>45</v>
      </c>
      <c r="G1992">
        <v>-187.5909</v>
      </c>
      <c r="H1992" s="1">
        <v>-7.0167919999999897E-7</v>
      </c>
      <c r="I1992">
        <v>349.78410000000002</v>
      </c>
      <c r="J1992">
        <v>-210.4956</v>
      </c>
      <c r="K1992">
        <v>1.10302099999999</v>
      </c>
      <c r="L1992">
        <v>366.69959999999998</v>
      </c>
      <c r="M1992">
        <v>0.98429160000000004</v>
      </c>
      <c r="N1992">
        <v>0</v>
      </c>
      <c r="O1992">
        <v>-0.1759802</v>
      </c>
      <c r="P1992">
        <v>0.98138429999999999</v>
      </c>
      <c r="Q1992">
        <v>3.6046429999999997E-2</v>
      </c>
      <c r="R1992">
        <v>-0.18864130000000001</v>
      </c>
      <c r="S1992">
        <v>2.6897739999999999</v>
      </c>
      <c r="T1992">
        <v>-0.1290125</v>
      </c>
      <c r="U1992">
        <v>-1.980621</v>
      </c>
      <c r="V1992">
        <v>1.321466E-2</v>
      </c>
      <c r="W1992">
        <v>5.0153490000000002E-2</v>
      </c>
      <c r="X1992">
        <v>0.99865409999999999</v>
      </c>
      <c r="Y1992">
        <v>0.44177339999999998</v>
      </c>
      <c r="Z1992">
        <v>-2.0552579999999999E-3</v>
      </c>
      <c r="AA1992">
        <v>0.89712429999999999</v>
      </c>
      <c r="AB1992">
        <v>18</v>
      </c>
      <c r="AC1992">
        <v>22.904699999999899</v>
      </c>
      <c r="AD1992">
        <v>-1.1030217016792001</v>
      </c>
      <c r="AE1992">
        <v>-16.915499999999899</v>
      </c>
      <c r="AF1992">
        <v>12.6013692707369</v>
      </c>
      <c r="AG1992">
        <v>-1.1030217016792001</v>
      </c>
      <c r="AH1992">
        <v>25.486017096474999</v>
      </c>
      <c r="AI1992">
        <v>92.221744775790995</v>
      </c>
      <c r="AJ1992">
        <v>63.690253043296003</v>
      </c>
      <c r="AK1992">
        <v>28.4525610765299</v>
      </c>
      <c r="AL1992">
        <v>87.125210656906404</v>
      </c>
      <c r="AM1992">
        <v>89.241879586937998</v>
      </c>
      <c r="AN1992">
        <v>1.0000000056224501</v>
      </c>
    </row>
    <row r="1993" spans="1:40" x14ac:dyDescent="0.3">
      <c r="A1993" t="str">
        <f>"20200111145949054"</f>
        <v>20200111145949054</v>
      </c>
      <c r="B1993" t="str">
        <f>"1578725989048031"</f>
        <v>1578725989048031</v>
      </c>
      <c r="C1993" t="s">
        <v>40</v>
      </c>
      <c r="D1993">
        <v>4.6469009999999997</v>
      </c>
      <c r="E1993">
        <v>0.67536750000000001</v>
      </c>
      <c r="F1993" t="s">
        <v>45</v>
      </c>
      <c r="G1993">
        <v>-188.245</v>
      </c>
      <c r="H1993" s="1">
        <v>-6.8593869999999996E-7</v>
      </c>
      <c r="I1993">
        <v>350.25209999999998</v>
      </c>
      <c r="J1993">
        <v>-208.98759999999999</v>
      </c>
      <c r="K1993">
        <v>1.1023229999999999</v>
      </c>
      <c r="L1993">
        <v>366.3544</v>
      </c>
      <c r="M1993">
        <v>0.97632799999999997</v>
      </c>
      <c r="N1993">
        <v>0</v>
      </c>
      <c r="O1993">
        <v>-0.21582489999999999</v>
      </c>
      <c r="P1993">
        <v>0.95408090000000001</v>
      </c>
      <c r="Q1993">
        <v>5.0472200000000002E-2</v>
      </c>
      <c r="R1993">
        <v>-0.29526649999999999</v>
      </c>
      <c r="S1993">
        <v>2.6808779999999999</v>
      </c>
      <c r="T1993">
        <v>-0.13289809999999999</v>
      </c>
      <c r="U1993">
        <v>-1.981689</v>
      </c>
      <c r="V1993">
        <v>8.2807919999999993E-2</v>
      </c>
      <c r="W1993">
        <v>6.4098080000000002E-2</v>
      </c>
      <c r="X1993">
        <v>0.994502</v>
      </c>
      <c r="Y1993">
        <v>0.40669040000000001</v>
      </c>
      <c r="Z1993">
        <v>3.3180509999999999E-4</v>
      </c>
      <c r="AA1993">
        <v>0.91356599999999999</v>
      </c>
      <c r="AB1993">
        <v>17</v>
      </c>
      <c r="AC1993">
        <v>20.7425999999999</v>
      </c>
      <c r="AD1993">
        <v>-1.1023236859387</v>
      </c>
      <c r="AE1993">
        <v>-16.1023</v>
      </c>
      <c r="AF1993">
        <v>11.2257175218184</v>
      </c>
      <c r="AG1993">
        <v>-1.1023236859387</v>
      </c>
      <c r="AH1993">
        <v>23.687527519579099</v>
      </c>
      <c r="AI1993">
        <v>92.408025196675098</v>
      </c>
      <c r="AJ1993">
        <v>64.643335297031101</v>
      </c>
      <c r="AK1993">
        <v>26.236059372151601</v>
      </c>
      <c r="AL1993">
        <v>86.324930958842998</v>
      </c>
      <c r="AM1993">
        <v>85.240205862645098</v>
      </c>
      <c r="AN1993">
        <v>0.99999997173920596</v>
      </c>
    </row>
    <row r="1994" spans="1:40" x14ac:dyDescent="0.3">
      <c r="A1994" t="str">
        <f>"20200111145949065"</f>
        <v>20200111145949065</v>
      </c>
      <c r="B1994" t="str">
        <f>"1578725989057790"</f>
        <v>1578725989057790</v>
      </c>
      <c r="C1994" t="s">
        <v>40</v>
      </c>
      <c r="D1994">
        <v>4.6217579999999998</v>
      </c>
      <c r="E1994">
        <v>0.67693329999999996</v>
      </c>
      <c r="F1994" t="s">
        <v>43</v>
      </c>
      <c r="G1994">
        <v>-170.15700000000001</v>
      </c>
      <c r="H1994">
        <v>-0.05</v>
      </c>
      <c r="I1994">
        <v>330.67270000000002</v>
      </c>
      <c r="J1994">
        <v>-208.90979999999999</v>
      </c>
      <c r="K1994">
        <v>1.1022700000000001</v>
      </c>
      <c r="L1994">
        <v>366.33420000000001</v>
      </c>
      <c r="M1994">
        <v>0.97576790000000002</v>
      </c>
      <c r="N1994">
        <v>0</v>
      </c>
      <c r="O1994">
        <v>-0.21834310000000001</v>
      </c>
      <c r="P1994">
        <v>0.95267710000000005</v>
      </c>
      <c r="Q1994">
        <v>5.1323149999999998E-2</v>
      </c>
      <c r="R1994">
        <v>-0.29962040000000001</v>
      </c>
      <c r="S1994">
        <v>2.4511569999999998</v>
      </c>
      <c r="T1994">
        <v>-7.2739600000000001E-2</v>
      </c>
      <c r="U1994">
        <v>-2.25238</v>
      </c>
      <c r="V1994">
        <v>8.4810090000000005E-2</v>
      </c>
      <c r="W1994">
        <v>6.4928429999999995E-2</v>
      </c>
      <c r="X1994">
        <v>0.99427940000000004</v>
      </c>
      <c r="Y1994">
        <v>0.49943690000000002</v>
      </c>
      <c r="Z1994">
        <v>-9.3463620000000004E-4</v>
      </c>
      <c r="AA1994">
        <v>0.86634979999999995</v>
      </c>
      <c r="AB1994">
        <v>17</v>
      </c>
      <c r="AC1994">
        <v>38.752799999999901</v>
      </c>
      <c r="AD1994">
        <v>-1.1522699999999999</v>
      </c>
      <c r="AE1994">
        <v>-35.661499999999897</v>
      </c>
      <c r="AF1994">
        <v>26.326015230364199</v>
      </c>
      <c r="AG1994">
        <v>-1.1522699999999999</v>
      </c>
      <c r="AH1994">
        <v>45.582995354244296</v>
      </c>
      <c r="AI1994">
        <v>91.254005880739399</v>
      </c>
      <c r="AJ1994">
        <v>59.991836189973696</v>
      </c>
      <c r="AK1994">
        <v>52.651650207066901</v>
      </c>
      <c r="AL1994">
        <v>86.277256155395094</v>
      </c>
      <c r="AM1994">
        <v>85.124583224570998</v>
      </c>
      <c r="AN1994">
        <v>0.99999998882621599</v>
      </c>
    </row>
    <row r="1995" spans="1:40" x14ac:dyDescent="0.3">
      <c r="A1995" t="str">
        <f>"20200111145949159"</f>
        <v>20200111145949159</v>
      </c>
      <c r="B1995" t="str">
        <f>"1578725989147584"</f>
        <v>1578725989147584</v>
      </c>
      <c r="C1995" t="s">
        <v>40</v>
      </c>
      <c r="D1995">
        <v>4.8074979999999998</v>
      </c>
      <c r="E1995">
        <v>0.68025159999999996</v>
      </c>
      <c r="F1995" t="s">
        <v>48</v>
      </c>
      <c r="G1995">
        <v>-168.40010000000001</v>
      </c>
      <c r="H1995">
        <v>0.23051179999999999</v>
      </c>
      <c r="I1995">
        <v>328.52960000000002</v>
      </c>
      <c r="J1995">
        <v>-208.20490000000001</v>
      </c>
      <c r="K1995">
        <v>1.1018349999999999</v>
      </c>
      <c r="L1995">
        <v>366.13780000000003</v>
      </c>
      <c r="M1995">
        <v>0.9697865</v>
      </c>
      <c r="N1995">
        <v>0</v>
      </c>
      <c r="O1995">
        <v>-0.24353259999999999</v>
      </c>
      <c r="P1995">
        <v>0.94198380000000004</v>
      </c>
      <c r="Q1995">
        <v>5.1957209999999997E-2</v>
      </c>
      <c r="R1995">
        <v>-0.3316134</v>
      </c>
      <c r="S1995">
        <v>2.4366759999999998</v>
      </c>
      <c r="T1995">
        <v>-5.243623E-2</v>
      </c>
      <c r="U1995">
        <v>-2.2739560000000001</v>
      </c>
      <c r="V1995">
        <v>9.2729859999999997E-2</v>
      </c>
      <c r="W1995">
        <v>6.5476099999999995E-2</v>
      </c>
      <c r="X1995">
        <v>0.99353610000000003</v>
      </c>
      <c r="Y1995">
        <v>0.4836356</v>
      </c>
      <c r="Z1995">
        <v>-1.0348370000000001E-4</v>
      </c>
      <c r="AA1995">
        <v>0.87526939999999998</v>
      </c>
      <c r="AB1995">
        <v>17</v>
      </c>
      <c r="AC1995">
        <v>39.8048</v>
      </c>
      <c r="AD1995">
        <v>-0.87132319999999996</v>
      </c>
      <c r="AE1995">
        <v>-37.608199999999997</v>
      </c>
      <c r="AF1995">
        <v>26.774138626263898</v>
      </c>
      <c r="AG1995">
        <v>-0.87132319999999996</v>
      </c>
      <c r="AH1995">
        <v>47.753811149384397</v>
      </c>
      <c r="AI1995">
        <v>90.911804049923006</v>
      </c>
      <c r="AJ1995">
        <v>60.721949855427503</v>
      </c>
      <c r="AK1995">
        <v>54.754362224286098</v>
      </c>
      <c r="AL1995">
        <v>86.245809967744705</v>
      </c>
      <c r="AM1995">
        <v>84.667851180352898</v>
      </c>
      <c r="AN1995">
        <v>0.99999996430501903</v>
      </c>
    </row>
    <row r="1996" spans="1:40" x14ac:dyDescent="0.3">
      <c r="A1996" t="str">
        <f>"20200111145949226"</f>
        <v>20200111145949226</v>
      </c>
      <c r="B1996" t="str">
        <f>"1578725989217854"</f>
        <v>1578725989217854</v>
      </c>
      <c r="C1996" t="s">
        <v>40</v>
      </c>
      <c r="D1996">
        <v>4.6051479999999998</v>
      </c>
      <c r="E1996">
        <v>0.68353739999999996</v>
      </c>
      <c r="F1996" t="s">
        <v>48</v>
      </c>
      <c r="G1996">
        <v>-168.4</v>
      </c>
      <c r="H1996">
        <v>0.106207</v>
      </c>
      <c r="I1996">
        <v>325.79539999999997</v>
      </c>
      <c r="J1996">
        <v>-207.71350000000001</v>
      </c>
      <c r="K1996">
        <v>1.1016900000000001</v>
      </c>
      <c r="L1996">
        <v>365.9855</v>
      </c>
      <c r="M1996">
        <v>0.96461710000000001</v>
      </c>
      <c r="N1996">
        <v>0</v>
      </c>
      <c r="O1996">
        <v>-0.26326139999999998</v>
      </c>
      <c r="P1996">
        <v>0.93006860000000002</v>
      </c>
      <c r="Q1996">
        <v>5.0192229999999997E-2</v>
      </c>
      <c r="R1996">
        <v>-0.36394149999999997</v>
      </c>
      <c r="S1996">
        <v>2.3496860000000002</v>
      </c>
      <c r="T1996">
        <v>-5.8771610000000002E-2</v>
      </c>
      <c r="U1996">
        <v>-2.3814090000000001</v>
      </c>
      <c r="V1996">
        <v>0.1067654</v>
      </c>
      <c r="W1996">
        <v>6.3587489999999997E-2</v>
      </c>
      <c r="X1996">
        <v>0.99224880000000004</v>
      </c>
      <c r="Y1996">
        <v>0.5017604</v>
      </c>
      <c r="Z1996" s="1">
        <v>6.5726689999999995E-5</v>
      </c>
      <c r="AA1996">
        <v>0.86500659999999896</v>
      </c>
      <c r="AB1996">
        <v>17</v>
      </c>
      <c r="AC1996">
        <v>39.313499999999998</v>
      </c>
      <c r="AD1996">
        <v>-0.99548300000000001</v>
      </c>
      <c r="AE1996">
        <v>-40.190100000000001</v>
      </c>
      <c r="AF1996">
        <v>28.412368505936701</v>
      </c>
      <c r="AG1996">
        <v>-0.99548300000000001</v>
      </c>
      <c r="AH1996">
        <v>48.492800445447102</v>
      </c>
      <c r="AI1996">
        <v>91.014726535727405</v>
      </c>
      <c r="AJ1996">
        <v>59.6335783661156</v>
      </c>
      <c r="AK1996">
        <v>56.212146067930803</v>
      </c>
      <c r="AL1996">
        <v>86.354245336243906</v>
      </c>
      <c r="AM1996">
        <v>83.858635185326605</v>
      </c>
      <c r="AN1996">
        <v>0.99999995031154798</v>
      </c>
    </row>
    <row r="1997" spans="1:40" x14ac:dyDescent="0.3">
      <c r="A1997" t="str">
        <f>"20200111145949248"</f>
        <v>20200111145949248</v>
      </c>
      <c r="B1997" t="str">
        <f>"1578725989237374"</f>
        <v>1578725989237374</v>
      </c>
      <c r="C1997" t="s">
        <v>40</v>
      </c>
      <c r="D1997">
        <v>4.5414919999999999</v>
      </c>
      <c r="E1997">
        <v>0.68333339999999998</v>
      </c>
      <c r="F1997" t="s">
        <v>48</v>
      </c>
      <c r="G1997">
        <v>-168.4</v>
      </c>
      <c r="H1997">
        <v>3.2871339999999999E-2</v>
      </c>
      <c r="I1997">
        <v>322.64420000000001</v>
      </c>
      <c r="J1997">
        <v>-207.55590000000001</v>
      </c>
      <c r="K1997">
        <v>1.101677</v>
      </c>
      <c r="L1997">
        <v>365.93400000000003</v>
      </c>
      <c r="M1997">
        <v>0.96279789999999998</v>
      </c>
      <c r="N1997">
        <v>0</v>
      </c>
      <c r="O1997">
        <v>-0.26983760000000001</v>
      </c>
      <c r="P1997">
        <v>0.92653560000000001</v>
      </c>
      <c r="Q1997">
        <v>5.1125360000000002E-2</v>
      </c>
      <c r="R1997">
        <v>-0.37271739999999998</v>
      </c>
      <c r="S1997">
        <v>2.2557680000000002</v>
      </c>
      <c r="T1997">
        <v>-6.1327340000000001E-2</v>
      </c>
      <c r="U1997">
        <v>-2.4868769999999998</v>
      </c>
      <c r="V1997">
        <v>0.1094005</v>
      </c>
      <c r="W1997">
        <v>6.4500639999999998E-2</v>
      </c>
      <c r="X1997">
        <v>0.99190279999999997</v>
      </c>
      <c r="Y1997">
        <v>0.53185280000000001</v>
      </c>
      <c r="Z1997">
        <v>-1.357044E-4</v>
      </c>
      <c r="AA1997">
        <v>0.8468369</v>
      </c>
      <c r="AB1997">
        <v>17</v>
      </c>
      <c r="AC1997">
        <v>39.155900000000003</v>
      </c>
      <c r="AD1997">
        <v>-1.06880566</v>
      </c>
      <c r="AE1997">
        <v>-43.2898</v>
      </c>
      <c r="AF1997">
        <v>31.106399604514198</v>
      </c>
      <c r="AG1997">
        <v>-1.06880566</v>
      </c>
      <c r="AH1997">
        <v>49.369015079322097</v>
      </c>
      <c r="AI1997">
        <v>91.049349454696994</v>
      </c>
      <c r="AJ1997">
        <v>57.785815522379202</v>
      </c>
      <c r="AK1997">
        <v>58.361374999196997</v>
      </c>
      <c r="AL1997">
        <v>86.301818183465002</v>
      </c>
      <c r="AM1997">
        <v>83.706082863445701</v>
      </c>
      <c r="AN1997">
        <v>0.999999983304249</v>
      </c>
    </row>
    <row r="1998" spans="1:40" x14ac:dyDescent="0.3">
      <c r="A1998" t="str">
        <f>"20200111145949271"</f>
        <v>20200111145949271</v>
      </c>
      <c r="B1998" t="str">
        <f>"1578725989267630"</f>
        <v>1578725989267630</v>
      </c>
      <c r="C1998" t="s">
        <v>40</v>
      </c>
      <c r="D1998">
        <v>4.6185700000000001</v>
      </c>
      <c r="E1998">
        <v>0.68493190000000004</v>
      </c>
      <c r="F1998" t="s">
        <v>48</v>
      </c>
      <c r="G1998">
        <v>-168.4</v>
      </c>
      <c r="H1998">
        <v>8.9999289999999996E-2</v>
      </c>
      <c r="I1998">
        <v>321.96640000000002</v>
      </c>
      <c r="J1998">
        <v>-207.3879</v>
      </c>
      <c r="K1998">
        <v>1.10168</v>
      </c>
      <c r="L1998">
        <v>365.87759999999997</v>
      </c>
      <c r="M1998">
        <v>0.96078589999999997</v>
      </c>
      <c r="N1998">
        <v>0</v>
      </c>
      <c r="O1998">
        <v>-0.2769162</v>
      </c>
      <c r="P1998">
        <v>0.9206858</v>
      </c>
      <c r="Q1998">
        <v>5.2822939999999999E-2</v>
      </c>
      <c r="R1998">
        <v>-0.38671369999999999</v>
      </c>
      <c r="S1998">
        <v>2.232605</v>
      </c>
      <c r="T1998">
        <v>-5.7683829999999998E-2</v>
      </c>
      <c r="U1998">
        <v>-2.506958</v>
      </c>
      <c r="V1998">
        <v>0.1171729</v>
      </c>
      <c r="W1998">
        <v>6.6129389999999996E-2</v>
      </c>
      <c r="X1998">
        <v>0.99090739999999999</v>
      </c>
      <c r="Y1998">
        <v>0.53335639999999995</v>
      </c>
      <c r="Z1998" s="1">
        <v>-1.1954459999999999E-5</v>
      </c>
      <c r="AA1998">
        <v>0.84589059999999905</v>
      </c>
      <c r="AB1998">
        <v>17</v>
      </c>
      <c r="AC1998">
        <v>38.987900000000003</v>
      </c>
      <c r="AD1998">
        <v>-1.01168071</v>
      </c>
      <c r="AE1998">
        <v>-43.911199999999901</v>
      </c>
      <c r="AF1998">
        <v>31.386827933616299</v>
      </c>
      <c r="AG1998">
        <v>-1.01168071</v>
      </c>
      <c r="AH1998">
        <v>49.6091803944649</v>
      </c>
      <c r="AI1998">
        <v>90.987307958797402</v>
      </c>
      <c r="AJ1998">
        <v>57.6792055993754</v>
      </c>
      <c r="AK1998">
        <v>58.713092619993901</v>
      </c>
      <c r="AL1998">
        <v>86.208298153814596</v>
      </c>
      <c r="AM1998">
        <v>83.256199561737901</v>
      </c>
      <c r="AN1998">
        <v>1.0000000300454699</v>
      </c>
    </row>
    <row r="1999" spans="1:40" x14ac:dyDescent="0.3">
      <c r="A1999" t="str">
        <f>"20200111145949283"</f>
        <v>20200111145949283</v>
      </c>
      <c r="B1999" t="str">
        <f>"1578725989277390"</f>
        <v>1578725989277390</v>
      </c>
      <c r="C1999" t="s">
        <v>40</v>
      </c>
      <c r="D1999">
        <v>4.6619739999999998</v>
      </c>
      <c r="E1999">
        <v>0.68435029999999997</v>
      </c>
      <c r="F1999" t="s">
        <v>48</v>
      </c>
      <c r="G1999">
        <v>-168.4</v>
      </c>
      <c r="H1999">
        <v>0.1067496</v>
      </c>
      <c r="I1999">
        <v>320.4348</v>
      </c>
      <c r="J1999">
        <v>-207.3038</v>
      </c>
      <c r="K1999">
        <v>1.101691</v>
      </c>
      <c r="L1999">
        <v>365.84890000000001</v>
      </c>
      <c r="M1999">
        <v>0.95975279999999996</v>
      </c>
      <c r="N1999">
        <v>0</v>
      </c>
      <c r="O1999">
        <v>-0.2804758</v>
      </c>
      <c r="P1999">
        <v>0.91820080000000004</v>
      </c>
      <c r="Q1999">
        <v>5.2471579999999997E-2</v>
      </c>
      <c r="R1999">
        <v>-0.3926248</v>
      </c>
      <c r="S1999">
        <v>2.189667</v>
      </c>
      <c r="T1999">
        <v>-5.5877570000000001E-2</v>
      </c>
      <c r="U1999">
        <v>-2.5521850000000001</v>
      </c>
      <c r="V1999">
        <v>0.1198615</v>
      </c>
      <c r="W1999">
        <v>6.5757300000000005E-2</v>
      </c>
      <c r="X1999">
        <v>0.99061049999999995</v>
      </c>
      <c r="Y1999">
        <v>0.5457959</v>
      </c>
      <c r="Z1999" s="1">
        <v>-7.5381709999999998E-5</v>
      </c>
      <c r="AA1999">
        <v>0.83791819999999895</v>
      </c>
      <c r="AB1999">
        <v>17</v>
      </c>
      <c r="AC1999">
        <v>38.903799999999897</v>
      </c>
      <c r="AD1999">
        <v>-0.99494139999999998</v>
      </c>
      <c r="AE1999">
        <v>-45.414099999999998</v>
      </c>
      <c r="AF1999">
        <v>32.6690884930916</v>
      </c>
      <c r="AG1999">
        <v>-0.99494139999999998</v>
      </c>
      <c r="AH1999">
        <v>50.0669331524321</v>
      </c>
      <c r="AI1999">
        <v>90.9534650221634</v>
      </c>
      <c r="AJ1999">
        <v>56.875219089557397</v>
      </c>
      <c r="AK1999">
        <v>59.790944520462297</v>
      </c>
      <c r="AL1999">
        <v>86.229663664464198</v>
      </c>
      <c r="AM1999">
        <v>83.100885982691807</v>
      </c>
      <c r="AN1999">
        <v>0.99999998219789399</v>
      </c>
    </row>
    <row r="2000" spans="1:40" x14ac:dyDescent="0.3">
      <c r="A2000" t="str">
        <f>"20200111145949326"</f>
        <v>20200111145949326</v>
      </c>
      <c r="B2000" t="str">
        <f>"1578725989317406"</f>
        <v>1578725989317406</v>
      </c>
      <c r="C2000" t="s">
        <v>40</v>
      </c>
      <c r="D2000">
        <v>4.6713239999999896</v>
      </c>
      <c r="E2000">
        <v>0.68480559999999902</v>
      </c>
      <c r="F2000" t="s">
        <v>48</v>
      </c>
      <c r="G2000">
        <v>-168.4</v>
      </c>
      <c r="H2000">
        <v>0.1069165</v>
      </c>
      <c r="I2000">
        <v>320.05329999999998</v>
      </c>
      <c r="J2000">
        <v>-206.9888</v>
      </c>
      <c r="K2000">
        <v>1.1017709999999901</v>
      </c>
      <c r="L2000">
        <v>365.73790000000002</v>
      </c>
      <c r="M2000">
        <v>0.95574970000000004</v>
      </c>
      <c r="N2000">
        <v>0</v>
      </c>
      <c r="O2000">
        <v>-0.29382779999999997</v>
      </c>
      <c r="P2000">
        <v>0.90781809999999996</v>
      </c>
      <c r="Q2000">
        <v>5.0517340000000001E-2</v>
      </c>
      <c r="R2000">
        <v>-0.41631099999999999</v>
      </c>
      <c r="S2000">
        <v>2.1754150000000001</v>
      </c>
      <c r="T2000">
        <v>-5.5625319999999999E-2</v>
      </c>
      <c r="U2000">
        <v>-2.560791</v>
      </c>
      <c r="V2000">
        <v>0.1316872</v>
      </c>
      <c r="W2000">
        <v>6.3714530000000005E-2</v>
      </c>
      <c r="X2000">
        <v>0.98924160000000005</v>
      </c>
      <c r="Y2000">
        <v>0.53819039999999996</v>
      </c>
      <c r="Z2000">
        <v>2.4343699999999999E-4</v>
      </c>
      <c r="AA2000">
        <v>0.84282330000000005</v>
      </c>
      <c r="AB2000">
        <v>17</v>
      </c>
      <c r="AC2000">
        <v>38.5887999999999</v>
      </c>
      <c r="AD2000">
        <v>-0.99485449999999997</v>
      </c>
      <c r="AE2000">
        <v>-45.684600000000003</v>
      </c>
      <c r="AF2000">
        <v>32.318993994708002</v>
      </c>
      <c r="AG2000">
        <v>-0.99485449999999997</v>
      </c>
      <c r="AH2000">
        <v>50.295945564884398</v>
      </c>
      <c r="AI2000">
        <v>90.953350773549204</v>
      </c>
      <c r="AJ2000">
        <v>57.276151767871497</v>
      </c>
      <c r="AK2000">
        <v>59.792886270625601</v>
      </c>
      <c r="AL2000">
        <v>86.346951877643406</v>
      </c>
      <c r="AM2000">
        <v>82.417403087222596</v>
      </c>
      <c r="AN2000">
        <v>1.00000000157376</v>
      </c>
    </row>
    <row r="2001" spans="1:40" x14ac:dyDescent="0.3">
      <c r="A2001" t="str">
        <f>"20200111145949336"</f>
        <v>20200111145949336</v>
      </c>
      <c r="B2001" t="str">
        <f>"1578725989328145"</f>
        <v>1578725989328145</v>
      </c>
      <c r="C2001" t="s">
        <v>40</v>
      </c>
      <c r="D2001">
        <v>4.6842410000000001</v>
      </c>
      <c r="E2001">
        <v>0.68506239999999996</v>
      </c>
      <c r="F2001" t="s">
        <v>42</v>
      </c>
      <c r="G2001">
        <v>-176.77070000000001</v>
      </c>
      <c r="H2001">
        <v>7.9986539999999995E-2</v>
      </c>
      <c r="I2001">
        <v>328.17219999999998</v>
      </c>
      <c r="J2001">
        <v>-206.9102</v>
      </c>
      <c r="K2001">
        <v>1.1017999999999999</v>
      </c>
      <c r="L2001">
        <v>365.70949999999999</v>
      </c>
      <c r="M2001">
        <v>0.95472129999999999</v>
      </c>
      <c r="N2001">
        <v>0</v>
      </c>
      <c r="O2001">
        <v>-0.29715200000000003</v>
      </c>
      <c r="P2001">
        <v>0.90475819999999996</v>
      </c>
      <c r="Q2001">
        <v>5.0761760000000003E-2</v>
      </c>
      <c r="R2001">
        <v>-0.4228903</v>
      </c>
      <c r="S2001">
        <v>2.1072690000000001</v>
      </c>
      <c r="T2001">
        <v>-7.1254490000000004E-2</v>
      </c>
      <c r="U2001">
        <v>-2.619659</v>
      </c>
      <c r="V2001">
        <v>0.1354291</v>
      </c>
      <c r="W2001">
        <v>6.3928670000000007E-2</v>
      </c>
      <c r="X2001">
        <v>0.9887224</v>
      </c>
      <c r="Y2001">
        <v>0.55766230000000006</v>
      </c>
      <c r="Z2001">
        <v>1.3198100000000001E-4</v>
      </c>
      <c r="AA2001">
        <v>0.83006789999999997</v>
      </c>
      <c r="AB2001">
        <v>17</v>
      </c>
      <c r="AC2001">
        <v>30.139500000000002</v>
      </c>
      <c r="AD2001">
        <v>-1.02181346</v>
      </c>
      <c r="AE2001">
        <v>-37.537300000000002</v>
      </c>
      <c r="AF2001">
        <v>26.8723352038228</v>
      </c>
      <c r="AG2001">
        <v>-1.02181346</v>
      </c>
      <c r="AH2001">
        <v>39.915274734463303</v>
      </c>
      <c r="AI2001">
        <v>91.2165235252358</v>
      </c>
      <c r="AJ2001">
        <v>56.050204647493103</v>
      </c>
      <c r="AK2001">
        <v>48.128948245118899</v>
      </c>
      <c r="AL2001">
        <v>86.334657306286701</v>
      </c>
      <c r="AM2001">
        <v>82.200513167000196</v>
      </c>
      <c r="AN2001">
        <v>0.99999995011826803</v>
      </c>
    </row>
    <row r="2002" spans="1:40" x14ac:dyDescent="0.3">
      <c r="A2002" t="str">
        <f>"20200111145949348"</f>
        <v>20200111145949348</v>
      </c>
      <c r="B2002" t="str">
        <f>"1578725989337902"</f>
        <v>1578725989337902</v>
      </c>
      <c r="C2002" t="s">
        <v>40</v>
      </c>
      <c r="D2002">
        <v>4.6850740000000002</v>
      </c>
      <c r="E2002">
        <v>0.68543779999999999</v>
      </c>
      <c r="F2002" t="s">
        <v>42</v>
      </c>
      <c r="G2002">
        <v>-178.88659999999999</v>
      </c>
      <c r="H2002">
        <v>7.9985600000000004E-2</v>
      </c>
      <c r="I2002">
        <v>330.3073</v>
      </c>
      <c r="J2002">
        <v>-206.83109999999999</v>
      </c>
      <c r="K2002">
        <v>1.1018250000000001</v>
      </c>
      <c r="L2002">
        <v>365.68049999999999</v>
      </c>
      <c r="M2002">
        <v>0.95367579999999996</v>
      </c>
      <c r="N2002">
        <v>0</v>
      </c>
      <c r="O2002">
        <v>-0.3004908</v>
      </c>
      <c r="P2002">
        <v>0.90170910000000004</v>
      </c>
      <c r="Q2002">
        <v>5.0767600000000003E-2</v>
      </c>
      <c r="R2002">
        <v>-0.42935230000000002</v>
      </c>
      <c r="S2002">
        <v>2.0874790000000001</v>
      </c>
      <c r="T2002">
        <v>-7.6115130000000003E-2</v>
      </c>
      <c r="U2002">
        <v>-2.6371150000000001</v>
      </c>
      <c r="V2002">
        <v>0.13904059999999999</v>
      </c>
      <c r="W2002">
        <v>6.3905840000000005E-2</v>
      </c>
      <c r="X2002">
        <v>0.9882225</v>
      </c>
      <c r="Y2002">
        <v>0.56125069999999999</v>
      </c>
      <c r="Z2002">
        <v>1.7260339999999999E-4</v>
      </c>
      <c r="AA2002">
        <v>0.82764579999999999</v>
      </c>
      <c r="AB2002">
        <v>17</v>
      </c>
      <c r="AC2002">
        <v>27.944500000000001</v>
      </c>
      <c r="AD2002">
        <v>-1.0218394</v>
      </c>
      <c r="AE2002">
        <v>-35.373199999999997</v>
      </c>
      <c r="AF2002">
        <v>25.3271184784025</v>
      </c>
      <c r="AG2002">
        <v>-1.0218394</v>
      </c>
      <c r="AH2002">
        <v>37.264040641917298</v>
      </c>
      <c r="AI2002">
        <v>91.299197423015102</v>
      </c>
      <c r="AJ2002">
        <v>55.797367867202297</v>
      </c>
      <c r="AK2002">
        <v>45.067902226982902</v>
      </c>
      <c r="AL2002">
        <v>86.335968148458505</v>
      </c>
      <c r="AM2002">
        <v>81.991188422565997</v>
      </c>
      <c r="AN2002">
        <v>0.99999997717035705</v>
      </c>
    </row>
    <row r="2003" spans="1:40" x14ac:dyDescent="0.3">
      <c r="A2003" t="str">
        <f>"20200111145949359"</f>
        <v>20200111145949359</v>
      </c>
      <c r="B2003" t="str">
        <f>"1578725989357422"</f>
        <v>1578725989357422</v>
      </c>
      <c r="C2003" t="s">
        <v>40</v>
      </c>
      <c r="D2003">
        <v>4.7562490000000004</v>
      </c>
      <c r="E2003">
        <v>0.68576969999999904</v>
      </c>
      <c r="F2003" t="s">
        <v>42</v>
      </c>
      <c r="G2003">
        <v>-179.95779999999999</v>
      </c>
      <c r="H2003">
        <v>4.0351480000000002E-2</v>
      </c>
      <c r="I2003">
        <v>331.18150000000003</v>
      </c>
      <c r="J2003">
        <v>-206.74760000000001</v>
      </c>
      <c r="K2003">
        <v>1.1018539999999999</v>
      </c>
      <c r="L2003">
        <v>365.6497</v>
      </c>
      <c r="M2003">
        <v>0.95255939999999995</v>
      </c>
      <c r="N2003">
        <v>0</v>
      </c>
      <c r="O2003">
        <v>-0.3040118</v>
      </c>
      <c r="P2003">
        <v>0.89839380000000002</v>
      </c>
      <c r="Q2003">
        <v>5.0589509999999997E-2</v>
      </c>
      <c r="R2003">
        <v>-0.43626809999999999</v>
      </c>
      <c r="S2003">
        <v>2.0677029999999998</v>
      </c>
      <c r="T2003">
        <v>-8.1672549999999997E-2</v>
      </c>
      <c r="U2003">
        <v>-2.6544490000000001</v>
      </c>
      <c r="V2003">
        <v>0.1429752</v>
      </c>
      <c r="W2003">
        <v>6.3696450000000002E-2</v>
      </c>
      <c r="X2003">
        <v>0.98767450000000001</v>
      </c>
      <c r="Y2003">
        <v>0.56463940000000001</v>
      </c>
      <c r="Z2003">
        <v>2.270094E-4</v>
      </c>
      <c r="AA2003">
        <v>0.82533769999999995</v>
      </c>
      <c r="AB2003">
        <v>17</v>
      </c>
      <c r="AC2003">
        <v>26.7898</v>
      </c>
      <c r="AD2003">
        <v>-1.0615025199999999</v>
      </c>
      <c r="AE2003">
        <v>-34.468199999999896</v>
      </c>
      <c r="AF2003">
        <v>24.6765631974957</v>
      </c>
      <c r="AG2003">
        <v>-1.0615025199999999</v>
      </c>
      <c r="AH2003">
        <v>35.980075679850898</v>
      </c>
      <c r="AI2003">
        <v>91.393739814783501</v>
      </c>
      <c r="AJ2003">
        <v>55.556124623155803</v>
      </c>
      <c r="AK2003">
        <v>43.6420142152922</v>
      </c>
      <c r="AL2003">
        <v>86.347990004181597</v>
      </c>
      <c r="AM2003">
        <v>81.763112910419096</v>
      </c>
      <c r="AN2003">
        <v>1.0000000317539399</v>
      </c>
    </row>
    <row r="2004" spans="1:40" x14ac:dyDescent="0.3">
      <c r="A2004" t="str">
        <f>"20200111145949371"</f>
        <v>20200111145949371</v>
      </c>
      <c r="B2004" t="str">
        <f>"1578725989368160"</f>
        <v>1578725989368160</v>
      </c>
      <c r="C2004" t="s">
        <v>40</v>
      </c>
      <c r="D2004">
        <v>4.7565429999999997</v>
      </c>
      <c r="E2004">
        <v>0.68601849999999998</v>
      </c>
      <c r="F2004" t="s">
        <v>42</v>
      </c>
      <c r="G2004">
        <v>-182.61500000000001</v>
      </c>
      <c r="H2004" s="1">
        <v>-3.4892770000000002E-6</v>
      </c>
      <c r="I2004">
        <v>334.12729999999999</v>
      </c>
      <c r="J2004">
        <v>-206.6711</v>
      </c>
      <c r="K2004">
        <v>1.101877</v>
      </c>
      <c r="L2004">
        <v>365.62110000000001</v>
      </c>
      <c r="M2004">
        <v>0.95152879999999995</v>
      </c>
      <c r="N2004">
        <v>0</v>
      </c>
      <c r="O2004">
        <v>-0.307222099999999</v>
      </c>
      <c r="P2004">
        <v>0.89532129999999999</v>
      </c>
      <c r="Q2004">
        <v>4.9555889999999998E-2</v>
      </c>
      <c r="R2004">
        <v>-0.44265579999999999</v>
      </c>
      <c r="S2004">
        <v>2.0464630000000001</v>
      </c>
      <c r="T2004">
        <v>-9.3438510000000002E-2</v>
      </c>
      <c r="U2004">
        <v>-2.6731259999999999</v>
      </c>
      <c r="V2004">
        <v>0.14665139999999999</v>
      </c>
      <c r="W2004">
        <v>6.2632850000000004E-2</v>
      </c>
      <c r="X2004">
        <v>0.98720339999999995</v>
      </c>
      <c r="Y2004">
        <v>0.56874809999999998</v>
      </c>
      <c r="Z2004">
        <v>2.853032E-4</v>
      </c>
      <c r="AA2004">
        <v>0.82251169999999996</v>
      </c>
      <c r="AB2004">
        <v>17</v>
      </c>
      <c r="AC2004">
        <v>24.056099999999901</v>
      </c>
      <c r="AD2004">
        <v>-1.101880489277</v>
      </c>
      <c r="AE2004">
        <v>-31.4938</v>
      </c>
      <c r="AF2004">
        <v>22.561593562482599</v>
      </c>
      <c r="AG2004">
        <v>-1.101880489277</v>
      </c>
      <c r="AH2004">
        <v>32.5438844220145</v>
      </c>
      <c r="AI2004">
        <v>91.593874260572406</v>
      </c>
      <c r="AJ2004">
        <v>55.267716281545297</v>
      </c>
      <c r="AK2004">
        <v>39.614947405805601</v>
      </c>
      <c r="AL2004">
        <v>86.4090517228816</v>
      </c>
      <c r="AM2004">
        <v>81.550369771212701</v>
      </c>
      <c r="AN2004">
        <v>1.0000000299963201</v>
      </c>
    </row>
    <row r="2005" spans="1:40" x14ac:dyDescent="0.3">
      <c r="A2005" t="str">
        <f>"20200111145949666"</f>
        <v>20200111145949666</v>
      </c>
      <c r="B2005" t="str">
        <f>"1578725989657610"</f>
        <v>1578725989657610</v>
      </c>
      <c r="C2005" t="s">
        <v>40</v>
      </c>
      <c r="D2005">
        <v>4.4626039999999998</v>
      </c>
      <c r="E2005">
        <v>0.68638679999999996</v>
      </c>
      <c r="F2005" t="s">
        <v>42</v>
      </c>
      <c r="G2005">
        <v>-184.83449999999999</v>
      </c>
      <c r="H2005" s="1">
        <v>-3.9242350000000004E-6</v>
      </c>
      <c r="I2005">
        <v>336.64440000000002</v>
      </c>
      <c r="J2005">
        <v>-204.64779999999999</v>
      </c>
      <c r="K2005">
        <v>1.102071</v>
      </c>
      <c r="L2005">
        <v>364.75630000000001</v>
      </c>
      <c r="M2005">
        <v>0.91990609999999995</v>
      </c>
      <c r="N2005">
        <v>0</v>
      </c>
      <c r="O2005">
        <v>-0.39187749999999999</v>
      </c>
      <c r="P2005">
        <v>0.80526709999999901</v>
      </c>
      <c r="Q2005">
        <v>3.6789629999999997E-2</v>
      </c>
      <c r="R2005">
        <v>-0.59177029999999997</v>
      </c>
      <c r="S2005">
        <v>2.0267330000000001</v>
      </c>
      <c r="T2005">
        <v>-0.10226929999999999</v>
      </c>
      <c r="U2005">
        <v>-2.6894230000000001</v>
      </c>
      <c r="V2005">
        <v>0.22919039999999999</v>
      </c>
      <c r="W2005">
        <v>4.9059070000000003E-2</v>
      </c>
      <c r="X2005">
        <v>0.97214449999999997</v>
      </c>
      <c r="Y2005">
        <v>0.4988089</v>
      </c>
      <c r="Z2005">
        <v>4.4352269999999999E-3</v>
      </c>
      <c r="AA2005">
        <v>0.86670059999999904</v>
      </c>
      <c r="AB2005">
        <v>16</v>
      </c>
      <c r="AC2005">
        <v>19.813300000000002</v>
      </c>
      <c r="AD2005">
        <v>-1.1020749242350001</v>
      </c>
      <c r="AE2005">
        <v>-28.111899999999899</v>
      </c>
      <c r="AF2005">
        <v>18.0792109713048</v>
      </c>
      <c r="AG2005">
        <v>-1.1020749242350001</v>
      </c>
      <c r="AH2005">
        <v>29.2157920856496</v>
      </c>
      <c r="AI2005">
        <v>91.837242647492701</v>
      </c>
      <c r="AJ2005">
        <v>58.2500989088024</v>
      </c>
      <c r="AK2005">
        <v>34.374917391544102</v>
      </c>
      <c r="AL2005">
        <v>87.187993530762199</v>
      </c>
      <c r="AM2005">
        <v>76.734323208058697</v>
      </c>
      <c r="AN2005">
        <v>0.99999998034083704</v>
      </c>
    </row>
    <row r="2006" spans="1:40" x14ac:dyDescent="0.3">
      <c r="A2006" t="str">
        <f>"20200111145949677"</f>
        <v>20200111145949677</v>
      </c>
      <c r="B2006" t="str">
        <f>"1578725989667371"</f>
        <v>1578725989667371</v>
      </c>
      <c r="C2006" t="s">
        <v>40</v>
      </c>
      <c r="D2006">
        <v>4.582662</v>
      </c>
      <c r="E2006">
        <v>0.6865135</v>
      </c>
      <c r="F2006" t="s">
        <v>42</v>
      </c>
      <c r="G2006">
        <v>-195.00069999999999</v>
      </c>
      <c r="H2006" s="1">
        <v>-3.9063360000000003E-6</v>
      </c>
      <c r="I2006">
        <v>345.85919999999999</v>
      </c>
      <c r="J2006">
        <v>-204.57210000000001</v>
      </c>
      <c r="K2006">
        <v>1.1020810000000001</v>
      </c>
      <c r="L2006">
        <v>364.71969999999999</v>
      </c>
      <c r="M2006">
        <v>0.91854480000000005</v>
      </c>
      <c r="N2006">
        <v>0</v>
      </c>
      <c r="O2006">
        <v>-0.39505770000000001</v>
      </c>
      <c r="P2006">
        <v>0.80113179999999995</v>
      </c>
      <c r="Q2006">
        <v>3.6146060000000001E-2</v>
      </c>
      <c r="R2006">
        <v>-0.59739549999999997</v>
      </c>
      <c r="S2006">
        <v>1.5304260000000001</v>
      </c>
      <c r="T2006">
        <v>-0.1748345</v>
      </c>
      <c r="U2006">
        <v>-2.9978639999999999</v>
      </c>
      <c r="V2006">
        <v>0.2326193</v>
      </c>
      <c r="W2006">
        <v>4.8380369999999999E-2</v>
      </c>
      <c r="X2006">
        <v>0.9713638</v>
      </c>
      <c r="Y2006">
        <v>0.63823660000000004</v>
      </c>
      <c r="Z2006">
        <v>3.3128630000000001E-3</v>
      </c>
      <c r="AA2006">
        <v>0.76983310000000005</v>
      </c>
      <c r="AB2006">
        <v>16</v>
      </c>
      <c r="AC2006">
        <v>9.5714000000000095</v>
      </c>
      <c r="AD2006">
        <v>-1.1020849063360001</v>
      </c>
      <c r="AE2006">
        <v>-18.860499999999998</v>
      </c>
      <c r="AF2006">
        <v>13.507670341177899</v>
      </c>
      <c r="AG2006">
        <v>-1.1020849063360001</v>
      </c>
      <c r="AH2006">
        <v>16.200422085930001</v>
      </c>
      <c r="AI2006">
        <v>92.990931454856295</v>
      </c>
      <c r="AJ2006">
        <v>50.179156740768299</v>
      </c>
      <c r="AK2006">
        <v>21.121681394931699</v>
      </c>
      <c r="AL2006">
        <v>87.226926508462</v>
      </c>
      <c r="AM2006">
        <v>76.532603124596307</v>
      </c>
      <c r="AN2006">
        <v>1.00000001544213</v>
      </c>
    </row>
    <row r="2007" spans="1:40" x14ac:dyDescent="0.3">
      <c r="A2007" t="str">
        <f>"20200111145949688"</f>
        <v>20200111145949688</v>
      </c>
      <c r="B2007" t="str">
        <f>"1578725989678106"</f>
        <v>1578725989678106</v>
      </c>
      <c r="C2007" t="s">
        <v>40</v>
      </c>
      <c r="D2007">
        <v>4.5418539999999998</v>
      </c>
      <c r="E2007">
        <v>0.68660120000000002</v>
      </c>
      <c r="F2007" t="s">
        <v>42</v>
      </c>
      <c r="G2007">
        <v>-195.17670000000001</v>
      </c>
      <c r="H2007" s="1">
        <v>-3.9756840000000003E-6</v>
      </c>
      <c r="I2007">
        <v>345.97120000000001</v>
      </c>
      <c r="J2007">
        <v>-204.4982</v>
      </c>
      <c r="K2007">
        <v>1.1020909999999999</v>
      </c>
      <c r="L2007">
        <v>364.68360000000001</v>
      </c>
      <c r="M2007">
        <v>0.91720310000000005</v>
      </c>
      <c r="N2007">
        <v>0</v>
      </c>
      <c r="O2007">
        <v>-0.39816309999999999</v>
      </c>
      <c r="P2007">
        <v>0.79765520000000001</v>
      </c>
      <c r="Q2007">
        <v>3.5873799999999997E-2</v>
      </c>
      <c r="R2007">
        <v>-0.60204599999999997</v>
      </c>
      <c r="S2007">
        <v>1.5083009999999999</v>
      </c>
      <c r="T2007">
        <v>-0.176925</v>
      </c>
      <c r="U2007">
        <v>-3.009827</v>
      </c>
      <c r="V2007">
        <v>0.23497680000000001</v>
      </c>
      <c r="W2007">
        <v>4.808461E-2</v>
      </c>
      <c r="X2007">
        <v>0.97081090000000003</v>
      </c>
      <c r="Y2007">
        <v>0.64136870000000001</v>
      </c>
      <c r="Z2007">
        <v>3.4292429999999998E-3</v>
      </c>
      <c r="AA2007">
        <v>0.76722509999999999</v>
      </c>
      <c r="AB2007">
        <v>16</v>
      </c>
      <c r="AC2007">
        <v>9.3214999999999808</v>
      </c>
      <c r="AD2007">
        <v>-1.1020949756839999</v>
      </c>
      <c r="AE2007">
        <v>-18.712399999999999</v>
      </c>
      <c r="AF2007">
        <v>13.4156861324833</v>
      </c>
      <c r="AG2007">
        <v>-1.1020949756839999</v>
      </c>
      <c r="AH2007">
        <v>15.9575845393646</v>
      </c>
      <c r="AI2007">
        <v>93.026078289628302</v>
      </c>
      <c r="AJ2007">
        <v>49.945929281990601</v>
      </c>
      <c r="AK2007">
        <v>20.8767754232233</v>
      </c>
      <c r="AL2007">
        <v>87.243892052121893</v>
      </c>
      <c r="AM2007">
        <v>76.393703978812098</v>
      </c>
      <c r="AN2007">
        <v>1.00000001490795</v>
      </c>
    </row>
    <row r="2008" spans="1:40" x14ac:dyDescent="0.3">
      <c r="A2008" t="str">
        <f>"20200111145949701"</f>
        <v>20200111145949701</v>
      </c>
      <c r="B2008" t="str">
        <f>"1578725989697626"</f>
        <v>1578725989697626</v>
      </c>
      <c r="C2008" t="s">
        <v>40</v>
      </c>
      <c r="D2008">
        <v>4.6413390000000003</v>
      </c>
      <c r="E2008">
        <v>0.6868398</v>
      </c>
      <c r="F2008" t="s">
        <v>42</v>
      </c>
      <c r="G2008">
        <v>-195.1917</v>
      </c>
      <c r="H2008" s="1">
        <v>-3.9317300000000004E-6</v>
      </c>
      <c r="I2008">
        <v>345.83420000000001</v>
      </c>
      <c r="J2008">
        <v>-204.4161</v>
      </c>
      <c r="K2008">
        <v>1.1021049999999999</v>
      </c>
      <c r="L2008">
        <v>364.64319999999998</v>
      </c>
      <c r="M2008">
        <v>0.91569880000000003</v>
      </c>
      <c r="N2008">
        <v>0</v>
      </c>
      <c r="O2008">
        <v>-0.40161039999999998</v>
      </c>
      <c r="P2008">
        <v>0.79352559999999905</v>
      </c>
      <c r="Q2008">
        <v>3.595371E-2</v>
      </c>
      <c r="R2008">
        <v>-0.60747369999999901</v>
      </c>
      <c r="S2008">
        <v>1.4904630000000001</v>
      </c>
      <c r="T2008">
        <v>-0.1765031</v>
      </c>
      <c r="U2008">
        <v>-3.0187680000000001</v>
      </c>
      <c r="V2008">
        <v>0.23794969999999999</v>
      </c>
      <c r="W2008">
        <v>4.81351E-2</v>
      </c>
      <c r="X2008">
        <v>0.97008399999999995</v>
      </c>
      <c r="Y2008">
        <v>0.64303140000000003</v>
      </c>
      <c r="Z2008">
        <v>3.5713300000000002E-3</v>
      </c>
      <c r="AA2008">
        <v>0.7658315</v>
      </c>
      <c r="AB2008">
        <v>16</v>
      </c>
      <c r="AC2008">
        <v>9.2243999999999993</v>
      </c>
      <c r="AD2008">
        <v>-1.1021089317299999</v>
      </c>
      <c r="AE2008">
        <v>-18.808999999999902</v>
      </c>
      <c r="AF2008">
        <v>13.482832153282001</v>
      </c>
      <c r="AG2008">
        <v>-1.1021089317299999</v>
      </c>
      <c r="AH2008">
        <v>15.9581337700711</v>
      </c>
      <c r="AI2008">
        <v>93.0197994839628</v>
      </c>
      <c r="AJ2008">
        <v>49.805941672386197</v>
      </c>
      <c r="AK2008">
        <v>20.920407271237799</v>
      </c>
      <c r="AL2008">
        <v>87.240995813629496</v>
      </c>
      <c r="AM2008">
        <v>76.218148281341996</v>
      </c>
      <c r="AN2008">
        <v>1.00000000731904</v>
      </c>
    </row>
    <row r="2009" spans="1:40" x14ac:dyDescent="0.3">
      <c r="A2009" t="str">
        <f>"20200111145949724"</f>
        <v>20200111145949724</v>
      </c>
      <c r="B2009" t="str">
        <f>"1578725989718122"</f>
        <v>1578725989718122</v>
      </c>
      <c r="C2009" t="s">
        <v>40</v>
      </c>
      <c r="D2009">
        <v>4.4799230000000003</v>
      </c>
      <c r="E2009">
        <v>0.68695220000000001</v>
      </c>
      <c r="F2009" t="s">
        <v>42</v>
      </c>
      <c r="G2009">
        <v>-195.49010000000001</v>
      </c>
      <c r="H2009" s="1">
        <v>-4.1164819999999901E-6</v>
      </c>
      <c r="I2009">
        <v>346.22160000000002</v>
      </c>
      <c r="J2009">
        <v>-204.26169999999999</v>
      </c>
      <c r="K2009">
        <v>1.102136</v>
      </c>
      <c r="L2009">
        <v>364.56610000000001</v>
      </c>
      <c r="M2009">
        <v>0.91283440000000005</v>
      </c>
      <c r="N2009">
        <v>0</v>
      </c>
      <c r="O2009">
        <v>-0.40807949999999998</v>
      </c>
      <c r="P2009">
        <v>0.78594679999999995</v>
      </c>
      <c r="Q2009">
        <v>3.6725840000000003E-2</v>
      </c>
      <c r="R2009">
        <v>-0.61720240000000004</v>
      </c>
      <c r="S2009">
        <v>1.468567</v>
      </c>
      <c r="T2009">
        <v>-0.1813263</v>
      </c>
      <c r="U2009">
        <v>-3.030853</v>
      </c>
      <c r="V2009">
        <v>0.2430523</v>
      </c>
      <c r="W2009">
        <v>4.8859510000000002E-2</v>
      </c>
      <c r="X2009">
        <v>0.96878189999999997</v>
      </c>
      <c r="Y2009">
        <v>0.64328409999999903</v>
      </c>
      <c r="Z2009">
        <v>4.0624440000000001E-3</v>
      </c>
      <c r="AA2009">
        <v>0.76561679999999999</v>
      </c>
      <c r="AB2009">
        <v>16</v>
      </c>
      <c r="AC2009">
        <v>8.7715999999999692</v>
      </c>
      <c r="AD2009">
        <v>-1.1021401164819999</v>
      </c>
      <c r="AE2009">
        <v>-18.344499999999901</v>
      </c>
      <c r="AF2009">
        <v>13.128755709872101</v>
      </c>
      <c r="AG2009">
        <v>-1.1021401164819999</v>
      </c>
      <c r="AH2009">
        <v>15.4492284277104</v>
      </c>
      <c r="AI2009">
        <v>93.111634752153805</v>
      </c>
      <c r="AJ2009">
        <v>49.642113716270501</v>
      </c>
      <c r="AK2009">
        <v>20.3041276182316</v>
      </c>
      <c r="AL2009">
        <v>87.1994413190925</v>
      </c>
      <c r="AM2009">
        <v>75.916072898877005</v>
      </c>
      <c r="AN2009">
        <v>1.0000000210101601</v>
      </c>
    </row>
    <row r="2010" spans="1:40" x14ac:dyDescent="0.3">
      <c r="A2010" t="str">
        <f>"20200111145949736"</f>
        <v>20200111145949736</v>
      </c>
      <c r="B2010" t="str">
        <f>"1578725989727458"</f>
        <v>1578725989727458</v>
      </c>
      <c r="C2010" t="s">
        <v>40</v>
      </c>
      <c r="D2010">
        <v>4.4808510000000004</v>
      </c>
      <c r="E2010">
        <v>0.68710349999999998</v>
      </c>
      <c r="F2010" t="s">
        <v>42</v>
      </c>
      <c r="G2010">
        <v>-195.495</v>
      </c>
      <c r="H2010" s="1">
        <v>-4.0051879999999999E-6</v>
      </c>
      <c r="I2010">
        <v>345.892</v>
      </c>
      <c r="J2010">
        <v>-204.18520000000001</v>
      </c>
      <c r="K2010">
        <v>1.1021529999999999</v>
      </c>
      <c r="L2010">
        <v>364.52730000000003</v>
      </c>
      <c r="M2010">
        <v>0.91139590000000004</v>
      </c>
      <c r="N2010">
        <v>0</v>
      </c>
      <c r="O2010">
        <v>-0.41128229999999999</v>
      </c>
      <c r="P2010">
        <v>0.78231740000000005</v>
      </c>
      <c r="Q2010">
        <v>3.7780179999999997E-2</v>
      </c>
      <c r="R2010">
        <v>-0.62173319999999999</v>
      </c>
      <c r="S2010">
        <v>1.4312739999999999</v>
      </c>
      <c r="T2010">
        <v>-0.1799374</v>
      </c>
      <c r="U2010">
        <v>-3.0487669999999998</v>
      </c>
      <c r="V2010">
        <v>0.24527499999999999</v>
      </c>
      <c r="W2010">
        <v>4.989441E-2</v>
      </c>
      <c r="X2010">
        <v>0.96816869999999999</v>
      </c>
      <c r="Y2010">
        <v>0.64997459999999996</v>
      </c>
      <c r="Z2010">
        <v>3.9881079999999998E-3</v>
      </c>
      <c r="AA2010">
        <v>0.75994549999999905</v>
      </c>
      <c r="AB2010">
        <v>16</v>
      </c>
      <c r="AC2010">
        <v>8.6902000000000008</v>
      </c>
      <c r="AD2010">
        <v>-1.1021570051880001</v>
      </c>
      <c r="AE2010">
        <v>-18.635300000000001</v>
      </c>
      <c r="AF2010">
        <v>13.3729586706684</v>
      </c>
      <c r="AG2010">
        <v>-1.1021570051880001</v>
      </c>
      <c r="AH2010">
        <v>15.541521447414301</v>
      </c>
      <c r="AI2010">
        <v>93.077017039715699</v>
      </c>
      <c r="AJ2010">
        <v>49.289107550497</v>
      </c>
      <c r="AK2010">
        <v>20.5326486984005</v>
      </c>
      <c r="AL2010">
        <v>87.140073309662895</v>
      </c>
      <c r="AM2010">
        <v>75.783835329960496</v>
      </c>
      <c r="AN2010">
        <v>0.99999995471696801</v>
      </c>
    </row>
    <row r="2011" spans="1:40" x14ac:dyDescent="0.3">
      <c r="A2011" t="str">
        <f>"20200111145949763"</f>
        <v>20200111145949763</v>
      </c>
      <c r="B2011" t="str">
        <f>"1578725989757714"</f>
        <v>1578725989757714</v>
      </c>
      <c r="C2011" t="s">
        <v>40</v>
      </c>
      <c r="D2011">
        <v>4.4970080000000001</v>
      </c>
      <c r="E2011">
        <v>0.68696729999999995</v>
      </c>
      <c r="F2011" t="s">
        <v>42</v>
      </c>
      <c r="G2011">
        <v>-195.3837</v>
      </c>
      <c r="H2011" s="1">
        <v>-3.8460979999999998E-6</v>
      </c>
      <c r="I2011">
        <v>345.48250000000002</v>
      </c>
      <c r="J2011">
        <v>-204.01589999999999</v>
      </c>
      <c r="K2011">
        <v>1.1022080000000001</v>
      </c>
      <c r="L2011">
        <v>364.44060000000002</v>
      </c>
      <c r="M2011">
        <v>0.90817930000000002</v>
      </c>
      <c r="N2011">
        <v>0</v>
      </c>
      <c r="O2011">
        <v>-0.41833779999999998</v>
      </c>
      <c r="P2011">
        <v>0.77354279999999997</v>
      </c>
      <c r="Q2011">
        <v>4.1045739999999997E-2</v>
      </c>
      <c r="R2011">
        <v>-0.63241400000000003</v>
      </c>
      <c r="S2011">
        <v>1.4131469999999999</v>
      </c>
      <c r="T2011">
        <v>-0.17696010000000001</v>
      </c>
      <c r="U2011">
        <v>-3.0577999999999999</v>
      </c>
      <c r="V2011">
        <v>0.25114449999999999</v>
      </c>
      <c r="W2011">
        <v>5.3108320000000001E-2</v>
      </c>
      <c r="X2011">
        <v>0.96649160000000001</v>
      </c>
      <c r="Y2011">
        <v>0.64866869999999999</v>
      </c>
      <c r="Z2011">
        <v>4.4008659999999998E-3</v>
      </c>
      <c r="AA2011">
        <v>0.76105819999999902</v>
      </c>
      <c r="AB2011">
        <v>16</v>
      </c>
      <c r="AC2011">
        <v>8.6321999999999797</v>
      </c>
      <c r="AD2011">
        <v>-1.1022118460979999</v>
      </c>
      <c r="AE2011">
        <v>-18.958100000000002</v>
      </c>
      <c r="AF2011">
        <v>13.569574277222999</v>
      </c>
      <c r="AG2011">
        <v>-1.1022118460979999</v>
      </c>
      <c r="AH2011">
        <v>15.7280485264035</v>
      </c>
      <c r="AI2011">
        <v>93.037300657451297</v>
      </c>
      <c r="AJ2011">
        <v>49.213598969694203</v>
      </c>
      <c r="AK2011">
        <v>20.801916437378001</v>
      </c>
      <c r="AL2011">
        <v>86.955685284413093</v>
      </c>
      <c r="AM2011">
        <v>75.433742212577101</v>
      </c>
      <c r="AN2011">
        <v>1.00000003320201</v>
      </c>
    </row>
    <row r="2012" spans="1:40" x14ac:dyDescent="0.3">
      <c r="A2012" t="str">
        <f>"20200111145949775"</f>
        <v>20200111145949775</v>
      </c>
      <c r="B2012" t="str">
        <f>"1578725989767474"</f>
        <v>1578725989767474</v>
      </c>
      <c r="C2012" t="s">
        <v>40</v>
      </c>
      <c r="D2012">
        <v>4.5518359999999998</v>
      </c>
      <c r="E2012">
        <v>0.68683190000000005</v>
      </c>
      <c r="F2012" t="s">
        <v>42</v>
      </c>
      <c r="G2012">
        <v>-195.03579999999999</v>
      </c>
      <c r="H2012" s="1">
        <v>-3.365667E-6</v>
      </c>
      <c r="I2012">
        <v>344.31119999999999</v>
      </c>
      <c r="J2012">
        <v>-203.9375</v>
      </c>
      <c r="K2012">
        <v>1.102228</v>
      </c>
      <c r="L2012">
        <v>364.3997</v>
      </c>
      <c r="M2012">
        <v>0.90667189999999998</v>
      </c>
      <c r="N2012">
        <v>0</v>
      </c>
      <c r="O2012">
        <v>-0.421595</v>
      </c>
      <c r="P2012">
        <v>0.76990190000000003</v>
      </c>
      <c r="Q2012">
        <v>4.1663550000000001E-2</v>
      </c>
      <c r="R2012">
        <v>-0.63680099999999995</v>
      </c>
      <c r="S2012">
        <v>1.372314</v>
      </c>
      <c r="T2012">
        <v>-0.16843559999999999</v>
      </c>
      <c r="U2012">
        <v>-3.0760800000000001</v>
      </c>
      <c r="V2012">
        <v>0.25318610000000003</v>
      </c>
      <c r="W2012">
        <v>5.3711130000000003E-2</v>
      </c>
      <c r="X2012">
        <v>0.96592540000000005</v>
      </c>
      <c r="Y2012">
        <v>0.65603590000000001</v>
      </c>
      <c r="Z2012">
        <v>4.1294039999999997E-3</v>
      </c>
      <c r="AA2012">
        <v>0.75471840000000001</v>
      </c>
      <c r="AB2012">
        <v>16</v>
      </c>
      <c r="AC2012">
        <v>8.9016999999999999</v>
      </c>
      <c r="AD2012">
        <v>-1.102231365667</v>
      </c>
      <c r="AE2012">
        <v>-20.0885</v>
      </c>
      <c r="AF2012">
        <v>14.425937256844801</v>
      </c>
      <c r="AG2012">
        <v>-1.102231365667</v>
      </c>
      <c r="AH2012">
        <v>16.500295227125001</v>
      </c>
      <c r="AI2012">
        <v>92.879008198794295</v>
      </c>
      <c r="AJ2012">
        <v>48.837331278677198</v>
      </c>
      <c r="AK2012">
        <v>21.9449839896083</v>
      </c>
      <c r="AL2012">
        <v>86.921097292218406</v>
      </c>
      <c r="AM2012">
        <v>75.312192617850101</v>
      </c>
      <c r="AN2012">
        <v>0.99999998254212297</v>
      </c>
    </row>
    <row r="2013" spans="1:40" x14ac:dyDescent="0.3">
      <c r="A2013" t="str">
        <f>"20200111145949786"</f>
        <v>20200111145949786</v>
      </c>
      <c r="B2013" t="str">
        <f>"1578725989767474"</f>
        <v>1578725989767474</v>
      </c>
      <c r="C2013" t="s">
        <v>40</v>
      </c>
      <c r="D2013">
        <v>4.5518359999999998</v>
      </c>
      <c r="E2013">
        <v>0.68683190000000005</v>
      </c>
      <c r="F2013" t="s">
        <v>42</v>
      </c>
      <c r="G2013">
        <v>-194.98939999999999</v>
      </c>
      <c r="H2013" s="1">
        <v>-3.2389259999999999E-6</v>
      </c>
      <c r="I2013">
        <v>344.0446</v>
      </c>
      <c r="J2013">
        <v>-203.8655</v>
      </c>
      <c r="K2013">
        <v>1.1022459999999901</v>
      </c>
      <c r="L2013">
        <v>364.36200000000002</v>
      </c>
      <c r="M2013">
        <v>0.90527979999999997</v>
      </c>
      <c r="N2013">
        <v>0</v>
      </c>
      <c r="O2013">
        <v>-0.42457600000000001</v>
      </c>
      <c r="P2013">
        <v>0.76684830000000004</v>
      </c>
      <c r="Q2013">
        <v>4.1531699999999998E-2</v>
      </c>
      <c r="R2013">
        <v>-0.64048319999999903</v>
      </c>
      <c r="S2013">
        <v>1.3553919999999999</v>
      </c>
      <c r="T2013">
        <v>-0.16695929999999901</v>
      </c>
      <c r="U2013">
        <v>-3.0832820000000001</v>
      </c>
      <c r="V2013">
        <v>0.2546313</v>
      </c>
      <c r="W2013">
        <v>5.3570670000000001E-2</v>
      </c>
      <c r="X2013">
        <v>0.96555329999999995</v>
      </c>
      <c r="Y2013">
        <v>0.65767730000000002</v>
      </c>
      <c r="Z2013">
        <v>4.2113960000000001E-3</v>
      </c>
      <c r="AA2013">
        <v>0.75328809999999902</v>
      </c>
      <c r="AB2013">
        <v>16</v>
      </c>
      <c r="AC2013">
        <v>8.8760999999999992</v>
      </c>
      <c r="AD2013">
        <v>-1.1022492389259999</v>
      </c>
      <c r="AE2013">
        <v>-20.3173999999999</v>
      </c>
      <c r="AF2013">
        <v>14.589783612225499</v>
      </c>
      <c r="AG2013">
        <v>-1.1022492389259999</v>
      </c>
      <c r="AH2013">
        <v>16.622249549666499</v>
      </c>
      <c r="AI2013">
        <v>92.853102470914195</v>
      </c>
      <c r="AJ2013">
        <v>48.7257277719592</v>
      </c>
      <c r="AK2013">
        <v>22.144433145322701</v>
      </c>
      <c r="AL2013">
        <v>86.929156853863006</v>
      </c>
      <c r="AM2013">
        <v>75.226565991690507</v>
      </c>
      <c r="AN2013">
        <v>1.0000000453824101</v>
      </c>
    </row>
    <row r="2014" spans="1:40" x14ac:dyDescent="0.3">
      <c r="A2014" t="str">
        <f>"20200111145949819"</f>
        <v>20200111145949819</v>
      </c>
      <c r="B2014" t="str">
        <f>"1578725989807490"</f>
        <v>1578725989807490</v>
      </c>
      <c r="C2014" t="s">
        <v>40</v>
      </c>
      <c r="D2014">
        <v>4.7561479999999996</v>
      </c>
      <c r="E2014">
        <v>0.68614410000000003</v>
      </c>
      <c r="F2014" t="s">
        <v>42</v>
      </c>
      <c r="G2014">
        <v>-195.0728</v>
      </c>
      <c r="H2014" s="1">
        <v>-3.284192E-6</v>
      </c>
      <c r="I2014">
        <v>344.09829999999999</v>
      </c>
      <c r="J2014">
        <v>-203.65280000000001</v>
      </c>
      <c r="K2014">
        <v>1.102282</v>
      </c>
      <c r="L2014">
        <v>364.24900000000002</v>
      </c>
      <c r="M2014">
        <v>0.90111759999999996</v>
      </c>
      <c r="N2014">
        <v>0</v>
      </c>
      <c r="O2014">
        <v>-0.43334030000000001</v>
      </c>
      <c r="P2014">
        <v>0.7574147</v>
      </c>
      <c r="Q2014">
        <v>4.0060430000000001E-2</v>
      </c>
      <c r="R2014">
        <v>-0.65170410000000001</v>
      </c>
      <c r="S2014">
        <v>1.340668</v>
      </c>
      <c r="T2014">
        <v>-0.168066299999999</v>
      </c>
      <c r="U2014">
        <v>-3.0897220000000001</v>
      </c>
      <c r="V2014">
        <v>0.25942660000000001</v>
      </c>
      <c r="W2014">
        <v>5.2070249999999998E-2</v>
      </c>
      <c r="X2014">
        <v>0.9643581</v>
      </c>
      <c r="Y2014">
        <v>0.65396399999999999</v>
      </c>
      <c r="Z2014">
        <v>4.8801679999999998E-3</v>
      </c>
      <c r="AA2014">
        <v>0.75650989999999996</v>
      </c>
      <c r="AB2014">
        <v>16</v>
      </c>
      <c r="AC2014">
        <v>8.5800000000000107</v>
      </c>
      <c r="AD2014">
        <v>-1.1022852841919999</v>
      </c>
      <c r="AE2014">
        <v>-20.150700000000001</v>
      </c>
      <c r="AF2014">
        <v>14.4050692617457</v>
      </c>
      <c r="AG2014">
        <v>-1.1022852841919999</v>
      </c>
      <c r="AH2014">
        <v>16.423770169512999</v>
      </c>
      <c r="AI2014">
        <v>92.888532289392799</v>
      </c>
      <c r="AJ2014">
        <v>48.746432132239903</v>
      </c>
      <c r="AK2014">
        <v>21.873757790201999</v>
      </c>
      <c r="AL2014">
        <v>87.015244657621395</v>
      </c>
      <c r="AM2014">
        <v>74.943050348701306</v>
      </c>
      <c r="AN2014">
        <v>1.0000000083791101</v>
      </c>
    </row>
    <row r="2015" spans="1:40" x14ac:dyDescent="0.3">
      <c r="A2015" t="str">
        <f>"20200111145949831"</f>
        <v>20200111145949831</v>
      </c>
      <c r="B2015" t="str">
        <f>"1578725989827986"</f>
        <v>1578725989827986</v>
      </c>
      <c r="C2015" t="s">
        <v>40</v>
      </c>
      <c r="D2015">
        <v>4.6998559999999996</v>
      </c>
      <c r="E2015">
        <v>0.68457170000000001</v>
      </c>
      <c r="F2015" t="s">
        <v>42</v>
      </c>
      <c r="G2015">
        <v>-195.273</v>
      </c>
      <c r="H2015" s="1">
        <v>-3.392588E-6</v>
      </c>
      <c r="I2015">
        <v>344.2269</v>
      </c>
      <c r="J2015">
        <v>-203.58330000000001</v>
      </c>
      <c r="K2015">
        <v>1.1022940000000001</v>
      </c>
      <c r="L2015">
        <v>364.21140000000003</v>
      </c>
      <c r="M2015">
        <v>0.89974449999999995</v>
      </c>
      <c r="N2015">
        <v>0</v>
      </c>
      <c r="O2015">
        <v>-0.43618459999999998</v>
      </c>
      <c r="P2015">
        <v>0.75461509999999998</v>
      </c>
      <c r="Q2015">
        <v>3.987098E-2</v>
      </c>
      <c r="R2015">
        <v>-0.65495590000000004</v>
      </c>
      <c r="S2015">
        <v>1.299118</v>
      </c>
      <c r="T2015">
        <v>-0.17088599999999901</v>
      </c>
      <c r="U2015">
        <v>-3.1040040000000002</v>
      </c>
      <c r="V2015">
        <v>0.26052059999999999</v>
      </c>
      <c r="W2015">
        <v>5.187597E-2</v>
      </c>
      <c r="X2015">
        <v>0.96407359999999998</v>
      </c>
      <c r="Y2015">
        <v>0.66137440000000003</v>
      </c>
      <c r="Z2015">
        <v>4.8806800000000001E-3</v>
      </c>
      <c r="AA2015">
        <v>0.75004009999999999</v>
      </c>
      <c r="AB2015">
        <v>16</v>
      </c>
      <c r="AC2015">
        <v>8.3103000000000105</v>
      </c>
      <c r="AD2015">
        <v>-1.102297392588</v>
      </c>
      <c r="AE2015">
        <v>-19.984500000000001</v>
      </c>
      <c r="AF2015">
        <v>14.320430387606701</v>
      </c>
      <c r="AG2015">
        <v>-1.102297392588</v>
      </c>
      <c r="AH2015">
        <v>16.153820079738601</v>
      </c>
      <c r="AI2015">
        <v>92.923087532354202</v>
      </c>
      <c r="AJ2015">
        <v>48.4428748391894</v>
      </c>
      <c r="AK2015">
        <v>21.615635294771302</v>
      </c>
      <c r="AL2015">
        <v>87.026391129493405</v>
      </c>
      <c r="AM2015">
        <v>74.878198843742894</v>
      </c>
      <c r="AN2015">
        <v>1.0000000027523801</v>
      </c>
    </row>
    <row r="2016" spans="1:40" x14ac:dyDescent="0.3">
      <c r="A2016" t="str">
        <f>"20200111145949843"</f>
        <v>20200111145949843</v>
      </c>
      <c r="B2016" t="str">
        <f>"1578725989837746"</f>
        <v>1578725989837746</v>
      </c>
      <c r="C2016" t="s">
        <v>40</v>
      </c>
      <c r="D2016">
        <v>4.7173980000000002</v>
      </c>
      <c r="E2016">
        <v>0.68383739999999904</v>
      </c>
      <c r="F2016" t="s">
        <v>42</v>
      </c>
      <c r="G2016">
        <v>-194.9913</v>
      </c>
      <c r="H2016" s="1">
        <v>-3.0594150000000001E-6</v>
      </c>
      <c r="I2016">
        <v>343.625</v>
      </c>
      <c r="J2016">
        <v>-203.50309999999999</v>
      </c>
      <c r="K2016">
        <v>1.102317</v>
      </c>
      <c r="L2016">
        <v>364.1678</v>
      </c>
      <c r="M2016">
        <v>0.89815140000000004</v>
      </c>
      <c r="N2016">
        <v>0</v>
      </c>
      <c r="O2016">
        <v>-0.43945580000000001</v>
      </c>
      <c r="P2016">
        <v>0.75157779999999996</v>
      </c>
      <c r="Q2016">
        <v>3.9605120000000001E-2</v>
      </c>
      <c r="R2016">
        <v>-0.65845469999999995</v>
      </c>
      <c r="S2016">
        <v>1.293793</v>
      </c>
      <c r="T2016">
        <v>-0.16598470000000001</v>
      </c>
      <c r="U2016">
        <v>-3.0999150000000002</v>
      </c>
      <c r="V2016">
        <v>0.26148179999999999</v>
      </c>
      <c r="W2016">
        <v>5.1607859999999998E-2</v>
      </c>
      <c r="X2016">
        <v>0.96382769999999995</v>
      </c>
      <c r="Y2016">
        <v>0.65940730000000003</v>
      </c>
      <c r="Z2016">
        <v>5.0067139999999998E-3</v>
      </c>
      <c r="AA2016">
        <v>0.75176919999999903</v>
      </c>
      <c r="AB2016">
        <v>16</v>
      </c>
      <c r="AC2016">
        <v>8.5117999999999903</v>
      </c>
      <c r="AD2016">
        <v>-1.102320059415</v>
      </c>
      <c r="AE2016">
        <v>-20.5428</v>
      </c>
      <c r="AF2016">
        <v>14.675411264262401</v>
      </c>
      <c r="AG2016">
        <v>-1.102320059415</v>
      </c>
      <c r="AH2016">
        <v>16.6333515945059</v>
      </c>
      <c r="AI2016">
        <v>92.844950700763206</v>
      </c>
      <c r="AJ2016">
        <v>48.5784173132758</v>
      </c>
      <c r="AK2016">
        <v>22.209259117653598</v>
      </c>
      <c r="AL2016">
        <v>87.041773205929701</v>
      </c>
      <c r="AM2016">
        <v>74.8212818296618</v>
      </c>
      <c r="AN2016">
        <v>0.99999996911615396</v>
      </c>
    </row>
    <row r="2017" spans="1:40" x14ac:dyDescent="0.3">
      <c r="A2017" t="str">
        <f>"20200111145949855"</f>
        <v>20200111145949855</v>
      </c>
      <c r="B2017" t="str">
        <f>"1578725989847506"</f>
        <v>1578725989847506</v>
      </c>
      <c r="C2017" t="s">
        <v>40</v>
      </c>
      <c r="D2017">
        <v>4.7020780000000002</v>
      </c>
      <c r="E2017">
        <v>0.68323179999999994</v>
      </c>
      <c r="F2017" t="s">
        <v>42</v>
      </c>
      <c r="G2017">
        <v>-194.8897</v>
      </c>
      <c r="H2017" s="1">
        <v>-2.9162990000000001E-6</v>
      </c>
      <c r="I2017">
        <v>343.3544</v>
      </c>
      <c r="J2017">
        <v>-203.42500000000001</v>
      </c>
      <c r="K2017">
        <v>1.102339</v>
      </c>
      <c r="L2017">
        <v>364.125</v>
      </c>
      <c r="M2017">
        <v>0.89659270000000002</v>
      </c>
      <c r="N2017">
        <v>0</v>
      </c>
      <c r="O2017">
        <v>-0.4426271</v>
      </c>
      <c r="P2017">
        <v>0.74874830000000003</v>
      </c>
      <c r="Q2017">
        <v>3.9486260000000002E-2</v>
      </c>
      <c r="R2017">
        <v>-0.66167730000000002</v>
      </c>
      <c r="S2017">
        <v>1.28337099999999</v>
      </c>
      <c r="T2017">
        <v>-0.1642421</v>
      </c>
      <c r="U2017">
        <v>-3.1011350000000002</v>
      </c>
      <c r="V2017">
        <v>0.26221030000000001</v>
      </c>
      <c r="W2017">
        <v>5.1488819999999998E-2</v>
      </c>
      <c r="X2017">
        <v>0.96363620000000005</v>
      </c>
      <c r="Y2017">
        <v>0.6590184</v>
      </c>
      <c r="Z2017">
        <v>5.1551949999999996E-3</v>
      </c>
      <c r="AA2017">
        <v>0.75210919999999903</v>
      </c>
      <c r="AB2017">
        <v>16</v>
      </c>
      <c r="AC2017">
        <v>8.5352999999999994</v>
      </c>
      <c r="AD2017">
        <v>-1.102341916299</v>
      </c>
      <c r="AE2017">
        <v>-20.770600000000002</v>
      </c>
      <c r="AF2017">
        <v>14.8106288294571</v>
      </c>
      <c r="AG2017">
        <v>-1.102341916299</v>
      </c>
      <c r="AH2017">
        <v>16.807524660941699</v>
      </c>
      <c r="AI2017">
        <v>92.817103879177694</v>
      </c>
      <c r="AJ2017">
        <v>48.613808233261302</v>
      </c>
      <c r="AK2017">
        <v>22.4290608196719</v>
      </c>
      <c r="AL2017">
        <v>87.048602964304195</v>
      </c>
      <c r="AM2017">
        <v>74.7780678360878</v>
      </c>
      <c r="AN2017">
        <v>1.0000000329807599</v>
      </c>
    </row>
    <row r="2018" spans="1:40" x14ac:dyDescent="0.3">
      <c r="A2018" t="str">
        <f>"20200111145949889"</f>
        <v>20200111145949889</v>
      </c>
      <c r="B2018" t="str">
        <f>"1578725989887522"</f>
        <v>1578725989887522</v>
      </c>
      <c r="C2018" t="s">
        <v>40</v>
      </c>
      <c r="D2018">
        <v>4.7606159999999997</v>
      </c>
      <c r="E2018">
        <v>0.68251130000000004</v>
      </c>
      <c r="F2018" t="s">
        <v>42</v>
      </c>
      <c r="G2018">
        <v>-195.03800000000001</v>
      </c>
      <c r="H2018" s="1">
        <v>-3.097755E-6</v>
      </c>
      <c r="I2018">
        <v>343.68540000000002</v>
      </c>
      <c r="J2018">
        <v>-203.2124</v>
      </c>
      <c r="K2018">
        <v>1.102398</v>
      </c>
      <c r="L2018">
        <v>364.00659999999999</v>
      </c>
      <c r="M2018">
        <v>0.89230239999999905</v>
      </c>
      <c r="N2018">
        <v>0</v>
      </c>
      <c r="O2018">
        <v>-0.451214</v>
      </c>
      <c r="P2018">
        <v>0.74142889999999995</v>
      </c>
      <c r="Q2018">
        <v>3.9783779999999998E-2</v>
      </c>
      <c r="R2018">
        <v>-0.66985109999999903</v>
      </c>
      <c r="S2018">
        <v>1.273285</v>
      </c>
      <c r="T2018">
        <v>-0.167353</v>
      </c>
      <c r="U2018">
        <v>-3.1030579999999999</v>
      </c>
      <c r="V2018">
        <v>0.26353359999999998</v>
      </c>
      <c r="W2018">
        <v>5.1789769999999999E-2</v>
      </c>
      <c r="X2018">
        <v>0.96325899999999998</v>
      </c>
      <c r="Y2018">
        <v>0.65404300000000004</v>
      </c>
      <c r="Z2018">
        <v>5.9318599999999997E-3</v>
      </c>
      <c r="AA2018">
        <v>0.7564341</v>
      </c>
      <c r="AB2018">
        <v>16</v>
      </c>
      <c r="AC2018">
        <v>8.1744000000000199</v>
      </c>
      <c r="AD2018">
        <v>-1.1024010977550001</v>
      </c>
      <c r="AE2018">
        <v>-20.321199999999902</v>
      </c>
      <c r="AF2018">
        <v>14.4092141385362</v>
      </c>
      <c r="AG2018">
        <v>-1.1024010977550001</v>
      </c>
      <c r="AH2018">
        <v>16.423311493946599</v>
      </c>
      <c r="AI2018">
        <v>92.888519981636307</v>
      </c>
      <c r="AJ2018">
        <v>48.737467196962399</v>
      </c>
      <c r="AK2018">
        <v>21.876149128622298</v>
      </c>
      <c r="AL2018">
        <v>87.0313367243903</v>
      </c>
      <c r="AM2018">
        <v>74.699128010956201</v>
      </c>
      <c r="AN2018">
        <v>1.0000000198432999</v>
      </c>
    </row>
    <row r="2019" spans="1:40" x14ac:dyDescent="0.3">
      <c r="A2019" t="str">
        <f>"20200111145949902"</f>
        <v>20200111145949902</v>
      </c>
      <c r="B2019" t="str">
        <f>"1578725989897284"</f>
        <v>1578725989897284</v>
      </c>
      <c r="C2019" t="s">
        <v>40</v>
      </c>
      <c r="D2019">
        <v>4.793444</v>
      </c>
      <c r="E2019">
        <v>0.68251130000000004</v>
      </c>
      <c r="F2019" t="s">
        <v>42</v>
      </c>
      <c r="G2019">
        <v>-195.15629999999999</v>
      </c>
      <c r="H2019" s="1">
        <v>-3.1911510000000002E-6</v>
      </c>
      <c r="I2019">
        <v>343.8297</v>
      </c>
      <c r="J2019">
        <v>-203.13759999999999</v>
      </c>
      <c r="K2019">
        <v>1.102419</v>
      </c>
      <c r="L2019">
        <v>363.96449999999999</v>
      </c>
      <c r="M2019">
        <v>0.89077879999999998</v>
      </c>
      <c r="N2019">
        <v>0</v>
      </c>
      <c r="O2019">
        <v>-0.45421479999999997</v>
      </c>
      <c r="P2019">
        <v>0.73916819999999905</v>
      </c>
      <c r="Q2019">
        <v>3.9995910000000003E-2</v>
      </c>
      <c r="R2019">
        <v>-0.67233219999999905</v>
      </c>
      <c r="S2019">
        <v>1.24292</v>
      </c>
      <c r="T2019">
        <v>-0.1700817</v>
      </c>
      <c r="U2019">
        <v>-3.112946</v>
      </c>
      <c r="V2019">
        <v>0.26352419999999999</v>
      </c>
      <c r="W2019">
        <v>5.2007400000000002E-2</v>
      </c>
      <c r="X2019">
        <v>0.96324980000000004</v>
      </c>
      <c r="Y2019">
        <v>0.65866029999999998</v>
      </c>
      <c r="Z2019">
        <v>6.0558280000000001E-3</v>
      </c>
      <c r="AA2019">
        <v>0.75241610000000003</v>
      </c>
      <c r="AB2019">
        <v>16</v>
      </c>
      <c r="AC2019">
        <v>7.9813000000000001</v>
      </c>
      <c r="AD2019">
        <v>-1.1024221911509999</v>
      </c>
      <c r="AE2019">
        <v>-20.134799999999899</v>
      </c>
      <c r="AF2019">
        <v>14.2748920868386</v>
      </c>
      <c r="AG2019">
        <v>-1.1024221911509999</v>
      </c>
      <c r="AH2019">
        <v>16.2147315890758</v>
      </c>
      <c r="AI2019">
        <v>92.9213240615654</v>
      </c>
      <c r="AJ2019">
        <v>48.640419249975501</v>
      </c>
      <c r="AK2019">
        <v>21.631121082463601</v>
      </c>
      <c r="AL2019">
        <v>87.018850484794001</v>
      </c>
      <c r="AM2019">
        <v>74.699508915121498</v>
      </c>
      <c r="AN2019">
        <v>0.99999997542021901</v>
      </c>
    </row>
    <row r="2020" spans="1:40" x14ac:dyDescent="0.3">
      <c r="A2020" t="str">
        <f>"20200111145949912"</f>
        <v>20200111145949912</v>
      </c>
      <c r="B2020" t="str">
        <f>"1578725989908019"</f>
        <v>1578725989908019</v>
      </c>
      <c r="C2020" t="s">
        <v>40</v>
      </c>
      <c r="D2020">
        <v>4.7441230000000001</v>
      </c>
      <c r="E2020">
        <v>0.65082220000000002</v>
      </c>
      <c r="F2020" t="s">
        <v>42</v>
      </c>
      <c r="G2020">
        <v>-195.11519999999999</v>
      </c>
      <c r="H2020" s="1">
        <v>-3.1111050000000001E-6</v>
      </c>
      <c r="I2020">
        <v>343.66860000000003</v>
      </c>
      <c r="J2020">
        <v>-203.0635</v>
      </c>
      <c r="K2020">
        <v>1.102436</v>
      </c>
      <c r="L2020">
        <v>363.92219999999998</v>
      </c>
      <c r="M2020">
        <v>0.88926119999999897</v>
      </c>
      <c r="N2020">
        <v>0</v>
      </c>
      <c r="O2020">
        <v>-0.45717930000000001</v>
      </c>
      <c r="P2020">
        <v>0.73712559999999905</v>
      </c>
      <c r="Q2020">
        <v>4.0708559999999998E-2</v>
      </c>
      <c r="R2020">
        <v>-0.67452900000000005</v>
      </c>
      <c r="S2020">
        <v>1.232208</v>
      </c>
      <c r="T2020">
        <v>-0.16932929999999999</v>
      </c>
      <c r="U2020">
        <v>-3.1174010000000001</v>
      </c>
      <c r="V2020">
        <v>0.263202299999999</v>
      </c>
      <c r="W2020">
        <v>5.2727389999999999E-2</v>
      </c>
      <c r="X2020">
        <v>0.96329869999999995</v>
      </c>
      <c r="Y2020">
        <v>0.65876290000000004</v>
      </c>
      <c r="Z2020">
        <v>6.2036890000000001E-3</v>
      </c>
      <c r="AA2020">
        <v>0.75232509999999997</v>
      </c>
      <c r="AB2020">
        <v>16</v>
      </c>
      <c r="AC2020">
        <v>7.9483000000000104</v>
      </c>
      <c r="AD2020">
        <v>-1.102439111105</v>
      </c>
      <c r="AE2020">
        <v>-20.253599999999899</v>
      </c>
      <c r="AF2020">
        <v>14.341571121507</v>
      </c>
      <c r="AG2020">
        <v>-1.102439111105</v>
      </c>
      <c r="AH2020">
        <v>16.287470914011902</v>
      </c>
      <c r="AI2020">
        <v>92.908110972613997</v>
      </c>
      <c r="AJ2020">
        <v>48.635184082168202</v>
      </c>
      <c r="AK2020">
        <v>21.729651239762699</v>
      </c>
      <c r="AL2020">
        <v>86.977541509095403</v>
      </c>
      <c r="AM2020">
        <v>74.718063843395896</v>
      </c>
      <c r="AN2020">
        <v>1.00000000690159</v>
      </c>
    </row>
    <row r="2021" spans="1:40" x14ac:dyDescent="0.3">
      <c r="A2021" t="str">
        <f>"20200111145949924"</f>
        <v>20200111145949924</v>
      </c>
      <c r="B2021" t="str">
        <f>"1578725989917778"</f>
        <v>1578725989917778</v>
      </c>
      <c r="C2021" t="s">
        <v>40</v>
      </c>
      <c r="D2021">
        <v>4.7904600000000004</v>
      </c>
      <c r="E2021">
        <v>0.64953059999999996</v>
      </c>
      <c r="F2021" t="s">
        <v>45</v>
      </c>
      <c r="G2021">
        <v>-198.0257</v>
      </c>
      <c r="H2021" s="1">
        <v>-4.0676980000000004E-6</v>
      </c>
      <c r="I2021">
        <v>353.26889999999997</v>
      </c>
      <c r="J2021">
        <v>-202.99359999999999</v>
      </c>
      <c r="K2021">
        <v>1.1024529999999999</v>
      </c>
      <c r="L2021">
        <v>363.88220000000001</v>
      </c>
      <c r="M2021">
        <v>0.88781939999999904</v>
      </c>
      <c r="N2021">
        <v>0</v>
      </c>
      <c r="O2021">
        <v>-0.45997250000000001</v>
      </c>
      <c r="P2021">
        <v>0.7352824</v>
      </c>
      <c r="Q2021">
        <v>4.1442840000000002E-2</v>
      </c>
      <c r="R2021">
        <v>-0.67649250000000005</v>
      </c>
      <c r="S2021">
        <v>1.3923650000000001</v>
      </c>
      <c r="T2021">
        <v>-0.30469540000000001</v>
      </c>
      <c r="U2021">
        <v>-2.9443969999999999</v>
      </c>
      <c r="V2021">
        <v>0.26276500000000003</v>
      </c>
      <c r="W2021">
        <v>5.3469240000000001E-2</v>
      </c>
      <c r="X2021">
        <v>0.96337720000000004</v>
      </c>
      <c r="Y2021">
        <v>0.60537089999999905</v>
      </c>
      <c r="Z2021">
        <v>1.500027E-2</v>
      </c>
      <c r="AA2021">
        <v>0.79580220000000002</v>
      </c>
      <c r="AB2021">
        <v>16</v>
      </c>
      <c r="AC2021">
        <v>4.9678999999999798</v>
      </c>
      <c r="AD2021">
        <v>-1.1024570676979999</v>
      </c>
      <c r="AE2021">
        <v>-10.613300000000001</v>
      </c>
      <c r="AF2021">
        <v>7.0756917446578802</v>
      </c>
      <c r="AG2021">
        <v>-1.1024570676979999</v>
      </c>
      <c r="AH2021">
        <v>9.2118307569776494</v>
      </c>
      <c r="AI2021">
        <v>95.421780541336503</v>
      </c>
      <c r="AJ2021">
        <v>52.471802942714298</v>
      </c>
      <c r="AK2021">
        <v>11.667846894210401</v>
      </c>
      <c r="AL2021">
        <v>86.934976619076096</v>
      </c>
      <c r="AM2021">
        <v>74.743455122993595</v>
      </c>
      <c r="AN2021">
        <v>1.0000000171654999</v>
      </c>
    </row>
    <row r="2022" spans="1:40" x14ac:dyDescent="0.3">
      <c r="A2022" t="str">
        <f>"20200111145949936"</f>
        <v>20200111145949936</v>
      </c>
      <c r="B2022" t="str">
        <f>"1578725989927538"</f>
        <v>1578725989927538</v>
      </c>
      <c r="C2022" t="s">
        <v>40</v>
      </c>
      <c r="D2022">
        <v>4.8500249999999996</v>
      </c>
      <c r="E2022">
        <v>0.65008449999999995</v>
      </c>
      <c r="F2022" t="s">
        <v>45</v>
      </c>
      <c r="G2022">
        <v>-197.88849999999999</v>
      </c>
      <c r="H2022" s="1">
        <v>-3.9502870000000004E-6</v>
      </c>
      <c r="I2022">
        <v>353.096</v>
      </c>
      <c r="J2022">
        <v>-202.922</v>
      </c>
      <c r="K2022">
        <v>1.102468</v>
      </c>
      <c r="L2022">
        <v>363.84089999999998</v>
      </c>
      <c r="M2022">
        <v>0.88633569999999995</v>
      </c>
      <c r="N2022">
        <v>0</v>
      </c>
      <c r="O2022">
        <v>-0.46282570000000001</v>
      </c>
      <c r="P2022">
        <v>0.73353239999999997</v>
      </c>
      <c r="Q2022">
        <v>4.2213029999999999E-2</v>
      </c>
      <c r="R2022">
        <v>-0.67834269999999997</v>
      </c>
      <c r="S2022">
        <v>1.391678</v>
      </c>
      <c r="T2022">
        <v>-0.30053879999999999</v>
      </c>
      <c r="U2022">
        <v>-2.9403990000000002</v>
      </c>
      <c r="V2022">
        <v>0.26211600000000002</v>
      </c>
      <c r="W2022">
        <v>5.4249180000000001E-2</v>
      </c>
      <c r="X2022">
        <v>0.96351030000000004</v>
      </c>
      <c r="Y2022">
        <v>0.60257709999999998</v>
      </c>
      <c r="Z2022">
        <v>1.5282540000000001E-2</v>
      </c>
      <c r="AA2022">
        <v>0.79791429999999997</v>
      </c>
      <c r="AB2022">
        <v>16</v>
      </c>
      <c r="AC2022">
        <v>5.0335000000000001</v>
      </c>
      <c r="AD2022">
        <v>-1.102471950287</v>
      </c>
      <c r="AE2022">
        <v>-10.7448999999999</v>
      </c>
      <c r="AF2022">
        <v>7.13309913427672</v>
      </c>
      <c r="AG2022">
        <v>-1.102471950287</v>
      </c>
      <c r="AH2022">
        <v>9.3545778552231305</v>
      </c>
      <c r="AI2022">
        <v>95.353926534399307</v>
      </c>
      <c r="AJ2022">
        <v>52.673575090501998</v>
      </c>
      <c r="AK2022">
        <v>11.8154422054369</v>
      </c>
      <c r="AL2022">
        <v>86.890224135307506</v>
      </c>
      <c r="AM2022">
        <v>74.781392189124603</v>
      </c>
      <c r="AN2022">
        <v>0.99999993459637904</v>
      </c>
    </row>
    <row r="2023" spans="1:40" x14ac:dyDescent="0.3">
      <c r="A2023" t="str">
        <f>"20200111145949959"</f>
        <v>20200111145949959</v>
      </c>
      <c r="B2023" t="str">
        <f>"1578725989957795"</f>
        <v>1578725989957795</v>
      </c>
      <c r="C2023" t="s">
        <v>40</v>
      </c>
      <c r="D2023">
        <v>4.8542199999999998</v>
      </c>
      <c r="E2023">
        <v>0.6484008</v>
      </c>
      <c r="F2023" t="s">
        <v>45</v>
      </c>
      <c r="G2023">
        <v>-198.05279999999999</v>
      </c>
      <c r="H2023" s="1">
        <v>-4.1634179999999999E-6</v>
      </c>
      <c r="I2023">
        <v>353.44720000000001</v>
      </c>
      <c r="J2023">
        <v>-202.7775</v>
      </c>
      <c r="K2023">
        <v>1.1024989999999999</v>
      </c>
      <c r="L2023">
        <v>363.75670000000002</v>
      </c>
      <c r="M2023">
        <v>0.88331479999999996</v>
      </c>
      <c r="N2023">
        <v>0</v>
      </c>
      <c r="O2023">
        <v>-0.46856530000000002</v>
      </c>
      <c r="P2023">
        <v>0.72999519999999996</v>
      </c>
      <c r="Q2023">
        <v>4.3289859999999999E-2</v>
      </c>
      <c r="R2023">
        <v>-0.68208029999999997</v>
      </c>
      <c r="S2023">
        <v>1.3812260000000001</v>
      </c>
      <c r="T2023">
        <v>-0.31273909999999899</v>
      </c>
      <c r="U2023">
        <v>-2.9483950000000001</v>
      </c>
      <c r="V2023">
        <v>0.26081929999999998</v>
      </c>
      <c r="W2023">
        <v>5.5342820000000001E-2</v>
      </c>
      <c r="X2023">
        <v>0.96379999999999999</v>
      </c>
      <c r="Y2023">
        <v>0.6005298</v>
      </c>
      <c r="Z2023">
        <v>1.665351E-2</v>
      </c>
      <c r="AA2023">
        <v>0.7994289</v>
      </c>
      <c r="AB2023">
        <v>16</v>
      </c>
      <c r="AC2023">
        <v>4.7247000000000101</v>
      </c>
      <c r="AD2023">
        <v>-1.10250316341799</v>
      </c>
      <c r="AE2023">
        <v>-10.3095</v>
      </c>
      <c r="AF2023">
        <v>6.8288567784344698</v>
      </c>
      <c r="AG2023">
        <v>-1.10250316341799</v>
      </c>
      <c r="AH2023">
        <v>8.9206672480401092</v>
      </c>
      <c r="AI2023">
        <v>95.604855864485003</v>
      </c>
      <c r="AJ2023">
        <v>52.565595654165897</v>
      </c>
      <c r="AK2023">
        <v>11.288361363633401</v>
      </c>
      <c r="AL2023">
        <v>86.827469054370596</v>
      </c>
      <c r="AM2023">
        <v>74.857556104620897</v>
      </c>
      <c r="AN2023">
        <v>0.99999998748902097</v>
      </c>
    </row>
    <row r="2024" spans="1:40" x14ac:dyDescent="0.3">
      <c r="A2024" t="str">
        <f>"20200111145950031"</f>
        <v>20200111145950031</v>
      </c>
      <c r="B2024" t="str">
        <f>"1578725990028113"</f>
        <v>1578725990028113</v>
      </c>
      <c r="C2024" t="s">
        <v>40</v>
      </c>
      <c r="D2024">
        <v>4.3073589999999999</v>
      </c>
      <c r="E2024">
        <v>0.65683559999999996</v>
      </c>
      <c r="F2024" t="s">
        <v>45</v>
      </c>
      <c r="G2024">
        <v>-197.89439999999999</v>
      </c>
      <c r="H2024" s="1">
        <v>-4.0570560000000001E-6</v>
      </c>
      <c r="I2024">
        <v>353.30560000000003</v>
      </c>
      <c r="J2024">
        <v>-202.34649999999999</v>
      </c>
      <c r="K2024">
        <v>1.1025309999999999</v>
      </c>
      <c r="L2024">
        <v>363.49770000000001</v>
      </c>
      <c r="M2024">
        <v>0.87405270000000002</v>
      </c>
      <c r="N2024">
        <v>0</v>
      </c>
      <c r="O2024">
        <v>-0.48562430000000001</v>
      </c>
      <c r="P2024">
        <v>0.71998980000000001</v>
      </c>
      <c r="Q2024">
        <v>4.2762910000000001E-2</v>
      </c>
      <c r="R2024">
        <v>-0.6926658</v>
      </c>
      <c r="S2024">
        <v>1.3761139999999901</v>
      </c>
      <c r="T2024">
        <v>-0.31069750000000002</v>
      </c>
      <c r="U2024">
        <v>-2.9452210000000001</v>
      </c>
      <c r="V2024">
        <v>0.25615120000000002</v>
      </c>
      <c r="W2024">
        <v>5.4862899999999999E-2</v>
      </c>
      <c r="X2024">
        <v>0.96507849999999995</v>
      </c>
      <c r="Y2024">
        <v>0.58583619999999903</v>
      </c>
      <c r="Z2024">
        <v>1.9332990000000001E-2</v>
      </c>
      <c r="AA2024">
        <v>0.8101988</v>
      </c>
      <c r="AB2024">
        <v>16</v>
      </c>
      <c r="AC2024">
        <v>4.4520999999999997</v>
      </c>
      <c r="AD2024">
        <v>-1.102535057056</v>
      </c>
      <c r="AE2024">
        <v>-10.1920999999999</v>
      </c>
      <c r="AF2024">
        <v>6.6814051767470204</v>
      </c>
      <c r="AG2024">
        <v>-1.102535057056</v>
      </c>
      <c r="AH2024">
        <v>8.7557482174437595</v>
      </c>
      <c r="AI2024">
        <v>95.716530424604599</v>
      </c>
      <c r="AJ2024">
        <v>52.653186825298903</v>
      </c>
      <c r="AK2024">
        <v>11.0688701110442</v>
      </c>
      <c r="AL2024">
        <v>86.855008146591203</v>
      </c>
      <c r="AM2024">
        <v>75.135286498486806</v>
      </c>
      <c r="AN2024">
        <v>0.99999994311004803</v>
      </c>
    </row>
    <row r="2025" spans="1:40" x14ac:dyDescent="0.3">
      <c r="A2025" t="str">
        <f>"20200111145950043"</f>
        <v>20200111145950043</v>
      </c>
      <c r="B2025" t="str">
        <f>"1578725990037873"</f>
        <v>1578725990037873</v>
      </c>
      <c r="C2025" t="s">
        <v>40</v>
      </c>
      <c r="D2025">
        <v>4.2561720000000003</v>
      </c>
      <c r="E2025">
        <v>0.65913350000000004</v>
      </c>
      <c r="F2025" t="s">
        <v>42</v>
      </c>
      <c r="G2025">
        <v>-195.56729999999999</v>
      </c>
      <c r="H2025" s="1">
        <v>-4.6228080000000002E-6</v>
      </c>
      <c r="I2025">
        <v>347.66919999999999</v>
      </c>
      <c r="J2025">
        <v>-202.274</v>
      </c>
      <c r="K2025">
        <v>1.10253</v>
      </c>
      <c r="L2025">
        <v>363.45310000000001</v>
      </c>
      <c r="M2025">
        <v>0.8724539</v>
      </c>
      <c r="N2025">
        <v>0</v>
      </c>
      <c r="O2025">
        <v>-0.48849110000000001</v>
      </c>
      <c r="P2025">
        <v>0.71806539999999996</v>
      </c>
      <c r="Q2025">
        <v>4.2833250000000003E-2</v>
      </c>
      <c r="R2025">
        <v>-0.69465639999999995</v>
      </c>
      <c r="S2025">
        <v>1.2873840000000001</v>
      </c>
      <c r="T2025">
        <v>-0.20937140000000001</v>
      </c>
      <c r="U2025">
        <v>-3.0058289999999999</v>
      </c>
      <c r="V2025">
        <v>0.2556561</v>
      </c>
      <c r="W2025">
        <v>5.493717E-2</v>
      </c>
      <c r="X2025">
        <v>0.9652056</v>
      </c>
      <c r="Y2025">
        <v>0.60945699999999903</v>
      </c>
      <c r="Z2025">
        <v>1.227467E-2</v>
      </c>
      <c r="AA2025">
        <v>0.79272410000000004</v>
      </c>
      <c r="AB2025">
        <v>16</v>
      </c>
      <c r="AC2025">
        <v>6.7067000000000103</v>
      </c>
      <c r="AD2025">
        <v>-1.102534622808</v>
      </c>
      <c r="AE2025">
        <v>-15.783899999999999</v>
      </c>
      <c r="AF2025">
        <v>10.4524142557354</v>
      </c>
      <c r="AG2025">
        <v>-1.102534622808</v>
      </c>
      <c r="AH2025">
        <v>13.507116078851499</v>
      </c>
      <c r="AI2025">
        <v>93.693584791801698</v>
      </c>
      <c r="AJ2025">
        <v>52.2656830253311</v>
      </c>
      <c r="AK2025">
        <v>17.114634998607499</v>
      </c>
      <c r="AL2025">
        <v>86.850746516147296</v>
      </c>
      <c r="AM2025">
        <v>75.164616789184805</v>
      </c>
      <c r="AN2025">
        <v>0.99999999219308899</v>
      </c>
    </row>
    <row r="2026" spans="1:40" x14ac:dyDescent="0.3">
      <c r="A2026" t="str">
        <f>"20200111145950056"</f>
        <v>20200111145950056</v>
      </c>
      <c r="B2026" t="str">
        <f>"1578725990047633"</f>
        <v>1578725990047633</v>
      </c>
      <c r="C2026" t="s">
        <v>40</v>
      </c>
      <c r="D2026">
        <v>4.459937</v>
      </c>
      <c r="E2026">
        <v>0.66312139999999997</v>
      </c>
      <c r="F2026" t="s">
        <v>42</v>
      </c>
      <c r="G2026">
        <v>-194.261</v>
      </c>
      <c r="H2026" s="1">
        <v>-3.1788049999999999E-6</v>
      </c>
      <c r="I2026">
        <v>344.3562</v>
      </c>
      <c r="J2026">
        <v>-202.1918</v>
      </c>
      <c r="K2026">
        <v>1.102535</v>
      </c>
      <c r="L2026">
        <v>363.40199999999999</v>
      </c>
      <c r="M2026">
        <v>0.87062379999999995</v>
      </c>
      <c r="N2026">
        <v>0</v>
      </c>
      <c r="O2026">
        <v>-0.4917456</v>
      </c>
      <c r="P2026">
        <v>0.71570929999999999</v>
      </c>
      <c r="Q2026">
        <v>4.2605089999999998E-2</v>
      </c>
      <c r="R2026">
        <v>-0.69709769999999904</v>
      </c>
      <c r="S2026">
        <v>1.2670440000000001</v>
      </c>
      <c r="T2026">
        <v>-0.17433560000000001</v>
      </c>
      <c r="U2026">
        <v>-3.0196529999999999</v>
      </c>
      <c r="V2026">
        <v>0.2553301</v>
      </c>
      <c r="W2026">
        <v>5.4711019999999999E-2</v>
      </c>
      <c r="X2026">
        <v>0.96530470000000002</v>
      </c>
      <c r="Y2026">
        <v>0.61242059999999998</v>
      </c>
      <c r="Z2026">
        <v>1.031879E-2</v>
      </c>
      <c r="AA2026">
        <v>0.79046479999999997</v>
      </c>
      <c r="AB2026">
        <v>16</v>
      </c>
      <c r="AC2026">
        <v>7.9307999999999996</v>
      </c>
      <c r="AD2026">
        <v>-1.1025381788049999</v>
      </c>
      <c r="AE2026">
        <v>-19.0457999999999</v>
      </c>
      <c r="AF2026">
        <v>12.6469435243958</v>
      </c>
      <c r="AG2026">
        <v>-1.1025381788049999</v>
      </c>
      <c r="AH2026">
        <v>16.225723411857899</v>
      </c>
      <c r="AI2026">
        <v>93.067737982179494</v>
      </c>
      <c r="AJ2026">
        <v>52.065798749596702</v>
      </c>
      <c r="AK2026">
        <v>20.601817181576401</v>
      </c>
      <c r="AL2026">
        <v>86.863723371965406</v>
      </c>
      <c r="AM2026">
        <v>75.184155656262405</v>
      </c>
      <c r="AN2026">
        <v>0.99999995975876899</v>
      </c>
    </row>
    <row r="2027" spans="1:40" x14ac:dyDescent="0.3">
      <c r="A2027" t="str">
        <f>"20200111145950090"</f>
        <v>20200111145950090</v>
      </c>
      <c r="B2027" t="str">
        <f>"1578725990087649"</f>
        <v>1578725990087649</v>
      </c>
      <c r="C2027" t="s">
        <v>40</v>
      </c>
      <c r="D2027">
        <v>4.5876029999999997</v>
      </c>
      <c r="E2027">
        <v>0.66441049999999902</v>
      </c>
      <c r="F2027" t="s">
        <v>42</v>
      </c>
      <c r="G2027">
        <v>-193.47040000000001</v>
      </c>
      <c r="H2027" s="1">
        <v>-1.9103749999999999E-6</v>
      </c>
      <c r="I2027">
        <v>341.88979999999998</v>
      </c>
      <c r="J2027">
        <v>-201.99100000000001</v>
      </c>
      <c r="K2027">
        <v>1.102544</v>
      </c>
      <c r="L2027">
        <v>363.27539999999999</v>
      </c>
      <c r="M2027">
        <v>0.86607889999999998</v>
      </c>
      <c r="N2027">
        <v>0</v>
      </c>
      <c r="O2027">
        <v>-0.49970700000000001</v>
      </c>
      <c r="P2027">
        <v>0.70993819999999996</v>
      </c>
      <c r="Q2027">
        <v>4.2835459999999999E-2</v>
      </c>
      <c r="R2027">
        <v>-0.70296020000000004</v>
      </c>
      <c r="S2027">
        <v>1.23468</v>
      </c>
      <c r="T2027">
        <v>-0.1560839</v>
      </c>
      <c r="U2027">
        <v>-3.0454409999999998</v>
      </c>
      <c r="V2027">
        <v>0.25442540000000002</v>
      </c>
      <c r="W2027">
        <v>5.494574E-2</v>
      </c>
      <c r="X2027">
        <v>0.96553029999999995</v>
      </c>
      <c r="Y2027">
        <v>0.6147918</v>
      </c>
      <c r="Z2027">
        <v>9.5903529999999994E-3</v>
      </c>
      <c r="AA2027">
        <v>0.78863119999999998</v>
      </c>
      <c r="AB2027">
        <v>15</v>
      </c>
      <c r="AC2027">
        <v>8.5205999999999698</v>
      </c>
      <c r="AD2027">
        <v>-1.1025459103749999</v>
      </c>
      <c r="AE2027">
        <v>-21.3856</v>
      </c>
      <c r="AF2027">
        <v>14.2325945777076</v>
      </c>
      <c r="AG2027">
        <v>-1.1025459103749999</v>
      </c>
      <c r="AH2027">
        <v>18.0265051535339</v>
      </c>
      <c r="AI2027">
        <v>92.748311257540394</v>
      </c>
      <c r="AJ2027">
        <v>51.707598566085302</v>
      </c>
      <c r="AK2027">
        <v>22.9942872024392</v>
      </c>
      <c r="AL2027">
        <v>86.850254897261493</v>
      </c>
      <c r="AM2027">
        <v>75.237653910888099</v>
      </c>
      <c r="AN2027">
        <v>1.0000000393636901</v>
      </c>
    </row>
    <row r="2028" spans="1:40" x14ac:dyDescent="0.3">
      <c r="A2028" t="str">
        <f>"20200111145950102"</f>
        <v>20200111145950102</v>
      </c>
      <c r="B2028" t="str">
        <f>"1578725990097409"</f>
        <v>1578725990097409</v>
      </c>
      <c r="C2028" t="s">
        <v>40</v>
      </c>
      <c r="D2028">
        <v>4.1108370000000001</v>
      </c>
      <c r="E2028">
        <v>0.60380630000000002</v>
      </c>
      <c r="F2028" t="s">
        <v>42</v>
      </c>
      <c r="G2028">
        <v>-192.89779999999999</v>
      </c>
      <c r="H2028" s="1">
        <v>-9.9466020000000002E-7</v>
      </c>
      <c r="I2028">
        <v>340.11040000000003</v>
      </c>
      <c r="J2028">
        <v>-201.92099999999999</v>
      </c>
      <c r="K2028">
        <v>1.10254599999999</v>
      </c>
      <c r="L2028">
        <v>363.23079999999999</v>
      </c>
      <c r="M2028">
        <v>0.86447129999999905</v>
      </c>
      <c r="N2028">
        <v>0</v>
      </c>
      <c r="O2028">
        <v>-0.50248320000000002</v>
      </c>
      <c r="P2028">
        <v>0.70826489999999998</v>
      </c>
      <c r="Q2028">
        <v>4.3150649999999999E-2</v>
      </c>
      <c r="R2028">
        <v>-0.70462709999999995</v>
      </c>
      <c r="S2028">
        <v>1.202148</v>
      </c>
      <c r="T2028">
        <v>-0.14576029999999901</v>
      </c>
      <c r="U2028">
        <v>-3.0625</v>
      </c>
      <c r="V2028">
        <v>0.25360769999999999</v>
      </c>
      <c r="W2028">
        <v>5.5267599999999903E-2</v>
      </c>
      <c r="X2028">
        <v>0.965727</v>
      </c>
      <c r="Y2028">
        <v>0.62102119999999905</v>
      </c>
      <c r="Z2028">
        <v>8.9240689999999998E-3</v>
      </c>
      <c r="AA2028">
        <v>0.78374299999999997</v>
      </c>
      <c r="AB2028">
        <v>15</v>
      </c>
      <c r="AC2028">
        <v>9.0231999999999992</v>
      </c>
      <c r="AD2028">
        <v>-1.10254699466019</v>
      </c>
      <c r="AE2028">
        <v>-23.120399999999901</v>
      </c>
      <c r="AF2028">
        <v>15.424022314186301</v>
      </c>
      <c r="AG2028">
        <v>-1.10254699466019</v>
      </c>
      <c r="AH2028">
        <v>19.381602832969001</v>
      </c>
      <c r="AI2028">
        <v>92.548644444353997</v>
      </c>
      <c r="AJ2028">
        <v>51.486967334274198</v>
      </c>
      <c r="AK2028">
        <v>24.794406679711201</v>
      </c>
      <c r="AL2028">
        <v>86.831785507354397</v>
      </c>
      <c r="AM2028">
        <v>75.285903659710399</v>
      </c>
      <c r="AN2028">
        <v>1.0000000058190199</v>
      </c>
    </row>
    <row r="2029" spans="1:40" x14ac:dyDescent="0.3">
      <c r="A2029" t="str">
        <f>"20200111145950114"</f>
        <v>20200111145950114</v>
      </c>
      <c r="B2029" t="str">
        <f>"1578725990108146"</f>
        <v>1578725990108146</v>
      </c>
      <c r="C2029" t="s">
        <v>40</v>
      </c>
      <c r="D2029">
        <v>4.3427559999999996</v>
      </c>
      <c r="E2029">
        <v>0.59232689999999999</v>
      </c>
      <c r="F2029" t="s">
        <v>51</v>
      </c>
      <c r="G2029">
        <v>-166.166</v>
      </c>
      <c r="H2029">
        <v>2.280341</v>
      </c>
      <c r="I2029">
        <v>300.31029999999998</v>
      </c>
      <c r="J2029">
        <v>-201.84719999999999</v>
      </c>
      <c r="K2029">
        <v>1.1025480000000001</v>
      </c>
      <c r="L2029">
        <v>363.1832</v>
      </c>
      <c r="M2029">
        <v>0.86275849999999898</v>
      </c>
      <c r="N2029">
        <v>0</v>
      </c>
      <c r="O2029">
        <v>-0.50541840000000005</v>
      </c>
      <c r="P2029">
        <v>0.70654830000000002</v>
      </c>
      <c r="Q2029">
        <v>4.348991E-2</v>
      </c>
      <c r="R2029">
        <v>-0.7063275</v>
      </c>
      <c r="S2029">
        <v>1.538727</v>
      </c>
      <c r="T2029">
        <v>5.0689940000000003E-2</v>
      </c>
      <c r="U2029">
        <v>-2.7077939999999998</v>
      </c>
      <c r="V2029">
        <v>0.2526581</v>
      </c>
      <c r="W2029">
        <v>5.5614669999999998E-2</v>
      </c>
      <c r="X2029">
        <v>0.96595600000000004</v>
      </c>
      <c r="Y2029">
        <v>0.50044520000000003</v>
      </c>
      <c r="Z2029">
        <v>-4.4597129999999997E-3</v>
      </c>
      <c r="AA2029">
        <v>0.86575679999999999</v>
      </c>
      <c r="AB2029">
        <v>15</v>
      </c>
      <c r="AC2029">
        <v>35.681199999999897</v>
      </c>
      <c r="AD2029">
        <v>1.1777930000000001</v>
      </c>
      <c r="AE2029">
        <v>-62.872900000000001</v>
      </c>
      <c r="AF2029">
        <v>36.204205836426802</v>
      </c>
      <c r="AG2029">
        <v>1.1777930000000001</v>
      </c>
      <c r="AH2029">
        <v>62.551033397836001</v>
      </c>
      <c r="AI2029">
        <v>89.066364186081998</v>
      </c>
      <c r="AJ2029">
        <v>59.937969510956698</v>
      </c>
      <c r="AK2029">
        <v>72.282525521279496</v>
      </c>
      <c r="AL2029">
        <v>86.811869371608694</v>
      </c>
      <c r="AM2029">
        <v>75.341946791440293</v>
      </c>
      <c r="AN2029">
        <v>1.0000000504754001</v>
      </c>
    </row>
    <row r="2030" spans="1:40" x14ac:dyDescent="0.3">
      <c r="A2030" t="str">
        <f>"20200111145950127"</f>
        <v>20200111145950127</v>
      </c>
      <c r="B2030" t="str">
        <f>"1578725990117904"</f>
        <v>1578725990117904</v>
      </c>
      <c r="C2030" t="s">
        <v>40</v>
      </c>
      <c r="D2030">
        <v>4.5230050000000004</v>
      </c>
      <c r="E2030">
        <v>0.58507419999999899</v>
      </c>
      <c r="F2030" t="s">
        <v>51</v>
      </c>
      <c r="G2030">
        <v>-157.25</v>
      </c>
      <c r="H2030">
        <v>1.0382340000000001</v>
      </c>
      <c r="I2030">
        <v>289.16750000000002</v>
      </c>
      <c r="J2030">
        <v>-201.77449999999999</v>
      </c>
      <c r="K2030">
        <v>1.1025529999999999</v>
      </c>
      <c r="L2030">
        <v>363.1361</v>
      </c>
      <c r="M2030">
        <v>0.86105949999999998</v>
      </c>
      <c r="N2030">
        <v>0</v>
      </c>
      <c r="O2030">
        <v>-0.50830759999999997</v>
      </c>
      <c r="P2030">
        <v>0.70472559999999995</v>
      </c>
      <c r="Q2030">
        <v>4.3518479999999998E-2</v>
      </c>
      <c r="R2030">
        <v>-0.70814429999999995</v>
      </c>
      <c r="S2030">
        <v>1.596848</v>
      </c>
      <c r="T2030">
        <v>-2.3000239999999999E-3</v>
      </c>
      <c r="U2030">
        <v>-2.6502080000000001</v>
      </c>
      <c r="V2030">
        <v>0.2519073</v>
      </c>
      <c r="W2030">
        <v>5.5649909999999997E-2</v>
      </c>
      <c r="X2030">
        <v>0.96614999999999995</v>
      </c>
      <c r="Y2030">
        <v>0.47523949999999998</v>
      </c>
      <c r="Z2030">
        <v>2.1606030000000001E-4</v>
      </c>
      <c r="AA2030">
        <v>0.87985650000000004</v>
      </c>
      <c r="AB2030">
        <v>15</v>
      </c>
      <c r="AC2030">
        <v>44.524499999999897</v>
      </c>
      <c r="AD2030">
        <v>-6.4319000000000001E-2</v>
      </c>
      <c r="AE2030">
        <v>-73.968599999999896</v>
      </c>
      <c r="AF2030">
        <v>41.063306125941097</v>
      </c>
      <c r="AG2030">
        <v>-6.4319000000000001E-2</v>
      </c>
      <c r="AH2030">
        <v>75.944594951560603</v>
      </c>
      <c r="AI2030">
        <v>90.042684839149501</v>
      </c>
      <c r="AJ2030">
        <v>61.599873427459201</v>
      </c>
      <c r="AK2030">
        <v>86.335281022784201</v>
      </c>
      <c r="AL2030">
        <v>86.809847011832602</v>
      </c>
      <c r="AM2030">
        <v>75.3864460850846</v>
      </c>
      <c r="AN2030">
        <v>1.00000001138814</v>
      </c>
    </row>
    <row r="2031" spans="1:40" x14ac:dyDescent="0.3">
      <c r="A2031" t="str">
        <f>"20200111145950139"</f>
        <v>20200111145950139</v>
      </c>
      <c r="B2031" t="str">
        <f>"1578725990127666"</f>
        <v>1578725990127666</v>
      </c>
      <c r="C2031" t="s">
        <v>40</v>
      </c>
      <c r="D2031">
        <v>4.4743620000000002</v>
      </c>
      <c r="E2031">
        <v>0.58194109999999999</v>
      </c>
      <c r="F2031" t="s">
        <v>51</v>
      </c>
      <c r="G2031">
        <v>-157.25</v>
      </c>
      <c r="H2031">
        <v>0.1003127</v>
      </c>
      <c r="I2031">
        <v>291.69400000000002</v>
      </c>
      <c r="J2031">
        <v>-201.70419999999999</v>
      </c>
      <c r="K2031">
        <v>1.1025560000000001</v>
      </c>
      <c r="L2031">
        <v>363.09039999999999</v>
      </c>
      <c r="M2031">
        <v>0.85940559999999999</v>
      </c>
      <c r="N2031">
        <v>0</v>
      </c>
      <c r="O2031">
        <v>-0.51109899999999997</v>
      </c>
      <c r="P2031">
        <v>0.70311009999999996</v>
      </c>
      <c r="Q2031">
        <v>4.3734490000000001E-2</v>
      </c>
      <c r="R2031">
        <v>-0.7097348</v>
      </c>
      <c r="S2031">
        <v>1.6304320000000001</v>
      </c>
      <c r="T2031">
        <v>-3.6697979999999998E-2</v>
      </c>
      <c r="U2031">
        <v>-2.6161189999999999</v>
      </c>
      <c r="V2031">
        <v>0.25096249999999998</v>
      </c>
      <c r="W2031">
        <v>5.5875099999999997E-2</v>
      </c>
      <c r="X2031">
        <v>0.96638290000000004</v>
      </c>
      <c r="Y2031">
        <v>0.45907379999999998</v>
      </c>
      <c r="Z2031">
        <v>3.5975709999999999E-3</v>
      </c>
      <c r="AA2031">
        <v>0.88839080000000004</v>
      </c>
      <c r="AB2031">
        <v>15</v>
      </c>
      <c r="AC2031">
        <v>44.454199999999901</v>
      </c>
      <c r="AD2031">
        <v>-1.0022432999999999</v>
      </c>
      <c r="AE2031">
        <v>-71.3963999999999</v>
      </c>
      <c r="AF2031">
        <v>38.636343280572497</v>
      </c>
      <c r="AG2031">
        <v>-1.0022432999999999</v>
      </c>
      <c r="AH2031">
        <v>74.691674590206404</v>
      </c>
      <c r="AI2031">
        <v>90.682835325979596</v>
      </c>
      <c r="AJ2031">
        <v>62.648479049399498</v>
      </c>
      <c r="AK2031">
        <v>84.098857107667797</v>
      </c>
      <c r="AL2031">
        <v>86.796924612711607</v>
      </c>
      <c r="AM2031">
        <v>75.442281856543005</v>
      </c>
      <c r="AN2031">
        <v>1.0000000563093301</v>
      </c>
    </row>
    <row r="2032" spans="1:40" x14ac:dyDescent="0.3">
      <c r="A2032" t="str">
        <f>"20200111145950154"</f>
        <v>20200111145950154</v>
      </c>
      <c r="B2032" t="str">
        <f>"1578725990147184"</f>
        <v>1578725990147184</v>
      </c>
      <c r="C2032" t="s">
        <v>40</v>
      </c>
      <c r="D2032">
        <v>7.1869440000000004</v>
      </c>
      <c r="E2032">
        <v>0.57767179999999996</v>
      </c>
      <c r="F2032" t="s">
        <v>43</v>
      </c>
      <c r="G2032">
        <v>-169.42670000000001</v>
      </c>
      <c r="H2032">
        <v>-0.05</v>
      </c>
      <c r="I2032">
        <v>311.92579999999998</v>
      </c>
      <c r="J2032">
        <v>-201.61490000000001</v>
      </c>
      <c r="K2032">
        <v>1.1025560000000001</v>
      </c>
      <c r="L2032">
        <v>363.03149999999999</v>
      </c>
      <c r="M2032">
        <v>0.85727929999999997</v>
      </c>
      <c r="N2032">
        <v>0</v>
      </c>
      <c r="O2032">
        <v>-0.51465779999999905</v>
      </c>
      <c r="P2032">
        <v>0.70123950000000002</v>
      </c>
      <c r="Q2032">
        <v>4.3442799999999997E-2</v>
      </c>
      <c r="R2032">
        <v>-0.71160119999999905</v>
      </c>
      <c r="S2032">
        <v>1.6424099999999999</v>
      </c>
      <c r="T2032">
        <v>-5.864668E-2</v>
      </c>
      <c r="U2032">
        <v>-2.6034549999999999</v>
      </c>
      <c r="V2032">
        <v>0.24951110000000001</v>
      </c>
      <c r="W2032">
        <v>5.5598010000000003E-2</v>
      </c>
      <c r="X2032">
        <v>0.96677460000000004</v>
      </c>
      <c r="Y2032">
        <v>0.45050449999999997</v>
      </c>
      <c r="Z2032">
        <v>5.9177700000000001E-3</v>
      </c>
      <c r="AA2032">
        <v>0.89275459999999995</v>
      </c>
      <c r="AB2032">
        <v>15</v>
      </c>
      <c r="AC2032">
        <v>32.188199999999902</v>
      </c>
      <c r="AD2032">
        <v>-1.1525559999999999</v>
      </c>
      <c r="AE2032">
        <v>-51.105699999999999</v>
      </c>
      <c r="AF2032">
        <v>27.238750321156299</v>
      </c>
      <c r="AG2032">
        <v>-1.1525559999999999</v>
      </c>
      <c r="AH2032">
        <v>53.881981705476399</v>
      </c>
      <c r="AI2032">
        <v>91.093629458487896</v>
      </c>
      <c r="AJ2032">
        <v>63.182209456067</v>
      </c>
      <c r="AK2032">
        <v>60.386636409893903</v>
      </c>
      <c r="AL2032">
        <v>86.812825325048905</v>
      </c>
      <c r="AM2032">
        <v>75.528545684692006</v>
      </c>
      <c r="AN2032">
        <v>1.0000000274721601</v>
      </c>
    </row>
    <row r="2033" spans="1:40" x14ac:dyDescent="0.3">
      <c r="A2033" t="str">
        <f>"20200111145950165"</f>
        <v>20200111145950165</v>
      </c>
      <c r="B2033" t="str">
        <f>"1578725990157921"</f>
        <v>1578725990157921</v>
      </c>
      <c r="C2033" t="s">
        <v>40</v>
      </c>
      <c r="D2033">
        <v>4.4003489999999896</v>
      </c>
      <c r="E2033">
        <v>0.57636580000000004</v>
      </c>
      <c r="F2033" t="s">
        <v>42</v>
      </c>
      <c r="G2033">
        <v>-179.7647</v>
      </c>
      <c r="H2033">
        <v>7.9986630000000003E-2</v>
      </c>
      <c r="I2033">
        <v>328.9828</v>
      </c>
      <c r="J2033">
        <v>-201.553</v>
      </c>
      <c r="K2033">
        <v>1.1025590000000001</v>
      </c>
      <c r="L2033">
        <v>362.99040000000002</v>
      </c>
      <c r="M2033">
        <v>0.85579550000000004</v>
      </c>
      <c r="N2033">
        <v>0</v>
      </c>
      <c r="O2033">
        <v>-0.517121099999999</v>
      </c>
      <c r="P2033">
        <v>0.69962919999999995</v>
      </c>
      <c r="Q2033">
        <v>4.3373660000000001E-2</v>
      </c>
      <c r="R2033">
        <v>-0.7131885</v>
      </c>
      <c r="S2033">
        <v>1.6592249999999999</v>
      </c>
      <c r="T2033">
        <v>-7.7650430000000006E-2</v>
      </c>
      <c r="U2033">
        <v>-2.5855410000000001</v>
      </c>
      <c r="V2033">
        <v>0.2489179</v>
      </c>
      <c r="W2033">
        <v>5.5534689999999998E-2</v>
      </c>
      <c r="X2033">
        <v>0.96693110000000004</v>
      </c>
      <c r="Y2033">
        <v>0.44100650000000002</v>
      </c>
      <c r="Z2033">
        <v>8.0424659999999999E-3</v>
      </c>
      <c r="AA2033">
        <v>0.89746789999999999</v>
      </c>
      <c r="AB2033">
        <v>15</v>
      </c>
      <c r="AC2033">
        <v>21.7882999999999</v>
      </c>
      <c r="AD2033">
        <v>-1.02257237</v>
      </c>
      <c r="AE2033">
        <v>-34.007599999999996</v>
      </c>
      <c r="AF2033">
        <v>17.826716572287602</v>
      </c>
      <c r="AG2033">
        <v>-1.02257237</v>
      </c>
      <c r="AH2033">
        <v>36.212784365766403</v>
      </c>
      <c r="AI2033">
        <v>91.451250059535994</v>
      </c>
      <c r="AJ2033">
        <v>63.790042921715703</v>
      </c>
      <c r="AK2033">
        <v>40.375775280755398</v>
      </c>
      <c r="AL2033">
        <v>86.816458780030999</v>
      </c>
      <c r="AM2033">
        <v>75.563750294635199</v>
      </c>
      <c r="AN2033">
        <v>0.999999987440508</v>
      </c>
    </row>
    <row r="2034" spans="1:40" x14ac:dyDescent="0.3">
      <c r="A2034" t="str">
        <f>"20200111145950176"</f>
        <v>20200111145950176</v>
      </c>
      <c r="B2034" t="str">
        <f>"1578725990167681"</f>
        <v>1578725990167681</v>
      </c>
      <c r="C2034" t="s">
        <v>40</v>
      </c>
      <c r="D2034">
        <v>4.3709309999999997</v>
      </c>
      <c r="E2034">
        <v>0.57527700000000004</v>
      </c>
      <c r="F2034" t="s">
        <v>42</v>
      </c>
      <c r="G2034">
        <v>-182.048</v>
      </c>
      <c r="H2034" s="1">
        <v>-3.1389670000000001E-6</v>
      </c>
      <c r="I2034">
        <v>332.65460000000002</v>
      </c>
      <c r="J2034">
        <v>-201.4855</v>
      </c>
      <c r="K2034">
        <v>1.102565</v>
      </c>
      <c r="L2034">
        <v>362.94540000000001</v>
      </c>
      <c r="M2034">
        <v>0.85416449999999999</v>
      </c>
      <c r="N2034">
        <v>0</v>
      </c>
      <c r="O2034">
        <v>-0.51981099999999902</v>
      </c>
      <c r="P2034">
        <v>0.69783050000000002</v>
      </c>
      <c r="Q2034">
        <v>4.3630530000000001E-2</v>
      </c>
      <c r="R2034">
        <v>-0.71493319999999905</v>
      </c>
      <c r="S2034">
        <v>1.6607970000000001</v>
      </c>
      <c r="T2034">
        <v>-9.3880060000000001E-2</v>
      </c>
      <c r="U2034">
        <v>-2.583008</v>
      </c>
      <c r="V2034">
        <v>0.24829870000000001</v>
      </c>
      <c r="W2034">
        <v>5.5797979999999997E-2</v>
      </c>
      <c r="X2034">
        <v>0.96707520000000002</v>
      </c>
      <c r="Y2034">
        <v>0.43739889999999998</v>
      </c>
      <c r="Z2034">
        <v>9.8755809999999996E-3</v>
      </c>
      <c r="AA2034">
        <v>0.89921340000000005</v>
      </c>
      <c r="AB2034">
        <v>15</v>
      </c>
      <c r="AC2034">
        <v>19.4375</v>
      </c>
      <c r="AD2034">
        <v>-1.1025681389669999</v>
      </c>
      <c r="AE2034">
        <v>-30.290799999999901</v>
      </c>
      <c r="AF2034">
        <v>15.7562862854099</v>
      </c>
      <c r="AG2034">
        <v>-1.1025681389669999</v>
      </c>
      <c r="AH2034">
        <v>32.321208496944998</v>
      </c>
      <c r="AI2034">
        <v>91.756329536737596</v>
      </c>
      <c r="AJ2034">
        <v>64.011200200644495</v>
      </c>
      <c r="AK2034">
        <v>35.974111979475602</v>
      </c>
      <c r="AL2034">
        <v>86.801350149299907</v>
      </c>
      <c r="AM2034">
        <v>75.600222804714093</v>
      </c>
      <c r="AN2034">
        <v>1.0000000507244</v>
      </c>
    </row>
    <row r="2035" spans="1:40" x14ac:dyDescent="0.3">
      <c r="A2035" t="str">
        <f>"20200111145950188"</f>
        <v>20200111145950188</v>
      </c>
      <c r="B2035" t="str">
        <f>"1578725990177441"</f>
        <v>1578725990177441</v>
      </c>
      <c r="C2035" t="s">
        <v>40</v>
      </c>
      <c r="D2035">
        <v>4.3994660000000003</v>
      </c>
      <c r="E2035">
        <v>0.574578699999999</v>
      </c>
      <c r="F2035" t="s">
        <v>42</v>
      </c>
      <c r="G2035">
        <v>-183.97880000000001</v>
      </c>
      <c r="H2035" s="1">
        <v>-3.679036E-6</v>
      </c>
      <c r="I2035">
        <v>335.71899999999999</v>
      </c>
      <c r="J2035">
        <v>-201.42189999999999</v>
      </c>
      <c r="K2035">
        <v>1.102571</v>
      </c>
      <c r="L2035">
        <v>362.90260000000001</v>
      </c>
      <c r="M2035">
        <v>0.85261629999999999</v>
      </c>
      <c r="N2035">
        <v>0</v>
      </c>
      <c r="O2035">
        <v>-0.52234639999999999</v>
      </c>
      <c r="P2035">
        <v>0.69613559999999997</v>
      </c>
      <c r="Q2035">
        <v>4.3808350000000003E-2</v>
      </c>
      <c r="R2035">
        <v>-0.7165726</v>
      </c>
      <c r="S2035">
        <v>1.660202</v>
      </c>
      <c r="T2035">
        <v>-0.10455929999999999</v>
      </c>
      <c r="U2035">
        <v>-2.5819399999999999</v>
      </c>
      <c r="V2035">
        <v>0.24770610000000001</v>
      </c>
      <c r="W2035">
        <v>5.5981749999999997E-2</v>
      </c>
      <c r="X2035">
        <v>0.96721650000000003</v>
      </c>
      <c r="Y2035">
        <v>0.43470819999999999</v>
      </c>
      <c r="Z2035">
        <v>1.1146720000000001E-2</v>
      </c>
      <c r="AA2035">
        <v>0.90050239999999904</v>
      </c>
      <c r="AB2035">
        <v>15</v>
      </c>
      <c r="AC2035">
        <v>17.443099999999902</v>
      </c>
      <c r="AD2035">
        <v>-1.102574679036</v>
      </c>
      <c r="AE2035">
        <v>-27.183599999999998</v>
      </c>
      <c r="AF2035">
        <v>14.0508708016712</v>
      </c>
      <c r="AG2035">
        <v>-1.102574679036</v>
      </c>
      <c r="AH2035">
        <v>29.040588454332401</v>
      </c>
      <c r="AI2035">
        <v>91.957409084914602</v>
      </c>
      <c r="AJ2035">
        <v>64.180649611922902</v>
      </c>
      <c r="AK2035">
        <v>32.2800002940212</v>
      </c>
      <c r="AL2035">
        <v>86.790804299913802</v>
      </c>
      <c r="AM2035">
        <v>75.635177760236502</v>
      </c>
      <c r="AN2035">
        <v>1.0000000130912601</v>
      </c>
    </row>
    <row r="2036" spans="1:40" x14ac:dyDescent="0.3">
      <c r="A2036" t="str">
        <f>"20200111145950199"</f>
        <v>20200111145950199</v>
      </c>
      <c r="B2036" t="str">
        <f>"1578725990197938"</f>
        <v>1578725990197938</v>
      </c>
      <c r="C2036" t="s">
        <v>40</v>
      </c>
      <c r="D2036">
        <v>4.323779</v>
      </c>
      <c r="E2036">
        <v>0.57356419999999997</v>
      </c>
      <c r="F2036" t="s">
        <v>42</v>
      </c>
      <c r="G2036">
        <v>-185.0223</v>
      </c>
      <c r="H2036" s="1">
        <v>-4.1965340000000001E-6</v>
      </c>
      <c r="I2036">
        <v>337.35680000000002</v>
      </c>
      <c r="J2036">
        <v>-201.35470000000001</v>
      </c>
      <c r="K2036">
        <v>1.102576</v>
      </c>
      <c r="L2036">
        <v>362.85719999999998</v>
      </c>
      <c r="M2036">
        <v>0.85097060000000002</v>
      </c>
      <c r="N2036">
        <v>0</v>
      </c>
      <c r="O2036">
        <v>-0.52502349999999998</v>
      </c>
      <c r="P2036">
        <v>0.69430289999999995</v>
      </c>
      <c r="Q2036">
        <v>4.4051609999999998E-2</v>
      </c>
      <c r="R2036">
        <v>-0.71833369999999996</v>
      </c>
      <c r="S2036">
        <v>1.6580349999999999</v>
      </c>
      <c r="T2036">
        <v>-0.1114728</v>
      </c>
      <c r="U2036">
        <v>-2.5827330000000002</v>
      </c>
      <c r="V2036">
        <v>0.24712490000000001</v>
      </c>
      <c r="W2036">
        <v>5.6231219999999998E-2</v>
      </c>
      <c r="X2036">
        <v>0.96735070000000001</v>
      </c>
      <c r="Y2036">
        <v>0.43254219999999999</v>
      </c>
      <c r="Z2036">
        <v>1.203502E-2</v>
      </c>
      <c r="AA2036">
        <v>0.90153340000000004</v>
      </c>
      <c r="AB2036">
        <v>15</v>
      </c>
      <c r="AC2036">
        <v>16.3324</v>
      </c>
      <c r="AD2036">
        <v>-1.1025801965340001</v>
      </c>
      <c r="AE2036">
        <v>-25.5003999999999</v>
      </c>
      <c r="AF2036">
        <v>13.109126742250201</v>
      </c>
      <c r="AG2036">
        <v>-1.1025801965340001</v>
      </c>
      <c r="AH2036">
        <v>27.253292390616899</v>
      </c>
      <c r="AI2036">
        <v>92.087983252440793</v>
      </c>
      <c r="AJ2036">
        <v>64.311945133191202</v>
      </c>
      <c r="AK2036">
        <v>30.262300526606101</v>
      </c>
      <c r="AL2036">
        <v>86.776488198331705</v>
      </c>
      <c r="AM2036">
        <v>75.669398728918694</v>
      </c>
      <c r="AN2036">
        <v>1.0000000215465901</v>
      </c>
    </row>
    <row r="2037" spans="1:40" x14ac:dyDescent="0.3">
      <c r="A2037" t="str">
        <f>"20200111145950211"</f>
        <v>20200111145950211</v>
      </c>
      <c r="B2037" t="str">
        <f>"1578725990207697"</f>
        <v>1578725990207697</v>
      </c>
      <c r="C2037" t="s">
        <v>40</v>
      </c>
      <c r="D2037">
        <v>4.3963979999999996</v>
      </c>
      <c r="E2037">
        <v>0.57321420000000001</v>
      </c>
      <c r="F2037" t="s">
        <v>42</v>
      </c>
      <c r="G2037">
        <v>-188.8612</v>
      </c>
      <c r="H2037" s="1">
        <v>-1.8067039999999999E-6</v>
      </c>
      <c r="I2037">
        <v>343.3734</v>
      </c>
      <c r="J2037">
        <v>-201.29220000000001</v>
      </c>
      <c r="K2037">
        <v>1.1025769999999999</v>
      </c>
      <c r="L2037">
        <v>362.81450000000001</v>
      </c>
      <c r="M2037">
        <v>0.84942700000000004</v>
      </c>
      <c r="N2037">
        <v>0</v>
      </c>
      <c r="O2037">
        <v>-0.52751700000000001</v>
      </c>
      <c r="P2037">
        <v>0.69254879999999996</v>
      </c>
      <c r="Q2037">
        <v>4.4355409999999998E-2</v>
      </c>
      <c r="R2037">
        <v>-0.72000620000000004</v>
      </c>
      <c r="S2037">
        <v>1.65687599999999</v>
      </c>
      <c r="T2037">
        <v>-0.14622249999999901</v>
      </c>
      <c r="U2037">
        <v>-2.583923</v>
      </c>
      <c r="V2037">
        <v>0.24663180000000001</v>
      </c>
      <c r="W2037">
        <v>5.6540180000000002E-2</v>
      </c>
      <c r="X2037">
        <v>0.9674585</v>
      </c>
      <c r="Y2037">
        <v>0.43039359999999999</v>
      </c>
      <c r="Z2037">
        <v>1.5966040000000001E-2</v>
      </c>
      <c r="AA2037">
        <v>0.90250010000000003</v>
      </c>
      <c r="AB2037">
        <v>15</v>
      </c>
      <c r="AC2037">
        <v>12.430999999999999</v>
      </c>
      <c r="AD2037">
        <v>-1.1025788067039901</v>
      </c>
      <c r="AE2037">
        <v>-19.441099999999999</v>
      </c>
      <c r="AF2037">
        <v>9.93454430616781</v>
      </c>
      <c r="AG2037">
        <v>-1.1025788067039901</v>
      </c>
      <c r="AH2037">
        <v>20.769398176285499</v>
      </c>
      <c r="AI2037">
        <v>92.741806585859393</v>
      </c>
      <c r="AJ2037">
        <v>64.436995285298906</v>
      </c>
      <c r="AK2037">
        <v>23.049484835919799</v>
      </c>
      <c r="AL2037">
        <v>86.758757794048506</v>
      </c>
      <c r="AM2037">
        <v>75.698347254012106</v>
      </c>
      <c r="AN2037">
        <v>0.99999999297396103</v>
      </c>
    </row>
    <row r="2038" spans="1:40" x14ac:dyDescent="0.3">
      <c r="A2038" t="str">
        <f>"20200111145950222"</f>
        <v>20200111145950222</v>
      </c>
      <c r="B2038" t="str">
        <f>"1578725990217457"</f>
        <v>1578725990217457</v>
      </c>
      <c r="C2038" t="s">
        <v>40</v>
      </c>
      <c r="D2038">
        <v>4.3776210000000004</v>
      </c>
      <c r="E2038">
        <v>0.57303729999999997</v>
      </c>
      <c r="F2038" t="s">
        <v>42</v>
      </c>
      <c r="G2038">
        <v>-189.03989999999999</v>
      </c>
      <c r="H2038" s="1">
        <v>-1.8885260000000001E-6</v>
      </c>
      <c r="I2038">
        <v>343.63799999999998</v>
      </c>
      <c r="J2038">
        <v>-201.22839999999999</v>
      </c>
      <c r="K2038">
        <v>1.102582</v>
      </c>
      <c r="L2038">
        <v>362.77089999999998</v>
      </c>
      <c r="M2038">
        <v>0.84784190000000004</v>
      </c>
      <c r="N2038">
        <v>0</v>
      </c>
      <c r="O2038">
        <v>-0.53006109999999995</v>
      </c>
      <c r="P2038">
        <v>0.69072579999999995</v>
      </c>
      <c r="Q2038">
        <v>4.4270129999999998E-2</v>
      </c>
      <c r="R2038">
        <v>-0.72176019999999996</v>
      </c>
      <c r="S2038">
        <v>1.6524509999999999</v>
      </c>
      <c r="T2038">
        <v>-0.14870259999999999</v>
      </c>
      <c r="U2038">
        <v>-2.5863040000000002</v>
      </c>
      <c r="V2038">
        <v>0.24618080000000001</v>
      </c>
      <c r="W2038">
        <v>5.6460690000000001E-2</v>
      </c>
      <c r="X2038">
        <v>0.96757800000000005</v>
      </c>
      <c r="Y2038">
        <v>0.42916520000000002</v>
      </c>
      <c r="Z2038">
        <v>1.6408309999999999E-2</v>
      </c>
      <c r="AA2038">
        <v>0.90307689999999996</v>
      </c>
      <c r="AB2038">
        <v>15</v>
      </c>
      <c r="AC2038">
        <v>12.188499999999999</v>
      </c>
      <c r="AD2038">
        <v>-1.102583888526</v>
      </c>
      <c r="AE2038">
        <v>-19.1328999999999</v>
      </c>
      <c r="AF2038">
        <v>9.7389914397047797</v>
      </c>
      <c r="AG2038">
        <v>-1.102583888526</v>
      </c>
      <c r="AH2038">
        <v>20.429308511755899</v>
      </c>
      <c r="AI2038">
        <v>92.789133474716905</v>
      </c>
      <c r="AJ2038">
        <v>64.512085150614496</v>
      </c>
      <c r="AK2038">
        <v>22.6587795735424</v>
      </c>
      <c r="AL2038">
        <v>86.763319516039203</v>
      </c>
      <c r="AM2038">
        <v>75.725120886062697</v>
      </c>
      <c r="AN2038">
        <v>0.99999999094395797</v>
      </c>
    </row>
    <row r="2039" spans="1:40" x14ac:dyDescent="0.3">
      <c r="A2039" t="str">
        <f>"20200111145950234"</f>
        <v>20200111145950234</v>
      </c>
      <c r="B2039" t="str">
        <f>"1578725990228193"</f>
        <v>1578725990228193</v>
      </c>
      <c r="C2039" t="s">
        <v>40</v>
      </c>
      <c r="D2039">
        <v>4.3778519999999999</v>
      </c>
      <c r="E2039">
        <v>0.57287080000000001</v>
      </c>
      <c r="F2039" t="s">
        <v>42</v>
      </c>
      <c r="G2039">
        <v>-189.1474</v>
      </c>
      <c r="H2039" s="1">
        <v>-1.9285670000000002E-6</v>
      </c>
      <c r="I2039">
        <v>343.7758</v>
      </c>
      <c r="J2039">
        <v>-201.1618</v>
      </c>
      <c r="K2039">
        <v>1.102587</v>
      </c>
      <c r="L2039">
        <v>362.72489999999999</v>
      </c>
      <c r="M2039">
        <v>0.84617330000000002</v>
      </c>
      <c r="N2039">
        <v>0</v>
      </c>
      <c r="O2039">
        <v>-0.53272089999999905</v>
      </c>
      <c r="P2039">
        <v>0.68882319999999997</v>
      </c>
      <c r="Q2039">
        <v>4.4017229999999997E-2</v>
      </c>
      <c r="R2039">
        <v>-0.72359200000000001</v>
      </c>
      <c r="S2039">
        <v>1.64700299999999</v>
      </c>
      <c r="T2039">
        <v>-0.1503148</v>
      </c>
      <c r="U2039">
        <v>-2.5895999999999999</v>
      </c>
      <c r="V2039">
        <v>0.24570049999999999</v>
      </c>
      <c r="W2039">
        <v>5.6213119999999998E-2</v>
      </c>
      <c r="X2039">
        <v>0.96771450000000003</v>
      </c>
      <c r="Y2039">
        <v>0.42820570000000002</v>
      </c>
      <c r="Z2039">
        <v>1.6758410000000001E-2</v>
      </c>
      <c r="AA2039">
        <v>0.90352589999999999</v>
      </c>
      <c r="AB2039">
        <v>15</v>
      </c>
      <c r="AC2039">
        <v>12.014399999999901</v>
      </c>
      <c r="AD2039">
        <v>-1.1025889285670001</v>
      </c>
      <c r="AE2039">
        <v>-18.949099999999898</v>
      </c>
      <c r="AF2039">
        <v>9.6116488133013593</v>
      </c>
      <c r="AG2039">
        <v>-1.1025889285670001</v>
      </c>
      <c r="AH2039">
        <v>20.214049068598499</v>
      </c>
      <c r="AI2039">
        <v>92.8201365228866</v>
      </c>
      <c r="AJ2039">
        <v>64.569216355105794</v>
      </c>
      <c r="AK2039">
        <v>22.409981593105801</v>
      </c>
      <c r="AL2039">
        <v>86.777526831901596</v>
      </c>
      <c r="AM2039">
        <v>75.753764082609095</v>
      </c>
      <c r="AN2039">
        <v>1.0000000020353099</v>
      </c>
    </row>
    <row r="2040" spans="1:40" x14ac:dyDescent="0.3">
      <c r="A2040" t="str">
        <f>"20200111145950245"</f>
        <v>20200111145950245</v>
      </c>
      <c r="B2040" t="str">
        <f>"1578725990237953"</f>
        <v>1578725990237953</v>
      </c>
      <c r="C2040" t="s">
        <v>40</v>
      </c>
      <c r="D2040">
        <v>4.368919</v>
      </c>
      <c r="E2040">
        <v>0.57274829999999999</v>
      </c>
      <c r="F2040" t="s">
        <v>42</v>
      </c>
      <c r="G2040">
        <v>-189.25489999999999</v>
      </c>
      <c r="H2040" s="1">
        <v>-1.9681139999999998E-6</v>
      </c>
      <c r="I2040">
        <v>343.91239999999999</v>
      </c>
      <c r="J2040">
        <v>-201.0934</v>
      </c>
      <c r="K2040">
        <v>1.102595</v>
      </c>
      <c r="L2040">
        <v>362.67739999999998</v>
      </c>
      <c r="M2040">
        <v>0.84445029999999999</v>
      </c>
      <c r="N2040">
        <v>0</v>
      </c>
      <c r="O2040">
        <v>-0.53544809999999998</v>
      </c>
      <c r="P2040">
        <v>0.68670010000000004</v>
      </c>
      <c r="Q2040">
        <v>4.388036E-2</v>
      </c>
      <c r="R2040">
        <v>-0.72561529999999996</v>
      </c>
      <c r="S2040">
        <v>1.6411439999999999</v>
      </c>
      <c r="T2040">
        <v>-0.1519722</v>
      </c>
      <c r="U2040">
        <v>-2.5929570000000002</v>
      </c>
      <c r="V2040">
        <v>0.24541869999999999</v>
      </c>
      <c r="W2040">
        <v>5.6079820000000002E-2</v>
      </c>
      <c r="X2040">
        <v>0.96779380000000004</v>
      </c>
      <c r="Y2040">
        <v>0.4272804</v>
      </c>
      <c r="Z2040">
        <v>1.712116E-2</v>
      </c>
      <c r="AA2040">
        <v>0.90395700000000001</v>
      </c>
      <c r="AB2040">
        <v>15</v>
      </c>
      <c r="AC2040">
        <v>11.8385</v>
      </c>
      <c r="AD2040">
        <v>-1.102596968114</v>
      </c>
      <c r="AE2040">
        <v>-18.764999999999901</v>
      </c>
      <c r="AF2040">
        <v>9.4847303337928803</v>
      </c>
      <c r="AG2040">
        <v>-1.102596968114</v>
      </c>
      <c r="AH2040">
        <v>19.9973181960634</v>
      </c>
      <c r="AI2040">
        <v>92.851988149862393</v>
      </c>
      <c r="AJ2040">
        <v>64.625009106151595</v>
      </c>
      <c r="AK2040">
        <v>22.1600668909973</v>
      </c>
      <c r="AL2040">
        <v>86.785176618928602</v>
      </c>
      <c r="AM2040">
        <v>75.770558047973793</v>
      </c>
      <c r="AN2040">
        <v>1.0000000619196701</v>
      </c>
    </row>
    <row r="2041" spans="1:40" x14ac:dyDescent="0.3">
      <c r="A2041" t="str">
        <f>"20200111145950258"</f>
        <v>20200111145950258</v>
      </c>
      <c r="B2041" t="str">
        <f>"1578725990247713"</f>
        <v>1578725990247713</v>
      </c>
      <c r="C2041" t="s">
        <v>40</v>
      </c>
      <c r="D2041">
        <v>4.3077779999999999</v>
      </c>
      <c r="E2041">
        <v>0.57269749999999997</v>
      </c>
      <c r="F2041" t="s">
        <v>42</v>
      </c>
      <c r="G2041">
        <v>-189.14349999999999</v>
      </c>
      <c r="H2041" s="1">
        <v>-1.8925230000000001E-6</v>
      </c>
      <c r="I2041">
        <v>343.6902</v>
      </c>
      <c r="J2041">
        <v>-201.0224</v>
      </c>
      <c r="K2041">
        <v>1.1026</v>
      </c>
      <c r="L2041">
        <v>362.62779999999998</v>
      </c>
      <c r="M2041">
        <v>0.84264789999999901</v>
      </c>
      <c r="N2041">
        <v>0</v>
      </c>
      <c r="O2041">
        <v>-0.53828019999999999</v>
      </c>
      <c r="P2041">
        <v>0.68472650000000002</v>
      </c>
      <c r="Q2041">
        <v>4.3717279999999997E-2</v>
      </c>
      <c r="R2041">
        <v>-0.72748769999999996</v>
      </c>
      <c r="S2041">
        <v>1.634369</v>
      </c>
      <c r="T2041">
        <v>-0.15080060000000001</v>
      </c>
      <c r="U2041">
        <v>-2.5968629999999999</v>
      </c>
      <c r="V2041">
        <v>0.2448043</v>
      </c>
      <c r="W2041">
        <v>5.5923670000000002E-2</v>
      </c>
      <c r="X2041">
        <v>0.9679584</v>
      </c>
      <c r="Y2041">
        <v>0.42654890000000001</v>
      </c>
      <c r="Z2041">
        <v>1.716759E-2</v>
      </c>
      <c r="AA2041">
        <v>0.90430149999999998</v>
      </c>
      <c r="AB2041">
        <v>15</v>
      </c>
      <c r="AC2041">
        <v>11.8789</v>
      </c>
      <c r="AD2041">
        <v>-1.1026018925229999</v>
      </c>
      <c r="AE2041">
        <v>-18.9375999999999</v>
      </c>
      <c r="AF2041">
        <v>9.5412923318638594</v>
      </c>
      <c r="AG2041">
        <v>-1.1026018925229999</v>
      </c>
      <c r="AH2041">
        <v>20.156440202969499</v>
      </c>
      <c r="AI2041">
        <v>92.830548586768501</v>
      </c>
      <c r="AJ2041">
        <v>64.668905257867905</v>
      </c>
      <c r="AK2041">
        <v>22.327876566108198</v>
      </c>
      <c r="AL2041">
        <v>86.794137324458504</v>
      </c>
      <c r="AM2041">
        <v>75.807055814238794</v>
      </c>
      <c r="AN2041">
        <v>1.00000003314765</v>
      </c>
    </row>
    <row r="2042" spans="1:40" x14ac:dyDescent="0.3">
      <c r="A2042" t="str">
        <f>"20200111145950271"</f>
        <v>20200111145950271</v>
      </c>
      <c r="B2042" t="str">
        <f>"1578725990268209"</f>
        <v>1578725990268209</v>
      </c>
      <c r="C2042" t="s">
        <v>40</v>
      </c>
      <c r="D2042">
        <v>4.339944</v>
      </c>
      <c r="E2042">
        <v>0.57242409999999999</v>
      </c>
      <c r="F2042" t="s">
        <v>42</v>
      </c>
      <c r="G2042">
        <v>-189.40430000000001</v>
      </c>
      <c r="H2042" s="1">
        <v>-2.0039910000000002E-6</v>
      </c>
      <c r="I2042">
        <v>344.05779999999999</v>
      </c>
      <c r="J2042">
        <v>-200.95500000000001</v>
      </c>
      <c r="K2042">
        <v>1.1026039999999999</v>
      </c>
      <c r="L2042">
        <v>362.58019999999999</v>
      </c>
      <c r="M2042">
        <v>0.84092219999999995</v>
      </c>
      <c r="N2042">
        <v>0</v>
      </c>
      <c r="O2042">
        <v>-0.54097229999999996</v>
      </c>
      <c r="P2042">
        <v>0.68277980000000005</v>
      </c>
      <c r="Q2042">
        <v>4.3799520000000002E-2</v>
      </c>
      <c r="R2042">
        <v>-0.72931069999999998</v>
      </c>
      <c r="S2042">
        <v>1.627472</v>
      </c>
      <c r="T2042">
        <v>-0.15445309999999901</v>
      </c>
      <c r="U2042">
        <v>-2.6012879999999998</v>
      </c>
      <c r="V2042">
        <v>0.24429100000000001</v>
      </c>
      <c r="W2042">
        <v>5.6012220000000001E-2</v>
      </c>
      <c r="X2042">
        <v>0.96808289999999997</v>
      </c>
      <c r="Y2042">
        <v>0.42607689999999998</v>
      </c>
      <c r="Z2042">
        <v>1.7748659999999999E-2</v>
      </c>
      <c r="AA2042">
        <v>0.90451280000000001</v>
      </c>
      <c r="AB2042">
        <v>15</v>
      </c>
      <c r="AC2042">
        <v>11.550700000000001</v>
      </c>
      <c r="AD2042">
        <v>-1.1026060039909999</v>
      </c>
      <c r="AE2042">
        <v>-18.522400000000001</v>
      </c>
      <c r="AF2042">
        <v>9.3044764938715492</v>
      </c>
      <c r="AG2042">
        <v>-1.1026060039909999</v>
      </c>
      <c r="AH2042">
        <v>19.6850827636034</v>
      </c>
      <c r="AI2042">
        <v>92.899000420952206</v>
      </c>
      <c r="AJ2042">
        <v>64.701473831198797</v>
      </c>
      <c r="AK2042">
        <v>21.801181303657799</v>
      </c>
      <c r="AL2042">
        <v>86.789055652000002</v>
      </c>
      <c r="AM2042">
        <v>75.837364605994594</v>
      </c>
      <c r="AN2042">
        <v>0.99999998137136803</v>
      </c>
    </row>
    <row r="2043" spans="1:40" x14ac:dyDescent="0.3">
      <c r="A2043" t="str">
        <f>"20200111145950283"</f>
        <v>20200111145950283</v>
      </c>
      <c r="B2043" t="str">
        <f>"1578725990277971"</f>
        <v>1578725990277971</v>
      </c>
      <c r="C2043" t="s">
        <v>40</v>
      </c>
      <c r="D2043">
        <v>4.320309</v>
      </c>
      <c r="E2043">
        <v>0.57234030000000002</v>
      </c>
      <c r="F2043" t="s">
        <v>42</v>
      </c>
      <c r="G2043">
        <v>-189.79259999999999</v>
      </c>
      <c r="H2043" s="1">
        <v>-2.1924969999999999E-6</v>
      </c>
      <c r="I2043">
        <v>344.65780000000001</v>
      </c>
      <c r="J2043">
        <v>-200.88300000000001</v>
      </c>
      <c r="K2043">
        <v>1.1026129999999901</v>
      </c>
      <c r="L2043">
        <v>362.5292</v>
      </c>
      <c r="M2043">
        <v>0.83906809999999998</v>
      </c>
      <c r="N2043">
        <v>0</v>
      </c>
      <c r="O2043">
        <v>-0.54384350000000004</v>
      </c>
      <c r="P2043">
        <v>0.68085369999999901</v>
      </c>
      <c r="Q2043">
        <v>4.3750400000000002E-2</v>
      </c>
      <c r="R2043">
        <v>-0.73111199999999998</v>
      </c>
      <c r="S2043">
        <v>1.622101</v>
      </c>
      <c r="T2043">
        <v>-0.16022910000000001</v>
      </c>
      <c r="U2043">
        <v>-2.6044619999999998</v>
      </c>
      <c r="V2043">
        <v>0.243536</v>
      </c>
      <c r="W2043">
        <v>5.5971260000000002E-2</v>
      </c>
      <c r="X2043">
        <v>0.96827549999999996</v>
      </c>
      <c r="Y2043">
        <v>0.42483149999999997</v>
      </c>
      <c r="Z2043">
        <v>1.8615199999999998E-2</v>
      </c>
      <c r="AA2043">
        <v>0.90508100000000002</v>
      </c>
      <c r="AB2043">
        <v>15</v>
      </c>
      <c r="AC2043">
        <v>11.090399999999899</v>
      </c>
      <c r="AD2043">
        <v>-1.10261519249699</v>
      </c>
      <c r="AE2043">
        <v>-17.871399999999898</v>
      </c>
      <c r="AF2043">
        <v>8.9402021197559005</v>
      </c>
      <c r="AG2043">
        <v>-1.10261519249699</v>
      </c>
      <c r="AH2043">
        <v>18.974592551968399</v>
      </c>
      <c r="AI2043">
        <v>93.009118429078995</v>
      </c>
      <c r="AJ2043">
        <v>64.771733116456502</v>
      </c>
      <c r="AK2043">
        <v>21.0042409222049</v>
      </c>
      <c r="AL2043">
        <v>86.791406249114004</v>
      </c>
      <c r="AM2043">
        <v>75.882078217317002</v>
      </c>
      <c r="AN2043">
        <v>1.0000000045711099</v>
      </c>
    </row>
    <row r="2044" spans="1:40" x14ac:dyDescent="0.3">
      <c r="A2044" t="str">
        <f>"20200111145950295"</f>
        <v>20200111145950295</v>
      </c>
      <c r="B2044" t="str">
        <f>"1578725990287729"</f>
        <v>1578725990287729</v>
      </c>
      <c r="C2044" t="s">
        <v>40</v>
      </c>
      <c r="D2044">
        <v>4.2652299999999999</v>
      </c>
      <c r="E2044">
        <v>0.57208149999999902</v>
      </c>
      <c r="F2044" t="s">
        <v>42</v>
      </c>
      <c r="G2044">
        <v>-189.66749999999999</v>
      </c>
      <c r="H2044" s="1">
        <v>-2.1122209999999998E-6</v>
      </c>
      <c r="I2044">
        <v>344.41890000000001</v>
      </c>
      <c r="J2044">
        <v>-200.8116</v>
      </c>
      <c r="K2044">
        <v>1.1026180000000001</v>
      </c>
      <c r="L2044">
        <v>362.47809999999998</v>
      </c>
      <c r="M2044">
        <v>0.83721319999999999</v>
      </c>
      <c r="N2044">
        <v>0</v>
      </c>
      <c r="O2044">
        <v>-0.54669499999999904</v>
      </c>
      <c r="P2044">
        <v>0.67870149999999996</v>
      </c>
      <c r="Q2044">
        <v>4.3742459999999997E-2</v>
      </c>
      <c r="R2044">
        <v>-0.7331105</v>
      </c>
      <c r="S2044">
        <v>1.6154170000000001</v>
      </c>
      <c r="T2044">
        <v>-0.15881400000000001</v>
      </c>
      <c r="U2044">
        <v>-2.6084900000000002</v>
      </c>
      <c r="V2044">
        <v>0.24308740000000001</v>
      </c>
      <c r="W2044">
        <v>5.5968410000000003E-2</v>
      </c>
      <c r="X2044">
        <v>0.96838840000000004</v>
      </c>
      <c r="Y2044">
        <v>0.42405530000000002</v>
      </c>
      <c r="Z2044">
        <v>1.864E-2</v>
      </c>
      <c r="AA2044">
        <v>0.90544440000000004</v>
      </c>
      <c r="AB2044">
        <v>15</v>
      </c>
      <c r="AC2044">
        <v>11.1441</v>
      </c>
      <c r="AD2044">
        <v>-1.102620112221</v>
      </c>
      <c r="AE2044">
        <v>-18.059199999999901</v>
      </c>
      <c r="AF2044">
        <v>9.0035660758394496</v>
      </c>
      <c r="AG2044">
        <v>-1.102620112221</v>
      </c>
      <c r="AH2044">
        <v>19.153060765517299</v>
      </c>
      <c r="AI2044">
        <v>92.982384403872601</v>
      </c>
      <c r="AJ2044">
        <v>64.822487840239702</v>
      </c>
      <c r="AK2044">
        <v>21.192444641463101</v>
      </c>
      <c r="AL2044">
        <v>86.791569848348502</v>
      </c>
      <c r="AM2044">
        <v>75.908624211387902</v>
      </c>
      <c r="AN2044">
        <v>1.0000000201056201</v>
      </c>
    </row>
    <row r="2045" spans="1:40" x14ac:dyDescent="0.3">
      <c r="A2045" t="str">
        <f>"20200111145950310"</f>
        <v>20200111145950310</v>
      </c>
      <c r="B2045" t="str">
        <f>"1578725990307249"</f>
        <v>1578725990307249</v>
      </c>
      <c r="C2045" t="s">
        <v>40</v>
      </c>
      <c r="D2045">
        <v>4.2917690000000004</v>
      </c>
      <c r="E2045">
        <v>0.5717354</v>
      </c>
      <c r="F2045" t="s">
        <v>42</v>
      </c>
      <c r="G2045">
        <v>-189.95959999999999</v>
      </c>
      <c r="H2045" s="1">
        <v>-2.2515150000000002E-6</v>
      </c>
      <c r="I2045">
        <v>344.86250000000001</v>
      </c>
      <c r="J2045">
        <v>-200.73429999999999</v>
      </c>
      <c r="K2045">
        <v>1.102625</v>
      </c>
      <c r="L2045">
        <v>362.42250000000001</v>
      </c>
      <c r="M2045">
        <v>0.83519140000000003</v>
      </c>
      <c r="N2045">
        <v>0</v>
      </c>
      <c r="O2045">
        <v>-0.54977880000000001</v>
      </c>
      <c r="P2045">
        <v>0.67662469999999997</v>
      </c>
      <c r="Q2045">
        <v>4.3432819999999997E-2</v>
      </c>
      <c r="R2045">
        <v>-0.73504609999999904</v>
      </c>
      <c r="S2045">
        <v>1.6092070000000001</v>
      </c>
      <c r="T2045">
        <v>-0.16350479999999901</v>
      </c>
      <c r="U2045">
        <v>-2.6121829999999999</v>
      </c>
      <c r="V2045">
        <v>0.2422677</v>
      </c>
      <c r="W2045">
        <v>5.5668479999999999E-2</v>
      </c>
      <c r="X2045">
        <v>0.96861109999999995</v>
      </c>
      <c r="Y2045">
        <v>0.4228557</v>
      </c>
      <c r="Z2045">
        <v>1.9409320000000001E-2</v>
      </c>
      <c r="AA2045">
        <v>0.90598909999999999</v>
      </c>
      <c r="AB2045">
        <v>15</v>
      </c>
      <c r="AC2045">
        <v>10.7746999999999</v>
      </c>
      <c r="AD2045">
        <v>-1.102627251515</v>
      </c>
      <c r="AE2045">
        <v>-17.559999999999999</v>
      </c>
      <c r="AF2045">
        <v>8.7181553105376395</v>
      </c>
      <c r="AG2045">
        <v>-1.102627251515</v>
      </c>
      <c r="AH2045">
        <v>18.601622566042799</v>
      </c>
      <c r="AI2045">
        <v>93.072309202167503</v>
      </c>
      <c r="AJ2045">
        <v>64.888587637368403</v>
      </c>
      <c r="AK2045">
        <v>20.572855440214301</v>
      </c>
      <c r="AL2045">
        <v>86.808781470572896</v>
      </c>
      <c r="AM2045">
        <v>75.957358496677102</v>
      </c>
      <c r="AN2045">
        <v>1.0000000405859999</v>
      </c>
    </row>
    <row r="2046" spans="1:40" x14ac:dyDescent="0.3">
      <c r="A2046" t="str">
        <f>"20200111145950323"</f>
        <v>20200111145950323</v>
      </c>
      <c r="B2046" t="str">
        <f>"1578725990317985"</f>
        <v>1578725990317985</v>
      </c>
      <c r="C2046" t="s">
        <v>40</v>
      </c>
      <c r="D2046">
        <v>4.256087</v>
      </c>
      <c r="E2046">
        <v>0.57151819999999998</v>
      </c>
      <c r="F2046" t="s">
        <v>42</v>
      </c>
      <c r="G2046">
        <v>-189.7261</v>
      </c>
      <c r="H2046" s="1">
        <v>-2.1251479999999998E-6</v>
      </c>
      <c r="I2046">
        <v>344.47329999999999</v>
      </c>
      <c r="J2046">
        <v>-200.66499999999999</v>
      </c>
      <c r="K2046">
        <v>1.1026309999999999</v>
      </c>
      <c r="L2046">
        <v>362.3723</v>
      </c>
      <c r="M2046">
        <v>0.83336309999999902</v>
      </c>
      <c r="N2046">
        <v>0</v>
      </c>
      <c r="O2046">
        <v>-0.55254630000000005</v>
      </c>
      <c r="P2046">
        <v>0.67465149999999996</v>
      </c>
      <c r="Q2046">
        <v>4.3189690000000003E-2</v>
      </c>
      <c r="R2046">
        <v>-0.73687190000000002</v>
      </c>
      <c r="S2046">
        <v>1.603607</v>
      </c>
      <c r="T2046">
        <v>-0.16062279999999901</v>
      </c>
      <c r="U2046">
        <v>-2.614716</v>
      </c>
      <c r="V2046">
        <v>0.24166070000000001</v>
      </c>
      <c r="W2046">
        <v>5.5432330000000002E-2</v>
      </c>
      <c r="X2046">
        <v>0.96877619999999998</v>
      </c>
      <c r="Y2046">
        <v>0.42165069999999999</v>
      </c>
      <c r="Z2046">
        <v>1.9269020000000001E-2</v>
      </c>
      <c r="AA2046">
        <v>0.90655359999999996</v>
      </c>
      <c r="AB2046">
        <v>15</v>
      </c>
      <c r="AC2046">
        <v>10.938899999999901</v>
      </c>
      <c r="AD2046">
        <v>-1.1026331251479999</v>
      </c>
      <c r="AE2046">
        <v>-17.899000000000001</v>
      </c>
      <c r="AF2046">
        <v>8.8485499532560503</v>
      </c>
      <c r="AG2046">
        <v>-1.1026331251479999</v>
      </c>
      <c r="AH2046">
        <v>18.955614972167599</v>
      </c>
      <c r="AI2046">
        <v>93.017221951999005</v>
      </c>
      <c r="AJ2046">
        <v>64.976662623038095</v>
      </c>
      <c r="AK2046">
        <v>20.948221286233501</v>
      </c>
      <c r="AL2046">
        <v>86.822332604964103</v>
      </c>
      <c r="AM2046">
        <v>75.993448484425599</v>
      </c>
      <c r="AN2046">
        <v>0.99999998141007895</v>
      </c>
    </row>
    <row r="2047" spans="1:40" x14ac:dyDescent="0.3">
      <c r="A2047" t="str">
        <f>"20200111145950334"</f>
        <v>20200111145950334</v>
      </c>
      <c r="B2047" t="str">
        <f>"1578725990327278"</f>
        <v>1578725990327278</v>
      </c>
      <c r="C2047" t="s">
        <v>40</v>
      </c>
      <c r="D2047">
        <v>4.3141889999999998</v>
      </c>
      <c r="E2047">
        <v>0.57111979999999996</v>
      </c>
      <c r="F2047" t="s">
        <v>42</v>
      </c>
      <c r="G2047">
        <v>-189.59989999999999</v>
      </c>
      <c r="H2047" s="1">
        <v>-2.0535490000000002E-6</v>
      </c>
      <c r="I2047">
        <v>344.25420000000003</v>
      </c>
      <c r="J2047">
        <v>-200.60059999999999</v>
      </c>
      <c r="K2047">
        <v>1.102638</v>
      </c>
      <c r="L2047">
        <v>362.32530000000003</v>
      </c>
      <c r="M2047">
        <v>0.83165230000000001</v>
      </c>
      <c r="N2047">
        <v>0</v>
      </c>
      <c r="O2047">
        <v>-0.55511769999999905</v>
      </c>
      <c r="P2047">
        <v>0.67255989999999999</v>
      </c>
      <c r="Q2047">
        <v>4.3171260000000003E-2</v>
      </c>
      <c r="R2047">
        <v>-0.73878259999999996</v>
      </c>
      <c r="S2047">
        <v>1.5983579999999999</v>
      </c>
      <c r="T2047">
        <v>-0.15927549999999999</v>
      </c>
      <c r="U2047">
        <v>-2.6171570000000002</v>
      </c>
      <c r="V2047">
        <v>0.2414143</v>
      </c>
      <c r="W2047">
        <v>5.5417090000000002E-2</v>
      </c>
      <c r="X2047">
        <v>0.96883850000000005</v>
      </c>
      <c r="Y2047">
        <v>0.42055169999999997</v>
      </c>
      <c r="Z2047">
        <v>1.9292210000000001E-2</v>
      </c>
      <c r="AA2047">
        <v>0.90706339999999996</v>
      </c>
      <c r="AB2047">
        <v>15</v>
      </c>
      <c r="AC2047">
        <v>11.000699999999901</v>
      </c>
      <c r="AD2047">
        <v>-1.102640053549</v>
      </c>
      <c r="AE2047">
        <v>-18.071100000000001</v>
      </c>
      <c r="AF2047">
        <v>8.8989024040450193</v>
      </c>
      <c r="AG2047">
        <v>-1.102640053549</v>
      </c>
      <c r="AH2047">
        <v>19.130285772937999</v>
      </c>
      <c r="AI2047">
        <v>92.991604969622202</v>
      </c>
      <c r="AJ2047">
        <v>65.053398362575507</v>
      </c>
      <c r="AK2047">
        <v>21.127567603457798</v>
      </c>
      <c r="AL2047">
        <v>86.823207127979202</v>
      </c>
      <c r="AM2047">
        <v>76.008032773484004</v>
      </c>
      <c r="AN2047">
        <v>0.99999997859540302</v>
      </c>
    </row>
    <row r="2048" spans="1:40" x14ac:dyDescent="0.3">
      <c r="A2048" t="str">
        <f>"20200111145950345"</f>
        <v>20200111145950345</v>
      </c>
      <c r="B2048" t="str">
        <f>"1578725990338013"</f>
        <v>1578725990338013</v>
      </c>
      <c r="C2048" t="s">
        <v>40</v>
      </c>
      <c r="D2048">
        <v>4.2622499999999999</v>
      </c>
      <c r="E2048">
        <v>0.57094219999999996</v>
      </c>
      <c r="F2048" t="s">
        <v>42</v>
      </c>
      <c r="G2048">
        <v>-189.64570000000001</v>
      </c>
      <c r="H2048" s="1">
        <v>-2.0660729999999999E-6</v>
      </c>
      <c r="I2048">
        <v>344.3023</v>
      </c>
      <c r="J2048">
        <v>-200.53899999999999</v>
      </c>
      <c r="K2048">
        <v>1.1026419999999999</v>
      </c>
      <c r="L2048">
        <v>362.28</v>
      </c>
      <c r="M2048">
        <v>0.83000569999999896</v>
      </c>
      <c r="N2048">
        <v>0</v>
      </c>
      <c r="O2048">
        <v>-0.55757699999999999</v>
      </c>
      <c r="P2048">
        <v>0.67072600000000004</v>
      </c>
      <c r="Q2048">
        <v>4.3554519999999999E-2</v>
      </c>
      <c r="R2048">
        <v>-0.74042540000000001</v>
      </c>
      <c r="S2048">
        <v>1.5926359999999999</v>
      </c>
      <c r="T2048">
        <v>-0.16030229999999901</v>
      </c>
      <c r="U2048">
        <v>-2.6201780000000001</v>
      </c>
      <c r="V2048">
        <v>0.24093129999999999</v>
      </c>
      <c r="W2048">
        <v>5.5805590000000002E-2</v>
      </c>
      <c r="X2048">
        <v>0.96893640000000003</v>
      </c>
      <c r="Y2048">
        <v>0.4197806</v>
      </c>
      <c r="Z2048">
        <v>1.958557E-2</v>
      </c>
      <c r="AA2048">
        <v>0.90741430000000001</v>
      </c>
      <c r="AB2048">
        <v>15</v>
      </c>
      <c r="AC2048">
        <v>10.8933</v>
      </c>
      <c r="AD2048">
        <v>-1.1026440660729999</v>
      </c>
      <c r="AE2048">
        <v>-17.977699999999899</v>
      </c>
      <c r="AF2048">
        <v>8.8243368927579091</v>
      </c>
      <c r="AG2048">
        <v>-1.1026440660729999</v>
      </c>
      <c r="AH2048">
        <v>19.015023333578402</v>
      </c>
      <c r="AI2048">
        <v>93.010981710471697</v>
      </c>
      <c r="AJ2048">
        <v>65.105312966635594</v>
      </c>
      <c r="AK2048">
        <v>20.991804541531501</v>
      </c>
      <c r="AL2048">
        <v>86.800913129346497</v>
      </c>
      <c r="AM2048">
        <v>76.036285810898704</v>
      </c>
      <c r="AN2048">
        <v>0.999999951219947</v>
      </c>
    </row>
    <row r="2049" spans="1:40" x14ac:dyDescent="0.3">
      <c r="A2049" t="str">
        <f>"20200111145950356"</f>
        <v>20200111145950356</v>
      </c>
      <c r="B2049" t="str">
        <f>"1578725990347774"</f>
        <v>1578725990347774</v>
      </c>
      <c r="C2049" t="s">
        <v>40</v>
      </c>
      <c r="D2049">
        <v>4.2192749999999997</v>
      </c>
      <c r="E2049">
        <v>0.57073909999999906</v>
      </c>
      <c r="F2049" t="s">
        <v>42</v>
      </c>
      <c r="G2049">
        <v>-189.4075</v>
      </c>
      <c r="H2049" s="1">
        <v>-1.9294370000000001E-6</v>
      </c>
      <c r="I2049">
        <v>343.88529999999997</v>
      </c>
      <c r="J2049">
        <v>-200.47569999999999</v>
      </c>
      <c r="K2049">
        <v>1.102651</v>
      </c>
      <c r="L2049">
        <v>362.23320000000001</v>
      </c>
      <c r="M2049">
        <v>0.82829889999999995</v>
      </c>
      <c r="N2049">
        <v>0</v>
      </c>
      <c r="O2049">
        <v>-0.56010909999999903</v>
      </c>
      <c r="P2049">
        <v>0.66866199999999998</v>
      </c>
      <c r="Q2049">
        <v>4.3760880000000002E-2</v>
      </c>
      <c r="R2049">
        <v>-0.74227790000000005</v>
      </c>
      <c r="S2049">
        <v>1.5873409999999999</v>
      </c>
      <c r="T2049">
        <v>-0.1572354</v>
      </c>
      <c r="U2049">
        <v>-2.6230470000000001</v>
      </c>
      <c r="V2049">
        <v>0.24065990000000001</v>
      </c>
      <c r="W2049">
        <v>5.6016030000000001E-2</v>
      </c>
      <c r="X2049">
        <v>0.96899179999999996</v>
      </c>
      <c r="Y2049">
        <v>0.41878840000000001</v>
      </c>
      <c r="Z2049">
        <v>1.9386629999999998E-2</v>
      </c>
      <c r="AA2049">
        <v>0.90787689999999999</v>
      </c>
      <c r="AB2049">
        <v>15</v>
      </c>
      <c r="AC2049">
        <v>11.0681999999999</v>
      </c>
      <c r="AD2049">
        <v>-1.102652929437</v>
      </c>
      <c r="AE2049">
        <v>-18.347899999999999</v>
      </c>
      <c r="AF2049">
        <v>8.9752732955964607</v>
      </c>
      <c r="AG2049">
        <v>-1.102652929437</v>
      </c>
      <c r="AH2049">
        <v>19.395177048119901</v>
      </c>
      <c r="AI2049">
        <v>92.953571697182099</v>
      </c>
      <c r="AJ2049">
        <v>65.167282497258796</v>
      </c>
      <c r="AK2049">
        <v>21.399632402014799</v>
      </c>
      <c r="AL2049">
        <v>86.788837218836605</v>
      </c>
      <c r="AM2049">
        <v>76.052167251072305</v>
      </c>
      <c r="AN2049">
        <v>1.0000000457761</v>
      </c>
    </row>
    <row r="2050" spans="1:40" x14ac:dyDescent="0.3">
      <c r="A2050" t="str">
        <f>"20200111145950369"</f>
        <v>20200111145950369</v>
      </c>
      <c r="B2050" t="str">
        <f>"1578725990357534"</f>
        <v>1578725990357534</v>
      </c>
      <c r="C2050" t="s">
        <v>40</v>
      </c>
      <c r="D2050">
        <v>4.2173360000000004</v>
      </c>
      <c r="E2050">
        <v>0.57060889999999997</v>
      </c>
      <c r="F2050" t="s">
        <v>42</v>
      </c>
      <c r="G2050">
        <v>-189.2593</v>
      </c>
      <c r="H2050" s="1">
        <v>-1.8368459999999999E-6</v>
      </c>
      <c r="I2050">
        <v>343.60820000000001</v>
      </c>
      <c r="J2050">
        <v>-200.41300000000001</v>
      </c>
      <c r="K2050">
        <v>1.10266</v>
      </c>
      <c r="L2050">
        <v>362.18650000000002</v>
      </c>
      <c r="M2050">
        <v>0.82660069999999997</v>
      </c>
      <c r="N2050">
        <v>0</v>
      </c>
      <c r="O2050">
        <v>-0.56261269999999997</v>
      </c>
      <c r="P2050">
        <v>0.66648960000000002</v>
      </c>
      <c r="Q2050">
        <v>4.4243360000000002E-2</v>
      </c>
      <c r="R2050">
        <v>-0.74420019999999998</v>
      </c>
      <c r="S2050">
        <v>1.5814820000000001</v>
      </c>
      <c r="T2050">
        <v>-0.1554711</v>
      </c>
      <c r="U2050">
        <v>-2.6260680000000001</v>
      </c>
      <c r="V2050">
        <v>0.24053859999999999</v>
      </c>
      <c r="W2050">
        <v>5.6499710000000002E-2</v>
      </c>
      <c r="X2050">
        <v>0.96899380000000002</v>
      </c>
      <c r="Y2050">
        <v>0.41798950000000001</v>
      </c>
      <c r="Z2050">
        <v>1.933725E-2</v>
      </c>
      <c r="AA2050">
        <v>0.908246</v>
      </c>
      <c r="AB2050">
        <v>15</v>
      </c>
      <c r="AC2050">
        <v>11.153699999999899</v>
      </c>
      <c r="AD2050">
        <v>-1.1026618368459999</v>
      </c>
      <c r="AE2050">
        <v>-18.578299999999999</v>
      </c>
      <c r="AF2050">
        <v>9.0590654517872</v>
      </c>
      <c r="AG2050">
        <v>-1.1026618368459999</v>
      </c>
      <c r="AH2050">
        <v>19.623182054552402</v>
      </c>
      <c r="AI2050">
        <v>92.9205655955259</v>
      </c>
      <c r="AJ2050">
        <v>65.219534782163507</v>
      </c>
      <c r="AK2050">
        <v>21.641437196552101</v>
      </c>
      <c r="AL2050">
        <v>86.761080321616902</v>
      </c>
      <c r="AM2050">
        <v>76.058950769932395</v>
      </c>
      <c r="AN2050">
        <v>1.0000000098792401</v>
      </c>
    </row>
    <row r="2051" spans="1:40" x14ac:dyDescent="0.3">
      <c r="A2051" t="str">
        <f>"20200111145950380"</f>
        <v>20200111145950380</v>
      </c>
      <c r="B2051" t="str">
        <f>"1578725990378029"</f>
        <v>1578725990378029</v>
      </c>
      <c r="C2051" t="s">
        <v>40</v>
      </c>
      <c r="D2051">
        <v>4.2333699999999999</v>
      </c>
      <c r="E2051">
        <v>0.57047780000000003</v>
      </c>
      <c r="F2051" t="s">
        <v>42</v>
      </c>
      <c r="G2051">
        <v>-189.09950000000001</v>
      </c>
      <c r="H2051" s="1">
        <v>-1.7292549999999999E-6</v>
      </c>
      <c r="I2051">
        <v>343.29140000000001</v>
      </c>
      <c r="J2051">
        <v>-200.3451</v>
      </c>
      <c r="K2051">
        <v>1.1026689999999999</v>
      </c>
      <c r="L2051">
        <v>362.13569999999999</v>
      </c>
      <c r="M2051">
        <v>0.82474720000000001</v>
      </c>
      <c r="N2051">
        <v>0</v>
      </c>
      <c r="O2051">
        <v>-0.56532629999999995</v>
      </c>
      <c r="P2051">
        <v>0.66433069999999905</v>
      </c>
      <c r="Q2051">
        <v>4.4600260000000003E-2</v>
      </c>
      <c r="R2051">
        <v>-0.74610699999999996</v>
      </c>
      <c r="S2051">
        <v>1.574722</v>
      </c>
      <c r="T2051">
        <v>-0.1534789</v>
      </c>
      <c r="U2051">
        <v>-2.6300050000000001</v>
      </c>
      <c r="V2051">
        <v>0.24014479999999999</v>
      </c>
      <c r="W2051">
        <v>5.686153E-2</v>
      </c>
      <c r="X2051">
        <v>0.96907030000000005</v>
      </c>
      <c r="Y2051">
        <v>0.41732170000000002</v>
      </c>
      <c r="Z2051">
        <v>1.926245E-2</v>
      </c>
      <c r="AA2051">
        <v>0.90855469999999905</v>
      </c>
      <c r="AB2051">
        <v>15</v>
      </c>
      <c r="AC2051">
        <v>11.2455999999999</v>
      </c>
      <c r="AD2051">
        <v>-1.102670729255</v>
      </c>
      <c r="AE2051">
        <v>-18.844299999999901</v>
      </c>
      <c r="AF2051">
        <v>9.1621279004501108</v>
      </c>
      <c r="AG2051">
        <v>-1.102670729255</v>
      </c>
      <c r="AH2051">
        <v>19.8797381139035</v>
      </c>
      <c r="AI2051">
        <v>92.883808566962003</v>
      </c>
      <c r="AJ2051">
        <v>65.256077926815095</v>
      </c>
      <c r="AK2051">
        <v>21.917218297009001</v>
      </c>
      <c r="AL2051">
        <v>86.740316157293293</v>
      </c>
      <c r="AM2051">
        <v>76.081942430087807</v>
      </c>
      <c r="AN2051">
        <v>1.0000000024515301</v>
      </c>
    </row>
    <row r="2052" spans="1:40" x14ac:dyDescent="0.3">
      <c r="A2052" t="str">
        <f>"20200111145950392"</f>
        <v>20200111145950392</v>
      </c>
      <c r="B2052" t="str">
        <f>"1578725990387790"</f>
        <v>1578725990387790</v>
      </c>
      <c r="C2052" t="s">
        <v>40</v>
      </c>
      <c r="D2052">
        <v>4.1735769999999999</v>
      </c>
      <c r="E2052">
        <v>0.57031229999999999</v>
      </c>
      <c r="F2052" t="s">
        <v>42</v>
      </c>
      <c r="G2052">
        <v>-189.01320000000001</v>
      </c>
      <c r="H2052" s="1">
        <v>-1.660974E-6</v>
      </c>
      <c r="I2052">
        <v>343.09649999999999</v>
      </c>
      <c r="J2052">
        <v>-200.2773</v>
      </c>
      <c r="K2052">
        <v>1.102679</v>
      </c>
      <c r="L2052">
        <v>362.08449999999999</v>
      </c>
      <c r="M2052">
        <v>0.82288050000000001</v>
      </c>
      <c r="N2052">
        <v>0</v>
      </c>
      <c r="O2052">
        <v>-0.56803970000000004</v>
      </c>
      <c r="P2052">
        <v>0.66176840000000003</v>
      </c>
      <c r="Q2052">
        <v>4.4929230000000001E-2</v>
      </c>
      <c r="R2052">
        <v>-0.74836099999999905</v>
      </c>
      <c r="S2052">
        <v>1.567795</v>
      </c>
      <c r="T2052">
        <v>-0.15255750000000001</v>
      </c>
      <c r="U2052">
        <v>-2.634125</v>
      </c>
      <c r="V2052">
        <v>0.24026069999999999</v>
      </c>
      <c r="W2052">
        <v>5.7189549999999999E-2</v>
      </c>
      <c r="X2052">
        <v>0.9690223</v>
      </c>
      <c r="Y2052">
        <v>0.4167188</v>
      </c>
      <c r="Z2052">
        <v>1.9316489999999999E-2</v>
      </c>
      <c r="AA2052">
        <v>0.90883020000000003</v>
      </c>
      <c r="AB2052">
        <v>15</v>
      </c>
      <c r="AC2052">
        <v>11.2640999999999</v>
      </c>
      <c r="AD2052">
        <v>-1.1026806609739901</v>
      </c>
      <c r="AE2052">
        <v>-18.988</v>
      </c>
      <c r="AF2052">
        <v>9.2043544450135109</v>
      </c>
      <c r="AG2052">
        <v>-1.1026806609739901</v>
      </c>
      <c r="AH2052">
        <v>20.007029065317798</v>
      </c>
      <c r="AI2052">
        <v>92.866410471541897</v>
      </c>
      <c r="AJ2052">
        <v>65.294920014421095</v>
      </c>
      <c r="AK2052">
        <v>22.050334632608099</v>
      </c>
      <c r="AL2052">
        <v>86.721491463512393</v>
      </c>
      <c r="AM2052">
        <v>76.074823645186697</v>
      </c>
      <c r="AN2052">
        <v>1.0000000332454899</v>
      </c>
    </row>
    <row r="2053" spans="1:40" x14ac:dyDescent="0.3">
      <c r="A2053" t="str">
        <f>"20200111145950405"</f>
        <v>20200111145950405</v>
      </c>
      <c r="B2053" t="str">
        <f>"1578725990397549"</f>
        <v>1578725990397549</v>
      </c>
      <c r="C2053" t="s">
        <v>40</v>
      </c>
      <c r="D2053">
        <v>4.1896100000000001</v>
      </c>
      <c r="E2053">
        <v>0.57026560000000004</v>
      </c>
      <c r="F2053" t="s">
        <v>42</v>
      </c>
      <c r="G2053">
        <v>-189.25470000000001</v>
      </c>
      <c r="H2053" s="1">
        <v>-1.761568E-6</v>
      </c>
      <c r="I2053">
        <v>343.43090000000001</v>
      </c>
      <c r="J2053">
        <v>-200.21469999999999</v>
      </c>
      <c r="K2053">
        <v>1.1026860000000001</v>
      </c>
      <c r="L2053">
        <v>362.03699999999998</v>
      </c>
      <c r="M2053">
        <v>0.82114679999999995</v>
      </c>
      <c r="N2053">
        <v>0</v>
      </c>
      <c r="O2053">
        <v>-0.57054359999999904</v>
      </c>
      <c r="P2053">
        <v>0.65963209999999906</v>
      </c>
      <c r="Q2053">
        <v>4.5631989999999997E-2</v>
      </c>
      <c r="R2053">
        <v>-0.75020249999999999</v>
      </c>
      <c r="S2053">
        <v>1.5594939999999999</v>
      </c>
      <c r="T2053">
        <v>-0.15601029999999999</v>
      </c>
      <c r="U2053">
        <v>-2.63916</v>
      </c>
      <c r="V2053">
        <v>0.24004039999999999</v>
      </c>
      <c r="W2053">
        <v>5.7894569999999999E-2</v>
      </c>
      <c r="X2053">
        <v>0.96903499999999998</v>
      </c>
      <c r="Y2053">
        <v>0.4168345</v>
      </c>
      <c r="Z2053">
        <v>1.989606E-2</v>
      </c>
      <c r="AA2053">
        <v>0.90876469999999998</v>
      </c>
      <c r="AB2053">
        <v>15</v>
      </c>
      <c r="AC2053">
        <v>10.9599999999999</v>
      </c>
      <c r="AD2053">
        <v>-1.102687761568</v>
      </c>
      <c r="AE2053">
        <v>-18.606099999999898</v>
      </c>
      <c r="AF2053">
        <v>9.0026002637765501</v>
      </c>
      <c r="AG2053">
        <v>-1.102687761568</v>
      </c>
      <c r="AH2053">
        <v>19.566281809231501</v>
      </c>
      <c r="AI2053">
        <v>92.930828735633298</v>
      </c>
      <c r="AJ2053">
        <v>65.292468838303293</v>
      </c>
      <c r="AK2053">
        <v>21.566226272742401</v>
      </c>
      <c r="AL2053">
        <v>86.681029651498505</v>
      </c>
      <c r="AM2053">
        <v>76.087270939356301</v>
      </c>
      <c r="AN2053">
        <v>1.0000000030463201</v>
      </c>
    </row>
    <row r="2054" spans="1:40" x14ac:dyDescent="0.3">
      <c r="A2054" t="str">
        <f>"20200111145950417"</f>
        <v>20200111145950417</v>
      </c>
      <c r="B2054" t="str">
        <f>"1578725990407309"</f>
        <v>1578725990407309</v>
      </c>
      <c r="C2054" t="s">
        <v>40</v>
      </c>
      <c r="D2054">
        <v>4.1508129999999896</v>
      </c>
      <c r="E2054">
        <v>0.57016529999999999</v>
      </c>
      <c r="F2054" t="s">
        <v>42</v>
      </c>
      <c r="G2054">
        <v>-189.09020000000001</v>
      </c>
      <c r="H2054" s="1">
        <v>-1.6432199999999999E-6</v>
      </c>
      <c r="I2054">
        <v>343.08699999999999</v>
      </c>
      <c r="J2054">
        <v>-200.14840000000001</v>
      </c>
      <c r="K2054">
        <v>1.1026899999999999</v>
      </c>
      <c r="L2054">
        <v>361.9864</v>
      </c>
      <c r="M2054">
        <v>0.81929979999999902</v>
      </c>
      <c r="N2054">
        <v>0</v>
      </c>
      <c r="O2054">
        <v>-0.5731927</v>
      </c>
      <c r="P2054">
        <v>0.65730259999999996</v>
      </c>
      <c r="Q2054">
        <v>4.620167E-2</v>
      </c>
      <c r="R2054">
        <v>-0.75220940000000003</v>
      </c>
      <c r="S2054">
        <v>1.551971</v>
      </c>
      <c r="T2054">
        <v>-0.15383569999999999</v>
      </c>
      <c r="U2054">
        <v>-2.643707</v>
      </c>
      <c r="V2054">
        <v>0.2398894</v>
      </c>
      <c r="W2054">
        <v>5.8465799999999998E-2</v>
      </c>
      <c r="X2054">
        <v>0.96903810000000001</v>
      </c>
      <c r="Y2054">
        <v>0.41650399999999999</v>
      </c>
      <c r="Z2054">
        <v>1.9779399999999999E-2</v>
      </c>
      <c r="AA2054">
        <v>0.90891869999999997</v>
      </c>
      <c r="AB2054">
        <v>15</v>
      </c>
      <c r="AC2054">
        <v>11.058199999999999</v>
      </c>
      <c r="AD2054">
        <v>-1.10269164322</v>
      </c>
      <c r="AE2054">
        <v>-18.8994</v>
      </c>
      <c r="AF2054">
        <v>9.1235633705011701</v>
      </c>
      <c r="AG2054">
        <v>-1.10269164322</v>
      </c>
      <c r="AH2054">
        <v>19.844622970352599</v>
      </c>
      <c r="AI2054">
        <v>92.890193261921496</v>
      </c>
      <c r="AJ2054">
        <v>65.309398094909994</v>
      </c>
      <c r="AK2054">
        <v>21.8692569208701</v>
      </c>
      <c r="AL2054">
        <v>86.648245061140003</v>
      </c>
      <c r="AM2054">
        <v>76.095725958888394</v>
      </c>
      <c r="AN2054">
        <v>1.0000000066268</v>
      </c>
    </row>
    <row r="2055" spans="1:40" x14ac:dyDescent="0.3">
      <c r="A2055" t="str">
        <f>"20200111145950428"</f>
        <v>20200111145950428</v>
      </c>
      <c r="B2055" t="str">
        <f>"1578725990418045"</f>
        <v>1578725990418045</v>
      </c>
      <c r="C2055" t="s">
        <v>40</v>
      </c>
      <c r="D2055">
        <v>4.1680479999999998</v>
      </c>
      <c r="E2055">
        <v>0.57009989999999999</v>
      </c>
      <c r="F2055" t="s">
        <v>42</v>
      </c>
      <c r="G2055">
        <v>-188.9419</v>
      </c>
      <c r="H2055" s="1">
        <v>-1.53705099999999E-6</v>
      </c>
      <c r="I2055">
        <v>342.77820000000003</v>
      </c>
      <c r="J2055">
        <v>-200.09110000000001</v>
      </c>
      <c r="K2055">
        <v>1.102695</v>
      </c>
      <c r="L2055">
        <v>361.94220000000001</v>
      </c>
      <c r="M2055">
        <v>0.81768699999999905</v>
      </c>
      <c r="N2055">
        <v>0</v>
      </c>
      <c r="O2055">
        <v>-0.57549099999999997</v>
      </c>
      <c r="P2055">
        <v>0.65556700000000001</v>
      </c>
      <c r="Q2055">
        <v>4.7000189999999997E-2</v>
      </c>
      <c r="R2055">
        <v>-0.75367329999999999</v>
      </c>
      <c r="S2055">
        <v>1.5447390000000001</v>
      </c>
      <c r="T2055">
        <v>-0.15199760000000001</v>
      </c>
      <c r="U2055">
        <v>-2.6477050000000002</v>
      </c>
      <c r="V2055">
        <v>0.2393651</v>
      </c>
      <c r="W2055">
        <v>5.9269309999999999E-2</v>
      </c>
      <c r="X2055">
        <v>0.96911890000000001</v>
      </c>
      <c r="Y2055">
        <v>0.4164003</v>
      </c>
      <c r="Z2055">
        <v>1.967843E-2</v>
      </c>
      <c r="AA2055">
        <v>0.90896840000000001</v>
      </c>
      <c r="AB2055">
        <v>15</v>
      </c>
      <c r="AC2055">
        <v>11.1492</v>
      </c>
      <c r="AD2055">
        <v>-1.102696537051</v>
      </c>
      <c r="AE2055">
        <v>-19.163999999999898</v>
      </c>
      <c r="AF2055">
        <v>9.2319696961043896</v>
      </c>
      <c r="AG2055">
        <v>-1.102696537051</v>
      </c>
      <c r="AH2055">
        <v>20.097547275741899</v>
      </c>
      <c r="AI2055">
        <v>92.8543174742518</v>
      </c>
      <c r="AJ2055">
        <v>65.327935582790801</v>
      </c>
      <c r="AK2055">
        <v>22.143997169058999</v>
      </c>
      <c r="AL2055">
        <v>86.602127234270597</v>
      </c>
      <c r="AM2055">
        <v>76.126051700330095</v>
      </c>
      <c r="AN2055">
        <v>0.99999997227154702</v>
      </c>
    </row>
    <row r="2056" spans="1:40" x14ac:dyDescent="0.3">
      <c r="A2056" t="str">
        <f>"20200111145950445"</f>
        <v>20200111145950445</v>
      </c>
      <c r="B2056" t="str">
        <f>"1578725990437565"</f>
        <v>1578725990437565</v>
      </c>
      <c r="C2056" t="s">
        <v>40</v>
      </c>
      <c r="D2056">
        <v>4.2008929999999998</v>
      </c>
      <c r="E2056">
        <v>0.57000620000000002</v>
      </c>
      <c r="F2056" t="s">
        <v>42</v>
      </c>
      <c r="G2056">
        <v>-188.7141</v>
      </c>
      <c r="H2056" s="1">
        <v>-1.394219E-6</v>
      </c>
      <c r="I2056">
        <v>342.351</v>
      </c>
      <c r="J2056">
        <v>-199.9982</v>
      </c>
      <c r="K2056">
        <v>1.102706</v>
      </c>
      <c r="L2056">
        <v>361.87029999999999</v>
      </c>
      <c r="M2056">
        <v>0.81505689999999997</v>
      </c>
      <c r="N2056">
        <v>0</v>
      </c>
      <c r="O2056">
        <v>-0.57921029999999996</v>
      </c>
      <c r="P2056">
        <v>0.65334419999999904</v>
      </c>
      <c r="Q2056">
        <v>4.7991760000000001E-2</v>
      </c>
      <c r="R2056">
        <v>-0.75553859999999995</v>
      </c>
      <c r="S2056">
        <v>1.539398</v>
      </c>
      <c r="T2056">
        <v>-0.14920420000000001</v>
      </c>
      <c r="U2056">
        <v>-2.6508479999999999</v>
      </c>
      <c r="V2056">
        <v>0.2377572</v>
      </c>
      <c r="W2056">
        <v>6.0275059999999998E-2</v>
      </c>
      <c r="X2056">
        <v>0.9694526</v>
      </c>
      <c r="Y2056">
        <v>0.41409580000000001</v>
      </c>
      <c r="Z2056">
        <v>1.957851E-2</v>
      </c>
      <c r="AA2056">
        <v>0.91002269999999996</v>
      </c>
      <c r="AB2056">
        <v>15</v>
      </c>
      <c r="AC2056">
        <v>11.284099999999899</v>
      </c>
      <c r="AD2056">
        <v>-1.102707394219</v>
      </c>
      <c r="AE2056">
        <v>-19.519299999999902</v>
      </c>
      <c r="AF2056">
        <v>9.3520292226878698</v>
      </c>
      <c r="AG2056">
        <v>-1.102707394219</v>
      </c>
      <c r="AH2056">
        <v>20.456057922692299</v>
      </c>
      <c r="AI2056">
        <v>92.806715416736196</v>
      </c>
      <c r="AJ2056">
        <v>65.431233705208101</v>
      </c>
      <c r="AK2056">
        <v>22.519474237109002</v>
      </c>
      <c r="AL2056">
        <v>86.544398728900902</v>
      </c>
      <c r="AM2056">
        <v>76.220245802523095</v>
      </c>
      <c r="AN2056">
        <v>0.99999995632829997</v>
      </c>
    </row>
    <row r="2057" spans="1:40" x14ac:dyDescent="0.3">
      <c r="A2057" t="str">
        <f>"20200111145950457"</f>
        <v>20200111145950457</v>
      </c>
      <c r="B2057" t="str">
        <f>"1578725990447327"</f>
        <v>1578725990447327</v>
      </c>
      <c r="C2057" t="s">
        <v>40</v>
      </c>
      <c r="D2057">
        <v>4.2070910000000001</v>
      </c>
      <c r="E2057">
        <v>0.5699592</v>
      </c>
      <c r="F2057" t="s">
        <v>42</v>
      </c>
      <c r="G2057">
        <v>-188.45760000000001</v>
      </c>
      <c r="H2057" s="1">
        <v>-1.2379389999999901E-6</v>
      </c>
      <c r="I2057">
        <v>341.88069999999999</v>
      </c>
      <c r="J2057">
        <v>-199.9332</v>
      </c>
      <c r="K2057">
        <v>1.102711</v>
      </c>
      <c r="L2057">
        <v>361.81950000000001</v>
      </c>
      <c r="M2057">
        <v>0.8131948</v>
      </c>
      <c r="N2057">
        <v>0</v>
      </c>
      <c r="O2057">
        <v>-0.58182149999999999</v>
      </c>
      <c r="P2057">
        <v>0.65137290000000003</v>
      </c>
      <c r="Q2057">
        <v>4.8492380000000002E-2</v>
      </c>
      <c r="R2057">
        <v>-0.7572065</v>
      </c>
      <c r="S2057">
        <v>1.5326229999999901</v>
      </c>
      <c r="T2057">
        <v>-0.14644160000000001</v>
      </c>
      <c r="U2057">
        <v>-2.6546630000000002</v>
      </c>
      <c r="V2057">
        <v>0.23715</v>
      </c>
      <c r="W2057">
        <v>6.0780540000000001E-2</v>
      </c>
      <c r="X2057">
        <v>0.96956980000000004</v>
      </c>
      <c r="Y2057">
        <v>0.41348299999999999</v>
      </c>
      <c r="Z2057">
        <v>1.9374720000000002E-2</v>
      </c>
      <c r="AA2057">
        <v>0.9103057</v>
      </c>
      <c r="AB2057">
        <v>15</v>
      </c>
      <c r="AC2057">
        <v>11.475599999999901</v>
      </c>
      <c r="AD2057">
        <v>-1.102712237939</v>
      </c>
      <c r="AE2057">
        <v>-19.938800000000001</v>
      </c>
      <c r="AF2057">
        <v>9.5164571558350204</v>
      </c>
      <c r="AG2057">
        <v>-1.102712237939</v>
      </c>
      <c r="AH2057">
        <v>20.886804235542201</v>
      </c>
      <c r="AI2057">
        <v>92.750548194772406</v>
      </c>
      <c r="AJ2057">
        <v>65.5050153214777</v>
      </c>
      <c r="AK2057">
        <v>22.979067044865101</v>
      </c>
      <c r="AL2057">
        <v>86.515383799130305</v>
      </c>
      <c r="AM2057">
        <v>76.255699505918301</v>
      </c>
      <c r="AN2057">
        <v>0.99999999680736495</v>
      </c>
    </row>
    <row r="2058" spans="1:40" x14ac:dyDescent="0.3">
      <c r="A2058" t="str">
        <f>"20200111145950469"</f>
        <v>20200111145950469</v>
      </c>
      <c r="B2058" t="str">
        <f>"1578725990458063"</f>
        <v>1578725990458063</v>
      </c>
      <c r="C2058" t="s">
        <v>40</v>
      </c>
      <c r="D2058">
        <v>4.2067410000000001</v>
      </c>
      <c r="E2058">
        <v>0.56985549999999996</v>
      </c>
      <c r="F2058" t="s">
        <v>42</v>
      </c>
      <c r="G2058">
        <v>-188.34450000000001</v>
      </c>
      <c r="H2058" s="1">
        <v>-1.148932E-6</v>
      </c>
      <c r="I2058">
        <v>341.62650000000002</v>
      </c>
      <c r="J2058">
        <v>-199.8733</v>
      </c>
      <c r="K2058">
        <v>1.1027149999999999</v>
      </c>
      <c r="L2058">
        <v>361.7724</v>
      </c>
      <c r="M2058">
        <v>0.81146790000000002</v>
      </c>
      <c r="N2058">
        <v>0</v>
      </c>
      <c r="O2058">
        <v>-0.58422750000000001</v>
      </c>
      <c r="P2058">
        <v>0.64947279999999996</v>
      </c>
      <c r="Q2058">
        <v>4.8897120000000002E-2</v>
      </c>
      <c r="R2058">
        <v>-0.75881089999999995</v>
      </c>
      <c r="S2058">
        <v>1.525787</v>
      </c>
      <c r="T2058">
        <v>-0.1451857</v>
      </c>
      <c r="U2058">
        <v>-2.6586609999999999</v>
      </c>
      <c r="V2058">
        <v>0.23668910000000001</v>
      </c>
      <c r="W2058">
        <v>6.1188909999999999E-2</v>
      </c>
      <c r="X2058">
        <v>0.96965679999999999</v>
      </c>
      <c r="Y2058">
        <v>0.41313820000000001</v>
      </c>
      <c r="Z2058">
        <v>1.9347619999999999E-2</v>
      </c>
      <c r="AA2058">
        <v>0.91046280000000002</v>
      </c>
      <c r="AB2058">
        <v>15</v>
      </c>
      <c r="AC2058">
        <v>11.528799999999899</v>
      </c>
      <c r="AD2058">
        <v>-1.1027161489320001</v>
      </c>
      <c r="AE2058">
        <v>-20.145899999999902</v>
      </c>
      <c r="AF2058">
        <v>9.5916134104578692</v>
      </c>
      <c r="AG2058">
        <v>-1.1027161489320001</v>
      </c>
      <c r="AH2058">
        <v>21.079556712319</v>
      </c>
      <c r="AI2058">
        <v>92.726061529838205</v>
      </c>
      <c r="AJ2058">
        <v>65.533530127337002</v>
      </c>
      <c r="AK2058">
        <v>23.185399326055698</v>
      </c>
      <c r="AL2058">
        <v>86.491942516158701</v>
      </c>
      <c r="AM2058">
        <v>76.282585664629906</v>
      </c>
      <c r="AN2058">
        <v>1.00000006127601</v>
      </c>
    </row>
    <row r="2059" spans="1:40" x14ac:dyDescent="0.3">
      <c r="A2059" t="str">
        <f>"20200111145950480"</f>
        <v>20200111145950480</v>
      </c>
      <c r="B2059" t="str">
        <f>"1578725990477582"</f>
        <v>1578725990477582</v>
      </c>
      <c r="C2059" t="s">
        <v>40</v>
      </c>
      <c r="D2059">
        <v>4.2160950000000001</v>
      </c>
      <c r="E2059">
        <v>0.57032389999999999</v>
      </c>
      <c r="F2059" t="s">
        <v>42</v>
      </c>
      <c r="G2059">
        <v>-188.30959999999999</v>
      </c>
      <c r="H2059" s="1">
        <v>-1.1088679999999901E-6</v>
      </c>
      <c r="I2059">
        <v>341.51859999999999</v>
      </c>
      <c r="J2059">
        <v>-199.81450000000001</v>
      </c>
      <c r="K2059">
        <v>1.1027199999999999</v>
      </c>
      <c r="L2059">
        <v>361.726</v>
      </c>
      <c r="M2059">
        <v>0.80975940000000002</v>
      </c>
      <c r="N2059">
        <v>0</v>
      </c>
      <c r="O2059">
        <v>-0.58659359999999905</v>
      </c>
      <c r="P2059">
        <v>0.647366</v>
      </c>
      <c r="Q2059">
        <v>4.8937109999999999E-2</v>
      </c>
      <c r="R2059">
        <v>-0.76060680000000003</v>
      </c>
      <c r="S2059">
        <v>1.5198210000000001</v>
      </c>
      <c r="T2059">
        <v>-0.14493049999999999</v>
      </c>
      <c r="U2059">
        <v>-2.6619570000000001</v>
      </c>
      <c r="V2059">
        <v>0.2365458</v>
      </c>
      <c r="W2059">
        <v>6.1229359999999997E-2</v>
      </c>
      <c r="X2059">
        <v>0.96968920000000003</v>
      </c>
      <c r="Y2059">
        <v>0.41250629999999999</v>
      </c>
      <c r="Z2059">
        <v>1.945742E-2</v>
      </c>
      <c r="AA2059">
        <v>0.91074690000000003</v>
      </c>
      <c r="AB2059">
        <v>15</v>
      </c>
      <c r="AC2059">
        <v>11.504899999999999</v>
      </c>
      <c r="AD2059">
        <v>-1.102721108868</v>
      </c>
      <c r="AE2059">
        <v>-20.2074</v>
      </c>
      <c r="AF2059">
        <v>9.5938060557119194</v>
      </c>
      <c r="AG2059">
        <v>-1.102721108868</v>
      </c>
      <c r="AH2059">
        <v>21.124318117454202</v>
      </c>
      <c r="AI2059">
        <v>92.721186595784303</v>
      </c>
      <c r="AJ2059">
        <v>65.574383196759996</v>
      </c>
      <c r="AK2059">
        <v>23.227008511772699</v>
      </c>
      <c r="AL2059">
        <v>86.489620499157098</v>
      </c>
      <c r="AM2059">
        <v>76.291017994454293</v>
      </c>
      <c r="AN2059">
        <v>1.00000004731014</v>
      </c>
    </row>
    <row r="2060" spans="1:40" x14ac:dyDescent="0.3">
      <c r="A2060" t="str">
        <f>"20200111145950493"</f>
        <v>20200111145950493</v>
      </c>
      <c r="B2060" t="str">
        <f>"1578725990487342"</f>
        <v>1578725990487342</v>
      </c>
      <c r="C2060" t="s">
        <v>40</v>
      </c>
      <c r="D2060">
        <v>4.9206190000000003</v>
      </c>
      <c r="E2060">
        <v>0.57032389999999999</v>
      </c>
      <c r="F2060" t="s">
        <v>42</v>
      </c>
      <c r="G2060">
        <v>-188.22120000000001</v>
      </c>
      <c r="H2060" s="1">
        <v>-1.0147330000000001E-6</v>
      </c>
      <c r="I2060">
        <v>341.23910000000001</v>
      </c>
      <c r="J2060">
        <v>-199.75040000000001</v>
      </c>
      <c r="K2060">
        <v>1.1027199999999999</v>
      </c>
      <c r="L2060">
        <v>361.6748</v>
      </c>
      <c r="M2060">
        <v>0.80787739999999997</v>
      </c>
      <c r="N2060">
        <v>0</v>
      </c>
      <c r="O2060">
        <v>-0.58918300000000001</v>
      </c>
      <c r="P2060">
        <v>0.64512729999999996</v>
      </c>
      <c r="Q2060">
        <v>4.9198110000000003E-2</v>
      </c>
      <c r="R2060">
        <v>-0.76249009999999995</v>
      </c>
      <c r="S2060">
        <v>1.5099640000000001</v>
      </c>
      <c r="T2060">
        <v>-0.14362369999999999</v>
      </c>
      <c r="U2060">
        <v>-2.668304</v>
      </c>
      <c r="V2060">
        <v>0.23627999999999999</v>
      </c>
      <c r="W2060">
        <v>6.1490169999999997E-2</v>
      </c>
      <c r="X2060">
        <v>0.96973750000000003</v>
      </c>
      <c r="Y2060">
        <v>0.41306730000000003</v>
      </c>
      <c r="Z2060">
        <v>1.9406179999999999E-2</v>
      </c>
      <c r="AA2060">
        <v>0.91049369999999996</v>
      </c>
      <c r="AB2060">
        <v>15</v>
      </c>
      <c r="AC2060">
        <v>11.529199999999999</v>
      </c>
      <c r="AD2060">
        <v>-1.102721014733</v>
      </c>
      <c r="AE2060">
        <v>-20.435700000000001</v>
      </c>
      <c r="AF2060">
        <v>9.6962747728710905</v>
      </c>
      <c r="AG2060">
        <v>-1.102721014733</v>
      </c>
      <c r="AH2060">
        <v>21.309589135403399</v>
      </c>
      <c r="AI2060">
        <v>92.696690217321404</v>
      </c>
      <c r="AJ2060">
        <v>65.533547769368695</v>
      </c>
      <c r="AK2060">
        <v>23.437839645049401</v>
      </c>
      <c r="AL2060">
        <v>86.474648983461606</v>
      </c>
      <c r="AM2060">
        <v>76.306498499816499</v>
      </c>
      <c r="AN2060">
        <v>1.00000004915643</v>
      </c>
    </row>
    <row r="2061" spans="1:40" x14ac:dyDescent="0.3">
      <c r="A2061" t="str">
        <f>"20200111145950504"</f>
        <v>20200111145950504</v>
      </c>
      <c r="B2061" t="str">
        <f>"1578725990498077"</f>
        <v>1578725990498077</v>
      </c>
      <c r="C2061" t="s">
        <v>40</v>
      </c>
      <c r="D2061">
        <v>4.5488720000000002</v>
      </c>
      <c r="E2061">
        <v>0.57032389999999999</v>
      </c>
      <c r="F2061" t="s">
        <v>42</v>
      </c>
      <c r="G2061">
        <v>-188.14660000000001</v>
      </c>
      <c r="H2061" s="1">
        <v>-9.6421059999999993E-7</v>
      </c>
      <c r="I2061">
        <v>341.03230000000002</v>
      </c>
      <c r="J2061">
        <v>-199.6876</v>
      </c>
      <c r="K2061">
        <v>1.1027180000000001</v>
      </c>
      <c r="L2061">
        <v>361.62450000000001</v>
      </c>
      <c r="M2061">
        <v>0.80602010000000002</v>
      </c>
      <c r="N2061">
        <v>0</v>
      </c>
      <c r="O2061">
        <v>-0.59172089999999999</v>
      </c>
      <c r="P2061">
        <v>0.64272010000000002</v>
      </c>
      <c r="Q2061">
        <v>4.9565940000000003E-2</v>
      </c>
      <c r="R2061">
        <v>-0.76449590000000001</v>
      </c>
      <c r="S2061">
        <v>1.502335</v>
      </c>
      <c r="T2061">
        <v>-0.14276929999999999</v>
      </c>
      <c r="U2061">
        <v>-2.672577</v>
      </c>
      <c r="V2061">
        <v>0.23627010000000001</v>
      </c>
      <c r="W2061">
        <v>6.1855689999999998E-2</v>
      </c>
      <c r="X2061">
        <v>0.96971660000000004</v>
      </c>
      <c r="Y2061">
        <v>0.41280050000000001</v>
      </c>
      <c r="Z2061">
        <v>1.9433590000000001E-2</v>
      </c>
      <c r="AA2061">
        <v>0.91061409999999998</v>
      </c>
      <c r="AB2061">
        <v>15</v>
      </c>
      <c r="AC2061">
        <v>11.540999999999899</v>
      </c>
      <c r="AD2061">
        <v>-1.1027189642105999</v>
      </c>
      <c r="AE2061">
        <v>-20.592199999999899</v>
      </c>
      <c r="AF2061">
        <v>9.7483705195908996</v>
      </c>
      <c r="AG2061">
        <v>-1.1027189642105999</v>
      </c>
      <c r="AH2061">
        <v>21.4424488639625</v>
      </c>
      <c r="AI2061">
        <v>92.680393832778805</v>
      </c>
      <c r="AJ2061">
        <v>65.552052878825194</v>
      </c>
      <c r="AK2061">
        <v>23.580189358546399</v>
      </c>
      <c r="AL2061">
        <v>86.453666062371397</v>
      </c>
      <c r="AM2061">
        <v>76.3067666411809</v>
      </c>
      <c r="AN2061">
        <v>0.99999998542747204</v>
      </c>
    </row>
    <row r="2062" spans="1:40" x14ac:dyDescent="0.3">
      <c r="A2062" t="str">
        <f>"20200111145950515"</f>
        <v>20200111145950515</v>
      </c>
      <c r="B2062" t="str">
        <f>"1578725990507840"</f>
        <v>1578725990507840</v>
      </c>
      <c r="C2062" t="s">
        <v>40</v>
      </c>
      <c r="D2062">
        <v>4.4813660000000004</v>
      </c>
      <c r="E2062">
        <v>0.57032389999999999</v>
      </c>
      <c r="F2062" t="s">
        <v>42</v>
      </c>
      <c r="G2062">
        <v>-188.0515</v>
      </c>
      <c r="H2062" s="1">
        <v>-9.0100280000000003E-7</v>
      </c>
      <c r="I2062">
        <v>340.7722</v>
      </c>
      <c r="J2062">
        <v>-199.62700000000001</v>
      </c>
      <c r="K2062">
        <v>1.102714</v>
      </c>
      <c r="L2062">
        <v>361.57560000000001</v>
      </c>
      <c r="M2062">
        <v>0.80421209999999999</v>
      </c>
      <c r="N2062">
        <v>0</v>
      </c>
      <c r="O2062">
        <v>-0.59417619999999904</v>
      </c>
      <c r="P2062">
        <v>0.64046210000000003</v>
      </c>
      <c r="Q2062">
        <v>4.9586209999999999E-2</v>
      </c>
      <c r="R2062">
        <v>-0.76638779999999995</v>
      </c>
      <c r="S2062">
        <v>1.494003</v>
      </c>
      <c r="T2062">
        <v>-0.1415825</v>
      </c>
      <c r="U2062">
        <v>-2.6773069999999999</v>
      </c>
      <c r="V2062">
        <v>0.2361732</v>
      </c>
      <c r="W2062">
        <v>6.1873770000000002E-2</v>
      </c>
      <c r="X2062">
        <v>0.96973909999999997</v>
      </c>
      <c r="Y2062">
        <v>0.41286850000000003</v>
      </c>
      <c r="Z2062">
        <v>1.940178E-2</v>
      </c>
      <c r="AA2062">
        <v>0.91058399999999995</v>
      </c>
      <c r="AB2062">
        <v>15</v>
      </c>
      <c r="AC2062">
        <v>11.5755</v>
      </c>
      <c r="AD2062">
        <v>-1.1027149010027999</v>
      </c>
      <c r="AE2062">
        <v>-20.8034</v>
      </c>
      <c r="AF2062">
        <v>9.8323379638458501</v>
      </c>
      <c r="AG2062">
        <v>-1.1027149010027999</v>
      </c>
      <c r="AH2062">
        <v>21.625786131057499</v>
      </c>
      <c r="AI2062">
        <v>92.657664633865807</v>
      </c>
      <c r="AJ2062">
        <v>65.550698402177204</v>
      </c>
      <c r="AK2062">
        <v>23.781620545589799</v>
      </c>
      <c r="AL2062">
        <v>86.452628335380197</v>
      </c>
      <c r="AM2062">
        <v>76.312476913263097</v>
      </c>
      <c r="AN2062">
        <v>1.0000000329405301</v>
      </c>
    </row>
    <row r="2063" spans="1:40" x14ac:dyDescent="0.3">
      <c r="A2063" t="str">
        <f>"20200111145950527"</f>
        <v>20200111145950527</v>
      </c>
      <c r="B2063" t="str">
        <f>"1578725990507840"</f>
        <v>1578725990507840</v>
      </c>
      <c r="C2063" t="s">
        <v>40</v>
      </c>
      <c r="D2063">
        <v>4.4813660000000004</v>
      </c>
      <c r="E2063">
        <v>0.57032389999999999</v>
      </c>
      <c r="F2063" t="s">
        <v>42</v>
      </c>
      <c r="G2063">
        <v>-188.0085</v>
      </c>
      <c r="H2063" s="1">
        <v>-8.5514870000000003E-7</v>
      </c>
      <c r="I2063">
        <v>340.60379999999998</v>
      </c>
      <c r="J2063">
        <v>-199.56870000000001</v>
      </c>
      <c r="K2063">
        <v>1.1027100000000001</v>
      </c>
      <c r="L2063">
        <v>361.5283</v>
      </c>
      <c r="M2063">
        <v>0.80245529999999998</v>
      </c>
      <c r="N2063">
        <v>0</v>
      </c>
      <c r="O2063">
        <v>-0.59654680000000004</v>
      </c>
      <c r="P2063">
        <v>0.63816909999999905</v>
      </c>
      <c r="Q2063">
        <v>4.94676E-2</v>
      </c>
      <c r="R2063">
        <v>-0.76830549999999997</v>
      </c>
      <c r="S2063">
        <v>1.485825</v>
      </c>
      <c r="T2063">
        <v>-0.14101900000000001</v>
      </c>
      <c r="U2063">
        <v>-2.6819459999999999</v>
      </c>
      <c r="V2063">
        <v>0.23621529999999999</v>
      </c>
      <c r="W2063">
        <v>6.1751929999999997E-2</v>
      </c>
      <c r="X2063">
        <v>0.96973659999999995</v>
      </c>
      <c r="Y2063">
        <v>0.41297410000000001</v>
      </c>
      <c r="Z2063">
        <v>1.944831E-2</v>
      </c>
      <c r="AA2063">
        <v>0.91053510000000004</v>
      </c>
      <c r="AB2063">
        <v>15</v>
      </c>
      <c r="AC2063">
        <v>11.5602</v>
      </c>
      <c r="AD2063">
        <v>-1.1027108551486999</v>
      </c>
      <c r="AE2063">
        <v>-20.924499999999998</v>
      </c>
      <c r="AF2063">
        <v>9.8747410796551502</v>
      </c>
      <c r="AG2063">
        <v>-1.1027108551486999</v>
      </c>
      <c r="AH2063">
        <v>21.714930588219499</v>
      </c>
      <c r="AI2063">
        <v>92.646674308147695</v>
      </c>
      <c r="AJ2063">
        <v>65.546603407479097</v>
      </c>
      <c r="AK2063">
        <v>23.880215515599598</v>
      </c>
      <c r="AL2063">
        <v>86.459622585726194</v>
      </c>
      <c r="AM2063">
        <v>76.310094824091806</v>
      </c>
      <c r="AN2063">
        <v>1.0000000210961799</v>
      </c>
    </row>
    <row r="2064" spans="1:40" x14ac:dyDescent="0.3">
      <c r="A2064" t="str">
        <f>"20200111145950589"</f>
        <v>20200111145950589</v>
      </c>
      <c r="B2064" t="str">
        <f>"1578725990587871"</f>
        <v>1578725990587871</v>
      </c>
      <c r="C2064" t="s">
        <v>40</v>
      </c>
      <c r="D2064">
        <v>4.5140219999999998</v>
      </c>
      <c r="E2064">
        <v>0.68712569999999995</v>
      </c>
      <c r="F2064" t="s">
        <v>42</v>
      </c>
      <c r="G2064">
        <v>-188.024</v>
      </c>
      <c r="H2064" s="1">
        <v>-8.2887079999999997E-7</v>
      </c>
      <c r="I2064">
        <v>340.53879999999998</v>
      </c>
      <c r="J2064">
        <v>-199.24850000000001</v>
      </c>
      <c r="K2064">
        <v>1.1026830000000001</v>
      </c>
      <c r="L2064">
        <v>361.26280000000003</v>
      </c>
      <c r="M2064">
        <v>0.79252900000000004</v>
      </c>
      <c r="N2064">
        <v>0</v>
      </c>
      <c r="O2064">
        <v>-0.6096722</v>
      </c>
      <c r="P2064">
        <v>0.62321280000000001</v>
      </c>
      <c r="Q2064">
        <v>4.7951349999999997E-2</v>
      </c>
      <c r="R2064">
        <v>-0.78058090000000002</v>
      </c>
      <c r="S2064">
        <v>1.4776149999999999</v>
      </c>
      <c r="T2064">
        <v>-0.14113709999999999</v>
      </c>
      <c r="U2064">
        <v>-2.6864620000000001</v>
      </c>
      <c r="V2064">
        <v>0.23905290000000001</v>
      </c>
      <c r="W2064">
        <v>6.0197479999999998E-2</v>
      </c>
      <c r="X2064">
        <v>0.96913879999999997</v>
      </c>
      <c r="Y2064">
        <v>0.40074749999999998</v>
      </c>
      <c r="Z2064">
        <v>2.0421979999999999E-2</v>
      </c>
      <c r="AA2064">
        <v>0.91596089999999997</v>
      </c>
      <c r="AB2064">
        <v>15</v>
      </c>
      <c r="AC2064">
        <v>11.224500000000001</v>
      </c>
      <c r="AD2064">
        <v>-1.1026838288708001</v>
      </c>
      <c r="AE2064">
        <v>-20.724</v>
      </c>
      <c r="AF2064">
        <v>9.5611231518933995</v>
      </c>
      <c r="AG2064">
        <v>-1.1026838288708001</v>
      </c>
      <c r="AH2064">
        <v>21.485684503656302</v>
      </c>
      <c r="AI2064">
        <v>92.6845628796938</v>
      </c>
      <c r="AJ2064">
        <v>66.010950352539197</v>
      </c>
      <c r="AK2064">
        <v>23.542846602371199</v>
      </c>
      <c r="AL2064">
        <v>86.548852040564597</v>
      </c>
      <c r="AM2064">
        <v>76.143723027208694</v>
      </c>
      <c r="AN2064">
        <v>1.0000000196311001</v>
      </c>
    </row>
    <row r="2065" spans="1:40" x14ac:dyDescent="0.3">
      <c r="A2065" t="str">
        <f>"20200111145950601"</f>
        <v>20200111145950601</v>
      </c>
      <c r="B2065" t="str">
        <f>"1578725990597631"</f>
        <v>1578725990597631</v>
      </c>
      <c r="C2065" t="s">
        <v>40</v>
      </c>
      <c r="D2065">
        <v>4.487044</v>
      </c>
      <c r="E2065">
        <v>0.68749199999999999</v>
      </c>
      <c r="F2065" t="s">
        <v>42</v>
      </c>
      <c r="G2065">
        <v>-191.95959999999999</v>
      </c>
      <c r="H2065" s="1">
        <v>-3.61027E-6</v>
      </c>
      <c r="I2065">
        <v>326.78930000000003</v>
      </c>
      <c r="J2065">
        <v>-199.19040000000001</v>
      </c>
      <c r="K2065">
        <v>1.102681</v>
      </c>
      <c r="L2065">
        <v>361.21370000000002</v>
      </c>
      <c r="M2065">
        <v>0.79067849999999995</v>
      </c>
      <c r="N2065">
        <v>0</v>
      </c>
      <c r="O2065">
        <v>-0.61207009999999995</v>
      </c>
      <c r="P2065">
        <v>0.62065139999999996</v>
      </c>
      <c r="Q2065">
        <v>4.7569060000000003E-2</v>
      </c>
      <c r="R2065">
        <v>-0.78264209999999901</v>
      </c>
      <c r="S2065">
        <v>0.6964264</v>
      </c>
      <c r="T2065">
        <v>-0.1053571</v>
      </c>
      <c r="U2065">
        <v>-3.293793</v>
      </c>
      <c r="V2065">
        <v>0.2393093</v>
      </c>
      <c r="W2065">
        <v>5.9811940000000001E-2</v>
      </c>
      <c r="X2065">
        <v>0.9690993</v>
      </c>
      <c r="Y2065">
        <v>0.64697769999999899</v>
      </c>
      <c r="Z2065">
        <v>1.006927E-2</v>
      </c>
      <c r="AA2065">
        <v>0.76244239999999996</v>
      </c>
      <c r="AB2065">
        <v>15</v>
      </c>
      <c r="AC2065">
        <v>7.2308000000000101</v>
      </c>
      <c r="AD2065">
        <v>-1.1026846102700001</v>
      </c>
      <c r="AE2065">
        <v>-34.424399999999899</v>
      </c>
      <c r="AF2065">
        <v>22.7727512172651</v>
      </c>
      <c r="AG2065">
        <v>-1.1026846102700001</v>
      </c>
      <c r="AH2065">
        <v>26.7637317881169</v>
      </c>
      <c r="AI2065">
        <v>91.797282544475806</v>
      </c>
      <c r="AJ2065">
        <v>49.606170892872697</v>
      </c>
      <c r="AK2065">
        <v>35.158376677250601</v>
      </c>
      <c r="AL2065">
        <v>86.570981427290207</v>
      </c>
      <c r="AM2065">
        <v>76.128891335604294</v>
      </c>
      <c r="AN2065">
        <v>0.999999931246769</v>
      </c>
    </row>
    <row r="2066" spans="1:40" x14ac:dyDescent="0.3">
      <c r="A2066" t="str">
        <f>"20200111145950614"</f>
        <v>20200111145950614</v>
      </c>
      <c r="B2066" t="str">
        <f>"1578725990607390"</f>
        <v>1578725990607390</v>
      </c>
      <c r="C2066" t="s">
        <v>40</v>
      </c>
      <c r="D2066">
        <v>4.4622909999999996</v>
      </c>
      <c r="E2066">
        <v>0.687882199999999</v>
      </c>
      <c r="F2066" t="s">
        <v>42</v>
      </c>
      <c r="G2066">
        <v>-193.0343</v>
      </c>
      <c r="H2066" s="1">
        <v>-1.6207359999999999E-6</v>
      </c>
      <c r="I2066">
        <v>331.48509999999999</v>
      </c>
      <c r="J2066">
        <v>-199.12860000000001</v>
      </c>
      <c r="K2066">
        <v>1.102681</v>
      </c>
      <c r="L2066">
        <v>361.161</v>
      </c>
      <c r="M2066">
        <v>0.78869119999999904</v>
      </c>
      <c r="N2066">
        <v>0</v>
      </c>
      <c r="O2066">
        <v>-0.61462919999999999</v>
      </c>
      <c r="P2066">
        <v>0.61795840000000002</v>
      </c>
      <c r="Q2066">
        <v>4.7196519999999999E-2</v>
      </c>
      <c r="R2066">
        <v>-0.78479299999999996</v>
      </c>
      <c r="S2066">
        <v>0.68310550000000003</v>
      </c>
      <c r="T2066">
        <v>-0.122359</v>
      </c>
      <c r="U2066">
        <v>-3.2988279999999999</v>
      </c>
      <c r="V2066">
        <v>0.23951439999999999</v>
      </c>
      <c r="W2066">
        <v>5.943876E-2</v>
      </c>
      <c r="X2066">
        <v>0.96907169999999998</v>
      </c>
      <c r="Y2066">
        <v>0.64767589999999997</v>
      </c>
      <c r="Z2066">
        <v>1.178973E-2</v>
      </c>
      <c r="AA2066">
        <v>0.76182469999999902</v>
      </c>
      <c r="AB2066">
        <v>15</v>
      </c>
      <c r="AC2066">
        <v>6.0942999999999996</v>
      </c>
      <c r="AD2066">
        <v>-1.1026826207359901</v>
      </c>
      <c r="AE2066">
        <v>-29.675899999999999</v>
      </c>
      <c r="AF2066">
        <v>19.6353115018841</v>
      </c>
      <c r="AG2066">
        <v>-1.1026826207359901</v>
      </c>
      <c r="AH2066">
        <v>23.017973012813599</v>
      </c>
      <c r="AI2066">
        <v>92.087286377244496</v>
      </c>
      <c r="AJ2066">
        <v>49.534408854460203</v>
      </c>
      <c r="AK2066">
        <v>30.275211780542701</v>
      </c>
      <c r="AL2066">
        <v>86.592401537694698</v>
      </c>
      <c r="AM2066">
        <v>76.117082678813503</v>
      </c>
      <c r="AN2066">
        <v>1.0000000368692901</v>
      </c>
    </row>
    <row r="2067" spans="1:40" x14ac:dyDescent="0.3">
      <c r="A2067" t="str">
        <f>"20200111145950625"</f>
        <v>20200111145950625</v>
      </c>
      <c r="B2067" t="str">
        <f>"1578725990618125"</f>
        <v>1578725990618125</v>
      </c>
      <c r="C2067" t="s">
        <v>40</v>
      </c>
      <c r="D2067">
        <v>4.4258680000000004</v>
      </c>
      <c r="E2067">
        <v>0.68918869999999999</v>
      </c>
      <c r="F2067" t="s">
        <v>42</v>
      </c>
      <c r="G2067">
        <v>-193.7148</v>
      </c>
      <c r="H2067" s="1">
        <v>-3.0611619999999998E-6</v>
      </c>
      <c r="I2067">
        <v>334.42070000000001</v>
      </c>
      <c r="J2067">
        <v>-199.06819999999999</v>
      </c>
      <c r="K2067">
        <v>1.102684</v>
      </c>
      <c r="L2067">
        <v>361.10930000000002</v>
      </c>
      <c r="M2067">
        <v>0.78673819999999905</v>
      </c>
      <c r="N2067">
        <v>0</v>
      </c>
      <c r="O2067">
        <v>-0.61712690000000003</v>
      </c>
      <c r="P2067">
        <v>0.615255</v>
      </c>
      <c r="Q2067">
        <v>4.7022979999999999E-2</v>
      </c>
      <c r="R2067">
        <v>-0.78692439999999997</v>
      </c>
      <c r="S2067">
        <v>0.66894529999999996</v>
      </c>
      <c r="T2067">
        <v>-0.13625119999999999</v>
      </c>
      <c r="U2067">
        <v>-3.3041079999999998</v>
      </c>
      <c r="V2067">
        <v>0.23978189999999999</v>
      </c>
      <c r="W2067">
        <v>5.92636E-2</v>
      </c>
      <c r="X2067">
        <v>0.96901630000000005</v>
      </c>
      <c r="Y2067">
        <v>0.64862010000000003</v>
      </c>
      <c r="Z2067">
        <v>1.322534E-2</v>
      </c>
      <c r="AA2067">
        <v>0.76099740000000005</v>
      </c>
      <c r="AB2067">
        <v>15</v>
      </c>
      <c r="AC2067">
        <v>5.3533999999999899</v>
      </c>
      <c r="AD2067">
        <v>-1.1026870611620001</v>
      </c>
      <c r="AE2067">
        <v>-26.688600000000001</v>
      </c>
      <c r="AF2067">
        <v>17.6659697937333</v>
      </c>
      <c r="AG2067">
        <v>-1.1026870611620001</v>
      </c>
      <c r="AH2067">
        <v>20.650130951888499</v>
      </c>
      <c r="AI2067">
        <v>92.323577976230695</v>
      </c>
      <c r="AJ2067">
        <v>49.453359925256898</v>
      </c>
      <c r="AK2067">
        <v>27.197983672288998</v>
      </c>
      <c r="AL2067">
        <v>86.602455273668596</v>
      </c>
      <c r="AM2067">
        <v>76.1014146303758</v>
      </c>
      <c r="AN2067">
        <v>1.00000006175912</v>
      </c>
    </row>
    <row r="2068" spans="1:40" x14ac:dyDescent="0.3">
      <c r="A2068" t="str">
        <f>"20200111145950650"</f>
        <v>20200111145950650</v>
      </c>
      <c r="B2068" t="str">
        <f>"1578725990647406"</f>
        <v>1578725990647406</v>
      </c>
      <c r="C2068" t="s">
        <v>40</v>
      </c>
      <c r="D2068">
        <v>4.5088119999999998</v>
      </c>
      <c r="E2068">
        <v>0.68978969999999995</v>
      </c>
      <c r="F2068" t="s">
        <v>42</v>
      </c>
      <c r="G2068">
        <v>-193.90950000000001</v>
      </c>
      <c r="H2068" s="1">
        <v>-3.2719220000000001E-6</v>
      </c>
      <c r="I2068">
        <v>334.79129999999998</v>
      </c>
      <c r="J2068">
        <v>-198.9451</v>
      </c>
      <c r="K2068">
        <v>1.102687</v>
      </c>
      <c r="L2068">
        <v>361.00259999999997</v>
      </c>
      <c r="M2068">
        <v>0.782703699999999</v>
      </c>
      <c r="N2068">
        <v>0</v>
      </c>
      <c r="O2068">
        <v>-0.62223619999999902</v>
      </c>
      <c r="P2068">
        <v>0.61019590000000001</v>
      </c>
      <c r="Q2068">
        <v>4.7034060000000003E-2</v>
      </c>
      <c r="R2068">
        <v>-0.79085329999999998</v>
      </c>
      <c r="S2068">
        <v>0.6493835</v>
      </c>
      <c r="T2068">
        <v>-0.13880689999999901</v>
      </c>
      <c r="U2068">
        <v>-3.3129270000000002</v>
      </c>
      <c r="V2068">
        <v>0.23968439999999999</v>
      </c>
      <c r="W2068">
        <v>5.9280729999999997E-2</v>
      </c>
      <c r="X2068">
        <v>0.96903930000000005</v>
      </c>
      <c r="Y2068">
        <v>0.64838059999999997</v>
      </c>
      <c r="Z2068">
        <v>1.3730620000000001E-2</v>
      </c>
      <c r="AA2068">
        <v>0.7611926</v>
      </c>
      <c r="AB2068">
        <v>15</v>
      </c>
      <c r="AC2068">
        <v>5.0355999999999801</v>
      </c>
      <c r="AD2068">
        <v>-1.102690271922</v>
      </c>
      <c r="AE2068">
        <v>-26.211299999999898</v>
      </c>
      <c r="AF2068">
        <v>17.354440521239201</v>
      </c>
      <c r="AG2068">
        <v>-1.102690271922</v>
      </c>
      <c r="AH2068">
        <v>20.218488310459001</v>
      </c>
      <c r="AI2068">
        <v>92.369792392569195</v>
      </c>
      <c r="AJ2068">
        <v>49.3590194128261</v>
      </c>
      <c r="AK2068">
        <v>26.667954574754901</v>
      </c>
      <c r="AL2068">
        <v>86.6014718267989</v>
      </c>
      <c r="AM2068">
        <v>76.107164067301994</v>
      </c>
      <c r="AN2068">
        <v>0.99999999074859103</v>
      </c>
    </row>
    <row r="2069" spans="1:40" x14ac:dyDescent="0.3">
      <c r="A2069" t="str">
        <f>"20200111145950663"</f>
        <v>20200111145950663</v>
      </c>
      <c r="B2069" t="str">
        <f>"1578725990658141"</f>
        <v>1578725990658141</v>
      </c>
      <c r="C2069" t="s">
        <v>40</v>
      </c>
      <c r="D2069">
        <v>4.5233549999999996</v>
      </c>
      <c r="E2069">
        <v>0.68987180000000003</v>
      </c>
      <c r="F2069" t="s">
        <v>42</v>
      </c>
      <c r="G2069">
        <v>-194.3613</v>
      </c>
      <c r="H2069" s="1">
        <v>-4.0540730000000002E-6</v>
      </c>
      <c r="I2069">
        <v>336.6266</v>
      </c>
      <c r="J2069">
        <v>-198.88380000000001</v>
      </c>
      <c r="K2069">
        <v>1.1026959999999999</v>
      </c>
      <c r="L2069">
        <v>360.94909999999999</v>
      </c>
      <c r="M2069">
        <v>0.78067569999999997</v>
      </c>
      <c r="N2069">
        <v>0</v>
      </c>
      <c r="O2069">
        <v>-0.62477890000000003</v>
      </c>
      <c r="P2069">
        <v>0.60755519999999996</v>
      </c>
      <c r="Q2069">
        <v>4.7082930000000002E-2</v>
      </c>
      <c r="R2069">
        <v>-0.79288119999999995</v>
      </c>
      <c r="S2069">
        <v>0.62440490000000004</v>
      </c>
      <c r="T2069">
        <v>-0.1502097</v>
      </c>
      <c r="U2069">
        <v>-3.3205260000000001</v>
      </c>
      <c r="V2069">
        <v>0.239761</v>
      </c>
      <c r="W2069">
        <v>5.9331670000000003E-2</v>
      </c>
      <c r="X2069">
        <v>0.96901729999999997</v>
      </c>
      <c r="Y2069">
        <v>0.65173490000000001</v>
      </c>
      <c r="Z2069">
        <v>1.490414E-2</v>
      </c>
      <c r="AA2069">
        <v>0.75830039999999999</v>
      </c>
      <c r="AB2069">
        <v>15</v>
      </c>
      <c r="AC2069">
        <v>4.5225</v>
      </c>
      <c r="AD2069">
        <v>-1.1027000540730001</v>
      </c>
      <c r="AE2069">
        <v>-24.322499999999899</v>
      </c>
      <c r="AF2069">
        <v>16.131962847793002</v>
      </c>
      <c r="AG2069">
        <v>-1.1027000540730001</v>
      </c>
      <c r="AH2069">
        <v>18.6914986145377</v>
      </c>
      <c r="AI2069">
        <v>92.557199726495497</v>
      </c>
      <c r="AJ2069">
        <v>49.203699462968501</v>
      </c>
      <c r="AK2069">
        <v>24.7149406875496</v>
      </c>
      <c r="AL2069">
        <v>86.598548255429094</v>
      </c>
      <c r="AM2069">
        <v>76.102592891116302</v>
      </c>
      <c r="AN2069">
        <v>1.0000000559426301</v>
      </c>
    </row>
    <row r="2070" spans="1:40" x14ac:dyDescent="0.3">
      <c r="A2070" t="str">
        <f>"20200111145950674"</f>
        <v>20200111145950674</v>
      </c>
      <c r="B2070" t="str">
        <f>"1578725990667901"</f>
        <v>1578725990667901</v>
      </c>
      <c r="C2070" t="s">
        <v>40</v>
      </c>
      <c r="D2070">
        <v>4.5798480000000001</v>
      </c>
      <c r="E2070">
        <v>0.68990969999999996</v>
      </c>
      <c r="F2070" t="s">
        <v>42</v>
      </c>
      <c r="G2070">
        <v>-194.51750000000001</v>
      </c>
      <c r="H2070" s="1">
        <v>-4.2971809999999998E-6</v>
      </c>
      <c r="I2070">
        <v>337.25959999999998</v>
      </c>
      <c r="J2070">
        <v>-198.82390000000001</v>
      </c>
      <c r="K2070">
        <v>1.1027049999999901</v>
      </c>
      <c r="L2070">
        <v>360.89640000000003</v>
      </c>
      <c r="M2070">
        <v>0.77868149999999903</v>
      </c>
      <c r="N2070">
        <v>0</v>
      </c>
      <c r="O2070">
        <v>-0.6272624</v>
      </c>
      <c r="P2070">
        <v>0.60490440000000001</v>
      </c>
      <c r="Q2070">
        <v>4.7224439999999999E-2</v>
      </c>
      <c r="R2070">
        <v>-0.79489650000000001</v>
      </c>
      <c r="S2070">
        <v>0.61256409999999994</v>
      </c>
      <c r="T2070">
        <v>-0.1547017</v>
      </c>
      <c r="U2070">
        <v>-3.3234859999999999</v>
      </c>
      <c r="V2070">
        <v>0.23990230000000001</v>
      </c>
      <c r="W2070">
        <v>5.9475420000000001E-2</v>
      </c>
      <c r="X2070">
        <v>0.96897350000000004</v>
      </c>
      <c r="Y2070">
        <v>0.65204819999999997</v>
      </c>
      <c r="Z2070">
        <v>1.5484879999999999E-2</v>
      </c>
      <c r="AA2070">
        <v>0.75801940000000001</v>
      </c>
      <c r="AB2070">
        <v>14</v>
      </c>
      <c r="AC2070">
        <v>4.3063999999999902</v>
      </c>
      <c r="AD2070">
        <v>-1.10270929718099</v>
      </c>
      <c r="AE2070">
        <v>-23.636800000000001</v>
      </c>
      <c r="AF2070">
        <v>15.6728282688145</v>
      </c>
      <c r="AG2070">
        <v>-1.10270929718099</v>
      </c>
      <c r="AH2070">
        <v>18.143361774471799</v>
      </c>
      <c r="AI2070">
        <v>92.633371378221298</v>
      </c>
      <c r="AJ2070">
        <v>49.178475059957997</v>
      </c>
      <c r="AK2070">
        <v>24.000731035058202</v>
      </c>
      <c r="AL2070">
        <v>86.590297367421698</v>
      </c>
      <c r="AM2070">
        <v>76.094116225115698</v>
      </c>
      <c r="AN2070">
        <v>1.0000000414158501</v>
      </c>
    </row>
    <row r="2071" spans="1:40" x14ac:dyDescent="0.3">
      <c r="A2071" t="str">
        <f>"20200111145950686"</f>
        <v>20200111145950686</v>
      </c>
      <c r="B2071" t="str">
        <f>"1578725990677662"</f>
        <v>1578725990677662</v>
      </c>
      <c r="C2071" t="s">
        <v>40</v>
      </c>
      <c r="D2071">
        <v>4.5214800000000004</v>
      </c>
      <c r="E2071">
        <v>0.68989060000000002</v>
      </c>
      <c r="F2071" t="s">
        <v>42</v>
      </c>
      <c r="G2071">
        <v>-194.71860000000001</v>
      </c>
      <c r="H2071" s="1">
        <v>-4.6482130000000004E-6</v>
      </c>
      <c r="I2071">
        <v>338.18619999999999</v>
      </c>
      <c r="J2071">
        <v>-198.7655</v>
      </c>
      <c r="K2071">
        <v>1.102714</v>
      </c>
      <c r="L2071">
        <v>360.84469999999999</v>
      </c>
      <c r="M2071">
        <v>0.77672089999999905</v>
      </c>
      <c r="N2071">
        <v>0</v>
      </c>
      <c r="O2071">
        <v>-0.62968859999999904</v>
      </c>
      <c r="P2071">
        <v>0.60239980000000004</v>
      </c>
      <c r="Q2071">
        <v>4.7356349999999998E-2</v>
      </c>
      <c r="R2071">
        <v>-0.79678870000000002</v>
      </c>
      <c r="S2071">
        <v>0.60125729999999999</v>
      </c>
      <c r="T2071">
        <v>-0.16150020000000001</v>
      </c>
      <c r="U2071">
        <v>-3.3260800000000001</v>
      </c>
      <c r="V2071">
        <v>0.2399222</v>
      </c>
      <c r="W2071">
        <v>5.9610120000000003E-2</v>
      </c>
      <c r="X2071">
        <v>0.96896020000000005</v>
      </c>
      <c r="Y2071">
        <v>0.65227419999999903</v>
      </c>
      <c r="Z2071">
        <v>1.6306089999999999E-2</v>
      </c>
      <c r="AA2071">
        <v>0.75780769999999997</v>
      </c>
      <c r="AB2071">
        <v>14</v>
      </c>
      <c r="AC2071">
        <v>4.0468999999999902</v>
      </c>
      <c r="AD2071">
        <v>-1.102718648213</v>
      </c>
      <c r="AE2071">
        <v>-22.6585</v>
      </c>
      <c r="AF2071">
        <v>15.018055617105301</v>
      </c>
      <c r="AG2071">
        <v>-1.102718648213</v>
      </c>
      <c r="AH2071">
        <v>17.3729501796393</v>
      </c>
      <c r="AI2071">
        <v>92.749158123921106</v>
      </c>
      <c r="AJ2071">
        <v>49.158208327598402</v>
      </c>
      <c r="AK2071">
        <v>22.990810792136401</v>
      </c>
      <c r="AL2071">
        <v>86.582565591926098</v>
      </c>
      <c r="AM2071">
        <v>76.0928240200804</v>
      </c>
      <c r="AN2071">
        <v>0.999999948821646</v>
      </c>
    </row>
    <row r="2072" spans="1:40" x14ac:dyDescent="0.3">
      <c r="A2072" t="str">
        <f>"20200111145950703"</f>
        <v>20200111145950703</v>
      </c>
      <c r="B2072" t="str">
        <f>"1578725990698158"</f>
        <v>1578725990698158</v>
      </c>
      <c r="C2072" t="s">
        <v>40</v>
      </c>
      <c r="D2072">
        <v>4.5455949999999996</v>
      </c>
      <c r="E2072">
        <v>0.69118710000000005</v>
      </c>
      <c r="F2072" t="s">
        <v>42</v>
      </c>
      <c r="G2072">
        <v>-194.9023</v>
      </c>
      <c r="H2072" s="1">
        <v>-4.98458E-6</v>
      </c>
      <c r="I2072">
        <v>339.07889999999998</v>
      </c>
      <c r="J2072">
        <v>-198.68639999999999</v>
      </c>
      <c r="K2072">
        <v>1.1027229999999999</v>
      </c>
      <c r="L2072">
        <v>360.77409999999998</v>
      </c>
      <c r="M2072">
        <v>0.77404770000000001</v>
      </c>
      <c r="N2072">
        <v>0</v>
      </c>
      <c r="O2072">
        <v>-0.63297169999999903</v>
      </c>
      <c r="P2072">
        <v>0.59884300000000001</v>
      </c>
      <c r="Q2072">
        <v>4.6330969999999999E-2</v>
      </c>
      <c r="R2072">
        <v>-0.79952529999999999</v>
      </c>
      <c r="S2072">
        <v>0.59077449999999998</v>
      </c>
      <c r="T2072">
        <v>-0.1686327</v>
      </c>
      <c r="U2072">
        <v>-3.328522</v>
      </c>
      <c r="V2072">
        <v>0.24017640000000001</v>
      </c>
      <c r="W2072">
        <v>5.8587670000000001E-2</v>
      </c>
      <c r="X2072">
        <v>0.96895960000000003</v>
      </c>
      <c r="Y2072">
        <v>0.65146700000000002</v>
      </c>
      <c r="Z2072">
        <v>1.7258619999999999E-2</v>
      </c>
      <c r="AA2072">
        <v>0.75848070000000001</v>
      </c>
      <c r="AB2072">
        <v>14</v>
      </c>
      <c r="AC2072">
        <v>3.7840999999999898</v>
      </c>
      <c r="AD2072">
        <v>-1.10272798458</v>
      </c>
      <c r="AE2072">
        <v>-21.6952</v>
      </c>
      <c r="AF2072">
        <v>14.3632976650816</v>
      </c>
      <c r="AG2072">
        <v>-1.10272798458</v>
      </c>
      <c r="AH2072">
        <v>16.621488921808101</v>
      </c>
      <c r="AI2072">
        <v>92.873709008655098</v>
      </c>
      <c r="AJ2072">
        <v>49.168383591487697</v>
      </c>
      <c r="AK2072">
        <v>21.9953227482914</v>
      </c>
      <c r="AL2072">
        <v>86.641250285623002</v>
      </c>
      <c r="AM2072">
        <v>76.078653769608493</v>
      </c>
      <c r="AN2072">
        <v>0.99999996231257304</v>
      </c>
    </row>
    <row r="2073" spans="1:40" x14ac:dyDescent="0.3">
      <c r="A2073" t="str">
        <f>"20200111145950714"</f>
        <v>20200111145950714</v>
      </c>
      <c r="B2073" t="str">
        <f>"1578725990707918"</f>
        <v>1578725990707918</v>
      </c>
      <c r="C2073" t="s">
        <v>40</v>
      </c>
      <c r="D2073">
        <v>4.5678590000000003</v>
      </c>
      <c r="E2073">
        <v>0.69142289999999995</v>
      </c>
      <c r="F2073" t="s">
        <v>42</v>
      </c>
      <c r="G2073">
        <v>-195.1643</v>
      </c>
      <c r="H2073" s="1">
        <v>-1.5707799999999999E-6</v>
      </c>
      <c r="I2073">
        <v>340.04759999999999</v>
      </c>
      <c r="J2073">
        <v>-198.6251</v>
      </c>
      <c r="K2073">
        <v>1.102727</v>
      </c>
      <c r="L2073">
        <v>360.71910000000003</v>
      </c>
      <c r="M2073">
        <v>0.77196399999999998</v>
      </c>
      <c r="N2073">
        <v>0</v>
      </c>
      <c r="O2073">
        <v>-0.63551150000000001</v>
      </c>
      <c r="P2073">
        <v>0.59638459999999904</v>
      </c>
      <c r="Q2073">
        <v>4.5779680000000003E-2</v>
      </c>
      <c r="R2073">
        <v>-0.80139259999999901</v>
      </c>
      <c r="S2073">
        <v>0.56718440000000003</v>
      </c>
      <c r="T2073">
        <v>-0.1775785</v>
      </c>
      <c r="U2073">
        <v>-3.3377080000000001</v>
      </c>
      <c r="V2073">
        <v>0.2399887</v>
      </c>
      <c r="W2073">
        <v>5.8040719999999997E-2</v>
      </c>
      <c r="X2073">
        <v>0.96903910000000004</v>
      </c>
      <c r="Y2073">
        <v>0.65451910000000002</v>
      </c>
      <c r="Z2073">
        <v>1.822636E-2</v>
      </c>
      <c r="AA2073">
        <v>0.75582579999999999</v>
      </c>
      <c r="AB2073">
        <v>14</v>
      </c>
      <c r="AC2073">
        <v>3.4607999999999999</v>
      </c>
      <c r="AD2073">
        <v>-1.1027285707799901</v>
      </c>
      <c r="AE2073">
        <v>-20.671500000000002</v>
      </c>
      <c r="AF2073">
        <v>13.721645643487999</v>
      </c>
      <c r="AG2073">
        <v>-1.1027285707799901</v>
      </c>
      <c r="AH2073">
        <v>15.7665002532662</v>
      </c>
      <c r="AI2073">
        <v>93.020053428725703</v>
      </c>
      <c r="AJ2073">
        <v>48.966823823156297</v>
      </c>
      <c r="AK2073">
        <v>20.930410882314501</v>
      </c>
      <c r="AL2073">
        <v>86.672641889622</v>
      </c>
      <c r="AM2073">
        <v>76.090207663439003</v>
      </c>
      <c r="AN2073">
        <v>1.0000000393173001</v>
      </c>
    </row>
    <row r="2074" spans="1:40" x14ac:dyDescent="0.3">
      <c r="A2074" t="str">
        <f>"20200111145950728"</f>
        <v>20200111145950728</v>
      </c>
      <c r="B2074" t="str">
        <f>"1578725990717677"</f>
        <v>1578725990717677</v>
      </c>
      <c r="C2074" t="s">
        <v>40</v>
      </c>
      <c r="D2074">
        <v>4.5392919999999997</v>
      </c>
      <c r="E2074">
        <v>0.69151850000000004</v>
      </c>
      <c r="F2074" t="s">
        <v>42</v>
      </c>
      <c r="G2074">
        <v>-195.27799999999999</v>
      </c>
      <c r="H2074" s="1">
        <v>-1.826193E-6</v>
      </c>
      <c r="I2074">
        <v>340.57240000000002</v>
      </c>
      <c r="J2074">
        <v>-198.56370000000001</v>
      </c>
      <c r="K2074">
        <v>1.102735</v>
      </c>
      <c r="L2074">
        <v>360.6635</v>
      </c>
      <c r="M2074">
        <v>0.76986119999999902</v>
      </c>
      <c r="N2074">
        <v>0</v>
      </c>
      <c r="O2074">
        <v>-0.6380576</v>
      </c>
      <c r="P2074">
        <v>0.59363129999999997</v>
      </c>
      <c r="Q2074">
        <v>4.5066990000000001E-2</v>
      </c>
      <c r="R2074">
        <v>-0.80347489999999999</v>
      </c>
      <c r="S2074">
        <v>0.55503849999999999</v>
      </c>
      <c r="T2074">
        <v>-0.1828621</v>
      </c>
      <c r="U2074">
        <v>-3.3408509999999998</v>
      </c>
      <c r="V2074">
        <v>0.24013950000000001</v>
      </c>
      <c r="W2074">
        <v>5.7329980000000003E-2</v>
      </c>
      <c r="X2074">
        <v>0.96904400000000002</v>
      </c>
      <c r="Y2074">
        <v>0.65480569999999905</v>
      </c>
      <c r="Z2074">
        <v>1.8932170000000002E-2</v>
      </c>
      <c r="AA2074">
        <v>0.75556009999999996</v>
      </c>
      <c r="AB2074">
        <v>14</v>
      </c>
      <c r="AC2074">
        <v>3.2857000000000198</v>
      </c>
      <c r="AD2074">
        <v>-1.102736826193</v>
      </c>
      <c r="AE2074">
        <v>-20.091099999999901</v>
      </c>
      <c r="AF2074">
        <v>13.3330841073508</v>
      </c>
      <c r="AG2074">
        <v>-1.102736826193</v>
      </c>
      <c r="AH2074">
        <v>15.305410708763301</v>
      </c>
      <c r="AI2074">
        <v>93.109604180911901</v>
      </c>
      <c r="AJ2074">
        <v>48.939726349277301</v>
      </c>
      <c r="AK2074">
        <v>20.3283732080425</v>
      </c>
      <c r="AL2074">
        <v>86.7134320524451</v>
      </c>
      <c r="AM2074">
        <v>76.081874615138204</v>
      </c>
      <c r="AN2074">
        <v>0.99999999000152495</v>
      </c>
    </row>
    <row r="2075" spans="1:40" x14ac:dyDescent="0.3">
      <c r="A2075" t="str">
        <f>"20200111145950741"</f>
        <v>20200111145950741</v>
      </c>
      <c r="B2075" t="str">
        <f>"1578725990738173"</f>
        <v>1578725990738173</v>
      </c>
      <c r="C2075" t="s">
        <v>40</v>
      </c>
      <c r="D2075">
        <v>4.5410690000000002</v>
      </c>
      <c r="E2075">
        <v>0.69153710000000002</v>
      </c>
      <c r="F2075" t="s">
        <v>42</v>
      </c>
      <c r="G2075">
        <v>-195.32390000000001</v>
      </c>
      <c r="H2075" s="1">
        <v>-1.900054E-6</v>
      </c>
      <c r="I2075">
        <v>340.71620000000001</v>
      </c>
      <c r="J2075">
        <v>-198.50210000000001</v>
      </c>
      <c r="K2075">
        <v>1.102741</v>
      </c>
      <c r="L2075">
        <v>360.60750000000002</v>
      </c>
      <c r="M2075">
        <v>0.76773880000000005</v>
      </c>
      <c r="N2075">
        <v>0</v>
      </c>
      <c r="O2075">
        <v>-0.64060980000000001</v>
      </c>
      <c r="P2075">
        <v>0.59074069999999901</v>
      </c>
      <c r="Q2075">
        <v>4.4514440000000002E-2</v>
      </c>
      <c r="R2075">
        <v>-0.80563260000000003</v>
      </c>
      <c r="S2075">
        <v>0.54296880000000003</v>
      </c>
      <c r="T2075">
        <v>-0.18480740000000001</v>
      </c>
      <c r="U2075">
        <v>-3.3429570000000002</v>
      </c>
      <c r="V2075">
        <v>0.24042330000000001</v>
      </c>
      <c r="W2075">
        <v>5.6777269999999998E-2</v>
      </c>
      <c r="X2075">
        <v>0.96900620000000004</v>
      </c>
      <c r="Y2075">
        <v>0.65502839999999996</v>
      </c>
      <c r="Z2075">
        <v>1.9307669999999999E-2</v>
      </c>
      <c r="AA2075">
        <v>0.75535759999999996</v>
      </c>
      <c r="AB2075">
        <v>14</v>
      </c>
      <c r="AC2075">
        <v>3.1781999999999999</v>
      </c>
      <c r="AD2075">
        <v>-1.1027429000540001</v>
      </c>
      <c r="AE2075">
        <v>-19.891300000000001</v>
      </c>
      <c r="AF2075">
        <v>13.1970849088619</v>
      </c>
      <c r="AG2075">
        <v>-1.1027429000540001</v>
      </c>
      <c r="AH2075">
        <v>15.1387095428802</v>
      </c>
      <c r="AI2075">
        <v>93.142848505836895</v>
      </c>
      <c r="AJ2075">
        <v>48.919892731281202</v>
      </c>
      <c r="AK2075">
        <v>20.113667458199298</v>
      </c>
      <c r="AL2075">
        <v>86.745151764267305</v>
      </c>
      <c r="AM2075">
        <v>76.065544186041194</v>
      </c>
      <c r="AN2075">
        <v>1.00000001860499</v>
      </c>
    </row>
    <row r="2076" spans="1:40" x14ac:dyDescent="0.3">
      <c r="A2076" t="str">
        <f>"20200111145950754"</f>
        <v>20200111145950754</v>
      </c>
      <c r="B2076" t="str">
        <f>"1578725990747934"</f>
        <v>1578725990747934</v>
      </c>
      <c r="C2076" t="s">
        <v>40</v>
      </c>
      <c r="D2076">
        <v>4.5604559999999896</v>
      </c>
      <c r="E2076">
        <v>0.69161810000000001</v>
      </c>
      <c r="F2076" t="s">
        <v>42</v>
      </c>
      <c r="G2076">
        <v>-195.38800000000001</v>
      </c>
      <c r="H2076" s="1">
        <v>-2.0354870000000001E-6</v>
      </c>
      <c r="I2076">
        <v>340.99209999999999</v>
      </c>
      <c r="J2076">
        <v>-198.4342</v>
      </c>
      <c r="K2076">
        <v>1.1027450000000001</v>
      </c>
      <c r="L2076">
        <v>360.54500000000002</v>
      </c>
      <c r="M2076">
        <v>0.76538099999999998</v>
      </c>
      <c r="N2076">
        <v>0</v>
      </c>
      <c r="O2076">
        <v>-0.64342460000000001</v>
      </c>
      <c r="P2076">
        <v>0.58777400000000002</v>
      </c>
      <c r="Q2076">
        <v>4.4134859999999998E-2</v>
      </c>
      <c r="R2076">
        <v>-0.80782080000000001</v>
      </c>
      <c r="S2076">
        <v>0.53102109999999902</v>
      </c>
      <c r="T2076">
        <v>-0.18804019999999999</v>
      </c>
      <c r="U2076">
        <v>-3.3448180000000001</v>
      </c>
      <c r="V2076">
        <v>0.24044119999999999</v>
      </c>
      <c r="W2076">
        <v>5.639976E-2</v>
      </c>
      <c r="X2076">
        <v>0.96902379999999999</v>
      </c>
      <c r="Y2076">
        <v>0.65494779999999997</v>
      </c>
      <c r="Z2076">
        <v>1.9852439999999999E-2</v>
      </c>
      <c r="AA2076">
        <v>0.75541340000000001</v>
      </c>
      <c r="AB2076">
        <v>14</v>
      </c>
      <c r="AC2076">
        <v>3.04619999999999</v>
      </c>
      <c r="AD2076">
        <v>-1.1027470354869999</v>
      </c>
      <c r="AE2076">
        <v>-19.552900000000001</v>
      </c>
      <c r="AF2076">
        <v>12.9664318026782</v>
      </c>
      <c r="AG2076">
        <v>-1.1027470354869999</v>
      </c>
      <c r="AH2076">
        <v>14.8676178076547</v>
      </c>
      <c r="AI2076">
        <v>93.199445062763402</v>
      </c>
      <c r="AJ2076">
        <v>48.907480398999702</v>
      </c>
      <c r="AK2076">
        <v>19.75830114135</v>
      </c>
      <c r="AL2076">
        <v>86.766816195113407</v>
      </c>
      <c r="AM2076">
        <v>76.064790409096005</v>
      </c>
      <c r="AN2076">
        <v>1.00000001427596</v>
      </c>
    </row>
    <row r="2077" spans="1:40" x14ac:dyDescent="0.3">
      <c r="A2077" t="str">
        <f>"20200111145950927"</f>
        <v>20200111145950927</v>
      </c>
      <c r="B2077" t="str">
        <f>"1578725990917757"</f>
        <v>1578725990917757</v>
      </c>
      <c r="C2077" t="s">
        <v>40</v>
      </c>
      <c r="D2077">
        <v>4.6754290000000003</v>
      </c>
      <c r="E2077">
        <v>0.69202240000000004</v>
      </c>
      <c r="F2077" t="s">
        <v>42</v>
      </c>
      <c r="G2077">
        <v>-195.45959999999999</v>
      </c>
      <c r="H2077" s="1">
        <v>-2.1982430000000001E-6</v>
      </c>
      <c r="I2077">
        <v>341.32709999999997</v>
      </c>
      <c r="J2077">
        <v>-197.6301</v>
      </c>
      <c r="K2077">
        <v>1.1028290000000001</v>
      </c>
      <c r="L2077">
        <v>359.77100000000002</v>
      </c>
      <c r="M2077">
        <v>0.73605849999999995</v>
      </c>
      <c r="N2077">
        <v>0</v>
      </c>
      <c r="O2077">
        <v>-0.67677379999999998</v>
      </c>
      <c r="P2077">
        <v>0.54507190000000005</v>
      </c>
      <c r="Q2077">
        <v>4.2145420000000003E-2</v>
      </c>
      <c r="R2077">
        <v>-0.83732989999999996</v>
      </c>
      <c r="S2077">
        <v>0.51808169999999998</v>
      </c>
      <c r="T2077">
        <v>-0.19206580000000001</v>
      </c>
      <c r="U2077">
        <v>-3.3471980000000001</v>
      </c>
      <c r="V2077">
        <v>0.2477492</v>
      </c>
      <c r="W2077">
        <v>5.4359159999999997E-2</v>
      </c>
      <c r="X2077">
        <v>0.96729799999999999</v>
      </c>
      <c r="Y2077">
        <v>0.62383529999999998</v>
      </c>
      <c r="Z2077">
        <v>2.3735869999999999E-2</v>
      </c>
      <c r="AA2077">
        <v>0.78119530000000004</v>
      </c>
      <c r="AB2077">
        <v>14</v>
      </c>
      <c r="AC2077">
        <v>2.1705000000000001</v>
      </c>
      <c r="AD2077">
        <v>-1.1028311982429999</v>
      </c>
      <c r="AE2077">
        <v>-18.4438999999999</v>
      </c>
      <c r="AF2077">
        <v>12.065484594255601</v>
      </c>
      <c r="AG2077">
        <v>-1.1028311982429999</v>
      </c>
      <c r="AH2077">
        <v>14.0318542063676</v>
      </c>
      <c r="AI2077">
        <v>93.410419573990694</v>
      </c>
      <c r="AJ2077">
        <v>49.308952552059097</v>
      </c>
      <c r="AK2077">
        <v>18.538745578242199</v>
      </c>
      <c r="AL2077">
        <v>86.883913645324</v>
      </c>
      <c r="AM2077">
        <v>75.633942197610807</v>
      </c>
      <c r="AN2077">
        <v>1.00000000259027</v>
      </c>
    </row>
    <row r="2078" spans="1:40" x14ac:dyDescent="0.3">
      <c r="A2078" t="str">
        <f>"20200111145950971"</f>
        <v>20200111145950971</v>
      </c>
      <c r="B2078" t="str">
        <f>"1578725990967533"</f>
        <v>1578725990967533</v>
      </c>
      <c r="C2078" t="s">
        <v>40</v>
      </c>
      <c r="D2078">
        <v>4.4540759999999997</v>
      </c>
      <c r="E2078">
        <v>0.69202240000000004</v>
      </c>
      <c r="F2078" t="s">
        <v>42</v>
      </c>
      <c r="G2078">
        <v>-195.7647</v>
      </c>
      <c r="H2078" s="1">
        <v>-2.3101510000000001E-6</v>
      </c>
      <c r="I2078">
        <v>341.39870000000002</v>
      </c>
      <c r="J2078">
        <v>-197.43809999999999</v>
      </c>
      <c r="K2078">
        <v>1.1028639999999901</v>
      </c>
      <c r="L2078">
        <v>359.57560000000001</v>
      </c>
      <c r="M2078">
        <v>0.72862950000000004</v>
      </c>
      <c r="N2078">
        <v>0</v>
      </c>
      <c r="O2078">
        <v>-0.68476559999999997</v>
      </c>
      <c r="P2078">
        <v>0.53454729999999995</v>
      </c>
      <c r="Q2078">
        <v>4.4158309999999999E-2</v>
      </c>
      <c r="R2078">
        <v>-0.84398439999999997</v>
      </c>
      <c r="S2078">
        <v>0.34219359999999999</v>
      </c>
      <c r="T2078">
        <v>-0.20230480000000001</v>
      </c>
      <c r="U2078">
        <v>-3.3702390000000002</v>
      </c>
      <c r="V2078">
        <v>0.24923609999999999</v>
      </c>
      <c r="W2078">
        <v>5.6359760000000002E-2</v>
      </c>
      <c r="X2078">
        <v>0.96680140000000003</v>
      </c>
      <c r="Y2078">
        <v>0.65564019999999901</v>
      </c>
      <c r="Z2078">
        <v>2.4608709999999999E-2</v>
      </c>
      <c r="AA2078">
        <v>0.75467229999999996</v>
      </c>
      <c r="AB2078">
        <v>14</v>
      </c>
      <c r="AC2078">
        <v>1.67339999999998</v>
      </c>
      <c r="AD2078">
        <v>-1.1028663101509999</v>
      </c>
      <c r="AE2078">
        <v>-18.1768999999999</v>
      </c>
      <c r="AF2078">
        <v>12.055511843998699</v>
      </c>
      <c r="AG2078">
        <v>-1.1028663101509999</v>
      </c>
      <c r="AH2078">
        <v>13.6178273863852</v>
      </c>
      <c r="AI2078">
        <v>93.470116266541893</v>
      </c>
      <c r="AJ2078">
        <v>48.482361052876797</v>
      </c>
      <c r="AK2078">
        <v>18.2207821633497</v>
      </c>
      <c r="AL2078">
        <v>86.769111636356598</v>
      </c>
      <c r="AM2078">
        <v>75.5442107349689</v>
      </c>
      <c r="AN2078">
        <v>1.0000000015662101</v>
      </c>
    </row>
    <row r="2079" spans="1:40" x14ac:dyDescent="0.3">
      <c r="A2079" t="str">
        <f>"20200111145950985"</f>
        <v>20200111145950985</v>
      </c>
      <c r="B2079" t="str">
        <f>"1578725990977294"</f>
        <v>1578725990977294</v>
      </c>
      <c r="C2079" t="s">
        <v>40</v>
      </c>
      <c r="D2079">
        <v>4.2425680000000003</v>
      </c>
      <c r="E2079">
        <v>0.67182430000000004</v>
      </c>
      <c r="F2079" t="s">
        <v>42</v>
      </c>
      <c r="G2079">
        <v>-195.7586</v>
      </c>
      <c r="H2079" s="1">
        <v>-2.024154E-6</v>
      </c>
      <c r="I2079">
        <v>340.73590000000002</v>
      </c>
      <c r="J2079">
        <v>-197.37530000000001</v>
      </c>
      <c r="K2079">
        <v>1.1028690000000001</v>
      </c>
      <c r="L2079">
        <v>359.51080000000002</v>
      </c>
      <c r="M2079">
        <v>0.72616400000000003</v>
      </c>
      <c r="N2079">
        <v>0</v>
      </c>
      <c r="O2079">
        <v>-0.68737969999999904</v>
      </c>
      <c r="P2079">
        <v>0.53130290000000002</v>
      </c>
      <c r="Q2079">
        <v>4.4441040000000001E-2</v>
      </c>
      <c r="R2079">
        <v>-0.84601569999999904</v>
      </c>
      <c r="S2079">
        <v>0.30081180000000002</v>
      </c>
      <c r="T2079">
        <v>-0.1975325</v>
      </c>
      <c r="U2079">
        <v>-3.3743590000000001</v>
      </c>
      <c r="V2079">
        <v>0.24946370000000001</v>
      </c>
      <c r="W2079">
        <v>5.6641110000000001E-2</v>
      </c>
      <c r="X2079">
        <v>0.96672619999999998</v>
      </c>
      <c r="Y2079">
        <v>0.66216960000000002</v>
      </c>
      <c r="Z2079">
        <v>2.4024750000000001E-2</v>
      </c>
      <c r="AA2079">
        <v>0.74896870000000004</v>
      </c>
      <c r="AB2079">
        <v>14</v>
      </c>
      <c r="AC2079">
        <v>1.6167</v>
      </c>
      <c r="AD2079">
        <v>-1.1028710241540001</v>
      </c>
      <c r="AE2079">
        <v>-18.774899999999999</v>
      </c>
      <c r="AF2079">
        <v>12.4808414215005</v>
      </c>
      <c r="AG2079">
        <v>-1.1028710241540001</v>
      </c>
      <c r="AH2079">
        <v>14.032782295192099</v>
      </c>
      <c r="AI2079">
        <v>93.360872558231506</v>
      </c>
      <c r="AJ2079">
        <v>48.349912454952403</v>
      </c>
      <c r="AK2079">
        <v>18.812408299545801</v>
      </c>
      <c r="AL2079">
        <v>86.752965507108101</v>
      </c>
      <c r="AM2079">
        <v>75.5304854569859</v>
      </c>
      <c r="AN2079">
        <v>0.99999994936307901</v>
      </c>
    </row>
    <row r="2080" spans="1:40" x14ac:dyDescent="0.3">
      <c r="A2080" t="str">
        <f>"20200111145950997"</f>
        <v>20200111145950997</v>
      </c>
      <c r="B2080" t="str">
        <f>"1578725990988029"</f>
        <v>1578725990988029</v>
      </c>
      <c r="C2080" t="s">
        <v>40</v>
      </c>
      <c r="D2080">
        <v>4.3199059999999996</v>
      </c>
      <c r="E2080">
        <v>0.66980969999999995</v>
      </c>
      <c r="F2080" t="s">
        <v>52</v>
      </c>
      <c r="G2080">
        <v>-187.77359999999999</v>
      </c>
      <c r="H2080" s="1">
        <v>3.4705730000000002E-6</v>
      </c>
      <c r="I2080">
        <v>285.92140000000001</v>
      </c>
      <c r="J2080">
        <v>-197.31450000000001</v>
      </c>
      <c r="K2080">
        <v>1.1028789999999999</v>
      </c>
      <c r="L2080">
        <v>359.44779999999997</v>
      </c>
      <c r="M2080">
        <v>0.72376249999999998</v>
      </c>
      <c r="N2080">
        <v>0</v>
      </c>
      <c r="O2080">
        <v>-0.68990779999999996</v>
      </c>
      <c r="P2080">
        <v>0.528312</v>
      </c>
      <c r="Q2080">
        <v>4.4895930000000001E-2</v>
      </c>
      <c r="R2080">
        <v>-0.84786260000000002</v>
      </c>
      <c r="S2080">
        <v>0.427948</v>
      </c>
      <c r="T2080">
        <v>-4.9155119999999997E-2</v>
      </c>
      <c r="U2080">
        <v>-3.2799070000000001</v>
      </c>
      <c r="V2080">
        <v>0.2494903</v>
      </c>
      <c r="W2080">
        <v>5.7096239999999999E-2</v>
      </c>
      <c r="X2080">
        <v>0.96669260000000001</v>
      </c>
      <c r="Y2080">
        <v>0.62847379999999997</v>
      </c>
      <c r="Z2080">
        <v>6.4504690000000003E-3</v>
      </c>
      <c r="AA2080">
        <v>0.7778041</v>
      </c>
      <c r="AB2080">
        <v>14</v>
      </c>
      <c r="AC2080">
        <v>9.5409000000000201</v>
      </c>
      <c r="AD2080">
        <v>-1.1028755294270001</v>
      </c>
      <c r="AE2080">
        <v>-73.526399999999896</v>
      </c>
      <c r="AF2080">
        <v>46.627541734193102</v>
      </c>
      <c r="AG2080">
        <v>-1.1028755294270001</v>
      </c>
      <c r="AH2080">
        <v>57.624654097801901</v>
      </c>
      <c r="AI2080">
        <v>90.852401047898496</v>
      </c>
      <c r="AJ2080">
        <v>51.021614757457201</v>
      </c>
      <c r="AK2080">
        <v>74.1346392889225</v>
      </c>
      <c r="AL2080">
        <v>86.726846329908597</v>
      </c>
      <c r="AM2080">
        <v>75.528525509892106</v>
      </c>
      <c r="AN2080">
        <v>0.99999998665549295</v>
      </c>
    </row>
    <row r="2081" spans="1:40" x14ac:dyDescent="0.3">
      <c r="A2081" t="str">
        <f>"20200111145951108"</f>
        <v>20200111145951108</v>
      </c>
      <c r="B2081" t="str">
        <f>"1578725991097341"</f>
        <v>1578725991097341</v>
      </c>
      <c r="C2081" t="s">
        <v>40</v>
      </c>
      <c r="D2081">
        <v>4.6621779999999999</v>
      </c>
      <c r="E2081">
        <v>0.66943629999999998</v>
      </c>
      <c r="F2081" t="s">
        <v>42</v>
      </c>
      <c r="G2081">
        <v>-185.1799</v>
      </c>
      <c r="H2081" s="1">
        <v>-4.0587790000000001E-6</v>
      </c>
      <c r="I2081">
        <v>267.10079999999999</v>
      </c>
      <c r="J2081">
        <v>-196.84569999999999</v>
      </c>
      <c r="K2081">
        <v>1.1029450000000001</v>
      </c>
      <c r="L2081">
        <v>358.94490000000002</v>
      </c>
      <c r="M2081">
        <v>0.70459740000000004</v>
      </c>
      <c r="N2081">
        <v>0</v>
      </c>
      <c r="O2081">
        <v>-0.70947059999999995</v>
      </c>
      <c r="P2081">
        <v>0.50435350000000001</v>
      </c>
      <c r="Q2081">
        <v>4.5877370000000001E-2</v>
      </c>
      <c r="R2081">
        <v>-0.86227790000000004</v>
      </c>
      <c r="S2081">
        <v>0.4300079</v>
      </c>
      <c r="T2081">
        <v>-3.908205E-2</v>
      </c>
      <c r="U2081">
        <v>-3.2724299999999999</v>
      </c>
      <c r="V2081">
        <v>0.25005830000000001</v>
      </c>
      <c r="W2081">
        <v>5.8079749999999999E-2</v>
      </c>
      <c r="X2081">
        <v>0.96648719999999999</v>
      </c>
      <c r="Y2081">
        <v>0.60621510000000001</v>
      </c>
      <c r="Z2081">
        <v>5.5838859999999997E-3</v>
      </c>
      <c r="AA2081">
        <v>0.79528109999999996</v>
      </c>
      <c r="AB2081">
        <v>14</v>
      </c>
      <c r="AC2081">
        <v>11.6657999999999</v>
      </c>
      <c r="AD2081">
        <v>-1.1029490587790001</v>
      </c>
      <c r="AE2081">
        <v>-91.844099999999997</v>
      </c>
      <c r="AF2081">
        <v>56.434036906212299</v>
      </c>
      <c r="AG2081">
        <v>-1.1029490587790001</v>
      </c>
      <c r="AH2081">
        <v>73.3770849619969</v>
      </c>
      <c r="AI2081">
        <v>90.682641266168005</v>
      </c>
      <c r="AJ2081">
        <v>52.436252421327097</v>
      </c>
      <c r="AK2081">
        <v>92.575448233741199</v>
      </c>
      <c r="AL2081">
        <v>86.6704015898287</v>
      </c>
      <c r="AM2081">
        <v>75.494014860723595</v>
      </c>
      <c r="AN2081">
        <v>0.99999995926139496</v>
      </c>
    </row>
    <row r="2082" spans="1:40" x14ac:dyDescent="0.3">
      <c r="A2082" t="str">
        <f>"20200111145951261"</f>
        <v>20200111145951261</v>
      </c>
      <c r="B2082" t="str">
        <f>"1578725991258381"</f>
        <v>1578725991258381</v>
      </c>
      <c r="C2082" t="s">
        <v>40</v>
      </c>
      <c r="D2082">
        <v>4.6662319999999999</v>
      </c>
      <c r="E2082">
        <v>0.67038169999999897</v>
      </c>
      <c r="F2082" t="s">
        <v>42</v>
      </c>
      <c r="G2082">
        <v>-191.8013</v>
      </c>
      <c r="H2082" s="1">
        <v>-8.3798040000000001E-7</v>
      </c>
      <c r="I2082">
        <v>310.35050000000001</v>
      </c>
      <c r="J2082">
        <v>-196.21860000000001</v>
      </c>
      <c r="K2082">
        <v>1.1030180000000001</v>
      </c>
      <c r="L2082">
        <v>358.22699999999998</v>
      </c>
      <c r="M2082">
        <v>0.67714929999999995</v>
      </c>
      <c r="N2082">
        <v>0</v>
      </c>
      <c r="O2082">
        <v>-0.73571439999999999</v>
      </c>
      <c r="P2082">
        <v>0.47135110000000002</v>
      </c>
      <c r="Q2082">
        <v>4.465856E-2</v>
      </c>
      <c r="R2082">
        <v>-0.88081430000000005</v>
      </c>
      <c r="S2082">
        <v>0.34086609999999901</v>
      </c>
      <c r="T2082">
        <v>-7.4529769999999995E-2</v>
      </c>
      <c r="U2082">
        <v>-3.2836910000000001</v>
      </c>
      <c r="V2082">
        <v>0.24997030000000001</v>
      </c>
      <c r="W2082">
        <v>5.6871530000000003E-2</v>
      </c>
      <c r="X2082">
        <v>0.96658180000000005</v>
      </c>
      <c r="Y2082">
        <v>0.59761330000000001</v>
      </c>
      <c r="Z2082">
        <v>1.15376E-2</v>
      </c>
      <c r="AA2082">
        <v>0.80170149999999996</v>
      </c>
      <c r="AB2082">
        <v>14</v>
      </c>
      <c r="AC2082">
        <v>4.4173000000000098</v>
      </c>
      <c r="AD2082">
        <v>-1.10301883798039</v>
      </c>
      <c r="AE2082">
        <v>-47.876499999999901</v>
      </c>
      <c r="AF2082">
        <v>29.157139043961202</v>
      </c>
      <c r="AG2082">
        <v>-1.10301883798039</v>
      </c>
      <c r="AH2082">
        <v>38.198189130475399</v>
      </c>
      <c r="AI2082">
        <v>91.314906081531007</v>
      </c>
      <c r="AJ2082">
        <v>52.645068787673303</v>
      </c>
      <c r="AK2082">
        <v>48.067213988678297</v>
      </c>
      <c r="AL2082">
        <v>86.739742096209795</v>
      </c>
      <c r="AM2082">
        <v>75.500263924352694</v>
      </c>
      <c r="AN2082">
        <v>0.99999994894893396</v>
      </c>
    </row>
    <row r="2083" spans="1:40" x14ac:dyDescent="0.3">
      <c r="A2083" t="str">
        <f>"20200111145951275"</f>
        <v>20200111145951275</v>
      </c>
      <c r="B2083" t="str">
        <f>"1578725991268142"</f>
        <v>1578725991268142</v>
      </c>
      <c r="C2083" t="s">
        <v>40</v>
      </c>
      <c r="D2083">
        <v>4.6218300000000001</v>
      </c>
      <c r="E2083">
        <v>0.67097479999999998</v>
      </c>
      <c r="F2083" t="s">
        <v>42</v>
      </c>
      <c r="G2083">
        <v>-193.43960000000001</v>
      </c>
      <c r="H2083" s="1">
        <v>-3.2366859999999999E-6</v>
      </c>
      <c r="I2083">
        <v>314.5027</v>
      </c>
      <c r="J2083">
        <v>-196.1576</v>
      </c>
      <c r="K2083">
        <v>1.1030260000000001</v>
      </c>
      <c r="L2083">
        <v>358.15410000000003</v>
      </c>
      <c r="M2083">
        <v>0.67435819999999902</v>
      </c>
      <c r="N2083">
        <v>0</v>
      </c>
      <c r="O2083">
        <v>-0.73827369999999903</v>
      </c>
      <c r="P2083">
        <v>0.46809499999999998</v>
      </c>
      <c r="Q2083">
        <v>4.4861190000000002E-2</v>
      </c>
      <c r="R2083">
        <v>-0.88253879999999996</v>
      </c>
      <c r="S2083">
        <v>0.20960999999999999</v>
      </c>
      <c r="T2083">
        <v>-8.3197119999999999E-2</v>
      </c>
      <c r="U2083">
        <v>-3.297974</v>
      </c>
      <c r="V2083">
        <v>0.24987239999999999</v>
      </c>
      <c r="W2083">
        <v>5.707624E-2</v>
      </c>
      <c r="X2083">
        <v>0.96659510000000004</v>
      </c>
      <c r="Y2083">
        <v>0.62621139999999997</v>
      </c>
      <c r="Z2083">
        <v>1.261081E-2</v>
      </c>
      <c r="AA2083">
        <v>0.77955129999999995</v>
      </c>
      <c r="AB2083">
        <v>14</v>
      </c>
      <c r="AC2083">
        <v>2.71799999999998</v>
      </c>
      <c r="AD2083">
        <v>-1.1030292366859999</v>
      </c>
      <c r="AE2083">
        <v>-43.651400000000002</v>
      </c>
      <c r="AF2083">
        <v>27.415260762730401</v>
      </c>
      <c r="AG2083">
        <v>-1.1030292366859999</v>
      </c>
      <c r="AH2083">
        <v>34.041220541238999</v>
      </c>
      <c r="AI2083">
        <v>91.445623476517696</v>
      </c>
      <c r="AJ2083">
        <v>51.153601679837898</v>
      </c>
      <c r="AK2083">
        <v>43.7220526979551</v>
      </c>
      <c r="AL2083">
        <v>86.727994162285697</v>
      </c>
      <c r="AM2083">
        <v>75.505894493047705</v>
      </c>
      <c r="AN2083">
        <v>1.00000000039915</v>
      </c>
    </row>
    <row r="2084" spans="1:40" x14ac:dyDescent="0.3">
      <c r="A2084" t="str">
        <f>"20200111145951307"</f>
        <v>20200111145951307</v>
      </c>
      <c r="B2084" t="str">
        <f>"1578725991297421"</f>
        <v>1578725991297421</v>
      </c>
      <c r="C2084" t="s">
        <v>40</v>
      </c>
      <c r="D2084">
        <v>4.5941689999999999</v>
      </c>
      <c r="E2084">
        <v>0.67152599999999996</v>
      </c>
      <c r="F2084" t="s">
        <v>42</v>
      </c>
      <c r="G2084">
        <v>-193.34389999999999</v>
      </c>
      <c r="H2084" s="1">
        <v>-1.1294210000000001E-6</v>
      </c>
      <c r="I2084">
        <v>310.09870000000001</v>
      </c>
      <c r="J2084">
        <v>-196.03729999999999</v>
      </c>
      <c r="K2084">
        <v>1.103037</v>
      </c>
      <c r="L2084">
        <v>358.00869999999998</v>
      </c>
      <c r="M2084">
        <v>0.66878859999999996</v>
      </c>
      <c r="N2084">
        <v>0</v>
      </c>
      <c r="O2084">
        <v>-0.74332279999999995</v>
      </c>
      <c r="P2084">
        <v>0.46212969999999998</v>
      </c>
      <c r="Q2084">
        <v>4.5318879999999999E-2</v>
      </c>
      <c r="R2084">
        <v>-0.88565339999999904</v>
      </c>
      <c r="S2084">
        <v>0.1932526</v>
      </c>
      <c r="T2084">
        <v>-7.5760129999999995E-2</v>
      </c>
      <c r="U2084">
        <v>-3.3006289999999998</v>
      </c>
      <c r="V2084">
        <v>0.249111</v>
      </c>
      <c r="W2084">
        <v>5.7541340000000003E-2</v>
      </c>
      <c r="X2084">
        <v>0.96676399999999996</v>
      </c>
      <c r="Y2084">
        <v>0.62424080000000004</v>
      </c>
      <c r="Z2084">
        <v>1.166058E-2</v>
      </c>
      <c r="AA2084">
        <v>0.78114499999999998</v>
      </c>
      <c r="AB2084">
        <v>14</v>
      </c>
      <c r="AC2084">
        <v>2.6933999999999898</v>
      </c>
      <c r="AD2084">
        <v>-1.1030381294210001</v>
      </c>
      <c r="AE2084">
        <v>-47.909999999999897</v>
      </c>
      <c r="AF2084">
        <v>30.026629883688901</v>
      </c>
      <c r="AG2084">
        <v>-1.1030381294210001</v>
      </c>
      <c r="AH2084">
        <v>37.397761196120499</v>
      </c>
      <c r="AI2084">
        <v>91.317512205565507</v>
      </c>
      <c r="AJ2084">
        <v>51.239049615968497</v>
      </c>
      <c r="AK2084">
        <v>47.972989668865203</v>
      </c>
      <c r="AL2084">
        <v>86.701301906006293</v>
      </c>
      <c r="AM2084">
        <v>75.550627214181802</v>
      </c>
      <c r="AN2084">
        <v>0.99999996391299695</v>
      </c>
    </row>
    <row r="2085" spans="1:40" x14ac:dyDescent="0.3">
      <c r="A2085" t="str">
        <f>"20200111145951319"</f>
        <v>20200111145951319</v>
      </c>
      <c r="B2085" t="str">
        <f>"1578725991317917"</f>
        <v>1578725991317917</v>
      </c>
      <c r="C2085" t="s">
        <v>40</v>
      </c>
      <c r="D2085">
        <v>4.563015</v>
      </c>
      <c r="E2085">
        <v>0.67093440000000004</v>
      </c>
      <c r="F2085" t="s">
        <v>42</v>
      </c>
      <c r="G2085">
        <v>-193.55250000000001</v>
      </c>
      <c r="H2085" s="1">
        <v>-4.672027E-6</v>
      </c>
      <c r="I2085">
        <v>308.86399999999998</v>
      </c>
      <c r="J2085">
        <v>-195.98609999999999</v>
      </c>
      <c r="K2085">
        <v>1.1030450000000001</v>
      </c>
      <c r="L2085">
        <v>357.94619999999998</v>
      </c>
      <c r="M2085">
        <v>0.66638999999999904</v>
      </c>
      <c r="N2085">
        <v>0</v>
      </c>
      <c r="O2085">
        <v>-0.74547379999999996</v>
      </c>
      <c r="P2085">
        <v>0.45973059999999899</v>
      </c>
      <c r="Q2085">
        <v>4.5327369999999999E-2</v>
      </c>
      <c r="R2085">
        <v>-0.88690100000000005</v>
      </c>
      <c r="S2085">
        <v>0.16705320000000001</v>
      </c>
      <c r="T2085">
        <v>-7.4156520000000004E-2</v>
      </c>
      <c r="U2085">
        <v>-3.3039550000000002</v>
      </c>
      <c r="V2085">
        <v>0.24861150000000001</v>
      </c>
      <c r="W2085">
        <v>5.7555149999999999E-2</v>
      </c>
      <c r="X2085">
        <v>0.96689179999999997</v>
      </c>
      <c r="Y2085">
        <v>0.62793889999999997</v>
      </c>
      <c r="Z2085">
        <v>1.143458E-2</v>
      </c>
      <c r="AA2085">
        <v>0.778178699999999</v>
      </c>
      <c r="AB2085">
        <v>14</v>
      </c>
      <c r="AC2085">
        <v>2.4335999999999798</v>
      </c>
      <c r="AD2085">
        <v>-1.103049672027</v>
      </c>
      <c r="AE2085">
        <v>-49.082199999999901</v>
      </c>
      <c r="AF2085">
        <v>30.881128153079899</v>
      </c>
      <c r="AG2085">
        <v>-1.103049672027</v>
      </c>
      <c r="AH2085">
        <v>38.195668477242599</v>
      </c>
      <c r="AI2085">
        <v>91.286489549832993</v>
      </c>
      <c r="AJ2085">
        <v>51.044524077821698</v>
      </c>
      <c r="AK2085">
        <v>49.1301321493168</v>
      </c>
      <c r="AL2085">
        <v>86.700509500118002</v>
      </c>
      <c r="AM2085">
        <v>75.580217356107696</v>
      </c>
      <c r="AN2085">
        <v>1.0000000130655</v>
      </c>
    </row>
    <row r="2086" spans="1:40" x14ac:dyDescent="0.3">
      <c r="A2086" t="str">
        <f>"20200111145951334"</f>
        <v>20200111145951334</v>
      </c>
      <c r="B2086" t="str">
        <f>"1578725991327677"</f>
        <v>1578725991327677</v>
      </c>
      <c r="C2086" t="s">
        <v>40</v>
      </c>
      <c r="D2086">
        <v>4.6167040000000004</v>
      </c>
      <c r="E2086">
        <v>0.67104010000000003</v>
      </c>
      <c r="F2086" t="s">
        <v>42</v>
      </c>
      <c r="G2086">
        <v>-193.47470000000001</v>
      </c>
      <c r="H2086" s="1">
        <v>-4.0011370000000001E-6</v>
      </c>
      <c r="I2086">
        <v>306.93310000000002</v>
      </c>
      <c r="J2086">
        <v>-195.93219999999999</v>
      </c>
      <c r="K2086">
        <v>1.1030530000000001</v>
      </c>
      <c r="L2086">
        <v>357.87990000000002</v>
      </c>
      <c r="M2086">
        <v>0.66384679999999996</v>
      </c>
      <c r="N2086">
        <v>0</v>
      </c>
      <c r="O2086">
        <v>-0.74773959999999995</v>
      </c>
      <c r="P2086">
        <v>0.4567293</v>
      </c>
      <c r="Q2086">
        <v>4.52573E-2</v>
      </c>
      <c r="R2086">
        <v>-0.88845399999999997</v>
      </c>
      <c r="S2086">
        <v>0.1625519</v>
      </c>
      <c r="T2086">
        <v>-7.1397420000000003E-2</v>
      </c>
      <c r="U2086">
        <v>-3.3019409999999998</v>
      </c>
      <c r="V2086">
        <v>0.24858820000000001</v>
      </c>
      <c r="W2086">
        <v>5.7486120000000002E-2</v>
      </c>
      <c r="X2086">
        <v>0.96690189999999998</v>
      </c>
      <c r="Y2086">
        <v>0.6263223</v>
      </c>
      <c r="Z2086">
        <v>1.110179E-2</v>
      </c>
      <c r="AA2086">
        <v>0.77948519999999999</v>
      </c>
      <c r="AB2086">
        <v>14</v>
      </c>
      <c r="AC2086">
        <v>2.45749999999998</v>
      </c>
      <c r="AD2086">
        <v>-1.103057001137</v>
      </c>
      <c r="AE2086">
        <v>-50.946800000000003</v>
      </c>
      <c r="AF2086">
        <v>31.971433050161</v>
      </c>
      <c r="AG2086">
        <v>-1.103057001137</v>
      </c>
      <c r="AH2086">
        <v>39.7116033646682</v>
      </c>
      <c r="AI2086">
        <v>91.239465160221897</v>
      </c>
      <c r="AJ2086">
        <v>51.162790196833598</v>
      </c>
      <c r="AK2086">
        <v>50.994124248009399</v>
      </c>
      <c r="AL2086">
        <v>86.704471195706105</v>
      </c>
      <c r="AM2086">
        <v>75.581656779405407</v>
      </c>
      <c r="AN2086">
        <v>1.00000001569775</v>
      </c>
    </row>
    <row r="2087" spans="1:40" x14ac:dyDescent="0.3">
      <c r="A2087" t="str">
        <f>"20200111145951396"</f>
        <v>20200111145951396</v>
      </c>
      <c r="B2087" t="str">
        <f>"1578725991388191"</f>
        <v>1578725991388191</v>
      </c>
      <c r="C2087" t="s">
        <v>40</v>
      </c>
      <c r="D2087">
        <v>4.5772050000000002</v>
      </c>
      <c r="E2087">
        <v>0.67011999999999905</v>
      </c>
      <c r="F2087" t="s">
        <v>42</v>
      </c>
      <c r="G2087">
        <v>-193.7388</v>
      </c>
      <c r="H2087" s="1">
        <v>-1.0901200000000001E-6</v>
      </c>
      <c r="I2087">
        <v>309.79329999999999</v>
      </c>
      <c r="J2087">
        <v>-195.69589999999999</v>
      </c>
      <c r="K2087">
        <v>1.103073</v>
      </c>
      <c r="L2087">
        <v>357.58370000000002</v>
      </c>
      <c r="M2087">
        <v>0.65247250000000001</v>
      </c>
      <c r="N2087">
        <v>0</v>
      </c>
      <c r="O2087">
        <v>-0.75768550000000001</v>
      </c>
      <c r="P2087">
        <v>0.44729629999999998</v>
      </c>
      <c r="Q2087">
        <v>4.6184280000000001E-2</v>
      </c>
      <c r="R2087">
        <v>-0.89319289999999996</v>
      </c>
      <c r="S2087">
        <v>0.150665299999999</v>
      </c>
      <c r="T2087">
        <v>-7.5768829999999995E-2</v>
      </c>
      <c r="U2087">
        <v>-3.3030699999999902</v>
      </c>
      <c r="V2087">
        <v>0.2441798</v>
      </c>
      <c r="W2087">
        <v>5.8451999999999997E-2</v>
      </c>
      <c r="X2087">
        <v>0.96796669999999996</v>
      </c>
      <c r="Y2087">
        <v>0.61731250000000004</v>
      </c>
      <c r="Z2087">
        <v>1.219524E-2</v>
      </c>
      <c r="AA2087">
        <v>0.78662349999999903</v>
      </c>
      <c r="AB2087">
        <v>13</v>
      </c>
      <c r="AC2087">
        <v>1.9570999999999901</v>
      </c>
      <c r="AD2087">
        <v>-1.10307409012</v>
      </c>
      <c r="AE2087">
        <v>-47.790399999999998</v>
      </c>
      <c r="AF2087">
        <v>29.686122772842701</v>
      </c>
      <c r="AG2087">
        <v>-1.10307409012</v>
      </c>
      <c r="AH2087">
        <v>37.4707230045587</v>
      </c>
      <c r="AI2087">
        <v>91.321833196756003</v>
      </c>
      <c r="AJ2087">
        <v>51.612028725292703</v>
      </c>
      <c r="AK2087">
        <v>47.817755491207997</v>
      </c>
      <c r="AL2087">
        <v>86.649036980148495</v>
      </c>
      <c r="AM2087">
        <v>75.841921042082305</v>
      </c>
      <c r="AN2087">
        <v>0.99999997167046395</v>
      </c>
    </row>
    <row r="2088" spans="1:40" x14ac:dyDescent="0.3">
      <c r="A2088" t="str">
        <f>"20200111145951409"</f>
        <v>20200111145951409</v>
      </c>
      <c r="B2088" t="str">
        <f>"1578725991407709"</f>
        <v>1578725991407709</v>
      </c>
      <c r="C2088" t="s">
        <v>40</v>
      </c>
      <c r="D2088">
        <v>4.5413189999999997</v>
      </c>
      <c r="E2088">
        <v>0.66964579999999996</v>
      </c>
      <c r="F2088" t="s">
        <v>42</v>
      </c>
      <c r="G2088">
        <v>-193.8133</v>
      </c>
      <c r="H2088" s="1">
        <v>-3.9876870000000002E-6</v>
      </c>
      <c r="I2088">
        <v>306.71710000000002</v>
      </c>
      <c r="J2088">
        <v>-195.64709999999999</v>
      </c>
      <c r="K2088">
        <v>1.1030770000000001</v>
      </c>
      <c r="L2088">
        <v>357.52140000000003</v>
      </c>
      <c r="M2088">
        <v>0.65007630000000005</v>
      </c>
      <c r="N2088">
        <v>0</v>
      </c>
      <c r="O2088">
        <v>-0.75974259999999905</v>
      </c>
      <c r="P2088">
        <v>0.44504009999999999</v>
      </c>
      <c r="Q2088">
        <v>4.6526770000000002E-2</v>
      </c>
      <c r="R2088">
        <v>-0.89430149999999997</v>
      </c>
      <c r="S2088">
        <v>0.1221771</v>
      </c>
      <c r="T2088">
        <v>-7.1590299999999996E-2</v>
      </c>
      <c r="U2088">
        <v>-3.3012700000000001</v>
      </c>
      <c r="V2088">
        <v>0.24355499999999999</v>
      </c>
      <c r="W2088">
        <v>5.8799009999999999E-2</v>
      </c>
      <c r="X2088">
        <v>0.96810309999999999</v>
      </c>
      <c r="Y2088">
        <v>0.62157719999999905</v>
      </c>
      <c r="Z2088">
        <v>1.1552969999999999E-2</v>
      </c>
      <c r="AA2088">
        <v>0.78326770000000001</v>
      </c>
      <c r="AB2088">
        <v>13</v>
      </c>
      <c r="AC2088">
        <v>1.8337999999999901</v>
      </c>
      <c r="AD2088">
        <v>-1.103080987687</v>
      </c>
      <c r="AE2088">
        <v>-50.804299999999998</v>
      </c>
      <c r="AF2088">
        <v>31.6216045539569</v>
      </c>
      <c r="AG2088">
        <v>-1.103080987687</v>
      </c>
      <c r="AH2088">
        <v>39.775394260676599</v>
      </c>
      <c r="AI2088">
        <v>91.243606673868001</v>
      </c>
      <c r="AJ2088">
        <v>51.515153931100798</v>
      </c>
      <c r="AK2088">
        <v>50.825433110053197</v>
      </c>
      <c r="AL2088">
        <v>86.629120567079298</v>
      </c>
      <c r="AM2088">
        <v>75.878607097778897</v>
      </c>
      <c r="AN2088">
        <v>0.99999998691579495</v>
      </c>
    </row>
    <row r="2089" spans="1:40" x14ac:dyDescent="0.3">
      <c r="A2089" t="str">
        <f>"20200111145951422"</f>
        <v>20200111145951422</v>
      </c>
      <c r="B2089" t="str">
        <f>"1578725991417469"</f>
        <v>1578725991417469</v>
      </c>
      <c r="C2089" t="s">
        <v>40</v>
      </c>
      <c r="D2089">
        <v>4.4756299999999998</v>
      </c>
      <c r="E2089">
        <v>0.669493</v>
      </c>
      <c r="F2089" t="s">
        <v>42</v>
      </c>
      <c r="G2089">
        <v>-193.7732</v>
      </c>
      <c r="H2089" s="1">
        <v>-3.294769E-6</v>
      </c>
      <c r="I2089">
        <v>304.92899999999997</v>
      </c>
      <c r="J2089">
        <v>-195.59889999999999</v>
      </c>
      <c r="K2089">
        <v>1.1030819999999999</v>
      </c>
      <c r="L2089">
        <v>357.45949999999999</v>
      </c>
      <c r="M2089">
        <v>0.64769259999999995</v>
      </c>
      <c r="N2089">
        <v>0</v>
      </c>
      <c r="O2089">
        <v>-0.761775599999999</v>
      </c>
      <c r="P2089">
        <v>0.44273780000000001</v>
      </c>
      <c r="Q2089">
        <v>4.6907030000000002E-2</v>
      </c>
      <c r="R2089">
        <v>-0.89542369999999905</v>
      </c>
      <c r="S2089">
        <v>0.11756900000000001</v>
      </c>
      <c r="T2089">
        <v>-6.9208740000000005E-2</v>
      </c>
      <c r="U2089">
        <v>-3.2997130000000001</v>
      </c>
      <c r="V2089">
        <v>0.24300060000000001</v>
      </c>
      <c r="W2089">
        <v>5.9183630000000001E-2</v>
      </c>
      <c r="X2089">
        <v>0.96821900000000005</v>
      </c>
      <c r="Y2089">
        <v>0.62020200000000003</v>
      </c>
      <c r="Z2089">
        <v>1.1247969999999999E-2</v>
      </c>
      <c r="AA2089">
        <v>0.78436149999999905</v>
      </c>
      <c r="AB2089">
        <v>13</v>
      </c>
      <c r="AC2089">
        <v>1.8256999999999799</v>
      </c>
      <c r="AD2089">
        <v>-1.103085294769</v>
      </c>
      <c r="AE2089">
        <v>-52.530499999999897</v>
      </c>
      <c r="AF2089">
        <v>32.621612051482501</v>
      </c>
      <c r="AG2089">
        <v>-1.103085294769</v>
      </c>
      <c r="AH2089">
        <v>41.184767212446999</v>
      </c>
      <c r="AI2089">
        <v>91.202778027680196</v>
      </c>
      <c r="AJ2089">
        <v>51.617975098173098</v>
      </c>
      <c r="AK2089">
        <v>52.550655755646098</v>
      </c>
      <c r="AL2089">
        <v>86.607045107236601</v>
      </c>
      <c r="AM2089">
        <v>75.911089066009396</v>
      </c>
      <c r="AN2089">
        <v>1.0000000128106601</v>
      </c>
    </row>
    <row r="2090" spans="1:40" x14ac:dyDescent="0.3">
      <c r="A2090" t="str">
        <f>"20200111145951439"</f>
        <v>20200111145951439</v>
      </c>
      <c r="B2090" t="str">
        <f>"1578725991428208"</f>
        <v>1578725991428208</v>
      </c>
      <c r="C2090" t="s">
        <v>40</v>
      </c>
      <c r="D2090">
        <v>4.5237379999999998</v>
      </c>
      <c r="E2090">
        <v>0.66933739999999997</v>
      </c>
      <c r="F2090" t="s">
        <v>42</v>
      </c>
      <c r="G2090">
        <v>-193.7629</v>
      </c>
      <c r="H2090" s="1">
        <v>-2.255768E-6</v>
      </c>
      <c r="I2090">
        <v>302.51350000000002</v>
      </c>
      <c r="J2090">
        <v>-195.53530000000001</v>
      </c>
      <c r="K2090">
        <v>1.1030869999999999</v>
      </c>
      <c r="L2090">
        <v>357.37699999999899</v>
      </c>
      <c r="M2090">
        <v>0.64451650000000005</v>
      </c>
      <c r="N2090">
        <v>0</v>
      </c>
      <c r="O2090">
        <v>-0.7644649</v>
      </c>
      <c r="P2090">
        <v>0.44020759999999998</v>
      </c>
      <c r="Q2090">
        <v>4.7252599999999999E-2</v>
      </c>
      <c r="R2090">
        <v>-0.89665189999999995</v>
      </c>
      <c r="S2090">
        <v>0.1102448</v>
      </c>
      <c r="T2090">
        <v>-6.6236379999999997E-2</v>
      </c>
      <c r="U2090">
        <v>-3.2993160000000001</v>
      </c>
      <c r="V2090">
        <v>0.24169280000000001</v>
      </c>
      <c r="W2090">
        <v>5.95392E-2</v>
      </c>
      <c r="X2090">
        <v>0.96852450000000001</v>
      </c>
      <c r="Y2090">
        <v>0.61867299999999903</v>
      </c>
      <c r="Z2090">
        <v>1.085738E-2</v>
      </c>
      <c r="AA2090">
        <v>0.78557349999999904</v>
      </c>
      <c r="AB2090">
        <v>13</v>
      </c>
      <c r="AC2090">
        <v>1.7724</v>
      </c>
      <c r="AD2090">
        <v>-1.1030892557680001</v>
      </c>
      <c r="AE2090">
        <v>-54.863499999999902</v>
      </c>
      <c r="AF2090">
        <v>33.995028372515598</v>
      </c>
      <c r="AG2090">
        <v>-1.1030892557680001</v>
      </c>
      <c r="AH2090">
        <v>43.070302315092299</v>
      </c>
      <c r="AI2090">
        <v>91.151701991556607</v>
      </c>
      <c r="AJ2090">
        <v>51.716263873449797</v>
      </c>
      <c r="AK2090">
        <v>54.881050477079803</v>
      </c>
      <c r="AL2090">
        <v>86.586636470187202</v>
      </c>
      <c r="AM2090">
        <v>75.988164158462993</v>
      </c>
      <c r="AN2090">
        <v>1.0000000165043601</v>
      </c>
    </row>
    <row r="2091" spans="1:40" x14ac:dyDescent="0.3">
      <c r="A2091" t="str">
        <f>"20200111145951553"</f>
        <v>20200111145951553</v>
      </c>
      <c r="B2091" t="str">
        <f>"1578725991548254"</f>
        <v>1578725991548254</v>
      </c>
      <c r="C2091" t="s">
        <v>40</v>
      </c>
      <c r="D2091">
        <v>4.4409330000000002</v>
      </c>
      <c r="E2091">
        <v>0.66909649999999998</v>
      </c>
      <c r="F2091" t="s">
        <v>42</v>
      </c>
      <c r="G2091">
        <v>-193.76509999999999</v>
      </c>
      <c r="H2091" s="1">
        <v>-1.320978E-6</v>
      </c>
      <c r="I2091">
        <v>300.3331</v>
      </c>
      <c r="J2091">
        <v>-195.13120000000001</v>
      </c>
      <c r="K2091">
        <v>1.103038</v>
      </c>
      <c r="L2091">
        <v>356.83550000000002</v>
      </c>
      <c r="M2091">
        <v>0.62333799999999995</v>
      </c>
      <c r="N2091">
        <v>0</v>
      </c>
      <c r="O2091">
        <v>-0.78182959999999901</v>
      </c>
      <c r="P2091">
        <v>0.42358230000000002</v>
      </c>
      <c r="Q2091">
        <v>4.4589160000000003E-2</v>
      </c>
      <c r="R2091">
        <v>-0.90475930000000004</v>
      </c>
      <c r="S2091">
        <v>0.1023712</v>
      </c>
      <c r="T2091">
        <v>-6.3792349999999998E-2</v>
      </c>
      <c r="U2091">
        <v>-3.298889</v>
      </c>
      <c r="V2091">
        <v>0.23310439999999999</v>
      </c>
      <c r="W2091">
        <v>5.6909139999999997E-2</v>
      </c>
      <c r="X2091">
        <v>0.97078509999999996</v>
      </c>
      <c r="Y2091">
        <v>0.59883489999999995</v>
      </c>
      <c r="Z2091">
        <v>1.110443E-2</v>
      </c>
      <c r="AA2091">
        <v>0.80079560000000005</v>
      </c>
      <c r="AB2091">
        <v>13</v>
      </c>
      <c r="AC2091">
        <v>1.3661000000000101</v>
      </c>
      <c r="AD2091">
        <v>-1.1030393209780001</v>
      </c>
      <c r="AE2091">
        <v>-56.502400000000002</v>
      </c>
      <c r="AF2091">
        <v>34.142314011885297</v>
      </c>
      <c r="AG2091">
        <v>-1.1030393209780001</v>
      </c>
      <c r="AH2091">
        <v>45.013973685468301</v>
      </c>
      <c r="AI2091">
        <v>91.118484694637203</v>
      </c>
      <c r="AJ2091">
        <v>52.820317175130199</v>
      </c>
      <c r="AK2091">
        <v>56.5081598425027</v>
      </c>
      <c r="AL2091">
        <v>86.737583908662501</v>
      </c>
      <c r="AM2091">
        <v>76.497794779855994</v>
      </c>
      <c r="AN2091">
        <v>1.0000000109484499</v>
      </c>
    </row>
    <row r="2092" spans="1:40" x14ac:dyDescent="0.3">
      <c r="A2092" t="str">
        <f>"20200111145951564"</f>
        <v>20200111145951564</v>
      </c>
      <c r="B2092" t="str">
        <f>"1578725991558015"</f>
        <v>1578725991558015</v>
      </c>
      <c r="C2092" t="s">
        <v>40</v>
      </c>
      <c r="D2092">
        <v>4.4406400000000001</v>
      </c>
      <c r="E2092">
        <v>0.62663199999999997</v>
      </c>
      <c r="F2092" t="s">
        <v>42</v>
      </c>
      <c r="G2092">
        <v>-194.50129999999999</v>
      </c>
      <c r="H2092" s="1">
        <v>-4.8054169999999996E-6</v>
      </c>
      <c r="I2092">
        <v>308.76139999999998</v>
      </c>
      <c r="J2092">
        <v>-195.0864</v>
      </c>
      <c r="K2092">
        <v>1.1030219999999999</v>
      </c>
      <c r="L2092">
        <v>356.77339999999998</v>
      </c>
      <c r="M2092">
        <v>0.62084469999999903</v>
      </c>
      <c r="N2092">
        <v>0</v>
      </c>
      <c r="O2092">
        <v>-0.78381140000000005</v>
      </c>
      <c r="P2092">
        <v>0.42100209999999999</v>
      </c>
      <c r="Q2092">
        <v>4.5083970000000001E-2</v>
      </c>
      <c r="R2092">
        <v>-0.90593889999999999</v>
      </c>
      <c r="S2092">
        <v>4.322815E-2</v>
      </c>
      <c r="T2092">
        <v>-7.5701710000000005E-2</v>
      </c>
      <c r="U2092">
        <v>-3.2993160000000001</v>
      </c>
      <c r="V2092">
        <v>0.23276859999999999</v>
      </c>
      <c r="W2092">
        <v>5.739615E-2</v>
      </c>
      <c r="X2092">
        <v>0.97083699999999995</v>
      </c>
      <c r="Y2092">
        <v>0.61056359999999998</v>
      </c>
      <c r="Z2092">
        <v>1.312789E-2</v>
      </c>
      <c r="AA2092">
        <v>0.79185850000000002</v>
      </c>
      <c r="AB2092">
        <v>13</v>
      </c>
      <c r="AC2092">
        <v>0.58510000000001094</v>
      </c>
      <c r="AD2092">
        <v>-1.103026805417</v>
      </c>
      <c r="AE2092">
        <v>-48.012</v>
      </c>
      <c r="AF2092">
        <v>29.336717261618201</v>
      </c>
      <c r="AG2092">
        <v>-1.103026805417</v>
      </c>
      <c r="AH2092">
        <v>37.979206085708597</v>
      </c>
      <c r="AI2092">
        <v>91.316677225620893</v>
      </c>
      <c r="AJ2092">
        <v>52.316010752303598</v>
      </c>
      <c r="AK2092">
        <v>48.002913898244998</v>
      </c>
      <c r="AL2092">
        <v>86.709634603088801</v>
      </c>
      <c r="AM2092">
        <v>76.517229263726506</v>
      </c>
      <c r="AN2092">
        <v>1.00000000987489</v>
      </c>
    </row>
    <row r="2093" spans="1:40" x14ac:dyDescent="0.3">
      <c r="A2093" t="str">
        <f>"20200111145951577"</f>
        <v>20200111145951577</v>
      </c>
      <c r="B2093" t="str">
        <f>"1578725991567773"</f>
        <v>1578725991567773</v>
      </c>
      <c r="C2093" t="s">
        <v>40</v>
      </c>
      <c r="D2093">
        <v>4.3919449999999998</v>
      </c>
      <c r="E2093">
        <v>0.62867479999999998</v>
      </c>
      <c r="F2093" t="s">
        <v>53</v>
      </c>
      <c r="G2093">
        <v>-167.87780000000001</v>
      </c>
      <c r="H2093">
        <v>1.1201570000000001</v>
      </c>
      <c r="I2093">
        <v>106.7329</v>
      </c>
      <c r="J2093">
        <v>-195.0419</v>
      </c>
      <c r="K2093">
        <v>1.103003</v>
      </c>
      <c r="L2093">
        <v>356.71120000000002</v>
      </c>
      <c r="M2093">
        <v>0.61832240000000005</v>
      </c>
      <c r="N2093">
        <v>0</v>
      </c>
      <c r="O2093">
        <v>-0.78580249999999996</v>
      </c>
      <c r="P2093">
        <v>0.41827439999999999</v>
      </c>
      <c r="Q2093">
        <v>4.5476780000000001E-2</v>
      </c>
      <c r="R2093">
        <v>-0.90718189999999999</v>
      </c>
      <c r="S2093">
        <v>0.34300229999999998</v>
      </c>
      <c r="T2093">
        <v>2.161264E-4</v>
      </c>
      <c r="U2093">
        <v>-3.1520999999999999</v>
      </c>
      <c r="V2093">
        <v>0.23256270000000001</v>
      </c>
      <c r="W2093">
        <v>5.7778889999999999E-2</v>
      </c>
      <c r="X2093">
        <v>0.97086360000000005</v>
      </c>
      <c r="Y2093">
        <v>0.52973769999999998</v>
      </c>
      <c r="Z2093" s="1">
        <v>-4.1486439999999999E-5</v>
      </c>
      <c r="AA2093">
        <v>0.84816159999999996</v>
      </c>
      <c r="AB2093">
        <v>13</v>
      </c>
      <c r="AC2093">
        <v>27.164099999999902</v>
      </c>
      <c r="AD2093">
        <v>1.71540000000001E-2</v>
      </c>
      <c r="AE2093">
        <v>-249.97829999999999</v>
      </c>
      <c r="AF2093">
        <v>133.23434458840501</v>
      </c>
      <c r="AG2093">
        <v>1.71540000000001E-2</v>
      </c>
      <c r="AH2093">
        <v>213.25019960899999</v>
      </c>
      <c r="AI2093">
        <v>89.996091261483699</v>
      </c>
      <c r="AJ2093">
        <v>58.003704256298299</v>
      </c>
      <c r="AK2093">
        <v>251.449872748904</v>
      </c>
      <c r="AL2093">
        <v>86.687668630090499</v>
      </c>
      <c r="AM2093">
        <v>76.529076467981</v>
      </c>
      <c r="AN2093">
        <v>0.99999996968294003</v>
      </c>
    </row>
    <row r="2094" spans="1:40" x14ac:dyDescent="0.3">
      <c r="A2094" t="str">
        <f>"20200111145951590"</f>
        <v>20200111145951590</v>
      </c>
      <c r="B2094" t="str">
        <f>"1578725991588271"</f>
        <v>1578725991588271</v>
      </c>
      <c r="C2094" t="s">
        <v>40</v>
      </c>
      <c r="D2094">
        <v>4.399457</v>
      </c>
      <c r="E2094">
        <v>0.62913490000000005</v>
      </c>
      <c r="F2094" t="s">
        <v>53</v>
      </c>
      <c r="G2094">
        <v>-169.6721</v>
      </c>
      <c r="H2094">
        <v>2.5202490000000002</v>
      </c>
      <c r="I2094">
        <v>105.645</v>
      </c>
      <c r="J2094">
        <v>-195.0009</v>
      </c>
      <c r="K2094">
        <v>1.102981</v>
      </c>
      <c r="L2094">
        <v>356.6533</v>
      </c>
      <c r="M2094">
        <v>0.61594709999999997</v>
      </c>
      <c r="N2094">
        <v>0</v>
      </c>
      <c r="O2094">
        <v>-0.78766550000000002</v>
      </c>
      <c r="P2094">
        <v>0.41561019999999999</v>
      </c>
      <c r="Q2094">
        <v>4.6064470000000003E-2</v>
      </c>
      <c r="R2094">
        <v>-0.9083755</v>
      </c>
      <c r="S2094">
        <v>0.3191986</v>
      </c>
      <c r="T2094">
        <v>1.7831679999999999E-2</v>
      </c>
      <c r="U2094">
        <v>-3.1588750000000001</v>
      </c>
      <c r="V2094">
        <v>0.23246910000000001</v>
      </c>
      <c r="W2094">
        <v>5.8354410000000002E-2</v>
      </c>
      <c r="X2094">
        <v>0.97085160000000004</v>
      </c>
      <c r="Y2094">
        <v>0.53368859999999996</v>
      </c>
      <c r="Z2094">
        <v>-3.4237909999999998E-3</v>
      </c>
      <c r="AA2094">
        <v>0.84567409999999998</v>
      </c>
      <c r="AB2094">
        <v>13</v>
      </c>
      <c r="AC2094">
        <v>25.328800000000001</v>
      </c>
      <c r="AD2094">
        <v>1.417268</v>
      </c>
      <c r="AE2094">
        <v>-251.00829999999999</v>
      </c>
      <c r="AF2094">
        <v>134.665907028552</v>
      </c>
      <c r="AG2094">
        <v>1.417268</v>
      </c>
      <c r="AH2094">
        <v>213.32555204547401</v>
      </c>
      <c r="AI2094">
        <v>89.678118693910207</v>
      </c>
      <c r="AJ2094">
        <v>57.737033242872997</v>
      </c>
      <c r="AK2094">
        <v>252.27902473236401</v>
      </c>
      <c r="AL2094">
        <v>86.654638045223905</v>
      </c>
      <c r="AM2094">
        <v>76.534140273975794</v>
      </c>
      <c r="AN2094">
        <v>0.99999997442190802</v>
      </c>
    </row>
    <row r="2095" spans="1:40" x14ac:dyDescent="0.3">
      <c r="A2095" t="str">
        <f>"20200111145951607"</f>
        <v>20200111145951607</v>
      </c>
      <c r="B2095" t="str">
        <f>"1578725991598028"</f>
        <v>1578725991598028</v>
      </c>
      <c r="C2095" t="s">
        <v>40</v>
      </c>
      <c r="D2095">
        <v>4.4160079999999997</v>
      </c>
      <c r="E2095">
        <v>0.62872490000000003</v>
      </c>
      <c r="F2095" t="s">
        <v>53</v>
      </c>
      <c r="G2095">
        <v>-169.517</v>
      </c>
      <c r="H2095">
        <v>2.1475390000000001</v>
      </c>
      <c r="I2095">
        <v>93.990409999999997</v>
      </c>
      <c r="J2095">
        <v>-194.93899999999999</v>
      </c>
      <c r="K2095">
        <v>1.1029389999999999</v>
      </c>
      <c r="L2095">
        <v>356.56540000000001</v>
      </c>
      <c r="M2095">
        <v>0.61229800000000001</v>
      </c>
      <c r="N2095">
        <v>0</v>
      </c>
      <c r="O2095">
        <v>-0.79050569999999998</v>
      </c>
      <c r="P2095">
        <v>0.411472</v>
      </c>
      <c r="Q2095">
        <v>4.5777709999999999E-2</v>
      </c>
      <c r="R2095">
        <v>-0.91027259999999999</v>
      </c>
      <c r="S2095">
        <v>0.3067474</v>
      </c>
      <c r="T2095">
        <v>1.257336E-2</v>
      </c>
      <c r="U2095">
        <v>-3.1616520000000001</v>
      </c>
      <c r="V2095">
        <v>0.23241120000000001</v>
      </c>
      <c r="W2095">
        <v>5.8048330000000002E-2</v>
      </c>
      <c r="X2095">
        <v>0.97088379999999996</v>
      </c>
      <c r="Y2095">
        <v>0.53315019999999902</v>
      </c>
      <c r="Z2095">
        <v>-2.4292649999999999E-3</v>
      </c>
      <c r="AA2095">
        <v>0.84601719999999903</v>
      </c>
      <c r="AB2095">
        <v>13</v>
      </c>
      <c r="AC2095">
        <v>25.422000000000001</v>
      </c>
      <c r="AD2095">
        <v>1.0446</v>
      </c>
      <c r="AE2095">
        <v>-262.57499000000001</v>
      </c>
      <c r="AF2095">
        <v>140.68919914857301</v>
      </c>
      <c r="AG2095">
        <v>1.0446</v>
      </c>
      <c r="AH2095">
        <v>223.150779459631</v>
      </c>
      <c r="AI2095">
        <v>89.773119152441296</v>
      </c>
      <c r="AJ2095">
        <v>57.7699222724804</v>
      </c>
      <c r="AK2095">
        <v>263.80070568455199</v>
      </c>
      <c r="AL2095">
        <v>86.672204880799399</v>
      </c>
      <c r="AM2095">
        <v>76.537802294848007</v>
      </c>
      <c r="AN2095">
        <v>0.99999996380183298</v>
      </c>
    </row>
    <row r="2096" spans="1:40" x14ac:dyDescent="0.3">
      <c r="A2096" t="str">
        <f>"20200111145951619"</f>
        <v>20200111145951619</v>
      </c>
      <c r="B2096" t="str">
        <f>"1578725991617550"</f>
        <v>1578725991617550</v>
      </c>
      <c r="C2096" t="s">
        <v>40</v>
      </c>
      <c r="D2096">
        <v>4.4275310000000001</v>
      </c>
      <c r="E2096">
        <v>0.62798240000000005</v>
      </c>
      <c r="F2096" t="s">
        <v>53</v>
      </c>
      <c r="G2096">
        <v>-168.8588</v>
      </c>
      <c r="H2096">
        <v>1.867861</v>
      </c>
      <c r="I2096">
        <v>77.173280000000005</v>
      </c>
      <c r="J2096">
        <v>-194.89779999999999</v>
      </c>
      <c r="K2096">
        <v>1.1029059999999999</v>
      </c>
      <c r="L2096">
        <v>356.50639999999999</v>
      </c>
      <c r="M2096">
        <v>0.60982349999999996</v>
      </c>
      <c r="N2096">
        <v>0</v>
      </c>
      <c r="O2096">
        <v>-0.79241629999999996</v>
      </c>
      <c r="P2096">
        <v>0.40885139999999998</v>
      </c>
      <c r="Q2096">
        <v>4.5498740000000003E-2</v>
      </c>
      <c r="R2096">
        <v>-0.91146640000000001</v>
      </c>
      <c r="S2096">
        <v>0.29515079999999999</v>
      </c>
      <c r="T2096">
        <v>8.6567399999999996E-3</v>
      </c>
      <c r="U2096">
        <v>-3.161896</v>
      </c>
      <c r="V2096">
        <v>0.23218040000000001</v>
      </c>
      <c r="W2096">
        <v>5.7757000000000003E-2</v>
      </c>
      <c r="X2096">
        <v>0.97095640000000005</v>
      </c>
      <c r="Y2096">
        <v>0.53358619999999901</v>
      </c>
      <c r="Z2096">
        <v>-1.679694E-3</v>
      </c>
      <c r="AA2096">
        <v>0.84574400000000005</v>
      </c>
      <c r="AB2096">
        <v>13</v>
      </c>
      <c r="AC2096">
        <v>26.038999999999898</v>
      </c>
      <c r="AD2096">
        <v>0.76495500000000005</v>
      </c>
      <c r="AE2096">
        <v>-279.33312000000001</v>
      </c>
      <c r="AF2096">
        <v>149.72341196328699</v>
      </c>
      <c r="AG2096">
        <v>0.76495500000000005</v>
      </c>
      <c r="AH2096">
        <v>237.24828990058799</v>
      </c>
      <c r="AI2096">
        <v>89.843771791791696</v>
      </c>
      <c r="AJ2096">
        <v>57.7446646959513</v>
      </c>
      <c r="AK2096">
        <v>280.54310953369298</v>
      </c>
      <c r="AL2096">
        <v>86.688924933595501</v>
      </c>
      <c r="AM2096">
        <v>76.551654330090798</v>
      </c>
      <c r="AN2096">
        <v>0.99999996994705898</v>
      </c>
    </row>
    <row r="2097" spans="1:40" x14ac:dyDescent="0.3">
      <c r="A2097" t="str">
        <f>"20200111145953042"</f>
        <v>20200111145953042</v>
      </c>
      <c r="B2097" t="str">
        <f>"1578725993038041"</f>
        <v>1578725993038041</v>
      </c>
      <c r="C2097" t="s">
        <v>40</v>
      </c>
      <c r="D2097">
        <v>4.33805</v>
      </c>
      <c r="E2097">
        <v>0.52695269999999905</v>
      </c>
      <c r="F2097" t="s">
        <v>53</v>
      </c>
      <c r="G2097">
        <v>-168.8587</v>
      </c>
      <c r="H2097">
        <v>1.3083</v>
      </c>
      <c r="I2097">
        <v>73.935719999999904</v>
      </c>
      <c r="J2097">
        <v>-191.88339999999999</v>
      </c>
      <c r="K2097">
        <v>1.1025119999999999</v>
      </c>
      <c r="L2097">
        <v>349.01549999999997</v>
      </c>
      <c r="M2097">
        <v>0.2358932</v>
      </c>
      <c r="N2097">
        <v>0</v>
      </c>
      <c r="O2097">
        <v>-0.97173739999999997</v>
      </c>
      <c r="P2097">
        <v>0.15198599999999901</v>
      </c>
      <c r="Q2097">
        <v>4.0415600000000003E-2</v>
      </c>
      <c r="R2097">
        <v>-0.98755599999999999</v>
      </c>
      <c r="S2097">
        <v>0.29125980000000001</v>
      </c>
      <c r="T2097">
        <v>2.2975209999999999E-3</v>
      </c>
      <c r="U2097">
        <v>-3.1606749999999999</v>
      </c>
      <c r="V2097">
        <v>8.5500729999999997E-2</v>
      </c>
      <c r="W2097">
        <v>4.8968570000000003E-2</v>
      </c>
      <c r="X2097">
        <v>0.99513399999999996</v>
      </c>
      <c r="Y2097">
        <v>0.1457349</v>
      </c>
      <c r="Z2097">
        <v>-6.9090269999999999E-4</v>
      </c>
      <c r="AA2097">
        <v>0.98932339999999996</v>
      </c>
      <c r="AB2097">
        <v>13</v>
      </c>
      <c r="AC2097">
        <v>23.024699999999999</v>
      </c>
      <c r="AD2097">
        <v>0.205787999999999</v>
      </c>
      <c r="AE2097">
        <v>-275.07978000000003</v>
      </c>
      <c r="AF2097">
        <v>42.517182048457002</v>
      </c>
      <c r="AG2097">
        <v>0.205787999999999</v>
      </c>
      <c r="AH2097">
        <v>272.74755124155598</v>
      </c>
      <c r="AI2097">
        <v>89.957286206810394</v>
      </c>
      <c r="AJ2097">
        <v>81.139770893666096</v>
      </c>
      <c r="AK2097">
        <v>276.04162698098202</v>
      </c>
      <c r="AL2097">
        <v>87.193185056775505</v>
      </c>
      <c r="AM2097">
        <v>85.089274783604793</v>
      </c>
      <c r="AN2097">
        <v>0.99999998681718805</v>
      </c>
    </row>
    <row r="2098" spans="1:40" x14ac:dyDescent="0.3">
      <c r="A2098" t="str">
        <f>"20200111145953072"</f>
        <v>20200111145953072</v>
      </c>
      <c r="B2098" t="str">
        <f>"1578725993068297"</f>
        <v>1578725993068297</v>
      </c>
      <c r="C2098" t="s">
        <v>40</v>
      </c>
      <c r="D2098">
        <v>4.3655660000000003</v>
      </c>
      <c r="E2098">
        <v>0.52734289999999995</v>
      </c>
      <c r="F2098" t="s">
        <v>52</v>
      </c>
      <c r="G2098">
        <v>-187.43299999999999</v>
      </c>
      <c r="H2098" s="1">
        <v>2.3802040000000002E-6</v>
      </c>
      <c r="I2098">
        <v>292.24959999999999</v>
      </c>
      <c r="J2098">
        <v>-191.84970000000001</v>
      </c>
      <c r="K2098">
        <v>1.1025419999999999</v>
      </c>
      <c r="L2098">
        <v>348.84089999999998</v>
      </c>
      <c r="M2098">
        <v>0.2290256</v>
      </c>
      <c r="N2098">
        <v>0</v>
      </c>
      <c r="O2098">
        <v>-0.97337899999999999</v>
      </c>
      <c r="P2098">
        <v>0.15813039999999901</v>
      </c>
      <c r="Q2098">
        <v>4.1828570000000002E-2</v>
      </c>
      <c r="R2098">
        <v>-0.98653219999999997</v>
      </c>
      <c r="S2098">
        <v>0.2355042</v>
      </c>
      <c r="T2098">
        <v>-5.8342579999999998E-2</v>
      </c>
      <c r="U2098">
        <v>-3.0039370000000001</v>
      </c>
      <c r="V2098">
        <v>7.2258100000000006E-2</v>
      </c>
      <c r="W2098">
        <v>5.0439230000000002E-2</v>
      </c>
      <c r="X2098">
        <v>0.99610980000000005</v>
      </c>
      <c r="Y2098">
        <v>0.1522666</v>
      </c>
      <c r="Z2098">
        <v>1.8504920000000001E-2</v>
      </c>
      <c r="AA2098">
        <v>0.98816619999999999</v>
      </c>
      <c r="AB2098">
        <v>13</v>
      </c>
      <c r="AC2098">
        <v>4.4167000000000201</v>
      </c>
      <c r="AD2098">
        <v>-1.102539619796</v>
      </c>
      <c r="AE2098">
        <v>-56.591299999999897</v>
      </c>
      <c r="AF2098">
        <v>8.6588157759745794</v>
      </c>
      <c r="AG2098">
        <v>-1.102539619796</v>
      </c>
      <c r="AH2098">
        <v>56.077424796783603</v>
      </c>
      <c r="AI2098">
        <v>91.113160221161394</v>
      </c>
      <c r="AJ2098">
        <v>81.222380550962995</v>
      </c>
      <c r="AK2098">
        <v>56.7526938223588</v>
      </c>
      <c r="AL2098">
        <v>87.108818316827794</v>
      </c>
      <c r="AM2098">
        <v>85.851014447257597</v>
      </c>
      <c r="AN2098">
        <v>1.00000004129732</v>
      </c>
    </row>
    <row r="2099" spans="1:40" x14ac:dyDescent="0.3">
      <c r="A2099" t="str">
        <f>"20200111145953095"</f>
        <v>20200111145953095</v>
      </c>
      <c r="B2099" t="str">
        <f>"1578725993087817"</f>
        <v>1578725993087817</v>
      </c>
      <c r="C2099" t="s">
        <v>40</v>
      </c>
      <c r="D2099">
        <v>4.5251199999999896</v>
      </c>
      <c r="E2099">
        <v>0.52902640000000001</v>
      </c>
      <c r="F2099" t="s">
        <v>52</v>
      </c>
      <c r="G2099">
        <v>-187.32550000000001</v>
      </c>
      <c r="H2099" s="1">
        <v>1.510901E-6</v>
      </c>
      <c r="I2099">
        <v>294.74770000000001</v>
      </c>
      <c r="J2099">
        <v>-191.82320000000001</v>
      </c>
      <c r="K2099">
        <v>1.102565</v>
      </c>
      <c r="L2099">
        <v>348.69889999999998</v>
      </c>
      <c r="M2099">
        <v>0.22353149999999999</v>
      </c>
      <c r="N2099">
        <v>0</v>
      </c>
      <c r="O2099">
        <v>-0.97465559999999996</v>
      </c>
      <c r="P2099">
        <v>0.15800699999999901</v>
      </c>
      <c r="Q2099">
        <v>4.4545510000000003E-2</v>
      </c>
      <c r="R2099">
        <v>-0.98643270000000005</v>
      </c>
      <c r="S2099">
        <v>0.25119019999999997</v>
      </c>
      <c r="T2099">
        <v>-6.121385E-2</v>
      </c>
      <c r="U2099">
        <v>-3.0032960000000002</v>
      </c>
      <c r="V2099">
        <v>6.6744769999999995E-2</v>
      </c>
      <c r="W2099">
        <v>5.3174029999999997E-2</v>
      </c>
      <c r="X2099">
        <v>0.99635220000000002</v>
      </c>
      <c r="Y2099">
        <v>0.14154059999999999</v>
      </c>
      <c r="Z2099">
        <v>1.947043E-2</v>
      </c>
      <c r="AA2099">
        <v>0.98974099999999998</v>
      </c>
      <c r="AB2099">
        <v>14</v>
      </c>
      <c r="AC2099">
        <v>4.4977</v>
      </c>
      <c r="AD2099">
        <v>-1.1025634890989999</v>
      </c>
      <c r="AE2099">
        <v>-53.951199999999901</v>
      </c>
      <c r="AF2099">
        <v>7.6732091888868199</v>
      </c>
      <c r="AG2099">
        <v>-1.1025634890989999</v>
      </c>
      <c r="AH2099">
        <v>53.569145660051099</v>
      </c>
      <c r="AI2099">
        <v>91.167189057312896</v>
      </c>
      <c r="AJ2099">
        <v>81.848438351559594</v>
      </c>
      <c r="AK2099">
        <v>54.1271387776195</v>
      </c>
      <c r="AL2099">
        <v>86.951915023844094</v>
      </c>
      <c r="AM2099">
        <v>86.167531354444293</v>
      </c>
      <c r="AN2099">
        <v>1.0000000241168101</v>
      </c>
    </row>
    <row r="2100" spans="1:40" x14ac:dyDescent="0.3">
      <c r="A2100" t="str">
        <f>"20200111145953119"</f>
        <v>20200111145953119</v>
      </c>
      <c r="B2100" t="str">
        <f>"1578725993108313"</f>
        <v>1578725993108313</v>
      </c>
      <c r="C2100" t="s">
        <v>40</v>
      </c>
      <c r="D2100">
        <v>4.5063879999999896</v>
      </c>
      <c r="E2100">
        <v>0.52966669999999905</v>
      </c>
      <c r="F2100" t="s">
        <v>52</v>
      </c>
      <c r="G2100">
        <v>-181.6362</v>
      </c>
      <c r="H2100" s="1">
        <v>1.8679599999999999E-6</v>
      </c>
      <c r="I2100">
        <v>220.7003</v>
      </c>
      <c r="J2100">
        <v>-191.79660000000001</v>
      </c>
      <c r="K2100">
        <v>1.1025910000000001</v>
      </c>
      <c r="L2100">
        <v>348.55309999999997</v>
      </c>
      <c r="M2100">
        <v>0.21797630000000001</v>
      </c>
      <c r="N2100">
        <v>0</v>
      </c>
      <c r="O2100">
        <v>-0.97591309999999998</v>
      </c>
      <c r="P2100">
        <v>0.15676779999999901</v>
      </c>
      <c r="Q2100">
        <v>4.7354149999999998E-2</v>
      </c>
      <c r="R2100">
        <v>-0.98649969999999998</v>
      </c>
      <c r="S2100">
        <v>0.23909</v>
      </c>
      <c r="T2100">
        <v>-2.5877359999999999E-2</v>
      </c>
      <c r="U2100">
        <v>-3.0041500000000001</v>
      </c>
      <c r="V2100">
        <v>6.2300340000000003E-2</v>
      </c>
      <c r="W2100">
        <v>5.5996020000000001E-2</v>
      </c>
      <c r="X2100">
        <v>0.99648539999999997</v>
      </c>
      <c r="Y2100">
        <v>0.13987289999999999</v>
      </c>
      <c r="Z2100">
        <v>8.248376E-3</v>
      </c>
      <c r="AA2100">
        <v>0.99013510000000005</v>
      </c>
      <c r="AB2100">
        <v>14</v>
      </c>
      <c r="AC2100">
        <v>10.160399999999999</v>
      </c>
      <c r="AD2100">
        <v>-1.1025891320400001</v>
      </c>
      <c r="AE2100">
        <v>-127.85279999999899</v>
      </c>
      <c r="AF2100">
        <v>17.952603800927601</v>
      </c>
      <c r="AG2100">
        <v>-1.1025891320400001</v>
      </c>
      <c r="AH2100">
        <v>126.98364098060399</v>
      </c>
      <c r="AI2100">
        <v>90.492584147564699</v>
      </c>
      <c r="AJ2100">
        <v>81.9530080046423</v>
      </c>
      <c r="AK2100">
        <v>128.25114721794199</v>
      </c>
      <c r="AL2100">
        <v>86.789985425272107</v>
      </c>
      <c r="AM2100">
        <v>86.422520000560894</v>
      </c>
      <c r="AN2100">
        <v>1.0000000195165499</v>
      </c>
    </row>
    <row r="2101" spans="1:40" x14ac:dyDescent="0.3">
      <c r="A2101" t="str">
        <f>"20200111145953139"</f>
        <v>20200111145953139</v>
      </c>
      <c r="B2101" t="str">
        <f>"1578725993137593"</f>
        <v>1578725993137593</v>
      </c>
      <c r="C2101" t="s">
        <v>40</v>
      </c>
      <c r="D2101">
        <v>4.574643</v>
      </c>
      <c r="E2101">
        <v>0.53176840000000003</v>
      </c>
      <c r="F2101" t="s">
        <v>54</v>
      </c>
      <c r="G2101">
        <v>-169.0505</v>
      </c>
      <c r="H2101">
        <v>1.0448139999999999</v>
      </c>
      <c r="I2101">
        <v>52.638829999999999</v>
      </c>
      <c r="J2101">
        <v>-191.77379999999999</v>
      </c>
      <c r="K2101">
        <v>1.1026180000000001</v>
      </c>
      <c r="L2101">
        <v>348.42439999999999</v>
      </c>
      <c r="M2101">
        <v>0.21315880000000001</v>
      </c>
      <c r="N2101">
        <v>0</v>
      </c>
      <c r="O2101">
        <v>-0.97697659999999997</v>
      </c>
      <c r="P2101">
        <v>0.15691479999999999</v>
      </c>
      <c r="Q2101">
        <v>4.9462230000000003E-2</v>
      </c>
      <c r="R2101">
        <v>-0.98637280000000005</v>
      </c>
      <c r="S2101">
        <v>0.2309418</v>
      </c>
      <c r="T2101">
        <v>-5.8662890000000004E-4</v>
      </c>
      <c r="U2101">
        <v>-3.0044249999999999</v>
      </c>
      <c r="V2101">
        <v>5.7216719999999999E-2</v>
      </c>
      <c r="W2101">
        <v>5.812258E-2</v>
      </c>
      <c r="X2101">
        <v>0.99666849999999996</v>
      </c>
      <c r="Y2101">
        <v>0.1376608</v>
      </c>
      <c r="Z2101">
        <v>1.87336E-4</v>
      </c>
      <c r="AA2101">
        <v>0.99047940000000001</v>
      </c>
      <c r="AB2101">
        <v>14</v>
      </c>
      <c r="AC2101">
        <v>22.723299999999899</v>
      </c>
      <c r="AD2101">
        <v>-5.7804000000000098E-2</v>
      </c>
      <c r="AE2101">
        <v>-295.78557000000001</v>
      </c>
      <c r="AF2101">
        <v>40.850798299029499</v>
      </c>
      <c r="AG2101">
        <v>-5.7804000000000098E-2</v>
      </c>
      <c r="AH2101">
        <v>293.83100139168801</v>
      </c>
      <c r="AI2101">
        <v>90.011164152169698</v>
      </c>
      <c r="AJ2101">
        <v>82.085005978132401</v>
      </c>
      <c r="AK2101">
        <v>296.65712268848802</v>
      </c>
      <c r="AL2101">
        <v>86.667943738718705</v>
      </c>
      <c r="AM2101">
        <v>86.714371629493598</v>
      </c>
      <c r="AN2101">
        <v>1.00000004312283</v>
      </c>
    </row>
    <row r="2102" spans="1:40" x14ac:dyDescent="0.3">
      <c r="A2102" t="str">
        <f>"20200111145953162"</f>
        <v>20200111145953162</v>
      </c>
      <c r="B2102" t="str">
        <f>"1578725993158089"</f>
        <v>1578725993158089</v>
      </c>
      <c r="C2102" t="s">
        <v>40</v>
      </c>
      <c r="D2102">
        <v>4.5358609999999997</v>
      </c>
      <c r="E2102">
        <v>0.53227709999999995</v>
      </c>
      <c r="F2102" t="s">
        <v>55</v>
      </c>
      <c r="G2102">
        <v>-178.00839999999999</v>
      </c>
      <c r="H2102">
        <v>7.9984459999999993E-2</v>
      </c>
      <c r="I2102">
        <v>154.9135</v>
      </c>
      <c r="J2102">
        <v>-191.7499</v>
      </c>
      <c r="K2102">
        <v>1.102643</v>
      </c>
      <c r="L2102">
        <v>348.28570000000002</v>
      </c>
      <c r="M2102">
        <v>0.2080707</v>
      </c>
      <c r="N2102">
        <v>0</v>
      </c>
      <c r="O2102">
        <v>-0.97807310000000003</v>
      </c>
      <c r="P2102">
        <v>0.1571002</v>
      </c>
      <c r="Q2102">
        <v>5.0807640000000001E-2</v>
      </c>
      <c r="R2102">
        <v>-0.98627489999999995</v>
      </c>
      <c r="S2102">
        <v>0.21398929999999999</v>
      </c>
      <c r="T2102">
        <v>-1.5897270000000002E-2</v>
      </c>
      <c r="U2102">
        <v>-3.0082089999999999</v>
      </c>
      <c r="V2102">
        <v>5.1825160000000002E-2</v>
      </c>
      <c r="W2102">
        <v>5.9488260000000001E-2</v>
      </c>
      <c r="X2102">
        <v>0.99688279999999996</v>
      </c>
      <c r="Y2102">
        <v>0.13815279999999999</v>
      </c>
      <c r="Z2102">
        <v>5.0797309999999997E-3</v>
      </c>
      <c r="AA2102">
        <v>0.99039790000000005</v>
      </c>
      <c r="AB2102">
        <v>14</v>
      </c>
      <c r="AC2102">
        <v>13.7415</v>
      </c>
      <c r="AD2102">
        <v>-1.0226585399999999</v>
      </c>
      <c r="AE2102">
        <v>-193.37219999999999</v>
      </c>
      <c r="AF2102">
        <v>26.795218279039599</v>
      </c>
      <c r="AG2102">
        <v>-1.0226585399999999</v>
      </c>
      <c r="AH2102">
        <v>191.993649006412</v>
      </c>
      <c r="AI2102">
        <v>90.302255000422704</v>
      </c>
      <c r="AJ2102">
        <v>82.054945487465702</v>
      </c>
      <c r="AK2102">
        <v>193.85714021389001</v>
      </c>
      <c r="AL2102">
        <v>86.589560272722693</v>
      </c>
      <c r="AM2102">
        <v>87.024031109492398</v>
      </c>
      <c r="AN2102">
        <v>1.0000000086113401</v>
      </c>
    </row>
    <row r="2103" spans="1:40" x14ac:dyDescent="0.3">
      <c r="A2103" t="str">
        <f>"20200111145953183"</f>
        <v>20200111145953183</v>
      </c>
      <c r="B2103" t="str">
        <f>"1578725993177609"</f>
        <v>1578725993177609</v>
      </c>
      <c r="C2103" t="s">
        <v>40</v>
      </c>
      <c r="D2103">
        <v>4.5341370000000003</v>
      </c>
      <c r="E2103">
        <v>0.53343149999999995</v>
      </c>
      <c r="F2103" t="s">
        <v>42</v>
      </c>
      <c r="G2103">
        <v>-183.65369999999999</v>
      </c>
      <c r="H2103" s="1">
        <v>-2.7325320000000001E-6</v>
      </c>
      <c r="I2103">
        <v>232.3629</v>
      </c>
      <c r="J2103">
        <v>-191.7277</v>
      </c>
      <c r="K2103">
        <v>1.102681</v>
      </c>
      <c r="L2103">
        <v>348.15370000000001</v>
      </c>
      <c r="M2103">
        <v>0.2033317</v>
      </c>
      <c r="N2103">
        <v>0</v>
      </c>
      <c r="O2103">
        <v>-0.97906950000000004</v>
      </c>
      <c r="P2103">
        <v>0.15729949999999901</v>
      </c>
      <c r="Q2103">
        <v>5.1055169999999997E-2</v>
      </c>
      <c r="R2103">
        <v>-0.98623039999999995</v>
      </c>
      <c r="S2103">
        <v>0.21020510000000001</v>
      </c>
      <c r="T2103">
        <v>-2.8628589999999999E-2</v>
      </c>
      <c r="U2103">
        <v>-3.0097659999999999</v>
      </c>
      <c r="V2103">
        <v>4.6785479999999997E-2</v>
      </c>
      <c r="W2103">
        <v>5.9753870000000001E-2</v>
      </c>
      <c r="X2103">
        <v>0.99711609999999995</v>
      </c>
      <c r="Y2103">
        <v>0.1346329</v>
      </c>
      <c r="Z2103">
        <v>9.1596639999999997E-3</v>
      </c>
      <c r="AA2103">
        <v>0.99085319999999999</v>
      </c>
      <c r="AB2103">
        <v>14</v>
      </c>
      <c r="AC2103">
        <v>8.0740000000000105</v>
      </c>
      <c r="AD2103">
        <v>-1.102683732532</v>
      </c>
      <c r="AE2103">
        <v>-115.7908</v>
      </c>
      <c r="AF2103">
        <v>15.638140544738</v>
      </c>
      <c r="AG2103">
        <v>-1.102683732532</v>
      </c>
      <c r="AH2103">
        <v>115.00311259823999</v>
      </c>
      <c r="AI2103">
        <v>90.544342728066397</v>
      </c>
      <c r="AJ2103">
        <v>82.256406102767301</v>
      </c>
      <c r="AK2103">
        <v>116.06671899556</v>
      </c>
      <c r="AL2103">
        <v>86.574314658818594</v>
      </c>
      <c r="AM2103">
        <v>87.313606745435607</v>
      </c>
      <c r="AN2103">
        <v>0.99999996149900705</v>
      </c>
    </row>
    <row r="2104" spans="1:40" x14ac:dyDescent="0.3">
      <c r="A2104" t="str">
        <f>"20200111145953206"</f>
        <v>20200111145953206</v>
      </c>
      <c r="B2104" t="str">
        <f>"1578725993198105"</f>
        <v>1578725993198105</v>
      </c>
      <c r="C2104" t="s">
        <v>40</v>
      </c>
      <c r="D2104">
        <v>4.4840309999999999</v>
      </c>
      <c r="E2104">
        <v>0.53384390000000004</v>
      </c>
      <c r="F2104" t="s">
        <v>52</v>
      </c>
      <c r="G2104">
        <v>-186.81639999999999</v>
      </c>
      <c r="H2104" s="1">
        <v>5.4916379999999999E-6</v>
      </c>
      <c r="I2104">
        <v>274.58390000000003</v>
      </c>
      <c r="J2104">
        <v>-191.70400000000001</v>
      </c>
      <c r="K2104">
        <v>1.1027199999999999</v>
      </c>
      <c r="L2104">
        <v>348.00970000000001</v>
      </c>
      <c r="M2104">
        <v>0.19826569999999999</v>
      </c>
      <c r="N2104">
        <v>0</v>
      </c>
      <c r="O2104">
        <v>-0.98010790000000003</v>
      </c>
      <c r="P2104">
        <v>0.15696389999999999</v>
      </c>
      <c r="Q2104">
        <v>5.1109920000000003E-2</v>
      </c>
      <c r="R2104">
        <v>-0.98628119999999997</v>
      </c>
      <c r="S2104">
        <v>0.20108029999999999</v>
      </c>
      <c r="T2104">
        <v>-4.5146940000000003E-2</v>
      </c>
      <c r="U2104">
        <v>-3.0121769999999999</v>
      </c>
      <c r="V2104">
        <v>4.1959080000000003E-2</v>
      </c>
      <c r="W2104">
        <v>5.9824790000000003E-2</v>
      </c>
      <c r="X2104">
        <v>0.99732659999999995</v>
      </c>
      <c r="Y2104">
        <v>0.13255510000000001</v>
      </c>
      <c r="Z2104">
        <v>1.445897E-2</v>
      </c>
      <c r="AA2104">
        <v>0.99107020000000001</v>
      </c>
      <c r="AB2104">
        <v>14</v>
      </c>
      <c r="AC2104">
        <v>4.8876000000000097</v>
      </c>
      <c r="AD2104">
        <v>-1.102714508362</v>
      </c>
      <c r="AE2104">
        <v>-73.425799999999896</v>
      </c>
      <c r="AF2104">
        <v>9.7656363058293607</v>
      </c>
      <c r="AG2104">
        <v>-1.102714508362</v>
      </c>
      <c r="AH2104">
        <v>72.920764856517096</v>
      </c>
      <c r="AI2104">
        <v>90.858701038429203</v>
      </c>
      <c r="AJ2104">
        <v>82.372265263524397</v>
      </c>
      <c r="AK2104">
        <v>73.580035193006907</v>
      </c>
      <c r="AL2104">
        <v>86.570243949203203</v>
      </c>
      <c r="AM2104">
        <v>87.590898225279602</v>
      </c>
      <c r="AN2104">
        <v>0.99999995848027401</v>
      </c>
    </row>
    <row r="2105" spans="1:40" x14ac:dyDescent="0.3">
      <c r="A2105" t="str">
        <f>"20200111145953229"</f>
        <v>20200111145953229</v>
      </c>
      <c r="B2105" t="str">
        <f>"1578725993217625"</f>
        <v>1578725993217625</v>
      </c>
      <c r="C2105" t="s">
        <v>40</v>
      </c>
      <c r="D2105">
        <v>4.4604010000000001</v>
      </c>
      <c r="E2105">
        <v>0.53443309999999999</v>
      </c>
      <c r="F2105" t="s">
        <v>52</v>
      </c>
      <c r="G2105">
        <v>-187.65280000000001</v>
      </c>
      <c r="H2105" s="1">
        <v>3.4601199999999901E-6</v>
      </c>
      <c r="I2105">
        <v>285.79590000000002</v>
      </c>
      <c r="J2105">
        <v>-191.68190000000001</v>
      </c>
      <c r="K2105">
        <v>1.1027549999999999</v>
      </c>
      <c r="L2105">
        <v>347.87139999999999</v>
      </c>
      <c r="M2105">
        <v>0.1935057</v>
      </c>
      <c r="N2105">
        <v>0</v>
      </c>
      <c r="O2105">
        <v>-0.98105889999999996</v>
      </c>
      <c r="P2105">
        <v>0.1557751</v>
      </c>
      <c r="Q2105">
        <v>5.1813869999999998E-2</v>
      </c>
      <c r="R2105">
        <v>-0.986433</v>
      </c>
      <c r="S2105">
        <v>0.19621279999999999</v>
      </c>
      <c r="T2105">
        <v>-5.3408619999999997E-2</v>
      </c>
      <c r="U2105">
        <v>-3.013245</v>
      </c>
      <c r="V2105">
        <v>3.8308210000000002E-2</v>
      </c>
      <c r="W2105">
        <v>6.0538750000000002E-2</v>
      </c>
      <c r="X2105">
        <v>0.99743040000000005</v>
      </c>
      <c r="Y2105">
        <v>0.12936300000000001</v>
      </c>
      <c r="Z2105">
        <v>1.712787E-2</v>
      </c>
      <c r="AA2105">
        <v>0.99144940000000004</v>
      </c>
      <c r="AB2105">
        <v>14</v>
      </c>
      <c r="AC2105">
        <v>4.0290999999999997</v>
      </c>
      <c r="AD2105">
        <v>-1.1027515398800001</v>
      </c>
      <c r="AE2105">
        <v>-62.075499999999899</v>
      </c>
      <c r="AF2105">
        <v>8.0569649554468992</v>
      </c>
      <c r="AG2105">
        <v>-1.1027515398800001</v>
      </c>
      <c r="AH2105">
        <v>61.6624333516531</v>
      </c>
      <c r="AI2105">
        <v>91.015916786109202</v>
      </c>
      <c r="AJ2105">
        <v>82.555765926121197</v>
      </c>
      <c r="AK2105">
        <v>62.196353848911997</v>
      </c>
      <c r="AL2105">
        <v>86.529262675400901</v>
      </c>
      <c r="AM2105">
        <v>87.800527752643703</v>
      </c>
      <c r="AN2105">
        <v>0.99999993102456097</v>
      </c>
    </row>
    <row r="2106" spans="1:40" x14ac:dyDescent="0.3">
      <c r="A2106" t="str">
        <f>"20200111145953250"</f>
        <v>20200111145953250</v>
      </c>
      <c r="B2106" t="str">
        <f>"1578725993247881"</f>
        <v>1578725993247881</v>
      </c>
      <c r="C2106" t="s">
        <v>40</v>
      </c>
      <c r="D2106">
        <v>4.4878330000000002</v>
      </c>
      <c r="E2106">
        <v>0.53526989999999997</v>
      </c>
      <c r="F2106" t="s">
        <v>52</v>
      </c>
      <c r="G2106">
        <v>-188.2921</v>
      </c>
      <c r="H2106" s="1">
        <v>2.0805779999999999E-6</v>
      </c>
      <c r="I2106">
        <v>293.31270000000001</v>
      </c>
      <c r="J2106">
        <v>-191.66079999999999</v>
      </c>
      <c r="K2106">
        <v>1.1027899999999999</v>
      </c>
      <c r="L2106">
        <v>347.73599999999999</v>
      </c>
      <c r="M2106">
        <v>0.18896589999999999</v>
      </c>
      <c r="N2106">
        <v>0</v>
      </c>
      <c r="O2106">
        <v>-0.98194329999999996</v>
      </c>
      <c r="P2106">
        <v>0.1544141</v>
      </c>
      <c r="Q2106">
        <v>5.3018860000000001E-2</v>
      </c>
      <c r="R2106">
        <v>-0.98658299999999999</v>
      </c>
      <c r="S2106">
        <v>0.18731690000000001</v>
      </c>
      <c r="T2106">
        <v>-6.0937760000000001E-2</v>
      </c>
      <c r="U2106">
        <v>-3.0148929999999998</v>
      </c>
      <c r="V2106">
        <v>3.5056160000000003E-2</v>
      </c>
      <c r="W2106">
        <v>6.1750979999999997E-2</v>
      </c>
      <c r="X2106">
        <v>0.99747569999999997</v>
      </c>
      <c r="Y2106">
        <v>0.12772800000000001</v>
      </c>
      <c r="Z2106">
        <v>1.9561470000000001E-2</v>
      </c>
      <c r="AA2106">
        <v>0.99161630000000001</v>
      </c>
      <c r="AB2106">
        <v>14</v>
      </c>
      <c r="AC2106">
        <v>3.3686999999999898</v>
      </c>
      <c r="AD2106">
        <v>-1.1027879194219901</v>
      </c>
      <c r="AE2106">
        <v>-54.423299999999898</v>
      </c>
      <c r="AF2106">
        <v>6.9736994606487404</v>
      </c>
      <c r="AG2106">
        <v>-1.1027879194219901</v>
      </c>
      <c r="AH2106">
        <v>54.057196075246097</v>
      </c>
      <c r="AI2106">
        <v>91.159091520346095</v>
      </c>
      <c r="AJ2106">
        <v>82.649103794425997</v>
      </c>
      <c r="AK2106">
        <v>54.516319326237301</v>
      </c>
      <c r="AL2106">
        <v>86.459676851000495</v>
      </c>
      <c r="AM2106">
        <v>87.9871753705294</v>
      </c>
      <c r="AN2106">
        <v>0.99999994498769595</v>
      </c>
    </row>
    <row r="2107" spans="1:40" x14ac:dyDescent="0.3">
      <c r="A2107" t="str">
        <f>"20200111145953273"</f>
        <v>20200111145953273</v>
      </c>
      <c r="B2107" t="str">
        <f>"1578725993268377"</f>
        <v>1578725993268377</v>
      </c>
      <c r="C2107" t="s">
        <v>40</v>
      </c>
      <c r="D2107">
        <v>4.4511399999999997</v>
      </c>
      <c r="E2107">
        <v>0.53593440000000003</v>
      </c>
      <c r="F2107" t="s">
        <v>52</v>
      </c>
      <c r="G2107">
        <v>-188.3211</v>
      </c>
      <c r="H2107" s="1">
        <v>3.008238E-6</v>
      </c>
      <c r="I2107">
        <v>290.69580000000002</v>
      </c>
      <c r="J2107">
        <v>-191.6388</v>
      </c>
      <c r="K2107">
        <v>1.102838</v>
      </c>
      <c r="L2107">
        <v>347.59210000000002</v>
      </c>
      <c r="M2107">
        <v>0.18428729999999999</v>
      </c>
      <c r="N2107">
        <v>0</v>
      </c>
      <c r="O2107">
        <v>-0.98283229999999999</v>
      </c>
      <c r="P2107">
        <v>0.15276199999999901</v>
      </c>
      <c r="Q2107">
        <v>5.3762409999999997E-2</v>
      </c>
      <c r="R2107">
        <v>-0.98679950000000005</v>
      </c>
      <c r="S2107">
        <v>0.17660519999999999</v>
      </c>
      <c r="T2107">
        <v>-5.8316109999999997E-2</v>
      </c>
      <c r="U2107">
        <v>-3.016327</v>
      </c>
      <c r="V2107">
        <v>3.1961900000000001E-2</v>
      </c>
      <c r="W2107">
        <v>6.2501029999999999E-2</v>
      </c>
      <c r="X2107">
        <v>0.997533</v>
      </c>
      <c r="Y2107">
        <v>0.1265413</v>
      </c>
      <c r="Z2107">
        <v>1.8740429999999999E-2</v>
      </c>
      <c r="AA2107">
        <v>0.99178429999999995</v>
      </c>
      <c r="AB2107">
        <v>14</v>
      </c>
      <c r="AC2107">
        <v>3.3176999999999999</v>
      </c>
      <c r="AD2107">
        <v>-1.1028349917619999</v>
      </c>
      <c r="AE2107">
        <v>-56.896299999999997</v>
      </c>
      <c r="AF2107">
        <v>7.2221034459256703</v>
      </c>
      <c r="AG2107">
        <v>-1.1028349917619999</v>
      </c>
      <c r="AH2107">
        <v>56.512000356544803</v>
      </c>
      <c r="AI2107">
        <v>91.108971534717497</v>
      </c>
      <c r="AJ2107">
        <v>82.717208294919004</v>
      </c>
      <c r="AK2107">
        <v>56.982288542149902</v>
      </c>
      <c r="AL2107">
        <v>86.416619221309901</v>
      </c>
      <c r="AM2107">
        <v>88.164816920606995</v>
      </c>
      <c r="AN2107">
        <v>1.00000001394583</v>
      </c>
    </row>
    <row r="2108" spans="1:40" x14ac:dyDescent="0.3">
      <c r="A2108" t="str">
        <f>"20200111145953295"</f>
        <v>20200111145953295</v>
      </c>
      <c r="B2108" t="str">
        <f>"1578725993287897"</f>
        <v>1578725993287897</v>
      </c>
      <c r="C2108" t="s">
        <v>40</v>
      </c>
      <c r="D2108">
        <v>4.4273470000000001</v>
      </c>
      <c r="E2108">
        <v>0.53647690000000003</v>
      </c>
      <c r="F2108" t="s">
        <v>52</v>
      </c>
      <c r="G2108">
        <v>-188.77799999999999</v>
      </c>
      <c r="H2108" s="1">
        <v>1.415919E-6</v>
      </c>
      <c r="I2108">
        <v>295.61090000000002</v>
      </c>
      <c r="J2108">
        <v>-191.61760000000001</v>
      </c>
      <c r="K2108">
        <v>1.1028929999999999</v>
      </c>
      <c r="L2108">
        <v>347.44940000000003</v>
      </c>
      <c r="M2108">
        <v>0.17981050000000001</v>
      </c>
      <c r="N2108">
        <v>0</v>
      </c>
      <c r="O2108">
        <v>-0.98366140000000002</v>
      </c>
      <c r="P2108">
        <v>0.1519846</v>
      </c>
      <c r="Q2108">
        <v>5.312364E-2</v>
      </c>
      <c r="R2108">
        <v>-0.98695460000000002</v>
      </c>
      <c r="S2108">
        <v>0.16609189999999999</v>
      </c>
      <c r="T2108">
        <v>-6.4028860000000007E-2</v>
      </c>
      <c r="U2108">
        <v>-3.017944</v>
      </c>
      <c r="V2108">
        <v>2.8197710000000001E-2</v>
      </c>
      <c r="W2108">
        <v>6.1870920000000003E-2</v>
      </c>
      <c r="X2108">
        <v>0.99768579999999996</v>
      </c>
      <c r="Y2108">
        <v>0.12550159999999999</v>
      </c>
      <c r="Z2108">
        <v>2.059414E-2</v>
      </c>
      <c r="AA2108">
        <v>0.99187959999999997</v>
      </c>
      <c r="AB2108">
        <v>14</v>
      </c>
      <c r="AC2108">
        <v>2.8396000000000101</v>
      </c>
      <c r="AD2108">
        <v>-1.1028915840809901</v>
      </c>
      <c r="AE2108">
        <v>-51.838500000000003</v>
      </c>
      <c r="AF2108">
        <v>6.5252129236861798</v>
      </c>
      <c r="AG2108">
        <v>-1.1028915840809901</v>
      </c>
      <c r="AH2108">
        <v>51.480908236443199</v>
      </c>
      <c r="AI2108">
        <v>91.217539341002606</v>
      </c>
      <c r="AJ2108">
        <v>82.776271423613906</v>
      </c>
      <c r="AK2108">
        <v>51.904515086789502</v>
      </c>
      <c r="AL2108">
        <v>86.452791961750407</v>
      </c>
      <c r="AM2108">
        <v>88.381073684776297</v>
      </c>
      <c r="AN2108">
        <v>1.00000003855626</v>
      </c>
    </row>
    <row r="2109" spans="1:40" x14ac:dyDescent="0.3">
      <c r="A2109" t="str">
        <f>"20200111145953321"</f>
        <v>20200111145953321</v>
      </c>
      <c r="B2109" t="str">
        <f>"1578725993318154"</f>
        <v>1578725993318154</v>
      </c>
      <c r="C2109" t="s">
        <v>40</v>
      </c>
      <c r="D2109">
        <v>4.442787</v>
      </c>
      <c r="E2109">
        <v>0.53733359999999997</v>
      </c>
      <c r="F2109" t="s">
        <v>42</v>
      </c>
      <c r="G2109">
        <v>-189.238</v>
      </c>
      <c r="H2109" s="1">
        <v>-1.2601959999999999E-6</v>
      </c>
      <c r="I2109">
        <v>302.2552</v>
      </c>
      <c r="J2109">
        <v>-191.59450000000001</v>
      </c>
      <c r="K2109">
        <v>1.102983</v>
      </c>
      <c r="L2109">
        <v>347.29050000000001</v>
      </c>
      <c r="M2109">
        <v>0.17502219999999999</v>
      </c>
      <c r="N2109">
        <v>0</v>
      </c>
      <c r="O2109">
        <v>-0.98452479999999998</v>
      </c>
      <c r="P2109">
        <v>0.15055170000000001</v>
      </c>
      <c r="Q2109">
        <v>5.2265819999999998E-2</v>
      </c>
      <c r="R2109">
        <v>-0.98721959999999997</v>
      </c>
      <c r="S2109">
        <v>0.1589661</v>
      </c>
      <c r="T2109">
        <v>-7.3677419999999993E-2</v>
      </c>
      <c r="U2109">
        <v>-3.0191349999999999</v>
      </c>
      <c r="V2109">
        <v>2.4781640000000001E-2</v>
      </c>
      <c r="W2109">
        <v>6.101898E-2</v>
      </c>
      <c r="X2109">
        <v>0.99782890000000002</v>
      </c>
      <c r="Y2109">
        <v>0.1230334</v>
      </c>
      <c r="Z2109">
        <v>2.372318E-2</v>
      </c>
      <c r="AA2109">
        <v>0.99211899999999997</v>
      </c>
      <c r="AB2109">
        <v>14</v>
      </c>
      <c r="AC2109">
        <v>2.3565000000000098</v>
      </c>
      <c r="AD2109">
        <v>-1.102984260196</v>
      </c>
      <c r="AE2109">
        <v>-45.035299999999999</v>
      </c>
      <c r="AF2109">
        <v>5.5590365343355099</v>
      </c>
      <c r="AG2109">
        <v>-1.102984260196</v>
      </c>
      <c r="AH2109">
        <v>44.725803336673003</v>
      </c>
      <c r="AI2109">
        <v>91.401903739760797</v>
      </c>
      <c r="AJ2109">
        <v>82.914957487428495</v>
      </c>
      <c r="AK2109">
        <v>45.083444251510599</v>
      </c>
      <c r="AL2109">
        <v>86.501696728611805</v>
      </c>
      <c r="AM2109">
        <v>88.577319659729994</v>
      </c>
      <c r="AN2109">
        <v>0.99999997963826903</v>
      </c>
    </row>
    <row r="2110" spans="1:40" x14ac:dyDescent="0.3">
      <c r="A2110" t="str">
        <f>"20200111145953341"</f>
        <v>20200111145953341</v>
      </c>
      <c r="B2110" t="str">
        <f>"1578725993337673"</f>
        <v>1578725993337673</v>
      </c>
      <c r="C2110" t="s">
        <v>40</v>
      </c>
      <c r="D2110">
        <v>4.4173689999999999</v>
      </c>
      <c r="E2110">
        <v>0.53795859999999995</v>
      </c>
      <c r="F2110" t="s">
        <v>42</v>
      </c>
      <c r="G2110">
        <v>-189.72839999999999</v>
      </c>
      <c r="H2110" s="1">
        <v>-4.0910229999999999E-6</v>
      </c>
      <c r="I2110">
        <v>309.05669999999998</v>
      </c>
      <c r="J2110">
        <v>-191.57570000000001</v>
      </c>
      <c r="K2110">
        <v>1.103062</v>
      </c>
      <c r="L2110">
        <v>347.15910000000002</v>
      </c>
      <c r="M2110">
        <v>0.1712418</v>
      </c>
      <c r="N2110">
        <v>0</v>
      </c>
      <c r="O2110">
        <v>-0.98518939999999999</v>
      </c>
      <c r="P2110">
        <v>0.14927939999999901</v>
      </c>
      <c r="Q2110">
        <v>5.2114430000000003E-2</v>
      </c>
      <c r="R2110">
        <v>-0.9874212</v>
      </c>
      <c r="S2110">
        <v>0.14744570000000001</v>
      </c>
      <c r="T2110">
        <v>-8.7149500000000005E-2</v>
      </c>
      <c r="U2110">
        <v>-3.0209350000000001</v>
      </c>
      <c r="V2110">
        <v>2.2225160000000001E-2</v>
      </c>
      <c r="W2110">
        <v>6.0866679999999999E-2</v>
      </c>
      <c r="X2110">
        <v>0.99789850000000002</v>
      </c>
      <c r="Y2110">
        <v>0.1230343</v>
      </c>
      <c r="Z2110">
        <v>2.807233E-2</v>
      </c>
      <c r="AA2110">
        <v>0.99200529999999998</v>
      </c>
      <c r="AB2110">
        <v>14</v>
      </c>
      <c r="AC2110">
        <v>1.8473000000000099</v>
      </c>
      <c r="AD2110">
        <v>-1.1030660910229999</v>
      </c>
      <c r="AE2110">
        <v>-38.102400000000003</v>
      </c>
      <c r="AF2110">
        <v>4.7010361732624801</v>
      </c>
      <c r="AG2110">
        <v>-1.1030660910229999</v>
      </c>
      <c r="AH2110">
        <v>37.824267356773603</v>
      </c>
      <c r="AI2110">
        <v>91.657691819818695</v>
      </c>
      <c r="AJ2110">
        <v>82.915253154674701</v>
      </c>
      <c r="AK2110">
        <v>38.1312430557958</v>
      </c>
      <c r="AL2110">
        <v>86.510439418484395</v>
      </c>
      <c r="AM2110">
        <v>88.724121365320102</v>
      </c>
      <c r="AN2110">
        <v>1.0000000633867401</v>
      </c>
    </row>
    <row r="2111" spans="1:40" x14ac:dyDescent="0.3">
      <c r="A2111" t="str">
        <f>"20200111145953364"</f>
        <v>20200111145953364</v>
      </c>
      <c r="B2111" t="str">
        <f>"1578725993358169"</f>
        <v>1578725993358169</v>
      </c>
      <c r="C2111" t="s">
        <v>40</v>
      </c>
      <c r="D2111">
        <v>4.4404190000000003</v>
      </c>
      <c r="E2111">
        <v>0.53829959999999999</v>
      </c>
      <c r="F2111" t="s">
        <v>42</v>
      </c>
      <c r="G2111">
        <v>-189.94890000000001</v>
      </c>
      <c r="H2111" s="1">
        <v>-9.758919000000001E-7</v>
      </c>
      <c r="I2111">
        <v>311.67660000000001</v>
      </c>
      <c r="J2111">
        <v>-191.55539999999999</v>
      </c>
      <c r="K2111">
        <v>1.1031249999999999</v>
      </c>
      <c r="L2111">
        <v>347.01339999999999</v>
      </c>
      <c r="M2111">
        <v>0.1672081</v>
      </c>
      <c r="N2111">
        <v>0</v>
      </c>
      <c r="O2111">
        <v>-0.98588209999999998</v>
      </c>
      <c r="P2111">
        <v>0.14739630000000001</v>
      </c>
      <c r="Q2111">
        <v>5.2779039999999999E-2</v>
      </c>
      <c r="R2111">
        <v>-0.9876682</v>
      </c>
      <c r="S2111">
        <v>0.1385651</v>
      </c>
      <c r="T2111">
        <v>-9.3954209999999996E-2</v>
      </c>
      <c r="U2111">
        <v>-3.0222470000000001</v>
      </c>
      <c r="V2111">
        <v>2.002833E-2</v>
      </c>
      <c r="W2111">
        <v>6.152063E-2</v>
      </c>
      <c r="X2111">
        <v>0.99790480000000004</v>
      </c>
      <c r="Y2111">
        <v>0.1219047</v>
      </c>
      <c r="Z2111">
        <v>3.02855E-2</v>
      </c>
      <c r="AA2111">
        <v>0.99207970000000001</v>
      </c>
      <c r="AB2111">
        <v>14</v>
      </c>
      <c r="AC2111">
        <v>1.6064999999999801</v>
      </c>
      <c r="AD2111">
        <v>-1.1031259758919001</v>
      </c>
      <c r="AE2111">
        <v>-35.336799999999897</v>
      </c>
      <c r="AF2111">
        <v>4.3207461153499001</v>
      </c>
      <c r="AG2111">
        <v>-1.1031259758919001</v>
      </c>
      <c r="AH2111">
        <v>35.073796506883902</v>
      </c>
      <c r="AI2111">
        <v>91.787941618237198</v>
      </c>
      <c r="AJ2111">
        <v>82.977107943974005</v>
      </c>
      <c r="AK2111">
        <v>35.356144237152101</v>
      </c>
      <c r="AL2111">
        <v>86.472900114307905</v>
      </c>
      <c r="AM2111">
        <v>88.850206219083006</v>
      </c>
      <c r="AN2111">
        <v>0.99999995589061197</v>
      </c>
    </row>
    <row r="2112" spans="1:40" x14ac:dyDescent="0.3">
      <c r="A2112" t="str">
        <f>"20200111145953385"</f>
        <v>20200111145953385</v>
      </c>
      <c r="B2112" t="str">
        <f>"1578725993377689"</f>
        <v>1578725993377689</v>
      </c>
      <c r="C2112" t="s">
        <v>40</v>
      </c>
      <c r="D2112">
        <v>4.3853980000000004</v>
      </c>
      <c r="E2112">
        <v>0.53868450000000001</v>
      </c>
      <c r="F2112" t="s">
        <v>42</v>
      </c>
      <c r="G2112">
        <v>-190.0805</v>
      </c>
      <c r="H2112" s="1">
        <v>-1.5950289999999999E-6</v>
      </c>
      <c r="I2112">
        <v>312.92059999999998</v>
      </c>
      <c r="J2112">
        <v>-191.53630000000001</v>
      </c>
      <c r="K2112">
        <v>1.1031679999999999</v>
      </c>
      <c r="L2112">
        <v>346.87389999999999</v>
      </c>
      <c r="M2112">
        <v>0.1634874</v>
      </c>
      <c r="N2112">
        <v>0</v>
      </c>
      <c r="O2112">
        <v>-0.9865062</v>
      </c>
      <c r="P2112">
        <v>0.14632319999999999</v>
      </c>
      <c r="Q2112">
        <v>5.3916819999999997E-2</v>
      </c>
      <c r="R2112">
        <v>-0.9877667</v>
      </c>
      <c r="S2112">
        <v>0.13078310000000001</v>
      </c>
      <c r="T2112">
        <v>-9.7820039999999997E-2</v>
      </c>
      <c r="U2112">
        <v>-3.023193</v>
      </c>
      <c r="V2112">
        <v>1.7331929999999999E-2</v>
      </c>
      <c r="W2112">
        <v>6.26419E-2</v>
      </c>
      <c r="X2112">
        <v>0.99788560000000004</v>
      </c>
      <c r="Y2112">
        <v>0.120724499999999</v>
      </c>
      <c r="Z2112">
        <v>3.1554789999999999E-2</v>
      </c>
      <c r="AA2112">
        <v>0.99218439999999997</v>
      </c>
      <c r="AB2112">
        <v>14</v>
      </c>
      <c r="AC2112">
        <v>1.45580000000001</v>
      </c>
      <c r="AD2112">
        <v>-1.1031695950289999</v>
      </c>
      <c r="AE2112">
        <v>-33.953299999999999</v>
      </c>
      <c r="AF2112">
        <v>4.11060883011739</v>
      </c>
      <c r="AG2112">
        <v>-1.1031695950289999</v>
      </c>
      <c r="AH2112">
        <v>33.6989421929702</v>
      </c>
      <c r="AI2112">
        <v>91.861181288233595</v>
      </c>
      <c r="AJ2112">
        <v>83.045397830272705</v>
      </c>
      <c r="AK2112">
        <v>33.966642357389098</v>
      </c>
      <c r="AL2112">
        <v>86.408532201288097</v>
      </c>
      <c r="AM2112">
        <v>89.004949464751604</v>
      </c>
      <c r="AN2112">
        <v>1.00000003706024</v>
      </c>
    </row>
    <row r="2113" spans="1:40" x14ac:dyDescent="0.3">
      <c r="A2113" t="str">
        <f>"20200111145953408"</f>
        <v>20200111145953408</v>
      </c>
      <c r="B2113" t="str">
        <f>"1578725993398185"</f>
        <v>1578725993398185</v>
      </c>
      <c r="C2113" t="s">
        <v>40</v>
      </c>
      <c r="D2113">
        <v>4.399127</v>
      </c>
      <c r="E2113">
        <v>0.53892459999999998</v>
      </c>
      <c r="F2113" t="s">
        <v>42</v>
      </c>
      <c r="G2113">
        <v>-190.1559</v>
      </c>
      <c r="H2113" s="1">
        <v>-1.9594959999999999E-6</v>
      </c>
      <c r="I2113">
        <v>313.64920000000001</v>
      </c>
      <c r="J2113">
        <v>-191.51589999999999</v>
      </c>
      <c r="K2113">
        <v>1.1032120000000001</v>
      </c>
      <c r="L2113">
        <v>346.72210000000001</v>
      </c>
      <c r="M2113">
        <v>0.159613</v>
      </c>
      <c r="N2113">
        <v>0</v>
      </c>
      <c r="O2113">
        <v>-0.98714089999999999</v>
      </c>
      <c r="P2113">
        <v>0.14511470000000001</v>
      </c>
      <c r="Q2113">
        <v>5.5496240000000002E-2</v>
      </c>
      <c r="R2113">
        <v>-0.98785750000000005</v>
      </c>
      <c r="S2113">
        <v>0.1256409</v>
      </c>
      <c r="T2113">
        <v>-0.1004072</v>
      </c>
      <c r="U2113">
        <v>-3.0240170000000002</v>
      </c>
      <c r="V2113">
        <v>1.461697E-2</v>
      </c>
      <c r="W2113">
        <v>6.4190399999999995E-2</v>
      </c>
      <c r="X2113">
        <v>0.99783060000000001</v>
      </c>
      <c r="Y2113">
        <v>0.1185237</v>
      </c>
      <c r="Z2113">
        <v>3.2416689999999998E-2</v>
      </c>
      <c r="AA2113">
        <v>0.99242189999999997</v>
      </c>
      <c r="AB2113">
        <v>14</v>
      </c>
      <c r="AC2113">
        <v>1.3599999999999799</v>
      </c>
      <c r="AD2113">
        <v>-1.103213959496</v>
      </c>
      <c r="AE2113">
        <v>-33.072899999999997</v>
      </c>
      <c r="AF2113">
        <v>3.9321359342736302</v>
      </c>
      <c r="AG2113">
        <v>-1.103213959496</v>
      </c>
      <c r="AH2113">
        <v>32.829476224504603</v>
      </c>
      <c r="AI2113">
        <v>91.911015862959502</v>
      </c>
      <c r="AJ2113">
        <v>83.169960559550006</v>
      </c>
      <c r="AK2113">
        <v>33.082522322539901</v>
      </c>
      <c r="AL2113">
        <v>86.319630544816803</v>
      </c>
      <c r="AM2113">
        <v>89.160748534439406</v>
      </c>
      <c r="AN2113">
        <v>0.99999998478024998</v>
      </c>
    </row>
    <row r="2114" spans="1:40" x14ac:dyDescent="0.3">
      <c r="A2114" t="str">
        <f>"20200111145953429"</f>
        <v>20200111145953429</v>
      </c>
      <c r="B2114" t="str">
        <f>"1578725993417705"</f>
        <v>1578725993417705</v>
      </c>
      <c r="C2114" t="s">
        <v>40</v>
      </c>
      <c r="D2114">
        <v>4.3429060000000002</v>
      </c>
      <c r="E2114">
        <v>0.53960019999999997</v>
      </c>
      <c r="F2114" t="s">
        <v>42</v>
      </c>
      <c r="G2114">
        <v>-190.13759999999999</v>
      </c>
      <c r="H2114" s="1">
        <v>-1.3482010000000001E-6</v>
      </c>
      <c r="I2114">
        <v>312.36630000000002</v>
      </c>
      <c r="J2114">
        <v>-191.4982</v>
      </c>
      <c r="K2114">
        <v>1.1032519999999999</v>
      </c>
      <c r="L2114">
        <v>346.58859999999999</v>
      </c>
      <c r="M2114">
        <v>0.15636420000000001</v>
      </c>
      <c r="N2114">
        <v>0</v>
      </c>
      <c r="O2114">
        <v>-0.98766120000000002</v>
      </c>
      <c r="P2114">
        <v>0.1446781</v>
      </c>
      <c r="Q2114">
        <v>5.715841E-2</v>
      </c>
      <c r="R2114">
        <v>-0.98782669999999995</v>
      </c>
      <c r="S2114">
        <v>0.121337899999999</v>
      </c>
      <c r="T2114">
        <v>-9.7120170000000006E-2</v>
      </c>
      <c r="U2114">
        <v>-3.0244749999999998</v>
      </c>
      <c r="V2114">
        <v>1.1756249999999999E-2</v>
      </c>
      <c r="W2114">
        <v>6.5813940000000001E-2</v>
      </c>
      <c r="X2114">
        <v>0.9977627</v>
      </c>
      <c r="Y2114">
        <v>0.11667089999999899</v>
      </c>
      <c r="Z2114">
        <v>3.1381199999999998E-2</v>
      </c>
      <c r="AA2114">
        <v>0.99267470000000002</v>
      </c>
      <c r="AB2114">
        <v>14</v>
      </c>
      <c r="AC2114">
        <v>1.3606</v>
      </c>
      <c r="AD2114">
        <v>-1.1032533482009901</v>
      </c>
      <c r="AE2114">
        <v>-34.222299999999898</v>
      </c>
      <c r="AF2114">
        <v>4.00332819206292</v>
      </c>
      <c r="AG2114">
        <v>-1.1032533482009901</v>
      </c>
      <c r="AH2114">
        <v>33.978814882844603</v>
      </c>
      <c r="AI2114">
        <v>91.846909748772305</v>
      </c>
      <c r="AJ2114">
        <v>83.280482628021204</v>
      </c>
      <c r="AK2114">
        <v>34.231617919787297</v>
      </c>
      <c r="AL2114">
        <v>86.226411622925099</v>
      </c>
      <c r="AM2114">
        <v>89.324937343003796</v>
      </c>
      <c r="AN2114">
        <v>1.00000004481183</v>
      </c>
    </row>
    <row r="2115" spans="1:40" x14ac:dyDescent="0.3">
      <c r="A2115" t="str">
        <f>"20200111145953869"</f>
        <v>20200111145953869</v>
      </c>
      <c r="B2115" t="str">
        <f>"1578725993858363"</f>
        <v>1578725993858363</v>
      </c>
      <c r="C2115" t="s">
        <v>40</v>
      </c>
      <c r="D2115">
        <v>4.4245809999999999</v>
      </c>
      <c r="E2115">
        <v>0.53960019999999997</v>
      </c>
      <c r="F2115" t="s">
        <v>42</v>
      </c>
      <c r="G2115">
        <v>-190.167</v>
      </c>
      <c r="H2115" s="1">
        <v>-9.6888159999999991E-7</v>
      </c>
      <c r="I2115">
        <v>311.54730000000001</v>
      </c>
      <c r="J2115">
        <v>-191.14830000000001</v>
      </c>
      <c r="K2115">
        <v>1.1024119999999999</v>
      </c>
      <c r="L2115">
        <v>343.47050000000002</v>
      </c>
      <c r="M2115">
        <v>0.1062509</v>
      </c>
      <c r="N2115">
        <v>0</v>
      </c>
      <c r="O2115">
        <v>-0.99433649999999996</v>
      </c>
      <c r="P2115">
        <v>0.10705389999999999</v>
      </c>
      <c r="Q2115">
        <v>5.5576769999999998E-2</v>
      </c>
      <c r="R2115">
        <v>-0.992699</v>
      </c>
      <c r="S2115">
        <v>0.11494450000000001</v>
      </c>
      <c r="T2115">
        <v>-9.5259070000000001E-2</v>
      </c>
      <c r="U2115">
        <v>-3.025604</v>
      </c>
      <c r="V2115">
        <v>-8.2193539999999904E-4</v>
      </c>
      <c r="W2115">
        <v>5.8030239999999997E-2</v>
      </c>
      <c r="X2115">
        <v>0.99831449999999999</v>
      </c>
      <c r="Y2115">
        <v>6.8444740000000004E-2</v>
      </c>
      <c r="Z2115">
        <v>3.1153630000000002E-2</v>
      </c>
      <c r="AA2115">
        <v>0.99716839999999995</v>
      </c>
      <c r="AB2115">
        <v>17</v>
      </c>
      <c r="AC2115">
        <v>0.98130000000000395</v>
      </c>
      <c r="AD2115">
        <v>-1.1024129688816</v>
      </c>
      <c r="AE2115">
        <v>-31.923200000000001</v>
      </c>
      <c r="AF2115">
        <v>2.4132579657816402</v>
      </c>
      <c r="AG2115">
        <v>-1.1024129688816</v>
      </c>
      <c r="AH2115">
        <v>31.8088594919593</v>
      </c>
      <c r="AI2115">
        <v>91.979245934783506</v>
      </c>
      <c r="AJ2115">
        <v>85.661425034858098</v>
      </c>
      <c r="AK2115">
        <v>31.919315007414799</v>
      </c>
      <c r="AL2115">
        <v>86.673243274227303</v>
      </c>
      <c r="AM2115">
        <v>90.047172928782899</v>
      </c>
      <c r="AN2115">
        <v>1.00000001262125</v>
      </c>
    </row>
    <row r="2116" spans="1:40" x14ac:dyDescent="0.3">
      <c r="A2116" t="str">
        <f>"20200111145953889"</f>
        <v>20200111145953889</v>
      </c>
      <c r="B2116" t="str">
        <f>"1578725993877883"</f>
        <v>1578725993877883</v>
      </c>
      <c r="C2116" t="s">
        <v>40</v>
      </c>
      <c r="D2116">
        <v>4.4919200000000004</v>
      </c>
      <c r="E2116">
        <v>0.53897280000000003</v>
      </c>
      <c r="F2116" t="s">
        <v>42</v>
      </c>
      <c r="G2116">
        <v>-191.06909999999999</v>
      </c>
      <c r="H2116" s="1">
        <v>-1.8865339999999999E-6</v>
      </c>
      <c r="I2116">
        <v>312.98070000000001</v>
      </c>
      <c r="J2116">
        <v>-191.13380000000001</v>
      </c>
      <c r="K2116">
        <v>1.1023369999999999</v>
      </c>
      <c r="L2116">
        <v>343.31310000000002</v>
      </c>
      <c r="M2116">
        <v>0.104209</v>
      </c>
      <c r="N2116">
        <v>0</v>
      </c>
      <c r="O2116">
        <v>-0.99455300000000002</v>
      </c>
      <c r="P2116">
        <v>0.1064761</v>
      </c>
      <c r="Q2116">
        <v>5.0535179999999999E-2</v>
      </c>
      <c r="R2116">
        <v>-0.99303050000000004</v>
      </c>
      <c r="S2116">
        <v>7.8582759999999904E-3</v>
      </c>
      <c r="T2116">
        <v>-0.1094595</v>
      </c>
      <c r="U2116">
        <v>-3.0273439999999998</v>
      </c>
      <c r="V2116">
        <v>-2.2735469999999999E-3</v>
      </c>
      <c r="W2116">
        <v>5.2781189999999999E-2</v>
      </c>
      <c r="X2116">
        <v>0.99860349999999998</v>
      </c>
      <c r="Y2116">
        <v>0.10162880000000001</v>
      </c>
      <c r="Z2116">
        <v>3.5744709999999999E-2</v>
      </c>
      <c r="AA2116">
        <v>0.99417999999999995</v>
      </c>
      <c r="AB2116">
        <v>18</v>
      </c>
      <c r="AC2116">
        <v>6.4700000000016106E-2</v>
      </c>
      <c r="AD2116">
        <v>-1.102338886534</v>
      </c>
      <c r="AE2116">
        <v>-30.3324</v>
      </c>
      <c r="AF2116">
        <v>3.0924846030772102</v>
      </c>
      <c r="AG2116">
        <v>-1.102338886534</v>
      </c>
      <c r="AH2116">
        <v>30.134195177414501</v>
      </c>
      <c r="AI2116">
        <v>92.084066704044403</v>
      </c>
      <c r="AJ2116">
        <v>84.140603541648503</v>
      </c>
      <c r="AK2116">
        <v>30.312511130415199</v>
      </c>
      <c r="AL2116">
        <v>86.974454636453899</v>
      </c>
      <c r="AM2116">
        <v>90.130446591215104</v>
      </c>
      <c r="AN2116">
        <v>0.99999998662301304</v>
      </c>
    </row>
    <row r="2117" spans="1:40" x14ac:dyDescent="0.3">
      <c r="A2117" t="str">
        <f>"20200111145953910"</f>
        <v>20200111145953910</v>
      </c>
      <c r="B2117" t="str">
        <f>"1578725993898380"</f>
        <v>1578725993898380</v>
      </c>
      <c r="C2117" t="s">
        <v>40</v>
      </c>
      <c r="D2117">
        <v>4.461919</v>
      </c>
      <c r="E2117">
        <v>0.53862209999999999</v>
      </c>
      <c r="F2117" t="s">
        <v>42</v>
      </c>
      <c r="G2117">
        <v>-191.05019999999999</v>
      </c>
      <c r="H2117" s="1">
        <v>-4.3028660000000002E-6</v>
      </c>
      <c r="I2117">
        <v>318.10309999999998</v>
      </c>
      <c r="J2117">
        <v>-191.11869999999999</v>
      </c>
      <c r="K2117">
        <v>1.10229</v>
      </c>
      <c r="L2117">
        <v>343.14490000000001</v>
      </c>
      <c r="M2117">
        <v>0.10204589999999999</v>
      </c>
      <c r="N2117">
        <v>0</v>
      </c>
      <c r="O2117">
        <v>-0.99477789999999999</v>
      </c>
      <c r="P2117">
        <v>0.1056155</v>
      </c>
      <c r="Q2117">
        <v>4.7531499999999997E-2</v>
      </c>
      <c r="R2117">
        <v>-0.99327080000000001</v>
      </c>
      <c r="S2117">
        <v>1.004028E-2</v>
      </c>
      <c r="T2117">
        <v>-0.13234689999999999</v>
      </c>
      <c r="U2117">
        <v>-3.0267029999999999</v>
      </c>
      <c r="V2117">
        <v>-3.5707439999999998E-3</v>
      </c>
      <c r="W2117">
        <v>4.9588199999999902E-2</v>
      </c>
      <c r="X2117">
        <v>0.99876339999999997</v>
      </c>
      <c r="Y2117">
        <v>9.8748530000000001E-2</v>
      </c>
      <c r="Z2117">
        <v>4.3235870000000003E-2</v>
      </c>
      <c r="AA2117">
        <v>0.99417270000000002</v>
      </c>
      <c r="AB2117">
        <v>18</v>
      </c>
      <c r="AC2117">
        <v>6.85000000000002E-2</v>
      </c>
      <c r="AD2117">
        <v>-1.1022943028659999</v>
      </c>
      <c r="AE2117">
        <v>-25.041799999999999</v>
      </c>
      <c r="AF2117">
        <v>2.4824651771656199</v>
      </c>
      <c r="AG2117">
        <v>-1.1022943028659999</v>
      </c>
      <c r="AH2117">
        <v>24.8698762617726</v>
      </c>
      <c r="AI2117">
        <v>92.525296349609206</v>
      </c>
      <c r="AJ2117">
        <v>84.299722810109301</v>
      </c>
      <c r="AK2117">
        <v>25.017762317238699</v>
      </c>
      <c r="AL2117">
        <v>87.157639822779601</v>
      </c>
      <c r="AM2117">
        <v>90.204840995633106</v>
      </c>
      <c r="AN2117">
        <v>1.00000003448575</v>
      </c>
    </row>
    <row r="2118" spans="1:40" x14ac:dyDescent="0.3">
      <c r="A2118" t="str">
        <f>"20200111145953932"</f>
        <v>20200111145953932</v>
      </c>
      <c r="B2118" t="str">
        <f>"1578725993927660"</f>
        <v>1578725993927660</v>
      </c>
      <c r="C2118" t="s">
        <v>40</v>
      </c>
      <c r="D2118">
        <v>4.4567670000000001</v>
      </c>
      <c r="E2118">
        <v>0.53804419999999897</v>
      </c>
      <c r="F2118" t="s">
        <v>41</v>
      </c>
      <c r="G2118">
        <v>-191.11619999999999</v>
      </c>
      <c r="H2118">
        <v>1.0604819999999999</v>
      </c>
      <c r="I2118">
        <v>342.31549999999999</v>
      </c>
      <c r="J2118">
        <v>-191.10249999999999</v>
      </c>
      <c r="K2118">
        <v>1.102271</v>
      </c>
      <c r="L2118">
        <v>342.96100000000001</v>
      </c>
      <c r="M2118">
        <v>9.9726270000000006E-2</v>
      </c>
      <c r="N2118">
        <v>0</v>
      </c>
      <c r="O2118">
        <v>-0.99501309999999998</v>
      </c>
      <c r="P2118">
        <v>0.1054216</v>
      </c>
      <c r="Q2118">
        <v>4.6103249999999998E-2</v>
      </c>
      <c r="R2118">
        <v>-0.99335830000000003</v>
      </c>
      <c r="S2118">
        <v>9.6282959999999997E-3</v>
      </c>
      <c r="T2118">
        <v>-0.152666</v>
      </c>
      <c r="U2118">
        <v>-3.0266109999999999</v>
      </c>
      <c r="V2118">
        <v>-5.7023880000000001E-3</v>
      </c>
      <c r="W2118">
        <v>4.7987920000000003E-2</v>
      </c>
      <c r="X2118">
        <v>0.99883160000000004</v>
      </c>
      <c r="Y2118">
        <v>9.6564289999999997E-2</v>
      </c>
      <c r="Z2118">
        <v>4.9882820000000001E-2</v>
      </c>
      <c r="AA2118">
        <v>0.99407599999999996</v>
      </c>
      <c r="AB2118">
        <v>18</v>
      </c>
      <c r="AC2118">
        <v>-1.37E-2</v>
      </c>
      <c r="AD2118">
        <v>-4.1789E-2</v>
      </c>
      <c r="AE2118">
        <v>-0.64550000000002605</v>
      </c>
      <c r="AF2118">
        <v>7.7679707821408706E-2</v>
      </c>
      <c r="AG2118">
        <v>-4.1789E-2</v>
      </c>
      <c r="AH2118">
        <v>0.63824210711839902</v>
      </c>
      <c r="AI2118">
        <v>93.718739078414302</v>
      </c>
      <c r="AJ2118">
        <v>83.060726628933594</v>
      </c>
      <c r="AK2118">
        <v>0.64430850128424799</v>
      </c>
      <c r="AL2118">
        <v>87.249438236473694</v>
      </c>
      <c r="AM2118">
        <v>90.327101401229598</v>
      </c>
      <c r="AN2118">
        <v>0.99999996142669301</v>
      </c>
    </row>
    <row r="2119" spans="1:40" x14ac:dyDescent="0.3">
      <c r="A2119" t="str">
        <f>"20200111145953954"</f>
        <v>20200111145953954</v>
      </c>
      <c r="B2119" t="str">
        <f>"1578725993948155"</f>
        <v>1578725993948155</v>
      </c>
      <c r="C2119" t="s">
        <v>40</v>
      </c>
      <c r="D2119">
        <v>4.4801979999999997</v>
      </c>
      <c r="E2119">
        <v>0.53762410000000005</v>
      </c>
      <c r="F2119" t="s">
        <v>41</v>
      </c>
      <c r="G2119">
        <v>-191.09899999999999</v>
      </c>
      <c r="H2119">
        <v>1.05677</v>
      </c>
      <c r="I2119">
        <v>342.1576</v>
      </c>
      <c r="J2119">
        <v>-191.0865</v>
      </c>
      <c r="K2119">
        <v>1.102295</v>
      </c>
      <c r="L2119">
        <v>342.77449999999999</v>
      </c>
      <c r="M2119">
        <v>9.7448290000000007E-2</v>
      </c>
      <c r="N2119">
        <v>0</v>
      </c>
      <c r="O2119">
        <v>-0.99523919999999999</v>
      </c>
      <c r="P2119">
        <v>0.1045143</v>
      </c>
      <c r="Q2119">
        <v>4.584713E-2</v>
      </c>
      <c r="R2119">
        <v>-0.99346630000000002</v>
      </c>
      <c r="S2119">
        <v>1.312256E-2</v>
      </c>
      <c r="T2119">
        <v>-0.17138220000000001</v>
      </c>
      <c r="U2119">
        <v>-3.0266109999999999</v>
      </c>
      <c r="V2119">
        <v>-7.0784929999999999E-3</v>
      </c>
      <c r="W2119">
        <v>4.7584979999999999E-2</v>
      </c>
      <c r="X2119">
        <v>0.99884209999999995</v>
      </c>
      <c r="Y2119">
        <v>9.3138960000000007E-2</v>
      </c>
      <c r="Z2119">
        <v>5.6008049999999997E-2</v>
      </c>
      <c r="AA2119">
        <v>0.99407659999999998</v>
      </c>
      <c r="AB2119">
        <v>18</v>
      </c>
      <c r="AC2119">
        <v>-1.2500000000016999E-2</v>
      </c>
      <c r="AD2119">
        <v>-4.5525000000000003E-2</v>
      </c>
      <c r="AE2119">
        <v>-0.61689999999998602</v>
      </c>
      <c r="AF2119">
        <v>7.2163605301152803E-2</v>
      </c>
      <c r="AG2119">
        <v>-4.5525000000000003E-2</v>
      </c>
      <c r="AH2119">
        <v>0.60942827738445005</v>
      </c>
      <c r="AI2119">
        <v>94.242595859203504</v>
      </c>
      <c r="AJ2119">
        <v>83.2469389418562</v>
      </c>
      <c r="AK2119">
        <v>0.61537219374199803</v>
      </c>
      <c r="AL2119">
        <v>87.272551476672504</v>
      </c>
      <c r="AM2119">
        <v>90.406031128481004</v>
      </c>
      <c r="AN2119">
        <v>0.99999998805858004</v>
      </c>
    </row>
    <row r="2120" spans="1:40" x14ac:dyDescent="0.3">
      <c r="A2120" t="str">
        <f>"20200111145953979"</f>
        <v>20200111145953979</v>
      </c>
      <c r="B2120" t="str">
        <f>"1578725993967675"</f>
        <v>1578725993967675</v>
      </c>
      <c r="C2120" t="s">
        <v>40</v>
      </c>
      <c r="D2120">
        <v>4.4984529999999996</v>
      </c>
      <c r="E2120">
        <v>0.52846599999999999</v>
      </c>
      <c r="F2120" t="s">
        <v>41</v>
      </c>
      <c r="G2120">
        <v>-191.08320000000001</v>
      </c>
      <c r="H2120">
        <v>1.0573189999999999</v>
      </c>
      <c r="I2120">
        <v>341.99189999999999</v>
      </c>
      <c r="J2120">
        <v>-191.06979999999999</v>
      </c>
      <c r="K2120">
        <v>1.102336</v>
      </c>
      <c r="L2120">
        <v>342.5761</v>
      </c>
      <c r="M2120">
        <v>9.5119690000000007E-2</v>
      </c>
      <c r="N2120">
        <v>0</v>
      </c>
      <c r="O2120">
        <v>-0.99546469999999998</v>
      </c>
      <c r="P2120">
        <v>0.1018497</v>
      </c>
      <c r="Q2120">
        <v>4.7478319999999997E-2</v>
      </c>
      <c r="R2120">
        <v>-0.99366620000000005</v>
      </c>
      <c r="S2120">
        <v>1.3412479999999999E-2</v>
      </c>
      <c r="T2120">
        <v>-0.1739491</v>
      </c>
      <c r="U2120">
        <v>-3.0263369999999998</v>
      </c>
      <c r="V2120">
        <v>-6.7441269999999999E-3</v>
      </c>
      <c r="W2120">
        <v>4.9081930000000003E-2</v>
      </c>
      <c r="X2120">
        <v>0.99877199999999999</v>
      </c>
      <c r="Y2120">
        <v>9.0713970000000005E-2</v>
      </c>
      <c r="Z2120">
        <v>5.6875120000000001E-2</v>
      </c>
      <c r="AA2120">
        <v>0.99425149999999995</v>
      </c>
      <c r="AB2120">
        <v>18</v>
      </c>
      <c r="AC2120">
        <v>-1.34000000000185E-2</v>
      </c>
      <c r="AD2120">
        <v>-4.50169999999998E-2</v>
      </c>
      <c r="AE2120">
        <v>-0.58420000000000905</v>
      </c>
      <c r="AF2120">
        <v>6.8501688697423693E-2</v>
      </c>
      <c r="AG2120">
        <v>-4.50169999999998E-2</v>
      </c>
      <c r="AH2120">
        <v>0.57685306226444499</v>
      </c>
      <c r="AI2120">
        <v>94.431248488488805</v>
      </c>
      <c r="AJ2120">
        <v>83.2278020755098</v>
      </c>
      <c r="AK2120">
        <v>0.58264780707324904</v>
      </c>
      <c r="AL2120">
        <v>87.186682262925203</v>
      </c>
      <c r="AM2120">
        <v>90.386879228644602</v>
      </c>
      <c r="AN2120">
        <v>1.00000001354275</v>
      </c>
    </row>
    <row r="2121" spans="1:40" x14ac:dyDescent="0.3">
      <c r="A2121" t="str">
        <f>"20200111145954002"</f>
        <v>20200111145954002</v>
      </c>
      <c r="B2121" t="str">
        <f>"1578725993997932"</f>
        <v>1578725993997932</v>
      </c>
      <c r="C2121" t="s">
        <v>40</v>
      </c>
      <c r="D2121">
        <v>4.6098410000000003</v>
      </c>
      <c r="E2121">
        <v>0.52757010000000004</v>
      </c>
      <c r="F2121" t="s">
        <v>41</v>
      </c>
      <c r="G2121">
        <v>-191.05160000000001</v>
      </c>
      <c r="H2121">
        <v>1.011587</v>
      </c>
      <c r="I2121">
        <v>341.85050000000001</v>
      </c>
      <c r="J2121">
        <v>-191.054</v>
      </c>
      <c r="K2121">
        <v>1.10239</v>
      </c>
      <c r="L2121">
        <v>342.38369999999998</v>
      </c>
      <c r="M2121">
        <v>9.2966010000000002E-2</v>
      </c>
      <c r="N2121">
        <v>0</v>
      </c>
      <c r="O2121">
        <v>-0.99566829999999995</v>
      </c>
      <c r="P2121">
        <v>9.8268720000000004E-2</v>
      </c>
      <c r="Q2121">
        <v>4.9972740000000002E-2</v>
      </c>
      <c r="R2121">
        <v>-0.99390440000000002</v>
      </c>
      <c r="S2121">
        <v>7.6538090000000003E-2</v>
      </c>
      <c r="T2121">
        <v>-0.37898500000000002</v>
      </c>
      <c r="U2121">
        <v>-3.029388</v>
      </c>
      <c r="V2121">
        <v>-5.3166309999999996E-3</v>
      </c>
      <c r="W2121">
        <v>5.1468340000000001E-2</v>
      </c>
      <c r="X2121">
        <v>0.9986604</v>
      </c>
      <c r="Y2121">
        <v>6.7981029999999998E-2</v>
      </c>
      <c r="Z2121">
        <v>0.12316879999999999</v>
      </c>
      <c r="AA2121">
        <v>0.99005449999999995</v>
      </c>
      <c r="AB2121">
        <v>19</v>
      </c>
      <c r="AC2121">
        <v>2.3999999999944001E-3</v>
      </c>
      <c r="AD2121">
        <v>-9.0802999999999898E-2</v>
      </c>
      <c r="AE2121">
        <v>-0.53319999999996504</v>
      </c>
      <c r="AF2121">
        <v>4.5850221589572797E-2</v>
      </c>
      <c r="AG2121">
        <v>-9.0802999999999898E-2</v>
      </c>
      <c r="AH2121">
        <v>0.51614530302639405</v>
      </c>
      <c r="AI2121">
        <v>99.939321827197404</v>
      </c>
      <c r="AJ2121">
        <v>84.923625873609694</v>
      </c>
      <c r="AK2121">
        <v>0.52607357039203295</v>
      </c>
      <c r="AL2121">
        <v>87.049777622529206</v>
      </c>
      <c r="AM2121">
        <v>90.305026252848407</v>
      </c>
      <c r="AN2121">
        <v>0.99999992555785</v>
      </c>
    </row>
    <row r="2122" spans="1:40" x14ac:dyDescent="0.3">
      <c r="A2122" t="str">
        <f>"20200111145954022"</f>
        <v>20200111145954022</v>
      </c>
      <c r="B2122" t="str">
        <f>"1578725994018428"</f>
        <v>1578725994018428</v>
      </c>
      <c r="C2122" t="s">
        <v>40</v>
      </c>
      <c r="D2122">
        <v>4.4098540000000002</v>
      </c>
      <c r="E2122">
        <v>0.52802490000000002</v>
      </c>
      <c r="F2122" t="s">
        <v>41</v>
      </c>
      <c r="G2122">
        <v>-191.03299999999999</v>
      </c>
      <c r="H2122">
        <v>0.99543510000000002</v>
      </c>
      <c r="I2122">
        <v>341.5181</v>
      </c>
      <c r="J2122">
        <v>-191.03989999999999</v>
      </c>
      <c r="K2122">
        <v>1.1024400000000001</v>
      </c>
      <c r="L2122">
        <v>342.20949999999999</v>
      </c>
      <c r="M2122">
        <v>9.1093889999999997E-2</v>
      </c>
      <c r="N2122">
        <v>0</v>
      </c>
      <c r="O2122">
        <v>-0.99584139999999999</v>
      </c>
      <c r="P2122">
        <v>9.4601649999999995E-2</v>
      </c>
      <c r="Q2122">
        <v>5.3061799999999999E-2</v>
      </c>
      <c r="R2122">
        <v>-0.99410030000000005</v>
      </c>
      <c r="S2122">
        <v>7.3348999999999998E-2</v>
      </c>
      <c r="T2122">
        <v>-0.37437120000000002</v>
      </c>
      <c r="U2122">
        <v>-3.029938</v>
      </c>
      <c r="V2122">
        <v>-3.5222209999999999E-3</v>
      </c>
      <c r="W2122">
        <v>5.447772E-2</v>
      </c>
      <c r="X2122">
        <v>0.99850879999999997</v>
      </c>
      <c r="Y2122">
        <v>6.7146819999999996E-2</v>
      </c>
      <c r="Z2122">
        <v>0.12170690000000001</v>
      </c>
      <c r="AA2122">
        <v>0.99029230000000001</v>
      </c>
      <c r="AB2122">
        <v>19</v>
      </c>
      <c r="AC2122">
        <v>6.90000000000168E-3</v>
      </c>
      <c r="AD2122">
        <v>-0.107004899999999</v>
      </c>
      <c r="AE2122">
        <v>-0.69139999999998702</v>
      </c>
      <c r="AF2122">
        <v>5.4798633933334298E-2</v>
      </c>
      <c r="AG2122">
        <v>-0.107004899999999</v>
      </c>
      <c r="AH2122">
        <v>0.673034740206646</v>
      </c>
      <c r="AI2122">
        <v>99.004463060994397</v>
      </c>
      <c r="AJ2122">
        <v>85.345233008591094</v>
      </c>
      <c r="AK2122">
        <v>0.68368757516134304</v>
      </c>
      <c r="AL2122">
        <v>86.877110649761406</v>
      </c>
      <c r="AM2122">
        <v>90.202108945635999</v>
      </c>
      <c r="AN2122">
        <v>1.0000000258473001</v>
      </c>
    </row>
    <row r="2123" spans="1:40" x14ac:dyDescent="0.3">
      <c r="A2123" t="str">
        <f>"20200111145954167"</f>
        <v>20200111145954167</v>
      </c>
      <c r="B2123" t="str">
        <f>"1578725994158171"</f>
        <v>1578725994158171</v>
      </c>
      <c r="C2123" t="s">
        <v>40</v>
      </c>
      <c r="D2123">
        <v>4.3757390000000003</v>
      </c>
      <c r="E2123">
        <v>0.54567030000000005</v>
      </c>
      <c r="F2123" t="s">
        <v>42</v>
      </c>
      <c r="G2123">
        <v>-191.9666</v>
      </c>
      <c r="H2123" s="1">
        <v>-2.1850549999999999E-6</v>
      </c>
      <c r="I2123">
        <v>313.1071</v>
      </c>
      <c r="J2123">
        <v>-190.94319999999999</v>
      </c>
      <c r="K2123">
        <v>1.102411</v>
      </c>
      <c r="L2123">
        <v>340.91399999999999</v>
      </c>
      <c r="M2123">
        <v>7.8347199999999895E-2</v>
      </c>
      <c r="N2123">
        <v>0</v>
      </c>
      <c r="O2123">
        <v>-0.99692559999999997</v>
      </c>
      <c r="P2123">
        <v>8.0877489999999996E-2</v>
      </c>
      <c r="Q2123">
        <v>6.0913330000000002E-2</v>
      </c>
      <c r="R2123">
        <v>-0.99486129999999995</v>
      </c>
      <c r="S2123">
        <v>-0.1092682</v>
      </c>
      <c r="T2123">
        <v>-0.11934980000000001</v>
      </c>
      <c r="U2123">
        <v>-3.0321959999999999</v>
      </c>
      <c r="V2123">
        <v>-2.5321699999999998E-3</v>
      </c>
      <c r="W2123">
        <v>6.2139809999999997E-2</v>
      </c>
      <c r="X2123">
        <v>0.99806419999999996</v>
      </c>
      <c r="Y2123">
        <v>0.1141706</v>
      </c>
      <c r="Z2123">
        <v>3.9007779999999999E-2</v>
      </c>
      <c r="AA2123">
        <v>0.99269499999999999</v>
      </c>
      <c r="AB2123">
        <v>20</v>
      </c>
      <c r="AC2123">
        <v>-1.0234000000000001</v>
      </c>
      <c r="AD2123">
        <v>-1.1024131850550001</v>
      </c>
      <c r="AE2123">
        <v>-27.806899999999899</v>
      </c>
      <c r="AF2123">
        <v>3.1938349951748899</v>
      </c>
      <c r="AG2123">
        <v>-1.1024131850550001</v>
      </c>
      <c r="AH2123">
        <v>27.597926268890198</v>
      </c>
      <c r="AI2123">
        <v>92.272342988908093</v>
      </c>
      <c r="AJ2123">
        <v>83.398676611383493</v>
      </c>
      <c r="AK2123">
        <v>27.803982289414702</v>
      </c>
      <c r="AL2123">
        <v>86.437355709712094</v>
      </c>
      <c r="AM2123">
        <v>90.145363737846097</v>
      </c>
      <c r="AN2123">
        <v>0.99999995759669102</v>
      </c>
    </row>
    <row r="2124" spans="1:40" x14ac:dyDescent="0.3">
      <c r="A2124" t="str">
        <f>"20200111145954181"</f>
        <v>20200111145954181</v>
      </c>
      <c r="B2124" t="str">
        <f>"1578725994167930"</f>
        <v>1578725994167930</v>
      </c>
      <c r="C2124" t="s">
        <v>40</v>
      </c>
      <c r="D2124">
        <v>4.4319670000000002</v>
      </c>
      <c r="E2124">
        <v>0.54488999999999999</v>
      </c>
      <c r="F2124" t="s">
        <v>42</v>
      </c>
      <c r="G2124">
        <v>-192.351</v>
      </c>
      <c r="H2124" s="1">
        <v>-3.1526090000000001E-6</v>
      </c>
      <c r="I2124">
        <v>305.47980000000001</v>
      </c>
      <c r="J2124">
        <v>-190.93440000000001</v>
      </c>
      <c r="K2124">
        <v>1.102392</v>
      </c>
      <c r="L2124">
        <v>340.78530000000001</v>
      </c>
      <c r="M2124">
        <v>7.7142180000000005E-2</v>
      </c>
      <c r="N2124">
        <v>0</v>
      </c>
      <c r="O2124">
        <v>-0.99701949999999995</v>
      </c>
      <c r="P2124">
        <v>7.9693529999999999E-2</v>
      </c>
      <c r="Q2124">
        <v>6.0388749999999998E-2</v>
      </c>
      <c r="R2124">
        <v>-0.99498869999999895</v>
      </c>
      <c r="S2124">
        <v>-0.1204224</v>
      </c>
      <c r="T2124">
        <v>-9.4301220000000005E-2</v>
      </c>
      <c r="U2124">
        <v>-3.0310670000000002</v>
      </c>
      <c r="V2124">
        <v>-2.547957E-3</v>
      </c>
      <c r="W2124">
        <v>6.1620099999999997E-2</v>
      </c>
      <c r="X2124">
        <v>0.99809639999999999</v>
      </c>
      <c r="Y2124">
        <v>0.1166421</v>
      </c>
      <c r="Z2124">
        <v>3.0839180000000001E-2</v>
      </c>
      <c r="AA2124">
        <v>0.99269510000000005</v>
      </c>
      <c r="AB2124">
        <v>20</v>
      </c>
      <c r="AC2124">
        <v>-1.4165999999999801</v>
      </c>
      <c r="AD2124">
        <v>-1.1023951526089999</v>
      </c>
      <c r="AE2124">
        <v>-35.305499999999903</v>
      </c>
      <c r="AF2124">
        <v>4.1319015507171697</v>
      </c>
      <c r="AG2124">
        <v>-1.1023951526089999</v>
      </c>
      <c r="AH2124">
        <v>35.056889044597497</v>
      </c>
      <c r="AI2124">
        <v>91.788750036436895</v>
      </c>
      <c r="AJ2124">
        <v>83.277973691193395</v>
      </c>
      <c r="AK2124">
        <v>35.316757424522002</v>
      </c>
      <c r="AL2124">
        <v>86.467190141475896</v>
      </c>
      <c r="AM2124">
        <v>90.146265295972796</v>
      </c>
      <c r="AN2124">
        <v>0.99999997625092096</v>
      </c>
    </row>
    <row r="2125" spans="1:40" x14ac:dyDescent="0.3">
      <c r="A2125" t="str">
        <f>"20200111145954962"</f>
        <v>20200111145954962</v>
      </c>
      <c r="B2125" t="str">
        <f>"1578725994958188"</f>
        <v>1578725994958188</v>
      </c>
      <c r="C2125" t="s">
        <v>40</v>
      </c>
      <c r="D2125">
        <v>4.6759579999999996</v>
      </c>
      <c r="E2125">
        <v>0.53674169999999999</v>
      </c>
      <c r="F2125" t="s">
        <v>42</v>
      </c>
      <c r="G2125">
        <v>-192.5146</v>
      </c>
      <c r="H2125" s="1">
        <v>-8.4921359999999995E-7</v>
      </c>
      <c r="I2125">
        <v>300.00900000000001</v>
      </c>
      <c r="J2125">
        <v>-190.67150000000001</v>
      </c>
      <c r="K2125">
        <v>1.101969</v>
      </c>
      <c r="L2125">
        <v>332.47039999999998</v>
      </c>
      <c r="M2125">
        <v>1.5493550000000001E-3</v>
      </c>
      <c r="N2125">
        <v>0</v>
      </c>
      <c r="O2125">
        <v>-0.99998710000000002</v>
      </c>
      <c r="P2125">
        <v>2.2353089999999999E-2</v>
      </c>
      <c r="Q2125">
        <v>5.0791570000000001E-2</v>
      </c>
      <c r="R2125">
        <v>-0.99845919999999999</v>
      </c>
      <c r="S2125">
        <v>-0.11740109999999999</v>
      </c>
      <c r="T2125">
        <v>-8.1902500000000003E-2</v>
      </c>
      <c r="U2125">
        <v>-3.02948</v>
      </c>
      <c r="V2125">
        <v>-2.0573339999999999E-2</v>
      </c>
      <c r="W2125">
        <v>5.5726560000000001E-2</v>
      </c>
      <c r="X2125">
        <v>0.99823410000000001</v>
      </c>
      <c r="Y2125">
        <v>4.0257880000000003E-2</v>
      </c>
      <c r="Z2125">
        <v>2.7004170000000001E-2</v>
      </c>
      <c r="AA2125">
        <v>0.99882439999999995</v>
      </c>
      <c r="AB2125">
        <v>26</v>
      </c>
      <c r="AC2125">
        <v>-1.84309999999999</v>
      </c>
      <c r="AD2125">
        <v>-1.1019698492136001</v>
      </c>
      <c r="AE2125">
        <v>-32.461399999999898</v>
      </c>
      <c r="AF2125">
        <v>1.8912201615009701</v>
      </c>
      <c r="AG2125">
        <v>-1.1019698492136001</v>
      </c>
      <c r="AH2125">
        <v>32.421263039968998</v>
      </c>
      <c r="AI2125">
        <v>91.943382064230903</v>
      </c>
      <c r="AJ2125">
        <v>86.661565002365293</v>
      </c>
      <c r="AK2125">
        <v>32.495066523315501</v>
      </c>
      <c r="AL2125">
        <v>86.805448476631497</v>
      </c>
      <c r="AM2125">
        <v>91.180683666352806</v>
      </c>
      <c r="AN2125">
        <v>1.00000001510549</v>
      </c>
    </row>
    <row r="2126" spans="1:40" x14ac:dyDescent="0.3">
      <c r="A2126" t="str">
        <f>"20200111145954983"</f>
        <v>20200111145954983</v>
      </c>
      <c r="B2126" t="str">
        <f>"1578725994977709"</f>
        <v>1578725994977709</v>
      </c>
      <c r="C2126" t="s">
        <v>40</v>
      </c>
      <c r="D2126">
        <v>4.6872569999999998</v>
      </c>
      <c r="E2126">
        <v>0.5262462</v>
      </c>
      <c r="F2126" t="s">
        <v>42</v>
      </c>
      <c r="G2126">
        <v>-192.8535</v>
      </c>
      <c r="H2126" s="1">
        <v>-2.476256E-6</v>
      </c>
      <c r="I2126">
        <v>303.59160000000003</v>
      </c>
      <c r="J2126">
        <v>-190.67359999999999</v>
      </c>
      <c r="K2126">
        <v>1.102093</v>
      </c>
      <c r="L2126">
        <v>332.20800000000003</v>
      </c>
      <c r="M2126">
        <v>-7.1404979999999997E-4</v>
      </c>
      <c r="N2126">
        <v>0</v>
      </c>
      <c r="O2126">
        <v>-0.9999865</v>
      </c>
      <c r="P2126">
        <v>2.032803E-2</v>
      </c>
      <c r="Q2126">
        <v>5.0721570000000001E-2</v>
      </c>
      <c r="R2126">
        <v>-0.99850629999999996</v>
      </c>
      <c r="S2126">
        <v>-0.2278442</v>
      </c>
      <c r="T2126">
        <v>-0.11507050000000001</v>
      </c>
      <c r="U2126">
        <v>-3.0155940000000001</v>
      </c>
      <c r="V2126">
        <v>-2.081819E-2</v>
      </c>
      <c r="W2126">
        <v>5.5977939999999997E-2</v>
      </c>
      <c r="X2126">
        <v>0.99821499999999996</v>
      </c>
      <c r="Y2126">
        <v>7.4574070000000006E-2</v>
      </c>
      <c r="Z2126">
        <v>3.8023510000000003E-2</v>
      </c>
      <c r="AA2126">
        <v>0.99649030000000005</v>
      </c>
      <c r="AB2126">
        <v>26</v>
      </c>
      <c r="AC2126">
        <v>-2.1798999999999999</v>
      </c>
      <c r="AD2126">
        <v>-1.102095476256</v>
      </c>
      <c r="AE2126">
        <v>-28.616399999999999</v>
      </c>
      <c r="AF2126">
        <v>2.1562858235772699</v>
      </c>
      <c r="AG2126">
        <v>-1.102095476256</v>
      </c>
      <c r="AH2126">
        <v>28.575809323076601</v>
      </c>
      <c r="AI2126">
        <v>92.202401098160493</v>
      </c>
      <c r="AJ2126">
        <v>85.684728150754296</v>
      </c>
      <c r="AK2126">
        <v>28.678233234642899</v>
      </c>
      <c r="AL2126">
        <v>86.791023079166095</v>
      </c>
      <c r="AM2126">
        <v>91.1947541707314</v>
      </c>
      <c r="AN2126">
        <v>1.0000000565132501</v>
      </c>
    </row>
    <row r="2127" spans="1:40" x14ac:dyDescent="0.3">
      <c r="A2127" t="str">
        <f>"20200111145955006"</f>
        <v>20200111145955006</v>
      </c>
      <c r="B2127" t="str">
        <f>"1578725994998204"</f>
        <v>1578725994998204</v>
      </c>
      <c r="C2127" t="s">
        <v>40</v>
      </c>
      <c r="D2127">
        <v>4.6944739999999996</v>
      </c>
      <c r="E2127">
        <v>0.51990959999999997</v>
      </c>
      <c r="F2127" t="s">
        <v>42</v>
      </c>
      <c r="G2127">
        <v>-191.98179999999999</v>
      </c>
      <c r="H2127" s="1">
        <v>-3.2674089999999999E-6</v>
      </c>
      <c r="I2127">
        <v>305.97629999999998</v>
      </c>
      <c r="J2127">
        <v>-190.6763</v>
      </c>
      <c r="K2127">
        <v>1.1022179999999999</v>
      </c>
      <c r="L2127">
        <v>331.93610000000001</v>
      </c>
      <c r="M2127">
        <v>-2.9388729999999998E-3</v>
      </c>
      <c r="N2127">
        <v>0</v>
      </c>
      <c r="O2127">
        <v>-0.9999806</v>
      </c>
      <c r="P2127">
        <v>1.862393E-2</v>
      </c>
      <c r="Q2127">
        <v>5.0470899999999999E-2</v>
      </c>
      <c r="R2127">
        <v>-0.998552</v>
      </c>
      <c r="S2127">
        <v>-0.15031429999999901</v>
      </c>
      <c r="T2127">
        <v>-0.12662899999999999</v>
      </c>
      <c r="U2127">
        <v>-3.0139770000000001</v>
      </c>
      <c r="V2127">
        <v>-2.1347359999999999E-2</v>
      </c>
      <c r="W2127">
        <v>5.6072200000000003E-2</v>
      </c>
      <c r="X2127">
        <v>0.99819840000000004</v>
      </c>
      <c r="Y2127">
        <v>4.6831240000000003E-2</v>
      </c>
      <c r="Z2127">
        <v>4.1927579999999999E-2</v>
      </c>
      <c r="AA2127">
        <v>0.99802250000000003</v>
      </c>
      <c r="AB2127">
        <v>26</v>
      </c>
      <c r="AC2127">
        <v>-1.3054999999999899</v>
      </c>
      <c r="AD2127">
        <v>-1.1022212674089999</v>
      </c>
      <c r="AE2127">
        <v>-25.959800000000001</v>
      </c>
      <c r="AF2127">
        <v>1.2269942752805001</v>
      </c>
      <c r="AG2127">
        <v>-1.1022212674089999</v>
      </c>
      <c r="AH2127">
        <v>25.916920844682799</v>
      </c>
      <c r="AI2127">
        <v>92.432544532428594</v>
      </c>
      <c r="AJ2127">
        <v>87.289448855657298</v>
      </c>
      <c r="AK2127">
        <v>25.9693510266132</v>
      </c>
      <c r="AL2127">
        <v>86.785613455649894</v>
      </c>
      <c r="AM2127">
        <v>91.225134418850104</v>
      </c>
      <c r="AN2127">
        <v>0.99999992357718104</v>
      </c>
    </row>
    <row r="2128" spans="1:40" x14ac:dyDescent="0.3">
      <c r="A2128" t="str">
        <f>"20200111145955049"</f>
        <v>20200111145955049</v>
      </c>
      <c r="B2128" t="str">
        <f>"1578725995038223"</f>
        <v>1578725995038223</v>
      </c>
      <c r="C2128" t="s">
        <v>40</v>
      </c>
      <c r="D2128">
        <v>4.616358</v>
      </c>
      <c r="E2128">
        <v>0.51488970000000001</v>
      </c>
      <c r="F2128" t="s">
        <v>42</v>
      </c>
      <c r="G2128">
        <v>-191.4915</v>
      </c>
      <c r="H2128" s="1">
        <v>-4.2151709999999997E-6</v>
      </c>
      <c r="I2128">
        <v>308.5958</v>
      </c>
      <c r="J2128">
        <v>-190.68260000000001</v>
      </c>
      <c r="K2128">
        <v>1.102449</v>
      </c>
      <c r="L2128">
        <v>331.41500000000002</v>
      </c>
      <c r="M2128">
        <v>-6.8314680000000003E-3</v>
      </c>
      <c r="N2128">
        <v>0</v>
      </c>
      <c r="O2128">
        <v>-0.9999576</v>
      </c>
      <c r="P2128">
        <v>1.516298E-2</v>
      </c>
      <c r="Q2128">
        <v>5.03638E-2</v>
      </c>
      <c r="R2128">
        <v>-0.99861599999999995</v>
      </c>
      <c r="S2128">
        <v>-0.1052551</v>
      </c>
      <c r="T2128">
        <v>-0.1423092</v>
      </c>
      <c r="U2128">
        <v>-3.0134889999999999</v>
      </c>
      <c r="V2128">
        <v>-2.1792200000000001E-2</v>
      </c>
      <c r="W2128">
        <v>5.662826E-2</v>
      </c>
      <c r="X2128">
        <v>0.99815750000000003</v>
      </c>
      <c r="Y2128">
        <v>2.8039649999999999E-2</v>
      </c>
      <c r="Z2128">
        <v>4.7146229999999997E-2</v>
      </c>
      <c r="AA2128">
        <v>0.9984944</v>
      </c>
      <c r="AB2128">
        <v>26</v>
      </c>
      <c r="AC2128">
        <v>-0.80889999999999396</v>
      </c>
      <c r="AD2128">
        <v>-1.102453215171</v>
      </c>
      <c r="AE2128">
        <v>-22.819199999999999</v>
      </c>
      <c r="AF2128">
        <v>0.65147082729393702</v>
      </c>
      <c r="AG2128">
        <v>-1.102453215171</v>
      </c>
      <c r="AH2128">
        <v>22.771110228140699</v>
      </c>
      <c r="AI2128">
        <v>92.770653579833706</v>
      </c>
      <c r="AJ2128">
        <v>88.361241524181594</v>
      </c>
      <c r="AK2128">
        <v>22.8070883357036</v>
      </c>
      <c r="AL2128">
        <v>86.753703194824197</v>
      </c>
      <c r="AM2128">
        <v>91.250707187098996</v>
      </c>
      <c r="AN2128">
        <v>1.0000000273088501</v>
      </c>
    </row>
    <row r="2129" spans="1:40" x14ac:dyDescent="0.3">
      <c r="A2129" t="str">
        <f>"20200111145955072"</f>
        <v>20200111145955072</v>
      </c>
      <c r="B2129" t="str">
        <f>"1578725995068477"</f>
        <v>1578725995068477</v>
      </c>
      <c r="C2129" t="s">
        <v>40</v>
      </c>
      <c r="D2129">
        <v>5.9786400000000004</v>
      </c>
      <c r="E2129">
        <v>0.51379679999999905</v>
      </c>
      <c r="F2129" t="s">
        <v>42</v>
      </c>
      <c r="G2129">
        <v>-191.21369999999999</v>
      </c>
      <c r="H2129" s="1">
        <v>-7.0608949999999897E-7</v>
      </c>
      <c r="I2129">
        <v>310.40219999999999</v>
      </c>
      <c r="J2129">
        <v>-190.68639999999999</v>
      </c>
      <c r="K2129">
        <v>1.102576</v>
      </c>
      <c r="L2129">
        <v>331.15469999999999</v>
      </c>
      <c r="M2129">
        <v>-8.5738659999999994E-3</v>
      </c>
      <c r="N2129">
        <v>0</v>
      </c>
      <c r="O2129">
        <v>-0.99994209999999994</v>
      </c>
      <c r="P2129">
        <v>1.407457E-2</v>
      </c>
      <c r="Q2129">
        <v>5.0104849999999999E-2</v>
      </c>
      <c r="R2129">
        <v>-0.998645</v>
      </c>
      <c r="S2129">
        <v>-7.6156619999999994E-2</v>
      </c>
      <c r="T2129">
        <v>-0.1580935</v>
      </c>
      <c r="U2129">
        <v>-3.0132750000000001</v>
      </c>
      <c r="V2129">
        <v>-2.2455119999999999E-2</v>
      </c>
      <c r="W2129">
        <v>5.6691110000000003E-2</v>
      </c>
      <c r="X2129">
        <v>0.9981392</v>
      </c>
      <c r="Y2129">
        <v>1.665871E-2</v>
      </c>
      <c r="Z2129">
        <v>5.237874E-2</v>
      </c>
      <c r="AA2129">
        <v>0.9984883</v>
      </c>
      <c r="AB2129">
        <v>27</v>
      </c>
      <c r="AC2129">
        <v>-0.52729999999999599</v>
      </c>
      <c r="AD2129">
        <v>-1.1025767060895</v>
      </c>
      <c r="AE2129">
        <v>-20.752500000000001</v>
      </c>
      <c r="AF2129">
        <v>0.34836497874408101</v>
      </c>
      <c r="AG2129">
        <v>-1.1025767060895</v>
      </c>
      <c r="AH2129">
        <v>20.697870473553301</v>
      </c>
      <c r="AI2129">
        <v>93.048836232158607</v>
      </c>
      <c r="AJ2129">
        <v>89.035748213372102</v>
      </c>
      <c r="AK2129">
        <v>20.7301441309803</v>
      </c>
      <c r="AL2129">
        <v>86.750096234628799</v>
      </c>
      <c r="AM2129">
        <v>91.288764751045804</v>
      </c>
      <c r="AN2129">
        <v>0.99999998847194305</v>
      </c>
    </row>
    <row r="2130" spans="1:40" x14ac:dyDescent="0.3">
      <c r="A2130" t="str">
        <f>"20200111145955093"</f>
        <v>20200111145955093</v>
      </c>
      <c r="B2130" t="str">
        <f>"1578725995087995"</f>
        <v>1578725995087995</v>
      </c>
      <c r="C2130" t="s">
        <v>40</v>
      </c>
      <c r="D2130">
        <v>5.2509629999999996</v>
      </c>
      <c r="E2130">
        <v>0.50731610000000005</v>
      </c>
      <c r="F2130" t="s">
        <v>42</v>
      </c>
      <c r="G2130">
        <v>-191.19210000000001</v>
      </c>
      <c r="H2130" s="1">
        <v>-4.4959100000000003E-6</v>
      </c>
      <c r="I2130">
        <v>309.57679999999999</v>
      </c>
      <c r="J2130">
        <v>-190.69049999999999</v>
      </c>
      <c r="K2130">
        <v>1.1027100000000001</v>
      </c>
      <c r="L2130">
        <v>330.8888</v>
      </c>
      <c r="M2130">
        <v>-1.0217510000000001E-2</v>
      </c>
      <c r="N2130">
        <v>0</v>
      </c>
      <c r="O2130">
        <v>-0.99992449999999999</v>
      </c>
      <c r="P2130">
        <v>1.265721E-2</v>
      </c>
      <c r="Q2130">
        <v>5.0251160000000003E-2</v>
      </c>
      <c r="R2130">
        <v>-0.99865630000000005</v>
      </c>
      <c r="S2130">
        <v>-7.0617680000000002E-2</v>
      </c>
      <c r="T2130">
        <v>-0.15394679999999999</v>
      </c>
      <c r="U2130">
        <v>-3.0127869999999999</v>
      </c>
      <c r="V2130">
        <v>-2.2690599999999998E-2</v>
      </c>
      <c r="W2130">
        <v>5.7145269999999998E-2</v>
      </c>
      <c r="X2130">
        <v>0.998108</v>
      </c>
      <c r="Y2130">
        <v>1.31862E-2</v>
      </c>
      <c r="Z2130">
        <v>5.1018029999999999E-2</v>
      </c>
      <c r="AA2130">
        <v>0.99861069999999996</v>
      </c>
      <c r="AB2130">
        <v>27</v>
      </c>
      <c r="AC2130">
        <v>-0.50160000000002403</v>
      </c>
      <c r="AD2130">
        <v>-1.1027144959099999</v>
      </c>
      <c r="AE2130">
        <v>-21.312000000000001</v>
      </c>
      <c r="AF2130">
        <v>0.283055796458617</v>
      </c>
      <c r="AG2130">
        <v>-1.1027144959099999</v>
      </c>
      <c r="AH2130">
        <v>21.259129651371701</v>
      </c>
      <c r="AI2130">
        <v>92.969017614592403</v>
      </c>
      <c r="AJ2130">
        <v>89.237177414301499</v>
      </c>
      <c r="AK2130">
        <v>21.289591197982901</v>
      </c>
      <c r="AL2130">
        <v>86.724032608188793</v>
      </c>
      <c r="AM2130">
        <v>91.302315698235802</v>
      </c>
      <c r="AN2130">
        <v>1.0000000124378601</v>
      </c>
    </row>
    <row r="2131" spans="1:40" x14ac:dyDescent="0.3">
      <c r="A2131" t="str">
        <f>"20200111145955118"</f>
        <v>20200111145955118</v>
      </c>
      <c r="B2131" t="str">
        <f>"1578725995108492"</f>
        <v>1578725995108492</v>
      </c>
      <c r="C2131" t="s">
        <v>40</v>
      </c>
      <c r="D2131">
        <v>4.5823470000000004</v>
      </c>
      <c r="E2131">
        <v>0.51843819999999996</v>
      </c>
      <c r="F2131" t="s">
        <v>56</v>
      </c>
      <c r="G2131">
        <v>-193.096</v>
      </c>
      <c r="H2131">
        <v>62.639560000000003</v>
      </c>
      <c r="I2131">
        <v>-81.835939999999994</v>
      </c>
      <c r="J2131">
        <v>-190.6952</v>
      </c>
      <c r="K2131">
        <v>1.102846</v>
      </c>
      <c r="L2131">
        <v>330.6053</v>
      </c>
      <c r="M2131">
        <v>-1.1830240000000001E-2</v>
      </c>
      <c r="N2131">
        <v>0</v>
      </c>
      <c r="O2131">
        <v>-0.99990469999999998</v>
      </c>
      <c r="P2131">
        <v>1.1533140000000001E-2</v>
      </c>
      <c r="Q2131">
        <v>5.0696810000000002E-2</v>
      </c>
      <c r="R2131">
        <v>-0.99864770000000003</v>
      </c>
      <c r="S2131">
        <v>-1.7379760000000001E-2</v>
      </c>
      <c r="T2131">
        <v>0.44459890000000002</v>
      </c>
      <c r="U2131">
        <v>-2.981903</v>
      </c>
      <c r="V2131">
        <v>-2.3189339999999999E-2</v>
      </c>
      <c r="W2131">
        <v>5.7890289999999997E-2</v>
      </c>
      <c r="X2131">
        <v>0.99805359999999999</v>
      </c>
      <c r="Y2131">
        <v>-6.0661419999999897E-3</v>
      </c>
      <c r="Z2131">
        <v>-0.147451</v>
      </c>
      <c r="AA2131">
        <v>0.98905069999999995</v>
      </c>
      <c r="AB2131">
        <v>27</v>
      </c>
      <c r="AC2131">
        <v>-2.4007999999999701</v>
      </c>
      <c r="AD2131">
        <v>61.536714000000003</v>
      </c>
      <c r="AE2131">
        <v>-412.44123999999999</v>
      </c>
      <c r="AF2131">
        <v>-2.42479393039098</v>
      </c>
      <c r="AG2131">
        <v>61.536714000000003</v>
      </c>
      <c r="AH2131">
        <v>403.45967215938202</v>
      </c>
      <c r="AI2131">
        <v>81.328087910688694</v>
      </c>
      <c r="AJ2131">
        <v>90.3443436737155</v>
      </c>
      <c r="AK2131">
        <v>408.13276498521702</v>
      </c>
      <c r="AL2131">
        <v>86.681275311914703</v>
      </c>
      <c r="AM2131">
        <v>91.331002964708702</v>
      </c>
      <c r="AN2131">
        <v>1.0000000098194299</v>
      </c>
    </row>
    <row r="2132" spans="1:40" x14ac:dyDescent="0.3">
      <c r="A2132" t="str">
        <f>"20200111145955139"</f>
        <v>20200111145955139</v>
      </c>
      <c r="B2132" t="str">
        <f>"1578725995128012"</f>
        <v>1578725995128012</v>
      </c>
      <c r="C2132" t="s">
        <v>40</v>
      </c>
      <c r="D2132">
        <v>4.5744360000000004</v>
      </c>
      <c r="E2132">
        <v>0.51500270000000004</v>
      </c>
      <c r="F2132" t="s">
        <v>41</v>
      </c>
      <c r="G2132">
        <v>-190.72450000000001</v>
      </c>
      <c r="H2132">
        <v>1.0244</v>
      </c>
      <c r="I2132">
        <v>329.85539999999997</v>
      </c>
      <c r="J2132">
        <v>-190.69980000000001</v>
      </c>
      <c r="K2132">
        <v>1.102957</v>
      </c>
      <c r="L2132">
        <v>330.34530000000001</v>
      </c>
      <c r="M2132">
        <v>-1.318647E-2</v>
      </c>
      <c r="N2132">
        <v>0</v>
      </c>
      <c r="O2132">
        <v>-0.99988569999999999</v>
      </c>
      <c r="P2132">
        <v>1.0293429999999999E-2</v>
      </c>
      <c r="Q2132">
        <v>5.1111869999999997E-2</v>
      </c>
      <c r="R2132">
        <v>-0.99864010000000003</v>
      </c>
      <c r="S2132">
        <v>-0.1177063</v>
      </c>
      <c r="T2132">
        <v>-0.31611009999999901</v>
      </c>
      <c r="U2132">
        <v>-3.0214539999999999</v>
      </c>
      <c r="V2132">
        <v>-2.331503E-2</v>
      </c>
      <c r="W2132">
        <v>5.855196E-2</v>
      </c>
      <c r="X2132">
        <v>0.99801209999999996</v>
      </c>
      <c r="Y2132">
        <v>2.5536059999999999E-2</v>
      </c>
      <c r="Z2132">
        <v>0.10398449999999999</v>
      </c>
      <c r="AA2132">
        <v>0.99425110000000005</v>
      </c>
      <c r="AB2132">
        <v>27</v>
      </c>
      <c r="AC2132">
        <v>-2.4699999999995701E-2</v>
      </c>
      <c r="AD2132">
        <v>-7.8556999999999905E-2</v>
      </c>
      <c r="AE2132">
        <v>-0.48990000000003397</v>
      </c>
      <c r="AF2132">
        <v>1.7781563681817901E-2</v>
      </c>
      <c r="AG2132">
        <v>-7.8556999999999905E-2</v>
      </c>
      <c r="AH2132">
        <v>0.47792532277100302</v>
      </c>
      <c r="AI2132">
        <v>99.327949888881093</v>
      </c>
      <c r="AJ2132">
        <v>87.869251130481302</v>
      </c>
      <c r="AK2132">
        <v>0.484664833056555</v>
      </c>
      <c r="AL2132">
        <v>86.643300088066297</v>
      </c>
      <c r="AM2132">
        <v>91.338270227568003</v>
      </c>
      <c r="AN2132">
        <v>1.0000000371950699</v>
      </c>
    </row>
    <row r="2133" spans="1:40" x14ac:dyDescent="0.3">
      <c r="A2133" t="str">
        <f>"20200111145955162"</f>
        <v>20200111145955162</v>
      </c>
      <c r="B2133" t="str">
        <f>"1578725995158269"</f>
        <v>1578725995158269</v>
      </c>
      <c r="C2133" t="s">
        <v>40</v>
      </c>
      <c r="D2133">
        <v>4.5771449999999998</v>
      </c>
      <c r="E2133">
        <v>0.5148973</v>
      </c>
      <c r="F2133" t="s">
        <v>41</v>
      </c>
      <c r="G2133">
        <v>-190.7227</v>
      </c>
      <c r="H2133">
        <v>1.035013</v>
      </c>
      <c r="I2133">
        <v>329.61040000000003</v>
      </c>
      <c r="J2133">
        <v>-190.7047</v>
      </c>
      <c r="K2133">
        <v>1.103065</v>
      </c>
      <c r="L2133">
        <v>330.08159999999998</v>
      </c>
      <c r="M2133">
        <v>-1.444459E-2</v>
      </c>
      <c r="N2133">
        <v>0</v>
      </c>
      <c r="O2133">
        <v>-0.99986660000000005</v>
      </c>
      <c r="P2133">
        <v>9.2717100000000007E-3</v>
      </c>
      <c r="Q2133">
        <v>5.1146339999999998E-2</v>
      </c>
      <c r="R2133">
        <v>-0.99864830000000004</v>
      </c>
      <c r="S2133">
        <v>-9.3399049999999997E-2</v>
      </c>
      <c r="T2133">
        <v>-0.27934409999999998</v>
      </c>
      <c r="U2133">
        <v>-3.0193479999999999</v>
      </c>
      <c r="V2133">
        <v>-2.3561180000000001E-2</v>
      </c>
      <c r="W2133">
        <v>5.8809019999999997E-2</v>
      </c>
      <c r="X2133">
        <v>0.99799110000000002</v>
      </c>
      <c r="Y2133">
        <v>1.6346030000000001E-2</v>
      </c>
      <c r="Z2133">
        <v>9.2082250000000004E-2</v>
      </c>
      <c r="AA2133">
        <v>0.99561719999999998</v>
      </c>
      <c r="AB2133">
        <v>27</v>
      </c>
      <c r="AC2133">
        <v>-1.8000000000000599E-2</v>
      </c>
      <c r="AD2133">
        <v>-6.8052000000000001E-2</v>
      </c>
      <c r="AE2133">
        <v>-0.47119999999995299</v>
      </c>
      <c r="AF2133">
        <v>1.09632948754775E-2</v>
      </c>
      <c r="AG2133">
        <v>-6.8052000000000001E-2</v>
      </c>
      <c r="AH2133">
        <v>0.461792839830997</v>
      </c>
      <c r="AI2133">
        <v>98.380716376080002</v>
      </c>
      <c r="AJ2133">
        <v>88.640012363704301</v>
      </c>
      <c r="AK2133">
        <v>0.46690887275538401</v>
      </c>
      <c r="AL2133">
        <v>86.628545859665493</v>
      </c>
      <c r="AM2133">
        <v>91.352422332702801</v>
      </c>
      <c r="AN2133">
        <v>0.99999993285777899</v>
      </c>
    </row>
    <row r="2134" spans="1:40" x14ac:dyDescent="0.3">
      <c r="A2134" t="str">
        <f>"20200111145955184"</f>
        <v>20200111145955184</v>
      </c>
      <c r="B2134" t="str">
        <f>"1578725995177788"</f>
        <v>1578725995177788</v>
      </c>
      <c r="C2134" t="s">
        <v>40</v>
      </c>
      <c r="D2134">
        <v>4.5385600000000004</v>
      </c>
      <c r="E2134">
        <v>0.5138741</v>
      </c>
      <c r="F2134" t="s">
        <v>41</v>
      </c>
      <c r="G2134">
        <v>-190.73480000000001</v>
      </c>
      <c r="H2134">
        <v>1.0198339999999999</v>
      </c>
      <c r="I2134">
        <v>329.13749999999999</v>
      </c>
      <c r="J2134">
        <v>-190.71010000000001</v>
      </c>
      <c r="K2134">
        <v>1.103164</v>
      </c>
      <c r="L2134">
        <v>329.80329999999998</v>
      </c>
      <c r="M2134">
        <v>-1.5653480000000001E-2</v>
      </c>
      <c r="N2134">
        <v>0</v>
      </c>
      <c r="O2134">
        <v>-0.99984709999999999</v>
      </c>
      <c r="P2134">
        <v>8.7402980000000005E-3</v>
      </c>
      <c r="Q2134">
        <v>5.1246930000000003E-2</v>
      </c>
      <c r="R2134">
        <v>-0.99864799999999998</v>
      </c>
      <c r="S2134">
        <v>-9.5794679999999993E-2</v>
      </c>
      <c r="T2134">
        <v>-0.26611230000000002</v>
      </c>
      <c r="U2134">
        <v>-3.0185849999999999</v>
      </c>
      <c r="V2134">
        <v>-2.4247419999999999E-2</v>
      </c>
      <c r="W2134">
        <v>5.9117929999999999E-2</v>
      </c>
      <c r="X2134">
        <v>0.99795650000000002</v>
      </c>
      <c r="Y2134">
        <v>1.594659E-2</v>
      </c>
      <c r="Z2134">
        <v>8.7773790000000004E-2</v>
      </c>
      <c r="AA2134">
        <v>0.99601280000000003</v>
      </c>
      <c r="AB2134">
        <v>27</v>
      </c>
      <c r="AC2134">
        <v>-2.4699999999995701E-2</v>
      </c>
      <c r="AD2134">
        <v>-8.3330000000000098E-2</v>
      </c>
      <c r="AE2134">
        <v>-0.66579999999998996</v>
      </c>
      <c r="AF2134">
        <v>1.4054713164994201E-2</v>
      </c>
      <c r="AG2134">
        <v>-8.3330000000000098E-2</v>
      </c>
      <c r="AH2134">
        <v>0.65584572814135</v>
      </c>
      <c r="AI2134">
        <v>97.239404557523699</v>
      </c>
      <c r="AJ2134">
        <v>88.772344662519302</v>
      </c>
      <c r="AK2134">
        <v>0.66126775438048402</v>
      </c>
      <c r="AL2134">
        <v>86.6108160719279</v>
      </c>
      <c r="AM2134">
        <v>91.391845778674906</v>
      </c>
      <c r="AN2134">
        <v>1.0000000214581899</v>
      </c>
    </row>
    <row r="2135" spans="1:40" x14ac:dyDescent="0.3">
      <c r="A2135" t="str">
        <f>"20200111145955198"</f>
        <v>20200111145955198</v>
      </c>
      <c r="B2135" t="str">
        <f>"1578725995188524"</f>
        <v>1578725995188524</v>
      </c>
      <c r="C2135" t="s">
        <v>40</v>
      </c>
      <c r="D2135">
        <v>4.5049279999999996</v>
      </c>
      <c r="E2135">
        <v>0.51382349999999999</v>
      </c>
      <c r="F2135" t="s">
        <v>41</v>
      </c>
      <c r="G2135">
        <v>-190.7372</v>
      </c>
      <c r="H2135">
        <v>1.023776</v>
      </c>
      <c r="I2135">
        <v>328.8947</v>
      </c>
      <c r="J2135">
        <v>-190.71350000000001</v>
      </c>
      <c r="K2135">
        <v>1.103213</v>
      </c>
      <c r="L2135">
        <v>329.6336</v>
      </c>
      <c r="M2135">
        <v>-1.635145E-2</v>
      </c>
      <c r="N2135">
        <v>0</v>
      </c>
      <c r="O2135">
        <v>-0.99983480000000002</v>
      </c>
      <c r="P2135">
        <v>8.6337240000000006E-3</v>
      </c>
      <c r="Q2135">
        <v>5.1542829999999998E-2</v>
      </c>
      <c r="R2135">
        <v>-0.9986334</v>
      </c>
      <c r="S2135">
        <v>-8.966064E-2</v>
      </c>
      <c r="T2135">
        <v>-0.26388089999999997</v>
      </c>
      <c r="U2135">
        <v>-3.0183719999999998</v>
      </c>
      <c r="V2135">
        <v>-2.4842110000000001E-2</v>
      </c>
      <c r="W2135">
        <v>5.9530149999999997E-2</v>
      </c>
      <c r="X2135">
        <v>0.99791739999999995</v>
      </c>
      <c r="Y2135">
        <v>1.323042E-2</v>
      </c>
      <c r="Z2135">
        <v>8.7052450000000003E-2</v>
      </c>
      <c r="AA2135">
        <v>0.99611590000000005</v>
      </c>
      <c r="AB2135">
        <v>27</v>
      </c>
      <c r="AC2135">
        <v>-2.3699999999990898E-2</v>
      </c>
      <c r="AD2135">
        <v>-7.9436999999999897E-2</v>
      </c>
      <c r="AE2135">
        <v>-0.738900000000001</v>
      </c>
      <c r="AF2135">
        <v>1.14817965615141E-2</v>
      </c>
      <c r="AG2135">
        <v>-7.9436999999999897E-2</v>
      </c>
      <c r="AH2135">
        <v>0.73075156488137805</v>
      </c>
      <c r="AI2135">
        <v>96.203267992012599</v>
      </c>
      <c r="AJ2135">
        <v>89.099824910162596</v>
      </c>
      <c r="AK2135">
        <v>0.73514618831757705</v>
      </c>
      <c r="AL2135">
        <v>86.587156043764196</v>
      </c>
      <c r="AM2135">
        <v>91.426023983512195</v>
      </c>
      <c r="AN2135">
        <v>1.00000005320551</v>
      </c>
    </row>
    <row r="2136" spans="1:40" x14ac:dyDescent="0.3">
      <c r="A2136" t="str">
        <f>"20200111145955217"</f>
        <v>20200111145955217</v>
      </c>
      <c r="B2136" t="str">
        <f>"1578725995208046"</f>
        <v>1578725995208046</v>
      </c>
      <c r="C2136" t="s">
        <v>40</v>
      </c>
      <c r="D2136">
        <v>4.4913860000000003</v>
      </c>
      <c r="E2136">
        <v>0.513845</v>
      </c>
      <c r="F2136" t="s">
        <v>41</v>
      </c>
      <c r="G2136">
        <v>-190.73589999999999</v>
      </c>
      <c r="H2136">
        <v>1.038864</v>
      </c>
      <c r="I2136">
        <v>328.88699999999898</v>
      </c>
      <c r="J2136">
        <v>-190.7183</v>
      </c>
      <c r="K2136">
        <v>1.1032740000000001</v>
      </c>
      <c r="L2136">
        <v>329.40309999999999</v>
      </c>
      <c r="M2136">
        <v>-1.7247820000000001E-2</v>
      </c>
      <c r="N2136">
        <v>0</v>
      </c>
      <c r="O2136">
        <v>-0.9998186</v>
      </c>
      <c r="P2136">
        <v>8.1042809999999996E-3</v>
      </c>
      <c r="Q2136">
        <v>5.149215E-2</v>
      </c>
      <c r="R2136">
        <v>-0.99864070000000005</v>
      </c>
      <c r="S2136">
        <v>-8.9645390000000005E-2</v>
      </c>
      <c r="T2136">
        <v>-0.26034059999999998</v>
      </c>
      <c r="U2136">
        <v>-3.0182799999999999</v>
      </c>
      <c r="V2136">
        <v>-2.521408E-2</v>
      </c>
      <c r="W2136">
        <v>5.9621540000000001E-2</v>
      </c>
      <c r="X2136">
        <v>0.99790259999999997</v>
      </c>
      <c r="Y2136">
        <v>1.23328E-2</v>
      </c>
      <c r="Z2136">
        <v>8.5894380000000006E-2</v>
      </c>
      <c r="AA2136">
        <v>0.99622790000000006</v>
      </c>
      <c r="AB2136">
        <v>27</v>
      </c>
      <c r="AC2136">
        <v>-1.75999999999874E-2</v>
      </c>
      <c r="AD2136">
        <v>-6.4409999999999995E-2</v>
      </c>
      <c r="AE2136">
        <v>-0.51610000000005096</v>
      </c>
      <c r="AF2136">
        <v>8.5622852761142801E-3</v>
      </c>
      <c r="AG2136">
        <v>-6.4409999999999995E-2</v>
      </c>
      <c r="AH2136">
        <v>0.50841719739112301</v>
      </c>
      <c r="AI2136">
        <v>97.219171252787504</v>
      </c>
      <c r="AJ2136">
        <v>89.035169463588801</v>
      </c>
      <c r="AK2136">
        <v>0.51255244359206198</v>
      </c>
      <c r="AL2136">
        <v>86.581910415049194</v>
      </c>
      <c r="AM2136">
        <v>91.447388803485495</v>
      </c>
      <c r="AN2136">
        <v>1.00000003847448</v>
      </c>
    </row>
    <row r="2137" spans="1:40" x14ac:dyDescent="0.3">
      <c r="A2137" t="str">
        <f>"20200111145955240"</f>
        <v>20200111145955240</v>
      </c>
      <c r="B2137" t="str">
        <f>"1578725995228540"</f>
        <v>1578725995228540</v>
      </c>
      <c r="C2137" t="s">
        <v>40</v>
      </c>
      <c r="D2137">
        <v>4.4363479999999997</v>
      </c>
      <c r="E2137">
        <v>0.51391969999999998</v>
      </c>
      <c r="F2137" t="s">
        <v>41</v>
      </c>
      <c r="G2137">
        <v>-190.7413</v>
      </c>
      <c r="H2137">
        <v>1.038924</v>
      </c>
      <c r="I2137">
        <v>328.64580000000001</v>
      </c>
      <c r="J2137">
        <v>-190.72399999999999</v>
      </c>
      <c r="K2137">
        <v>1.1033379999999999</v>
      </c>
      <c r="L2137">
        <v>329.13729999999998</v>
      </c>
      <c r="M2137">
        <v>-1.819774E-2</v>
      </c>
      <c r="N2137">
        <v>0</v>
      </c>
      <c r="O2137">
        <v>-0.99980040000000003</v>
      </c>
      <c r="P2137">
        <v>6.4259019999999998E-3</v>
      </c>
      <c r="Q2137">
        <v>5.1947220000000002E-2</v>
      </c>
      <c r="R2137">
        <v>-0.99862910000000005</v>
      </c>
      <c r="S2137">
        <v>-9.1476440000000006E-2</v>
      </c>
      <c r="T2137">
        <v>-0.25650820000000002</v>
      </c>
      <c r="U2137">
        <v>-3.018097</v>
      </c>
      <c r="V2137">
        <v>-2.4491349999999999E-2</v>
      </c>
      <c r="W2137">
        <v>6.022081E-2</v>
      </c>
      <c r="X2137">
        <v>0.99788460000000001</v>
      </c>
      <c r="Y2137">
        <v>1.199164E-2</v>
      </c>
      <c r="Z2137">
        <v>8.4641460000000002E-2</v>
      </c>
      <c r="AA2137">
        <v>0.99633930000000004</v>
      </c>
      <c r="AB2137">
        <v>27</v>
      </c>
      <c r="AC2137">
        <v>-1.7299999999977399E-2</v>
      </c>
      <c r="AD2137">
        <v>-6.4413999999999902E-2</v>
      </c>
      <c r="AE2137">
        <v>-0.49149999999997301</v>
      </c>
      <c r="AF2137">
        <v>8.2117735894655305E-3</v>
      </c>
      <c r="AG2137">
        <v>-6.4413999999999902E-2</v>
      </c>
      <c r="AH2137">
        <v>0.48344030446129599</v>
      </c>
      <c r="AI2137">
        <v>97.588355407302899</v>
      </c>
      <c r="AJ2137">
        <v>89.026860769257297</v>
      </c>
      <c r="AK2137">
        <v>0.48778184119452001</v>
      </c>
      <c r="AL2137">
        <v>86.547512914110001</v>
      </c>
      <c r="AM2137">
        <v>91.405943464450402</v>
      </c>
      <c r="AN2137">
        <v>1.0000000235495099</v>
      </c>
    </row>
    <row r="2138" spans="1:40" x14ac:dyDescent="0.3">
      <c r="A2138" t="str">
        <f>"20200111145955254"</f>
        <v>20200111145955254</v>
      </c>
      <c r="B2138" t="str">
        <f>"1578725995248060"</f>
        <v>1578725995248060</v>
      </c>
      <c r="C2138" t="s">
        <v>40</v>
      </c>
      <c r="D2138">
        <v>4.6572060000000004</v>
      </c>
      <c r="E2138">
        <v>0.51363210000000004</v>
      </c>
      <c r="F2138" t="s">
        <v>41</v>
      </c>
      <c r="G2138">
        <v>-190.74770000000001</v>
      </c>
      <c r="H2138">
        <v>1.0413829999999999</v>
      </c>
      <c r="I2138">
        <v>328.40219999999999</v>
      </c>
      <c r="J2138">
        <v>-190.72790000000001</v>
      </c>
      <c r="K2138">
        <v>1.103389</v>
      </c>
      <c r="L2138">
        <v>328.95699999999999</v>
      </c>
      <c r="M2138">
        <v>-1.8767499999999999E-2</v>
      </c>
      <c r="N2138">
        <v>0</v>
      </c>
      <c r="O2138">
        <v>-0.99978929999999999</v>
      </c>
      <c r="P2138">
        <v>5.4420909999999996E-3</v>
      </c>
      <c r="Q2138">
        <v>5.1813930000000001E-2</v>
      </c>
      <c r="R2138">
        <v>-0.99864189999999997</v>
      </c>
      <c r="S2138">
        <v>-9.6466060000000006E-2</v>
      </c>
      <c r="T2138">
        <v>-0.25456309999999999</v>
      </c>
      <c r="U2138">
        <v>-3.017944</v>
      </c>
      <c r="V2138">
        <v>-2.4083630000000002E-2</v>
      </c>
      <c r="W2138">
        <v>6.017368E-2</v>
      </c>
      <c r="X2138">
        <v>0.99789729999999999</v>
      </c>
      <c r="Y2138">
        <v>1.3070709999999999E-2</v>
      </c>
      <c r="Z2138">
        <v>8.4004330000000002E-2</v>
      </c>
      <c r="AA2138">
        <v>0.99637969999999998</v>
      </c>
      <c r="AB2138">
        <v>27</v>
      </c>
      <c r="AC2138">
        <v>-1.9800000000003599E-2</v>
      </c>
      <c r="AD2138">
        <v>-6.2005999999999999E-2</v>
      </c>
      <c r="AE2138">
        <v>-0.55479999999999996</v>
      </c>
      <c r="AF2138">
        <v>9.2683209157742308E-3</v>
      </c>
      <c r="AG2138">
        <v>-6.2005999999999999E-2</v>
      </c>
      <c r="AH2138">
        <v>0.54823464272702704</v>
      </c>
      <c r="AI2138">
        <v>96.451886433168795</v>
      </c>
      <c r="AJ2138">
        <v>89.031463814706996</v>
      </c>
      <c r="AK2138">
        <v>0.55180781916771404</v>
      </c>
      <c r="AL2138">
        <v>86.550217940851098</v>
      </c>
      <c r="AM2138">
        <v>91.382529578821902</v>
      </c>
      <c r="AN2138">
        <v>0.99999995717300305</v>
      </c>
    </row>
    <row r="2139" spans="1:40" x14ac:dyDescent="0.3">
      <c r="A2139" t="str">
        <f>"20200111145955273"</f>
        <v>20200111145955273</v>
      </c>
      <c r="B2139" t="str">
        <f>"1578725995267580"</f>
        <v>1578725995267580</v>
      </c>
      <c r="C2139" t="s">
        <v>40</v>
      </c>
      <c r="D2139">
        <v>4.4586430000000004</v>
      </c>
      <c r="E2139">
        <v>0.51316499999999998</v>
      </c>
      <c r="F2139" t="s">
        <v>41</v>
      </c>
      <c r="G2139">
        <v>-190.7535</v>
      </c>
      <c r="H2139">
        <v>1.041326</v>
      </c>
      <c r="I2139">
        <v>328.16030000000001</v>
      </c>
      <c r="J2139">
        <v>-190.7328</v>
      </c>
      <c r="K2139">
        <v>1.1034600000000001</v>
      </c>
      <c r="L2139">
        <v>328.73669999999998</v>
      </c>
      <c r="M2139">
        <v>-1.9391749999999999E-2</v>
      </c>
      <c r="N2139">
        <v>0</v>
      </c>
      <c r="O2139">
        <v>-0.99977640000000001</v>
      </c>
      <c r="P2139">
        <v>3.5964030000000002E-3</v>
      </c>
      <c r="Q2139">
        <v>5.1631580000000003E-2</v>
      </c>
      <c r="R2139">
        <v>-0.99865979999999999</v>
      </c>
      <c r="S2139">
        <v>-9.6542359999999994E-2</v>
      </c>
      <c r="T2139">
        <v>-0.2351084</v>
      </c>
      <c r="U2139">
        <v>-3.0168149999999998</v>
      </c>
      <c r="V2139">
        <v>-2.2872739999999999E-2</v>
      </c>
      <c r="W2139">
        <v>6.0085159999999999E-2</v>
      </c>
      <c r="X2139">
        <v>0.99793120000000002</v>
      </c>
      <c r="Y2139">
        <v>1.2499919999999999E-2</v>
      </c>
      <c r="Z2139">
        <v>7.7652410000000005E-2</v>
      </c>
      <c r="AA2139">
        <v>0.99690210000000001</v>
      </c>
      <c r="AB2139">
        <v>27</v>
      </c>
      <c r="AC2139">
        <v>-2.0700000000004999E-2</v>
      </c>
      <c r="AD2139">
        <v>-6.2134000000000099E-2</v>
      </c>
      <c r="AE2139">
        <v>-0.57639999999997804</v>
      </c>
      <c r="AF2139">
        <v>9.4091110220737104E-3</v>
      </c>
      <c r="AG2139">
        <v>-6.2134000000000099E-2</v>
      </c>
      <c r="AH2139">
        <v>0.57007719691274805</v>
      </c>
      <c r="AI2139">
        <v>96.219402668055807</v>
      </c>
      <c r="AJ2139">
        <v>89.054420333953203</v>
      </c>
      <c r="AK2139">
        <v>0.57353044885700799</v>
      </c>
      <c r="AL2139">
        <v>86.555299223153497</v>
      </c>
      <c r="AM2139">
        <v>91.312998386028895</v>
      </c>
      <c r="AN2139">
        <v>1.0000000343103801</v>
      </c>
    </row>
    <row r="2140" spans="1:40" x14ac:dyDescent="0.3">
      <c r="A2140" t="str">
        <f>"20200111145955295"</f>
        <v>20200111145955295</v>
      </c>
      <c r="B2140" t="str">
        <f>"1578725995288076"</f>
        <v>1578725995288076</v>
      </c>
      <c r="C2140" t="s">
        <v>40</v>
      </c>
      <c r="D2140">
        <v>4.6693439999999997</v>
      </c>
      <c r="E2140">
        <v>0.51265039999999995</v>
      </c>
      <c r="F2140" t="s">
        <v>41</v>
      </c>
      <c r="G2140">
        <v>-190.7594</v>
      </c>
      <c r="H2140">
        <v>1.039785</v>
      </c>
      <c r="I2140">
        <v>327.91950000000003</v>
      </c>
      <c r="J2140">
        <v>-190.7389</v>
      </c>
      <c r="K2140">
        <v>1.1035710000000001</v>
      </c>
      <c r="L2140">
        <v>328.46319999999997</v>
      </c>
      <c r="M2140">
        <v>-2.004075E-2</v>
      </c>
      <c r="N2140">
        <v>0</v>
      </c>
      <c r="O2140">
        <v>-0.9997627</v>
      </c>
      <c r="P2140">
        <v>1.9978119999999999E-3</v>
      </c>
      <c r="Q2140">
        <v>5.1001110000000002E-2</v>
      </c>
      <c r="R2140">
        <v>-0.9986971</v>
      </c>
      <c r="S2140">
        <v>-9.7503660000000006E-2</v>
      </c>
      <c r="T2140">
        <v>-0.23522170000000001</v>
      </c>
      <c r="U2140">
        <v>-3.0165410000000001</v>
      </c>
      <c r="V2140">
        <v>-2.193933E-2</v>
      </c>
      <c r="W2140">
        <v>5.9558720000000002E-2</v>
      </c>
      <c r="X2140">
        <v>0.99798370000000003</v>
      </c>
      <c r="Y2140">
        <v>1.217095E-2</v>
      </c>
      <c r="Z2140">
        <v>7.7694920000000001E-2</v>
      </c>
      <c r="AA2140">
        <v>0.99690290000000004</v>
      </c>
      <c r="AB2140">
        <v>27</v>
      </c>
      <c r="AC2140">
        <v>-2.0499999999998401E-2</v>
      </c>
      <c r="AD2140">
        <v>-6.3785999999999898E-2</v>
      </c>
      <c r="AE2140">
        <v>-0.54369999999994401</v>
      </c>
      <c r="AF2140">
        <v>9.4691844778209203E-3</v>
      </c>
      <c r="AG2140">
        <v>-6.3785999999999898E-2</v>
      </c>
      <c r="AH2140">
        <v>0.53662622386305403</v>
      </c>
      <c r="AI2140">
        <v>96.777603974913006</v>
      </c>
      <c r="AJ2140">
        <v>88.989076602794199</v>
      </c>
      <c r="AK2140">
        <v>0.54048683923680796</v>
      </c>
      <c r="AL2140">
        <v>86.585516081616902</v>
      </c>
      <c r="AM2140">
        <v>91.2593678366284</v>
      </c>
      <c r="AN2140">
        <v>1.0000000203972801</v>
      </c>
    </row>
    <row r="2141" spans="1:40" x14ac:dyDescent="0.3">
      <c r="A2141" t="str">
        <f>"20200111145955319"</f>
        <v>20200111145955319</v>
      </c>
      <c r="B2141" t="str">
        <f>"1578725995307595"</f>
        <v>1578725995307595</v>
      </c>
      <c r="C2141" t="s">
        <v>40</v>
      </c>
      <c r="D2141">
        <v>4.4601089999999903</v>
      </c>
      <c r="E2141">
        <v>0.51211320000000005</v>
      </c>
      <c r="F2141" t="s">
        <v>41</v>
      </c>
      <c r="G2141">
        <v>-190.7647</v>
      </c>
      <c r="H2141">
        <v>1.0424420000000001</v>
      </c>
      <c r="I2141">
        <v>327.67450000000002</v>
      </c>
      <c r="J2141">
        <v>-190.74529999999999</v>
      </c>
      <c r="K2141">
        <v>1.103702</v>
      </c>
      <c r="L2141">
        <v>328.17970000000003</v>
      </c>
      <c r="M2141">
        <v>-2.054599E-2</v>
      </c>
      <c r="N2141">
        <v>0</v>
      </c>
      <c r="O2141">
        <v>-0.99975170000000002</v>
      </c>
      <c r="P2141" s="1">
        <v>-3.2482350000000002E-5</v>
      </c>
      <c r="Q2141">
        <v>4.9354090000000003E-2</v>
      </c>
      <c r="R2141">
        <v>-0.99878149999999999</v>
      </c>
      <c r="S2141">
        <v>-9.7885130000000001E-2</v>
      </c>
      <c r="T2141">
        <v>-0.23401959999999999</v>
      </c>
      <c r="U2141">
        <v>-3.016022</v>
      </c>
      <c r="V2141">
        <v>-2.0435979999999999E-2</v>
      </c>
      <c r="W2141">
        <v>5.8005010000000003E-2</v>
      </c>
      <c r="X2141">
        <v>0.99810710000000002</v>
      </c>
      <c r="Y2141">
        <v>1.1798070000000001E-2</v>
      </c>
      <c r="Z2141">
        <v>7.7312270000000002E-2</v>
      </c>
      <c r="AA2141">
        <v>0.99693710000000002</v>
      </c>
      <c r="AB2141">
        <v>27</v>
      </c>
      <c r="AC2141">
        <v>-1.9400000000018701E-2</v>
      </c>
      <c r="AD2141">
        <v>-6.1259999999999801E-2</v>
      </c>
      <c r="AE2141">
        <v>-0.50520000000000198</v>
      </c>
      <c r="AF2141">
        <v>8.8852306261123903E-3</v>
      </c>
      <c r="AG2141">
        <v>-6.1259999999999801E-2</v>
      </c>
      <c r="AH2141">
        <v>0.49817767521102202</v>
      </c>
      <c r="AI2141">
        <v>97.009260228610202</v>
      </c>
      <c r="AJ2141">
        <v>88.978211449951502</v>
      </c>
      <c r="AK2141">
        <v>0.50200869614174704</v>
      </c>
      <c r="AL2141">
        <v>86.674691233036896</v>
      </c>
      <c r="AM2141">
        <v>91.172952107490701</v>
      </c>
      <c r="AN2141">
        <v>0.99999999676703499</v>
      </c>
    </row>
    <row r="2142" spans="1:40" x14ac:dyDescent="0.3">
      <c r="A2142" t="str">
        <f>"20200111145955332"</f>
        <v>20200111145955332</v>
      </c>
      <c r="B2142" t="str">
        <f>"1578725995328093"</f>
        <v>1578725995328093</v>
      </c>
      <c r="C2142" t="s">
        <v>40</v>
      </c>
      <c r="D2142">
        <v>4.4574829999999999</v>
      </c>
      <c r="E2142">
        <v>0.51148070000000001</v>
      </c>
      <c r="F2142" t="s">
        <v>41</v>
      </c>
      <c r="G2142">
        <v>-190.77010000000001</v>
      </c>
      <c r="H2142">
        <v>1.045228</v>
      </c>
      <c r="I2142">
        <v>327.42910000000001</v>
      </c>
      <c r="J2142">
        <v>-190.7491</v>
      </c>
      <c r="K2142">
        <v>1.103791</v>
      </c>
      <c r="L2142">
        <v>328.00439999999998</v>
      </c>
      <c r="M2142">
        <v>-2.074544E-2</v>
      </c>
      <c r="N2142">
        <v>0</v>
      </c>
      <c r="O2142">
        <v>-0.99974719999999995</v>
      </c>
      <c r="P2142">
        <v>-1.4439159999999999E-3</v>
      </c>
      <c r="Q2142">
        <v>4.8629319999999997E-2</v>
      </c>
      <c r="R2142">
        <v>-0.99881600000000004</v>
      </c>
      <c r="S2142">
        <v>-9.9029539999999999E-2</v>
      </c>
      <c r="T2142">
        <v>-0.2350941</v>
      </c>
      <c r="U2142">
        <v>-3.0152890000000001</v>
      </c>
      <c r="V2142">
        <v>-1.9237839999999999E-2</v>
      </c>
      <c r="W2142">
        <v>5.7330930000000002E-2</v>
      </c>
      <c r="X2142">
        <v>0.9981698</v>
      </c>
      <c r="Y2142">
        <v>1.198345E-2</v>
      </c>
      <c r="Z2142">
        <v>7.7682829999999994E-2</v>
      </c>
      <c r="AA2142">
        <v>0.99690610000000002</v>
      </c>
      <c r="AB2142">
        <v>27</v>
      </c>
      <c r="AC2142">
        <v>-2.1000000000015E-2</v>
      </c>
      <c r="AD2142">
        <v>-5.85629999999999E-2</v>
      </c>
      <c r="AE2142">
        <v>-0.57529999999996995</v>
      </c>
      <c r="AF2142">
        <v>8.9673806617205001E-3</v>
      </c>
      <c r="AG2142">
        <v>-5.85629999999999E-2</v>
      </c>
      <c r="AH2142">
        <v>0.56971611415475698</v>
      </c>
      <c r="AI2142">
        <v>95.868286865291907</v>
      </c>
      <c r="AJ2142">
        <v>89.098233966094895</v>
      </c>
      <c r="AK2142">
        <v>0.57278834626110198</v>
      </c>
      <c r="AL2142">
        <v>86.713377366696605</v>
      </c>
      <c r="AM2142">
        <v>91.104131372972304</v>
      </c>
      <c r="AN2142">
        <v>0.99999993982728297</v>
      </c>
    </row>
    <row r="2143" spans="1:40" x14ac:dyDescent="0.3">
      <c r="A2143" t="str">
        <f>"20200111145955351"</f>
        <v>20200111145955351</v>
      </c>
      <c r="B2143" t="str">
        <f>"1578725995347612"</f>
        <v>1578725995347612</v>
      </c>
      <c r="C2143" t="s">
        <v>40</v>
      </c>
      <c r="D2143">
        <v>4.497522</v>
      </c>
      <c r="E2143">
        <v>0.51128430000000002</v>
      </c>
      <c r="F2143" t="s">
        <v>41</v>
      </c>
      <c r="G2143">
        <v>-190.7756</v>
      </c>
      <c r="H2143">
        <v>1.0399339999999999</v>
      </c>
      <c r="I2143">
        <v>327.19060000000002</v>
      </c>
      <c r="J2143">
        <v>-190.75380000000001</v>
      </c>
      <c r="K2143">
        <v>1.1039110000000001</v>
      </c>
      <c r="L2143">
        <v>327.7876</v>
      </c>
      <c r="M2143">
        <v>-2.0885279999999999E-2</v>
      </c>
      <c r="N2143">
        <v>0</v>
      </c>
      <c r="O2143">
        <v>-0.99974350000000001</v>
      </c>
      <c r="P2143">
        <v>-3.7569389999999999E-3</v>
      </c>
      <c r="Q2143">
        <v>4.7593709999999997E-2</v>
      </c>
      <c r="R2143">
        <v>-0.99885959999999996</v>
      </c>
      <c r="S2143">
        <v>-9.7686770000000006E-2</v>
      </c>
      <c r="T2143">
        <v>-0.2366221</v>
      </c>
      <c r="U2143">
        <v>-3.0149539999999999</v>
      </c>
      <c r="V2143">
        <v>-1.708167E-2</v>
      </c>
      <c r="W2143">
        <v>5.6353569999999999E-2</v>
      </c>
      <c r="X2143">
        <v>0.9982647</v>
      </c>
      <c r="Y2143">
        <v>1.140239E-2</v>
      </c>
      <c r="Z2143">
        <v>7.8193780000000004E-2</v>
      </c>
      <c r="AA2143">
        <v>0.99687300000000001</v>
      </c>
      <c r="AB2143">
        <v>27</v>
      </c>
      <c r="AC2143">
        <v>-2.17999999999847E-2</v>
      </c>
      <c r="AD2143">
        <v>-6.3977000000000103E-2</v>
      </c>
      <c r="AE2143">
        <v>-0.59699999999997999</v>
      </c>
      <c r="AF2143">
        <v>9.2205052781646896E-3</v>
      </c>
      <c r="AG2143">
        <v>-6.3977000000000103E-2</v>
      </c>
      <c r="AH2143">
        <v>0.59055212663787804</v>
      </c>
      <c r="AI2143">
        <v>96.182232332804602</v>
      </c>
      <c r="AJ2143">
        <v>89.105492824365697</v>
      </c>
      <c r="AK2143">
        <v>0.59407902548659797</v>
      </c>
      <c r="AL2143">
        <v>86.769466726668597</v>
      </c>
      <c r="AM2143">
        <v>90.980313230906802</v>
      </c>
      <c r="AN2143">
        <v>0.99999995978391099</v>
      </c>
    </row>
    <row r="2144" spans="1:40" x14ac:dyDescent="0.3">
      <c r="A2144" t="str">
        <f>"20200111145955366"</f>
        <v>20200111145955366</v>
      </c>
      <c r="B2144" t="str">
        <f>"1578725995358348"</f>
        <v>1578725995358348</v>
      </c>
      <c r="C2144" t="s">
        <v>40</v>
      </c>
      <c r="D2144">
        <v>4.5556000000000001</v>
      </c>
      <c r="E2144">
        <v>0.51111689999999999</v>
      </c>
      <c r="F2144" t="s">
        <v>41</v>
      </c>
      <c r="G2144">
        <v>-190.78270000000001</v>
      </c>
      <c r="H2144">
        <v>1.0356810000000001</v>
      </c>
      <c r="I2144">
        <v>326.9504</v>
      </c>
      <c r="J2144">
        <v>-190.7578</v>
      </c>
      <c r="K2144">
        <v>1.104017</v>
      </c>
      <c r="L2144">
        <v>327.60410000000002</v>
      </c>
      <c r="M2144">
        <v>-2.090003E-2</v>
      </c>
      <c r="N2144">
        <v>0</v>
      </c>
      <c r="O2144">
        <v>-0.99974269999999998</v>
      </c>
      <c r="P2144">
        <v>-4.5636770000000004E-3</v>
      </c>
      <c r="Q2144">
        <v>4.794412E-2</v>
      </c>
      <c r="R2144">
        <v>-0.99883960000000005</v>
      </c>
      <c r="S2144">
        <v>-0.1031647</v>
      </c>
      <c r="T2144">
        <v>-0.246035</v>
      </c>
      <c r="U2144">
        <v>-3.0148009999999998</v>
      </c>
      <c r="V2144">
        <v>-1.630351E-2</v>
      </c>
      <c r="W2144">
        <v>5.6748710000000001E-2</v>
      </c>
      <c r="X2144">
        <v>0.99825540000000001</v>
      </c>
      <c r="Y2144">
        <v>1.319011E-2</v>
      </c>
      <c r="Z2144">
        <v>8.1284899999999993E-2</v>
      </c>
      <c r="AA2144">
        <v>0.99660360000000003</v>
      </c>
      <c r="AB2144">
        <v>27</v>
      </c>
      <c r="AC2144">
        <v>-2.4900000000002299E-2</v>
      </c>
      <c r="AD2144">
        <v>-6.8336000000000105E-2</v>
      </c>
      <c r="AE2144">
        <v>-0.65370000000001405</v>
      </c>
      <c r="AF2144">
        <v>1.1110440710814899E-2</v>
      </c>
      <c r="AG2144">
        <v>-6.8336000000000105E-2</v>
      </c>
      <c r="AH2144">
        <v>0.64701724840228203</v>
      </c>
      <c r="AI2144">
        <v>96.028172731730905</v>
      </c>
      <c r="AJ2144">
        <v>89.016225913174395</v>
      </c>
      <c r="AK2144">
        <v>0.65071081942660902</v>
      </c>
      <c r="AL2144">
        <v>86.746790818180301</v>
      </c>
      <c r="AM2144">
        <v>90.935671646133798</v>
      </c>
      <c r="AN2144">
        <v>1.0000000320770699</v>
      </c>
    </row>
    <row r="2145" spans="1:40" x14ac:dyDescent="0.3">
      <c r="A2145" t="str">
        <f>"20200111145955384"</f>
        <v>20200111145955384</v>
      </c>
      <c r="B2145" t="str">
        <f>"1578725995377868"</f>
        <v>1578725995377868</v>
      </c>
      <c r="C2145" t="s">
        <v>40</v>
      </c>
      <c r="D2145">
        <v>4.4343940000000002</v>
      </c>
      <c r="E2145">
        <v>0.51084470000000004</v>
      </c>
      <c r="F2145" t="s">
        <v>41</v>
      </c>
      <c r="G2145">
        <v>-190.78880000000001</v>
      </c>
      <c r="H2145">
        <v>1.0320670000000001</v>
      </c>
      <c r="I2145">
        <v>326.70839999999998</v>
      </c>
      <c r="J2145">
        <v>-190.76249999999999</v>
      </c>
      <c r="K2145">
        <v>1.104163</v>
      </c>
      <c r="L2145">
        <v>327.37259999999998</v>
      </c>
      <c r="M2145">
        <v>-2.0768189999999999E-2</v>
      </c>
      <c r="N2145">
        <v>0</v>
      </c>
      <c r="O2145">
        <v>-0.99974490000000005</v>
      </c>
      <c r="P2145">
        <v>-5.7817739999999999E-3</v>
      </c>
      <c r="Q2145">
        <v>4.8437639999999997E-2</v>
      </c>
      <c r="R2145">
        <v>-0.99880959999999996</v>
      </c>
      <c r="S2145">
        <v>-0.1042633</v>
      </c>
      <c r="T2145">
        <v>-0.24226420000000001</v>
      </c>
      <c r="U2145">
        <v>-3.0146480000000002</v>
      </c>
      <c r="V2145">
        <v>-1.497211E-2</v>
      </c>
      <c r="W2145">
        <v>5.7293799999999999E-2</v>
      </c>
      <c r="X2145">
        <v>0.9982451</v>
      </c>
      <c r="Y2145">
        <v>1.36899E-2</v>
      </c>
      <c r="Z2145">
        <v>8.0050720000000006E-2</v>
      </c>
      <c r="AA2145">
        <v>0.99669680000000005</v>
      </c>
      <c r="AB2145">
        <v>27</v>
      </c>
      <c r="AC2145">
        <v>-2.6300000000020401E-2</v>
      </c>
      <c r="AD2145">
        <v>-7.2095999999999896E-2</v>
      </c>
      <c r="AE2145">
        <v>-0.66419999999999302</v>
      </c>
      <c r="AF2145">
        <v>1.23542202415416E-2</v>
      </c>
      <c r="AG2145">
        <v>-7.2095999999999896E-2</v>
      </c>
      <c r="AH2145">
        <v>0.65687566455864599</v>
      </c>
      <c r="AI2145">
        <v>96.262382497171998</v>
      </c>
      <c r="AJ2145">
        <v>88.922533936941306</v>
      </c>
      <c r="AK2145">
        <v>0.66093577499113998</v>
      </c>
      <c r="AL2145">
        <v>86.715508497791106</v>
      </c>
      <c r="AM2145">
        <v>90.859282352243596</v>
      </c>
      <c r="AN2145">
        <v>1.00000001163515</v>
      </c>
    </row>
    <row r="2146" spans="1:40" x14ac:dyDescent="0.3">
      <c r="A2146" t="str">
        <f>"20200111145955407"</f>
        <v>20200111145955407</v>
      </c>
      <c r="B2146" t="str">
        <f>"1578725995398365"</f>
        <v>1578725995398365</v>
      </c>
      <c r="C2146" t="s">
        <v>40</v>
      </c>
      <c r="D2146">
        <v>4.4621579999999996</v>
      </c>
      <c r="E2146">
        <v>0.51045529999999995</v>
      </c>
      <c r="F2146" t="s">
        <v>41</v>
      </c>
      <c r="G2146">
        <v>-190.7945</v>
      </c>
      <c r="H2146">
        <v>1.0337259999999999</v>
      </c>
      <c r="I2146">
        <v>326.46350000000001</v>
      </c>
      <c r="J2146">
        <v>-190.7679</v>
      </c>
      <c r="K2146">
        <v>1.104339</v>
      </c>
      <c r="L2146">
        <v>327.09989999999999</v>
      </c>
      <c r="M2146">
        <v>-2.0391940000000001E-2</v>
      </c>
      <c r="N2146">
        <v>0</v>
      </c>
      <c r="O2146">
        <v>-0.99975219999999998</v>
      </c>
      <c r="P2146">
        <v>-6.7235359999999996E-3</v>
      </c>
      <c r="Q2146">
        <v>4.9269350000000003E-2</v>
      </c>
      <c r="R2146">
        <v>-0.99876310000000001</v>
      </c>
      <c r="S2146">
        <v>-0.10572810000000001</v>
      </c>
      <c r="T2146">
        <v>-0.23379330000000001</v>
      </c>
      <c r="U2146">
        <v>-3.014313</v>
      </c>
      <c r="V2146">
        <v>-1.3677150000000001E-2</v>
      </c>
      <c r="W2146">
        <v>5.818019E-2</v>
      </c>
      <c r="X2146">
        <v>0.9982124</v>
      </c>
      <c r="Y2146">
        <v>1.456147E-2</v>
      </c>
      <c r="Z2146">
        <v>7.7277059999999995E-2</v>
      </c>
      <c r="AA2146">
        <v>0.99690330000000005</v>
      </c>
      <c r="AB2146">
        <v>27</v>
      </c>
      <c r="AC2146">
        <v>-2.66000000000019E-2</v>
      </c>
      <c r="AD2146">
        <v>-7.0612999999999995E-2</v>
      </c>
      <c r="AE2146">
        <v>-0.63639999999997998</v>
      </c>
      <c r="AF2146">
        <v>1.3451205634224601E-2</v>
      </c>
      <c r="AG2146">
        <v>-7.0612999999999995E-2</v>
      </c>
      <c r="AH2146">
        <v>0.62907874486126802</v>
      </c>
      <c r="AI2146">
        <v>96.403092013249207</v>
      </c>
      <c r="AJ2146">
        <v>88.775066087088007</v>
      </c>
      <c r="AK2146">
        <v>0.63317232878438601</v>
      </c>
      <c r="AL2146">
        <v>86.664637180575099</v>
      </c>
      <c r="AM2146">
        <v>90.784997198205005</v>
      </c>
      <c r="AN2146">
        <v>0.99999999722715904</v>
      </c>
    </row>
    <row r="2147" spans="1:40" x14ac:dyDescent="0.3">
      <c r="A2147" t="str">
        <f>"20200111145955430"</f>
        <v>20200111145955430</v>
      </c>
      <c r="B2147" t="str">
        <f>"1578725995417886"</f>
        <v>1578725995417886</v>
      </c>
      <c r="C2147" t="s">
        <v>40</v>
      </c>
      <c r="D2147">
        <v>4.4435840000000004</v>
      </c>
      <c r="E2147">
        <v>0.51098569999999999</v>
      </c>
      <c r="F2147" t="s">
        <v>41</v>
      </c>
      <c r="G2147">
        <v>-190.7989</v>
      </c>
      <c r="H2147">
        <v>1.0389489999999999</v>
      </c>
      <c r="I2147">
        <v>326.21640000000002</v>
      </c>
      <c r="J2147">
        <v>-190.77289999999999</v>
      </c>
      <c r="K2147">
        <v>1.104517</v>
      </c>
      <c r="L2147">
        <v>326.8261</v>
      </c>
      <c r="M2147">
        <v>-1.978779E-2</v>
      </c>
      <c r="N2147">
        <v>0</v>
      </c>
      <c r="O2147">
        <v>-0.99976379999999998</v>
      </c>
      <c r="P2147">
        <v>-7.6578219999999999E-3</v>
      </c>
      <c r="Q2147">
        <v>4.9776130000000002E-2</v>
      </c>
      <c r="R2147">
        <v>-0.99873109999999998</v>
      </c>
      <c r="S2147">
        <v>-0.10528559999999999</v>
      </c>
      <c r="T2147">
        <v>-0.22327340000000001</v>
      </c>
      <c r="U2147">
        <v>-3.014008</v>
      </c>
      <c r="V2147">
        <v>-1.2162630000000001E-2</v>
      </c>
      <c r="W2147">
        <v>5.8736660000000003E-2</v>
      </c>
      <c r="X2147">
        <v>0.99819939999999996</v>
      </c>
      <c r="Y2147">
        <v>1.5032159999999999E-2</v>
      </c>
      <c r="Z2147">
        <v>7.3827939999999995E-2</v>
      </c>
      <c r="AA2147">
        <v>0.99715770000000004</v>
      </c>
      <c r="AB2147">
        <v>27</v>
      </c>
      <c r="AC2147">
        <v>-2.60000000000104E-2</v>
      </c>
      <c r="AD2147">
        <v>-6.5568000000000001E-2</v>
      </c>
      <c r="AE2147">
        <v>-0.60969999999997504</v>
      </c>
      <c r="AF2147">
        <v>1.37708331888636E-2</v>
      </c>
      <c r="AG2147">
        <v>-6.5568000000000001E-2</v>
      </c>
      <c r="AH2147">
        <v>0.60313245681416405</v>
      </c>
      <c r="AI2147">
        <v>96.202794475163898</v>
      </c>
      <c r="AJ2147">
        <v>88.692039285892804</v>
      </c>
      <c r="AK2147">
        <v>0.60684228505716797</v>
      </c>
      <c r="AL2147">
        <v>86.632699132327204</v>
      </c>
      <c r="AM2147">
        <v>90.698089863949207</v>
      </c>
      <c r="AN2147">
        <v>0.99999998347841601</v>
      </c>
    </row>
    <row r="2148" spans="1:40" x14ac:dyDescent="0.3">
      <c r="A2148" t="str">
        <f>"20200111145955452"</f>
        <v>20200111145955452</v>
      </c>
      <c r="B2148" t="str">
        <f>"1578725995448141"</f>
        <v>1578725995448141</v>
      </c>
      <c r="C2148" t="s">
        <v>40</v>
      </c>
      <c r="D2148">
        <v>4.410425</v>
      </c>
      <c r="E2148">
        <v>0.51296769999999903</v>
      </c>
      <c r="F2148" t="s">
        <v>41</v>
      </c>
      <c r="G2148">
        <v>-190.80510000000001</v>
      </c>
      <c r="H2148">
        <v>1.042411</v>
      </c>
      <c r="I2148">
        <v>325.9692</v>
      </c>
      <c r="J2148">
        <v>-190.7774</v>
      </c>
      <c r="K2148">
        <v>1.1046860000000001</v>
      </c>
      <c r="L2148">
        <v>326.55939999999998</v>
      </c>
      <c r="M2148">
        <v>-1.8983300000000002E-2</v>
      </c>
      <c r="N2148">
        <v>0</v>
      </c>
      <c r="O2148">
        <v>-0.99977930000000004</v>
      </c>
      <c r="P2148">
        <v>-8.4002469999999996E-3</v>
      </c>
      <c r="Q2148">
        <v>4.9917589999999998E-2</v>
      </c>
      <c r="R2148">
        <v>-0.99871829999999995</v>
      </c>
      <c r="S2148">
        <v>-0.1122894</v>
      </c>
      <c r="T2148">
        <v>-0.21875919999999999</v>
      </c>
      <c r="U2148">
        <v>-3.0138850000000001</v>
      </c>
      <c r="V2148">
        <v>-1.0639849999999999E-2</v>
      </c>
      <c r="W2148">
        <v>5.8923740000000002E-2</v>
      </c>
      <c r="X2148">
        <v>0.99820580000000003</v>
      </c>
      <c r="Y2148">
        <v>1.8156350000000002E-2</v>
      </c>
      <c r="Z2148">
        <v>7.2342870000000004E-2</v>
      </c>
      <c r="AA2148">
        <v>0.99721459999999995</v>
      </c>
      <c r="AB2148">
        <v>27</v>
      </c>
      <c r="AC2148">
        <v>-2.7700000000010001E-2</v>
      </c>
      <c r="AD2148">
        <v>-6.2274999999999997E-2</v>
      </c>
      <c r="AE2148">
        <v>-0.59019999999998096</v>
      </c>
      <c r="AF2148">
        <v>1.6309429877975401E-2</v>
      </c>
      <c r="AG2148">
        <v>-6.2274999999999997E-2</v>
      </c>
      <c r="AH2148">
        <v>0.58413041402604904</v>
      </c>
      <c r="AI2148">
        <v>96.083048123318207</v>
      </c>
      <c r="AJ2148">
        <v>88.400667450724896</v>
      </c>
      <c r="AK2148">
        <v>0.58766700921371096</v>
      </c>
      <c r="AL2148">
        <v>86.621961751573593</v>
      </c>
      <c r="AM2148">
        <v>90.610691116215307</v>
      </c>
      <c r="AN2148">
        <v>1.00000001634862</v>
      </c>
    </row>
    <row r="2149" spans="1:40" x14ac:dyDescent="0.3">
      <c r="A2149" t="str">
        <f>"20200111145955475"</f>
        <v>20200111145955475</v>
      </c>
      <c r="B2149" t="str">
        <f>"1578725995467660"</f>
        <v>1578725995467660</v>
      </c>
      <c r="C2149" t="s">
        <v>40</v>
      </c>
      <c r="D2149">
        <v>4.3276329999999996</v>
      </c>
      <c r="E2149">
        <v>0.51379379999999997</v>
      </c>
      <c r="F2149" t="s">
        <v>41</v>
      </c>
      <c r="G2149">
        <v>-190.81360000000001</v>
      </c>
      <c r="H2149">
        <v>1.04525</v>
      </c>
      <c r="I2149">
        <v>325.72219999999999</v>
      </c>
      <c r="J2149">
        <v>-190.7818</v>
      </c>
      <c r="K2149">
        <v>1.104865</v>
      </c>
      <c r="L2149">
        <v>326.27100000000002</v>
      </c>
      <c r="M2149">
        <v>-1.787731E-2</v>
      </c>
      <c r="N2149">
        <v>0</v>
      </c>
      <c r="O2149">
        <v>-0.99979879999999999</v>
      </c>
      <c r="P2149">
        <v>-8.527392E-3</v>
      </c>
      <c r="Q2149">
        <v>4.9335360000000002E-2</v>
      </c>
      <c r="R2149">
        <v>-0.99874569999999996</v>
      </c>
      <c r="S2149">
        <v>-0.130188</v>
      </c>
      <c r="T2149">
        <v>-0.21394060000000001</v>
      </c>
      <c r="U2149">
        <v>-3.0134280000000002</v>
      </c>
      <c r="V2149">
        <v>-9.4320949999999997E-3</v>
      </c>
      <c r="W2149">
        <v>5.8386309999999997E-2</v>
      </c>
      <c r="X2149">
        <v>0.99824950000000001</v>
      </c>
      <c r="Y2149">
        <v>2.5185889999999999E-2</v>
      </c>
      <c r="Z2149">
        <v>7.0756540000000007E-2</v>
      </c>
      <c r="AA2149">
        <v>0.99717560000000005</v>
      </c>
      <c r="AB2149">
        <v>27</v>
      </c>
      <c r="AC2149">
        <v>-3.1800000000003999E-2</v>
      </c>
      <c r="AD2149">
        <v>-5.9614999999999897E-2</v>
      </c>
      <c r="AE2149">
        <v>-0.54879999999997098</v>
      </c>
      <c r="AF2149">
        <v>2.1727911905972001E-2</v>
      </c>
      <c r="AG2149">
        <v>-5.9614999999999897E-2</v>
      </c>
      <c r="AH2149">
        <v>0.54289606070253904</v>
      </c>
      <c r="AI2149">
        <v>96.261525873093404</v>
      </c>
      <c r="AJ2149">
        <v>87.708118213285502</v>
      </c>
      <c r="AK2149">
        <v>0.54659142246025805</v>
      </c>
      <c r="AL2149">
        <v>86.652807256919502</v>
      </c>
      <c r="AM2149">
        <v>90.541350788601207</v>
      </c>
      <c r="AN2149">
        <v>0.99999999493087699</v>
      </c>
    </row>
    <row r="2150" spans="1:40" x14ac:dyDescent="0.3">
      <c r="A2150" t="str">
        <f>"20200111145955496"</f>
        <v>20200111145955496</v>
      </c>
      <c r="B2150" t="str">
        <f>"1578725995488156"</f>
        <v>1578725995488156</v>
      </c>
      <c r="C2150" t="s">
        <v>40</v>
      </c>
      <c r="D2150">
        <v>4.3533679999999997</v>
      </c>
      <c r="E2150">
        <v>0.51469120000000002</v>
      </c>
      <c r="F2150" t="s">
        <v>41</v>
      </c>
      <c r="G2150">
        <v>-190.81819999999999</v>
      </c>
      <c r="H2150">
        <v>1.047768</v>
      </c>
      <c r="I2150">
        <v>325.47460000000001</v>
      </c>
      <c r="J2150">
        <v>-190.78530000000001</v>
      </c>
      <c r="K2150">
        <v>1.10502099999999</v>
      </c>
      <c r="L2150">
        <v>326.00299999999999</v>
      </c>
      <c r="M2150">
        <v>-1.664121E-2</v>
      </c>
      <c r="N2150">
        <v>0</v>
      </c>
      <c r="O2150">
        <v>-0.99981980000000004</v>
      </c>
      <c r="P2150">
        <v>-9.1729240000000007E-3</v>
      </c>
      <c r="Q2150">
        <v>4.905731E-2</v>
      </c>
      <c r="R2150">
        <v>-0.99875380000000002</v>
      </c>
      <c r="S2150">
        <v>-0.13729859999999999</v>
      </c>
      <c r="T2150">
        <v>-0.21625559999999999</v>
      </c>
      <c r="U2150">
        <v>-3.0132750000000001</v>
      </c>
      <c r="V2150">
        <v>-7.5733959999999996E-3</v>
      </c>
      <c r="W2150">
        <v>5.8148770000000002E-2</v>
      </c>
      <c r="X2150">
        <v>0.99827920000000003</v>
      </c>
      <c r="Y2150">
        <v>2.876983E-2</v>
      </c>
      <c r="Z2150">
        <v>7.1516979999999994E-2</v>
      </c>
      <c r="AA2150">
        <v>0.99702440000000003</v>
      </c>
      <c r="AB2150">
        <v>27</v>
      </c>
      <c r="AC2150">
        <v>-3.2899999999983699E-2</v>
      </c>
      <c r="AD2150">
        <v>-5.72529999999997E-2</v>
      </c>
      <c r="AE2150">
        <v>-0.528399999999976</v>
      </c>
      <c r="AF2150">
        <v>2.3823254859559499E-2</v>
      </c>
      <c r="AG2150">
        <v>-5.72529999999997E-2</v>
      </c>
      <c r="AH2150">
        <v>0.52276079221663196</v>
      </c>
      <c r="AI2150">
        <v>96.243720795311901</v>
      </c>
      <c r="AJ2150">
        <v>87.390722055128506</v>
      </c>
      <c r="AK2150">
        <v>0.52642596759664595</v>
      </c>
      <c r="AL2150">
        <v>86.666440471046499</v>
      </c>
      <c r="AM2150">
        <v>90.434663271512093</v>
      </c>
      <c r="AN2150">
        <v>0.99999999846606202</v>
      </c>
    </row>
    <row r="2151" spans="1:40" x14ac:dyDescent="0.3">
      <c r="A2151" t="str">
        <f>"20200111145955518"</f>
        <v>20200111145955518</v>
      </c>
      <c r="B2151" t="str">
        <f>"1578725995507675"</f>
        <v>1578725995507675</v>
      </c>
      <c r="C2151" t="s">
        <v>40</v>
      </c>
      <c r="D2151">
        <v>4.376957</v>
      </c>
      <c r="E2151">
        <v>0.51540189999999997</v>
      </c>
      <c r="F2151" t="s">
        <v>41</v>
      </c>
      <c r="G2151">
        <v>-190.82320000000001</v>
      </c>
      <c r="H2151">
        <v>1.0499000000000001</v>
      </c>
      <c r="I2151">
        <v>325.22730000000001</v>
      </c>
      <c r="J2151">
        <v>-190.7884</v>
      </c>
      <c r="K2151">
        <v>1.1051610000000001</v>
      </c>
      <c r="L2151">
        <v>325.73599999999999</v>
      </c>
      <c r="M2151">
        <v>-1.52395E-2</v>
      </c>
      <c r="N2151">
        <v>0</v>
      </c>
      <c r="O2151">
        <v>-0.99984229999999996</v>
      </c>
      <c r="P2151">
        <v>-1.047701E-2</v>
      </c>
      <c r="Q2151">
        <v>4.9686229999999998E-2</v>
      </c>
      <c r="R2151">
        <v>-0.99871019999999999</v>
      </c>
      <c r="S2151">
        <v>-0.1463776</v>
      </c>
      <c r="T2151">
        <v>-0.21446129999999999</v>
      </c>
      <c r="U2151">
        <v>-3.0129389999999998</v>
      </c>
      <c r="V2151">
        <v>-4.8903499999999999E-3</v>
      </c>
      <c r="W2151">
        <v>5.8817580000000001E-2</v>
      </c>
      <c r="X2151">
        <v>0.9982567</v>
      </c>
      <c r="Y2151">
        <v>3.3175709999999997E-2</v>
      </c>
      <c r="Z2151">
        <v>7.0926970000000006E-2</v>
      </c>
      <c r="AA2151">
        <v>0.99692959999999997</v>
      </c>
      <c r="AB2151">
        <v>28</v>
      </c>
      <c r="AC2151">
        <v>-3.4800000000018302E-2</v>
      </c>
      <c r="AD2151">
        <v>-5.5260999999999998E-2</v>
      </c>
      <c r="AE2151">
        <v>-0.50869999999997595</v>
      </c>
      <c r="AF2151">
        <v>2.672934232482E-2</v>
      </c>
      <c r="AG2151">
        <v>-5.5260999999999998E-2</v>
      </c>
      <c r="AH2151">
        <v>0.50326003543027698</v>
      </c>
      <c r="AI2151">
        <v>96.2575692379</v>
      </c>
      <c r="AJ2151">
        <v>86.959740955477002</v>
      </c>
      <c r="AK2151">
        <v>0.50699003848537405</v>
      </c>
      <c r="AL2151">
        <v>86.628054551609296</v>
      </c>
      <c r="AM2151">
        <v>90.280683489411501</v>
      </c>
      <c r="AN2151">
        <v>0.99999993116753205</v>
      </c>
    </row>
    <row r="2152" spans="1:40" x14ac:dyDescent="0.3">
      <c r="A2152" t="str">
        <f>"20200111145955552"</f>
        <v>20200111145955552</v>
      </c>
      <c r="B2152" t="str">
        <f>"1578725995547692"</f>
        <v>1578725995547692</v>
      </c>
      <c r="C2152" t="s">
        <v>40</v>
      </c>
      <c r="D2152">
        <v>4.3633199999999999</v>
      </c>
      <c r="E2152">
        <v>0.51659239999999995</v>
      </c>
      <c r="F2152" t="s">
        <v>41</v>
      </c>
      <c r="G2152">
        <v>-190.82759999999999</v>
      </c>
      <c r="H2152">
        <v>1.0517590000000001</v>
      </c>
      <c r="I2152">
        <v>324.97989999999999</v>
      </c>
      <c r="J2152">
        <v>-190.7919</v>
      </c>
      <c r="K2152">
        <v>1.1053189999999999</v>
      </c>
      <c r="L2152">
        <v>325.32619999999997</v>
      </c>
      <c r="M2152">
        <v>-1.283486E-2</v>
      </c>
      <c r="N2152">
        <v>0</v>
      </c>
      <c r="O2152">
        <v>-0.99987550000000003</v>
      </c>
      <c r="P2152">
        <v>-9.2991240000000006E-3</v>
      </c>
      <c r="Q2152">
        <v>4.9337770000000003E-2</v>
      </c>
      <c r="R2152">
        <v>-0.99873909999999999</v>
      </c>
      <c r="S2152">
        <v>-0.15559389999999901</v>
      </c>
      <c r="T2152">
        <v>-0.21316060000000001</v>
      </c>
      <c r="U2152">
        <v>-3.0128780000000002</v>
      </c>
      <c r="V2152">
        <v>-3.6875440000000001E-3</v>
      </c>
      <c r="W2152">
        <v>5.8519599999999998E-2</v>
      </c>
      <c r="X2152">
        <v>0.99827949999999999</v>
      </c>
      <c r="Y2152">
        <v>3.8623329999999997E-2</v>
      </c>
      <c r="Z2152">
        <v>7.0491680000000001E-2</v>
      </c>
      <c r="AA2152">
        <v>0.99676439999999999</v>
      </c>
      <c r="AB2152">
        <v>28</v>
      </c>
      <c r="AC2152">
        <v>-3.5699999999991398E-2</v>
      </c>
      <c r="AD2152">
        <v>-5.3559999999999802E-2</v>
      </c>
      <c r="AE2152">
        <v>-0.34629999999998501</v>
      </c>
      <c r="AF2152">
        <v>3.05295474775952E-2</v>
      </c>
      <c r="AG2152">
        <v>-5.3559999999999802E-2</v>
      </c>
      <c r="AH2152">
        <v>0.33871261308195699</v>
      </c>
      <c r="AI2152">
        <v>98.949983478237101</v>
      </c>
      <c r="AJ2152">
        <v>84.849615424983895</v>
      </c>
      <c r="AK2152">
        <v>0.34427744789630699</v>
      </c>
      <c r="AL2152">
        <v>86.645157409910297</v>
      </c>
      <c r="AM2152">
        <v>90.211643880305203</v>
      </c>
      <c r="AN2152">
        <v>1.0000000508425699</v>
      </c>
    </row>
    <row r="2153" spans="1:40" x14ac:dyDescent="0.3">
      <c r="A2153" t="str">
        <f>"20200111145955575"</f>
        <v>20200111145955575</v>
      </c>
      <c r="B2153" t="str">
        <f>"1578725995568188"</f>
        <v>1578725995568188</v>
      </c>
      <c r="C2153" t="s">
        <v>40</v>
      </c>
      <c r="D2153">
        <v>4.3377150000000002</v>
      </c>
      <c r="E2153">
        <v>0.51709439999999995</v>
      </c>
      <c r="F2153" t="s">
        <v>41</v>
      </c>
      <c r="G2153">
        <v>-190.83680000000001</v>
      </c>
      <c r="H2153">
        <v>1.0461279999999999</v>
      </c>
      <c r="I2153">
        <v>324.49250000000001</v>
      </c>
      <c r="J2153">
        <v>-190.7937</v>
      </c>
      <c r="K2153">
        <v>1.105378</v>
      </c>
      <c r="L2153">
        <v>325.04379999999998</v>
      </c>
      <c r="M2153">
        <v>-1.1074489999999999E-2</v>
      </c>
      <c r="N2153">
        <v>0</v>
      </c>
      <c r="O2153">
        <v>-0.99989620000000001</v>
      </c>
      <c r="P2153">
        <v>-8.1316200000000009E-3</v>
      </c>
      <c r="Q2153">
        <v>4.7783060000000002E-2</v>
      </c>
      <c r="R2153">
        <v>-0.99882479999999996</v>
      </c>
      <c r="S2153">
        <v>-0.16165160000000001</v>
      </c>
      <c r="T2153">
        <v>-0.21425549999999999</v>
      </c>
      <c r="U2153">
        <v>-3.0128780000000002</v>
      </c>
      <c r="V2153">
        <v>-3.1023169999999998E-3</v>
      </c>
      <c r="W2153">
        <v>5.699531E-2</v>
      </c>
      <c r="X2153">
        <v>0.99836959999999997</v>
      </c>
      <c r="Y2153">
        <v>4.2379529999999999E-2</v>
      </c>
      <c r="Z2153">
        <v>7.0845019999999995E-2</v>
      </c>
      <c r="AA2153">
        <v>0.99658670000000005</v>
      </c>
      <c r="AB2153">
        <v>28</v>
      </c>
      <c r="AC2153">
        <v>-4.3100000000009603E-2</v>
      </c>
      <c r="AD2153">
        <v>-5.9249999999999803E-2</v>
      </c>
      <c r="AE2153">
        <v>-0.55129999999996904</v>
      </c>
      <c r="AF2153">
        <v>3.6571873814759702E-2</v>
      </c>
      <c r="AG2153">
        <v>-5.9249999999999803E-2</v>
      </c>
      <c r="AH2153">
        <v>0.54548121486033896</v>
      </c>
      <c r="AI2153">
        <v>96.185368133480196</v>
      </c>
      <c r="AJ2153">
        <v>86.164335752741394</v>
      </c>
      <c r="AK2153">
        <v>0.54990710144517496</v>
      </c>
      <c r="AL2153">
        <v>86.732638583899899</v>
      </c>
      <c r="AM2153">
        <v>90.178039374103605</v>
      </c>
      <c r="AN2153">
        <v>0.99999997396846096</v>
      </c>
    </row>
    <row r="2154" spans="1:40" x14ac:dyDescent="0.3">
      <c r="A2154" t="str">
        <f>"20200111145955597"</f>
        <v>20200111145955597</v>
      </c>
      <c r="B2154" t="str">
        <f>"1578725995587707"</f>
        <v>1578725995587707</v>
      </c>
      <c r="C2154" t="s">
        <v>40</v>
      </c>
      <c r="D2154">
        <v>4.3404160000000003</v>
      </c>
      <c r="E2154">
        <v>0.51750410000000002</v>
      </c>
      <c r="F2154" t="s">
        <v>41</v>
      </c>
      <c r="G2154">
        <v>-190.83680000000001</v>
      </c>
      <c r="H2154">
        <v>1.047912</v>
      </c>
      <c r="I2154">
        <v>324.24360000000001</v>
      </c>
      <c r="J2154">
        <v>-190.79490000000001</v>
      </c>
      <c r="K2154">
        <v>1.1054029999999999</v>
      </c>
      <c r="L2154">
        <v>324.76310000000001</v>
      </c>
      <c r="M2154">
        <v>-9.2819329999999992E-3</v>
      </c>
      <c r="N2154">
        <v>0</v>
      </c>
      <c r="O2154">
        <v>-0.99991430000000003</v>
      </c>
      <c r="P2154">
        <v>-7.7529499999999998E-3</v>
      </c>
      <c r="Q2154">
        <v>4.5363920000000002E-2</v>
      </c>
      <c r="R2154">
        <v>-0.99894059999999996</v>
      </c>
      <c r="S2154">
        <v>-0.16194149999999999</v>
      </c>
      <c r="T2154">
        <v>-0.21661040000000001</v>
      </c>
      <c r="U2154">
        <v>-3.0125730000000002</v>
      </c>
      <c r="V2154">
        <v>-1.688642E-3</v>
      </c>
      <c r="W2154">
        <v>5.4607219999999998E-2</v>
      </c>
      <c r="X2154">
        <v>0.99850649999999996</v>
      </c>
      <c r="Y2154">
        <v>4.4268599999999998E-2</v>
      </c>
      <c r="Z2154">
        <v>7.1625770000000005E-2</v>
      </c>
      <c r="AA2154">
        <v>0.99644869999999997</v>
      </c>
      <c r="AB2154">
        <v>28</v>
      </c>
      <c r="AC2154">
        <v>-4.1899999999998203E-2</v>
      </c>
      <c r="AD2154">
        <v>-5.7490999999999903E-2</v>
      </c>
      <c r="AE2154">
        <v>-0.51949999999999297</v>
      </c>
      <c r="AF2154">
        <v>3.6630314247581598E-2</v>
      </c>
      <c r="AG2154">
        <v>-5.7490999999999903E-2</v>
      </c>
      <c r="AH2154">
        <v>0.51361695219204595</v>
      </c>
      <c r="AI2154">
        <v>96.370691029302293</v>
      </c>
      <c r="AJ2154">
        <v>85.9206663588661</v>
      </c>
      <c r="AK2154">
        <v>0.51812099801293798</v>
      </c>
      <c r="AL2154">
        <v>86.869679752141394</v>
      </c>
      <c r="AM2154">
        <v>90.096896682665701</v>
      </c>
      <c r="AN2154">
        <v>1.0000000152650901</v>
      </c>
    </row>
    <row r="2155" spans="1:40" x14ac:dyDescent="0.3">
      <c r="A2155" t="str">
        <f>"20200111145955619"</f>
        <v>20200111145955619</v>
      </c>
      <c r="B2155" t="str">
        <f>"1578725995608206"</f>
        <v>1578725995608206</v>
      </c>
      <c r="C2155" t="s">
        <v>40</v>
      </c>
      <c r="D2155">
        <v>4.327197</v>
      </c>
      <c r="E2155">
        <v>0.51778610000000003</v>
      </c>
      <c r="F2155" t="s">
        <v>41</v>
      </c>
      <c r="G2155">
        <v>-190.83670000000001</v>
      </c>
      <c r="H2155">
        <v>1.047388</v>
      </c>
      <c r="I2155">
        <v>323.99650000000003</v>
      </c>
      <c r="J2155">
        <v>-190.79560000000001</v>
      </c>
      <c r="K2155">
        <v>1.1054060000000001</v>
      </c>
      <c r="L2155">
        <v>324.4914</v>
      </c>
      <c r="M2155">
        <v>-7.5440669999999998E-3</v>
      </c>
      <c r="N2155">
        <v>0</v>
      </c>
      <c r="O2155">
        <v>-0.9999287</v>
      </c>
      <c r="P2155">
        <v>-6.7551929999999996E-3</v>
      </c>
      <c r="Q2155">
        <v>4.4311879999999998E-2</v>
      </c>
      <c r="R2155">
        <v>-0.99899519999999997</v>
      </c>
      <c r="S2155">
        <v>-0.1633453</v>
      </c>
      <c r="T2155">
        <v>-0.2282864</v>
      </c>
      <c r="U2155">
        <v>-3.012238</v>
      </c>
      <c r="V2155">
        <v>-9.4832049999999995E-4</v>
      </c>
      <c r="W2155">
        <v>5.3580669999999997E-2</v>
      </c>
      <c r="X2155">
        <v>0.99856310000000004</v>
      </c>
      <c r="Y2155">
        <v>4.645842E-2</v>
      </c>
      <c r="Z2155">
        <v>7.5470499999999996E-2</v>
      </c>
      <c r="AA2155">
        <v>0.99606510000000004</v>
      </c>
      <c r="AB2155">
        <v>28</v>
      </c>
      <c r="AC2155">
        <v>-4.1100000000000102E-2</v>
      </c>
      <c r="AD2155">
        <v>-5.8017999999999903E-2</v>
      </c>
      <c r="AE2155">
        <v>-0.49489999999997197</v>
      </c>
      <c r="AF2155">
        <v>3.6861976922860702E-2</v>
      </c>
      <c r="AG2155">
        <v>-5.8017999999999903E-2</v>
      </c>
      <c r="AH2155">
        <v>0.48852799761907201</v>
      </c>
      <c r="AI2155">
        <v>96.753752135528998</v>
      </c>
      <c r="AJ2155">
        <v>85.684912498119701</v>
      </c>
      <c r="AK2155">
        <v>0.49334014444839303</v>
      </c>
      <c r="AL2155">
        <v>86.928583012729305</v>
      </c>
      <c r="AM2155">
        <v>90.054412931882695</v>
      </c>
      <c r="AN2155">
        <v>1.00000002609551</v>
      </c>
    </row>
    <row r="2156" spans="1:40" x14ac:dyDescent="0.3">
      <c r="A2156" t="str">
        <f>"20200111145955642"</f>
        <v>20200111145955642</v>
      </c>
      <c r="B2156" t="str">
        <f>"1578725995638460"</f>
        <v>1578725995638460</v>
      </c>
      <c r="C2156" t="s">
        <v>40</v>
      </c>
      <c r="D2156">
        <v>4.2630489999999996</v>
      </c>
      <c r="E2156">
        <v>0.51833940000000001</v>
      </c>
      <c r="F2156" t="s">
        <v>41</v>
      </c>
      <c r="G2156">
        <v>-190.83590000000001</v>
      </c>
      <c r="H2156">
        <v>1.048619</v>
      </c>
      <c r="I2156">
        <v>323.7473</v>
      </c>
      <c r="J2156">
        <v>-190.79580000000001</v>
      </c>
      <c r="K2156">
        <v>1.10538799999999</v>
      </c>
      <c r="L2156">
        <v>324.2167</v>
      </c>
      <c r="M2156">
        <v>-5.8240059999999996E-3</v>
      </c>
      <c r="N2156">
        <v>0</v>
      </c>
      <c r="O2156">
        <v>-0.99993989999999999</v>
      </c>
      <c r="P2156">
        <v>-5.7817600000000004E-3</v>
      </c>
      <c r="Q2156">
        <v>4.39359E-2</v>
      </c>
      <c r="R2156">
        <v>-0.99901770000000001</v>
      </c>
      <c r="S2156">
        <v>-0.16291810000000001</v>
      </c>
      <c r="T2156">
        <v>-0.22998940000000001</v>
      </c>
      <c r="U2156">
        <v>-3.0120849999999999</v>
      </c>
      <c r="V2156">
        <v>-1.998131E-4</v>
      </c>
      <c r="W2156">
        <v>5.3227829999999997E-2</v>
      </c>
      <c r="X2156">
        <v>0.99858239999999998</v>
      </c>
      <c r="Y2156">
        <v>4.8036200000000001E-2</v>
      </c>
      <c r="Z2156">
        <v>7.6032840000000004E-2</v>
      </c>
      <c r="AA2156">
        <v>0.99594749999999999</v>
      </c>
      <c r="AB2156">
        <v>28</v>
      </c>
      <c r="AC2156">
        <v>-4.0099999999995299E-2</v>
      </c>
      <c r="AD2156">
        <v>-5.6768999999999799E-2</v>
      </c>
      <c r="AE2156">
        <v>-0.46940000000000698</v>
      </c>
      <c r="AF2156">
        <v>3.6830618467241498E-2</v>
      </c>
      <c r="AG2156">
        <v>-5.6768999999999799E-2</v>
      </c>
      <c r="AH2156">
        <v>0.46290404278001301</v>
      </c>
      <c r="AI2156">
        <v>96.969842195677501</v>
      </c>
      <c r="AJ2156">
        <v>85.450886789263805</v>
      </c>
      <c r="AK2156">
        <v>0.46782407659264402</v>
      </c>
      <c r="AL2156">
        <v>86.948828144257902</v>
      </c>
      <c r="AM2156">
        <v>90.011464699526599</v>
      </c>
      <c r="AN2156">
        <v>1.00000002570077</v>
      </c>
    </row>
    <row r="2157" spans="1:40" x14ac:dyDescent="0.3">
      <c r="A2157" t="str">
        <f>"20200111145955663"</f>
        <v>20200111145955663</v>
      </c>
      <c r="B2157" t="str">
        <f>"1578725995657980"</f>
        <v>1578725995657980</v>
      </c>
      <c r="C2157" t="s">
        <v>40</v>
      </c>
      <c r="D2157">
        <v>4.2943210000000001</v>
      </c>
      <c r="E2157">
        <v>0.51859719999999998</v>
      </c>
      <c r="F2157" t="s">
        <v>41</v>
      </c>
      <c r="G2157">
        <v>-190.84809999999999</v>
      </c>
      <c r="H2157">
        <v>1.0310520000000001</v>
      </c>
      <c r="I2157">
        <v>323.26049999999998</v>
      </c>
      <c r="J2157">
        <v>-190.79560000000001</v>
      </c>
      <c r="K2157">
        <v>1.1053470000000001</v>
      </c>
      <c r="L2157">
        <v>323.94170000000003</v>
      </c>
      <c r="M2157">
        <v>-4.1738160000000003E-3</v>
      </c>
      <c r="N2157">
        <v>0</v>
      </c>
      <c r="O2157">
        <v>-0.99994799999999995</v>
      </c>
      <c r="P2157">
        <v>-4.8805709999999898E-3</v>
      </c>
      <c r="Q2157">
        <v>4.3285450000000003E-2</v>
      </c>
      <c r="R2157">
        <v>-0.99905100000000002</v>
      </c>
      <c r="S2157">
        <v>-0.16441349999999999</v>
      </c>
      <c r="T2157">
        <v>-0.23431959999999999</v>
      </c>
      <c r="U2157">
        <v>-3.0123289999999998</v>
      </c>
      <c r="V2157">
        <v>5.5416839999999998E-4</v>
      </c>
      <c r="W2157">
        <v>5.2598810000000003E-2</v>
      </c>
      <c r="X2157">
        <v>0.99861560000000005</v>
      </c>
      <c r="Y2157">
        <v>5.0167120000000003E-2</v>
      </c>
      <c r="Z2157">
        <v>7.7445470000000002E-2</v>
      </c>
      <c r="AA2157">
        <v>0.9957336</v>
      </c>
      <c r="AB2157">
        <v>28</v>
      </c>
      <c r="AC2157">
        <v>-5.2499999999980597E-2</v>
      </c>
      <c r="AD2157">
        <v>-7.4294999999999695E-2</v>
      </c>
      <c r="AE2157">
        <v>-0.68120000000004599</v>
      </c>
      <c r="AF2157">
        <v>4.9075897942980402E-2</v>
      </c>
      <c r="AG2157">
        <v>-7.4294999999999695E-2</v>
      </c>
      <c r="AH2157">
        <v>0.67344971711495605</v>
      </c>
      <c r="AI2157">
        <v>96.278899486416407</v>
      </c>
      <c r="AJ2157">
        <v>85.832086296884498</v>
      </c>
      <c r="AK2157">
        <v>0.67931046824417696</v>
      </c>
      <c r="AL2157">
        <v>86.984918905044907</v>
      </c>
      <c r="AM2157">
        <v>89.968204475075098</v>
      </c>
      <c r="AN2157">
        <v>1.00000002923969</v>
      </c>
    </row>
    <row r="2158" spans="1:40" x14ac:dyDescent="0.3">
      <c r="A2158" t="str">
        <f>"20200111145955686"</f>
        <v>20200111145955686</v>
      </c>
      <c r="B2158" t="str">
        <f>"1578725995678476"</f>
        <v>1578725995678476</v>
      </c>
      <c r="C2158" t="s">
        <v>40</v>
      </c>
      <c r="D2158">
        <v>4.2722540000000002</v>
      </c>
      <c r="E2158">
        <v>0.5188623</v>
      </c>
      <c r="F2158" t="s">
        <v>41</v>
      </c>
      <c r="G2158">
        <v>-190.84620000000001</v>
      </c>
      <c r="H2158">
        <v>1.0322830000000001</v>
      </c>
      <c r="I2158">
        <v>323.01069999999999</v>
      </c>
      <c r="J2158">
        <v>-190.79499999999999</v>
      </c>
      <c r="K2158">
        <v>1.1053029999999999</v>
      </c>
      <c r="L2158">
        <v>323.65600000000001</v>
      </c>
      <c r="M2158">
        <v>-2.5349869999999998E-3</v>
      </c>
      <c r="N2158">
        <v>0</v>
      </c>
      <c r="O2158">
        <v>-0.99995330000000004</v>
      </c>
      <c r="P2158">
        <v>-3.2902000000000001E-3</v>
      </c>
      <c r="Q2158">
        <v>4.2753609999999997E-2</v>
      </c>
      <c r="R2158">
        <v>-0.99908050000000004</v>
      </c>
      <c r="S2158">
        <v>-0.1633453</v>
      </c>
      <c r="T2158">
        <v>-0.23649729999999999</v>
      </c>
      <c r="U2158">
        <v>-3.0122990000000001</v>
      </c>
      <c r="V2158">
        <v>6.0863159999999998E-4</v>
      </c>
      <c r="W2158">
        <v>5.2085489999999998E-2</v>
      </c>
      <c r="X2158">
        <v>0.99864240000000004</v>
      </c>
      <c r="Y2158">
        <v>5.1449399999999999E-2</v>
      </c>
      <c r="Z2158">
        <v>7.8160489999999999E-2</v>
      </c>
      <c r="AA2158">
        <v>0.99561230000000001</v>
      </c>
      <c r="AB2158">
        <v>28</v>
      </c>
      <c r="AC2158">
        <v>-5.12000000000227E-2</v>
      </c>
      <c r="AD2158">
        <v>-7.3020000000000002E-2</v>
      </c>
      <c r="AE2158">
        <v>-0.64530000000001997</v>
      </c>
      <c r="AF2158">
        <v>4.8941193389808998E-2</v>
      </c>
      <c r="AG2158">
        <v>-7.3020000000000002E-2</v>
      </c>
      <c r="AH2158">
        <v>0.63731827612056902</v>
      </c>
      <c r="AI2158">
        <v>96.517074784567001</v>
      </c>
      <c r="AJ2158">
        <v>85.608738502582796</v>
      </c>
      <c r="AK2158">
        <v>0.64335196112836501</v>
      </c>
      <c r="AL2158">
        <v>87.014370126589796</v>
      </c>
      <c r="AM2158">
        <v>89.9650805757489</v>
      </c>
      <c r="AN2158">
        <v>0.99999995588936097</v>
      </c>
    </row>
    <row r="2159" spans="1:40" x14ac:dyDescent="0.3">
      <c r="A2159" t="str">
        <f>"20200111145955708"</f>
        <v>20200111145955708</v>
      </c>
      <c r="B2159" t="str">
        <f>"1578725995697995"</f>
        <v>1578725995697995</v>
      </c>
      <c r="C2159" t="s">
        <v>40</v>
      </c>
      <c r="D2159">
        <v>4.6375989999999998</v>
      </c>
      <c r="E2159">
        <v>0.51913050000000005</v>
      </c>
      <c r="F2159" t="s">
        <v>41</v>
      </c>
      <c r="G2159">
        <v>-190.84289999999999</v>
      </c>
      <c r="H2159">
        <v>1.03484</v>
      </c>
      <c r="I2159">
        <v>322.75979999999998</v>
      </c>
      <c r="J2159">
        <v>-190.79409999999999</v>
      </c>
      <c r="K2159">
        <v>1.105245</v>
      </c>
      <c r="L2159">
        <v>323.37599999999998</v>
      </c>
      <c r="M2159">
        <v>-1.0269840000000001E-3</v>
      </c>
      <c r="N2159">
        <v>0</v>
      </c>
      <c r="O2159">
        <v>-0.99995599999999996</v>
      </c>
      <c r="P2159">
        <v>-6.8500339999999905E-4</v>
      </c>
      <c r="Q2159">
        <v>4.2836230000000003E-2</v>
      </c>
      <c r="R2159">
        <v>-0.99908220000000003</v>
      </c>
      <c r="S2159">
        <v>-0.16078190000000001</v>
      </c>
      <c r="T2159">
        <v>-0.23698759999999999</v>
      </c>
      <c r="U2159">
        <v>-3.0123289999999998</v>
      </c>
      <c r="V2159">
        <v>-4.831557E-4</v>
      </c>
      <c r="W2159">
        <v>5.2181680000000001E-2</v>
      </c>
      <c r="X2159">
        <v>0.99863749999999996</v>
      </c>
      <c r="Y2159">
        <v>5.2109410000000002E-2</v>
      </c>
      <c r="Z2159">
        <v>7.8321459999999996E-2</v>
      </c>
      <c r="AA2159">
        <v>0.99556540000000004</v>
      </c>
      <c r="AB2159">
        <v>28</v>
      </c>
      <c r="AC2159">
        <v>-4.8799999999999899E-2</v>
      </c>
      <c r="AD2159">
        <v>-7.0404999999999995E-2</v>
      </c>
      <c r="AE2159">
        <v>-0.61619999999999198</v>
      </c>
      <c r="AF2159">
        <v>4.7550238781011701E-2</v>
      </c>
      <c r="AG2159">
        <v>-7.0404999999999995E-2</v>
      </c>
      <c r="AH2159">
        <v>0.60835743001854004</v>
      </c>
      <c r="AI2159">
        <v>96.581557220495498</v>
      </c>
      <c r="AJ2159">
        <v>85.530752083794795</v>
      </c>
      <c r="AK2159">
        <v>0.61426106167646199</v>
      </c>
      <c r="AL2159">
        <v>87.008851498793305</v>
      </c>
      <c r="AM2159">
        <v>90.027720549546402</v>
      </c>
      <c r="AN2159">
        <v>1.0000000087866501</v>
      </c>
    </row>
    <row r="2160" spans="1:40" x14ac:dyDescent="0.3">
      <c r="A2160" t="str">
        <f>"20200111145955730"</f>
        <v>20200111145955730</v>
      </c>
      <c r="B2160" t="str">
        <f>"1578725995718495"</f>
        <v>1578725995718495</v>
      </c>
      <c r="C2160" t="s">
        <v>40</v>
      </c>
      <c r="D2160">
        <v>4.3020630000000004</v>
      </c>
      <c r="E2160">
        <v>0.5193605</v>
      </c>
      <c r="F2160" t="s">
        <v>41</v>
      </c>
      <c r="G2160">
        <v>-190.83920000000001</v>
      </c>
      <c r="H2160">
        <v>1.0385660000000001</v>
      </c>
      <c r="I2160">
        <v>322.50779999999997</v>
      </c>
      <c r="J2160">
        <v>-190.7929</v>
      </c>
      <c r="K2160">
        <v>1.1051789999999999</v>
      </c>
      <c r="L2160">
        <v>323.11309999999997</v>
      </c>
      <c r="M2160">
        <v>2.703615E-4</v>
      </c>
      <c r="N2160">
        <v>0</v>
      </c>
      <c r="O2160">
        <v>-0.99995630000000002</v>
      </c>
      <c r="P2160">
        <v>1.407726E-3</v>
      </c>
      <c r="Q2160">
        <v>4.2784620000000002E-2</v>
      </c>
      <c r="R2160">
        <v>-0.99908370000000002</v>
      </c>
      <c r="S2160">
        <v>-0.15551760000000001</v>
      </c>
      <c r="T2160">
        <v>-0.23170479999999999</v>
      </c>
      <c r="U2160">
        <v>-3.0126040000000001</v>
      </c>
      <c r="V2160">
        <v>-1.270296E-3</v>
      </c>
      <c r="W2160">
        <v>5.2143109999999999E-2</v>
      </c>
      <c r="X2160">
        <v>0.99863880000000005</v>
      </c>
      <c r="Y2160">
        <v>5.1672269999999999E-2</v>
      </c>
      <c r="Z2160">
        <v>7.6583419999999999E-2</v>
      </c>
      <c r="AA2160">
        <v>0.99572329999999998</v>
      </c>
      <c r="AB2160">
        <v>28</v>
      </c>
      <c r="AC2160">
        <v>-4.6300000000002201E-2</v>
      </c>
      <c r="AD2160">
        <v>-6.66130000000002E-2</v>
      </c>
      <c r="AE2160">
        <v>-0.60529999999999895</v>
      </c>
      <c r="AF2160">
        <v>4.5910867355702302E-2</v>
      </c>
      <c r="AG2160">
        <v>-6.66130000000002E-2</v>
      </c>
      <c r="AH2160">
        <v>0.59808622692761204</v>
      </c>
      <c r="AI2160">
        <v>96.336745065270506</v>
      </c>
      <c r="AJ2160">
        <v>85.610414983145404</v>
      </c>
      <c r="AK2160">
        <v>0.60353312614210297</v>
      </c>
      <c r="AL2160">
        <v>87.011064339105602</v>
      </c>
      <c r="AM2160">
        <v>90.072881766938096</v>
      </c>
      <c r="AN2160">
        <v>0.99999998521891897</v>
      </c>
    </row>
    <row r="2161" spans="1:40" x14ac:dyDescent="0.3">
      <c r="A2161" t="str">
        <f>"20200111145955753"</f>
        <v>20200111145955753</v>
      </c>
      <c r="B2161" t="str">
        <f>"1578725995748436"</f>
        <v>1578725995748436</v>
      </c>
      <c r="C2161" t="s">
        <v>40</v>
      </c>
      <c r="D2161">
        <v>4.3224980000000004</v>
      </c>
      <c r="E2161">
        <v>0.51978029999999997</v>
      </c>
      <c r="F2161" t="s">
        <v>41</v>
      </c>
      <c r="G2161">
        <v>-190.83600000000001</v>
      </c>
      <c r="H2161">
        <v>1.040559</v>
      </c>
      <c r="I2161">
        <v>322.25630000000001</v>
      </c>
      <c r="J2161">
        <v>-190.79140000000001</v>
      </c>
      <c r="K2161">
        <v>1.1050799999999901</v>
      </c>
      <c r="L2161">
        <v>322.82569999999998</v>
      </c>
      <c r="M2161">
        <v>1.5301679999999999E-3</v>
      </c>
      <c r="N2161">
        <v>0</v>
      </c>
      <c r="O2161">
        <v>-0.99995489999999998</v>
      </c>
      <c r="P2161">
        <v>2.8858519999999999E-3</v>
      </c>
      <c r="Q2161">
        <v>4.3428059999999997E-2</v>
      </c>
      <c r="R2161">
        <v>-0.99905259999999996</v>
      </c>
      <c r="S2161">
        <v>-0.15151979999999901</v>
      </c>
      <c r="T2161">
        <v>-0.22716159999999999</v>
      </c>
      <c r="U2161">
        <v>-3.0126650000000001</v>
      </c>
      <c r="V2161">
        <v>-1.478339E-3</v>
      </c>
      <c r="W2161">
        <v>5.2800239999999998E-2</v>
      </c>
      <c r="X2161">
        <v>0.99860400000000005</v>
      </c>
      <c r="Y2161">
        <v>5.1617209999999997E-2</v>
      </c>
      <c r="Z2161">
        <v>7.5091340000000006E-2</v>
      </c>
      <c r="AA2161">
        <v>0.99583980000000005</v>
      </c>
      <c r="AB2161">
        <v>28</v>
      </c>
      <c r="AC2161">
        <v>-4.4599999999974202E-2</v>
      </c>
      <c r="AD2161">
        <v>-6.4520999999999801E-2</v>
      </c>
      <c r="AE2161">
        <v>-0.56939999999997304</v>
      </c>
      <c r="AF2161">
        <v>4.4898282218227697E-2</v>
      </c>
      <c r="AG2161">
        <v>-6.4520999999999801E-2</v>
      </c>
      <c r="AH2161">
        <v>0.56215696757676303</v>
      </c>
      <c r="AI2161">
        <v>96.526812264861405</v>
      </c>
      <c r="AJ2161">
        <v>85.433600902830506</v>
      </c>
      <c r="AK2161">
        <v>0.567625996041627</v>
      </c>
      <c r="AL2161">
        <v>86.973361667735205</v>
      </c>
      <c r="AM2161">
        <v>90.0848209335348</v>
      </c>
      <c r="AN2161">
        <v>0.99999999982312804</v>
      </c>
    </row>
    <row r="2162" spans="1:40" x14ac:dyDescent="0.3">
      <c r="A2162" t="str">
        <f>"20200111145955799"</f>
        <v>20200111145955799</v>
      </c>
      <c r="B2162" t="str">
        <f>"1578725995788438"</f>
        <v>1578725995788438</v>
      </c>
      <c r="C2162" t="s">
        <v>40</v>
      </c>
      <c r="D2162">
        <v>4.4112790000000004</v>
      </c>
      <c r="E2162">
        <v>0.60038190000000002</v>
      </c>
      <c r="F2162" t="s">
        <v>41</v>
      </c>
      <c r="G2162">
        <v>-190.83279999999999</v>
      </c>
      <c r="H2162">
        <v>1.045015</v>
      </c>
      <c r="I2162">
        <v>322.00319999999999</v>
      </c>
      <c r="J2162">
        <v>-190.78800000000001</v>
      </c>
      <c r="K2162">
        <v>1.104811</v>
      </c>
      <c r="L2162">
        <v>322.24639999999999</v>
      </c>
      <c r="M2162">
        <v>3.4876379999999999E-3</v>
      </c>
      <c r="N2162">
        <v>0</v>
      </c>
      <c r="O2162">
        <v>-0.9999498</v>
      </c>
      <c r="P2162">
        <v>5.9344920000000004E-3</v>
      </c>
      <c r="Q2162">
        <v>4.3274060000000003E-2</v>
      </c>
      <c r="R2162">
        <v>-0.99904579999999998</v>
      </c>
      <c r="S2162">
        <v>-0.15084839999999999</v>
      </c>
      <c r="T2162">
        <v>-0.22027869999999999</v>
      </c>
      <c r="U2162">
        <v>-3.012848</v>
      </c>
      <c r="V2162">
        <v>-2.53498E-3</v>
      </c>
      <c r="W2162">
        <v>5.267119E-2</v>
      </c>
      <c r="X2162">
        <v>0.99860870000000002</v>
      </c>
      <c r="Y2162">
        <v>5.3356090000000002E-2</v>
      </c>
      <c r="Z2162">
        <v>7.2820510000000005E-2</v>
      </c>
      <c r="AA2162">
        <v>0.99591680000000005</v>
      </c>
      <c r="AB2162">
        <v>28</v>
      </c>
      <c r="AC2162">
        <v>-4.4800000000009201E-2</v>
      </c>
      <c r="AD2162">
        <v>-5.9795999999999898E-2</v>
      </c>
      <c r="AE2162">
        <v>-0.243200000000001</v>
      </c>
      <c r="AF2162">
        <v>4.31264072940356E-2</v>
      </c>
      <c r="AG2162">
        <v>-5.9795999999999898E-2</v>
      </c>
      <c r="AH2162">
        <v>0.22961683659096699</v>
      </c>
      <c r="AI2162">
        <v>104.356178927158</v>
      </c>
      <c r="AJ2162">
        <v>79.362688489516799</v>
      </c>
      <c r="AK2162">
        <v>0.24116247690744499</v>
      </c>
      <c r="AL2162">
        <v>86.980766016028696</v>
      </c>
      <c r="AM2162">
        <v>90.145445701770697</v>
      </c>
      <c r="AN2162">
        <v>1.0000000080476501</v>
      </c>
    </row>
    <row r="2163" spans="1:40" x14ac:dyDescent="0.3">
      <c r="A2163" t="str">
        <f>"20200111145955820"</f>
        <v>20200111145955820</v>
      </c>
      <c r="B2163" t="str">
        <f>"1578725995807961"</f>
        <v>1578725995807961</v>
      </c>
      <c r="C2163" t="s">
        <v>40</v>
      </c>
      <c r="D2163">
        <v>5.0669649999999997</v>
      </c>
      <c r="E2163">
        <v>0.60045950000000003</v>
      </c>
      <c r="F2163" t="s">
        <v>57</v>
      </c>
      <c r="G2163">
        <v>-222.7525</v>
      </c>
      <c r="H2163">
        <v>0.13335420000000001</v>
      </c>
      <c r="I2163">
        <v>199.57599999999999</v>
      </c>
      <c r="J2163">
        <v>-190.78639999999999</v>
      </c>
      <c r="K2163">
        <v>1.104657</v>
      </c>
      <c r="L2163">
        <v>321.98099999999999</v>
      </c>
      <c r="M2163">
        <v>4.081182E-3</v>
      </c>
      <c r="N2163">
        <v>0</v>
      </c>
      <c r="O2163">
        <v>-0.99994740000000004</v>
      </c>
      <c r="P2163">
        <v>6.5939630000000004E-3</v>
      </c>
      <c r="Q2163">
        <v>4.3257129999999998E-2</v>
      </c>
      <c r="R2163">
        <v>-0.99904219999999999</v>
      </c>
      <c r="S2163">
        <v>-0.78395079999999995</v>
      </c>
      <c r="T2163">
        <v>-2.382565E-2</v>
      </c>
      <c r="U2163">
        <v>-3.008575</v>
      </c>
      <c r="V2163">
        <v>-2.5825980000000002E-3</v>
      </c>
      <c r="W2163">
        <v>5.2661189999999997E-2</v>
      </c>
      <c r="X2163">
        <v>0.99860910000000003</v>
      </c>
      <c r="Y2163">
        <v>0.2560924</v>
      </c>
      <c r="Z2163">
        <v>7.658995E-3</v>
      </c>
      <c r="AA2163">
        <v>0.96662190000000003</v>
      </c>
      <c r="AB2163">
        <v>28</v>
      </c>
      <c r="AC2163">
        <v>-31.966100000000001</v>
      </c>
      <c r="AD2163">
        <v>-0.97130280000000002</v>
      </c>
      <c r="AE2163">
        <v>-122.405</v>
      </c>
      <c r="AF2163">
        <v>32.463499348524699</v>
      </c>
      <c r="AG2163">
        <v>-0.97130280000000002</v>
      </c>
      <c r="AH2163">
        <v>122.26630808535199</v>
      </c>
      <c r="AI2163">
        <v>90.439915233705605</v>
      </c>
      <c r="AJ2163">
        <v>75.130222582918094</v>
      </c>
      <c r="AK2163">
        <v>126.506412137501</v>
      </c>
      <c r="AL2163">
        <v>86.981339753853405</v>
      </c>
      <c r="AM2163">
        <v>90.148177736094496</v>
      </c>
      <c r="AN2163">
        <v>1.0000000026737199</v>
      </c>
    </row>
    <row r="2164" spans="1:40" x14ac:dyDescent="0.3">
      <c r="A2164" t="str">
        <f>"20200111145955844"</f>
        <v>20200111145955844</v>
      </c>
      <c r="B2164" t="str">
        <f>"1578725995838215"</f>
        <v>1578725995838215</v>
      </c>
      <c r="C2164" t="s">
        <v>40</v>
      </c>
      <c r="D2164">
        <v>4.4411360000000002</v>
      </c>
      <c r="E2164">
        <v>0.60343859999999905</v>
      </c>
      <c r="F2164" t="s">
        <v>58</v>
      </c>
      <c r="G2164">
        <v>-245.4195</v>
      </c>
      <c r="H2164">
        <v>2.0440770000000001</v>
      </c>
      <c r="I2164">
        <v>111.8984</v>
      </c>
      <c r="J2164">
        <v>-190.78469999999999</v>
      </c>
      <c r="K2164">
        <v>1.1044849999999999</v>
      </c>
      <c r="L2164">
        <v>321.6848</v>
      </c>
      <c r="M2164">
        <v>4.4966119999999997E-3</v>
      </c>
      <c r="N2164">
        <v>0</v>
      </c>
      <c r="O2164">
        <v>-0.99994570000000005</v>
      </c>
      <c r="P2164">
        <v>5.7596949999999996E-3</v>
      </c>
      <c r="Q2164">
        <v>4.2863640000000001E-2</v>
      </c>
      <c r="R2164">
        <v>-0.99906479999999998</v>
      </c>
      <c r="S2164">
        <v>-0.78211980000000003</v>
      </c>
      <c r="T2164">
        <v>1.3448949999999999E-2</v>
      </c>
      <c r="U2164">
        <v>-3.0075069999999999</v>
      </c>
      <c r="V2164">
        <v>-1.310287E-3</v>
      </c>
      <c r="W2164">
        <v>5.227358E-2</v>
      </c>
      <c r="X2164">
        <v>0.99863199999999996</v>
      </c>
      <c r="Y2164">
        <v>0.25603160000000003</v>
      </c>
      <c r="Z2164">
        <v>-4.3252259999999997E-3</v>
      </c>
      <c r="AA2164">
        <v>0.96665869999999998</v>
      </c>
      <c r="AB2164">
        <v>28</v>
      </c>
      <c r="AC2164">
        <v>-54.634799999999998</v>
      </c>
      <c r="AD2164">
        <v>0.93959199999999998</v>
      </c>
      <c r="AE2164">
        <v>-209.78639999999999</v>
      </c>
      <c r="AF2164">
        <v>55.576573297349</v>
      </c>
      <c r="AG2164">
        <v>0.93959199999999998</v>
      </c>
      <c r="AH2164">
        <v>209.53466033099099</v>
      </c>
      <c r="AI2164">
        <v>89.751663708363594</v>
      </c>
      <c r="AJ2164">
        <v>75.145027208180593</v>
      </c>
      <c r="AK2164">
        <v>216.78194623313499</v>
      </c>
      <c r="AL2164">
        <v>87.003578967342705</v>
      </c>
      <c r="AM2164">
        <v>90.075176713713802</v>
      </c>
      <c r="AN2164">
        <v>1.00000005772101</v>
      </c>
    </row>
    <row r="2165" spans="1:40" x14ac:dyDescent="0.3">
      <c r="A2165" t="str">
        <f>"20200111145955866"</f>
        <v>20200111145955866</v>
      </c>
      <c r="B2165" t="str">
        <f>"1578725995857736"</f>
        <v>1578725995857736</v>
      </c>
      <c r="C2165" t="s">
        <v>40</v>
      </c>
      <c r="D2165">
        <v>4.4649650000000003</v>
      </c>
      <c r="E2165">
        <v>0.60468449999999996</v>
      </c>
      <c r="F2165" t="s">
        <v>57</v>
      </c>
      <c r="G2165">
        <v>-223.59809999999999</v>
      </c>
      <c r="H2165">
        <v>0.4342916</v>
      </c>
      <c r="I2165">
        <v>199.57599999999999</v>
      </c>
      <c r="J2165">
        <v>-190.78309999999999</v>
      </c>
      <c r="K2165">
        <v>1.104341</v>
      </c>
      <c r="L2165">
        <v>321.4006</v>
      </c>
      <c r="M2165">
        <v>4.7007790000000004E-3</v>
      </c>
      <c r="N2165">
        <v>0</v>
      </c>
      <c r="O2165">
        <v>-0.99994479999999997</v>
      </c>
      <c r="P2165">
        <v>4.7683079999999997E-3</v>
      </c>
      <c r="Q2165">
        <v>4.2938749999999998E-2</v>
      </c>
      <c r="R2165">
        <v>-0.99906680000000003</v>
      </c>
      <c r="S2165">
        <v>-0.80836490000000005</v>
      </c>
      <c r="T2165">
        <v>-1.651037E-2</v>
      </c>
      <c r="U2165">
        <v>-3.0081790000000002</v>
      </c>
      <c r="V2165" s="1">
        <v>-9.5729619999999994E-5</v>
      </c>
      <c r="W2165">
        <v>5.2352629999999997E-2</v>
      </c>
      <c r="X2165">
        <v>0.99862870000000004</v>
      </c>
      <c r="Y2165">
        <v>0.26404909999999998</v>
      </c>
      <c r="Z2165">
        <v>5.296968E-3</v>
      </c>
      <c r="AA2165">
        <v>0.96449470000000004</v>
      </c>
      <c r="AB2165">
        <v>28</v>
      </c>
      <c r="AC2165">
        <v>-32.814999999999998</v>
      </c>
      <c r="AD2165">
        <v>-0.67004940000000002</v>
      </c>
      <c r="AE2165">
        <v>-121.8246</v>
      </c>
      <c r="AF2165">
        <v>33.386391552785597</v>
      </c>
      <c r="AG2165">
        <v>-0.67004940000000002</v>
      </c>
      <c r="AH2165">
        <v>121.665559444054</v>
      </c>
      <c r="AI2165">
        <v>90.304293438510101</v>
      </c>
      <c r="AJ2165">
        <v>74.655117601414204</v>
      </c>
      <c r="AK2165">
        <v>126.165004902108</v>
      </c>
      <c r="AL2165">
        <v>86.999043484027695</v>
      </c>
      <c r="AM2165">
        <v>90.005492434959606</v>
      </c>
      <c r="AN2165">
        <v>1.00000004374788</v>
      </c>
    </row>
    <row r="2166" spans="1:40" x14ac:dyDescent="0.3">
      <c r="A2166" t="str">
        <f>"20200111145955887"</f>
        <v>20200111145955887</v>
      </c>
      <c r="B2166" t="str">
        <f>"1578725995878233"</f>
        <v>1578725995878233</v>
      </c>
      <c r="C2166" t="s">
        <v>40</v>
      </c>
      <c r="D2166">
        <v>4.4368689999999997</v>
      </c>
      <c r="E2166">
        <v>0.60604919999999995</v>
      </c>
      <c r="F2166" t="s">
        <v>43</v>
      </c>
      <c r="G2166">
        <v>-226.7295</v>
      </c>
      <c r="H2166">
        <v>-0.05</v>
      </c>
      <c r="I2166">
        <v>189.7501</v>
      </c>
      <c r="J2166">
        <v>-190.7817</v>
      </c>
      <c r="K2166">
        <v>1.1042299999999901</v>
      </c>
      <c r="L2166">
        <v>321.11720000000003</v>
      </c>
      <c r="M2166">
        <v>4.7586499999999997E-3</v>
      </c>
      <c r="N2166">
        <v>0</v>
      </c>
      <c r="O2166">
        <v>-0.99994419999999995</v>
      </c>
      <c r="P2166">
        <v>2.795723E-3</v>
      </c>
      <c r="Q2166">
        <v>4.2928330000000001E-2</v>
      </c>
      <c r="R2166">
        <v>-0.99907429999999997</v>
      </c>
      <c r="S2166">
        <v>-0.82128909999999999</v>
      </c>
      <c r="T2166">
        <v>-2.6373980000000002E-2</v>
      </c>
      <c r="U2166">
        <v>-3.0079039999999999</v>
      </c>
      <c r="V2166">
        <v>1.949564E-3</v>
      </c>
      <c r="W2166">
        <v>5.2345009999999997E-2</v>
      </c>
      <c r="X2166">
        <v>0.99862720000000005</v>
      </c>
      <c r="Y2166">
        <v>0.26797989999999999</v>
      </c>
      <c r="Z2166">
        <v>8.4526940000000002E-3</v>
      </c>
      <c r="AA2166">
        <v>0.9633874</v>
      </c>
      <c r="AB2166">
        <v>28</v>
      </c>
      <c r="AC2166">
        <v>-35.947800000000001</v>
      </c>
      <c r="AD2166">
        <v>-1.1542300000000001</v>
      </c>
      <c r="AE2166">
        <v>-131.36709999999999</v>
      </c>
      <c r="AF2166">
        <v>36.569924316061702</v>
      </c>
      <c r="AG2166">
        <v>-1.1542300000000001</v>
      </c>
      <c r="AH2166">
        <v>131.185120025115</v>
      </c>
      <c r="AI2166">
        <v>90.485589161429203</v>
      </c>
      <c r="AJ2166">
        <v>74.423348273133101</v>
      </c>
      <c r="AK2166">
        <v>136.191876877364</v>
      </c>
      <c r="AL2166">
        <v>86.999480674231705</v>
      </c>
      <c r="AM2166">
        <v>89.888144797995807</v>
      </c>
      <c r="AN2166">
        <v>1.00000004272576</v>
      </c>
    </row>
    <row r="2167" spans="1:40" x14ac:dyDescent="0.3">
      <c r="A2167" t="str">
        <f>"20200111145955910"</f>
        <v>20200111145955910</v>
      </c>
      <c r="B2167" t="str">
        <f>"1578725995897750"</f>
        <v>1578725995897750</v>
      </c>
      <c r="C2167" t="s">
        <v>40</v>
      </c>
      <c r="D2167">
        <v>4.5032629999999996</v>
      </c>
      <c r="E2167">
        <v>0.60649540000000002</v>
      </c>
      <c r="F2167" t="s">
        <v>43</v>
      </c>
      <c r="G2167">
        <v>-214.2398</v>
      </c>
      <c r="H2167">
        <v>-0.05</v>
      </c>
      <c r="I2167">
        <v>236.97980000000001</v>
      </c>
      <c r="J2167">
        <v>-190.78049999999999</v>
      </c>
      <c r="K2167">
        <v>1.1041379999999901</v>
      </c>
      <c r="L2167">
        <v>320.84300000000002</v>
      </c>
      <c r="M2167">
        <v>4.6812449999999997E-3</v>
      </c>
      <c r="N2167">
        <v>0</v>
      </c>
      <c r="O2167">
        <v>-0.99994470000000002</v>
      </c>
      <c r="P2167">
        <v>2.8184370000000001E-4</v>
      </c>
      <c r="Q2167">
        <v>4.3350390000000003E-2</v>
      </c>
      <c r="R2167">
        <v>-0.99906010000000001</v>
      </c>
      <c r="S2167">
        <v>-0.83833310000000005</v>
      </c>
      <c r="T2167">
        <v>-4.1249389999999997E-2</v>
      </c>
      <c r="U2167">
        <v>-3.006866</v>
      </c>
      <c r="V2167">
        <v>4.3977790000000001E-3</v>
      </c>
      <c r="W2167">
        <v>5.2768809999999999E-2</v>
      </c>
      <c r="X2167">
        <v>0.99859710000000002</v>
      </c>
      <c r="Y2167">
        <v>0.27304659999999997</v>
      </c>
      <c r="Z2167">
        <v>1.3204499999999999E-2</v>
      </c>
      <c r="AA2167">
        <v>0.96191020000000005</v>
      </c>
      <c r="AB2167">
        <v>28</v>
      </c>
      <c r="AC2167">
        <v>-23.459299999999999</v>
      </c>
      <c r="AD2167">
        <v>-1.1541380000000001</v>
      </c>
      <c r="AE2167">
        <v>-83.863200000000006</v>
      </c>
      <c r="AF2167">
        <v>23.847455674402401</v>
      </c>
      <c r="AG2167">
        <v>-1.1541380000000001</v>
      </c>
      <c r="AH2167">
        <v>83.737748723620996</v>
      </c>
      <c r="AI2167">
        <v>90.759451330497896</v>
      </c>
      <c r="AJ2167">
        <v>74.103714744492507</v>
      </c>
      <c r="AK2167">
        <v>87.074931742528094</v>
      </c>
      <c r="AL2167">
        <v>86.9751650732033</v>
      </c>
      <c r="AM2167">
        <v>89.7476734641522</v>
      </c>
      <c r="AN2167">
        <v>1.00000002794867</v>
      </c>
    </row>
    <row r="2168" spans="1:40" x14ac:dyDescent="0.3">
      <c r="A2168" t="str">
        <f>"20200111145955931"</f>
        <v>20200111145955931</v>
      </c>
      <c r="B2168" t="str">
        <f>"1578725995928007"</f>
        <v>1578725995928007</v>
      </c>
      <c r="C2168" t="s">
        <v>40</v>
      </c>
      <c r="D2168">
        <v>4.4831110000000001</v>
      </c>
      <c r="E2168">
        <v>0.60700419999999999</v>
      </c>
      <c r="F2168" t="s">
        <v>43</v>
      </c>
      <c r="G2168">
        <v>-214.27780000000001</v>
      </c>
      <c r="H2168">
        <v>-0.05</v>
      </c>
      <c r="I2168">
        <v>237.70079999999999</v>
      </c>
      <c r="J2168">
        <v>-190.77940000000001</v>
      </c>
      <c r="K2168">
        <v>1.1040460000000001</v>
      </c>
      <c r="L2168">
        <v>320.5668</v>
      </c>
      <c r="M2168">
        <v>4.473253E-3</v>
      </c>
      <c r="N2168">
        <v>0</v>
      </c>
      <c r="O2168">
        <v>-0.99994550000000004</v>
      </c>
      <c r="P2168">
        <v>-1.2892649999999999E-3</v>
      </c>
      <c r="Q2168">
        <v>4.317853E-2</v>
      </c>
      <c r="R2168">
        <v>-0.99906669999999997</v>
      </c>
      <c r="S2168">
        <v>-0.84922790000000004</v>
      </c>
      <c r="T2168">
        <v>-4.1712279999999997E-2</v>
      </c>
      <c r="U2168">
        <v>-3.004883</v>
      </c>
      <c r="V2168">
        <v>5.772091E-3</v>
      </c>
      <c r="W2168">
        <v>5.2598819999999998E-2</v>
      </c>
      <c r="X2168">
        <v>0.99859909999999996</v>
      </c>
      <c r="Y2168">
        <v>0.27624140000000003</v>
      </c>
      <c r="Z2168">
        <v>1.3348530000000001E-2</v>
      </c>
      <c r="AA2168">
        <v>0.96099559999999995</v>
      </c>
      <c r="AB2168">
        <v>28</v>
      </c>
      <c r="AC2168">
        <v>-23.4984</v>
      </c>
      <c r="AD2168">
        <v>-1.1540459999999999</v>
      </c>
      <c r="AE2168">
        <v>-82.866</v>
      </c>
      <c r="AF2168">
        <v>23.864577873055399</v>
      </c>
      <c r="AG2168">
        <v>-1.1540459999999999</v>
      </c>
      <c r="AH2168">
        <v>82.745197771473897</v>
      </c>
      <c r="AI2168">
        <v>90.767761848964199</v>
      </c>
      <c r="AJ2168">
        <v>73.911887166632795</v>
      </c>
      <c r="AK2168">
        <v>86.125592325798095</v>
      </c>
      <c r="AL2168">
        <v>86.984918417213606</v>
      </c>
      <c r="AM2168">
        <v>89.668823284342395</v>
      </c>
      <c r="AN2168">
        <v>1.0000000577103501</v>
      </c>
    </row>
    <row r="2169" spans="1:40" x14ac:dyDescent="0.3">
      <c r="A2169" t="str">
        <f>"20200111145955954"</f>
        <v>20200111145955954</v>
      </c>
      <c r="B2169" t="str">
        <f>"1578725995948503"</f>
        <v>1578725995948503</v>
      </c>
      <c r="C2169" t="s">
        <v>40</v>
      </c>
      <c r="D2169">
        <v>4.5030489999999999</v>
      </c>
      <c r="E2169">
        <v>0.60720399999999997</v>
      </c>
      <c r="F2169" t="s">
        <v>43</v>
      </c>
      <c r="G2169">
        <v>-210.07210000000001</v>
      </c>
      <c r="H2169">
        <v>-0.05</v>
      </c>
      <c r="I2169">
        <v>253.0342</v>
      </c>
      <c r="J2169">
        <v>-190.7784</v>
      </c>
      <c r="K2169">
        <v>1.1039540000000001</v>
      </c>
      <c r="L2169">
        <v>320.27</v>
      </c>
      <c r="M2169">
        <v>4.1193979999999998E-3</v>
      </c>
      <c r="N2169">
        <v>0</v>
      </c>
      <c r="O2169">
        <v>-0.99994720000000004</v>
      </c>
      <c r="P2169">
        <v>-2.5607970000000001E-3</v>
      </c>
      <c r="Q2169">
        <v>4.3028469999999999E-2</v>
      </c>
      <c r="R2169">
        <v>-0.99907089999999998</v>
      </c>
      <c r="S2169">
        <v>-0.85815429999999904</v>
      </c>
      <c r="T2169">
        <v>-5.1332950000000002E-2</v>
      </c>
      <c r="U2169">
        <v>-3.0039060000000002</v>
      </c>
      <c r="V2169">
        <v>6.702136E-3</v>
      </c>
      <c r="W2169">
        <v>5.2451209999999998E-2</v>
      </c>
      <c r="X2169">
        <v>0.99860099999999996</v>
      </c>
      <c r="Y2169">
        <v>0.27861200000000003</v>
      </c>
      <c r="Z2169">
        <v>1.6419409999999999E-2</v>
      </c>
      <c r="AA2169">
        <v>0.96026339999999999</v>
      </c>
      <c r="AB2169">
        <v>28</v>
      </c>
      <c r="AC2169">
        <v>-19.293700000000001</v>
      </c>
      <c r="AD2169">
        <v>-1.1539539999999999</v>
      </c>
      <c r="AE2169">
        <v>-67.235799999999898</v>
      </c>
      <c r="AF2169">
        <v>19.5651948811383</v>
      </c>
      <c r="AG2169">
        <v>-1.1539539999999999</v>
      </c>
      <c r="AH2169">
        <v>67.137475955900996</v>
      </c>
      <c r="AI2169">
        <v>90.945380712109994</v>
      </c>
      <c r="AJ2169">
        <v>73.752827667642194</v>
      </c>
      <c r="AK2169">
        <v>69.939753633396606</v>
      </c>
      <c r="AL2169">
        <v>86.993387371686296</v>
      </c>
      <c r="AM2169">
        <v>89.615463692794705</v>
      </c>
      <c r="AN2169">
        <v>1.00000000262921</v>
      </c>
    </row>
    <row r="2170" spans="1:40" x14ac:dyDescent="0.3">
      <c r="A2170" t="str">
        <f>"20200111145955977"</f>
        <v>20200111145955977</v>
      </c>
      <c r="B2170" t="str">
        <f>"1578725995968022"</f>
        <v>1578725995968022</v>
      </c>
      <c r="C2170" t="s">
        <v>40</v>
      </c>
      <c r="D2170">
        <v>4.4507750000000001</v>
      </c>
      <c r="E2170">
        <v>0.60726800000000003</v>
      </c>
      <c r="F2170" t="s">
        <v>43</v>
      </c>
      <c r="G2170">
        <v>-208.3349</v>
      </c>
      <c r="H2170">
        <v>-0.05</v>
      </c>
      <c r="I2170">
        <v>259.20420000000001</v>
      </c>
      <c r="J2170">
        <v>-190.77760000000001</v>
      </c>
      <c r="K2170">
        <v>1.1038589999999999</v>
      </c>
      <c r="L2170">
        <v>319.97739999999999</v>
      </c>
      <c r="M2170">
        <v>3.65636E-3</v>
      </c>
      <c r="N2170">
        <v>0</v>
      </c>
      <c r="O2170">
        <v>-0.99994879999999997</v>
      </c>
      <c r="P2170">
        <v>-3.7023770000000002E-3</v>
      </c>
      <c r="Q2170">
        <v>4.4052139999999997E-2</v>
      </c>
      <c r="R2170">
        <v>-0.99902250000000004</v>
      </c>
      <c r="S2170">
        <v>-0.86337280000000005</v>
      </c>
      <c r="T2170">
        <v>-5.6747789999999999E-2</v>
      </c>
      <c r="U2170">
        <v>-3.0030209999999999</v>
      </c>
      <c r="V2170">
        <v>7.393986E-3</v>
      </c>
      <c r="W2170">
        <v>5.3477820000000002E-2</v>
      </c>
      <c r="X2170">
        <v>0.99854169999999998</v>
      </c>
      <c r="Y2170">
        <v>0.27977550000000001</v>
      </c>
      <c r="Z2170">
        <v>1.8148629999999999E-2</v>
      </c>
      <c r="AA2170">
        <v>0.95989389999999997</v>
      </c>
      <c r="AB2170">
        <v>28</v>
      </c>
      <c r="AC2170">
        <v>-17.557299999999898</v>
      </c>
      <c r="AD2170">
        <v>-1.153859</v>
      </c>
      <c r="AE2170">
        <v>-60.773199999999903</v>
      </c>
      <c r="AF2170">
        <v>17.7734877791443</v>
      </c>
      <c r="AG2170">
        <v>-1.153859</v>
      </c>
      <c r="AH2170">
        <v>60.688403347156701</v>
      </c>
      <c r="AI2170">
        <v>91.045328071926406</v>
      </c>
      <c r="AJ2170">
        <v>73.676557816870002</v>
      </c>
      <c r="AK2170">
        <v>63.248008342195703</v>
      </c>
      <c r="AL2170">
        <v>86.934484379185093</v>
      </c>
      <c r="AM2170">
        <v>89.575744859816595</v>
      </c>
      <c r="AN2170">
        <v>1.0000000374499001</v>
      </c>
    </row>
    <row r="2171" spans="1:40" x14ac:dyDescent="0.3">
      <c r="A2171" t="str">
        <f>"20200111145956000"</f>
        <v>20200111145956000</v>
      </c>
      <c r="B2171" t="str">
        <f>"1578725995988519"</f>
        <v>1578725995988519</v>
      </c>
      <c r="C2171" t="s">
        <v>40</v>
      </c>
      <c r="D2171">
        <v>4.4724300000000001</v>
      </c>
      <c r="E2171">
        <v>0.60707909999999998</v>
      </c>
      <c r="F2171" t="s">
        <v>43</v>
      </c>
      <c r="G2171">
        <v>-207.76660000000001</v>
      </c>
      <c r="H2171">
        <v>-0.05</v>
      </c>
      <c r="I2171">
        <v>261.16340000000002</v>
      </c>
      <c r="J2171">
        <v>-190.77709999999999</v>
      </c>
      <c r="K2171">
        <v>1.1037709999999901</v>
      </c>
      <c r="L2171">
        <v>319.68810000000002</v>
      </c>
      <c r="M2171">
        <v>3.100509E-3</v>
      </c>
      <c r="N2171">
        <v>0</v>
      </c>
      <c r="O2171">
        <v>-0.99995060000000002</v>
      </c>
      <c r="P2171">
        <v>-5.9368349999999997E-3</v>
      </c>
      <c r="Q2171">
        <v>4.5170599999999998E-2</v>
      </c>
      <c r="R2171">
        <v>-0.99896189999999996</v>
      </c>
      <c r="S2171">
        <v>-0.86724849999999998</v>
      </c>
      <c r="T2171">
        <v>-5.8901790000000002E-2</v>
      </c>
      <c r="U2171">
        <v>-3.002319</v>
      </c>
      <c r="V2171">
        <v>9.086004E-3</v>
      </c>
      <c r="W2171">
        <v>5.4599130000000003E-2</v>
      </c>
      <c r="X2171">
        <v>0.99846699999999999</v>
      </c>
      <c r="Y2171">
        <v>0.28044190000000002</v>
      </c>
      <c r="Z2171">
        <v>1.8836370000000002E-2</v>
      </c>
      <c r="AA2171">
        <v>0.95968620000000004</v>
      </c>
      <c r="AB2171">
        <v>29</v>
      </c>
      <c r="AC2171">
        <v>-16.9895</v>
      </c>
      <c r="AD2171">
        <v>-1.1537710000000001</v>
      </c>
      <c r="AE2171">
        <v>-58.524700000000003</v>
      </c>
      <c r="AF2171">
        <v>17.164730168988701</v>
      </c>
      <c r="AG2171">
        <v>-1.1537710000000001</v>
      </c>
      <c r="AH2171">
        <v>58.450788825421299</v>
      </c>
      <c r="AI2171">
        <v>91.085019832331398</v>
      </c>
      <c r="AJ2171">
        <v>73.634531677720901</v>
      </c>
      <c r="AK2171">
        <v>60.929909433779997</v>
      </c>
      <c r="AL2171">
        <v>86.870143873586699</v>
      </c>
      <c r="AM2171">
        <v>89.478625420081997</v>
      </c>
      <c r="AN2171">
        <v>0.999999985277222</v>
      </c>
    </row>
    <row r="2172" spans="1:40" x14ac:dyDescent="0.3">
      <c r="A2172" t="str">
        <f>"20200111145956022"</f>
        <v>20200111145956022</v>
      </c>
      <c r="B2172" t="str">
        <f>"1578725996017798"</f>
        <v>1578725996017798</v>
      </c>
      <c r="C2172" t="s">
        <v>40</v>
      </c>
      <c r="D2172">
        <v>4.5087270000000004</v>
      </c>
      <c r="E2172">
        <v>0.60731219999999997</v>
      </c>
      <c r="F2172" t="s">
        <v>43</v>
      </c>
      <c r="G2172">
        <v>-208.0847</v>
      </c>
      <c r="H2172">
        <v>-0.05</v>
      </c>
      <c r="I2172">
        <v>260.15609999999998</v>
      </c>
      <c r="J2172">
        <v>-190.77690000000001</v>
      </c>
      <c r="K2172">
        <v>1.103699</v>
      </c>
      <c r="L2172">
        <v>319.4196</v>
      </c>
      <c r="M2172">
        <v>2.5050599999999999E-3</v>
      </c>
      <c r="N2172">
        <v>0</v>
      </c>
      <c r="O2172">
        <v>-0.99995230000000002</v>
      </c>
      <c r="P2172">
        <v>-8.4791929999999995E-3</v>
      </c>
      <c r="Q2172">
        <v>4.5345099999999999E-2</v>
      </c>
      <c r="R2172">
        <v>-0.99893549999999998</v>
      </c>
      <c r="S2172">
        <v>-0.87234500000000004</v>
      </c>
      <c r="T2172">
        <v>-5.8152679999999998E-2</v>
      </c>
      <c r="U2172">
        <v>-3.0005489999999999</v>
      </c>
      <c r="V2172">
        <v>1.1043499999999999E-2</v>
      </c>
      <c r="W2172">
        <v>5.4776249999999999E-2</v>
      </c>
      <c r="X2172">
        <v>0.99843760000000004</v>
      </c>
      <c r="Y2172">
        <v>0.281526</v>
      </c>
      <c r="Z2172">
        <v>1.8600160000000001E-2</v>
      </c>
      <c r="AA2172">
        <v>0.95937329999999998</v>
      </c>
      <c r="AB2172">
        <v>29</v>
      </c>
      <c r="AC2172">
        <v>-17.307799999999901</v>
      </c>
      <c r="AD2172">
        <v>-1.153699</v>
      </c>
      <c r="AE2172">
        <v>-59.263500000000001</v>
      </c>
      <c r="AF2172">
        <v>17.450117494069101</v>
      </c>
      <c r="AG2172">
        <v>-1.153699</v>
      </c>
      <c r="AH2172">
        <v>59.199283133020103</v>
      </c>
      <c r="AI2172">
        <v>91.070916389563493</v>
      </c>
      <c r="AJ2172">
        <v>73.576113704846705</v>
      </c>
      <c r="AK2172">
        <v>61.728378768625497</v>
      </c>
      <c r="AL2172">
        <v>86.859980540746903</v>
      </c>
      <c r="AM2172">
        <v>89.366289751727393</v>
      </c>
      <c r="AN2172">
        <v>1.00000001877503</v>
      </c>
    </row>
    <row r="2173" spans="1:40" x14ac:dyDescent="0.3">
      <c r="A2173" t="str">
        <f>"20200111145956044"</f>
        <v>20200111145956044</v>
      </c>
      <c r="B2173" t="str">
        <f>"1578725996038294"</f>
        <v>1578725996038294</v>
      </c>
      <c r="C2173" t="s">
        <v>40</v>
      </c>
      <c r="D2173">
        <v>4.4454500000000001</v>
      </c>
      <c r="E2173">
        <v>0.6075159</v>
      </c>
      <c r="F2173" t="s">
        <v>43</v>
      </c>
      <c r="G2173">
        <v>-207.27350000000001</v>
      </c>
      <c r="H2173">
        <v>-0.05</v>
      </c>
      <c r="I2173">
        <v>263.3184</v>
      </c>
      <c r="J2173">
        <v>-190.77690000000001</v>
      </c>
      <c r="K2173">
        <v>1.1036379999999999</v>
      </c>
      <c r="L2173">
        <v>319.12729999999999</v>
      </c>
      <c r="M2173">
        <v>1.7898229999999901E-3</v>
      </c>
      <c r="N2173">
        <v>0</v>
      </c>
      <c r="O2173">
        <v>-0.99995389999999995</v>
      </c>
      <c r="P2173">
        <v>-1.06991E-2</v>
      </c>
      <c r="Q2173">
        <v>4.4770490000000003E-2</v>
      </c>
      <c r="R2173">
        <v>-0.99894019999999994</v>
      </c>
      <c r="S2173">
        <v>-0.88171390000000005</v>
      </c>
      <c r="T2173">
        <v>-6.1663030000000001E-2</v>
      </c>
      <c r="U2173">
        <v>-2.9985050000000002</v>
      </c>
      <c r="V2173">
        <v>1.25562E-2</v>
      </c>
      <c r="W2173">
        <v>5.4205839999999998E-2</v>
      </c>
      <c r="X2173">
        <v>0.99845079999999997</v>
      </c>
      <c r="Y2173">
        <v>0.28376960000000001</v>
      </c>
      <c r="Z2173">
        <v>1.9720330000000001E-2</v>
      </c>
      <c r="AA2173">
        <v>0.95868969999999998</v>
      </c>
      <c r="AB2173">
        <v>29</v>
      </c>
      <c r="AC2173">
        <v>-16.496600000000001</v>
      </c>
      <c r="AD2173">
        <v>-1.1536379999999999</v>
      </c>
      <c r="AE2173">
        <v>-55.808900000000001</v>
      </c>
      <c r="AF2173">
        <v>16.589946813107101</v>
      </c>
      <c r="AG2173">
        <v>-1.1536379999999999</v>
      </c>
      <c r="AH2173">
        <v>55.757372628046497</v>
      </c>
      <c r="AI2173">
        <v>91.136090601586503</v>
      </c>
      <c r="AJ2173">
        <v>73.430249034727396</v>
      </c>
      <c r="AK2173">
        <v>58.184549652632001</v>
      </c>
      <c r="AL2173">
        <v>86.892711090242301</v>
      </c>
      <c r="AM2173">
        <v>89.279504462742096</v>
      </c>
      <c r="AN2173">
        <v>0.99999996563459204</v>
      </c>
    </row>
    <row r="2174" spans="1:40" x14ac:dyDescent="0.3">
      <c r="A2174" t="str">
        <f>"20200111145956066"</f>
        <v>20200111145956066</v>
      </c>
      <c r="B2174" t="str">
        <f>"1578725996057814"</f>
        <v>1578725996057814</v>
      </c>
      <c r="C2174" t="s">
        <v>40</v>
      </c>
      <c r="D2174">
        <v>4.4878629999999999</v>
      </c>
      <c r="E2174">
        <v>0.60767660000000001</v>
      </c>
      <c r="F2174" t="s">
        <v>52</v>
      </c>
      <c r="G2174">
        <v>-204.48150000000001</v>
      </c>
      <c r="H2174">
        <v>8.0001699999999995E-2</v>
      </c>
      <c r="I2174">
        <v>272.99149999999997</v>
      </c>
      <c r="J2174">
        <v>-190.77719999999999</v>
      </c>
      <c r="K2174">
        <v>1.1035999999999999</v>
      </c>
      <c r="L2174">
        <v>318.8372</v>
      </c>
      <c r="M2174">
        <v>1.0343209999999999E-3</v>
      </c>
      <c r="N2174">
        <v>0</v>
      </c>
      <c r="O2174">
        <v>-0.99995489999999998</v>
      </c>
      <c r="P2174">
        <v>-1.3937430000000001E-2</v>
      </c>
      <c r="Q2174">
        <v>4.4853400000000002E-2</v>
      </c>
      <c r="R2174">
        <v>-0.99889669999999997</v>
      </c>
      <c r="S2174">
        <v>-0.8901367</v>
      </c>
      <c r="T2174">
        <v>-6.6487069999999995E-2</v>
      </c>
      <c r="U2174">
        <v>-2.996613</v>
      </c>
      <c r="V2174">
        <v>1.5044979999999999E-2</v>
      </c>
      <c r="W2174">
        <v>5.4291550000000001E-2</v>
      </c>
      <c r="X2174">
        <v>0.99841179999999996</v>
      </c>
      <c r="Y2174">
        <v>0.28567740000000003</v>
      </c>
      <c r="Z2174">
        <v>2.1260859999999999E-2</v>
      </c>
      <c r="AA2174">
        <v>0.95808990000000005</v>
      </c>
      <c r="AB2174">
        <v>29</v>
      </c>
      <c r="AC2174">
        <v>-13.7043</v>
      </c>
      <c r="AD2174">
        <v>-1.0235983</v>
      </c>
      <c r="AE2174">
        <v>-45.845700000000001</v>
      </c>
      <c r="AF2174">
        <v>13.745423950179401</v>
      </c>
      <c r="AG2174">
        <v>-1.0235983</v>
      </c>
      <c r="AH2174">
        <v>45.810536975145403</v>
      </c>
      <c r="AI2174">
        <v>91.226030740020605</v>
      </c>
      <c r="AJ2174">
        <v>73.298159303358702</v>
      </c>
      <c r="AK2174">
        <v>47.839207048205701</v>
      </c>
      <c r="AL2174">
        <v>86.887793205767693</v>
      </c>
      <c r="AM2174">
        <v>89.1366802562749</v>
      </c>
      <c r="AN2174">
        <v>1.0000000231019199</v>
      </c>
    </row>
    <row r="2175" spans="1:40" x14ac:dyDescent="0.3">
      <c r="A2175" t="str">
        <f>"20200111145956089"</f>
        <v>20200111145956089</v>
      </c>
      <c r="B2175" t="str">
        <f>"1578725996078310"</f>
        <v>1578725996078310</v>
      </c>
      <c r="C2175" t="s">
        <v>40</v>
      </c>
      <c r="D2175">
        <v>4.4554010000000002</v>
      </c>
      <c r="E2175">
        <v>0.60783540000000003</v>
      </c>
      <c r="F2175" t="s">
        <v>52</v>
      </c>
      <c r="G2175">
        <v>-204.28710000000001</v>
      </c>
      <c r="H2175">
        <v>8.0001439999999993E-2</v>
      </c>
      <c r="I2175">
        <v>273.93619999999999</v>
      </c>
      <c r="J2175">
        <v>-190.77770000000001</v>
      </c>
      <c r="K2175">
        <v>1.10358</v>
      </c>
      <c r="L2175">
        <v>318.55200000000002</v>
      </c>
      <c r="M2175">
        <v>2.6552550000000002E-4</v>
      </c>
      <c r="N2175">
        <v>0</v>
      </c>
      <c r="O2175">
        <v>-0.99995500000000004</v>
      </c>
      <c r="P2175">
        <v>-1.810283E-2</v>
      </c>
      <c r="Q2175">
        <v>4.4800489999999998E-2</v>
      </c>
      <c r="R2175">
        <v>-0.99883189999999999</v>
      </c>
      <c r="S2175">
        <v>-0.90077209999999996</v>
      </c>
      <c r="T2175">
        <v>-6.8248390000000006E-2</v>
      </c>
      <c r="U2175">
        <v>-2.9937740000000002</v>
      </c>
      <c r="V2175">
        <v>1.844515E-2</v>
      </c>
      <c r="W2175">
        <v>5.4241079999999997E-2</v>
      </c>
      <c r="X2175">
        <v>0.99835750000000001</v>
      </c>
      <c r="Y2175">
        <v>0.28830810000000001</v>
      </c>
      <c r="Z2175">
        <v>2.1823990000000001E-2</v>
      </c>
      <c r="AA2175">
        <v>0.95728899999999995</v>
      </c>
      <c r="AB2175">
        <v>29</v>
      </c>
      <c r="AC2175">
        <v>-13.509399999999999</v>
      </c>
      <c r="AD2175">
        <v>-1.02357856</v>
      </c>
      <c r="AE2175">
        <v>-44.6158</v>
      </c>
      <c r="AF2175">
        <v>13.514730775023001</v>
      </c>
      <c r="AG2175">
        <v>-1.02357856</v>
      </c>
      <c r="AH2175">
        <v>44.590712467766203</v>
      </c>
      <c r="AI2175">
        <v>91.258479351463293</v>
      </c>
      <c r="AJ2175">
        <v>73.138784270920297</v>
      </c>
      <c r="AK2175">
        <v>46.6050136720594</v>
      </c>
      <c r="AL2175">
        <v>86.890689144123996</v>
      </c>
      <c r="AM2175">
        <v>88.941552475257595</v>
      </c>
      <c r="AN2175">
        <v>1.0000000080621601</v>
      </c>
    </row>
    <row r="2176" spans="1:40" x14ac:dyDescent="0.3">
      <c r="A2176" t="str">
        <f>"20200111145956102"</f>
        <v>20200111145956102</v>
      </c>
      <c r="B2176" t="str">
        <f>"1578725996097830"</f>
        <v>1578725996097830</v>
      </c>
      <c r="C2176" t="s">
        <v>40</v>
      </c>
      <c r="D2176">
        <v>4.4622840000000004</v>
      </c>
      <c r="E2176">
        <v>0.60809480000000005</v>
      </c>
      <c r="F2176" t="s">
        <v>52</v>
      </c>
      <c r="G2176">
        <v>-204.20939999999999</v>
      </c>
      <c r="H2176">
        <v>8.0001249999999996E-2</v>
      </c>
      <c r="I2176">
        <v>274.64760000000001</v>
      </c>
      <c r="J2176">
        <v>-190.7782</v>
      </c>
      <c r="K2176">
        <v>1.1035740000000001</v>
      </c>
      <c r="L2176">
        <v>318.3707</v>
      </c>
      <c r="M2176">
        <v>-2.2987039999999999E-4</v>
      </c>
      <c r="N2176">
        <v>0</v>
      </c>
      <c r="O2176">
        <v>-0.99995500000000004</v>
      </c>
      <c r="P2176">
        <v>-2.0162360000000001E-2</v>
      </c>
      <c r="Q2176">
        <v>4.5005549999999998E-2</v>
      </c>
      <c r="R2176">
        <v>-0.99878330000000004</v>
      </c>
      <c r="S2176">
        <v>-0.91473389999999999</v>
      </c>
      <c r="T2176">
        <v>-6.9708820000000005E-2</v>
      </c>
      <c r="U2176">
        <v>-2.990021</v>
      </c>
      <c r="V2176">
        <v>2.0011250000000001E-2</v>
      </c>
      <c r="W2176">
        <v>5.4448669999999998E-2</v>
      </c>
      <c r="X2176">
        <v>0.99831599999999998</v>
      </c>
      <c r="Y2176">
        <v>0.29225259999999997</v>
      </c>
      <c r="Z2176">
        <v>2.2289119999999999E-2</v>
      </c>
      <c r="AA2176">
        <v>0.95608139999999997</v>
      </c>
      <c r="AB2176">
        <v>29</v>
      </c>
      <c r="AC2176">
        <v>-13.431199999999899</v>
      </c>
      <c r="AD2176">
        <v>-1.02357275</v>
      </c>
      <c r="AE2176">
        <v>-43.723099999999903</v>
      </c>
      <c r="AF2176">
        <v>13.4144307651849</v>
      </c>
      <c r="AG2176">
        <v>-1.02357275</v>
      </c>
      <c r="AH2176">
        <v>43.704299844798797</v>
      </c>
      <c r="AI2176">
        <v>91.282609120641098</v>
      </c>
      <c r="AJ2176">
        <v>72.936855609949504</v>
      </c>
      <c r="AK2176">
        <v>45.728114752880103</v>
      </c>
      <c r="AL2176">
        <v>86.878777397399205</v>
      </c>
      <c r="AM2176">
        <v>88.851659553383797</v>
      </c>
      <c r="AN2176">
        <v>0.99999997182366496</v>
      </c>
    </row>
    <row r="2177" spans="1:40" x14ac:dyDescent="0.3">
      <c r="A2177" t="str">
        <f>"20200111145956123"</f>
        <v>20200111145956123</v>
      </c>
      <c r="B2177" t="str">
        <f>"1578725996118326"</f>
        <v>1578725996118326</v>
      </c>
      <c r="C2177" t="s">
        <v>40</v>
      </c>
      <c r="D2177">
        <v>4.494999</v>
      </c>
      <c r="E2177">
        <v>0.60814049999999997</v>
      </c>
      <c r="F2177" t="s">
        <v>52</v>
      </c>
      <c r="G2177">
        <v>-204.3511</v>
      </c>
      <c r="H2177">
        <v>8.0001290000000003E-2</v>
      </c>
      <c r="I2177">
        <v>274.43049999999999</v>
      </c>
      <c r="J2177">
        <v>-190.779</v>
      </c>
      <c r="K2177">
        <v>1.1035680000000001</v>
      </c>
      <c r="L2177">
        <v>318.10969999999998</v>
      </c>
      <c r="M2177">
        <v>-9.4613080000000005E-4</v>
      </c>
      <c r="N2177">
        <v>0</v>
      </c>
      <c r="O2177">
        <v>-0.99995460000000003</v>
      </c>
      <c r="P2177">
        <v>-2.3968039999999999E-2</v>
      </c>
      <c r="Q2177">
        <v>4.5100510000000003E-2</v>
      </c>
      <c r="R2177">
        <v>-0.998695</v>
      </c>
      <c r="S2177">
        <v>-0.92301940000000005</v>
      </c>
      <c r="T2177">
        <v>-6.9607619999999995E-2</v>
      </c>
      <c r="U2177">
        <v>-2.9881289999999998</v>
      </c>
      <c r="V2177">
        <v>2.3102580000000001E-2</v>
      </c>
      <c r="W2177">
        <v>5.4545799999999998E-2</v>
      </c>
      <c r="X2177">
        <v>0.99824400000000002</v>
      </c>
      <c r="Y2177">
        <v>0.29415849999999999</v>
      </c>
      <c r="Z2177">
        <v>2.225471E-2</v>
      </c>
      <c r="AA2177">
        <v>0.9554975</v>
      </c>
      <c r="AB2177">
        <v>29</v>
      </c>
      <c r="AC2177">
        <v>-13.572099999999899</v>
      </c>
      <c r="AD2177">
        <v>-1.0235667100000001</v>
      </c>
      <c r="AE2177">
        <v>-43.679199999999902</v>
      </c>
      <c r="AF2177">
        <v>13.5239931573924</v>
      </c>
      <c r="AG2177">
        <v>-1.0235667100000001</v>
      </c>
      <c r="AH2177">
        <v>43.670152455348102</v>
      </c>
      <c r="AI2177">
        <v>91.282611422894007</v>
      </c>
      <c r="AJ2177">
        <v>72.7930286944828</v>
      </c>
      <c r="AK2177">
        <v>45.727762849327803</v>
      </c>
      <c r="AL2177">
        <v>86.873204153081502</v>
      </c>
      <c r="AM2177">
        <v>88.674227863206696</v>
      </c>
      <c r="AN2177">
        <v>1.0000000285181401</v>
      </c>
    </row>
    <row r="2178" spans="1:40" x14ac:dyDescent="0.3">
      <c r="A2178" t="str">
        <f>"20200111145956144"</f>
        <v>20200111145956144</v>
      </c>
      <c r="B2178" t="str">
        <f>"1578725996137846"</f>
        <v>1578725996137846</v>
      </c>
      <c r="C2178" t="s">
        <v>40</v>
      </c>
      <c r="D2178">
        <v>4.4960139999999997</v>
      </c>
      <c r="E2178">
        <v>0.60818930000000004</v>
      </c>
      <c r="F2178" t="s">
        <v>52</v>
      </c>
      <c r="G2178">
        <v>-204.6628</v>
      </c>
      <c r="H2178">
        <v>8.0001459999999996E-2</v>
      </c>
      <c r="I2178">
        <v>273.80309999999997</v>
      </c>
      <c r="J2178">
        <v>-190.7801</v>
      </c>
      <c r="K2178">
        <v>1.1035649999999999</v>
      </c>
      <c r="L2178">
        <v>317.82679999999999</v>
      </c>
      <c r="M2178">
        <v>-1.719471E-3</v>
      </c>
      <c r="N2178">
        <v>0</v>
      </c>
      <c r="O2178">
        <v>-0.9999536</v>
      </c>
      <c r="P2178">
        <v>-2.8544650000000001E-2</v>
      </c>
      <c r="Q2178">
        <v>4.5337379999999997E-2</v>
      </c>
      <c r="R2178">
        <v>-0.99856409999999995</v>
      </c>
      <c r="S2178">
        <v>-0.93525700000000001</v>
      </c>
      <c r="T2178">
        <v>-6.8950410000000004E-2</v>
      </c>
      <c r="U2178">
        <v>-2.9846189999999999</v>
      </c>
      <c r="V2178">
        <v>2.690797E-2</v>
      </c>
      <c r="W2178">
        <v>5.4784819999999998E-2</v>
      </c>
      <c r="X2178">
        <v>0.99813560000000001</v>
      </c>
      <c r="Y2178">
        <v>0.29730759999999901</v>
      </c>
      <c r="Z2178">
        <v>2.20453E-2</v>
      </c>
      <c r="AA2178">
        <v>0.95452720000000002</v>
      </c>
      <c r="AB2178">
        <v>29</v>
      </c>
      <c r="AC2178">
        <v>-13.8827</v>
      </c>
      <c r="AD2178">
        <v>-1.0235635399999901</v>
      </c>
      <c r="AE2178">
        <v>-44.023699999999998</v>
      </c>
      <c r="AF2178">
        <v>13.8001933012942</v>
      </c>
      <c r="AG2178">
        <v>-1.0235635399999901</v>
      </c>
      <c r="AH2178">
        <v>44.0258601909294</v>
      </c>
      <c r="AI2178">
        <v>91.270886490890405</v>
      </c>
      <c r="AJ2178">
        <v>72.5960598152584</v>
      </c>
      <c r="AK2178">
        <v>46.149424514556699</v>
      </c>
      <c r="AL2178">
        <v>86.859488862050995</v>
      </c>
      <c r="AM2178">
        <v>88.455781157412503</v>
      </c>
      <c r="AN2178">
        <v>1.0000000456696501</v>
      </c>
    </row>
    <row r="2179" spans="1:40" x14ac:dyDescent="0.3">
      <c r="A2179" t="str">
        <f>"20200111145956167"</f>
        <v>20200111145956167</v>
      </c>
      <c r="B2179" t="str">
        <f>"1578725996158564"</f>
        <v>1578725996158564</v>
      </c>
      <c r="C2179" t="s">
        <v>40</v>
      </c>
      <c r="D2179">
        <v>4.5293559999999999</v>
      </c>
      <c r="E2179">
        <v>0.60821269999999905</v>
      </c>
      <c r="F2179" t="s">
        <v>52</v>
      </c>
      <c r="G2179">
        <v>-204.9068</v>
      </c>
      <c r="H2179">
        <v>8.0001539999999996E-2</v>
      </c>
      <c r="I2179">
        <v>273.48570000000001</v>
      </c>
      <c r="J2179">
        <v>-190.78139999999999</v>
      </c>
      <c r="K2179">
        <v>1.1035629999999901</v>
      </c>
      <c r="L2179">
        <v>317.53809999999999</v>
      </c>
      <c r="M2179">
        <v>-2.502397E-3</v>
      </c>
      <c r="N2179">
        <v>0</v>
      </c>
      <c r="O2179">
        <v>-0.9999517</v>
      </c>
      <c r="P2179">
        <v>-3.3784340000000003E-2</v>
      </c>
      <c r="Q2179">
        <v>4.5712870000000003E-2</v>
      </c>
      <c r="R2179">
        <v>-0.99838340000000003</v>
      </c>
      <c r="S2179">
        <v>-0.94947809999999999</v>
      </c>
      <c r="T2179">
        <v>-6.8794969999999997E-2</v>
      </c>
      <c r="U2179">
        <v>-2.9802249999999999</v>
      </c>
      <c r="V2179">
        <v>3.1367310000000002E-2</v>
      </c>
      <c r="W2179">
        <v>5.5161429999999997E-2</v>
      </c>
      <c r="X2179">
        <v>0.9979846</v>
      </c>
      <c r="Y2179">
        <v>0.30110039999999999</v>
      </c>
      <c r="Z2179">
        <v>2.1997650000000001E-2</v>
      </c>
      <c r="AA2179">
        <v>0.95333869999999998</v>
      </c>
      <c r="AB2179">
        <v>29</v>
      </c>
      <c r="AC2179">
        <v>-14.125400000000001</v>
      </c>
      <c r="AD2179">
        <v>-1.02356145999999</v>
      </c>
      <c r="AE2179">
        <v>-44.052399999999899</v>
      </c>
      <c r="AF2179">
        <v>14.008256636873</v>
      </c>
      <c r="AG2179">
        <v>-1.02356145999999</v>
      </c>
      <c r="AH2179">
        <v>44.066039059784302</v>
      </c>
      <c r="AI2179">
        <v>91.268110230209999</v>
      </c>
      <c r="AJ2179">
        <v>72.364937705302793</v>
      </c>
      <c r="AK2179">
        <v>46.2503484363667</v>
      </c>
      <c r="AL2179">
        <v>86.837877801799706</v>
      </c>
      <c r="AM2179">
        <v>88.199748759829802</v>
      </c>
      <c r="AN2179">
        <v>0.99999997666672003</v>
      </c>
    </row>
    <row r="2180" spans="1:40" x14ac:dyDescent="0.3">
      <c r="A2180" t="str">
        <f>"20200111145956181"</f>
        <v>20200111145956181</v>
      </c>
      <c r="B2180" t="str">
        <f>"1578725996178083"</f>
        <v>1578725996178083</v>
      </c>
      <c r="C2180" t="s">
        <v>40</v>
      </c>
      <c r="D2180">
        <v>4.555593</v>
      </c>
      <c r="E2180">
        <v>0.60809279999999999</v>
      </c>
      <c r="F2180" t="s">
        <v>43</v>
      </c>
      <c r="G2180">
        <v>-207.23920000000001</v>
      </c>
      <c r="H2180">
        <v>-0.05</v>
      </c>
      <c r="I2180">
        <v>266.83</v>
      </c>
      <c r="J2180">
        <v>-190.7824</v>
      </c>
      <c r="K2180">
        <v>1.1035619999999999</v>
      </c>
      <c r="L2180">
        <v>317.34809999999999</v>
      </c>
      <c r="M2180">
        <v>-3.0147300000000002E-3</v>
      </c>
      <c r="N2180">
        <v>0</v>
      </c>
      <c r="O2180">
        <v>-0.99995009999999995</v>
      </c>
      <c r="P2180">
        <v>-3.699678E-2</v>
      </c>
      <c r="Q2180">
        <v>4.5484789999999997E-2</v>
      </c>
      <c r="R2180">
        <v>-0.99827969999999999</v>
      </c>
      <c r="S2180">
        <v>-0.96565250000000002</v>
      </c>
      <c r="T2180">
        <v>-6.7684889999999998E-2</v>
      </c>
      <c r="U2180">
        <v>-2.9752809999999998</v>
      </c>
      <c r="V2180">
        <v>3.406849E-2</v>
      </c>
      <c r="W2180">
        <v>5.4934799999999999E-2</v>
      </c>
      <c r="X2180">
        <v>0.99790860000000003</v>
      </c>
      <c r="Y2180">
        <v>0.30576490000000001</v>
      </c>
      <c r="Z2180">
        <v>2.1643010000000001E-2</v>
      </c>
      <c r="AA2180">
        <v>0.95186099999999996</v>
      </c>
      <c r="AB2180">
        <v>29</v>
      </c>
      <c r="AC2180">
        <v>-16.456800000000001</v>
      </c>
      <c r="AD2180">
        <v>-1.153562</v>
      </c>
      <c r="AE2180">
        <v>-50.518099999999997</v>
      </c>
      <c r="AF2180">
        <v>16.2967376559968</v>
      </c>
      <c r="AG2180">
        <v>-1.153562</v>
      </c>
      <c r="AH2180">
        <v>50.543659401850597</v>
      </c>
      <c r="AI2180">
        <v>91.244376641380697</v>
      </c>
      <c r="AJ2180">
        <v>72.129177477220594</v>
      </c>
      <c r="AK2180">
        <v>53.118507784448497</v>
      </c>
      <c r="AL2180">
        <v>86.850882644644699</v>
      </c>
      <c r="AM2180">
        <v>88.044687804176704</v>
      </c>
      <c r="AN2180">
        <v>1.00000003410793</v>
      </c>
    </row>
    <row r="2181" spans="1:40" x14ac:dyDescent="0.3">
      <c r="A2181" t="str">
        <f>"20200111145956200"</f>
        <v>20200111145956200</v>
      </c>
      <c r="B2181" t="str">
        <f>"1578725996187846"</f>
        <v>1578725996187846</v>
      </c>
      <c r="C2181" t="s">
        <v>40</v>
      </c>
      <c r="D2181">
        <v>4.5200870000000002</v>
      </c>
      <c r="E2181">
        <v>0.60808899999999999</v>
      </c>
      <c r="F2181" t="s">
        <v>43</v>
      </c>
      <c r="G2181">
        <v>-206.9684</v>
      </c>
      <c r="H2181">
        <v>-0.05</v>
      </c>
      <c r="I2181">
        <v>267.96609999999998</v>
      </c>
      <c r="J2181">
        <v>-190.78380000000001</v>
      </c>
      <c r="K2181">
        <v>1.103553</v>
      </c>
      <c r="L2181">
        <v>317.1053</v>
      </c>
      <c r="M2181">
        <v>-3.6670169999999998E-3</v>
      </c>
      <c r="N2181">
        <v>0</v>
      </c>
      <c r="O2181">
        <v>-0.9999479</v>
      </c>
      <c r="P2181">
        <v>-4.3128920000000001E-2</v>
      </c>
      <c r="Q2181">
        <v>4.6084449999999999E-2</v>
      </c>
      <c r="R2181">
        <v>-0.99800599999999995</v>
      </c>
      <c r="S2181">
        <v>-0.97421259999999998</v>
      </c>
      <c r="T2181">
        <v>-6.9431190000000004E-2</v>
      </c>
      <c r="U2181">
        <v>-2.972229</v>
      </c>
      <c r="V2181">
        <v>3.9551719999999999E-2</v>
      </c>
      <c r="W2181">
        <v>5.5531829999999997E-2</v>
      </c>
      <c r="X2181">
        <v>0.99767320000000004</v>
      </c>
      <c r="Y2181">
        <v>0.3079037</v>
      </c>
      <c r="Z2181">
        <v>2.2205200000000001E-2</v>
      </c>
      <c r="AA2181">
        <v>0.95115830000000001</v>
      </c>
      <c r="AB2181">
        <v>29</v>
      </c>
      <c r="AC2181">
        <v>-16.1845999999999</v>
      </c>
      <c r="AD2181">
        <v>-1.1535530000000001</v>
      </c>
      <c r="AE2181">
        <v>-49.139200000000002</v>
      </c>
      <c r="AF2181">
        <v>15.996336065348199</v>
      </c>
      <c r="AG2181">
        <v>-1.1535530000000001</v>
      </c>
      <c r="AH2181">
        <v>49.173774520459098</v>
      </c>
      <c r="AI2181">
        <v>91.277944805310995</v>
      </c>
      <c r="AJ2181">
        <v>71.980180175481806</v>
      </c>
      <c r="AK2181">
        <v>51.723046629412003</v>
      </c>
      <c r="AL2181">
        <v>86.816622838384305</v>
      </c>
      <c r="AM2181">
        <v>87.729757043758198</v>
      </c>
      <c r="AN2181">
        <v>0.99999996834817295</v>
      </c>
    </row>
    <row r="2182" spans="1:40" x14ac:dyDescent="0.3">
      <c r="A2182" t="str">
        <f>"20200111145956503"</f>
        <v>20200111145956503</v>
      </c>
      <c r="B2182" t="str">
        <f>"1578725996498212"</f>
        <v>1578725996498212</v>
      </c>
      <c r="C2182" t="s">
        <v>40</v>
      </c>
      <c r="D2182">
        <v>4.6270490000000004</v>
      </c>
      <c r="E2182">
        <v>0.64690349999999996</v>
      </c>
      <c r="F2182" t="s">
        <v>43</v>
      </c>
      <c r="G2182">
        <v>-207.71299999999999</v>
      </c>
      <c r="H2182">
        <v>-0.05</v>
      </c>
      <c r="I2182">
        <v>266.5068</v>
      </c>
      <c r="J2182">
        <v>-190.83410000000001</v>
      </c>
      <c r="K2182">
        <v>1.103278</v>
      </c>
      <c r="L2182">
        <v>313.15269999999998</v>
      </c>
      <c r="M2182">
        <v>-1.691689E-2</v>
      </c>
      <c r="N2182">
        <v>0</v>
      </c>
      <c r="O2182">
        <v>-0.99980159999999996</v>
      </c>
      <c r="P2182">
        <v>-0.1133033</v>
      </c>
      <c r="Q2182">
        <v>5.1465249999999997E-2</v>
      </c>
      <c r="R2182">
        <v>-0.99222679999999996</v>
      </c>
      <c r="S2182">
        <v>-0.99243159999999997</v>
      </c>
      <c r="T2182">
        <v>-6.7624329999999996E-2</v>
      </c>
      <c r="U2182">
        <v>-2.9662169999999999</v>
      </c>
      <c r="V2182">
        <v>9.6665310000000004E-2</v>
      </c>
      <c r="W2182">
        <v>6.1673409999999998E-2</v>
      </c>
      <c r="X2182">
        <v>0.99340430000000002</v>
      </c>
      <c r="Y2182">
        <v>0.30112660000000002</v>
      </c>
      <c r="Z2182">
        <v>2.1668389999999999E-2</v>
      </c>
      <c r="AA2182">
        <v>0.95333800000000002</v>
      </c>
      <c r="AB2182">
        <v>29</v>
      </c>
      <c r="AC2182">
        <v>-16.878899999999899</v>
      </c>
      <c r="AD2182">
        <v>-1.153278</v>
      </c>
      <c r="AE2182">
        <v>-46.645899999999898</v>
      </c>
      <c r="AF2182">
        <v>16.078646506220601</v>
      </c>
      <c r="AG2182">
        <v>-1.153278</v>
      </c>
      <c r="AH2182">
        <v>46.899428924194901</v>
      </c>
      <c r="AI2182">
        <v>91.332540390028996</v>
      </c>
      <c r="AJ2182">
        <v>71.076621152502995</v>
      </c>
      <c r="AK2182">
        <v>49.592432457310402</v>
      </c>
      <c r="AL2182">
        <v>86.464129780941207</v>
      </c>
      <c r="AM2182">
        <v>84.442210351117296</v>
      </c>
      <c r="AN2182">
        <v>0.999999947458455</v>
      </c>
    </row>
    <row r="2183" spans="1:40" x14ac:dyDescent="0.3">
      <c r="A2183" t="str">
        <f>"20200111145956524"</f>
        <v>20200111145956524</v>
      </c>
      <c r="B2183" t="str">
        <f>"1578725996517731"</f>
        <v>1578725996517731</v>
      </c>
      <c r="C2183" t="s">
        <v>40</v>
      </c>
      <c r="D2183">
        <v>4.6661330000000003</v>
      </c>
      <c r="E2183">
        <v>0.64621629999999997</v>
      </c>
      <c r="F2183" t="s">
        <v>52</v>
      </c>
      <c r="G2183">
        <v>-202.33189999999999</v>
      </c>
      <c r="H2183">
        <v>8.0000100000000005E-2</v>
      </c>
      <c r="I2183">
        <v>291.3854</v>
      </c>
      <c r="J2183">
        <v>-190.8409</v>
      </c>
      <c r="K2183">
        <v>1.1032439999999999</v>
      </c>
      <c r="L2183">
        <v>312.85430000000002</v>
      </c>
      <c r="M2183">
        <v>-1.843819E-2</v>
      </c>
      <c r="N2183">
        <v>0</v>
      </c>
      <c r="O2183">
        <v>-0.99977139999999998</v>
      </c>
      <c r="P2183">
        <v>-0.1160369</v>
      </c>
      <c r="Q2183">
        <v>5.2033910000000003E-2</v>
      </c>
      <c r="R2183">
        <v>-0.99188129999999997</v>
      </c>
      <c r="S2183">
        <v>-1.5096889999999901</v>
      </c>
      <c r="T2183">
        <v>-0.13435859999999999</v>
      </c>
      <c r="U2183">
        <v>-2.8580930000000002</v>
      </c>
      <c r="V2183">
        <v>9.7908200000000001E-2</v>
      </c>
      <c r="W2183">
        <v>6.2518630000000006E-2</v>
      </c>
      <c r="X2183">
        <v>0.99322980000000005</v>
      </c>
      <c r="Y2183">
        <v>0.4502719</v>
      </c>
      <c r="Z2183">
        <v>4.170666E-2</v>
      </c>
      <c r="AA2183">
        <v>0.89191690000000001</v>
      </c>
      <c r="AB2183">
        <v>29</v>
      </c>
      <c r="AC2183">
        <v>-11.4909999999999</v>
      </c>
      <c r="AD2183">
        <v>-1.0232439</v>
      </c>
      <c r="AE2183">
        <v>-21.468900000000001</v>
      </c>
      <c r="AF2183">
        <v>11.0736219507471</v>
      </c>
      <c r="AG2183">
        <v>-1.0232439</v>
      </c>
      <c r="AH2183">
        <v>21.638926090772401</v>
      </c>
      <c r="AI2183">
        <v>92.410461225612394</v>
      </c>
      <c r="AJ2183">
        <v>62.899110254334097</v>
      </c>
      <c r="AK2183">
        <v>24.329308530019301</v>
      </c>
      <c r="AL2183">
        <v>86.415608844029805</v>
      </c>
      <c r="AM2183">
        <v>84.370223614982393</v>
      </c>
      <c r="AN2183">
        <v>1.0000000151661701</v>
      </c>
    </row>
    <row r="2184" spans="1:40" x14ac:dyDescent="0.3">
      <c r="A2184" t="str">
        <f>"20200111145956557"</f>
        <v>20200111145956557</v>
      </c>
      <c r="B2184" t="str">
        <f>"1578725996547990"</f>
        <v>1578725996547990</v>
      </c>
      <c r="C2184" t="s">
        <v>40</v>
      </c>
      <c r="D2184">
        <v>4.2644890000000002</v>
      </c>
      <c r="E2184">
        <v>0.6711298</v>
      </c>
      <c r="F2184" t="s">
        <v>52</v>
      </c>
      <c r="G2184">
        <v>-201.3391</v>
      </c>
      <c r="H2184">
        <v>8.0000080000000001E-2</v>
      </c>
      <c r="I2184">
        <v>293.0342</v>
      </c>
      <c r="J2184">
        <v>-190.8518</v>
      </c>
      <c r="K2184">
        <v>1.1032230000000001</v>
      </c>
      <c r="L2184">
        <v>312.416</v>
      </c>
      <c r="M2184">
        <v>-2.0847959999999999E-2</v>
      </c>
      <c r="N2184">
        <v>0</v>
      </c>
      <c r="O2184">
        <v>-0.99971849999999995</v>
      </c>
      <c r="P2184">
        <v>-0.1201347</v>
      </c>
      <c r="Q2184">
        <v>5.2539509999999998E-2</v>
      </c>
      <c r="R2184">
        <v>-0.99136659999999999</v>
      </c>
      <c r="S2184">
        <v>-1.512405</v>
      </c>
      <c r="T2184">
        <v>-0.1474115</v>
      </c>
      <c r="U2184">
        <v>-2.8553470000000001</v>
      </c>
      <c r="V2184">
        <v>9.9639240000000004E-2</v>
      </c>
      <c r="W2184">
        <v>6.348993E-2</v>
      </c>
      <c r="X2184">
        <v>0.99299599999999999</v>
      </c>
      <c r="Y2184">
        <v>0.44905329999999899</v>
      </c>
      <c r="Z2184">
        <v>4.5790089999999999E-2</v>
      </c>
      <c r="AA2184">
        <v>0.89233090000000004</v>
      </c>
      <c r="AB2184">
        <v>29</v>
      </c>
      <c r="AC2184">
        <v>-10.487299999999999</v>
      </c>
      <c r="AD2184">
        <v>-1.02322292</v>
      </c>
      <c r="AE2184">
        <v>-19.381799999999998</v>
      </c>
      <c r="AF2184">
        <v>10.059236774564001</v>
      </c>
      <c r="AG2184">
        <v>-1.02322292</v>
      </c>
      <c r="AH2184">
        <v>19.554083203300699</v>
      </c>
      <c r="AI2184">
        <v>92.664151148534003</v>
      </c>
      <c r="AJ2184">
        <v>62.777282106438001</v>
      </c>
      <c r="AK2184">
        <v>22.013573075545001</v>
      </c>
      <c r="AL2184">
        <v>86.359846621400806</v>
      </c>
      <c r="AM2184">
        <v>84.270004354638999</v>
      </c>
      <c r="AN2184">
        <v>1.0000000026875899</v>
      </c>
    </row>
    <row r="2185" spans="1:40" x14ac:dyDescent="0.3">
      <c r="A2185" t="str">
        <f>"20200111145956580"</f>
        <v>20200111145956580</v>
      </c>
      <c r="B2185" t="str">
        <f>"1578725996568486"</f>
        <v>1578725996568486</v>
      </c>
      <c r="C2185" t="s">
        <v>40</v>
      </c>
      <c r="D2185">
        <v>4.2632490000000001</v>
      </c>
      <c r="E2185">
        <v>0.67087989999999997</v>
      </c>
      <c r="F2185" t="s">
        <v>59</v>
      </c>
      <c r="G2185">
        <v>-232.83879999999999</v>
      </c>
      <c r="H2185">
        <v>7.0020889999999998</v>
      </c>
      <c r="I2185">
        <v>243.66990000000001</v>
      </c>
      <c r="J2185">
        <v>-190.8595</v>
      </c>
      <c r="K2185">
        <v>1.1032139999999999</v>
      </c>
      <c r="L2185">
        <v>312.1302</v>
      </c>
      <c r="M2185">
        <v>-2.2527889999999998E-2</v>
      </c>
      <c r="N2185">
        <v>0</v>
      </c>
      <c r="O2185">
        <v>-0.99967779999999995</v>
      </c>
      <c r="P2185">
        <v>-0.1232786</v>
      </c>
      <c r="Q2185">
        <v>5.1517750000000001E-2</v>
      </c>
      <c r="R2185">
        <v>-0.99103390000000002</v>
      </c>
      <c r="S2185">
        <v>-1.7135929999999999</v>
      </c>
      <c r="T2185">
        <v>0.2407465</v>
      </c>
      <c r="U2185">
        <v>-2.8056950000000001</v>
      </c>
      <c r="V2185">
        <v>0.1011263</v>
      </c>
      <c r="W2185">
        <v>6.2802750000000004E-2</v>
      </c>
      <c r="X2185">
        <v>0.99288929999999997</v>
      </c>
      <c r="Y2185">
        <v>0.50046489999999999</v>
      </c>
      <c r="Z2185">
        <v>-7.3456679999999996E-2</v>
      </c>
      <c r="AA2185">
        <v>0.86263489999999998</v>
      </c>
      <c r="AB2185">
        <v>29</v>
      </c>
      <c r="AC2185">
        <v>-41.979300000000002</v>
      </c>
      <c r="AD2185">
        <v>5.8988750000000003</v>
      </c>
      <c r="AE2185">
        <v>-68.460299999999904</v>
      </c>
      <c r="AF2185">
        <v>40.209319186551603</v>
      </c>
      <c r="AG2185">
        <v>5.8988750000000003</v>
      </c>
      <c r="AH2185">
        <v>69.016307688378504</v>
      </c>
      <c r="AI2185">
        <v>85.776306112950095</v>
      </c>
      <c r="AJ2185">
        <v>59.7746629633846</v>
      </c>
      <c r="AK2185">
        <v>80.092676335908195</v>
      </c>
      <c r="AL2185">
        <v>86.399297636351704</v>
      </c>
      <c r="AM2185">
        <v>84.184448511476106</v>
      </c>
      <c r="AN2185">
        <v>0.99999993800686904</v>
      </c>
    </row>
    <row r="2186" spans="1:40" x14ac:dyDescent="0.3">
      <c r="A2186" t="str">
        <f>"20200111145956603"</f>
        <v>20200111145956603</v>
      </c>
      <c r="B2186" t="str">
        <f>"1578725996597763"</f>
        <v>1578725996597763</v>
      </c>
      <c r="C2186" t="s">
        <v>40</v>
      </c>
      <c r="D2186">
        <v>4.3613949999999999</v>
      </c>
      <c r="E2186">
        <v>0.6709309</v>
      </c>
      <c r="F2186" t="s">
        <v>59</v>
      </c>
      <c r="G2186">
        <v>-232.83840000000001</v>
      </c>
      <c r="H2186">
        <v>5.7319149999999999</v>
      </c>
      <c r="I2186">
        <v>243.78229999999999</v>
      </c>
      <c r="J2186">
        <v>-190.8683</v>
      </c>
      <c r="K2186">
        <v>1.1032150000000001</v>
      </c>
      <c r="L2186">
        <v>311.83120000000002</v>
      </c>
      <c r="M2186">
        <v>-2.4367509999999998E-2</v>
      </c>
      <c r="N2186">
        <v>0</v>
      </c>
      <c r="O2186">
        <v>-0.99963000000000002</v>
      </c>
      <c r="P2186">
        <v>-0.1265645</v>
      </c>
      <c r="Q2186">
        <v>5.0772930000000001E-2</v>
      </c>
      <c r="R2186">
        <v>-0.99065829999999999</v>
      </c>
      <c r="S2186">
        <v>-1.721649</v>
      </c>
      <c r="T2186">
        <v>0.18983340000000001</v>
      </c>
      <c r="U2186">
        <v>-2.8031009999999998</v>
      </c>
      <c r="V2186">
        <v>0.1025983</v>
      </c>
      <c r="W2186">
        <v>6.2423449999999998E-2</v>
      </c>
      <c r="X2186">
        <v>0.99276229999999999</v>
      </c>
      <c r="Y2186">
        <v>0.50156309999999904</v>
      </c>
      <c r="Z2186">
        <v>-5.7972210000000003E-2</v>
      </c>
      <c r="AA2186">
        <v>0.86317649999999901</v>
      </c>
      <c r="AB2186">
        <v>29</v>
      </c>
      <c r="AC2186">
        <v>-41.970100000000002</v>
      </c>
      <c r="AD2186">
        <v>4.6287000000000003</v>
      </c>
      <c r="AE2186">
        <v>-68.048900000000003</v>
      </c>
      <c r="AF2186">
        <v>40.164710457359199</v>
      </c>
      <c r="AG2186">
        <v>4.6287000000000003</v>
      </c>
      <c r="AH2186">
        <v>68.820802562466099</v>
      </c>
      <c r="AI2186">
        <v>86.675518596773401</v>
      </c>
      <c r="AJ2186">
        <v>59.731611619830701</v>
      </c>
      <c r="AK2186">
        <v>79.8181163342974</v>
      </c>
      <c r="AL2186">
        <v>86.421073022425304</v>
      </c>
      <c r="AM2186">
        <v>84.099640466961603</v>
      </c>
      <c r="AN2186">
        <v>1.00000004128704</v>
      </c>
    </row>
    <row r="2187" spans="1:40" x14ac:dyDescent="0.3">
      <c r="A2187" t="str">
        <f>"20200111145956625"</f>
        <v>20200111145956625</v>
      </c>
      <c r="B2187" t="str">
        <f>"1578725996618259"</f>
        <v>1578725996618259</v>
      </c>
      <c r="C2187" t="s">
        <v>40</v>
      </c>
      <c r="D2187">
        <v>4.3258749999999999</v>
      </c>
      <c r="E2187">
        <v>0.67077909999999996</v>
      </c>
      <c r="F2187" t="s">
        <v>59</v>
      </c>
      <c r="G2187">
        <v>-232.21270000000001</v>
      </c>
      <c r="H2187">
        <v>5.1329529999999997</v>
      </c>
      <c r="I2187">
        <v>245.01419999999999</v>
      </c>
      <c r="J2187">
        <v>-190.87739999999999</v>
      </c>
      <c r="K2187">
        <v>1.103221</v>
      </c>
      <c r="L2187">
        <v>311.54160000000002</v>
      </c>
      <c r="M2187">
        <v>-2.6209420000000001E-2</v>
      </c>
      <c r="N2187">
        <v>0</v>
      </c>
      <c r="O2187">
        <v>-0.99957910000000005</v>
      </c>
      <c r="P2187">
        <v>-0.12998280000000001</v>
      </c>
      <c r="Q2187">
        <v>5.0583999999999997E-2</v>
      </c>
      <c r="R2187">
        <v>-0.99022509999999997</v>
      </c>
      <c r="S2187">
        <v>-1.731552</v>
      </c>
      <c r="T2187">
        <v>0.1687698</v>
      </c>
      <c r="U2187">
        <v>-2.7983699999999998</v>
      </c>
      <c r="V2187">
        <v>0.1042034</v>
      </c>
      <c r="W2187">
        <v>6.2580499999999997E-2</v>
      </c>
      <c r="X2187">
        <v>0.99258519999999995</v>
      </c>
      <c r="Y2187">
        <v>0.50301669999999998</v>
      </c>
      <c r="Z2187">
        <v>-5.1563520000000002E-2</v>
      </c>
      <c r="AA2187">
        <v>0.86273719999999998</v>
      </c>
      <c r="AB2187">
        <v>29</v>
      </c>
      <c r="AC2187">
        <v>-41.335299999999997</v>
      </c>
      <c r="AD2187">
        <v>4.0297319999999903</v>
      </c>
      <c r="AE2187">
        <v>-66.5274</v>
      </c>
      <c r="AF2187">
        <v>39.472829444279697</v>
      </c>
      <c r="AG2187">
        <v>4.0297319999999903</v>
      </c>
      <c r="AH2187">
        <v>67.409559680915905</v>
      </c>
      <c r="AI2187">
        <v>87.046938763399694</v>
      </c>
      <c r="AJ2187">
        <v>59.648158232642899</v>
      </c>
      <c r="AK2187">
        <v>78.220149198937193</v>
      </c>
      <c r="AL2187">
        <v>86.412057028791693</v>
      </c>
      <c r="AM2187">
        <v>84.006937377024599</v>
      </c>
      <c r="AN2187">
        <v>1.00000002340542</v>
      </c>
    </row>
    <row r="2188" spans="1:40" x14ac:dyDescent="0.3">
      <c r="A2188" t="str">
        <f>"20200111145956647"</f>
        <v>20200111145956647</v>
      </c>
      <c r="B2188" t="str">
        <f>"1578725996637779"</f>
        <v>1578725996637779</v>
      </c>
      <c r="C2188" t="s">
        <v>40</v>
      </c>
      <c r="D2188">
        <v>4.2925230000000001</v>
      </c>
      <c r="E2188">
        <v>0.61190559999999905</v>
      </c>
      <c r="F2188" t="s">
        <v>59</v>
      </c>
      <c r="G2188">
        <v>-232.21270000000001</v>
      </c>
      <c r="H2188">
        <v>5.0524310000000003</v>
      </c>
      <c r="I2188">
        <v>245.21039999999999</v>
      </c>
      <c r="J2188">
        <v>-190.88730000000001</v>
      </c>
      <c r="K2188">
        <v>1.1032189999999999</v>
      </c>
      <c r="L2188">
        <v>311.24369999999999</v>
      </c>
      <c r="M2188">
        <v>-2.8144280000000001E-2</v>
      </c>
      <c r="N2188">
        <v>0</v>
      </c>
      <c r="O2188">
        <v>-0.99952189999999996</v>
      </c>
      <c r="P2188">
        <v>-0.13237160000000001</v>
      </c>
      <c r="Q2188">
        <v>5.0130849999999998E-2</v>
      </c>
      <c r="R2188">
        <v>-0.98993180000000003</v>
      </c>
      <c r="S2188">
        <v>-1.7403109999999999</v>
      </c>
      <c r="T2188">
        <v>0.16627059999999999</v>
      </c>
      <c r="U2188">
        <v>-2.792694</v>
      </c>
      <c r="V2188">
        <v>0.10468189999999999</v>
      </c>
      <c r="W2188">
        <v>6.246819E-2</v>
      </c>
      <c r="X2188">
        <v>0.99254189999999998</v>
      </c>
      <c r="Y2188">
        <v>0.50409979999999999</v>
      </c>
      <c r="Z2188">
        <v>-5.082967E-2</v>
      </c>
      <c r="AA2188">
        <v>0.86214829999999998</v>
      </c>
      <c r="AB2188">
        <v>29</v>
      </c>
      <c r="AC2188">
        <v>-41.325400000000002</v>
      </c>
      <c r="AD2188">
        <v>3.94921199999999</v>
      </c>
      <c r="AE2188">
        <v>-66.033299999999997</v>
      </c>
      <c r="AF2188">
        <v>39.349280773421299</v>
      </c>
      <c r="AG2188">
        <v>3.94921199999999</v>
      </c>
      <c r="AH2188">
        <v>66.998110348983701</v>
      </c>
      <c r="AI2188">
        <v>87.090322392567003</v>
      </c>
      <c r="AJ2188">
        <v>59.573463204283101</v>
      </c>
      <c r="AK2188">
        <v>77.799157856245998</v>
      </c>
      <c r="AL2188">
        <v>86.418504445420794</v>
      </c>
      <c r="AM2188">
        <v>83.979358296686499</v>
      </c>
      <c r="AN2188">
        <v>0.999999999102548</v>
      </c>
    </row>
    <row r="2189" spans="1:40" x14ac:dyDescent="0.3">
      <c r="A2189" t="str">
        <f>"20200111145956691"</f>
        <v>20200111145956691</v>
      </c>
      <c r="B2189" t="str">
        <f>"1578725996688532"</f>
        <v>1578725996688532</v>
      </c>
      <c r="C2189" t="s">
        <v>40</v>
      </c>
      <c r="D2189">
        <v>4.8012800000000002</v>
      </c>
      <c r="E2189">
        <v>0.52559069999999997</v>
      </c>
      <c r="F2189" t="s">
        <v>41</v>
      </c>
      <c r="G2189">
        <v>-191.18559999999999</v>
      </c>
      <c r="H2189">
        <v>1.185754</v>
      </c>
      <c r="I2189">
        <v>310.58069999999998</v>
      </c>
      <c r="J2189">
        <v>-190.90770000000001</v>
      </c>
      <c r="K2189">
        <v>1.1032169999999999</v>
      </c>
      <c r="L2189">
        <v>310.68579999999997</v>
      </c>
      <c r="M2189">
        <v>-3.1886150000000002E-2</v>
      </c>
      <c r="N2189">
        <v>0</v>
      </c>
      <c r="O2189">
        <v>-0.99940189999999995</v>
      </c>
      <c r="P2189">
        <v>-0.1329487</v>
      </c>
      <c r="Q2189">
        <v>5.0251570000000002E-2</v>
      </c>
      <c r="R2189">
        <v>-0.98984859999999997</v>
      </c>
      <c r="S2189">
        <v>-1.278427</v>
      </c>
      <c r="T2189">
        <v>0.35377690000000001</v>
      </c>
      <c r="U2189">
        <v>-2.841675</v>
      </c>
      <c r="V2189">
        <v>0.1015538</v>
      </c>
      <c r="W2189">
        <v>6.3162999999999997E-2</v>
      </c>
      <c r="X2189">
        <v>0.99282289999999995</v>
      </c>
      <c r="Y2189">
        <v>0.37834390000000001</v>
      </c>
      <c r="Z2189">
        <v>-0.11346299999999999</v>
      </c>
      <c r="AA2189">
        <v>0.91868499999999997</v>
      </c>
      <c r="AB2189">
        <v>29</v>
      </c>
      <c r="AC2189">
        <v>-0.27789999999998799</v>
      </c>
      <c r="AD2189">
        <v>8.2536999999999999E-2</v>
      </c>
      <c r="AE2189">
        <v>-0.105099999999993</v>
      </c>
      <c r="AF2189">
        <v>0.254747622907321</v>
      </c>
      <c r="AG2189">
        <v>8.2536999999999999E-2</v>
      </c>
      <c r="AH2189">
        <v>0.10574769055161599</v>
      </c>
      <c r="AI2189">
        <v>73.340827662756695</v>
      </c>
      <c r="AJ2189">
        <v>22.543712199976699</v>
      </c>
      <c r="AK2189">
        <v>0.28790846080469901</v>
      </c>
      <c r="AL2189">
        <v>86.3786160835472</v>
      </c>
      <c r="AM2189">
        <v>84.1596456142249</v>
      </c>
      <c r="AN2189">
        <v>1.00000002481392</v>
      </c>
    </row>
    <row r="2190" spans="1:40" x14ac:dyDescent="0.3">
      <c r="A2190" t="str">
        <f>"20200111145956714"</f>
        <v>20200111145956714</v>
      </c>
      <c r="B2190" t="str">
        <f>"1578725996708051"</f>
        <v>1578725996708051</v>
      </c>
      <c r="C2190" t="s">
        <v>40</v>
      </c>
      <c r="D2190">
        <v>4.5714119999999996</v>
      </c>
      <c r="E2190">
        <v>0.52281729999999904</v>
      </c>
      <c r="F2190" t="s">
        <v>60</v>
      </c>
      <c r="G2190">
        <v>-230.07230000000001</v>
      </c>
      <c r="H2190">
        <v>0.98841239999999997</v>
      </c>
      <c r="I2190">
        <v>119.3841</v>
      </c>
      <c r="J2190">
        <v>-190.92</v>
      </c>
      <c r="K2190">
        <v>1.1032010000000001</v>
      </c>
      <c r="L2190">
        <v>310.37450000000001</v>
      </c>
      <c r="M2190">
        <v>-3.4070400000000001E-2</v>
      </c>
      <c r="N2190">
        <v>0</v>
      </c>
      <c r="O2190">
        <v>-0.99932639999999995</v>
      </c>
      <c r="P2190">
        <v>-0.1322863</v>
      </c>
      <c r="Q2190">
        <v>4.9857909999999998E-2</v>
      </c>
      <c r="R2190">
        <v>-0.98995730000000004</v>
      </c>
      <c r="S2190">
        <v>-0.60389709999999996</v>
      </c>
      <c r="T2190">
        <v>-1.770139E-3</v>
      </c>
      <c r="U2190">
        <v>-2.9497680000000002</v>
      </c>
      <c r="V2190">
        <v>9.8722439999999995E-2</v>
      </c>
      <c r="W2190">
        <v>6.3044030000000001E-2</v>
      </c>
      <c r="X2190">
        <v>0.993116</v>
      </c>
      <c r="Y2190">
        <v>0.1670692</v>
      </c>
      <c r="Z2190">
        <v>5.8924400000000005E-4</v>
      </c>
      <c r="AA2190">
        <v>0.98594499999999996</v>
      </c>
      <c r="AB2190">
        <v>29</v>
      </c>
      <c r="AC2190">
        <v>-39.152299999999997</v>
      </c>
      <c r="AD2190">
        <v>-0.1147886</v>
      </c>
      <c r="AE2190">
        <v>-190.99039999999999</v>
      </c>
      <c r="AF2190">
        <v>32.621829601715199</v>
      </c>
      <c r="AG2190">
        <v>-0.1147886</v>
      </c>
      <c r="AH2190">
        <v>192.21348903772301</v>
      </c>
      <c r="AI2190">
        <v>90.033734261859195</v>
      </c>
      <c r="AJ2190">
        <v>80.367734129791302</v>
      </c>
      <c r="AK2190">
        <v>194.96210480767999</v>
      </c>
      <c r="AL2190">
        <v>86.385446192295007</v>
      </c>
      <c r="AM2190">
        <v>84.323062668315998</v>
      </c>
      <c r="AN2190">
        <v>1.0000000296670899</v>
      </c>
    </row>
    <row r="2191" spans="1:40" x14ac:dyDescent="0.3">
      <c r="A2191" t="str">
        <f>"20200111145956737"</f>
        <v>20200111145956737</v>
      </c>
      <c r="B2191" t="str">
        <f>"1578725996728547"</f>
        <v>1578725996728547</v>
      </c>
      <c r="C2191" t="s">
        <v>40</v>
      </c>
      <c r="D2191">
        <v>4.5930759999999999</v>
      </c>
      <c r="E2191">
        <v>0.52100489999999999</v>
      </c>
      <c r="F2191" t="s">
        <v>61</v>
      </c>
      <c r="G2191">
        <v>-202.96889999999999</v>
      </c>
      <c r="H2191">
        <v>0.61948689999999995</v>
      </c>
      <c r="I2191">
        <v>249.1027</v>
      </c>
      <c r="J2191">
        <v>-190.93209999999999</v>
      </c>
      <c r="K2191">
        <v>1.103164</v>
      </c>
      <c r="L2191">
        <v>310.08620000000002</v>
      </c>
      <c r="M2191">
        <v>-3.6177679999999997E-2</v>
      </c>
      <c r="N2191">
        <v>0</v>
      </c>
      <c r="O2191">
        <v>-0.99924919999999995</v>
      </c>
      <c r="P2191">
        <v>-0.13107179999999999</v>
      </c>
      <c r="Q2191">
        <v>5.006625E-2</v>
      </c>
      <c r="R2191">
        <v>-0.99010799999999999</v>
      </c>
      <c r="S2191">
        <v>-0.58088680000000004</v>
      </c>
      <c r="T2191">
        <v>-2.3320199999999999E-2</v>
      </c>
      <c r="U2191">
        <v>-2.9539490000000002</v>
      </c>
      <c r="V2191">
        <v>9.5417150000000006E-2</v>
      </c>
      <c r="W2191">
        <v>6.3477560000000002E-2</v>
      </c>
      <c r="X2191">
        <v>0.99341140000000006</v>
      </c>
      <c r="Y2191">
        <v>0.15731879999999901</v>
      </c>
      <c r="Z2191">
        <v>7.7631100000000001E-3</v>
      </c>
      <c r="AA2191">
        <v>0.98751739999999999</v>
      </c>
      <c r="AB2191">
        <v>29</v>
      </c>
      <c r="AC2191">
        <v>-12.036799999999999</v>
      </c>
      <c r="AD2191">
        <v>-0.48367710000000003</v>
      </c>
      <c r="AE2191">
        <v>-60.983499999999999</v>
      </c>
      <c r="AF2191">
        <v>9.8218705854339294</v>
      </c>
      <c r="AG2191">
        <v>-0.48367710000000003</v>
      </c>
      <c r="AH2191">
        <v>61.3753602034949</v>
      </c>
      <c r="AI2191">
        <v>90.445845441876799</v>
      </c>
      <c r="AJ2191">
        <v>80.908072884887105</v>
      </c>
      <c r="AK2191">
        <v>62.158168613970801</v>
      </c>
      <c r="AL2191">
        <v>86.360556870889596</v>
      </c>
      <c r="AM2191">
        <v>84.513571796374194</v>
      </c>
      <c r="AN2191">
        <v>1.0000000213938101</v>
      </c>
    </row>
    <row r="2192" spans="1:40" x14ac:dyDescent="0.3">
      <c r="A2192" t="str">
        <f>"20200111145956759"</f>
        <v>20200111145956759</v>
      </c>
      <c r="B2192" t="str">
        <f>"1578725996748067"</f>
        <v>1578725996748067</v>
      </c>
      <c r="C2192" t="s">
        <v>40</v>
      </c>
      <c r="D2192">
        <v>4.6207820000000002</v>
      </c>
      <c r="E2192">
        <v>0.51985619999999999</v>
      </c>
      <c r="F2192" t="s">
        <v>62</v>
      </c>
      <c r="G2192">
        <v>-210.4211</v>
      </c>
      <c r="H2192">
        <v>8.0001639999999999E-2</v>
      </c>
      <c r="I2192">
        <v>207.7997</v>
      </c>
      <c r="J2192">
        <v>-190.94479999999999</v>
      </c>
      <c r="K2192">
        <v>1.103105</v>
      </c>
      <c r="L2192">
        <v>309.80029999999999</v>
      </c>
      <c r="M2192">
        <v>-3.8372330000000003E-2</v>
      </c>
      <c r="N2192">
        <v>0</v>
      </c>
      <c r="O2192">
        <v>-0.99916450000000001</v>
      </c>
      <c r="P2192">
        <v>-0.13060260000000001</v>
      </c>
      <c r="Q2192">
        <v>5.0597240000000002E-2</v>
      </c>
      <c r="R2192">
        <v>-0.99014310000000005</v>
      </c>
      <c r="S2192">
        <v>-0.56338500000000002</v>
      </c>
      <c r="T2192">
        <v>-2.9577369999999999E-2</v>
      </c>
      <c r="U2192">
        <v>-2.9568789999999998</v>
      </c>
      <c r="V2192">
        <v>9.2777330000000005E-2</v>
      </c>
      <c r="W2192">
        <v>6.4198019999999995E-2</v>
      </c>
      <c r="X2192">
        <v>0.99361509999999997</v>
      </c>
      <c r="Y2192">
        <v>0.1493217</v>
      </c>
      <c r="Z2192">
        <v>9.8467369999999995E-3</v>
      </c>
      <c r="AA2192">
        <v>0.98873960000000005</v>
      </c>
      <c r="AB2192">
        <v>29</v>
      </c>
      <c r="AC2192">
        <v>-19.476299999999998</v>
      </c>
      <c r="AD2192">
        <v>-1.0231033599999999</v>
      </c>
      <c r="AE2192">
        <v>-102.00060000000001</v>
      </c>
      <c r="AF2192">
        <v>15.5460560702296</v>
      </c>
      <c r="AG2192">
        <v>-1.0231033599999999</v>
      </c>
      <c r="AH2192">
        <v>102.66292235524899</v>
      </c>
      <c r="AI2192">
        <v>90.564535693601698</v>
      </c>
      <c r="AJ2192">
        <v>81.389225013771494</v>
      </c>
      <c r="AK2192">
        <v>103.83834660829299</v>
      </c>
      <c r="AL2192">
        <v>86.319193078311997</v>
      </c>
      <c r="AM2192">
        <v>84.665559022835893</v>
      </c>
      <c r="AN2192">
        <v>0.999999992840929</v>
      </c>
    </row>
    <row r="2193" spans="1:40" x14ac:dyDescent="0.3">
      <c r="A2193" t="str">
        <f>"20200111145956781"</f>
        <v>20200111145956781</v>
      </c>
      <c r="B2193" t="str">
        <f>"1578725996778323"</f>
        <v>1578725996778323</v>
      </c>
      <c r="C2193" t="s">
        <v>40</v>
      </c>
      <c r="D2193">
        <v>4.6472870000000004</v>
      </c>
      <c r="E2193">
        <v>0.51892179999999999</v>
      </c>
      <c r="F2193" t="s">
        <v>52</v>
      </c>
      <c r="G2193">
        <v>-209.2448</v>
      </c>
      <c r="H2193" s="1">
        <v>6.5528969999999997E-6</v>
      </c>
      <c r="I2193">
        <v>211.91390000000001</v>
      </c>
      <c r="J2193">
        <v>-190.95779999999999</v>
      </c>
      <c r="K2193">
        <v>1.1030390000000001</v>
      </c>
      <c r="L2193">
        <v>309.52510000000001</v>
      </c>
      <c r="M2193">
        <v>-4.0610529999999999E-2</v>
      </c>
      <c r="N2193">
        <v>0</v>
      </c>
      <c r="O2193">
        <v>-0.99907389999999996</v>
      </c>
      <c r="P2193">
        <v>-0.13165679999999999</v>
      </c>
      <c r="Q2193">
        <v>5.0750400000000001E-2</v>
      </c>
      <c r="R2193">
        <v>-0.98999579999999998</v>
      </c>
      <c r="S2193">
        <v>-0.55311580000000005</v>
      </c>
      <c r="T2193">
        <v>-3.3341170000000003E-2</v>
      </c>
      <c r="U2193">
        <v>-2.958618</v>
      </c>
      <c r="V2193">
        <v>9.162389E-2</v>
      </c>
      <c r="W2193">
        <v>6.4501119999999995E-2</v>
      </c>
      <c r="X2193">
        <v>0.99370250000000004</v>
      </c>
      <c r="Y2193">
        <v>0.143681</v>
      </c>
      <c r="Z2193">
        <v>1.1099919999999999E-2</v>
      </c>
      <c r="AA2193">
        <v>0.98956180000000005</v>
      </c>
      <c r="AB2193">
        <v>29</v>
      </c>
      <c r="AC2193">
        <v>-18.286999999999999</v>
      </c>
      <c r="AD2193">
        <v>-1.103032447103</v>
      </c>
      <c r="AE2193">
        <v>-97.611199999999997</v>
      </c>
      <c r="AF2193">
        <v>14.305703042381399</v>
      </c>
      <c r="AG2193">
        <v>-1.103032447103</v>
      </c>
      <c r="AH2193">
        <v>98.261257288728402</v>
      </c>
      <c r="AI2193">
        <v>90.636438128406795</v>
      </c>
      <c r="AJ2193">
        <v>81.716594736943307</v>
      </c>
      <c r="AK2193">
        <v>99.303295534830298</v>
      </c>
      <c r="AL2193">
        <v>86.301790667797505</v>
      </c>
      <c r="AM2193">
        <v>84.731963893707302</v>
      </c>
      <c r="AN2193">
        <v>0.99999999510311799</v>
      </c>
    </row>
    <row r="2194" spans="1:40" x14ac:dyDescent="0.3">
      <c r="A2194" t="str">
        <f>"20200111145956803"</f>
        <v>20200111145956803</v>
      </c>
      <c r="B2194" t="str">
        <f>"1578725996797843"</f>
        <v>1578725996797843</v>
      </c>
      <c r="C2194" t="s">
        <v>40</v>
      </c>
      <c r="D2194">
        <v>4.7581189999999998</v>
      </c>
      <c r="E2194">
        <v>0.5194029</v>
      </c>
      <c r="F2194" t="s">
        <v>42</v>
      </c>
      <c r="G2194">
        <v>-203.53059999999999</v>
      </c>
      <c r="H2194">
        <v>7.9986230000000005E-2</v>
      </c>
      <c r="I2194">
        <v>241.798</v>
      </c>
      <c r="J2194">
        <v>-190.97229999999999</v>
      </c>
      <c r="K2194">
        <v>1.1029450000000001</v>
      </c>
      <c r="L2194">
        <v>309.2364</v>
      </c>
      <c r="M2194">
        <v>-4.3120310000000002E-2</v>
      </c>
      <c r="N2194">
        <v>0</v>
      </c>
      <c r="O2194">
        <v>-0.99896649999999998</v>
      </c>
      <c r="P2194">
        <v>-0.135574</v>
      </c>
      <c r="Q2194">
        <v>5.0043740000000003E-2</v>
      </c>
      <c r="R2194">
        <v>-0.98950280000000002</v>
      </c>
      <c r="S2194">
        <v>-0.54940800000000001</v>
      </c>
      <c r="T2194">
        <v>-4.4705269999999998E-2</v>
      </c>
      <c r="U2194">
        <v>-2.9595340000000001</v>
      </c>
      <c r="V2194">
        <v>9.3074550000000006E-2</v>
      </c>
      <c r="W2194">
        <v>6.3910129999999996E-2</v>
      </c>
      <c r="X2194">
        <v>0.99360590000000004</v>
      </c>
      <c r="Y2194">
        <v>0.13993129999999901</v>
      </c>
      <c r="Z2194">
        <v>1.488135E-2</v>
      </c>
      <c r="AA2194">
        <v>0.99004939999999997</v>
      </c>
      <c r="AB2194">
        <v>29</v>
      </c>
      <c r="AC2194">
        <v>-12.558299999999999</v>
      </c>
      <c r="AD2194">
        <v>-1.02295877</v>
      </c>
      <c r="AE2194">
        <v>-67.438400000000001</v>
      </c>
      <c r="AF2194">
        <v>9.6362089299746803</v>
      </c>
      <c r="AG2194">
        <v>-1.02295877</v>
      </c>
      <c r="AH2194">
        <v>67.902135309115494</v>
      </c>
      <c r="AI2194">
        <v>90.854545862135396</v>
      </c>
      <c r="AJ2194">
        <v>81.922907212114495</v>
      </c>
      <c r="AK2194">
        <v>68.590108227970205</v>
      </c>
      <c r="AL2194">
        <v>86.335722041911296</v>
      </c>
      <c r="AM2194">
        <v>84.648519485556605</v>
      </c>
      <c r="AN2194">
        <v>1.00000003054456</v>
      </c>
    </row>
    <row r="2195" spans="1:40" x14ac:dyDescent="0.3">
      <c r="A2195" t="str">
        <f>"20200111145956870"</f>
        <v>20200111145956870</v>
      </c>
      <c r="B2195" t="str">
        <f>"1578725996868117"</f>
        <v>1578725996868117</v>
      </c>
      <c r="C2195" t="s">
        <v>40</v>
      </c>
      <c r="D2195">
        <v>4.7254829999999997</v>
      </c>
      <c r="E2195">
        <v>0.51954209999999901</v>
      </c>
      <c r="F2195" t="s">
        <v>42</v>
      </c>
      <c r="G2195">
        <v>-200.14359999999999</v>
      </c>
      <c r="H2195">
        <v>7.9986340000000003E-2</v>
      </c>
      <c r="I2195">
        <v>261.24380000000002</v>
      </c>
      <c r="J2195">
        <v>-191.0206</v>
      </c>
      <c r="K2195">
        <v>1.1026549999999999</v>
      </c>
      <c r="L2195">
        <v>308.38380000000001</v>
      </c>
      <c r="M2195">
        <v>-5.1426909999999999E-2</v>
      </c>
      <c r="N2195">
        <v>0</v>
      </c>
      <c r="O2195">
        <v>-0.99856829999999996</v>
      </c>
      <c r="P2195">
        <v>-0.15316850000000001</v>
      </c>
      <c r="Q2195">
        <v>5.3746839999999997E-2</v>
      </c>
      <c r="R2195">
        <v>-0.98673759999999999</v>
      </c>
      <c r="S2195">
        <v>-0.56518550000000001</v>
      </c>
      <c r="T2195">
        <v>-6.3040609999999997E-2</v>
      </c>
      <c r="U2195">
        <v>-2.9575809999999998</v>
      </c>
      <c r="V2195">
        <v>0.1025866</v>
      </c>
      <c r="W2195">
        <v>6.7806939999999996E-2</v>
      </c>
      <c r="X2195">
        <v>0.99241029999999997</v>
      </c>
      <c r="Y2195">
        <v>0.13689270000000001</v>
      </c>
      <c r="Z2195">
        <v>2.0977840000000001E-2</v>
      </c>
      <c r="AA2195">
        <v>0.99036369999999896</v>
      </c>
      <c r="AB2195">
        <v>29</v>
      </c>
      <c r="AC2195">
        <v>-9.1229999999999905</v>
      </c>
      <c r="AD2195">
        <v>-1.0226686599999999</v>
      </c>
      <c r="AE2195">
        <v>-47.139999999999901</v>
      </c>
      <c r="AF2195">
        <v>6.6833664006327798</v>
      </c>
      <c r="AG2195">
        <v>-1.0226686599999999</v>
      </c>
      <c r="AH2195">
        <v>47.525267623367903</v>
      </c>
      <c r="AI2195">
        <v>91.220716646586496</v>
      </c>
      <c r="AJ2195">
        <v>81.995122608974796</v>
      </c>
      <c r="AK2195">
        <v>48.003794644861102</v>
      </c>
      <c r="AL2195">
        <v>86.111965227612998</v>
      </c>
      <c r="AM2195">
        <v>84.098230774134507</v>
      </c>
      <c r="AN2195">
        <v>0.99999999757890601</v>
      </c>
    </row>
    <row r="2196" spans="1:40" x14ac:dyDescent="0.3">
      <c r="A2196" t="str">
        <f>"20200111145956892"</f>
        <v>20200111145956892</v>
      </c>
      <c r="B2196" t="str">
        <f>"1578725996887635"</f>
        <v>1578725996887635</v>
      </c>
      <c r="C2196" t="s">
        <v>40</v>
      </c>
      <c r="D2196">
        <v>4.6773509999999998</v>
      </c>
      <c r="E2196">
        <v>0.51968769999999997</v>
      </c>
      <c r="F2196" t="s">
        <v>42</v>
      </c>
      <c r="G2196">
        <v>-201.50899999999999</v>
      </c>
      <c r="H2196">
        <v>7.9985719999999996E-2</v>
      </c>
      <c r="I2196">
        <v>258.54259999999999</v>
      </c>
      <c r="J2196">
        <v>-191.03880000000001</v>
      </c>
      <c r="K2196">
        <v>1.1025229999999999</v>
      </c>
      <c r="L2196">
        <v>308.09769999999997</v>
      </c>
      <c r="M2196">
        <v>-5.4602629999999999E-2</v>
      </c>
      <c r="N2196">
        <v>0</v>
      </c>
      <c r="O2196">
        <v>-0.99839840000000002</v>
      </c>
      <c r="P2196">
        <v>-0.15751879999999999</v>
      </c>
      <c r="Q2196">
        <v>5.2268139999999998E-2</v>
      </c>
      <c r="R2196">
        <v>-0.98613170000000006</v>
      </c>
      <c r="S2196">
        <v>-0.620224</v>
      </c>
      <c r="T2196">
        <v>-6.047487E-2</v>
      </c>
      <c r="U2196">
        <v>-2.947327</v>
      </c>
      <c r="V2196">
        <v>0.1038182</v>
      </c>
      <c r="W2196">
        <v>6.6371550000000001E-2</v>
      </c>
      <c r="X2196">
        <v>0.99237920000000002</v>
      </c>
      <c r="Y2196">
        <v>0.15213879999999999</v>
      </c>
      <c r="Z2196">
        <v>2.0128679999999999E-2</v>
      </c>
      <c r="AA2196">
        <v>0.98815419999999998</v>
      </c>
      <c r="AB2196">
        <v>28</v>
      </c>
      <c r="AC2196">
        <v>-10.4702</v>
      </c>
      <c r="AD2196">
        <v>-1.0225372800000001</v>
      </c>
      <c r="AE2196">
        <v>-49.555099999999896</v>
      </c>
      <c r="AF2196">
        <v>7.7452845304147404</v>
      </c>
      <c r="AG2196">
        <v>-1.0225372800000001</v>
      </c>
      <c r="AH2196">
        <v>50.032526464301199</v>
      </c>
      <c r="AI2196">
        <v>91.157038580197593</v>
      </c>
      <c r="AJ2196">
        <v>81.200178702113902</v>
      </c>
      <c r="AK2196">
        <v>50.638806456581001</v>
      </c>
      <c r="AL2196">
        <v>86.194392511438593</v>
      </c>
      <c r="AM2196">
        <v>84.027700550932494</v>
      </c>
      <c r="AN2196">
        <v>0.99999993894663897</v>
      </c>
    </row>
    <row r="2197" spans="1:40" x14ac:dyDescent="0.3">
      <c r="A2197" t="str">
        <f>"20200111145956915"</f>
        <v>20200111145956915</v>
      </c>
      <c r="B2197" t="str">
        <f>"1578725996908133"</f>
        <v>1578725996908133</v>
      </c>
      <c r="C2197" t="s">
        <v>40</v>
      </c>
      <c r="D2197">
        <v>4.6707210000000003</v>
      </c>
      <c r="E2197">
        <v>0.51956400000000003</v>
      </c>
      <c r="F2197" t="s">
        <v>42</v>
      </c>
      <c r="G2197">
        <v>-199.91560000000001</v>
      </c>
      <c r="H2197" s="1">
        <v>-5.150468E-6</v>
      </c>
      <c r="I2197">
        <v>266.95319999999998</v>
      </c>
      <c r="J2197">
        <v>-191.05860000000001</v>
      </c>
      <c r="K2197">
        <v>1.102357</v>
      </c>
      <c r="L2197">
        <v>307.80439999999999</v>
      </c>
      <c r="M2197">
        <v>-5.8101930000000003E-2</v>
      </c>
      <c r="N2197">
        <v>0</v>
      </c>
      <c r="O2197">
        <v>-0.99819979999999997</v>
      </c>
      <c r="P2197">
        <v>-0.16398090000000001</v>
      </c>
      <c r="Q2197">
        <v>5.070699E-2</v>
      </c>
      <c r="R2197">
        <v>-0.98515960000000002</v>
      </c>
      <c r="S2197">
        <v>-0.63534550000000001</v>
      </c>
      <c r="T2197">
        <v>-7.8911659999999995E-2</v>
      </c>
      <c r="U2197">
        <v>-2.944855</v>
      </c>
      <c r="V2197">
        <v>0.1068616</v>
      </c>
      <c r="W2197">
        <v>6.4822790000000005E-2</v>
      </c>
      <c r="X2197">
        <v>0.99215850000000005</v>
      </c>
      <c r="Y2197">
        <v>0.15366469999999999</v>
      </c>
      <c r="Z2197">
        <v>2.6258179999999999E-2</v>
      </c>
      <c r="AA2197">
        <v>0.98777409999999999</v>
      </c>
      <c r="AB2197">
        <v>28</v>
      </c>
      <c r="AC2197">
        <v>-8.8569999999999993</v>
      </c>
      <c r="AD2197">
        <v>-1.1023621504679999</v>
      </c>
      <c r="AE2197">
        <v>-40.851199999999999</v>
      </c>
      <c r="AF2197">
        <v>6.4637424448785596</v>
      </c>
      <c r="AG2197">
        <v>-1.1023621504679999</v>
      </c>
      <c r="AH2197">
        <v>41.268137255630101</v>
      </c>
      <c r="AI2197">
        <v>91.511709837306</v>
      </c>
      <c r="AJ2197">
        <v>81.0982049676727</v>
      </c>
      <c r="AK2197">
        <v>41.785814832955403</v>
      </c>
      <c r="AL2197">
        <v>86.2833214866247</v>
      </c>
      <c r="AM2197">
        <v>83.852588742808706</v>
      </c>
      <c r="AN2197">
        <v>0.99999994239009504</v>
      </c>
    </row>
    <row r="2198" spans="1:40" x14ac:dyDescent="0.3">
      <c r="A2198" t="str">
        <f>"20200111145956937"</f>
        <v>20200111145956937</v>
      </c>
      <c r="B2198" t="str">
        <f>"1578725996928628"</f>
        <v>1578725996928628</v>
      </c>
      <c r="C2198" t="s">
        <v>40</v>
      </c>
      <c r="D2198">
        <v>4.6562900000000003</v>
      </c>
      <c r="E2198">
        <v>0.51939329999999995</v>
      </c>
      <c r="F2198" t="s">
        <v>52</v>
      </c>
      <c r="G2198">
        <v>-199.05770000000001</v>
      </c>
      <c r="H2198" s="1">
        <v>4.9046870000000001E-6</v>
      </c>
      <c r="I2198">
        <v>271.80029999999999</v>
      </c>
      <c r="J2198">
        <v>-191.07849999999999</v>
      </c>
      <c r="K2198">
        <v>1.102187</v>
      </c>
      <c r="L2198">
        <v>307.5283</v>
      </c>
      <c r="M2198">
        <v>-6.1652909999999998E-2</v>
      </c>
      <c r="N2198">
        <v>0</v>
      </c>
      <c r="O2198">
        <v>-0.99798569999999998</v>
      </c>
      <c r="P2198">
        <v>-0.17048239999999901</v>
      </c>
      <c r="Q2198">
        <v>5.184764E-2</v>
      </c>
      <c r="R2198">
        <v>-0.98399570000000003</v>
      </c>
      <c r="S2198">
        <v>-0.65342709999999904</v>
      </c>
      <c r="T2198">
        <v>-9.0048790000000004E-2</v>
      </c>
      <c r="U2198">
        <v>-2.9411010000000002</v>
      </c>
      <c r="V2198">
        <v>0.1099262</v>
      </c>
      <c r="W2198">
        <v>6.5954289999999999E-2</v>
      </c>
      <c r="X2198">
        <v>0.99174910000000005</v>
      </c>
      <c r="Y2198">
        <v>0.1561805</v>
      </c>
      <c r="Z2198">
        <v>2.9963219999999999E-2</v>
      </c>
      <c r="AA2198">
        <v>0.98727390000000004</v>
      </c>
      <c r="AB2198">
        <v>28</v>
      </c>
      <c r="AC2198">
        <v>-7.9792000000000103</v>
      </c>
      <c r="AD2198">
        <v>-1.1021820953129999</v>
      </c>
      <c r="AE2198">
        <v>-35.728000000000002</v>
      </c>
      <c r="AF2198">
        <v>5.7558186036582697</v>
      </c>
      <c r="AG2198">
        <v>-1.1021820953129999</v>
      </c>
      <c r="AH2198">
        <v>36.119272662183299</v>
      </c>
      <c r="AI2198">
        <v>91.726076852119107</v>
      </c>
      <c r="AJ2198">
        <v>80.945710662433399</v>
      </c>
      <c r="AK2198">
        <v>36.591612574667799</v>
      </c>
      <c r="AL2198">
        <v>86.2183525097565</v>
      </c>
      <c r="AM2198">
        <v>83.675111151438699</v>
      </c>
      <c r="AN2198">
        <v>1.00000000758332</v>
      </c>
    </row>
    <row r="2199" spans="1:40" x14ac:dyDescent="0.3">
      <c r="A2199" t="str">
        <f>"20200111145956960"</f>
        <v>20200111145956960</v>
      </c>
      <c r="B2199" t="str">
        <f>"1578725996957907"</f>
        <v>1578725996957907</v>
      </c>
      <c r="C2199" t="s">
        <v>40</v>
      </c>
      <c r="D2199">
        <v>4.6256649999999997</v>
      </c>
      <c r="E2199">
        <v>0.51913260000000006</v>
      </c>
      <c r="F2199" t="s">
        <v>52</v>
      </c>
      <c r="G2199">
        <v>-198.98220000000001</v>
      </c>
      <c r="H2199" s="1">
        <v>4.6123760000000003E-6</v>
      </c>
      <c r="I2199">
        <v>272.96730000000002</v>
      </c>
      <c r="J2199">
        <v>-191.10059999999999</v>
      </c>
      <c r="K2199">
        <v>1.101996</v>
      </c>
      <c r="L2199">
        <v>307.2398</v>
      </c>
      <c r="M2199">
        <v>-6.565464E-2</v>
      </c>
      <c r="N2199">
        <v>0</v>
      </c>
      <c r="O2199">
        <v>-0.99772950000000005</v>
      </c>
      <c r="P2199">
        <v>-0.1746943</v>
      </c>
      <c r="Q2199">
        <v>5.6390179999999998E-2</v>
      </c>
      <c r="R2199">
        <v>-0.98300670000000001</v>
      </c>
      <c r="S2199">
        <v>-0.67175289999999999</v>
      </c>
      <c r="T2199">
        <v>-9.3676919999999997E-2</v>
      </c>
      <c r="U2199">
        <v>-2.937408</v>
      </c>
      <c r="V2199">
        <v>0.1102803</v>
      </c>
      <c r="W2199">
        <v>7.0493669999999994E-2</v>
      </c>
      <c r="X2199">
        <v>0.99139739999999998</v>
      </c>
      <c r="Y2199">
        <v>0.15833469999999999</v>
      </c>
      <c r="Z2199">
        <v>3.1168990000000001E-2</v>
      </c>
      <c r="AA2199">
        <v>0.98689340000000003</v>
      </c>
      <c r="AB2199">
        <v>28</v>
      </c>
      <c r="AC2199">
        <v>-7.8816000000000104</v>
      </c>
      <c r="AD2199">
        <v>-1.101991387624</v>
      </c>
      <c r="AE2199">
        <v>-34.272499999999901</v>
      </c>
      <c r="AF2199">
        <v>5.6086813163921496</v>
      </c>
      <c r="AG2199">
        <v>-1.101991387624</v>
      </c>
      <c r="AH2199">
        <v>34.682003565760901</v>
      </c>
      <c r="AI2199">
        <v>91.796587329246094</v>
      </c>
      <c r="AJ2199">
        <v>80.813808676818198</v>
      </c>
      <c r="AK2199">
        <v>35.1498657531248</v>
      </c>
      <c r="AL2199">
        <v>85.957657337805998</v>
      </c>
      <c r="AM2199">
        <v>83.652670430357603</v>
      </c>
      <c r="AN2199">
        <v>0.99999995340245795</v>
      </c>
    </row>
    <row r="2200" spans="1:40" x14ac:dyDescent="0.3">
      <c r="A2200" t="str">
        <f>"20200111145957162"</f>
        <v>20200111145957162</v>
      </c>
      <c r="B2200" t="str">
        <f>"1578725997157989"</f>
        <v>1578725997157989</v>
      </c>
      <c r="C2200" t="s">
        <v>40</v>
      </c>
      <c r="D2200">
        <v>4.532635</v>
      </c>
      <c r="E2200">
        <v>0.62088639999999995</v>
      </c>
      <c r="F2200" t="s">
        <v>52</v>
      </c>
      <c r="G2200">
        <v>-199.74950000000001</v>
      </c>
      <c r="H2200" s="1">
        <v>5.20501E-6</v>
      </c>
      <c r="I2200">
        <v>270.08690000000001</v>
      </c>
      <c r="J2200">
        <v>-191.369</v>
      </c>
      <c r="K2200">
        <v>1.100511</v>
      </c>
      <c r="L2200">
        <v>304.71719999999999</v>
      </c>
      <c r="M2200">
        <v>-0.1133557</v>
      </c>
      <c r="N2200">
        <v>0</v>
      </c>
      <c r="O2200">
        <v>-0.99343579999999998</v>
      </c>
      <c r="P2200">
        <v>-0.22147910000000001</v>
      </c>
      <c r="Q2200">
        <v>6.146708E-2</v>
      </c>
      <c r="R2200">
        <v>-0.97322609999999998</v>
      </c>
      <c r="S2200">
        <v>-0.68333440000000001</v>
      </c>
      <c r="T2200">
        <v>-8.7066530000000003E-2</v>
      </c>
      <c r="U2200">
        <v>-2.9353940000000001</v>
      </c>
      <c r="V2200">
        <v>0.1105587</v>
      </c>
      <c r="W2200">
        <v>7.5485670000000005E-2</v>
      </c>
      <c r="X2200">
        <v>0.99099879999999996</v>
      </c>
      <c r="Y2200">
        <v>0.1147555</v>
      </c>
      <c r="Z2200">
        <v>2.8878859999999999E-2</v>
      </c>
      <c r="AA2200">
        <v>0.99297389999999996</v>
      </c>
      <c r="AB2200">
        <v>28</v>
      </c>
      <c r="AC2200">
        <v>-8.3804999999999801</v>
      </c>
      <c r="AD2200">
        <v>-1.1005057949899999</v>
      </c>
      <c r="AE2200">
        <v>-34.630299999999899</v>
      </c>
      <c r="AF2200">
        <v>4.39627155286923</v>
      </c>
      <c r="AG2200">
        <v>-1.1005057949899999</v>
      </c>
      <c r="AH2200">
        <v>35.323426937657402</v>
      </c>
      <c r="AI2200">
        <v>91.770826683472507</v>
      </c>
      <c r="AJ2200">
        <v>82.905580637774605</v>
      </c>
      <c r="AK2200">
        <v>35.612958416725199</v>
      </c>
      <c r="AL2200">
        <v>85.670871604278801</v>
      </c>
      <c r="AM2200">
        <v>83.634239606492301</v>
      </c>
      <c r="AN2200">
        <v>0.99999996706123795</v>
      </c>
    </row>
    <row r="2201" spans="1:40" x14ac:dyDescent="0.3">
      <c r="A2201" t="str">
        <f>"20200111145957184"</f>
        <v>20200111145957184</v>
      </c>
      <c r="B2201" t="str">
        <f>"1578725997178483"</f>
        <v>1578725997178483</v>
      </c>
      <c r="C2201" t="s">
        <v>40</v>
      </c>
      <c r="D2201">
        <v>4.3881730000000001</v>
      </c>
      <c r="E2201">
        <v>0.62136359999999902</v>
      </c>
      <c r="F2201" t="s">
        <v>43</v>
      </c>
      <c r="G2201">
        <v>-220.5806</v>
      </c>
      <c r="H2201">
        <v>-0.05</v>
      </c>
      <c r="I2201">
        <v>255.56960000000001</v>
      </c>
      <c r="J2201">
        <v>-191.40639999999999</v>
      </c>
      <c r="K2201">
        <v>1.1004350000000001</v>
      </c>
      <c r="L2201">
        <v>304.44889999999998</v>
      </c>
      <c r="M2201">
        <v>-0.11939619999999999</v>
      </c>
      <c r="N2201">
        <v>0</v>
      </c>
      <c r="O2201">
        <v>-0.99272769999999999</v>
      </c>
      <c r="P2201">
        <v>-0.22684170000000001</v>
      </c>
      <c r="Q2201">
        <v>6.4098719999999998E-2</v>
      </c>
      <c r="R2201">
        <v>-0.97182049999999998</v>
      </c>
      <c r="S2201">
        <v>-1.615982</v>
      </c>
      <c r="T2201">
        <v>-6.36462E-2</v>
      </c>
      <c r="U2201">
        <v>-2.718842</v>
      </c>
      <c r="V2201">
        <v>0.11006050000000001</v>
      </c>
      <c r="W2201">
        <v>7.8117649999999997E-2</v>
      </c>
      <c r="X2201">
        <v>0.99085029999999996</v>
      </c>
      <c r="Y2201">
        <v>0.40451860000000001</v>
      </c>
      <c r="Z2201">
        <v>2.048285E-2</v>
      </c>
      <c r="AA2201">
        <v>0.91430040000000001</v>
      </c>
      <c r="AB2201">
        <v>28</v>
      </c>
      <c r="AC2201">
        <v>-29.174199999999999</v>
      </c>
      <c r="AD2201">
        <v>-1.1504350000000001</v>
      </c>
      <c r="AE2201">
        <v>-48.879299999999901</v>
      </c>
      <c r="AF2201">
        <v>23.119323131095602</v>
      </c>
      <c r="AG2201">
        <v>-1.1504350000000001</v>
      </c>
      <c r="AH2201">
        <v>51.9920323854586</v>
      </c>
      <c r="AI2201">
        <v>91.158267730490806</v>
      </c>
      <c r="AJ2201">
        <v>66.026696234094501</v>
      </c>
      <c r="AK2201">
        <v>56.912195830944803</v>
      </c>
      <c r="AL2201">
        <v>85.5196236242693</v>
      </c>
      <c r="AM2201">
        <v>83.661749061133904</v>
      </c>
      <c r="AN2201">
        <v>0.99999999895593095</v>
      </c>
    </row>
    <row r="2202" spans="1:40" x14ac:dyDescent="0.3">
      <c r="A2202" t="str">
        <f>"20200111145957205"</f>
        <v>20200111145957205</v>
      </c>
      <c r="B2202" t="str">
        <f>"1578725997198003"</f>
        <v>1578725997198003</v>
      </c>
      <c r="C2202" t="s">
        <v>40</v>
      </c>
      <c r="D2202">
        <v>4.3559570000000001</v>
      </c>
      <c r="E2202">
        <v>0.62060819999999906</v>
      </c>
      <c r="F2202" t="s">
        <v>43</v>
      </c>
      <c r="G2202">
        <v>-236.9008</v>
      </c>
      <c r="H2202">
        <v>-0.05</v>
      </c>
      <c r="I2202">
        <v>229.0489</v>
      </c>
      <c r="J2202">
        <v>-191.446</v>
      </c>
      <c r="K2202">
        <v>1.1003689999999999</v>
      </c>
      <c r="L2202">
        <v>304.17790000000002</v>
      </c>
      <c r="M2202">
        <v>-0.12563730000000001</v>
      </c>
      <c r="N2202">
        <v>0</v>
      </c>
      <c r="O2202">
        <v>-0.99195670000000002</v>
      </c>
      <c r="P2202">
        <v>-0.23182939999999999</v>
      </c>
      <c r="Q2202">
        <v>6.6758399999999996E-2</v>
      </c>
      <c r="R2202">
        <v>-0.97046310000000002</v>
      </c>
      <c r="S2202">
        <v>-1.634109</v>
      </c>
      <c r="T2202">
        <v>-4.1322350000000001E-2</v>
      </c>
      <c r="U2202">
        <v>-2.7082820000000001</v>
      </c>
      <c r="V2202">
        <v>0.1089854</v>
      </c>
      <c r="W2202">
        <v>8.0783289999999994E-2</v>
      </c>
      <c r="X2202">
        <v>0.99075539999999995</v>
      </c>
      <c r="Y2202">
        <v>0.40489340000000001</v>
      </c>
      <c r="Z2202">
        <v>1.3306480000000001E-2</v>
      </c>
      <c r="AA2202">
        <v>0.9142671</v>
      </c>
      <c r="AB2202">
        <v>28</v>
      </c>
      <c r="AC2202">
        <v>-45.454799999999999</v>
      </c>
      <c r="AD2202">
        <v>-1.150369</v>
      </c>
      <c r="AE2202">
        <v>-75.129000000000005</v>
      </c>
      <c r="AF2202">
        <v>35.648298806261202</v>
      </c>
      <c r="AG2202">
        <v>-1.150369</v>
      </c>
      <c r="AH2202">
        <v>80.231279809109907</v>
      </c>
      <c r="AI2202">
        <v>90.750702834713294</v>
      </c>
      <c r="AJ2202">
        <v>66.043503170329799</v>
      </c>
      <c r="AK2202">
        <v>87.801952235837803</v>
      </c>
      <c r="AL2202">
        <v>85.366409368496406</v>
      </c>
      <c r="AM2202">
        <v>83.7225697478641</v>
      </c>
      <c r="AN2202">
        <v>1.0000000099927699</v>
      </c>
    </row>
    <row r="2203" spans="1:40" x14ac:dyDescent="0.3">
      <c r="A2203" t="str">
        <f>"20200111145957229"</f>
        <v>20200111145957229</v>
      </c>
      <c r="B2203" t="str">
        <f>"1578725997218499"</f>
        <v>1578725997218499</v>
      </c>
      <c r="C2203" t="s">
        <v>40</v>
      </c>
      <c r="D2203">
        <v>4.2624589999999998</v>
      </c>
      <c r="E2203">
        <v>0.61940620000000002</v>
      </c>
      <c r="F2203" t="s">
        <v>59</v>
      </c>
      <c r="G2203">
        <v>-232.83670000000001</v>
      </c>
      <c r="H2203">
        <v>0.46554780000000001</v>
      </c>
      <c r="I2203">
        <v>236.09989999999999</v>
      </c>
      <c r="J2203">
        <v>-191.48949999999999</v>
      </c>
      <c r="K2203">
        <v>1.100274</v>
      </c>
      <c r="L2203">
        <v>303.89339999999999</v>
      </c>
      <c r="M2203">
        <v>-0.13238720000000001</v>
      </c>
      <c r="N2203">
        <v>0</v>
      </c>
      <c r="O2203">
        <v>-0.99107829999999997</v>
      </c>
      <c r="P2203">
        <v>-0.23592340000000001</v>
      </c>
      <c r="Q2203">
        <v>6.8475969999999997E-2</v>
      </c>
      <c r="R2203">
        <v>-0.9693562</v>
      </c>
      <c r="S2203">
        <v>-1.6420439999999901</v>
      </c>
      <c r="T2203">
        <v>-2.518463E-2</v>
      </c>
      <c r="U2203">
        <v>-2.7007750000000001</v>
      </c>
      <c r="V2203">
        <v>0.1064774</v>
      </c>
      <c r="W2203">
        <v>8.2521259999999999E-2</v>
      </c>
      <c r="X2203">
        <v>0.99088480000000001</v>
      </c>
      <c r="Y2203">
        <v>0.40178219999999998</v>
      </c>
      <c r="Z2203">
        <v>8.1187229999999996E-3</v>
      </c>
      <c r="AA2203">
        <v>0.91569920000000005</v>
      </c>
      <c r="AB2203">
        <v>28</v>
      </c>
      <c r="AC2203">
        <v>-41.347200000000001</v>
      </c>
      <c r="AD2203">
        <v>-0.63472620000000002</v>
      </c>
      <c r="AE2203">
        <v>-67.793499999999995</v>
      </c>
      <c r="AF2203">
        <v>32.005076149802299</v>
      </c>
      <c r="AG2203">
        <v>-0.63472620000000002</v>
      </c>
      <c r="AH2203">
        <v>72.666491681196206</v>
      </c>
      <c r="AI2203">
        <v>90.458000636890702</v>
      </c>
      <c r="AJ2203">
        <v>66.229489166702095</v>
      </c>
      <c r="AK2203">
        <v>79.404954442131498</v>
      </c>
      <c r="AL2203">
        <v>85.266497064962806</v>
      </c>
      <c r="AM2203">
        <v>83.866708414305407</v>
      </c>
      <c r="AN2203">
        <v>0.99999994096689204</v>
      </c>
    </row>
    <row r="2204" spans="1:40" x14ac:dyDescent="0.3">
      <c r="A2204" t="str">
        <f>"20200111145957250"</f>
        <v>20200111145957250</v>
      </c>
      <c r="B2204" t="str">
        <f>"1578725997247779"</f>
        <v>1578725997247779</v>
      </c>
      <c r="C2204" t="s">
        <v>40</v>
      </c>
      <c r="D2204">
        <v>4.2164469999999996</v>
      </c>
      <c r="E2204">
        <v>0.61845969999999995</v>
      </c>
      <c r="F2204" t="s">
        <v>59</v>
      </c>
      <c r="G2204">
        <v>-232.83680000000001</v>
      </c>
      <c r="H2204">
        <v>0.84848690000000004</v>
      </c>
      <c r="I2204">
        <v>236.1112</v>
      </c>
      <c r="J2204">
        <v>-191.53139999999999</v>
      </c>
      <c r="K2204">
        <v>1.1001510000000001</v>
      </c>
      <c r="L2204">
        <v>303.63319999999999</v>
      </c>
      <c r="M2204">
        <v>-0.13878190000000001</v>
      </c>
      <c r="N2204">
        <v>0</v>
      </c>
      <c r="O2204">
        <v>-0.99020269999999999</v>
      </c>
      <c r="P2204">
        <v>-0.2393267</v>
      </c>
      <c r="Q2204">
        <v>7.0533509999999994E-2</v>
      </c>
      <c r="R2204">
        <v>-0.96837390000000001</v>
      </c>
      <c r="S2204">
        <v>-1.6441650000000001</v>
      </c>
      <c r="T2204">
        <v>-1.0012389999999999E-2</v>
      </c>
      <c r="U2204">
        <v>-2.6953429999999998</v>
      </c>
      <c r="V2204">
        <v>0.1036316</v>
      </c>
      <c r="W2204">
        <v>8.4597270000000002E-2</v>
      </c>
      <c r="X2204">
        <v>0.99101150000000005</v>
      </c>
      <c r="Y2204">
        <v>0.39722459999999998</v>
      </c>
      <c r="Z2204">
        <v>3.231711E-3</v>
      </c>
      <c r="AA2204">
        <v>0.91771570000000002</v>
      </c>
      <c r="AB2204">
        <v>27</v>
      </c>
      <c r="AC2204">
        <v>-41.305399999999999</v>
      </c>
      <c r="AD2204">
        <v>-0.2516641</v>
      </c>
      <c r="AE2204">
        <v>-67.521999999999906</v>
      </c>
      <c r="AF2204">
        <v>31.533324226349102</v>
      </c>
      <c r="AG2204">
        <v>-0.2516641</v>
      </c>
      <c r="AH2204">
        <v>72.600821955940404</v>
      </c>
      <c r="AI2204">
        <v>90.182168772194501</v>
      </c>
      <c r="AJ2204">
        <v>66.522843187006302</v>
      </c>
      <c r="AK2204">
        <v>79.153605225924096</v>
      </c>
      <c r="AL2204">
        <v>85.147133272310498</v>
      </c>
      <c r="AM2204">
        <v>84.030189305246395</v>
      </c>
      <c r="AN2204">
        <v>0.99999999987113097</v>
      </c>
    </row>
    <row r="2205" spans="1:40" x14ac:dyDescent="0.3">
      <c r="A2205" t="str">
        <f>"20200111145957273"</f>
        <v>20200111145957273</v>
      </c>
      <c r="B2205" t="str">
        <f>"1578725997268275"</f>
        <v>1578725997268275</v>
      </c>
      <c r="C2205" t="s">
        <v>40</v>
      </c>
      <c r="D2205">
        <v>4.4207140000000003</v>
      </c>
      <c r="E2205">
        <v>0.62095080000000002</v>
      </c>
      <c r="F2205" t="s">
        <v>59</v>
      </c>
      <c r="G2205">
        <v>-232.83690000000001</v>
      </c>
      <c r="H2205">
        <v>1.3241000000000001</v>
      </c>
      <c r="I2205">
        <v>236.1208</v>
      </c>
      <c r="J2205">
        <v>-191.57640000000001</v>
      </c>
      <c r="K2205">
        <v>1.0999829999999999</v>
      </c>
      <c r="L2205">
        <v>303.36559999999997</v>
      </c>
      <c r="M2205">
        <v>-0.14563180000000001</v>
      </c>
      <c r="N2205">
        <v>0</v>
      </c>
      <c r="O2205">
        <v>-0.98921820000000005</v>
      </c>
      <c r="P2205">
        <v>-0.24284410000000001</v>
      </c>
      <c r="Q2205">
        <v>7.3876109999999995E-2</v>
      </c>
      <c r="R2205">
        <v>-0.96724849999999996</v>
      </c>
      <c r="S2205">
        <v>-1.6461030000000001</v>
      </c>
      <c r="T2205">
        <v>8.9246029999999997E-3</v>
      </c>
      <c r="U2205">
        <v>-2.6904910000000002</v>
      </c>
      <c r="V2205">
        <v>0.10048749999999999</v>
      </c>
      <c r="W2205">
        <v>8.7955459999999999E-2</v>
      </c>
      <c r="X2205">
        <v>0.99104289999999995</v>
      </c>
      <c r="Y2205">
        <v>0.39208389999999999</v>
      </c>
      <c r="Z2205">
        <v>-2.8834949999999998E-3</v>
      </c>
      <c r="AA2205">
        <v>0.91992499999999999</v>
      </c>
      <c r="AB2205">
        <v>27</v>
      </c>
      <c r="AC2205">
        <v>-41.2605</v>
      </c>
      <c r="AD2205">
        <v>0.22411700000000001</v>
      </c>
      <c r="AE2205">
        <v>-67.244799999999898</v>
      </c>
      <c r="AF2205">
        <v>31.026109611377599</v>
      </c>
      <c r="AG2205">
        <v>0.22411700000000001</v>
      </c>
      <c r="AH2205">
        <v>72.536694534762006</v>
      </c>
      <c r="AI2205">
        <v>89.837237335654194</v>
      </c>
      <c r="AJ2205">
        <v>66.842158460737807</v>
      </c>
      <c r="AK2205">
        <v>78.893863893691204</v>
      </c>
      <c r="AL2205">
        <v>84.954002753339793</v>
      </c>
      <c r="AM2205">
        <v>84.210241238906306</v>
      </c>
      <c r="AN2205">
        <v>0.99999996512023503</v>
      </c>
    </row>
    <row r="2206" spans="1:40" x14ac:dyDescent="0.3">
      <c r="A2206" t="str">
        <f>"20200111145957296"</f>
        <v>20200111145957296</v>
      </c>
      <c r="B2206" t="str">
        <f>"1578725997287796"</f>
        <v>1578725997287796</v>
      </c>
      <c r="C2206" t="s">
        <v>40</v>
      </c>
      <c r="D2206">
        <v>4.2090529999999999</v>
      </c>
      <c r="E2206">
        <v>0.62054679999999995</v>
      </c>
      <c r="F2206" t="s">
        <v>59</v>
      </c>
      <c r="G2206">
        <v>-233.15029999999999</v>
      </c>
      <c r="H2206">
        <v>1.1776869999999999</v>
      </c>
      <c r="I2206">
        <v>236.88059999999999</v>
      </c>
      <c r="J2206">
        <v>-191.6259</v>
      </c>
      <c r="K2206">
        <v>1.0997650000000001</v>
      </c>
      <c r="L2206">
        <v>303.08640000000003</v>
      </c>
      <c r="M2206">
        <v>-0.153111</v>
      </c>
      <c r="N2206">
        <v>0</v>
      </c>
      <c r="O2206">
        <v>-0.98808770000000001</v>
      </c>
      <c r="P2206">
        <v>-0.2485687</v>
      </c>
      <c r="Q2206">
        <v>7.8356410000000001E-2</v>
      </c>
      <c r="R2206">
        <v>-0.96543999999999996</v>
      </c>
      <c r="S2206">
        <v>-1.6761779999999999</v>
      </c>
      <c r="T2206">
        <v>3.1327009999999999E-3</v>
      </c>
      <c r="U2206">
        <v>-2.680542</v>
      </c>
      <c r="V2206">
        <v>9.9022579999999999E-2</v>
      </c>
      <c r="W2206">
        <v>9.2422309999999994E-2</v>
      </c>
      <c r="X2206">
        <v>0.99078390000000005</v>
      </c>
      <c r="Y2206">
        <v>0.39410149999999999</v>
      </c>
      <c r="Z2206">
        <v>-1.010375E-3</v>
      </c>
      <c r="AA2206">
        <v>0.91906639999999995</v>
      </c>
      <c r="AB2206">
        <v>27</v>
      </c>
      <c r="AC2206">
        <v>-41.524399999999901</v>
      </c>
      <c r="AD2206">
        <v>7.7922000000000199E-2</v>
      </c>
      <c r="AE2206">
        <v>-66.205799999999996</v>
      </c>
      <c r="AF2206">
        <v>30.896585401460399</v>
      </c>
      <c r="AG2206">
        <v>7.7922000000000199E-2</v>
      </c>
      <c r="AH2206">
        <v>71.783512145005901</v>
      </c>
      <c r="AI2206">
        <v>89.942871627594201</v>
      </c>
      <c r="AJ2206">
        <v>66.712308337230098</v>
      </c>
      <c r="AK2206">
        <v>78.150353020188106</v>
      </c>
      <c r="AL2206">
        <v>84.697024027222895</v>
      </c>
      <c r="AM2206">
        <v>84.292602347344101</v>
      </c>
      <c r="AN2206">
        <v>1.0000000456174001</v>
      </c>
    </row>
    <row r="2207" spans="1:40" x14ac:dyDescent="0.3">
      <c r="A2207" t="str">
        <f>"20200111145957318"</f>
        <v>20200111145957318</v>
      </c>
      <c r="B2207" t="str">
        <f>"1578725997308294"</f>
        <v>1578725997308294</v>
      </c>
      <c r="C2207" t="s">
        <v>40</v>
      </c>
      <c r="D2207">
        <v>4.3376780000000004</v>
      </c>
      <c r="E2207">
        <v>0.62105250000000001</v>
      </c>
      <c r="F2207" t="s">
        <v>59</v>
      </c>
      <c r="G2207">
        <v>-233.15049999999999</v>
      </c>
      <c r="H2207">
        <v>1.536629</v>
      </c>
      <c r="I2207">
        <v>237.40639999999999</v>
      </c>
      <c r="J2207">
        <v>-191.67679999999999</v>
      </c>
      <c r="K2207">
        <v>1.0995220000000001</v>
      </c>
      <c r="L2207">
        <v>302.81299999999999</v>
      </c>
      <c r="M2207">
        <v>-0.16079299999999999</v>
      </c>
      <c r="N2207">
        <v>0</v>
      </c>
      <c r="O2207">
        <v>-0.98686620000000003</v>
      </c>
      <c r="P2207">
        <v>-0.25575720000000002</v>
      </c>
      <c r="Q2207">
        <v>8.0732310000000002E-2</v>
      </c>
      <c r="R2207">
        <v>-0.96336440000000001</v>
      </c>
      <c r="S2207">
        <v>-1.688766</v>
      </c>
      <c r="T2207">
        <v>1.7766710000000002E-2</v>
      </c>
      <c r="U2207">
        <v>-2.6711429999999998</v>
      </c>
      <c r="V2207">
        <v>9.8821530000000005E-2</v>
      </c>
      <c r="W2207">
        <v>9.476946E-2</v>
      </c>
      <c r="X2207">
        <v>0.99058219999999997</v>
      </c>
      <c r="Y2207">
        <v>0.39149489999999998</v>
      </c>
      <c r="Z2207">
        <v>-5.7330740000000003E-3</v>
      </c>
      <c r="AA2207">
        <v>0.92016240000000005</v>
      </c>
      <c r="AB2207">
        <v>27</v>
      </c>
      <c r="AC2207">
        <v>-41.473700000000001</v>
      </c>
      <c r="AD2207">
        <v>0.43710700000000002</v>
      </c>
      <c r="AE2207">
        <v>-65.406599999999997</v>
      </c>
      <c r="AF2207">
        <v>30.414761429895002</v>
      </c>
      <c r="AG2207">
        <v>0.43710700000000002</v>
      </c>
      <c r="AH2207">
        <v>71.222547663019895</v>
      </c>
      <c r="AI2207">
        <v>89.676620052085198</v>
      </c>
      <c r="AJ2207">
        <v>66.875657920063105</v>
      </c>
      <c r="AK2207">
        <v>77.446110754369201</v>
      </c>
      <c r="AL2207">
        <v>84.561949131970295</v>
      </c>
      <c r="AM2207">
        <v>84.302961905975195</v>
      </c>
      <c r="AN2207">
        <v>1.00000002014853</v>
      </c>
    </row>
    <row r="2208" spans="1:40" x14ac:dyDescent="0.3">
      <c r="A2208" t="str">
        <f>"20200111145957339"</f>
        <v>20200111145957339</v>
      </c>
      <c r="B2208" t="str">
        <f>"1578725997327817"</f>
        <v>1578725997327817</v>
      </c>
      <c r="C2208" t="s">
        <v>40</v>
      </c>
      <c r="D2208">
        <v>4.2098559999999896</v>
      </c>
      <c r="E2208">
        <v>0.62212900000000004</v>
      </c>
      <c r="F2208" t="s">
        <v>59</v>
      </c>
      <c r="G2208">
        <v>-233.1506</v>
      </c>
      <c r="H2208">
        <v>2.038503</v>
      </c>
      <c r="I2208">
        <v>238.4271</v>
      </c>
      <c r="J2208">
        <v>-191.7276</v>
      </c>
      <c r="K2208">
        <v>1.0992820000000001</v>
      </c>
      <c r="L2208">
        <v>302.55360000000002</v>
      </c>
      <c r="M2208">
        <v>-0.16842739999999901</v>
      </c>
      <c r="N2208">
        <v>0</v>
      </c>
      <c r="O2208">
        <v>-0.98559140000000001</v>
      </c>
      <c r="P2208">
        <v>-0.2644339</v>
      </c>
      <c r="Q2208">
        <v>8.059558E-2</v>
      </c>
      <c r="R2208">
        <v>-0.96103019999999995</v>
      </c>
      <c r="S2208">
        <v>-1.7112270000000001</v>
      </c>
      <c r="T2208">
        <v>3.8742539999999999E-2</v>
      </c>
      <c r="U2208">
        <v>-2.6565859999999999</v>
      </c>
      <c r="V2208">
        <v>0.1001411</v>
      </c>
      <c r="W2208">
        <v>9.4587169999999998E-2</v>
      </c>
      <c r="X2208">
        <v>0.99046710000000004</v>
      </c>
      <c r="Y2208">
        <v>0.39213160000000002</v>
      </c>
      <c r="Z2208">
        <v>-1.250592E-2</v>
      </c>
      <c r="AA2208">
        <v>0.91982410000000003</v>
      </c>
      <c r="AB2208">
        <v>27</v>
      </c>
      <c r="AC2208">
        <v>-41.423000000000002</v>
      </c>
      <c r="AD2208">
        <v>0.93922099999999997</v>
      </c>
      <c r="AE2208">
        <v>-64.126499999999993</v>
      </c>
      <c r="AF2208">
        <v>30.024579169339798</v>
      </c>
      <c r="AG2208">
        <v>0.93922099999999997</v>
      </c>
      <c r="AH2208">
        <v>70.177159427120003</v>
      </c>
      <c r="AI2208">
        <v>89.295028190236394</v>
      </c>
      <c r="AJ2208">
        <v>66.836835239594905</v>
      </c>
      <c r="AK2208">
        <v>76.3360412625794</v>
      </c>
      <c r="AL2208">
        <v>84.572440731631701</v>
      </c>
      <c r="AM2208">
        <v>84.226733118600507</v>
      </c>
      <c r="AN2208">
        <v>1.0000000244101099</v>
      </c>
    </row>
    <row r="2209" spans="1:40" x14ac:dyDescent="0.3">
      <c r="A2209" t="str">
        <f>"20200111145957362"</f>
        <v>20200111145957362</v>
      </c>
      <c r="B2209" t="str">
        <f>"1578725997358072"</f>
        <v>1578725997358072</v>
      </c>
      <c r="C2209" t="s">
        <v>40</v>
      </c>
      <c r="D2209">
        <v>4.1553079999999998</v>
      </c>
      <c r="E2209">
        <v>0.62305669999999902</v>
      </c>
      <c r="F2209" t="s">
        <v>59</v>
      </c>
      <c r="G2209">
        <v>-232.83709999999999</v>
      </c>
      <c r="H2209">
        <v>1.822117</v>
      </c>
      <c r="I2209">
        <v>240.33170000000001</v>
      </c>
      <c r="J2209">
        <v>-191.78290000000001</v>
      </c>
      <c r="K2209">
        <v>1.0990359999999999</v>
      </c>
      <c r="L2209">
        <v>302.2851</v>
      </c>
      <c r="M2209">
        <v>-0.17669370000000001</v>
      </c>
      <c r="N2209">
        <v>0</v>
      </c>
      <c r="O2209">
        <v>-0.98414250000000003</v>
      </c>
      <c r="P2209">
        <v>-0.27315640000000002</v>
      </c>
      <c r="Q2209">
        <v>8.0188060000000005E-2</v>
      </c>
      <c r="R2209">
        <v>-0.95862190000000003</v>
      </c>
      <c r="S2209">
        <v>-1.7437739999999999</v>
      </c>
      <c r="T2209">
        <v>3.066087E-2</v>
      </c>
      <c r="U2209">
        <v>-2.639313</v>
      </c>
      <c r="V2209">
        <v>0.1008732</v>
      </c>
      <c r="W2209">
        <v>9.4147590000000003E-2</v>
      </c>
      <c r="X2209">
        <v>0.99043460000000005</v>
      </c>
      <c r="Y2209">
        <v>0.39510089999999998</v>
      </c>
      <c r="Z2209">
        <v>-9.8922899999999998E-3</v>
      </c>
      <c r="AA2209">
        <v>0.91858450000000003</v>
      </c>
      <c r="AB2209">
        <v>27</v>
      </c>
      <c r="AC2209">
        <v>-41.054199999999902</v>
      </c>
      <c r="AD2209">
        <v>0.72308099999999897</v>
      </c>
      <c r="AE2209">
        <v>-61.953399999999903</v>
      </c>
      <c r="AF2209">
        <v>29.4571970427439</v>
      </c>
      <c r="AG2209">
        <v>0.72308099999999897</v>
      </c>
      <c r="AH2209">
        <v>68.226821029357396</v>
      </c>
      <c r="AI2209">
        <v>89.442527975645703</v>
      </c>
      <c r="AJ2209">
        <v>66.647538759506403</v>
      </c>
      <c r="AK2209">
        <v>74.317887560933499</v>
      </c>
      <c r="AL2209">
        <v>84.597739218426597</v>
      </c>
      <c r="AM2209">
        <v>84.184625287367098</v>
      </c>
      <c r="AN2209">
        <v>0.99999993402910103</v>
      </c>
    </row>
    <row r="2210" spans="1:40" x14ac:dyDescent="0.3">
      <c r="A2210" t="str">
        <f>"20200111145957386"</f>
        <v>20200111145957386</v>
      </c>
      <c r="B2210" t="str">
        <f>"1578725997378564"</f>
        <v>1578725997378564</v>
      </c>
      <c r="C2210" t="s">
        <v>40</v>
      </c>
      <c r="D2210">
        <v>4.3878629999999896</v>
      </c>
      <c r="E2210">
        <v>0.62420069999999905</v>
      </c>
      <c r="F2210" t="s">
        <v>59</v>
      </c>
      <c r="G2210">
        <v>-233.1506</v>
      </c>
      <c r="H2210">
        <v>1.8765989999999999</v>
      </c>
      <c r="I2210">
        <v>241.18770000000001</v>
      </c>
      <c r="J2210">
        <v>-191.84460000000001</v>
      </c>
      <c r="K2210">
        <v>1.098808</v>
      </c>
      <c r="L2210">
        <v>302.00040000000001</v>
      </c>
      <c r="M2210">
        <v>-0.18582770000000001</v>
      </c>
      <c r="N2210">
        <v>0</v>
      </c>
      <c r="O2210">
        <v>-0.9824581</v>
      </c>
      <c r="P2210">
        <v>-0.28283760000000002</v>
      </c>
      <c r="Q2210">
        <v>7.9255510000000001E-2</v>
      </c>
      <c r="R2210">
        <v>-0.95588790000000001</v>
      </c>
      <c r="S2210">
        <v>-1.774643</v>
      </c>
      <c r="T2210">
        <v>3.3356669999999998E-2</v>
      </c>
      <c r="U2210">
        <v>-2.6210330000000002</v>
      </c>
      <c r="V2210">
        <v>0.1017137</v>
      </c>
      <c r="W2210">
        <v>9.3187190000000003E-2</v>
      </c>
      <c r="X2210">
        <v>0.99043950000000003</v>
      </c>
      <c r="Y2210">
        <v>0.39696039999999999</v>
      </c>
      <c r="Z2210">
        <v>-1.075942E-2</v>
      </c>
      <c r="AA2210">
        <v>0.9177727</v>
      </c>
      <c r="AB2210">
        <v>27</v>
      </c>
      <c r="AC2210">
        <v>-41.305999999999898</v>
      </c>
      <c r="AD2210">
        <v>0.77779100000000001</v>
      </c>
      <c r="AE2210">
        <v>-60.8127</v>
      </c>
      <c r="AF2210">
        <v>29.2810274884772</v>
      </c>
      <c r="AG2210">
        <v>0.77779100000000001</v>
      </c>
      <c r="AH2210">
        <v>67.422413424279696</v>
      </c>
      <c r="AI2210">
        <v>89.393758855246801</v>
      </c>
      <c r="AJ2210">
        <v>66.525070311824294</v>
      </c>
      <c r="AK2210">
        <v>73.510307859341296</v>
      </c>
      <c r="AL2210">
        <v>84.653009254630902</v>
      </c>
      <c r="AM2210">
        <v>84.136535202834494</v>
      </c>
      <c r="AN2210">
        <v>0.99999996615401698</v>
      </c>
    </row>
    <row r="2211" spans="1:40" x14ac:dyDescent="0.3">
      <c r="A2211" t="str">
        <f>"20200111145957406"</f>
        <v>20200111145957406</v>
      </c>
      <c r="B2211" t="str">
        <f>"1578725997398083"</f>
        <v>1578725997398083</v>
      </c>
      <c r="C2211" t="s">
        <v>40</v>
      </c>
      <c r="D2211">
        <v>4.3846030000000003</v>
      </c>
      <c r="E2211">
        <v>0.62539330000000004</v>
      </c>
      <c r="F2211" t="s">
        <v>59</v>
      </c>
      <c r="G2211">
        <v>-233.15049999999999</v>
      </c>
      <c r="H2211">
        <v>1.686032</v>
      </c>
      <c r="I2211">
        <v>242.64179999999999</v>
      </c>
      <c r="J2211">
        <v>-191.90170000000001</v>
      </c>
      <c r="K2211">
        <v>1.0986389999999999</v>
      </c>
      <c r="L2211">
        <v>301.74849999999998</v>
      </c>
      <c r="M2211">
        <v>-0.19414529999999999</v>
      </c>
      <c r="N2211">
        <v>0</v>
      </c>
      <c r="O2211">
        <v>-0.98084780000000005</v>
      </c>
      <c r="P2211">
        <v>-0.29144029999999999</v>
      </c>
      <c r="Q2211">
        <v>7.8369800000000003E-2</v>
      </c>
      <c r="R2211">
        <v>-0.95337380000000005</v>
      </c>
      <c r="S2211">
        <v>-1.8098449999999999</v>
      </c>
      <c r="T2211">
        <v>2.5729419999999999E-2</v>
      </c>
      <c r="U2211">
        <v>-2.6008300000000002</v>
      </c>
      <c r="V2211">
        <v>0.10225620000000001</v>
      </c>
      <c r="W2211">
        <v>9.2287010000000003E-2</v>
      </c>
      <c r="X2211">
        <v>0.99046800000000002</v>
      </c>
      <c r="Y2211">
        <v>0.40091759999999999</v>
      </c>
      <c r="Z2211">
        <v>-8.2952849999999995E-3</v>
      </c>
      <c r="AA2211">
        <v>0.91607649999999996</v>
      </c>
      <c r="AB2211">
        <v>27</v>
      </c>
      <c r="AC2211">
        <v>-41.248799999999903</v>
      </c>
      <c r="AD2211">
        <v>0.58739300000000005</v>
      </c>
      <c r="AE2211">
        <v>-59.106699999999897</v>
      </c>
      <c r="AF2211">
        <v>28.9851356494048</v>
      </c>
      <c r="AG2211">
        <v>0.58739300000000005</v>
      </c>
      <c r="AH2211">
        <v>65.986645659423203</v>
      </c>
      <c r="AI2211">
        <v>89.533044910731704</v>
      </c>
      <c r="AJ2211">
        <v>66.286152278558703</v>
      </c>
      <c r="AK2211">
        <v>72.074409637076599</v>
      </c>
      <c r="AL2211">
        <v>84.704809393861794</v>
      </c>
      <c r="AM2211">
        <v>84.105649875727394</v>
      </c>
      <c r="AN2211">
        <v>1.0000000408385801</v>
      </c>
    </row>
    <row r="2212" spans="1:40" x14ac:dyDescent="0.3">
      <c r="A2212" t="str">
        <f>"20200111145957431"</f>
        <v>20200111145957431</v>
      </c>
      <c r="B2212" t="str">
        <f>"1578725997428339"</f>
        <v>1578725997428339</v>
      </c>
      <c r="C2212" t="s">
        <v>40</v>
      </c>
      <c r="D2212">
        <v>4.5659340000000004</v>
      </c>
      <c r="E2212">
        <v>0.626498</v>
      </c>
      <c r="F2212" t="s">
        <v>59</v>
      </c>
      <c r="G2212">
        <v>-232.83690000000001</v>
      </c>
      <c r="H2212">
        <v>1.361192</v>
      </c>
      <c r="I2212">
        <v>244.3828</v>
      </c>
      <c r="J2212">
        <v>-191.96809999999999</v>
      </c>
      <c r="K2212">
        <v>1.098481</v>
      </c>
      <c r="L2212">
        <v>301.46859999999998</v>
      </c>
      <c r="M2212">
        <v>-0.20363129999999999</v>
      </c>
      <c r="N2212">
        <v>0</v>
      </c>
      <c r="O2212">
        <v>-0.97892190000000001</v>
      </c>
      <c r="P2212">
        <v>-0.30125750000000001</v>
      </c>
      <c r="Q2212">
        <v>7.6776999999999998E-2</v>
      </c>
      <c r="R2212">
        <v>-0.95044709999999999</v>
      </c>
      <c r="S2212">
        <v>-1.8427579999999999</v>
      </c>
      <c r="T2212">
        <v>1.181901E-2</v>
      </c>
      <c r="U2212">
        <v>-2.5823969999999998</v>
      </c>
      <c r="V2212">
        <v>0.102864</v>
      </c>
      <c r="W2212">
        <v>9.0682520000000003E-2</v>
      </c>
      <c r="X2212">
        <v>0.99055320000000002</v>
      </c>
      <c r="Y2212">
        <v>0.40290550000000003</v>
      </c>
      <c r="Z2212">
        <v>-3.8070040000000001E-3</v>
      </c>
      <c r="AA2212">
        <v>0.91523370000000004</v>
      </c>
      <c r="AB2212">
        <v>27</v>
      </c>
      <c r="AC2212">
        <v>-40.8688</v>
      </c>
      <c r="AD2212">
        <v>0.26271099999999897</v>
      </c>
      <c r="AE2212">
        <v>-57.0857999999999</v>
      </c>
      <c r="AF2212">
        <v>28.386004902903299</v>
      </c>
      <c r="AG2212">
        <v>0.26271099999999897</v>
      </c>
      <c r="AH2212">
        <v>64.211712868388702</v>
      </c>
      <c r="AI2212">
        <v>89.785600658211493</v>
      </c>
      <c r="AJ2212">
        <v>66.151266218083094</v>
      </c>
      <c r="AK2212">
        <v>70.206683164137402</v>
      </c>
      <c r="AL2212">
        <v>84.797126734730298</v>
      </c>
      <c r="AM2212">
        <v>84.071369690391194</v>
      </c>
      <c r="AN2212">
        <v>0.99999998197989504</v>
      </c>
    </row>
    <row r="2213" spans="1:40" x14ac:dyDescent="0.3">
      <c r="A2213" t="str">
        <f>"20200111145957450"</f>
        <v>20200111145957450</v>
      </c>
      <c r="B2213" t="str">
        <f>"1578725997447859"</f>
        <v>1578725997447859</v>
      </c>
      <c r="C2213" t="s">
        <v>40</v>
      </c>
      <c r="D2213">
        <v>4.4280419999999996</v>
      </c>
      <c r="E2213">
        <v>0.6272953</v>
      </c>
      <c r="F2213" t="s">
        <v>59</v>
      </c>
      <c r="G2213">
        <v>-233.15029999999999</v>
      </c>
      <c r="H2213">
        <v>1.100176</v>
      </c>
      <c r="I2213">
        <v>245.32509999999999</v>
      </c>
      <c r="J2213">
        <v>-192.0273</v>
      </c>
      <c r="K2213">
        <v>1.0983639999999999</v>
      </c>
      <c r="L2213">
        <v>301.2294</v>
      </c>
      <c r="M2213">
        <v>-0.21192179999999999</v>
      </c>
      <c r="N2213">
        <v>0</v>
      </c>
      <c r="O2213">
        <v>-0.97716020000000003</v>
      </c>
      <c r="P2213">
        <v>-0.31013649999999998</v>
      </c>
      <c r="Q2213">
        <v>7.417456E-2</v>
      </c>
      <c r="R2213">
        <v>-0.94779420000000003</v>
      </c>
      <c r="S2213">
        <v>-1.8785400000000001</v>
      </c>
      <c r="T2213" s="1">
        <v>7.7128409999999999E-5</v>
      </c>
      <c r="U2213">
        <v>-2.5610050000000002</v>
      </c>
      <c r="V2213">
        <v>0.1036723</v>
      </c>
      <c r="W2213">
        <v>8.8068030000000005E-2</v>
      </c>
      <c r="X2213">
        <v>0.99070480000000005</v>
      </c>
      <c r="Y2213">
        <v>0.40712150000000003</v>
      </c>
      <c r="Z2213" s="1">
        <v>-2.4827380000000001E-5</v>
      </c>
      <c r="AA2213">
        <v>0.91337400000000002</v>
      </c>
      <c r="AB2213">
        <v>27</v>
      </c>
      <c r="AC2213">
        <v>-41.122999999999898</v>
      </c>
      <c r="AD2213">
        <v>1.8120000000001401E-3</v>
      </c>
      <c r="AE2213">
        <v>-55.904299999999999</v>
      </c>
      <c r="AF2213">
        <v>28.339920533148099</v>
      </c>
      <c r="AG2213">
        <v>1.8120000000001401E-3</v>
      </c>
      <c r="AH2213">
        <v>63.3501443178953</v>
      </c>
      <c r="AI2213">
        <v>89.998504040218293</v>
      </c>
      <c r="AJ2213">
        <v>65.898468995648699</v>
      </c>
      <c r="AK2213">
        <v>69.400229712924201</v>
      </c>
      <c r="AL2213">
        <v>84.947527826208599</v>
      </c>
      <c r="AM2213">
        <v>84.026026207565394</v>
      </c>
      <c r="AN2213">
        <v>0.99999996221920395</v>
      </c>
    </row>
    <row r="2214" spans="1:40" x14ac:dyDescent="0.3">
      <c r="A2214" t="str">
        <f>"20200111145957474"</f>
        <v>20200111145957474</v>
      </c>
      <c r="B2214" t="str">
        <f>"1578725997468355"</f>
        <v>1578725997468355</v>
      </c>
      <c r="C2214" t="s">
        <v>40</v>
      </c>
      <c r="D2214">
        <v>4.1717599999999999</v>
      </c>
      <c r="E2214">
        <v>0.62742819999999899</v>
      </c>
      <c r="F2214" t="s">
        <v>59</v>
      </c>
      <c r="G2214">
        <v>-233.15020000000001</v>
      </c>
      <c r="H2214">
        <v>0.788742099999999</v>
      </c>
      <c r="I2214">
        <v>246.47380000000001</v>
      </c>
      <c r="J2214">
        <v>-192.0967</v>
      </c>
      <c r="K2214">
        <v>1.098255</v>
      </c>
      <c r="L2214">
        <v>300.95979999999997</v>
      </c>
      <c r="M2214">
        <v>-0.22145129999999999</v>
      </c>
      <c r="N2214">
        <v>0</v>
      </c>
      <c r="O2214">
        <v>-0.97504440000000003</v>
      </c>
      <c r="P2214">
        <v>-0.3202836</v>
      </c>
      <c r="Q2214">
        <v>7.1925089999999997E-2</v>
      </c>
      <c r="R2214">
        <v>-0.94458759999999997</v>
      </c>
      <c r="S2214">
        <v>-1.90892</v>
      </c>
      <c r="T2214">
        <v>-1.437283E-2</v>
      </c>
      <c r="U2214">
        <v>-2.5417480000000001</v>
      </c>
      <c r="V2214">
        <v>0.10457370000000001</v>
      </c>
      <c r="W2214">
        <v>8.5803080000000004E-2</v>
      </c>
      <c r="X2214">
        <v>0.99080880000000005</v>
      </c>
      <c r="Y2214">
        <v>0.40850910000000001</v>
      </c>
      <c r="Z2214">
        <v>4.6230709999999899E-3</v>
      </c>
      <c r="AA2214">
        <v>0.91274259999999996</v>
      </c>
      <c r="AB2214">
        <v>27</v>
      </c>
      <c r="AC2214">
        <v>-41.0535</v>
      </c>
      <c r="AD2214">
        <v>-0.30951289999999998</v>
      </c>
      <c r="AE2214">
        <v>-54.485999999999898</v>
      </c>
      <c r="AF2214">
        <v>27.965878522125401</v>
      </c>
      <c r="AG2214">
        <v>-0.30951289999999998</v>
      </c>
      <c r="AH2214">
        <v>62.224047651857397</v>
      </c>
      <c r="AI2214">
        <v>90.259949409386095</v>
      </c>
      <c r="AJ2214">
        <v>65.799017370761106</v>
      </c>
      <c r="AK2214">
        <v>68.220365477840801</v>
      </c>
      <c r="AL2214">
        <v>85.077793081214196</v>
      </c>
      <c r="AM2214">
        <v>83.975092591219493</v>
      </c>
      <c r="AN2214">
        <v>0.99999995271330699</v>
      </c>
    </row>
    <row r="2215" spans="1:40" x14ac:dyDescent="0.3">
      <c r="A2215" t="str">
        <f>"20200111145957496"</f>
        <v>20200111145957496</v>
      </c>
      <c r="B2215" t="str">
        <f>"1578725997487875"</f>
        <v>1578725997487875</v>
      </c>
      <c r="C2215" t="s">
        <v>40</v>
      </c>
      <c r="D2215">
        <v>4.4436030000000004</v>
      </c>
      <c r="E2215">
        <v>0.62794130000000004</v>
      </c>
      <c r="F2215" t="s">
        <v>59</v>
      </c>
      <c r="G2215">
        <v>-232.83670000000001</v>
      </c>
      <c r="H2215">
        <v>0.68136600000000003</v>
      </c>
      <c r="I2215">
        <v>247.95750000000001</v>
      </c>
      <c r="J2215">
        <v>-192.1694</v>
      </c>
      <c r="K2215">
        <v>1.0981540000000001</v>
      </c>
      <c r="L2215">
        <v>300.68950000000001</v>
      </c>
      <c r="M2215">
        <v>-0.23119329999999999</v>
      </c>
      <c r="N2215">
        <v>0</v>
      </c>
      <c r="O2215">
        <v>-0.97278019999999998</v>
      </c>
      <c r="P2215">
        <v>-0.33120739999999999</v>
      </c>
      <c r="Q2215">
        <v>6.955095E-2</v>
      </c>
      <c r="R2215">
        <v>-0.94099109999999997</v>
      </c>
      <c r="S2215">
        <v>-1.937424</v>
      </c>
      <c r="T2215">
        <v>-1.9825700000000002E-2</v>
      </c>
      <c r="U2215">
        <v>-2.5205690000000001</v>
      </c>
      <c r="V2215">
        <v>0.1060864</v>
      </c>
      <c r="W2215">
        <v>8.3401790000000003E-2</v>
      </c>
      <c r="X2215">
        <v>0.99085310000000004</v>
      </c>
      <c r="Y2215">
        <v>0.40956809999999899</v>
      </c>
      <c r="Z2215">
        <v>6.3759209999999997E-3</v>
      </c>
      <c r="AA2215">
        <v>0.91225730000000005</v>
      </c>
      <c r="AB2215">
        <v>27</v>
      </c>
      <c r="AC2215">
        <v>-40.667299999999997</v>
      </c>
      <c r="AD2215">
        <v>-0.41678799999999999</v>
      </c>
      <c r="AE2215">
        <v>-52.731999999999999</v>
      </c>
      <c r="AF2215">
        <v>27.371385969892</v>
      </c>
      <c r="AG2215">
        <v>-0.41678799999999999</v>
      </c>
      <c r="AH2215">
        <v>60.703813218913197</v>
      </c>
      <c r="AI2215">
        <v>90.358613956600806</v>
      </c>
      <c r="AJ2215">
        <v>65.729357931627206</v>
      </c>
      <c r="AK2215">
        <v>66.590685696022504</v>
      </c>
      <c r="AL2215">
        <v>85.2158722896189</v>
      </c>
      <c r="AM2215">
        <v>83.888865974714705</v>
      </c>
      <c r="AN2215">
        <v>1.0000000243098801</v>
      </c>
    </row>
    <row r="2216" spans="1:40" x14ac:dyDescent="0.3">
      <c r="A2216" t="str">
        <f>"20200111145957519"</f>
        <v>20200111145957519</v>
      </c>
      <c r="B2216" t="str">
        <f>"1578725997508374"</f>
        <v>1578725997508374</v>
      </c>
      <c r="C2216" t="s">
        <v>40</v>
      </c>
      <c r="D2216">
        <v>4.343915</v>
      </c>
      <c r="E2216">
        <v>0.62780570000000002</v>
      </c>
      <c r="F2216" t="s">
        <v>59</v>
      </c>
      <c r="G2216">
        <v>-232.8366</v>
      </c>
      <c r="H2216">
        <v>0.41007519999999997</v>
      </c>
      <c r="I2216">
        <v>249.15940000000001</v>
      </c>
      <c r="J2216">
        <v>-192.2423</v>
      </c>
      <c r="K2216">
        <v>1.0980589999999999</v>
      </c>
      <c r="L2216">
        <v>300.42930000000001</v>
      </c>
      <c r="M2216">
        <v>-0.24074519999999999</v>
      </c>
      <c r="N2216">
        <v>0</v>
      </c>
      <c r="O2216">
        <v>-0.97045999999999999</v>
      </c>
      <c r="P2216">
        <v>-0.342779099999999</v>
      </c>
      <c r="Q2216">
        <v>6.894256E-2</v>
      </c>
      <c r="R2216">
        <v>-0.93688309999999997</v>
      </c>
      <c r="S2216">
        <v>-1.9705809999999999</v>
      </c>
      <c r="T2216">
        <v>-3.334177E-2</v>
      </c>
      <c r="U2216">
        <v>-2.4969480000000002</v>
      </c>
      <c r="V2216">
        <v>0.1085597</v>
      </c>
      <c r="W2216">
        <v>8.2743659999999997E-2</v>
      </c>
      <c r="X2216">
        <v>0.99064030000000003</v>
      </c>
      <c r="Y2216">
        <v>0.41224250000000001</v>
      </c>
      <c r="Z2216">
        <v>1.071745E-2</v>
      </c>
      <c r="AA2216">
        <v>0.91101120000000002</v>
      </c>
      <c r="AB2216">
        <v>27</v>
      </c>
      <c r="AC2216">
        <v>-40.594299999999997</v>
      </c>
      <c r="AD2216">
        <v>-0.68798380000000003</v>
      </c>
      <c r="AE2216">
        <v>-51.2699</v>
      </c>
      <c r="AF2216">
        <v>27.052538359839499</v>
      </c>
      <c r="AG2216">
        <v>-0.68798380000000003</v>
      </c>
      <c r="AH2216">
        <v>59.529098099243903</v>
      </c>
      <c r="AI2216">
        <v>90.602821389983006</v>
      </c>
      <c r="AJ2216">
        <v>65.560945202455599</v>
      </c>
      <c r="AK2216">
        <v>65.391334853549594</v>
      </c>
      <c r="AL2216">
        <v>85.253710858935094</v>
      </c>
      <c r="AM2216">
        <v>83.746174173199094</v>
      </c>
      <c r="AN2216">
        <v>0.99999996285918702</v>
      </c>
    </row>
    <row r="2217" spans="1:40" x14ac:dyDescent="0.3">
      <c r="A2217" t="str">
        <f>"20200111145957542"</f>
        <v>20200111145957542</v>
      </c>
      <c r="B2217" t="str">
        <f>"1578725997538627"</f>
        <v>1578725997538627</v>
      </c>
      <c r="C2217" t="s">
        <v>40</v>
      </c>
      <c r="D2217">
        <v>4.2436800000000003</v>
      </c>
      <c r="E2217">
        <v>0.62752079999999999</v>
      </c>
      <c r="F2217" t="s">
        <v>59</v>
      </c>
      <c r="G2217">
        <v>-233.70570000000001</v>
      </c>
      <c r="H2217">
        <v>0.48974129999999999</v>
      </c>
      <c r="I2217">
        <v>249.1627</v>
      </c>
      <c r="J2217">
        <v>-192.3192</v>
      </c>
      <c r="K2217">
        <v>1.09797099999999</v>
      </c>
      <c r="L2217">
        <v>300.16559999999998</v>
      </c>
      <c r="M2217">
        <v>-0.25060670000000002</v>
      </c>
      <c r="N2217">
        <v>0</v>
      </c>
      <c r="O2217">
        <v>-0.96795969999999998</v>
      </c>
      <c r="P2217">
        <v>-0.35456130000000002</v>
      </c>
      <c r="Q2217">
        <v>7.0520120000000006E-2</v>
      </c>
      <c r="R2217">
        <v>-0.93236969999999997</v>
      </c>
      <c r="S2217">
        <v>-1.9997860000000001</v>
      </c>
      <c r="T2217">
        <v>-2.933943E-2</v>
      </c>
      <c r="U2217">
        <v>-2.4725950000000001</v>
      </c>
      <c r="V2217">
        <v>0.1110495</v>
      </c>
      <c r="W2217">
        <v>8.4265629999999994E-2</v>
      </c>
      <c r="X2217">
        <v>0.99023600000000001</v>
      </c>
      <c r="Y2217">
        <v>0.41387020000000002</v>
      </c>
      <c r="Z2217">
        <v>9.432134E-3</v>
      </c>
      <c r="AA2217">
        <v>0.91028699999999996</v>
      </c>
      <c r="AB2217">
        <v>27</v>
      </c>
      <c r="AC2217">
        <v>-41.386499999999998</v>
      </c>
      <c r="AD2217">
        <v>-0.60822969999999899</v>
      </c>
      <c r="AE2217">
        <v>-51.002899999999897</v>
      </c>
      <c r="AF2217">
        <v>27.279870974808901</v>
      </c>
      <c r="AG2217">
        <v>-0.60822969999999899</v>
      </c>
      <c r="AH2217">
        <v>59.742840898976702</v>
      </c>
      <c r="AI2217">
        <v>90.530600987095497</v>
      </c>
      <c r="AJ2217">
        <v>65.457537384188598</v>
      </c>
      <c r="AK2217">
        <v>65.679283967249702</v>
      </c>
      <c r="AL2217">
        <v>85.166202994626801</v>
      </c>
      <c r="AM2217">
        <v>83.601329349944194</v>
      </c>
      <c r="AN2217">
        <v>1.0000000117727701</v>
      </c>
    </row>
    <row r="2218" spans="1:40" x14ac:dyDescent="0.3">
      <c r="A2218" t="str">
        <f>"20200111145957564"</f>
        <v>20200111145957564</v>
      </c>
      <c r="B2218" t="str">
        <f>"1578725997558147"</f>
        <v>1578725997558147</v>
      </c>
      <c r="C2218" t="s">
        <v>40</v>
      </c>
      <c r="D2218">
        <v>4.4285949999999996</v>
      </c>
      <c r="E2218">
        <v>0.62780619999999998</v>
      </c>
      <c r="F2218" t="s">
        <v>63</v>
      </c>
      <c r="G2218">
        <v>-232.98670000000001</v>
      </c>
      <c r="H2218">
        <v>0.66106049999999905</v>
      </c>
      <c r="I2218">
        <v>251.10659999999999</v>
      </c>
      <c r="J2218">
        <v>-192.3974</v>
      </c>
      <c r="K2218">
        <v>1.097896</v>
      </c>
      <c r="L2218">
        <v>299.90870000000001</v>
      </c>
      <c r="M2218">
        <v>-0.26039889999999999</v>
      </c>
      <c r="N2218">
        <v>0</v>
      </c>
      <c r="O2218">
        <v>-0.96537110000000004</v>
      </c>
      <c r="P2218">
        <v>-0.36685089999999998</v>
      </c>
      <c r="Q2218">
        <v>7.4816770000000005E-2</v>
      </c>
      <c r="R2218">
        <v>-0.92726640000000005</v>
      </c>
      <c r="S2218">
        <v>-2.0289920000000001</v>
      </c>
      <c r="T2218">
        <v>-2.1798250000000002E-2</v>
      </c>
      <c r="U2218">
        <v>-2.4476619999999998</v>
      </c>
      <c r="V2218">
        <v>0.1142932</v>
      </c>
      <c r="W2218">
        <v>8.8487910000000003E-2</v>
      </c>
      <c r="X2218">
        <v>0.98949830000000005</v>
      </c>
      <c r="Y2218">
        <v>0.41565200000000002</v>
      </c>
      <c r="Z2218">
        <v>7.008266E-3</v>
      </c>
      <c r="AA2218">
        <v>0.90949669999999905</v>
      </c>
      <c r="AB2218">
        <v>27</v>
      </c>
      <c r="AC2218">
        <v>-40.589300000000001</v>
      </c>
      <c r="AD2218">
        <v>-0.43683549999999899</v>
      </c>
      <c r="AE2218">
        <v>-48.802100000000003</v>
      </c>
      <c r="AF2218">
        <v>26.477794027769502</v>
      </c>
      <c r="AG2218">
        <v>-0.43683549999999899</v>
      </c>
      <c r="AH2218">
        <v>57.686055844774103</v>
      </c>
      <c r="AI2218">
        <v>90.394319534307897</v>
      </c>
      <c r="AJ2218">
        <v>65.344963712517398</v>
      </c>
      <c r="AK2218">
        <v>63.473974515209299</v>
      </c>
      <c r="AL2218">
        <v>84.923376200200295</v>
      </c>
      <c r="AM2218">
        <v>83.411180027680899</v>
      </c>
      <c r="AN2218">
        <v>0.99999996574264804</v>
      </c>
    </row>
    <row r="2219" spans="1:40" x14ac:dyDescent="0.3">
      <c r="A2219" t="str">
        <f>"20200111145957597"</f>
        <v>20200111145957597</v>
      </c>
      <c r="B2219" t="str">
        <f>"1578725997588403"</f>
        <v>1578725997588403</v>
      </c>
      <c r="C2219" t="s">
        <v>40</v>
      </c>
      <c r="D2219">
        <v>4.4742170000000003</v>
      </c>
      <c r="E2219">
        <v>0.62833139999999998</v>
      </c>
      <c r="F2219" t="s">
        <v>63</v>
      </c>
      <c r="G2219">
        <v>-233.11</v>
      </c>
      <c r="H2219">
        <v>0.87352249999999998</v>
      </c>
      <c r="I2219">
        <v>252.19309999999999</v>
      </c>
      <c r="J2219">
        <v>-192.51769999999999</v>
      </c>
      <c r="K2219">
        <v>1.0977939999999999</v>
      </c>
      <c r="L2219">
        <v>299.53109999999998</v>
      </c>
      <c r="M2219">
        <v>-0.27505030000000003</v>
      </c>
      <c r="N2219">
        <v>0</v>
      </c>
      <c r="O2219">
        <v>-0.96129889999999996</v>
      </c>
      <c r="P2219">
        <v>-0.38491029999999998</v>
      </c>
      <c r="Q2219">
        <v>8.180656E-2</v>
      </c>
      <c r="R2219">
        <v>-0.91932170000000002</v>
      </c>
      <c r="S2219">
        <v>-2.0644230000000001</v>
      </c>
      <c r="T2219">
        <v>-1.137722E-2</v>
      </c>
      <c r="U2219">
        <v>-2.4195250000000001</v>
      </c>
      <c r="V2219">
        <v>0.11891400000000001</v>
      </c>
      <c r="W2219">
        <v>9.5372289999999998E-2</v>
      </c>
      <c r="X2219">
        <v>0.98831349999999996</v>
      </c>
      <c r="Y2219">
        <v>0.41476639999999998</v>
      </c>
      <c r="Z2219">
        <v>3.6527780000000002E-3</v>
      </c>
      <c r="AA2219">
        <v>0.90992059999999997</v>
      </c>
      <c r="AB2219">
        <v>27</v>
      </c>
      <c r="AC2219">
        <v>-40.592300000000002</v>
      </c>
      <c r="AD2219">
        <v>-0.22427150000000001</v>
      </c>
      <c r="AE2219">
        <v>-47.338000000000001</v>
      </c>
      <c r="AF2219">
        <v>26.003939476423099</v>
      </c>
      <c r="AG2219">
        <v>-0.22427150000000001</v>
      </c>
      <c r="AH2219">
        <v>56.677293526921297</v>
      </c>
      <c r="AI2219">
        <v>90.206064250078896</v>
      </c>
      <c r="AJ2219">
        <v>65.354011127650793</v>
      </c>
      <c r="AK2219">
        <v>62.358405748832197</v>
      </c>
      <c r="AL2219">
        <v>84.527252213298496</v>
      </c>
      <c r="AM2219">
        <v>83.139146054519202</v>
      </c>
      <c r="AN2219">
        <v>0.99999999368904702</v>
      </c>
    </row>
    <row r="2220" spans="1:40" x14ac:dyDescent="0.3">
      <c r="A2220" t="str">
        <f>"20200111145957888"</f>
        <v>20200111145957888</v>
      </c>
      <c r="B2220" t="str">
        <f>"1578725997878518"</f>
        <v>1578725997878518</v>
      </c>
      <c r="C2220" t="s">
        <v>40</v>
      </c>
      <c r="D2220">
        <v>4.1394769999999896</v>
      </c>
      <c r="E2220">
        <v>0.62833139999999998</v>
      </c>
      <c r="F2220" t="s">
        <v>63</v>
      </c>
      <c r="G2220">
        <v>-233.3004</v>
      </c>
      <c r="H2220">
        <v>1.175689</v>
      </c>
      <c r="I2220">
        <v>253.72829999999999</v>
      </c>
      <c r="J2220">
        <v>-193.8133</v>
      </c>
      <c r="K2220">
        <v>1.0979639999999999</v>
      </c>
      <c r="L2220">
        <v>296.34320000000002</v>
      </c>
      <c r="M2220">
        <v>-0.40341579999999999</v>
      </c>
      <c r="N2220">
        <v>0</v>
      </c>
      <c r="O2220">
        <v>-0.91487879999999999</v>
      </c>
      <c r="P2220">
        <v>-0.51734609999999903</v>
      </c>
      <c r="Q2220">
        <v>8.3426100000000003E-2</v>
      </c>
      <c r="R2220">
        <v>-0.85170020000000002</v>
      </c>
      <c r="S2220">
        <v>-2.1163479999999999</v>
      </c>
      <c r="T2220">
        <v>4.0423869999999997E-3</v>
      </c>
      <c r="U2220">
        <v>-2.376862</v>
      </c>
      <c r="V2220">
        <v>0.13146529999999901</v>
      </c>
      <c r="W2220">
        <v>9.6808050000000007E-2</v>
      </c>
      <c r="X2220">
        <v>0.98658250000000003</v>
      </c>
      <c r="Y2220">
        <v>0.30713459999999998</v>
      </c>
      <c r="Z2220">
        <v>-1.242862E-3</v>
      </c>
      <c r="AA2220">
        <v>0.95166530000000005</v>
      </c>
      <c r="AB2220">
        <v>26</v>
      </c>
      <c r="AC2220">
        <v>-39.487099999999998</v>
      </c>
      <c r="AD2220">
        <v>7.7725000000000002E-2</v>
      </c>
      <c r="AE2220">
        <v>-42.614899999999999</v>
      </c>
      <c r="AF2220">
        <v>18.936743463604</v>
      </c>
      <c r="AG2220">
        <v>7.7725000000000002E-2</v>
      </c>
      <c r="AH2220">
        <v>54.924024188826799</v>
      </c>
      <c r="AI2220">
        <v>89.9233468131048</v>
      </c>
      <c r="AJ2220">
        <v>70.976794937428906</v>
      </c>
      <c r="AK2220">
        <v>58.0969424950815</v>
      </c>
      <c r="AL2220">
        <v>84.444606690440494</v>
      </c>
      <c r="AM2220">
        <v>82.409866367383401</v>
      </c>
      <c r="AN2220">
        <v>0.999999976477571</v>
      </c>
    </row>
    <row r="2221" spans="1:40" x14ac:dyDescent="0.3">
      <c r="A2221" t="str">
        <f>"20200111145957909"</f>
        <v>20200111145957909</v>
      </c>
      <c r="B2221" t="str">
        <f>"1578725997898037"</f>
        <v>1578725997898037</v>
      </c>
      <c r="C2221" t="s">
        <v>40</v>
      </c>
      <c r="D2221">
        <v>4.1611310000000001</v>
      </c>
      <c r="E2221">
        <v>0.71208939999999998</v>
      </c>
      <c r="F2221" t="s">
        <v>63</v>
      </c>
      <c r="G2221">
        <v>-232.98679999999999</v>
      </c>
      <c r="H2221">
        <v>0.93011189999999999</v>
      </c>
      <c r="I2221">
        <v>263.64690000000002</v>
      </c>
      <c r="J2221">
        <v>-193.92439999999999</v>
      </c>
      <c r="K2221">
        <v>1.09799</v>
      </c>
      <c r="L2221">
        <v>296.11880000000002</v>
      </c>
      <c r="M2221">
        <v>-0.41244750000000002</v>
      </c>
      <c r="N2221">
        <v>0</v>
      </c>
      <c r="O2221">
        <v>-0.91084310000000002</v>
      </c>
      <c r="P2221">
        <v>-0.52929130000000002</v>
      </c>
      <c r="Q2221">
        <v>8.2102839999999996E-2</v>
      </c>
      <c r="R2221">
        <v>-0.8444583</v>
      </c>
      <c r="S2221">
        <v>-2.443298</v>
      </c>
      <c r="T2221">
        <v>-1.0468959999999999E-2</v>
      </c>
      <c r="U2221">
        <v>-2.039307</v>
      </c>
      <c r="V2221">
        <v>0.1355218</v>
      </c>
      <c r="W2221">
        <v>9.5407400000000003E-2</v>
      </c>
      <c r="X2221">
        <v>0.98616999999999999</v>
      </c>
      <c r="Y2221">
        <v>0.43503619999999998</v>
      </c>
      <c r="Z2221">
        <v>3.3072140000000002E-3</v>
      </c>
      <c r="AA2221">
        <v>0.90040679999999995</v>
      </c>
      <c r="AB2221">
        <v>26</v>
      </c>
      <c r="AC2221">
        <v>-39.062399999999997</v>
      </c>
      <c r="AD2221">
        <v>-0.167878099999999</v>
      </c>
      <c r="AE2221">
        <v>-32.471899999999998</v>
      </c>
      <c r="AF2221">
        <v>22.189316201052101</v>
      </c>
      <c r="AG2221">
        <v>-0.167878099999999</v>
      </c>
      <c r="AH2221">
        <v>45.693251850905398</v>
      </c>
      <c r="AI2221">
        <v>90.189358640702295</v>
      </c>
      <c r="AJ2221">
        <v>64.098107430272805</v>
      </c>
      <c r="AK2221">
        <v>50.7963305883112</v>
      </c>
      <c r="AL2221">
        <v>84.525231375605898</v>
      </c>
      <c r="AM2221">
        <v>82.175289936756897</v>
      </c>
      <c r="AN2221">
        <v>0.99999999957499996</v>
      </c>
    </row>
    <row r="2222" spans="1:40" x14ac:dyDescent="0.3">
      <c r="A2222" t="str">
        <f>"20200111145958336"</f>
        <v>20200111145958336</v>
      </c>
      <c r="B2222" t="str">
        <f>"1578725998328522"</f>
        <v>1578725998328522</v>
      </c>
      <c r="C2222" t="s">
        <v>40</v>
      </c>
      <c r="D2222">
        <v>4.7698369999999999</v>
      </c>
      <c r="E2222">
        <v>0.68878159999999999</v>
      </c>
      <c r="F2222" t="s">
        <v>63</v>
      </c>
      <c r="G2222">
        <v>-244.19399999999999</v>
      </c>
      <c r="H2222">
        <v>2.6630400000000001</v>
      </c>
      <c r="I2222">
        <v>268.85500000000002</v>
      </c>
      <c r="J2222">
        <v>-196.50550000000001</v>
      </c>
      <c r="K2222">
        <v>1.098598</v>
      </c>
      <c r="L2222">
        <v>292.01069999999999</v>
      </c>
      <c r="M2222">
        <v>-0.57850630000000003</v>
      </c>
      <c r="N2222">
        <v>0</v>
      </c>
      <c r="O2222">
        <v>-0.81552740000000001</v>
      </c>
      <c r="P2222">
        <v>-0.76604989999999995</v>
      </c>
      <c r="Q2222">
        <v>8.1794469999999994E-2</v>
      </c>
      <c r="R2222">
        <v>-0.63755620000000002</v>
      </c>
      <c r="S2222">
        <v>-3.0307620000000002</v>
      </c>
      <c r="T2222">
        <v>9.4357250000000004E-2</v>
      </c>
      <c r="U2222">
        <v>-1.6437379999999999</v>
      </c>
      <c r="V2222">
        <v>0.2574554</v>
      </c>
      <c r="W2222">
        <v>9.2768909999999996E-2</v>
      </c>
      <c r="X2222">
        <v>0.96182670000000003</v>
      </c>
      <c r="Y2222">
        <v>0.4407819</v>
      </c>
      <c r="Z2222">
        <v>-2.5992310000000001E-2</v>
      </c>
      <c r="AA2222">
        <v>0.89723779999999997</v>
      </c>
      <c r="AB2222">
        <v>25</v>
      </c>
      <c r="AC2222">
        <v>-47.688499999999998</v>
      </c>
      <c r="AD2222">
        <v>1.5644420000000001</v>
      </c>
      <c r="AE2222">
        <v>-23.1556999999999</v>
      </c>
      <c r="AF2222">
        <v>25.476503749002099</v>
      </c>
      <c r="AG2222">
        <v>1.5644420000000001</v>
      </c>
      <c r="AH2222">
        <v>46.437470439554502</v>
      </c>
      <c r="AI2222">
        <v>88.308190640681005</v>
      </c>
      <c r="AJ2222">
        <v>61.249966747475597</v>
      </c>
      <c r="AK2222">
        <v>52.989983797589304</v>
      </c>
      <c r="AL2222">
        <v>84.677079260667398</v>
      </c>
      <c r="AM2222">
        <v>75.014745521052106</v>
      </c>
      <c r="AN2222">
        <v>0.99999997724231804</v>
      </c>
    </row>
    <row r="2223" spans="1:40" x14ac:dyDescent="0.3">
      <c r="A2223" t="str">
        <f>"20200111145958636"</f>
        <v>20200111145958636</v>
      </c>
      <c r="B2223" t="str">
        <f>"1578725998628154"</f>
        <v>1578725998628154</v>
      </c>
      <c r="C2223" t="s">
        <v>40</v>
      </c>
      <c r="D2223">
        <v>4.0810440000000003</v>
      </c>
      <c r="E2223">
        <v>0.68879239999999997</v>
      </c>
      <c r="F2223" t="s">
        <v>62</v>
      </c>
      <c r="G2223">
        <v>-224.57550000000001</v>
      </c>
      <c r="H2223" s="1">
        <v>8.9806659999999904E-7</v>
      </c>
      <c r="I2223">
        <v>285.4855</v>
      </c>
      <c r="J2223">
        <v>-198.7303</v>
      </c>
      <c r="K2223">
        <v>1.0981650000000001</v>
      </c>
      <c r="L2223">
        <v>289.49489999999997</v>
      </c>
      <c r="M2223">
        <v>-0.68296969999999901</v>
      </c>
      <c r="N2223">
        <v>0</v>
      </c>
      <c r="O2223">
        <v>-0.73032149999999996</v>
      </c>
      <c r="P2223">
        <v>-0.84268240000000005</v>
      </c>
      <c r="Q2223">
        <v>8.4778400000000004E-2</v>
      </c>
      <c r="R2223">
        <v>-0.53169480000000002</v>
      </c>
      <c r="S2223">
        <v>-3.2928920000000002</v>
      </c>
      <c r="T2223">
        <v>-0.12887660000000001</v>
      </c>
      <c r="U2223">
        <v>-0.76547240000000005</v>
      </c>
      <c r="V2223">
        <v>0.25389279999999997</v>
      </c>
      <c r="W2223">
        <v>9.3650999999999998E-2</v>
      </c>
      <c r="X2223">
        <v>0.96268779999999998</v>
      </c>
      <c r="Y2223">
        <v>0.55596409999999996</v>
      </c>
      <c r="Z2223">
        <v>3.5733279999999999E-2</v>
      </c>
      <c r="AA2223">
        <v>0.83043789999999995</v>
      </c>
      <c r="AB2223">
        <v>25</v>
      </c>
      <c r="AC2223">
        <v>-25.845199999999998</v>
      </c>
      <c r="AD2223">
        <v>-1.0981641019334001</v>
      </c>
      <c r="AE2223">
        <v>-4.0093999999999701</v>
      </c>
      <c r="AF2223">
        <v>16.110080696480399</v>
      </c>
      <c r="AG2223">
        <v>-1.0981641019334001</v>
      </c>
      <c r="AH2223">
        <v>20.545300822059701</v>
      </c>
      <c r="AI2223">
        <v>92.408546958761605</v>
      </c>
      <c r="AJ2223">
        <v>51.899124303517603</v>
      </c>
      <c r="AK2223">
        <v>26.1313997005674</v>
      </c>
      <c r="AL2223">
        <v>84.626317990354593</v>
      </c>
      <c r="AM2223">
        <v>75.225610180990998</v>
      </c>
      <c r="AN2223">
        <v>0.99999993198083703</v>
      </c>
    </row>
    <row r="2224" spans="1:40" x14ac:dyDescent="0.3">
      <c r="A2224" t="str">
        <f>"20200111145958659"</f>
        <v>20200111145958659</v>
      </c>
      <c r="B2224" t="str">
        <f>"1578725998648650"</f>
        <v>1578725998648650</v>
      </c>
      <c r="C2224" t="s">
        <v>40</v>
      </c>
      <c r="D2224">
        <v>4.5865830000000001</v>
      </c>
      <c r="E2224">
        <v>0.69387219999999905</v>
      </c>
      <c r="F2224" t="s">
        <v>64</v>
      </c>
      <c r="G2224">
        <v>-440.6841</v>
      </c>
      <c r="H2224">
        <v>0.56270790000000004</v>
      </c>
      <c r="I2224">
        <v>266.0727</v>
      </c>
      <c r="J2224">
        <v>-198.91149999999999</v>
      </c>
      <c r="K2224">
        <v>1.0981620000000001</v>
      </c>
      <c r="L2224">
        <v>289.31810000000002</v>
      </c>
      <c r="M2224">
        <v>-0.690474699999999</v>
      </c>
      <c r="N2224">
        <v>0</v>
      </c>
      <c r="O2224">
        <v>-0.72323119999999996</v>
      </c>
      <c r="P2224">
        <v>-0.84792719999999899</v>
      </c>
      <c r="Q2224">
        <v>8.3884570000000006E-2</v>
      </c>
      <c r="R2224">
        <v>-0.52343390000000001</v>
      </c>
      <c r="S2224">
        <v>-3.3558349999999999</v>
      </c>
      <c r="T2224">
        <v>-7.4264999999999999E-3</v>
      </c>
      <c r="U2224">
        <v>-0.32485960000000003</v>
      </c>
      <c r="V2224">
        <v>0.25340829999999998</v>
      </c>
      <c r="W2224">
        <v>9.2712879999999998E-2</v>
      </c>
      <c r="X2224">
        <v>0.96290629999999999</v>
      </c>
      <c r="Y2224">
        <v>0.65339239999999998</v>
      </c>
      <c r="Z2224">
        <v>2.1588570000000001E-3</v>
      </c>
      <c r="AA2224">
        <v>0.75701640000000003</v>
      </c>
      <c r="AB2224">
        <v>25</v>
      </c>
      <c r="AC2224">
        <v>-241.77260000000001</v>
      </c>
      <c r="AD2224">
        <v>-0.53545410000000004</v>
      </c>
      <c r="AE2224">
        <v>-23.2454</v>
      </c>
      <c r="AF2224">
        <v>158.82075458147901</v>
      </c>
      <c r="AG2224">
        <v>-0.53545410000000004</v>
      </c>
      <c r="AH2224">
        <v>183.765429904765</v>
      </c>
      <c r="AI2224">
        <v>90.126310984192301</v>
      </c>
      <c r="AJ2224">
        <v>49.164519492519801</v>
      </c>
      <c r="AK2224">
        <v>242.88691200846301</v>
      </c>
      <c r="AL2224">
        <v>84.680303525869604</v>
      </c>
      <c r="AM2224">
        <v>75.255774647821397</v>
      </c>
      <c r="AN2224">
        <v>0.99999999360323699</v>
      </c>
    </row>
    <row r="2225" spans="1:40" x14ac:dyDescent="0.3">
      <c r="A2225" t="str">
        <f>"20200111145958680"</f>
        <v>20200111145958680</v>
      </c>
      <c r="B2225" t="str">
        <f>"1578725998677931"</f>
        <v>1578725998677931</v>
      </c>
      <c r="C2225" t="s">
        <v>40</v>
      </c>
      <c r="D2225">
        <v>4.2811529999999998</v>
      </c>
      <c r="E2225">
        <v>0.69361969999999995</v>
      </c>
      <c r="F2225" t="s">
        <v>64</v>
      </c>
      <c r="G2225">
        <v>-448.40690000000001</v>
      </c>
      <c r="H2225">
        <v>0.96199230000000002</v>
      </c>
      <c r="I2225">
        <v>270.33190000000002</v>
      </c>
      <c r="J2225">
        <v>-199.08099999999999</v>
      </c>
      <c r="K2225">
        <v>1.098166</v>
      </c>
      <c r="L2225">
        <v>289.1558</v>
      </c>
      <c r="M2225">
        <v>-0.69736739999999997</v>
      </c>
      <c r="N2225">
        <v>0</v>
      </c>
      <c r="O2225">
        <v>-0.71658829999999996</v>
      </c>
      <c r="P2225">
        <v>-0.85302540000000004</v>
      </c>
      <c r="Q2225">
        <v>8.2646269999999994E-2</v>
      </c>
      <c r="R2225">
        <v>-0.51528390000000002</v>
      </c>
      <c r="S2225">
        <v>-3.3794710000000001</v>
      </c>
      <c r="T2225">
        <v>-1.8454789999999999E-3</v>
      </c>
      <c r="U2225">
        <v>-0.2571716</v>
      </c>
      <c r="V2225">
        <v>0.25348229999999999</v>
      </c>
      <c r="W2225">
        <v>9.1432310000000003E-2</v>
      </c>
      <c r="X2225">
        <v>0.96300929999999996</v>
      </c>
      <c r="Y2225">
        <v>0.66166639999999999</v>
      </c>
      <c r="Z2225">
        <v>5.338265E-4</v>
      </c>
      <c r="AA2225">
        <v>0.74979819999999997</v>
      </c>
      <c r="AB2225">
        <v>25</v>
      </c>
      <c r="AC2225">
        <v>-249.32589999999999</v>
      </c>
      <c r="AD2225">
        <v>-0.13617369999999901</v>
      </c>
      <c r="AE2225">
        <v>-18.823899999999899</v>
      </c>
      <c r="AF2225">
        <v>165.55169303807199</v>
      </c>
      <c r="AG2225">
        <v>-0.13617369999999901</v>
      </c>
      <c r="AH2225">
        <v>187.377542591718</v>
      </c>
      <c r="AI2225">
        <v>90.031204290231102</v>
      </c>
      <c r="AJ2225">
        <v>48.538778875833103</v>
      </c>
      <c r="AK2225">
        <v>250.035447644448</v>
      </c>
      <c r="AL2225">
        <v>84.753987956633594</v>
      </c>
      <c r="AM2225">
        <v>75.253165392912393</v>
      </c>
      <c r="AN2225">
        <v>1.0000000278058501</v>
      </c>
    </row>
    <row r="2226" spans="1:40" x14ac:dyDescent="0.3">
      <c r="A2226" t="str">
        <f>"20200111145958792"</f>
        <v>20200111145958792</v>
      </c>
      <c r="B2226" t="str">
        <f>"1578725998788218"</f>
        <v>1578725998788218</v>
      </c>
      <c r="C2226" t="s">
        <v>40</v>
      </c>
      <c r="D2226">
        <v>4.8457780000000001</v>
      </c>
      <c r="E2226">
        <v>0.69469209999999904</v>
      </c>
      <c r="F2226" t="s">
        <v>65</v>
      </c>
      <c r="G2226">
        <v>-512.82619999999997</v>
      </c>
      <c r="H2226">
        <v>3.1270159999999998</v>
      </c>
      <c r="I2226">
        <v>268.18599999999998</v>
      </c>
      <c r="J2226">
        <v>-200.0034</v>
      </c>
      <c r="K2226">
        <v>1.0981430000000001</v>
      </c>
      <c r="L2226">
        <v>288.32569999999998</v>
      </c>
      <c r="M2226">
        <v>-0.7327108</v>
      </c>
      <c r="N2226">
        <v>0</v>
      </c>
      <c r="O2226">
        <v>-0.68041200000000002</v>
      </c>
      <c r="P2226">
        <v>-0.87714479999999995</v>
      </c>
      <c r="Q2226">
        <v>8.1006159999999994E-2</v>
      </c>
      <c r="R2226">
        <v>-0.47334480000000001</v>
      </c>
      <c r="S2226">
        <v>-3.3783720000000002</v>
      </c>
      <c r="T2226">
        <v>2.1847249999999999E-2</v>
      </c>
      <c r="U2226">
        <v>-0.22579959999999999</v>
      </c>
      <c r="V2226">
        <v>0.25151659999999998</v>
      </c>
      <c r="W2226">
        <v>8.9649140000000002E-2</v>
      </c>
      <c r="X2226">
        <v>0.96369210000000005</v>
      </c>
      <c r="Y2226">
        <v>0.63006439999999997</v>
      </c>
      <c r="Z2226">
        <v>-6.06749E-3</v>
      </c>
      <c r="AA2226">
        <v>0.77651910000000002</v>
      </c>
      <c r="AB2226">
        <v>24</v>
      </c>
      <c r="AC2226">
        <v>-312.82279999999997</v>
      </c>
      <c r="AD2226">
        <v>2.0288729999999999</v>
      </c>
      <c r="AE2226">
        <v>-20.139700000000001</v>
      </c>
      <c r="AF2226">
        <v>198.10078798769101</v>
      </c>
      <c r="AG2226">
        <v>2.0288729999999999</v>
      </c>
      <c r="AH2226">
        <v>242.92294535626399</v>
      </c>
      <c r="AI2226">
        <v>89.629154476924299</v>
      </c>
      <c r="AJ2226">
        <v>50.8031632850373</v>
      </c>
      <c r="AK2226">
        <v>313.46386698877598</v>
      </c>
      <c r="AL2226">
        <v>84.856577382250507</v>
      </c>
      <c r="AM2226">
        <v>75.372520810619704</v>
      </c>
      <c r="AN2226">
        <v>1.0000000159903499</v>
      </c>
    </row>
    <row r="2227" spans="1:40" x14ac:dyDescent="0.3">
      <c r="A2227" t="str">
        <f>"20200111145958814"</f>
        <v>20200111145958814</v>
      </c>
      <c r="B2227" t="str">
        <f>"1578725998808714"</f>
        <v>1578725998808714</v>
      </c>
      <c r="C2227" t="s">
        <v>40</v>
      </c>
      <c r="D2227">
        <v>4.7551829999999997</v>
      </c>
      <c r="E2227">
        <v>0.69342409999999999</v>
      </c>
      <c r="F2227" t="s">
        <v>62</v>
      </c>
      <c r="G2227">
        <v>-381.92290000000003</v>
      </c>
      <c r="H2227" s="1">
        <v>-5.1352189999999997E-7</v>
      </c>
      <c r="I2227">
        <v>285.46080000000001</v>
      </c>
      <c r="J2227">
        <v>-200.19540000000001</v>
      </c>
      <c r="K2227">
        <v>1.0981399999999999</v>
      </c>
      <c r="L2227">
        <v>288.16309999999999</v>
      </c>
      <c r="M2227">
        <v>-0.7396471</v>
      </c>
      <c r="N2227">
        <v>0</v>
      </c>
      <c r="O2227">
        <v>-0.67286590000000002</v>
      </c>
      <c r="P2227">
        <v>-0.88120849999999995</v>
      </c>
      <c r="Q2227">
        <v>8.1769129999999995E-2</v>
      </c>
      <c r="R2227">
        <v>-0.46560220000000002</v>
      </c>
      <c r="S2227">
        <v>-3.3932340000000001</v>
      </c>
      <c r="T2227">
        <v>-2.0483020000000001E-2</v>
      </c>
      <c r="U2227">
        <v>-5.3436280000000003E-2</v>
      </c>
      <c r="V2227">
        <v>0.25008649999999999</v>
      </c>
      <c r="W2227">
        <v>9.0410400000000002E-2</v>
      </c>
      <c r="X2227">
        <v>0.96399310000000005</v>
      </c>
      <c r="Y2227">
        <v>0.66117099999999995</v>
      </c>
      <c r="Z2227">
        <v>5.7480869999999998E-3</v>
      </c>
      <c r="AA2227">
        <v>0.75021319999999903</v>
      </c>
      <c r="AB2227">
        <v>24</v>
      </c>
      <c r="AC2227">
        <v>-181.72749999999999</v>
      </c>
      <c r="AD2227">
        <v>-1.09814051352189</v>
      </c>
      <c r="AE2227">
        <v>-2.7022999999999802</v>
      </c>
      <c r="AF2227">
        <v>120.285542707171</v>
      </c>
      <c r="AG2227">
        <v>-1.09814051352189</v>
      </c>
      <c r="AH2227">
        <v>136.23935996646901</v>
      </c>
      <c r="AI2227">
        <v>90.346196325331206</v>
      </c>
      <c r="AJ2227">
        <v>48.558760167970597</v>
      </c>
      <c r="AK2227">
        <v>181.74427336513099</v>
      </c>
      <c r="AL2227">
        <v>84.812782452402402</v>
      </c>
      <c r="AM2227">
        <v>75.456502891749906</v>
      </c>
      <c r="AN2227">
        <v>0.99999999737901002</v>
      </c>
    </row>
    <row r="2228" spans="1:40" x14ac:dyDescent="0.3">
      <c r="A2228" t="str">
        <f>"20200111145958837"</f>
        <v>20200111145958837</v>
      </c>
      <c r="B2228" t="str">
        <f>"1578725998828234"</f>
        <v>1578725998828234</v>
      </c>
      <c r="C2228" t="s">
        <v>40</v>
      </c>
      <c r="D2228">
        <v>4.8928960000000004</v>
      </c>
      <c r="E2228">
        <v>0.691747</v>
      </c>
      <c r="F2228" t="s">
        <v>66</v>
      </c>
      <c r="G2228">
        <v>-310.9803</v>
      </c>
      <c r="H2228" s="1">
        <v>2.4348450000000001E-6</v>
      </c>
      <c r="I2228">
        <v>287.09699999999998</v>
      </c>
      <c r="J2228">
        <v>-200.39089999999999</v>
      </c>
      <c r="K2228">
        <v>1.0981369999999999</v>
      </c>
      <c r="L2228">
        <v>288.0009</v>
      </c>
      <c r="M2228">
        <v>-0.74656859999999903</v>
      </c>
      <c r="N2228">
        <v>0</v>
      </c>
      <c r="O2228">
        <v>-0.66517850000000001</v>
      </c>
      <c r="P2228">
        <v>-0.88537399999999999</v>
      </c>
      <c r="Q2228">
        <v>8.1062209999999996E-2</v>
      </c>
      <c r="R2228">
        <v>-0.45775739999999998</v>
      </c>
      <c r="S2228">
        <v>-3.3902890000000001</v>
      </c>
      <c r="T2228">
        <v>-3.3605690000000001E-2</v>
      </c>
      <c r="U2228">
        <v>-3.2623289999999999E-2</v>
      </c>
      <c r="V2228">
        <v>0.24870439999999999</v>
      </c>
      <c r="W2228">
        <v>8.9705670000000001E-2</v>
      </c>
      <c r="X2228">
        <v>0.96441639999999995</v>
      </c>
      <c r="Y2228">
        <v>0.65796080000000001</v>
      </c>
      <c r="Z2228">
        <v>9.3711309999999996E-3</v>
      </c>
      <c r="AA2228">
        <v>0.75299380000000005</v>
      </c>
      <c r="AB2228">
        <v>24</v>
      </c>
      <c r="AC2228">
        <v>-110.5894</v>
      </c>
      <c r="AD2228">
        <v>-1.0981345651549901</v>
      </c>
      <c r="AE2228">
        <v>-0.90390000000002102</v>
      </c>
      <c r="AF2228">
        <v>72.885983125808707</v>
      </c>
      <c r="AG2228">
        <v>-1.0981345651549901</v>
      </c>
      <c r="AH2228">
        <v>83.162818909343301</v>
      </c>
      <c r="AI2228">
        <v>90.568956060657996</v>
      </c>
      <c r="AJ2228">
        <v>48.767861493498799</v>
      </c>
      <c r="AK2228">
        <v>110.5876434539</v>
      </c>
      <c r="AL2228">
        <v>84.853325210746704</v>
      </c>
      <c r="AM2228">
        <v>75.539579307666898</v>
      </c>
      <c r="AN2228">
        <v>0.99999998919923405</v>
      </c>
    </row>
    <row r="2229" spans="1:40" x14ac:dyDescent="0.3">
      <c r="A2229" t="str">
        <f>"20200111145958859"</f>
        <v>20200111145958859</v>
      </c>
      <c r="B2229" t="str">
        <f>"1578725998847754"</f>
        <v>1578725998847754</v>
      </c>
      <c r="C2229" t="s">
        <v>40</v>
      </c>
      <c r="D2229">
        <v>4.73848</v>
      </c>
      <c r="E2229">
        <v>0.69023000000000001</v>
      </c>
      <c r="F2229" t="s">
        <v>62</v>
      </c>
      <c r="G2229">
        <v>-266.18880000000001</v>
      </c>
      <c r="H2229" s="1">
        <v>1.7565959999999999E-6</v>
      </c>
      <c r="I2229">
        <v>287.721</v>
      </c>
      <c r="J2229">
        <v>-200.58109999999999</v>
      </c>
      <c r="K2229">
        <v>1.0981289999999999</v>
      </c>
      <c r="L2229">
        <v>287.84629999999999</v>
      </c>
      <c r="M2229">
        <v>-0.75317650000000003</v>
      </c>
      <c r="N2229">
        <v>0</v>
      </c>
      <c r="O2229">
        <v>-0.65768769999999999</v>
      </c>
      <c r="P2229">
        <v>-0.88916989999999996</v>
      </c>
      <c r="Q2229">
        <v>8.0243399999999895E-2</v>
      </c>
      <c r="R2229">
        <v>-0.45048670000000002</v>
      </c>
      <c r="S2229">
        <v>-3.3861240000000001</v>
      </c>
      <c r="T2229">
        <v>-5.6512710000000001E-2</v>
      </c>
      <c r="U2229">
        <v>-1.44043E-2</v>
      </c>
      <c r="V2229">
        <v>0.24700569999999999</v>
      </c>
      <c r="W2229">
        <v>8.8898749999999999E-2</v>
      </c>
      <c r="X2229">
        <v>0.9649276</v>
      </c>
      <c r="Y2229">
        <v>0.65436439999999996</v>
      </c>
      <c r="Z2229">
        <v>1.5660460000000001E-2</v>
      </c>
      <c r="AA2229">
        <v>0.756017099999999</v>
      </c>
      <c r="AB2229">
        <v>24</v>
      </c>
      <c r="AC2229">
        <v>-65.607699999999994</v>
      </c>
      <c r="AD2229">
        <v>-1.0981272434039999</v>
      </c>
      <c r="AE2229">
        <v>-0.12529999999998101</v>
      </c>
      <c r="AF2229">
        <v>43.046648949798701</v>
      </c>
      <c r="AG2229">
        <v>-1.0981272434039999</v>
      </c>
      <c r="AH2229">
        <v>49.486980710100198</v>
      </c>
      <c r="AI2229">
        <v>90.959181449551394</v>
      </c>
      <c r="AJ2229">
        <v>48.9813602847167</v>
      </c>
      <c r="AK2229">
        <v>65.598636640190506</v>
      </c>
      <c r="AL2229">
        <v>84.899744036504899</v>
      </c>
      <c r="AM2229">
        <v>75.641542016884799</v>
      </c>
      <c r="AN2229">
        <v>1.0000000384129</v>
      </c>
    </row>
    <row r="2230" spans="1:40" x14ac:dyDescent="0.3">
      <c r="A2230" t="str">
        <f>"20200111145958882"</f>
        <v>20200111145958882</v>
      </c>
      <c r="B2230" t="str">
        <f>"1578725998878012"</f>
        <v>1578725998878012</v>
      </c>
      <c r="C2230" t="s">
        <v>40</v>
      </c>
      <c r="D2230">
        <v>4.2439019999999896</v>
      </c>
      <c r="E2230">
        <v>0.69109609999999899</v>
      </c>
      <c r="F2230" t="s">
        <v>62</v>
      </c>
      <c r="G2230">
        <v>-257.16590000000002</v>
      </c>
      <c r="H2230" s="1">
        <v>2.276565E-6</v>
      </c>
      <c r="I2230">
        <v>287.8897</v>
      </c>
      <c r="J2230">
        <v>-200.77250000000001</v>
      </c>
      <c r="K2230">
        <v>1.098122</v>
      </c>
      <c r="L2230">
        <v>287.69400000000002</v>
      </c>
      <c r="M2230">
        <v>-0.75969960000000003</v>
      </c>
      <c r="N2230">
        <v>0</v>
      </c>
      <c r="O2230">
        <v>-0.6501422</v>
      </c>
      <c r="P2230">
        <v>-0.89239029999999997</v>
      </c>
      <c r="Q2230">
        <v>7.9870049999999998E-2</v>
      </c>
      <c r="R2230">
        <v>-0.44414019999999999</v>
      </c>
      <c r="S2230">
        <v>-3.3811650000000002</v>
      </c>
      <c r="T2230">
        <v>-6.5617320000000007E-2</v>
      </c>
      <c r="U2230">
        <v>2.5939940000000001E-3</v>
      </c>
      <c r="V2230">
        <v>0.24426709999999999</v>
      </c>
      <c r="W2230">
        <v>8.8558220000000007E-2</v>
      </c>
      <c r="X2230">
        <v>0.96565570000000001</v>
      </c>
      <c r="Y2230">
        <v>0.65055249999999998</v>
      </c>
      <c r="Z2230">
        <v>1.806847E-2</v>
      </c>
      <c r="AA2230">
        <v>0.75924630000000004</v>
      </c>
      <c r="AB2230">
        <v>24</v>
      </c>
      <c r="AC2230">
        <v>-56.3934</v>
      </c>
      <c r="AD2230">
        <v>-1.098119723435</v>
      </c>
      <c r="AE2230">
        <v>0.19569999999998799</v>
      </c>
      <c r="AF2230">
        <v>36.801607772857999</v>
      </c>
      <c r="AG2230">
        <v>-1.098119723435</v>
      </c>
      <c r="AH2230">
        <v>42.7022852378267</v>
      </c>
      <c r="AI2230">
        <v>91.115966475217803</v>
      </c>
      <c r="AJ2230">
        <v>49.244637294946301</v>
      </c>
      <c r="AK2230">
        <v>56.383059212204799</v>
      </c>
      <c r="AL2230">
        <v>84.919331789820205</v>
      </c>
      <c r="AM2230">
        <v>75.804536812149095</v>
      </c>
      <c r="AN2230">
        <v>0.99999995270723296</v>
      </c>
    </row>
    <row r="2231" spans="1:40" x14ac:dyDescent="0.3">
      <c r="A2231" t="str">
        <f>"20200111145958926"</f>
        <v>20200111145958926</v>
      </c>
      <c r="B2231" t="str">
        <f>"1578725998918026"</f>
        <v>1578725998918026</v>
      </c>
      <c r="C2231" t="s">
        <v>40</v>
      </c>
      <c r="D2231">
        <v>4.8441580000000002</v>
      </c>
      <c r="E2231">
        <v>0.68885249999999998</v>
      </c>
      <c r="F2231" t="s">
        <v>62</v>
      </c>
      <c r="G2231">
        <v>-270.86959999999999</v>
      </c>
      <c r="H2231" s="1">
        <v>-1.238865E-6</v>
      </c>
      <c r="I2231">
        <v>288.38709999999998</v>
      </c>
      <c r="J2231">
        <v>-201.17359999999999</v>
      </c>
      <c r="K2231">
        <v>1.098101</v>
      </c>
      <c r="L2231">
        <v>287.38510000000002</v>
      </c>
      <c r="M2231">
        <v>-0.77299960000000001</v>
      </c>
      <c r="N2231">
        <v>0</v>
      </c>
      <c r="O2231">
        <v>-0.63427199999999995</v>
      </c>
      <c r="P2231">
        <v>-0.89919570000000004</v>
      </c>
      <c r="Q2231">
        <v>8.0143389999999995E-2</v>
      </c>
      <c r="R2231">
        <v>-0.430145</v>
      </c>
      <c r="S2231">
        <v>-3.3831329999999999</v>
      </c>
      <c r="T2231">
        <v>-5.2999259999999999E-2</v>
      </c>
      <c r="U2231">
        <v>3.3447270000000001E-2</v>
      </c>
      <c r="V2231">
        <v>0.23934159999999999</v>
      </c>
      <c r="W2231">
        <v>8.8882600000000006E-2</v>
      </c>
      <c r="X2231">
        <v>0.96685860000000001</v>
      </c>
      <c r="Y2231">
        <v>0.641791</v>
      </c>
      <c r="Z2231">
        <v>1.433473E-2</v>
      </c>
      <c r="AA2231">
        <v>0.76674569999999997</v>
      </c>
      <c r="AB2231">
        <v>24</v>
      </c>
      <c r="AC2231">
        <v>-69.695999999999998</v>
      </c>
      <c r="AD2231">
        <v>-1.0981022388649999</v>
      </c>
      <c r="AE2231">
        <v>1.00199999999995</v>
      </c>
      <c r="AF2231">
        <v>44.973443499467798</v>
      </c>
      <c r="AG2231">
        <v>-1.0981022388649999</v>
      </c>
      <c r="AH2231">
        <v>53.230771554282803</v>
      </c>
      <c r="AI2231">
        <v>90.902785361489805</v>
      </c>
      <c r="AJ2231">
        <v>49.806308895052098</v>
      </c>
      <c r="AK2231">
        <v>69.694558532148505</v>
      </c>
      <c r="AL2231">
        <v>84.900673024620403</v>
      </c>
      <c r="AM2231">
        <v>76.096186942155796</v>
      </c>
      <c r="AN2231">
        <v>1.00000003523363</v>
      </c>
    </row>
    <row r="2232" spans="1:40" x14ac:dyDescent="0.3">
      <c r="A2232" t="str">
        <f>"20200111145958949"</f>
        <v>20200111145958949</v>
      </c>
      <c r="B2232" t="str">
        <f>"1578725998938522"</f>
        <v>1578725998938522</v>
      </c>
      <c r="C2232" t="s">
        <v>40</v>
      </c>
      <c r="D2232">
        <v>4.7520280000000001</v>
      </c>
      <c r="E2232">
        <v>0.68718699999999999</v>
      </c>
      <c r="F2232" t="s">
        <v>62</v>
      </c>
      <c r="G2232">
        <v>-260.94260000000003</v>
      </c>
      <c r="H2232" s="1">
        <v>-1.0352010000000001E-6</v>
      </c>
      <c r="I2232">
        <v>288.62049999999999</v>
      </c>
      <c r="J2232">
        <v>-201.3723</v>
      </c>
      <c r="K2232">
        <v>1.098087</v>
      </c>
      <c r="L2232">
        <v>287.23680000000002</v>
      </c>
      <c r="M2232">
        <v>-0.77941759999999904</v>
      </c>
      <c r="N2232">
        <v>0</v>
      </c>
      <c r="O2232">
        <v>-0.62636879999999995</v>
      </c>
      <c r="P2232">
        <v>-0.90208770000000005</v>
      </c>
      <c r="Q2232">
        <v>8.0215899999999896E-2</v>
      </c>
      <c r="R2232">
        <v>-0.42403220000000003</v>
      </c>
      <c r="S2232">
        <v>-3.3751980000000001</v>
      </c>
      <c r="T2232">
        <v>-6.201065E-2</v>
      </c>
      <c r="U2232">
        <v>6.9763179999999994E-2</v>
      </c>
      <c r="V2232">
        <v>0.23605570000000001</v>
      </c>
      <c r="W2232">
        <v>8.8997069999999998E-2</v>
      </c>
      <c r="X2232">
        <v>0.9676555</v>
      </c>
      <c r="Y2232">
        <v>0.64219490000000001</v>
      </c>
      <c r="Z2232">
        <v>1.6710309999999999E-2</v>
      </c>
      <c r="AA2232">
        <v>0.76635929999999997</v>
      </c>
      <c r="AB2232">
        <v>24</v>
      </c>
      <c r="AC2232">
        <v>-59.570300000000003</v>
      </c>
      <c r="AD2232">
        <v>-1.0980880352010001</v>
      </c>
      <c r="AE2232">
        <v>1.38369999999997</v>
      </c>
      <c r="AF2232">
        <v>38.381692701750303</v>
      </c>
      <c r="AG2232">
        <v>-1.0980880352010001</v>
      </c>
      <c r="AH2232">
        <v>45.551844818940197</v>
      </c>
      <c r="AI2232">
        <v>91.056114857678395</v>
      </c>
      <c r="AJ2232">
        <v>49.882725963726898</v>
      </c>
      <c r="AK2232">
        <v>59.576259519992099</v>
      </c>
      <c r="AL2232">
        <v>84.894087944219606</v>
      </c>
      <c r="AM2232">
        <v>76.2906826606945</v>
      </c>
      <c r="AN2232">
        <v>0.99999996932566204</v>
      </c>
    </row>
    <row r="2233" spans="1:40" x14ac:dyDescent="0.3">
      <c r="A2233" t="str">
        <f>"20200111145958972"</f>
        <v>20200111145958972</v>
      </c>
      <c r="B2233" t="str">
        <f>"1578725998967802"</f>
        <v>1578725998967802</v>
      </c>
      <c r="C2233" t="s">
        <v>40</v>
      </c>
      <c r="D2233">
        <v>4.7578399999999998</v>
      </c>
      <c r="E2233">
        <v>0.6844922</v>
      </c>
      <c r="F2233" t="s">
        <v>62</v>
      </c>
      <c r="G2233">
        <v>-257.84320000000002</v>
      </c>
      <c r="H2233" s="1">
        <v>2.6369609999999999E-6</v>
      </c>
      <c r="I2233">
        <v>288.5967</v>
      </c>
      <c r="J2233">
        <v>-201.57769999999999</v>
      </c>
      <c r="K2233">
        <v>1.098058</v>
      </c>
      <c r="L2233">
        <v>287.08690000000001</v>
      </c>
      <c r="M2233">
        <v>-0.78594640000000004</v>
      </c>
      <c r="N2233">
        <v>0</v>
      </c>
      <c r="O2233">
        <v>-0.61815699999999996</v>
      </c>
      <c r="P2233">
        <v>-0.90469770000000005</v>
      </c>
      <c r="Q2233">
        <v>8.0703499999999997E-2</v>
      </c>
      <c r="R2233">
        <v>-0.41834120000000002</v>
      </c>
      <c r="S2233">
        <v>-3.3695979999999999</v>
      </c>
      <c r="T2233">
        <v>-6.552231E-2</v>
      </c>
      <c r="U2233">
        <v>8.1146239999999994E-2</v>
      </c>
      <c r="V2233">
        <v>0.23198079999999999</v>
      </c>
      <c r="W2233">
        <v>8.9536599999999994E-2</v>
      </c>
      <c r="X2233">
        <v>0.96859079999999997</v>
      </c>
      <c r="Y2233">
        <v>0.63672969999999995</v>
      </c>
      <c r="Z2233">
        <v>1.750956E-2</v>
      </c>
      <c r="AA2233">
        <v>0.77088829999999997</v>
      </c>
      <c r="AB2233">
        <v>24</v>
      </c>
      <c r="AC2233">
        <v>-56.265500000000003</v>
      </c>
      <c r="AD2233">
        <v>-1.098055363039</v>
      </c>
      <c r="AE2233">
        <v>1.50979999999998</v>
      </c>
      <c r="AF2233">
        <v>35.9569107645614</v>
      </c>
      <c r="AG2233">
        <v>-1.098055363039</v>
      </c>
      <c r="AH2233">
        <v>43.275587567856903</v>
      </c>
      <c r="AI2233">
        <v>91.118043023358496</v>
      </c>
      <c r="AJ2233">
        <v>50.2774149012821</v>
      </c>
      <c r="AK2233">
        <v>56.275053413161501</v>
      </c>
      <c r="AL2233">
        <v>84.863051485401996</v>
      </c>
      <c r="AM2233">
        <v>76.531172624884803</v>
      </c>
      <c r="AN2233">
        <v>1.00000001607641</v>
      </c>
    </row>
    <row r="2234" spans="1:40" x14ac:dyDescent="0.3">
      <c r="A2234" t="str">
        <f>"20200111145959061"</f>
        <v>20200111145959061</v>
      </c>
      <c r="B2234" t="str">
        <f>"1578725999058570"</f>
        <v>1578725999058570</v>
      </c>
      <c r="C2234" t="s">
        <v>40</v>
      </c>
      <c r="D2234">
        <v>4.3081969999999998</v>
      </c>
      <c r="E2234">
        <v>0.68280479999999999</v>
      </c>
      <c r="F2234" t="s">
        <v>62</v>
      </c>
      <c r="G2234">
        <v>-250.4639</v>
      </c>
      <c r="H2234" s="1">
        <v>-1.2899189999999901E-6</v>
      </c>
      <c r="I2234">
        <v>288.29689999999999</v>
      </c>
      <c r="J2234">
        <v>-202.38980000000001</v>
      </c>
      <c r="K2234">
        <v>1.0978220000000001</v>
      </c>
      <c r="L2234">
        <v>286.52629999999999</v>
      </c>
      <c r="M2234">
        <v>-0.81090269999999898</v>
      </c>
      <c r="N2234">
        <v>0</v>
      </c>
      <c r="O2234">
        <v>-0.58503669999999997</v>
      </c>
      <c r="P2234">
        <v>-0.91372249999999999</v>
      </c>
      <c r="Q2234">
        <v>8.1898120000000005E-2</v>
      </c>
      <c r="R2234">
        <v>-0.39800029999999997</v>
      </c>
      <c r="S2234">
        <v>-3.3612060000000001</v>
      </c>
      <c r="T2234">
        <v>-7.5497750000000002E-2</v>
      </c>
      <c r="U2234">
        <v>8.3190920000000002E-2</v>
      </c>
      <c r="V2234">
        <v>0.21341889999999999</v>
      </c>
      <c r="W2234">
        <v>9.0935630000000003E-2</v>
      </c>
      <c r="X2234">
        <v>0.97271940000000001</v>
      </c>
      <c r="Y2234">
        <v>0.60468699999999997</v>
      </c>
      <c r="Z2234">
        <v>1.9265290000000001E-2</v>
      </c>
      <c r="AA2234">
        <v>0.79623009999999905</v>
      </c>
      <c r="AB2234">
        <v>24</v>
      </c>
      <c r="AC2234">
        <v>-48.074099999999902</v>
      </c>
      <c r="AD2234">
        <v>-1.0978232899189999</v>
      </c>
      <c r="AE2234">
        <v>1.7706</v>
      </c>
      <c r="AF2234">
        <v>29.548005448317198</v>
      </c>
      <c r="AG2234">
        <v>-1.0978232899189999</v>
      </c>
      <c r="AH2234">
        <v>37.931002344954301</v>
      </c>
      <c r="AI2234">
        <v>91.307977311707205</v>
      </c>
      <c r="AJ2234">
        <v>52.081639917422301</v>
      </c>
      <c r="AK2234">
        <v>48.0941865597351</v>
      </c>
      <c r="AL2234">
        <v>84.782564388066604</v>
      </c>
      <c r="AM2234">
        <v>77.625136403990794</v>
      </c>
      <c r="AN2234">
        <v>0.99999997340853297</v>
      </c>
    </row>
    <row r="2235" spans="1:40" x14ac:dyDescent="0.3">
      <c r="A2235" t="str">
        <f>"20200111145959082"</f>
        <v>20200111145959082</v>
      </c>
      <c r="B2235" t="str">
        <f>"1578725999078090"</f>
        <v>1578725999078090</v>
      </c>
      <c r="C2235" t="s">
        <v>40</v>
      </c>
      <c r="D2235">
        <v>4.315156</v>
      </c>
      <c r="E2235">
        <v>0.68170489999999995</v>
      </c>
      <c r="F2235" t="s">
        <v>62</v>
      </c>
      <c r="G2235">
        <v>-248.7799</v>
      </c>
      <c r="H2235" s="1">
        <v>3.135419E-6</v>
      </c>
      <c r="I2235">
        <v>288.54930000000002</v>
      </c>
      <c r="J2235">
        <v>-202.59</v>
      </c>
      <c r="K2235">
        <v>1.0977589999999999</v>
      </c>
      <c r="L2235">
        <v>286.39609999999999</v>
      </c>
      <c r="M2235">
        <v>-0.81684690000000004</v>
      </c>
      <c r="N2235">
        <v>0</v>
      </c>
      <c r="O2235">
        <v>-0.57670829999999995</v>
      </c>
      <c r="P2235">
        <v>-0.91609560000000001</v>
      </c>
      <c r="Q2235">
        <v>8.1102499999999994E-2</v>
      </c>
      <c r="R2235">
        <v>-0.39267190000000002</v>
      </c>
      <c r="S2235">
        <v>-3.3541110000000001</v>
      </c>
      <c r="T2235">
        <v>-7.9374910000000007E-2</v>
      </c>
      <c r="U2235">
        <v>0.14627079999999901</v>
      </c>
      <c r="V2235">
        <v>0.20916199999999999</v>
      </c>
      <c r="W2235">
        <v>9.0181510000000006E-2</v>
      </c>
      <c r="X2235">
        <v>0.97371379999999996</v>
      </c>
      <c r="Y2235">
        <v>0.61148269999999905</v>
      </c>
      <c r="Z2235">
        <v>2.0226830000000001E-2</v>
      </c>
      <c r="AA2235">
        <v>0.79099919999999901</v>
      </c>
      <c r="AB2235">
        <v>24</v>
      </c>
      <c r="AC2235">
        <v>-46.189900000000002</v>
      </c>
      <c r="AD2235">
        <v>-1.0977558645809999</v>
      </c>
      <c r="AE2235">
        <v>2.15320000000002</v>
      </c>
      <c r="AF2235">
        <v>28.383331748038401</v>
      </c>
      <c r="AG2235">
        <v>-1.0977558645809999</v>
      </c>
      <c r="AH2235">
        <v>36.470830964907201</v>
      </c>
      <c r="AI2235">
        <v>91.360733417218398</v>
      </c>
      <c r="AJ2235">
        <v>52.108252479448304</v>
      </c>
      <c r="AK2235">
        <v>46.227049444327101</v>
      </c>
      <c r="AL2235">
        <v>84.825950718853406</v>
      </c>
      <c r="AM2235">
        <v>77.876607650790703</v>
      </c>
      <c r="AN2235">
        <v>1.0000000056501599</v>
      </c>
    </row>
    <row r="2236" spans="1:40" x14ac:dyDescent="0.3">
      <c r="A2236" t="str">
        <f>"20200111145959105"</f>
        <v>20200111145959105</v>
      </c>
      <c r="B2236" t="str">
        <f>"1578725999098586"</f>
        <v>1578725999098586</v>
      </c>
      <c r="C2236" t="s">
        <v>40</v>
      </c>
      <c r="D2236">
        <v>4.3703969999999996</v>
      </c>
      <c r="E2236">
        <v>0.68170489999999995</v>
      </c>
      <c r="F2236" t="s">
        <v>62</v>
      </c>
      <c r="G2236">
        <v>-244.5849</v>
      </c>
      <c r="H2236" s="1">
        <v>9.0306910000000002E-7</v>
      </c>
      <c r="I2236">
        <v>288.37189999999998</v>
      </c>
      <c r="J2236">
        <v>-202.80269999999999</v>
      </c>
      <c r="K2236">
        <v>1.0977049999999999</v>
      </c>
      <c r="L2236">
        <v>286.26089999999999</v>
      </c>
      <c r="M2236">
        <v>-0.82306000000000001</v>
      </c>
      <c r="N2236">
        <v>0</v>
      </c>
      <c r="O2236">
        <v>-0.567806699999999</v>
      </c>
      <c r="P2236">
        <v>-0.91909149999999995</v>
      </c>
      <c r="Q2236">
        <v>7.8996490000000003E-2</v>
      </c>
      <c r="R2236">
        <v>-0.38604490000000002</v>
      </c>
      <c r="S2236">
        <v>-3.350082</v>
      </c>
      <c r="T2236">
        <v>-8.75721E-2</v>
      </c>
      <c r="U2236">
        <v>0.15762329999999999</v>
      </c>
      <c r="V2236">
        <v>0.20569580000000001</v>
      </c>
      <c r="W2236">
        <v>8.8101289999999999E-2</v>
      </c>
      <c r="X2236">
        <v>0.97464220000000001</v>
      </c>
      <c r="Y2236">
        <v>0.60552899999999998</v>
      </c>
      <c r="Z2236">
        <v>2.2071529999999999E-2</v>
      </c>
      <c r="AA2236">
        <v>0.79551719999999904</v>
      </c>
      <c r="AB2236">
        <v>24</v>
      </c>
      <c r="AC2236">
        <v>-41.782200000000003</v>
      </c>
      <c r="AD2236">
        <v>-1.0977040969309</v>
      </c>
      <c r="AE2236">
        <v>2.11099999999999</v>
      </c>
      <c r="AF2236">
        <v>25.4463102610924</v>
      </c>
      <c r="AG2236">
        <v>-1.0977040969309</v>
      </c>
      <c r="AH2236">
        <v>33.170565713974398</v>
      </c>
      <c r="AI2236">
        <v>91.504049522709096</v>
      </c>
      <c r="AJ2236">
        <v>52.506915150055399</v>
      </c>
      <c r="AK2236">
        <v>41.821120142498501</v>
      </c>
      <c r="AL2236">
        <v>84.945614967988305</v>
      </c>
      <c r="AM2236">
        <v>78.082750632655603</v>
      </c>
      <c r="AN2236">
        <v>1.0000000087290699</v>
      </c>
    </row>
    <row r="2237" spans="1:40" x14ac:dyDescent="0.3">
      <c r="A2237" t="str">
        <f>"20200111145959129"</f>
        <v>20200111145959129</v>
      </c>
      <c r="B2237" t="str">
        <f>"1578725999118106"</f>
        <v>1578725999118106</v>
      </c>
      <c r="C2237" t="s">
        <v>40</v>
      </c>
      <c r="D2237">
        <v>4.2494339999999999</v>
      </c>
      <c r="E2237">
        <v>0.59230309999999997</v>
      </c>
      <c r="F2237" t="s">
        <v>62</v>
      </c>
      <c r="G2237">
        <v>-242.1927</v>
      </c>
      <c r="H2237" s="1">
        <v>-3.699372E-7</v>
      </c>
      <c r="I2237">
        <v>288.40429999999998</v>
      </c>
      <c r="J2237">
        <v>-203.02940000000001</v>
      </c>
      <c r="K2237">
        <v>1.097664</v>
      </c>
      <c r="L2237">
        <v>286.12040000000002</v>
      </c>
      <c r="M2237">
        <v>-0.82955840000000003</v>
      </c>
      <c r="N2237">
        <v>0</v>
      </c>
      <c r="O2237">
        <v>-0.5582705</v>
      </c>
      <c r="P2237">
        <v>-0.92296869999999998</v>
      </c>
      <c r="Q2237">
        <v>7.8434240000000002E-2</v>
      </c>
      <c r="R2237">
        <v>-0.37679810000000002</v>
      </c>
      <c r="S2237">
        <v>-3.3486630000000002</v>
      </c>
      <c r="T2237">
        <v>-9.3319180000000002E-2</v>
      </c>
      <c r="U2237">
        <v>0.18222050000000001</v>
      </c>
      <c r="V2237">
        <v>0.20425289999999999</v>
      </c>
      <c r="W2237">
        <v>8.7519410000000006E-2</v>
      </c>
      <c r="X2237">
        <v>0.97499800000000003</v>
      </c>
      <c r="Y2237">
        <v>0.60213809999999901</v>
      </c>
      <c r="Z2237">
        <v>2.3261770000000001E-2</v>
      </c>
      <c r="AA2237">
        <v>0.79805300000000001</v>
      </c>
      <c r="AB2237">
        <v>24</v>
      </c>
      <c r="AC2237">
        <v>-39.1632999999999</v>
      </c>
      <c r="AD2237">
        <v>-1.0976643699372</v>
      </c>
      <c r="AE2237">
        <v>2.2838999999999601</v>
      </c>
      <c r="AF2237">
        <v>23.741739102483301</v>
      </c>
      <c r="AG2237">
        <v>-1.0976643699372</v>
      </c>
      <c r="AH2237">
        <v>31.1913959814298</v>
      </c>
      <c r="AI2237">
        <v>91.603991545507</v>
      </c>
      <c r="AJ2237">
        <v>52.722948491942901</v>
      </c>
      <c r="AK2237">
        <v>39.214515500637901</v>
      </c>
      <c r="AL2237">
        <v>84.979083460008994</v>
      </c>
      <c r="AM2237">
        <v>78.168178354324496</v>
      </c>
      <c r="AN2237">
        <v>0.99999999714457899</v>
      </c>
    </row>
    <row r="2238" spans="1:40" x14ac:dyDescent="0.3">
      <c r="A2238" t="str">
        <f>"20200111145959150"</f>
        <v>20200111145959150</v>
      </c>
      <c r="B2238" t="str">
        <f>"1578725999148362"</f>
        <v>1578725999148362</v>
      </c>
      <c r="C2238" t="s">
        <v>40</v>
      </c>
      <c r="D2238">
        <v>4.2544120000000003</v>
      </c>
      <c r="E2238">
        <v>0.58322629999999998</v>
      </c>
      <c r="F2238" t="s">
        <v>67</v>
      </c>
      <c r="G2238">
        <v>-323.29700000000003</v>
      </c>
      <c r="H2238">
        <v>0.32059399999999999</v>
      </c>
      <c r="I2238">
        <v>268.67059999999998</v>
      </c>
      <c r="J2238">
        <v>-203.2294</v>
      </c>
      <c r="K2238">
        <v>1.0976440000000001</v>
      </c>
      <c r="L2238">
        <v>285.99950000000001</v>
      </c>
      <c r="M2238">
        <v>-0.83517870000000005</v>
      </c>
      <c r="N2238">
        <v>0</v>
      </c>
      <c r="O2238">
        <v>-0.54982819999999899</v>
      </c>
      <c r="P2238">
        <v>-0.92565799999999998</v>
      </c>
      <c r="Q2238">
        <v>7.8296180000000007E-2</v>
      </c>
      <c r="R2238">
        <v>-0.37017220000000001</v>
      </c>
      <c r="S2238">
        <v>-3.070236</v>
      </c>
      <c r="T2238">
        <v>-1.983619E-2</v>
      </c>
      <c r="U2238">
        <v>-0.4454651</v>
      </c>
      <c r="V2238">
        <v>0.20135539999999999</v>
      </c>
      <c r="W2238">
        <v>8.7387380000000001E-2</v>
      </c>
      <c r="X2238">
        <v>0.97561229999999999</v>
      </c>
      <c r="Y2238">
        <v>0.42422559999999898</v>
      </c>
      <c r="Z2238">
        <v>4.7046800000000001E-3</v>
      </c>
      <c r="AA2238">
        <v>0.90554429999999997</v>
      </c>
      <c r="AB2238">
        <v>24</v>
      </c>
      <c r="AC2238">
        <v>-120.0676</v>
      </c>
      <c r="AD2238">
        <v>-0.77705000000000002</v>
      </c>
      <c r="AE2238">
        <v>-17.328900000000001</v>
      </c>
      <c r="AF2238">
        <v>51.545974834470698</v>
      </c>
      <c r="AG2238">
        <v>-0.77705000000000002</v>
      </c>
      <c r="AH2238">
        <v>109.81040153030099</v>
      </c>
      <c r="AI2238">
        <v>90.367012556394201</v>
      </c>
      <c r="AJ2238">
        <v>64.854223717143199</v>
      </c>
      <c r="AK2238">
        <v>121.309173653868</v>
      </c>
      <c r="AL2238">
        <v>84.986677108016494</v>
      </c>
      <c r="AM2238">
        <v>78.338534385553501</v>
      </c>
      <c r="AN2238">
        <v>0.99999995560185595</v>
      </c>
    </row>
    <row r="2239" spans="1:40" x14ac:dyDescent="0.3">
      <c r="A2239" t="str">
        <f>"20200111145959171"</f>
        <v>20200111145959171</v>
      </c>
      <c r="B2239" t="str">
        <f>"1578725999167883"</f>
        <v>1578725999167883</v>
      </c>
      <c r="C2239" t="s">
        <v>40</v>
      </c>
      <c r="D2239">
        <v>4.2443549999999997</v>
      </c>
      <c r="E2239">
        <v>0.58101969999999903</v>
      </c>
      <c r="F2239" t="s">
        <v>43</v>
      </c>
      <c r="G2239">
        <v>-291.3682</v>
      </c>
      <c r="H2239">
        <v>-0.05</v>
      </c>
      <c r="I2239">
        <v>271.80959999999999</v>
      </c>
      <c r="J2239">
        <v>-203.4332</v>
      </c>
      <c r="K2239">
        <v>1.097626</v>
      </c>
      <c r="L2239">
        <v>285.87900000000002</v>
      </c>
      <c r="M2239">
        <v>-0.84079599999999899</v>
      </c>
      <c r="N2239">
        <v>0</v>
      </c>
      <c r="O2239">
        <v>-0.54120059999999903</v>
      </c>
      <c r="P2239">
        <v>-0.92796599999999996</v>
      </c>
      <c r="Q2239">
        <v>7.8906340000000005E-2</v>
      </c>
      <c r="R2239">
        <v>-0.36421589999999998</v>
      </c>
      <c r="S2239">
        <v>-3.0480649999999998</v>
      </c>
      <c r="T2239">
        <v>-3.9688470000000003E-2</v>
      </c>
      <c r="U2239">
        <v>-0.49072270000000001</v>
      </c>
      <c r="V2239">
        <v>0.19755819999999999</v>
      </c>
      <c r="W2239">
        <v>8.8004379999999993E-2</v>
      </c>
      <c r="X2239">
        <v>0.97633289999999995</v>
      </c>
      <c r="Y2239">
        <v>0.40063779999999999</v>
      </c>
      <c r="Z2239">
        <v>9.2174939999999997E-3</v>
      </c>
      <c r="AA2239">
        <v>0.91619010000000001</v>
      </c>
      <c r="AB2239">
        <v>24</v>
      </c>
      <c r="AC2239">
        <v>-87.935000000000002</v>
      </c>
      <c r="AD2239">
        <v>-1.147626</v>
      </c>
      <c r="AE2239">
        <v>-14.0694</v>
      </c>
      <c r="AF2239">
        <v>35.757973784355002</v>
      </c>
      <c r="AG2239">
        <v>-1.147626</v>
      </c>
      <c r="AH2239">
        <v>81.542909669438103</v>
      </c>
      <c r="AI2239">
        <v>90.738448924302205</v>
      </c>
      <c r="AJ2239">
        <v>66.321719343165995</v>
      </c>
      <c r="AK2239">
        <v>89.046032207822904</v>
      </c>
      <c r="AL2239">
        <v>84.951188969533504</v>
      </c>
      <c r="AM2239">
        <v>78.560815532834695</v>
      </c>
      <c r="AN2239">
        <v>0.99999997245441596</v>
      </c>
    </row>
    <row r="2240" spans="1:40" x14ac:dyDescent="0.3">
      <c r="A2240" t="str">
        <f>"20200111145959194"</f>
        <v>20200111145959194</v>
      </c>
      <c r="B2240" t="str">
        <f>"1578725999188378"</f>
        <v>1578725999188378</v>
      </c>
      <c r="C2240" t="s">
        <v>40</v>
      </c>
      <c r="D2240">
        <v>4.2381349999999998</v>
      </c>
      <c r="E2240">
        <v>0.57932430000000001</v>
      </c>
      <c r="F2240" t="s">
        <v>62</v>
      </c>
      <c r="G2240">
        <v>-263.23239999999998</v>
      </c>
      <c r="H2240">
        <v>8.0000500000000002E-2</v>
      </c>
      <c r="I2240">
        <v>276.31360000000001</v>
      </c>
      <c r="J2240">
        <v>-203.65260000000001</v>
      </c>
      <c r="K2240">
        <v>1.0976109999999999</v>
      </c>
      <c r="L2240">
        <v>285.75240000000002</v>
      </c>
      <c r="M2240">
        <v>-0.84671240000000003</v>
      </c>
      <c r="N2240">
        <v>0</v>
      </c>
      <c r="O2240">
        <v>-0.53189889999999995</v>
      </c>
      <c r="P2240">
        <v>-0.9304154</v>
      </c>
      <c r="Q2240">
        <v>7.9667909999999995E-2</v>
      </c>
      <c r="R2240">
        <v>-0.35774329999999999</v>
      </c>
      <c r="S2240">
        <v>-3.0460509999999998</v>
      </c>
      <c r="T2240">
        <v>-5.1835779999999998E-2</v>
      </c>
      <c r="U2240">
        <v>-0.4872437</v>
      </c>
      <c r="V2240">
        <v>0.19356760000000001</v>
      </c>
      <c r="W2240">
        <v>8.875342E-2</v>
      </c>
      <c r="X2240">
        <v>0.97706420000000005</v>
      </c>
      <c r="Y2240">
        <v>0.39139289999999999</v>
      </c>
      <c r="Z2240">
        <v>1.183798E-2</v>
      </c>
      <c r="AA2240">
        <v>0.92014750000000001</v>
      </c>
      <c r="AB2240">
        <v>24</v>
      </c>
      <c r="AC2240">
        <v>-59.579799999999899</v>
      </c>
      <c r="AD2240">
        <v>-1.0176105</v>
      </c>
      <c r="AE2240">
        <v>-9.4388000000000094</v>
      </c>
      <c r="AF2240">
        <v>23.693654333429901</v>
      </c>
      <c r="AG2240">
        <v>-1.0176105</v>
      </c>
      <c r="AH2240">
        <v>55.4561455501387</v>
      </c>
      <c r="AI2240">
        <v>90.966729295981395</v>
      </c>
      <c r="AJ2240">
        <v>66.865389793040706</v>
      </c>
      <c r="AK2240">
        <v>60.314250936904998</v>
      </c>
      <c r="AL2240">
        <v>84.908103773446697</v>
      </c>
      <c r="AM2240">
        <v>78.794149694560403</v>
      </c>
      <c r="AN2240">
        <v>1.00000001812654</v>
      </c>
    </row>
    <row r="2241" spans="1:40" x14ac:dyDescent="0.3">
      <c r="A2241" t="str">
        <f>"20200111145959216"</f>
        <v>20200111145959216</v>
      </c>
      <c r="B2241" t="str">
        <f>"1578725999207898"</f>
        <v>1578725999207898</v>
      </c>
      <c r="C2241" t="s">
        <v>40</v>
      </c>
      <c r="D2241">
        <v>4.2285750000000002</v>
      </c>
      <c r="E2241">
        <v>0.57816969999999901</v>
      </c>
      <c r="F2241" t="s">
        <v>62</v>
      </c>
      <c r="G2241">
        <v>-265.73630000000003</v>
      </c>
      <c r="H2241">
        <v>8.0001249999999996E-2</v>
      </c>
      <c r="I2241">
        <v>275.99439999999998</v>
      </c>
      <c r="J2241">
        <v>-203.87270000000001</v>
      </c>
      <c r="K2241">
        <v>1.0975870000000001</v>
      </c>
      <c r="L2241">
        <v>285.62849999999997</v>
      </c>
      <c r="M2241">
        <v>-0.852508499999999</v>
      </c>
      <c r="N2241">
        <v>0</v>
      </c>
      <c r="O2241">
        <v>-0.52256130000000001</v>
      </c>
      <c r="P2241">
        <v>-0.93308420000000003</v>
      </c>
      <c r="Q2241">
        <v>8.0403820000000001E-2</v>
      </c>
      <c r="R2241">
        <v>-0.35055570000000003</v>
      </c>
      <c r="S2241">
        <v>-3.0446620000000002</v>
      </c>
      <c r="T2241">
        <v>-4.9904820000000003E-2</v>
      </c>
      <c r="U2241">
        <v>-0.47854609999999898</v>
      </c>
      <c r="V2241">
        <v>0.19034010000000001</v>
      </c>
      <c r="W2241">
        <v>8.9446830000000005E-2</v>
      </c>
      <c r="X2241">
        <v>0.97763480000000003</v>
      </c>
      <c r="Y2241">
        <v>0.38377489999999997</v>
      </c>
      <c r="Z2241">
        <v>1.121573E-2</v>
      </c>
      <c r="AA2241">
        <v>0.92335860000000003</v>
      </c>
      <c r="AB2241">
        <v>24</v>
      </c>
      <c r="AC2241">
        <v>-61.863599999999998</v>
      </c>
      <c r="AD2241">
        <v>-1.0175857500000001</v>
      </c>
      <c r="AE2241">
        <v>-9.6340999999999894</v>
      </c>
      <c r="AF2241">
        <v>24.109918916636001</v>
      </c>
      <c r="AG2241">
        <v>-1.0175857500000001</v>
      </c>
      <c r="AH2241">
        <v>57.762986041153503</v>
      </c>
      <c r="AI2241">
        <v>90.931389738264201</v>
      </c>
      <c r="AJ2241">
        <v>67.344639878769797</v>
      </c>
      <c r="AK2241">
        <v>62.601008197279597</v>
      </c>
      <c r="AL2241">
        <v>84.868215285759504</v>
      </c>
      <c r="AM2241">
        <v>78.982655670635296</v>
      </c>
      <c r="AN2241">
        <v>0.99999994561804795</v>
      </c>
    </row>
    <row r="2242" spans="1:40" x14ac:dyDescent="0.3">
      <c r="A2242" t="str">
        <f>"20200111145959239"</f>
        <v>20200111145959239</v>
      </c>
      <c r="B2242" t="str">
        <f>"1578725999228395"</f>
        <v>1578725999228395</v>
      </c>
      <c r="C2242" t="s">
        <v>40</v>
      </c>
      <c r="D2242">
        <v>4.2021600000000001</v>
      </c>
      <c r="E2242">
        <v>0.57725159999999998</v>
      </c>
      <c r="F2242" t="s">
        <v>62</v>
      </c>
      <c r="G2242">
        <v>-261.13260000000002</v>
      </c>
      <c r="H2242">
        <v>8.0001130000000004E-2</v>
      </c>
      <c r="I2242">
        <v>276.9085</v>
      </c>
      <c r="J2242">
        <v>-204.0908</v>
      </c>
      <c r="K2242">
        <v>1.097567</v>
      </c>
      <c r="L2242">
        <v>285.50889999999998</v>
      </c>
      <c r="M2242">
        <v>-0.85811099999999996</v>
      </c>
      <c r="N2242">
        <v>0</v>
      </c>
      <c r="O2242">
        <v>-0.51331199999999999</v>
      </c>
      <c r="P2242">
        <v>-0.93600000000000005</v>
      </c>
      <c r="Q2242">
        <v>8.0714480000000005E-2</v>
      </c>
      <c r="R2242">
        <v>-0.34262140000000002</v>
      </c>
      <c r="S2242">
        <v>-3.045563</v>
      </c>
      <c r="T2242">
        <v>-5.412376E-2</v>
      </c>
      <c r="U2242">
        <v>-0.4638062</v>
      </c>
      <c r="V2242">
        <v>0.18805520000000001</v>
      </c>
      <c r="W2242">
        <v>8.9692369999999993E-2</v>
      </c>
      <c r="X2242">
        <v>0.97805450000000005</v>
      </c>
      <c r="Y2242">
        <v>0.37817040000000002</v>
      </c>
      <c r="Z2242">
        <v>1.197879E-2</v>
      </c>
      <c r="AA2242">
        <v>0.92565850000000005</v>
      </c>
      <c r="AB2242">
        <v>24</v>
      </c>
      <c r="AC2242">
        <v>-57.041800000000002</v>
      </c>
      <c r="AD2242">
        <v>-1.0175658700000001</v>
      </c>
      <c r="AE2242">
        <v>-8.6003999999999792</v>
      </c>
      <c r="AF2242">
        <v>21.895041572646601</v>
      </c>
      <c r="AG2242">
        <v>-1.0175658700000001</v>
      </c>
      <c r="AH2242">
        <v>53.350455175923898</v>
      </c>
      <c r="AI2242">
        <v>91.010883060767497</v>
      </c>
      <c r="AJ2242">
        <v>67.686739858549998</v>
      </c>
      <c r="AK2242">
        <v>57.677546352510298</v>
      </c>
      <c r="AL2242">
        <v>84.854090602487304</v>
      </c>
      <c r="AM2242">
        <v>79.1162922215903</v>
      </c>
      <c r="AN2242">
        <v>1.0000000422267501</v>
      </c>
    </row>
    <row r="2243" spans="1:40" x14ac:dyDescent="0.3">
      <c r="A2243" t="str">
        <f>"20200111145959260"</f>
        <v>20200111145959260</v>
      </c>
      <c r="B2243" t="str">
        <f>"1578725999258650"</f>
        <v>1578725999258650</v>
      </c>
      <c r="C2243" t="s">
        <v>40</v>
      </c>
      <c r="D2243">
        <v>4.2445680000000001</v>
      </c>
      <c r="E2243">
        <v>0.57587949999999999</v>
      </c>
      <c r="F2243" t="s">
        <v>62</v>
      </c>
      <c r="G2243">
        <v>-253.15969999999999</v>
      </c>
      <c r="H2243">
        <v>8.000053E-2</v>
      </c>
      <c r="I2243">
        <v>278.34309999999999</v>
      </c>
      <c r="J2243">
        <v>-204.30359999999999</v>
      </c>
      <c r="K2243">
        <v>1.0975440000000001</v>
      </c>
      <c r="L2243">
        <v>285.39499999999998</v>
      </c>
      <c r="M2243">
        <v>-0.86344920000000003</v>
      </c>
      <c r="N2243">
        <v>0</v>
      </c>
      <c r="O2243">
        <v>-0.50428409999999901</v>
      </c>
      <c r="P2243">
        <v>-0.93889469999999997</v>
      </c>
      <c r="Q2243">
        <v>8.0832780000000007E-2</v>
      </c>
      <c r="R2243">
        <v>-0.33457920000000002</v>
      </c>
      <c r="S2243">
        <v>-3.0476839999999998</v>
      </c>
      <c r="T2243">
        <v>-6.3201309999999997E-2</v>
      </c>
      <c r="U2243">
        <v>-0.44506839999999998</v>
      </c>
      <c r="V2243">
        <v>0.1861806</v>
      </c>
      <c r="W2243">
        <v>8.9737949999999997E-2</v>
      </c>
      <c r="X2243">
        <v>0.97840890000000003</v>
      </c>
      <c r="Y2243">
        <v>0.37407580000000001</v>
      </c>
      <c r="Z2243">
        <v>1.3786069999999999E-2</v>
      </c>
      <c r="AA2243">
        <v>0.92729569999999995</v>
      </c>
      <c r="AB2243">
        <v>24</v>
      </c>
      <c r="AC2243">
        <v>-48.856099999999998</v>
      </c>
      <c r="AD2243">
        <v>-1.0175434699999999</v>
      </c>
      <c r="AE2243">
        <v>-7.0518999999999803</v>
      </c>
      <c r="AF2243">
        <v>18.541937407266101</v>
      </c>
      <c r="AG2243">
        <v>-1.0175434699999999</v>
      </c>
      <c r="AH2243">
        <v>45.7249919379868</v>
      </c>
      <c r="AI2243">
        <v>91.181414162155306</v>
      </c>
      <c r="AJ2243">
        <v>67.926958093436298</v>
      </c>
      <c r="AK2243">
        <v>49.351937401253799</v>
      </c>
      <c r="AL2243">
        <v>84.851468504313999</v>
      </c>
      <c r="AM2243">
        <v>79.226043801668496</v>
      </c>
      <c r="AN2243">
        <v>1.0000000455428799</v>
      </c>
    </row>
    <row r="2244" spans="1:40" x14ac:dyDescent="0.3">
      <c r="A2244" t="str">
        <f>"20200111145959285"</f>
        <v>20200111145959285</v>
      </c>
      <c r="B2244" t="str">
        <f>"1578725999278170"</f>
        <v>1578725999278170</v>
      </c>
      <c r="C2244" t="s">
        <v>40</v>
      </c>
      <c r="D2244">
        <v>4.095707</v>
      </c>
      <c r="E2244">
        <v>0.57474320000000001</v>
      </c>
      <c r="F2244" t="s">
        <v>62</v>
      </c>
      <c r="G2244">
        <v>-245.50120000000001</v>
      </c>
      <c r="H2244">
        <v>7.0016610000000007E-2</v>
      </c>
      <c r="I2244">
        <v>279.59629999999999</v>
      </c>
      <c r="J2244">
        <v>-204.54130000000001</v>
      </c>
      <c r="K2244">
        <v>1.097523</v>
      </c>
      <c r="L2244">
        <v>285.2715</v>
      </c>
      <c r="M2244">
        <v>-0.86925479999999999</v>
      </c>
      <c r="N2244">
        <v>0</v>
      </c>
      <c r="O2244">
        <v>-0.49421219999999999</v>
      </c>
      <c r="P2244">
        <v>-0.94227620000000001</v>
      </c>
      <c r="Q2244">
        <v>8.0256540000000001E-2</v>
      </c>
      <c r="R2244">
        <v>-0.3250768</v>
      </c>
      <c r="S2244">
        <v>-3.0488590000000002</v>
      </c>
      <c r="T2244">
        <v>-7.6043009999999994E-2</v>
      </c>
      <c r="U2244">
        <v>-0.42913820000000003</v>
      </c>
      <c r="V2244">
        <v>0.18470220000000001</v>
      </c>
      <c r="W2244">
        <v>8.9071629999999999E-2</v>
      </c>
      <c r="X2244">
        <v>0.97874989999999995</v>
      </c>
      <c r="Y2244">
        <v>0.36801139999999999</v>
      </c>
      <c r="Z2244">
        <v>1.6298690000000001E-2</v>
      </c>
      <c r="AA2244">
        <v>0.92967840000000002</v>
      </c>
      <c r="AB2244">
        <v>25</v>
      </c>
      <c r="AC2244">
        <v>-40.959899999999998</v>
      </c>
      <c r="AD2244">
        <v>-1.0275063900000001</v>
      </c>
      <c r="AE2244">
        <v>-5.67520000000001</v>
      </c>
      <c r="AF2244">
        <v>15.3013911712852</v>
      </c>
      <c r="AG2244">
        <v>-1.0275063900000001</v>
      </c>
      <c r="AH2244">
        <v>38.388528840216701</v>
      </c>
      <c r="AI2244">
        <v>91.4242876205644</v>
      </c>
      <c r="AJ2244">
        <v>68.268129965417401</v>
      </c>
      <c r="AK2244">
        <v>41.338450475003597</v>
      </c>
      <c r="AL2244">
        <v>84.8897991576777</v>
      </c>
      <c r="AM2244">
        <v>79.313255697049797</v>
      </c>
      <c r="AN2244">
        <v>1.0000000123528501</v>
      </c>
    </row>
    <row r="2245" spans="1:40" x14ac:dyDescent="0.3">
      <c r="A2245" t="str">
        <f>"20200111145959306"</f>
        <v>20200111145959306</v>
      </c>
      <c r="B2245" t="str">
        <f>"1578725999298666"</f>
        <v>1578725999298666</v>
      </c>
      <c r="C2245" t="s">
        <v>40</v>
      </c>
      <c r="D2245">
        <v>4.0968010000000001</v>
      </c>
      <c r="E2245">
        <v>0.57354700000000003</v>
      </c>
      <c r="F2245" t="s">
        <v>62</v>
      </c>
      <c r="G2245">
        <v>-245.04920000000001</v>
      </c>
      <c r="H2245" s="1">
        <v>1.150123E-6</v>
      </c>
      <c r="I2245">
        <v>279.86689999999999</v>
      </c>
      <c r="J2245">
        <v>-204.76159999999999</v>
      </c>
      <c r="K2245">
        <v>1.09749599999999</v>
      </c>
      <c r="L2245">
        <v>285.16000000000003</v>
      </c>
      <c r="M2245">
        <v>-0.87449569999999999</v>
      </c>
      <c r="N2245">
        <v>0</v>
      </c>
      <c r="O2245">
        <v>-0.48488100000000001</v>
      </c>
      <c r="P2245">
        <v>-0.94541439999999999</v>
      </c>
      <c r="Q2245">
        <v>7.938945E-2</v>
      </c>
      <c r="R2245">
        <v>-0.31605229999999901</v>
      </c>
      <c r="S2245">
        <v>-3.0503849999999999</v>
      </c>
      <c r="T2245">
        <v>-8.2647319999999996E-2</v>
      </c>
      <c r="U2245">
        <v>-0.40698240000000002</v>
      </c>
      <c r="V2245">
        <v>0.18360380000000001</v>
      </c>
      <c r="W2245">
        <v>8.8118859999999993E-2</v>
      </c>
      <c r="X2245">
        <v>0.97904279999999999</v>
      </c>
      <c r="Y2245">
        <v>0.3647088</v>
      </c>
      <c r="Z2245">
        <v>1.7455410000000001E-2</v>
      </c>
      <c r="AA2245">
        <v>0.93095799999999995</v>
      </c>
      <c r="AB2245">
        <v>25</v>
      </c>
      <c r="AC2245">
        <v>-40.287599999999998</v>
      </c>
      <c r="AD2245">
        <v>-1.0974948498770001</v>
      </c>
      <c r="AE2245">
        <v>-5.2931000000000301</v>
      </c>
      <c r="AF2245">
        <v>14.896132571618599</v>
      </c>
      <c r="AG2245">
        <v>-1.0974948498770001</v>
      </c>
      <c r="AH2245">
        <v>37.773092266709597</v>
      </c>
      <c r="AI2245">
        <v>91.548276100959896</v>
      </c>
      <c r="AJ2245">
        <v>68.477791311768698</v>
      </c>
      <c r="AK2245">
        <v>40.619031991495099</v>
      </c>
      <c r="AL2245">
        <v>84.944604542283798</v>
      </c>
      <c r="AM2245">
        <v>79.378463543483406</v>
      </c>
      <c r="AN2245">
        <v>1.00000004654698</v>
      </c>
    </row>
    <row r="2246" spans="1:40" x14ac:dyDescent="0.3">
      <c r="A2246" t="str">
        <f>"20200111145959329"</f>
        <v>20200111145959329</v>
      </c>
      <c r="B2246" t="str">
        <f>"1578725999318186"</f>
        <v>1578725999318186</v>
      </c>
      <c r="C2246" t="s">
        <v>40</v>
      </c>
      <c r="D2246">
        <v>4.204485</v>
      </c>
      <c r="E2246">
        <v>0.57269169999999903</v>
      </c>
      <c r="F2246" t="s">
        <v>62</v>
      </c>
      <c r="G2246">
        <v>-244.82220000000001</v>
      </c>
      <c r="H2246" s="1">
        <v>1.0293560000000001E-6</v>
      </c>
      <c r="I2246">
        <v>280.08010000000002</v>
      </c>
      <c r="J2246">
        <v>-204.98830000000001</v>
      </c>
      <c r="K2246">
        <v>1.0974710000000001</v>
      </c>
      <c r="L2246">
        <v>285.04820000000001</v>
      </c>
      <c r="M2246">
        <v>-0.87975000000000003</v>
      </c>
      <c r="N2246">
        <v>0</v>
      </c>
      <c r="O2246">
        <v>-0.47528409999999899</v>
      </c>
      <c r="P2246">
        <v>-0.94844819999999996</v>
      </c>
      <c r="Q2246">
        <v>7.9363509999999998E-2</v>
      </c>
      <c r="R2246">
        <v>-0.30683549999999998</v>
      </c>
      <c r="S2246">
        <v>-3.0509029999999999</v>
      </c>
      <c r="T2246">
        <v>-8.3582160000000003E-2</v>
      </c>
      <c r="U2246">
        <v>-0.38687129999999997</v>
      </c>
      <c r="V2246">
        <v>0.18242030000000001</v>
      </c>
      <c r="W2246">
        <v>8.8005349999999996E-2</v>
      </c>
      <c r="X2246">
        <v>0.97927419999999998</v>
      </c>
      <c r="Y2246">
        <v>0.36057060000000002</v>
      </c>
      <c r="Z2246">
        <v>1.737592E-2</v>
      </c>
      <c r="AA2246">
        <v>0.93257000000000001</v>
      </c>
      <c r="AB2246">
        <v>25</v>
      </c>
      <c r="AC2246">
        <v>-39.8339</v>
      </c>
      <c r="AD2246">
        <v>-1.0974699706440001</v>
      </c>
      <c r="AE2246">
        <v>-4.96809999999999</v>
      </c>
      <c r="AF2246">
        <v>14.5519122226095</v>
      </c>
      <c r="AG2246">
        <v>-1.0974699706440001</v>
      </c>
      <c r="AH2246">
        <v>37.379904693066997</v>
      </c>
      <c r="AI2246">
        <v>91.567208739660501</v>
      </c>
      <c r="AJ2246">
        <v>68.729149458183301</v>
      </c>
      <c r="AK2246">
        <v>40.127544960211203</v>
      </c>
      <c r="AL2246">
        <v>84.951133483304403</v>
      </c>
      <c r="AM2246">
        <v>79.447824162552195</v>
      </c>
      <c r="AN2246">
        <v>1.00000003313317</v>
      </c>
    </row>
    <row r="2247" spans="1:40" x14ac:dyDescent="0.3">
      <c r="A2247" t="str">
        <f>"20200111145959350"</f>
        <v>20200111145959350</v>
      </c>
      <c r="B2247" t="str">
        <f>"1578725999348443"</f>
        <v>1578725999348443</v>
      </c>
      <c r="C2247" t="s">
        <v>40</v>
      </c>
      <c r="D2247">
        <v>4.1768369999999999</v>
      </c>
      <c r="E2247">
        <v>0.56227669999999996</v>
      </c>
      <c r="F2247" t="s">
        <v>62</v>
      </c>
      <c r="G2247">
        <v>-243.7424</v>
      </c>
      <c r="H2247" s="1">
        <v>4.547164E-7</v>
      </c>
      <c r="I2247">
        <v>280.43169999999998</v>
      </c>
      <c r="J2247">
        <v>-205.203</v>
      </c>
      <c r="K2247">
        <v>1.0974469999999901</v>
      </c>
      <c r="L2247">
        <v>284.94510000000002</v>
      </c>
      <c r="M2247">
        <v>-0.88460459999999996</v>
      </c>
      <c r="N2247">
        <v>0</v>
      </c>
      <c r="O2247">
        <v>-0.46618920000000003</v>
      </c>
      <c r="P2247">
        <v>-0.9513104</v>
      </c>
      <c r="Q2247">
        <v>7.9779550000000005E-2</v>
      </c>
      <c r="R2247">
        <v>-0.29773169999999999</v>
      </c>
      <c r="S2247">
        <v>-3.052673</v>
      </c>
      <c r="T2247">
        <v>-8.6448070000000002E-2</v>
      </c>
      <c r="U2247">
        <v>-0.36364750000000001</v>
      </c>
      <c r="V2247">
        <v>0.1817001</v>
      </c>
      <c r="W2247">
        <v>8.8319789999999995E-2</v>
      </c>
      <c r="X2247">
        <v>0.97937969999999996</v>
      </c>
      <c r="Y2247">
        <v>0.35799360000000002</v>
      </c>
      <c r="Z2247">
        <v>1.771199E-2</v>
      </c>
      <c r="AA2247">
        <v>0.93355600000000005</v>
      </c>
      <c r="AB2247">
        <v>25</v>
      </c>
      <c r="AC2247">
        <v>-38.539400000000001</v>
      </c>
      <c r="AD2247">
        <v>-1.09744654528359</v>
      </c>
      <c r="AE2247">
        <v>-4.5134000000000398</v>
      </c>
      <c r="AF2247">
        <v>13.963902373737501</v>
      </c>
      <c r="AG2247">
        <v>-1.09744654528359</v>
      </c>
      <c r="AH2247">
        <v>36.169872431415001</v>
      </c>
      <c r="AI2247">
        <v>91.621341216465595</v>
      </c>
      <c r="AJ2247">
        <v>68.890197277175503</v>
      </c>
      <c r="AK2247">
        <v>38.787299856110899</v>
      </c>
      <c r="AL2247">
        <v>84.9330465708899</v>
      </c>
      <c r="AM2247">
        <v>79.489661211219399</v>
      </c>
      <c r="AN2247">
        <v>0.999999954208871</v>
      </c>
    </row>
    <row r="2248" spans="1:40" x14ac:dyDescent="0.3">
      <c r="A2248" t="str">
        <f>"20200111145959372"</f>
        <v>20200111145959372</v>
      </c>
      <c r="B2248" t="str">
        <f>"1578725999367962"</f>
        <v>1578725999367962</v>
      </c>
      <c r="C2248" t="s">
        <v>40</v>
      </c>
      <c r="D2248">
        <v>4.2308669999999999</v>
      </c>
      <c r="E2248">
        <v>0.56108009999999997</v>
      </c>
      <c r="F2248" t="s">
        <v>62</v>
      </c>
      <c r="G2248">
        <v>-218.50470000000001</v>
      </c>
      <c r="H2248" s="1">
        <v>2.9889709999999999E-6</v>
      </c>
      <c r="I2248">
        <v>283.14870000000002</v>
      </c>
      <c r="J2248">
        <v>-205.4239</v>
      </c>
      <c r="K2248">
        <v>1.097415</v>
      </c>
      <c r="L2248">
        <v>284.84190000000001</v>
      </c>
      <c r="M2248">
        <v>-0.88947569999999998</v>
      </c>
      <c r="N2248">
        <v>0</v>
      </c>
      <c r="O2248">
        <v>-0.45683000000000001</v>
      </c>
      <c r="P2248">
        <v>-0.95399619999999996</v>
      </c>
      <c r="Q2248">
        <v>8.073118E-2</v>
      </c>
      <c r="R2248">
        <v>-0.28874529999999998</v>
      </c>
      <c r="S2248">
        <v>-3.045868</v>
      </c>
      <c r="T2248">
        <v>-0.25129699999999999</v>
      </c>
      <c r="U2248">
        <v>-0.4113464</v>
      </c>
      <c r="V2248">
        <v>0.18058370000000001</v>
      </c>
      <c r="W2248">
        <v>8.9149530000000005E-2</v>
      </c>
      <c r="X2248">
        <v>0.97951100000000002</v>
      </c>
      <c r="Y2248">
        <v>0.33119860000000001</v>
      </c>
      <c r="Z2248">
        <v>4.9659920000000003E-2</v>
      </c>
      <c r="AA2248">
        <v>0.94225340000000002</v>
      </c>
      <c r="AB2248">
        <v>25</v>
      </c>
      <c r="AC2248">
        <v>-13.0808</v>
      </c>
      <c r="AD2248">
        <v>-1.097412011029</v>
      </c>
      <c r="AE2248">
        <v>-1.69319999999999</v>
      </c>
      <c r="AF2248">
        <v>4.4392231010923497</v>
      </c>
      <c r="AG2248">
        <v>-1.097412011029</v>
      </c>
      <c r="AH2248">
        <v>12.324110844955401</v>
      </c>
      <c r="AI2248">
        <v>94.788868104735499</v>
      </c>
      <c r="AJ2248">
        <v>70.190657331131305</v>
      </c>
      <c r="AK2248">
        <v>13.145140660410201</v>
      </c>
      <c r="AL2248">
        <v>84.885317696475596</v>
      </c>
      <c r="AM2248">
        <v>79.554182218738603</v>
      </c>
      <c r="AN2248">
        <v>0.99999995526295404</v>
      </c>
    </row>
    <row r="2249" spans="1:40" x14ac:dyDescent="0.3">
      <c r="A2249" t="str">
        <f>"20200111145959395"</f>
        <v>20200111145959395</v>
      </c>
      <c r="B2249" t="str">
        <f>"1578725999388458"</f>
        <v>1578725999388458</v>
      </c>
      <c r="C2249" t="s">
        <v>40</v>
      </c>
      <c r="D2249">
        <v>4.2909930000000003</v>
      </c>
      <c r="E2249">
        <v>0.56314489999999995</v>
      </c>
      <c r="F2249" t="s">
        <v>62</v>
      </c>
      <c r="G2249">
        <v>-237.7773</v>
      </c>
      <c r="H2249" s="1">
        <v>2.7759150000000002E-6</v>
      </c>
      <c r="I2249">
        <v>280.63499999999999</v>
      </c>
      <c r="J2249">
        <v>-205.6636</v>
      </c>
      <c r="K2249">
        <v>1.097367</v>
      </c>
      <c r="L2249">
        <v>284.73289999999997</v>
      </c>
      <c r="M2249">
        <v>-0.89462419999999998</v>
      </c>
      <c r="N2249">
        <v>0</v>
      </c>
      <c r="O2249">
        <v>-0.44666860000000003</v>
      </c>
      <c r="P2249">
        <v>-0.95686040000000006</v>
      </c>
      <c r="Q2249">
        <v>8.1201339999999997E-2</v>
      </c>
      <c r="R2249">
        <v>-0.27897060000000001</v>
      </c>
      <c r="S2249">
        <v>-3.0339510000000001</v>
      </c>
      <c r="T2249">
        <v>-0.1029103</v>
      </c>
      <c r="U2249">
        <v>-0.39450069999999998</v>
      </c>
      <c r="V2249">
        <v>0.17943589999999901</v>
      </c>
      <c r="W2249">
        <v>8.9448710000000001E-2</v>
      </c>
      <c r="X2249">
        <v>0.97969470000000003</v>
      </c>
      <c r="Y2249">
        <v>0.3271886</v>
      </c>
      <c r="Z2249">
        <v>2.008188E-2</v>
      </c>
      <c r="AA2249">
        <v>0.94474570000000002</v>
      </c>
      <c r="AB2249">
        <v>25</v>
      </c>
      <c r="AC2249">
        <v>-32.113699999999902</v>
      </c>
      <c r="AD2249">
        <v>-1.0973642240849999</v>
      </c>
      <c r="AE2249">
        <v>-4.0978999999999797</v>
      </c>
      <c r="AF2249">
        <v>10.6665646766895</v>
      </c>
      <c r="AG2249">
        <v>-1.0973642240849999</v>
      </c>
      <c r="AH2249">
        <v>30.527080404791398</v>
      </c>
      <c r="AI2249">
        <v>91.943603917126396</v>
      </c>
      <c r="AJ2249">
        <v>70.739911589375296</v>
      </c>
      <c r="AK2249">
        <v>32.355562864566302</v>
      </c>
      <c r="AL2249">
        <v>84.868107465240797</v>
      </c>
      <c r="AM2249">
        <v>79.621032666368194</v>
      </c>
      <c r="AN2249">
        <v>1.00000000956878</v>
      </c>
    </row>
    <row r="2250" spans="1:40" x14ac:dyDescent="0.3">
      <c r="A2250" t="str">
        <f>"20200111145959418"</f>
        <v>20200111145959418</v>
      </c>
      <c r="B2250" t="str">
        <f>"1578725999407981"</f>
        <v>1578725999407981</v>
      </c>
      <c r="C2250" t="s">
        <v>40</v>
      </c>
      <c r="D2250">
        <v>4.2570370000000004</v>
      </c>
      <c r="E2250">
        <v>0.561229599999999</v>
      </c>
      <c r="F2250" t="s">
        <v>62</v>
      </c>
      <c r="G2250">
        <v>-237.48599999999999</v>
      </c>
      <c r="H2250" s="1">
        <v>2.6006129999999999E-6</v>
      </c>
      <c r="I2250">
        <v>281.09899999999999</v>
      </c>
      <c r="J2250">
        <v>-205.9015</v>
      </c>
      <c r="K2250">
        <v>1.097308</v>
      </c>
      <c r="L2250">
        <v>284.62790000000001</v>
      </c>
      <c r="M2250">
        <v>-0.89959549999999999</v>
      </c>
      <c r="N2250">
        <v>0</v>
      </c>
      <c r="O2250">
        <v>-0.43657560000000001</v>
      </c>
      <c r="P2250">
        <v>-0.95936440000000001</v>
      </c>
      <c r="Q2250">
        <v>8.1835399999999905E-2</v>
      </c>
      <c r="R2250">
        <v>-0.27004349999999999</v>
      </c>
      <c r="S2250">
        <v>-3.0428470000000001</v>
      </c>
      <c r="T2250">
        <v>-0.1049297</v>
      </c>
      <c r="U2250">
        <v>-0.34747309999999998</v>
      </c>
      <c r="V2250">
        <v>0.17752699999999999</v>
      </c>
      <c r="W2250">
        <v>8.9884229999999996E-2</v>
      </c>
      <c r="X2250">
        <v>0.9800025</v>
      </c>
      <c r="Y2250">
        <v>0.33128200000000002</v>
      </c>
      <c r="Z2250">
        <v>2.0206430000000001E-2</v>
      </c>
      <c r="AA2250">
        <v>0.94331540000000003</v>
      </c>
      <c r="AB2250">
        <v>25</v>
      </c>
      <c r="AC2250">
        <v>-31.584499999999899</v>
      </c>
      <c r="AD2250">
        <v>-1.0973053993869999</v>
      </c>
      <c r="AE2250">
        <v>-3.5289000000000201</v>
      </c>
      <c r="AF2250">
        <v>10.602488381303299</v>
      </c>
      <c r="AG2250">
        <v>-1.0973053993869999</v>
      </c>
      <c r="AH2250">
        <v>29.920179756862002</v>
      </c>
      <c r="AI2250">
        <v>91.979824631288693</v>
      </c>
      <c r="AJ2250">
        <v>70.487754618152195</v>
      </c>
      <c r="AK2250">
        <v>31.762147214855201</v>
      </c>
      <c r="AL2250">
        <v>84.843052803777795</v>
      </c>
      <c r="AM2250">
        <v>79.732242430946599</v>
      </c>
      <c r="AN2250">
        <v>0.99999995526897001</v>
      </c>
    </row>
    <row r="2251" spans="1:40" x14ac:dyDescent="0.3">
      <c r="A2251" t="str">
        <f>"20200111145959440"</f>
        <v>20200111145959440</v>
      </c>
      <c r="B2251" t="str">
        <f>"1578725999428485"</f>
        <v>1578725999428485</v>
      </c>
      <c r="C2251" t="s">
        <v>40</v>
      </c>
      <c r="D2251">
        <v>4.2355470000000004</v>
      </c>
      <c r="E2251">
        <v>0.56034359999999905</v>
      </c>
      <c r="F2251" t="s">
        <v>62</v>
      </c>
      <c r="G2251">
        <v>-238.41900000000001</v>
      </c>
      <c r="H2251" s="1">
        <v>3.0988420000000002E-6</v>
      </c>
      <c r="I2251">
        <v>281.05950000000001</v>
      </c>
      <c r="J2251">
        <v>-206.1275</v>
      </c>
      <c r="K2251">
        <v>1.0972470000000001</v>
      </c>
      <c r="L2251">
        <v>284.53100000000001</v>
      </c>
      <c r="M2251">
        <v>-0.90419170000000004</v>
      </c>
      <c r="N2251">
        <v>0</v>
      </c>
      <c r="O2251">
        <v>-0.42698229999999998</v>
      </c>
      <c r="P2251">
        <v>-0.96159830000000002</v>
      </c>
      <c r="Q2251">
        <v>8.2383410000000004E-2</v>
      </c>
      <c r="R2251">
        <v>-0.2618047</v>
      </c>
      <c r="S2251">
        <v>-3.0418699999999999</v>
      </c>
      <c r="T2251">
        <v>-0.10264810000000001</v>
      </c>
      <c r="U2251">
        <v>-0.33380130000000002</v>
      </c>
      <c r="V2251">
        <v>0.17549439999999999</v>
      </c>
      <c r="W2251">
        <v>9.0205729999999998E-2</v>
      </c>
      <c r="X2251">
        <v>0.98033910000000002</v>
      </c>
      <c r="Y2251">
        <v>0.3254184</v>
      </c>
      <c r="Z2251">
        <v>1.9391120000000001E-2</v>
      </c>
      <c r="AA2251">
        <v>0.94537130000000003</v>
      </c>
      <c r="AB2251">
        <v>25</v>
      </c>
      <c r="AC2251">
        <v>-32.291499999999999</v>
      </c>
      <c r="AD2251">
        <v>-1.097243901158</v>
      </c>
      <c r="AE2251">
        <v>-3.47149999999999</v>
      </c>
      <c r="AF2251">
        <v>10.6375133105527</v>
      </c>
      <c r="AG2251">
        <v>-1.097243901158</v>
      </c>
      <c r="AH2251">
        <v>30.646889287589101</v>
      </c>
      <c r="AI2251">
        <v>91.937190042569</v>
      </c>
      <c r="AJ2251">
        <v>70.858148794172905</v>
      </c>
      <c r="AK2251">
        <v>32.4590889677539</v>
      </c>
      <c r="AL2251">
        <v>84.824557589886396</v>
      </c>
      <c r="AM2251">
        <v>79.850757697732703</v>
      </c>
      <c r="AN2251">
        <v>1.0000000545725001</v>
      </c>
    </row>
    <row r="2252" spans="1:40" x14ac:dyDescent="0.3">
      <c r="A2252" t="str">
        <f>"20200111145959454"</f>
        <v>20200111145959454</v>
      </c>
      <c r="B2252" t="str">
        <f>"1578725999447994"</f>
        <v>1578725999447994</v>
      </c>
      <c r="C2252" t="s">
        <v>40</v>
      </c>
      <c r="D2252">
        <v>4.2835130000000001</v>
      </c>
      <c r="E2252">
        <v>0.55958909999999995</v>
      </c>
      <c r="F2252" t="s">
        <v>62</v>
      </c>
      <c r="G2252">
        <v>-232.83260000000001</v>
      </c>
      <c r="H2252" s="1">
        <v>9.4820610000000001E-8</v>
      </c>
      <c r="I2252">
        <v>281.77339999999998</v>
      </c>
      <c r="J2252">
        <v>-206.28319999999999</v>
      </c>
      <c r="K2252">
        <v>1.0972010000000001</v>
      </c>
      <c r="L2252">
        <v>284.46609999999998</v>
      </c>
      <c r="M2252">
        <v>-0.90728500000000001</v>
      </c>
      <c r="N2252">
        <v>0</v>
      </c>
      <c r="O2252">
        <v>-0.42037459999999999</v>
      </c>
      <c r="P2252">
        <v>-0.96317759999999997</v>
      </c>
      <c r="Q2252">
        <v>8.2675529999999997E-2</v>
      </c>
      <c r="R2252">
        <v>-0.25583879999999998</v>
      </c>
      <c r="S2252">
        <v>-3.044937</v>
      </c>
      <c r="T2252">
        <v>-0.125109</v>
      </c>
      <c r="U2252">
        <v>-0.314422599999999</v>
      </c>
      <c r="V2252">
        <v>0.17441180000000001</v>
      </c>
      <c r="W2252">
        <v>9.0315439999999997E-2</v>
      </c>
      <c r="X2252">
        <v>0.98052220000000001</v>
      </c>
      <c r="Y2252">
        <v>0.32438099999999997</v>
      </c>
      <c r="Z2252">
        <v>2.3353410000000002E-2</v>
      </c>
      <c r="AA2252">
        <v>0.94563819999999998</v>
      </c>
      <c r="AB2252">
        <v>25</v>
      </c>
      <c r="AC2252">
        <v>-26.549399999999999</v>
      </c>
      <c r="AD2252">
        <v>-1.0972009051793901</v>
      </c>
      <c r="AE2252">
        <v>-2.6926999999999999</v>
      </c>
      <c r="AF2252">
        <v>8.7034530794471205</v>
      </c>
      <c r="AG2252">
        <v>-1.0972009051793901</v>
      </c>
      <c r="AH2252">
        <v>25.1787523544698</v>
      </c>
      <c r="AI2252">
        <v>92.358413734987295</v>
      </c>
      <c r="AJ2252">
        <v>70.931443029018993</v>
      </c>
      <c r="AK2252">
        <v>26.6631490162018</v>
      </c>
      <c r="AL2252">
        <v>84.818245985658294</v>
      </c>
      <c r="AM2252">
        <v>79.913922266024599</v>
      </c>
      <c r="AN2252">
        <v>1.00000006968723</v>
      </c>
    </row>
    <row r="2253" spans="1:40" x14ac:dyDescent="0.3">
      <c r="A2253" t="str">
        <f>"20200111145959474"</f>
        <v>20200111145959474</v>
      </c>
      <c r="B2253" t="str">
        <f>"1578725999468490"</f>
        <v>1578725999468490</v>
      </c>
      <c r="C2253" t="s">
        <v>40</v>
      </c>
      <c r="D2253">
        <v>4.2347060000000001</v>
      </c>
      <c r="E2253">
        <v>0.55860690000000002</v>
      </c>
      <c r="F2253" t="s">
        <v>62</v>
      </c>
      <c r="G2253">
        <v>-234.21449999999999</v>
      </c>
      <c r="H2253" s="1">
        <v>8.3344279999999997E-7</v>
      </c>
      <c r="I2253">
        <v>281.69959999999998</v>
      </c>
      <c r="J2253">
        <v>-206.4776</v>
      </c>
      <c r="K2253">
        <v>1.097143</v>
      </c>
      <c r="L2253">
        <v>284.38670000000002</v>
      </c>
      <c r="M2253">
        <v>-0.91106549999999997</v>
      </c>
      <c r="N2253">
        <v>0</v>
      </c>
      <c r="O2253">
        <v>-0.41212379999999998</v>
      </c>
      <c r="P2253">
        <v>-0.96490509999999996</v>
      </c>
      <c r="Q2253">
        <v>8.3156320000000006E-2</v>
      </c>
      <c r="R2253">
        <v>-0.24908569999999999</v>
      </c>
      <c r="S2253">
        <v>-3.044861</v>
      </c>
      <c r="T2253">
        <v>-0.1196086</v>
      </c>
      <c r="U2253">
        <v>-0.30157469999999997</v>
      </c>
      <c r="V2253">
        <v>0.1723703</v>
      </c>
      <c r="W2253">
        <v>9.0576630000000005E-2</v>
      </c>
      <c r="X2253">
        <v>0.98085900000000004</v>
      </c>
      <c r="Y2253">
        <v>0.31980049999999999</v>
      </c>
      <c r="Z2253">
        <v>2.1951160000000001E-2</v>
      </c>
      <c r="AA2253">
        <v>0.94723060000000003</v>
      </c>
      <c r="AB2253">
        <v>25</v>
      </c>
      <c r="AC2253">
        <v>-27.736899999999899</v>
      </c>
      <c r="AD2253">
        <v>-1.0971421665572001</v>
      </c>
      <c r="AE2253">
        <v>-2.68710000000004</v>
      </c>
      <c r="AF2253">
        <v>8.9695194867540202</v>
      </c>
      <c r="AG2253">
        <v>-1.0971421665572001</v>
      </c>
      <c r="AH2253">
        <v>26.338223029645501</v>
      </c>
      <c r="AI2253">
        <v>92.258119080886203</v>
      </c>
      <c r="AJ2253">
        <v>71.193650861643306</v>
      </c>
      <c r="AK2253">
        <v>27.845250817980499</v>
      </c>
      <c r="AL2253">
        <v>84.803219012724099</v>
      </c>
      <c r="AM2253">
        <v>80.032952761697899</v>
      </c>
      <c r="AN2253">
        <v>1.00000001205262</v>
      </c>
    </row>
    <row r="2254" spans="1:40" x14ac:dyDescent="0.3">
      <c r="A2254" t="str">
        <f>"20200111145959495"</f>
        <v>20200111145959495</v>
      </c>
      <c r="B2254" t="str">
        <f>"1578725999488011"</f>
        <v>1578725999488011</v>
      </c>
      <c r="C2254" t="s">
        <v>40</v>
      </c>
      <c r="D2254">
        <v>4.2520069999999999</v>
      </c>
      <c r="E2254">
        <v>0.55873879999999998</v>
      </c>
      <c r="F2254" t="s">
        <v>62</v>
      </c>
      <c r="G2254">
        <v>-231.17830000000001</v>
      </c>
      <c r="H2254" s="1">
        <v>-7.9765619999999898E-7</v>
      </c>
      <c r="I2254">
        <v>282.05130000000003</v>
      </c>
      <c r="J2254">
        <v>-206.71449999999999</v>
      </c>
      <c r="K2254">
        <v>1.0970759999999999</v>
      </c>
      <c r="L2254">
        <v>284.29250000000002</v>
      </c>
      <c r="M2254">
        <v>-0.91554720000000001</v>
      </c>
      <c r="N2254">
        <v>0</v>
      </c>
      <c r="O2254">
        <v>-0.40207749999999998</v>
      </c>
      <c r="P2254">
        <v>-0.96691760000000004</v>
      </c>
      <c r="Q2254">
        <v>8.3992600000000001E-2</v>
      </c>
      <c r="R2254">
        <v>-0.2408641</v>
      </c>
      <c r="S2254">
        <v>-3.0464020000000001</v>
      </c>
      <c r="T2254">
        <v>-0.13531399999999999</v>
      </c>
      <c r="U2254">
        <v>-0.28802489999999997</v>
      </c>
      <c r="V2254">
        <v>0.16991149999999999</v>
      </c>
      <c r="W2254">
        <v>9.1146930000000001E-2</v>
      </c>
      <c r="X2254">
        <v>0.98123510000000003</v>
      </c>
      <c r="Y2254">
        <v>0.31345669999999998</v>
      </c>
      <c r="Z2254">
        <v>2.4278439999999998E-2</v>
      </c>
      <c r="AA2254">
        <v>0.94929209999999997</v>
      </c>
      <c r="AB2254">
        <v>25</v>
      </c>
      <c r="AC2254">
        <v>-24.463799999999999</v>
      </c>
      <c r="AD2254">
        <v>-1.0970767976561999</v>
      </c>
      <c r="AE2254">
        <v>-2.2411999999999899</v>
      </c>
      <c r="AF2254">
        <v>7.7693410840101</v>
      </c>
      <c r="AG2254">
        <v>-1.0970767976561999</v>
      </c>
      <c r="AH2254">
        <v>23.253770745457</v>
      </c>
      <c r="AI2254">
        <v>92.562102514337198</v>
      </c>
      <c r="AJ2254">
        <v>71.524958142720905</v>
      </c>
      <c r="AK2254">
        <v>24.541884448059701</v>
      </c>
      <c r="AL2254">
        <v>84.770407447678394</v>
      </c>
      <c r="AM2254">
        <v>80.176030850300407</v>
      </c>
      <c r="AN2254">
        <v>1.0000000010763399</v>
      </c>
    </row>
    <row r="2255" spans="1:40" x14ac:dyDescent="0.3">
      <c r="A2255" t="str">
        <f>"20200111145959509"</f>
        <v>20200111145959509</v>
      </c>
      <c r="B2255" t="str">
        <f>"1578725999498746"</f>
        <v>1578725999498746</v>
      </c>
      <c r="C2255" t="s">
        <v>40</v>
      </c>
      <c r="D2255">
        <v>4.3471120000000001</v>
      </c>
      <c r="E2255">
        <v>0.55873879999999998</v>
      </c>
      <c r="F2255" t="s">
        <v>62</v>
      </c>
      <c r="G2255">
        <v>-227.91130000000001</v>
      </c>
      <c r="H2255" s="1">
        <v>2.673196E-6</v>
      </c>
      <c r="I2255">
        <v>282.47949999999997</v>
      </c>
      <c r="J2255">
        <v>-206.86590000000001</v>
      </c>
      <c r="K2255">
        <v>1.097032</v>
      </c>
      <c r="L2255">
        <v>284.23399999999998</v>
      </c>
      <c r="M2255">
        <v>-0.91833719999999996</v>
      </c>
      <c r="N2255">
        <v>0</v>
      </c>
      <c r="O2255">
        <v>-0.39566859999999998</v>
      </c>
      <c r="P2255">
        <v>-0.96817330000000001</v>
      </c>
      <c r="Q2255">
        <v>8.4498749999999997E-2</v>
      </c>
      <c r="R2255">
        <v>-0.23558589999999999</v>
      </c>
      <c r="S2255">
        <v>-3.0513309999999998</v>
      </c>
      <c r="T2255">
        <v>-0.1579267</v>
      </c>
      <c r="U2255">
        <v>-0.2609863</v>
      </c>
      <c r="V2255">
        <v>0.1683972</v>
      </c>
      <c r="W2255">
        <v>9.1489780000000007E-2</v>
      </c>
      <c r="X2255">
        <v>0.98146420000000001</v>
      </c>
      <c r="Y2255">
        <v>0.31506980000000001</v>
      </c>
      <c r="Z2255">
        <v>2.8041710000000001E-2</v>
      </c>
      <c r="AA2255">
        <v>0.94865409999999994</v>
      </c>
      <c r="AB2255">
        <v>25</v>
      </c>
      <c r="AC2255">
        <v>-21.045400000000001</v>
      </c>
      <c r="AD2255">
        <v>-1.0970293268039999</v>
      </c>
      <c r="AE2255">
        <v>-1.7545000000000599</v>
      </c>
      <c r="AF2255">
        <v>6.6980533644362703</v>
      </c>
      <c r="AG2255">
        <v>-1.0970293268039999</v>
      </c>
      <c r="AH2255">
        <v>19.9681239340891</v>
      </c>
      <c r="AI2255">
        <v>92.981657525186705</v>
      </c>
      <c r="AJ2255">
        <v>71.456626726297401</v>
      </c>
      <c r="AK2255">
        <v>21.0901248375596</v>
      </c>
      <c r="AL2255">
        <v>84.750681090733593</v>
      </c>
      <c r="AM2255">
        <v>80.264130794550198</v>
      </c>
      <c r="AN2255">
        <v>0.99999998634696396</v>
      </c>
    </row>
    <row r="2256" spans="1:40" x14ac:dyDescent="0.3">
      <c r="A2256" t="str">
        <f>"20200111145959529"</f>
        <v>20200111145959529</v>
      </c>
      <c r="B2256" t="str">
        <f>"1578725999518266"</f>
        <v>1578725999518266</v>
      </c>
      <c r="C2256" t="s">
        <v>40</v>
      </c>
      <c r="D2256">
        <v>4.2777760000000002</v>
      </c>
      <c r="E2256">
        <v>0.59007100000000001</v>
      </c>
      <c r="F2256" t="s">
        <v>62</v>
      </c>
      <c r="G2256">
        <v>-228.27860000000001</v>
      </c>
      <c r="H2256" s="1">
        <v>2.868657E-6</v>
      </c>
      <c r="I2256">
        <v>282.52069999999998</v>
      </c>
      <c r="J2256">
        <v>-207.07069999999999</v>
      </c>
      <c r="K2256">
        <v>1.09697</v>
      </c>
      <c r="L2256">
        <v>284.15649999999999</v>
      </c>
      <c r="M2256">
        <v>-0.92202379999999995</v>
      </c>
      <c r="N2256">
        <v>0</v>
      </c>
      <c r="O2256">
        <v>-0.38700600000000002</v>
      </c>
      <c r="P2256">
        <v>-0.96962740000000003</v>
      </c>
      <c r="Q2256">
        <v>8.5008159999999999E-2</v>
      </c>
      <c r="R2256">
        <v>-0.2293394</v>
      </c>
      <c r="S2256">
        <v>-3.0528110000000002</v>
      </c>
      <c r="T2256">
        <v>-0.1564036</v>
      </c>
      <c r="U2256">
        <v>-0.2442627</v>
      </c>
      <c r="V2256">
        <v>0.16547579999999901</v>
      </c>
      <c r="W2256">
        <v>9.1808860000000006E-2</v>
      </c>
      <c r="X2256">
        <v>0.9819312</v>
      </c>
      <c r="Y2256">
        <v>0.31136740000000002</v>
      </c>
      <c r="Z2256">
        <v>2.726495E-2</v>
      </c>
      <c r="AA2256">
        <v>0.94989840000000003</v>
      </c>
      <c r="AB2256">
        <v>25</v>
      </c>
      <c r="AC2256">
        <v>-21.207899999999999</v>
      </c>
      <c r="AD2256">
        <v>-1.0969671313429901</v>
      </c>
      <c r="AE2256">
        <v>-1.6358000000000099</v>
      </c>
      <c r="AF2256">
        <v>6.6818967241927796</v>
      </c>
      <c r="AG2256">
        <v>-1.0969671313429901</v>
      </c>
      <c r="AH2256">
        <v>20.134696761597802</v>
      </c>
      <c r="AI2256">
        <v>92.960038994137506</v>
      </c>
      <c r="AJ2256">
        <v>71.641068526374696</v>
      </c>
      <c r="AK2256">
        <v>21.242812770476601</v>
      </c>
      <c r="AL2256">
        <v>84.7323219277676</v>
      </c>
      <c r="AM2256">
        <v>80.434347927557894</v>
      </c>
      <c r="AN2256">
        <v>0.99999999434678899</v>
      </c>
    </row>
    <row r="2257" spans="1:40" x14ac:dyDescent="0.3">
      <c r="A2257" t="str">
        <f>"20200111145959550"</f>
        <v>20200111145959550</v>
      </c>
      <c r="B2257" t="str">
        <f>"1578725999538762"</f>
        <v>1578725999538762</v>
      </c>
      <c r="C2257" t="s">
        <v>40</v>
      </c>
      <c r="D2257">
        <v>4.0533390000000002</v>
      </c>
      <c r="E2257">
        <v>0.59377199999999997</v>
      </c>
      <c r="F2257" t="s">
        <v>46</v>
      </c>
      <c r="G2257">
        <v>0</v>
      </c>
      <c r="H2257">
        <v>0</v>
      </c>
      <c r="I2257">
        <v>0</v>
      </c>
      <c r="J2257">
        <v>-207.3058</v>
      </c>
      <c r="K2257">
        <v>1.096905</v>
      </c>
      <c r="L2257">
        <v>284.07029999999997</v>
      </c>
      <c r="M2257">
        <v>-0.92613020000000001</v>
      </c>
      <c r="N2257">
        <v>0</v>
      </c>
      <c r="O2257">
        <v>-0.37707990000000002</v>
      </c>
      <c r="P2257">
        <v>-0.97153860000000003</v>
      </c>
      <c r="Q2257">
        <v>8.5067229999999994E-2</v>
      </c>
      <c r="R2257">
        <v>-0.22108059999999999</v>
      </c>
      <c r="S2257">
        <v>-3.0955509999999999</v>
      </c>
      <c r="T2257">
        <v>2.3710729999999999E-2</v>
      </c>
      <c r="U2257">
        <v>1.538086E-2</v>
      </c>
      <c r="V2257">
        <v>0.16328480000000001</v>
      </c>
      <c r="W2257">
        <v>9.1649320000000006E-2</v>
      </c>
      <c r="X2257">
        <v>0.98231279999999999</v>
      </c>
      <c r="Y2257">
        <v>0.38167289999999998</v>
      </c>
      <c r="Z2257">
        <v>-4.2953879999999998E-3</v>
      </c>
      <c r="AA2257">
        <v>0.92428750000000004</v>
      </c>
      <c r="AB2257">
        <v>25</v>
      </c>
      <c r="AC2257">
        <v>-3.0955509999999999</v>
      </c>
      <c r="AD2257">
        <v>2.3710729999999999E-2</v>
      </c>
      <c r="AE2257">
        <v>1.538086E-2</v>
      </c>
      <c r="AF2257">
        <v>1.1815007236372399</v>
      </c>
      <c r="AG2257">
        <v>2.3710729999999999E-2</v>
      </c>
      <c r="AH2257">
        <v>2.8610495112821202</v>
      </c>
      <c r="AI2257">
        <v>89.561124620677703</v>
      </c>
      <c r="AJ2257">
        <v>67.5613032525862</v>
      </c>
      <c r="AK2257">
        <v>3.0954984194278201</v>
      </c>
      <c r="AL2257">
        <v>84.741501524469797</v>
      </c>
      <c r="AM2257">
        <v>80.562309494166399</v>
      </c>
      <c r="AN2257">
        <v>0.99999998040567095</v>
      </c>
    </row>
    <row r="2258" spans="1:40" x14ac:dyDescent="0.3">
      <c r="A2258" t="str">
        <f>"20200111145959564"</f>
        <v>20200111145959564</v>
      </c>
      <c r="B2258" t="str">
        <f>"1578725999558282"</f>
        <v>1578725999558282</v>
      </c>
      <c r="C2258" t="s">
        <v>40</v>
      </c>
      <c r="D2258">
        <v>4.2712760000000003</v>
      </c>
      <c r="E2258">
        <v>0.59602699999999997</v>
      </c>
      <c r="F2258" t="s">
        <v>46</v>
      </c>
      <c r="G2258">
        <v>0</v>
      </c>
      <c r="H2258">
        <v>0</v>
      </c>
      <c r="I2258">
        <v>0</v>
      </c>
      <c r="J2258">
        <v>-207.4503</v>
      </c>
      <c r="K2258">
        <v>1.096865</v>
      </c>
      <c r="L2258">
        <v>284.01850000000002</v>
      </c>
      <c r="M2258">
        <v>-0.92858870000000004</v>
      </c>
      <c r="N2258">
        <v>0</v>
      </c>
      <c r="O2258">
        <v>-0.37098809999999999</v>
      </c>
      <c r="P2258">
        <v>-0.97279749999999998</v>
      </c>
      <c r="Q2258">
        <v>8.5005040000000004E-2</v>
      </c>
      <c r="R2258">
        <v>-0.2154973</v>
      </c>
      <c r="S2258">
        <v>-3.10405</v>
      </c>
      <c r="T2258">
        <v>-3.0696389999999998E-4</v>
      </c>
      <c r="U2258">
        <v>7.0800779999999994E-2</v>
      </c>
      <c r="V2258">
        <v>0.1624767</v>
      </c>
      <c r="W2258">
        <v>9.1453199999999998E-2</v>
      </c>
      <c r="X2258">
        <v>0.98246509999999998</v>
      </c>
      <c r="Y2258">
        <v>0.3920843</v>
      </c>
      <c r="Z2258" s="1">
        <v>5.542889E-5</v>
      </c>
      <c r="AA2258">
        <v>0.91992929999999995</v>
      </c>
      <c r="AB2258">
        <v>25</v>
      </c>
      <c r="AC2258">
        <v>-3.10405</v>
      </c>
      <c r="AD2258">
        <v>-3.0696389999999998E-4</v>
      </c>
      <c r="AE2258">
        <v>7.0800779999999994E-2</v>
      </c>
      <c r="AF2258">
        <v>1.21736570784471</v>
      </c>
      <c r="AG2258">
        <v>-3.0696389999999998E-4</v>
      </c>
      <c r="AH2258">
        <v>2.8562492359488898</v>
      </c>
      <c r="AI2258">
        <v>90.005664587475295</v>
      </c>
      <c r="AJ2258">
        <v>66.915749061337905</v>
      </c>
      <c r="AK2258">
        <v>3.1048573330705098</v>
      </c>
      <c r="AL2258">
        <v>84.752785967201902</v>
      </c>
      <c r="AM2258">
        <v>80.609612613915502</v>
      </c>
      <c r="AN2258">
        <v>1.00000001927556</v>
      </c>
    </row>
    <row r="2259" spans="1:40" x14ac:dyDescent="0.3">
      <c r="A2259" t="str">
        <f>"20200111145959585"</f>
        <v>20200111145959585</v>
      </c>
      <c r="B2259" t="str">
        <f>"1578725999578778"</f>
        <v>1578725999578778</v>
      </c>
      <c r="C2259" t="s">
        <v>40</v>
      </c>
      <c r="D2259">
        <v>4.2523010000000001</v>
      </c>
      <c r="E2259">
        <v>0.59697089999999997</v>
      </c>
      <c r="F2259" t="s">
        <v>62</v>
      </c>
      <c r="G2259">
        <v>-363.92790000000002</v>
      </c>
      <c r="H2259" s="1">
        <v>5.5342939999999999E-7</v>
      </c>
      <c r="I2259">
        <v>289.37079999999997</v>
      </c>
      <c r="J2259">
        <v>-207.6917</v>
      </c>
      <c r="K2259">
        <v>1.096797</v>
      </c>
      <c r="L2259">
        <v>283.93470000000002</v>
      </c>
      <c r="M2259">
        <v>-0.9325852</v>
      </c>
      <c r="N2259">
        <v>0</v>
      </c>
      <c r="O2259">
        <v>-0.36082959999999997</v>
      </c>
      <c r="P2259">
        <v>-0.97458140000000004</v>
      </c>
      <c r="Q2259">
        <v>8.5227839999999999E-2</v>
      </c>
      <c r="R2259">
        <v>-0.2071896</v>
      </c>
      <c r="S2259">
        <v>-3.1093440000000001</v>
      </c>
      <c r="T2259">
        <v>-2.179563E-2</v>
      </c>
      <c r="U2259">
        <v>0.1063538</v>
      </c>
      <c r="V2259">
        <v>0.16013529999999901</v>
      </c>
      <c r="W2259">
        <v>9.1497369999999995E-2</v>
      </c>
      <c r="X2259">
        <v>0.98284530000000003</v>
      </c>
      <c r="Y2259">
        <v>0.3924975</v>
      </c>
      <c r="Z2259">
        <v>3.8637139999999999E-3</v>
      </c>
      <c r="AA2259">
        <v>0.91974500000000003</v>
      </c>
      <c r="AB2259">
        <v>25</v>
      </c>
      <c r="AC2259">
        <v>-156.2362</v>
      </c>
      <c r="AD2259">
        <v>-1.0967964465705999</v>
      </c>
      <c r="AE2259">
        <v>5.43609999999995</v>
      </c>
      <c r="AF2259">
        <v>61.443915759255198</v>
      </c>
      <c r="AG2259">
        <v>-1.0967964465705999</v>
      </c>
      <c r="AH2259">
        <v>143.741228749985</v>
      </c>
      <c r="AI2259">
        <v>90.401993030822894</v>
      </c>
      <c r="AJ2259">
        <v>66.855132113766999</v>
      </c>
      <c r="AK2259">
        <v>156.32689656240001</v>
      </c>
      <c r="AL2259">
        <v>84.750244368435304</v>
      </c>
      <c r="AM2259">
        <v>80.746094141127401</v>
      </c>
      <c r="AN2259">
        <v>0.99999998337754803</v>
      </c>
    </row>
    <row r="2260" spans="1:40" x14ac:dyDescent="0.3">
      <c r="A2260" t="str">
        <f>"20200111145959610"</f>
        <v>20200111145959610</v>
      </c>
      <c r="B2260" t="str">
        <f>"1578725999598298"</f>
        <v>1578725999598298</v>
      </c>
      <c r="C2260" t="s">
        <v>40</v>
      </c>
      <c r="D2260">
        <v>4.2789809999999999</v>
      </c>
      <c r="E2260">
        <v>0.59746659999999996</v>
      </c>
      <c r="F2260" t="s">
        <v>66</v>
      </c>
      <c r="G2260">
        <v>-306.7636</v>
      </c>
      <c r="H2260" s="1">
        <v>2.4329539999999998E-6</v>
      </c>
      <c r="I2260">
        <v>288.4128</v>
      </c>
      <c r="J2260">
        <v>-207.95160000000001</v>
      </c>
      <c r="K2260">
        <v>1.096733</v>
      </c>
      <c r="L2260">
        <v>283.84769999999997</v>
      </c>
      <c r="M2260">
        <v>-0.93673430000000002</v>
      </c>
      <c r="N2260">
        <v>0</v>
      </c>
      <c r="O2260">
        <v>-0.34992230000000002</v>
      </c>
      <c r="P2260">
        <v>-0.9762189</v>
      </c>
      <c r="Q2260">
        <v>8.4721790000000005E-2</v>
      </c>
      <c r="R2260">
        <v>-0.19954640000000001</v>
      </c>
      <c r="S2260">
        <v>-3.111145</v>
      </c>
      <c r="T2260">
        <v>-3.4442540000000001E-2</v>
      </c>
      <c r="U2260">
        <v>0.140625</v>
      </c>
      <c r="V2260">
        <v>0.1563763</v>
      </c>
      <c r="W2260">
        <v>9.0854409999999997E-2</v>
      </c>
      <c r="X2260">
        <v>0.98351</v>
      </c>
      <c r="Y2260">
        <v>0.39183440000000003</v>
      </c>
      <c r="Z2260">
        <v>5.984189E-3</v>
      </c>
      <c r="AA2260">
        <v>0.92001630000000001</v>
      </c>
      <c r="AB2260">
        <v>26</v>
      </c>
      <c r="AC2260">
        <v>-98.811999999999898</v>
      </c>
      <c r="AD2260">
        <v>-1.0967305670459999</v>
      </c>
      <c r="AE2260">
        <v>4.5651000000000197</v>
      </c>
      <c r="AF2260">
        <v>38.849649370855502</v>
      </c>
      <c r="AG2260">
        <v>-1.0967305670459999</v>
      </c>
      <c r="AH2260">
        <v>90.955764157140095</v>
      </c>
      <c r="AI2260">
        <v>90.635309697566996</v>
      </c>
      <c r="AJ2260">
        <v>66.8713707698208</v>
      </c>
      <c r="AK2260">
        <v>98.9113194107955</v>
      </c>
      <c r="AL2260">
        <v>84.787237410782296</v>
      </c>
      <c r="AM2260">
        <v>80.965699105622406</v>
      </c>
      <c r="AN2260">
        <v>0.99999999555906804</v>
      </c>
    </row>
    <row r="2261" spans="1:40" x14ac:dyDescent="0.3">
      <c r="A2261" t="str">
        <f>"20200111145959644"</f>
        <v>20200111145959644</v>
      </c>
      <c r="B2261" t="str">
        <f>"1578725999638314"</f>
        <v>1578725999638314</v>
      </c>
      <c r="C2261" t="s">
        <v>40</v>
      </c>
      <c r="D2261">
        <v>4.2028319999999999</v>
      </c>
      <c r="E2261">
        <v>0.59714230000000001</v>
      </c>
      <c r="F2261" t="s">
        <v>66</v>
      </c>
      <c r="G2261">
        <v>-284.17880000000002</v>
      </c>
      <c r="H2261" s="1">
        <v>5.8515099999999996E-6</v>
      </c>
      <c r="I2261">
        <v>287.99250000000001</v>
      </c>
      <c r="J2261">
        <v>-208.3305</v>
      </c>
      <c r="K2261">
        <v>1.0966499999999999</v>
      </c>
      <c r="L2261">
        <v>283.72640000000001</v>
      </c>
      <c r="M2261">
        <v>-0.94250869999999998</v>
      </c>
      <c r="N2261">
        <v>0</v>
      </c>
      <c r="O2261">
        <v>-0.33406340000000001</v>
      </c>
      <c r="P2261">
        <v>-0.97885480000000002</v>
      </c>
      <c r="Q2261">
        <v>8.3391720000000003E-2</v>
      </c>
      <c r="R2261">
        <v>-0.18678690000000001</v>
      </c>
      <c r="S2261">
        <v>-3.1115569999999999</v>
      </c>
      <c r="T2261">
        <v>-4.476786E-2</v>
      </c>
      <c r="U2261">
        <v>0.16918949999999999</v>
      </c>
      <c r="V2261">
        <v>0.15263280000000001</v>
      </c>
      <c r="W2261">
        <v>8.9342350000000001E-2</v>
      </c>
      <c r="X2261">
        <v>0.98423640000000001</v>
      </c>
      <c r="Y2261">
        <v>0.3846852</v>
      </c>
      <c r="Z2261">
        <v>7.5078419999999998E-3</v>
      </c>
      <c r="AA2261">
        <v>0.92301730000000004</v>
      </c>
      <c r="AB2261">
        <v>26</v>
      </c>
      <c r="AC2261">
        <v>-75.848299999999995</v>
      </c>
      <c r="AD2261">
        <v>-1.09664414848999</v>
      </c>
      <c r="AE2261">
        <v>4.26609999999999</v>
      </c>
      <c r="AF2261">
        <v>29.3540200657052</v>
      </c>
      <c r="AG2261">
        <v>-1.09664414848999</v>
      </c>
      <c r="AH2261">
        <v>70.050704656900905</v>
      </c>
      <c r="AI2261">
        <v>90.827212248401494</v>
      </c>
      <c r="AJ2261">
        <v>67.264385385230597</v>
      </c>
      <c r="AK2261">
        <v>75.960268202097595</v>
      </c>
      <c r="AL2261">
        <v>84.874226196049705</v>
      </c>
      <c r="AM2261">
        <v>81.184937660062701</v>
      </c>
      <c r="AN2261">
        <v>1.0000000591121501</v>
      </c>
    </row>
    <row r="2262" spans="1:40" x14ac:dyDescent="0.3">
      <c r="A2262" t="str">
        <f>"20200111145959663"</f>
        <v>20200111145959663</v>
      </c>
      <c r="B2262" t="str">
        <f>"1578725999657834"</f>
        <v>1578725999657834</v>
      </c>
      <c r="C2262" t="s">
        <v>40</v>
      </c>
      <c r="D2262">
        <v>4.2573629999999998</v>
      </c>
      <c r="E2262">
        <v>0.59685250000000001</v>
      </c>
      <c r="F2262" t="s">
        <v>62</v>
      </c>
      <c r="G2262">
        <v>-263.54430000000002</v>
      </c>
      <c r="H2262" s="1">
        <v>3.4933509999999999E-7</v>
      </c>
      <c r="I2262">
        <v>287.40300000000002</v>
      </c>
      <c r="J2262">
        <v>-208.55629999999999</v>
      </c>
      <c r="K2262">
        <v>1.0966100000000001</v>
      </c>
      <c r="L2262">
        <v>283.6576</v>
      </c>
      <c r="M2262">
        <v>-0.94579310000000005</v>
      </c>
      <c r="N2262">
        <v>0</v>
      </c>
      <c r="O2262">
        <v>-0.32465129999999998</v>
      </c>
      <c r="P2262">
        <v>-0.98008169999999994</v>
      </c>
      <c r="Q2262">
        <v>8.2793800000000001E-2</v>
      </c>
      <c r="R2262">
        <v>-0.18051339999999999</v>
      </c>
      <c r="S2262">
        <v>-3.1095890000000002</v>
      </c>
      <c r="T2262">
        <v>-6.1762209999999998E-2</v>
      </c>
      <c r="U2262">
        <v>0.20706179999999999</v>
      </c>
      <c r="V2262">
        <v>0.1491307</v>
      </c>
      <c r="W2262">
        <v>8.8689299999999999E-2</v>
      </c>
      <c r="X2262">
        <v>0.98483209999999999</v>
      </c>
      <c r="Y2262">
        <v>0.38664969999999999</v>
      </c>
      <c r="Z2262">
        <v>1.020364E-2</v>
      </c>
      <c r="AA2262">
        <v>0.92217020000000005</v>
      </c>
      <c r="AB2262">
        <v>26</v>
      </c>
      <c r="AC2262">
        <v>-54.988</v>
      </c>
      <c r="AD2262">
        <v>-1.0966096506648999</v>
      </c>
      <c r="AE2262">
        <v>3.7454000000000098</v>
      </c>
      <c r="AF2262">
        <v>21.386655862671699</v>
      </c>
      <c r="AG2262">
        <v>-1.0966096506648999</v>
      </c>
      <c r="AH2262">
        <v>50.773176364572699</v>
      </c>
      <c r="AI2262">
        <v>91.140292373494404</v>
      </c>
      <c r="AJ2262">
        <v>67.158221464224994</v>
      </c>
      <c r="AK2262">
        <v>55.1045101589905</v>
      </c>
      <c r="AL2262">
        <v>84.911792089532099</v>
      </c>
      <c r="AM2262">
        <v>81.389259123660807</v>
      </c>
      <c r="AN2262">
        <v>1.00000001140369</v>
      </c>
    </row>
    <row r="2263" spans="1:40" x14ac:dyDescent="0.3">
      <c r="A2263" t="str">
        <f>"20200111145959686"</f>
        <v>20200111145959686</v>
      </c>
      <c r="B2263" t="str">
        <f>"1578725999678000"</f>
        <v>1578725999678000</v>
      </c>
      <c r="C2263" t="s">
        <v>40</v>
      </c>
      <c r="D2263">
        <v>4.2294839999999896</v>
      </c>
      <c r="E2263">
        <v>0.59540999999999999</v>
      </c>
      <c r="F2263" t="s">
        <v>62</v>
      </c>
      <c r="G2263">
        <v>-260.18810000000002</v>
      </c>
      <c r="H2263" s="1">
        <v>-1.4366659999999899E-6</v>
      </c>
      <c r="I2263">
        <v>287.39</v>
      </c>
      <c r="J2263">
        <v>-208.81800000000001</v>
      </c>
      <c r="K2263">
        <v>1.096571</v>
      </c>
      <c r="L2263">
        <v>283.58080000000001</v>
      </c>
      <c r="M2263">
        <v>-0.94945639999999998</v>
      </c>
      <c r="N2263">
        <v>0</v>
      </c>
      <c r="O2263">
        <v>-0.31378</v>
      </c>
      <c r="P2263">
        <v>-0.98148950000000001</v>
      </c>
      <c r="Q2263">
        <v>8.2135739999999999E-2</v>
      </c>
      <c r="R2263">
        <v>-0.17301029999999901</v>
      </c>
      <c r="S2263">
        <v>-3.10791</v>
      </c>
      <c r="T2263">
        <v>-6.6009040000000005E-2</v>
      </c>
      <c r="U2263">
        <v>0.22467039999999999</v>
      </c>
      <c r="V2263">
        <v>0.14537169999999999</v>
      </c>
      <c r="W2263">
        <v>8.7983019999999995E-2</v>
      </c>
      <c r="X2263">
        <v>0.98545729999999998</v>
      </c>
      <c r="Y2263">
        <v>0.38128000000000001</v>
      </c>
      <c r="Z2263">
        <v>1.063121E-2</v>
      </c>
      <c r="AA2263">
        <v>0.92439850000000001</v>
      </c>
      <c r="AB2263">
        <v>26</v>
      </c>
      <c r="AC2263">
        <v>-51.370100000000001</v>
      </c>
      <c r="AD2263">
        <v>-1.0965724366659999</v>
      </c>
      <c r="AE2263">
        <v>3.8091999999999699</v>
      </c>
      <c r="AF2263">
        <v>19.7273759425657</v>
      </c>
      <c r="AG2263">
        <v>-1.0965724366659999</v>
      </c>
      <c r="AH2263">
        <v>47.558642838915098</v>
      </c>
      <c r="AI2263">
        <v>91.220084597568103</v>
      </c>
      <c r="AJ2263">
        <v>67.471273899345306</v>
      </c>
      <c r="AK2263">
        <v>51.499479039769597</v>
      </c>
      <c r="AL2263">
        <v>84.952417796267696</v>
      </c>
      <c r="AM2263">
        <v>81.608419958248206</v>
      </c>
      <c r="AN2263">
        <v>1.0000000165462499</v>
      </c>
    </row>
    <row r="2264" spans="1:40" x14ac:dyDescent="0.3">
      <c r="A2264" t="str">
        <f>"20200111145959708"</f>
        <v>20200111145959708</v>
      </c>
      <c r="B2264" t="str">
        <f>"1578725999698495"</f>
        <v>1578725999698495</v>
      </c>
      <c r="C2264" t="s">
        <v>40</v>
      </c>
      <c r="D2264">
        <v>4.213228</v>
      </c>
      <c r="E2264">
        <v>0.59407909999999997</v>
      </c>
      <c r="F2264" t="s">
        <v>62</v>
      </c>
      <c r="G2264">
        <v>-260.87389999999999</v>
      </c>
      <c r="H2264" s="1">
        <v>-1.071743E-6</v>
      </c>
      <c r="I2264">
        <v>287.56020000000001</v>
      </c>
      <c r="J2264">
        <v>-209.06569999999999</v>
      </c>
      <c r="K2264">
        <v>1.0965450000000001</v>
      </c>
      <c r="L2264">
        <v>283.51100000000002</v>
      </c>
      <c r="M2264">
        <v>-0.95278399999999996</v>
      </c>
      <c r="N2264">
        <v>0</v>
      </c>
      <c r="O2264">
        <v>-0.30352839999999998</v>
      </c>
      <c r="P2264">
        <v>-0.98265420000000003</v>
      </c>
      <c r="Q2264">
        <v>8.1549540000000004E-2</v>
      </c>
      <c r="R2264">
        <v>-0.16655500000000001</v>
      </c>
      <c r="S2264">
        <v>-3.1038670000000002</v>
      </c>
      <c r="T2264">
        <v>-6.5383789999999997E-2</v>
      </c>
      <c r="U2264">
        <v>0.23727419999999999</v>
      </c>
      <c r="V2264">
        <v>0.14122979999999999</v>
      </c>
      <c r="W2264">
        <v>8.7381189999999997E-2</v>
      </c>
      <c r="X2264">
        <v>0.98611289999999996</v>
      </c>
      <c r="Y2264">
        <v>0.37513360000000001</v>
      </c>
      <c r="Z2264">
        <v>1.027054E-2</v>
      </c>
      <c r="AA2264">
        <v>0.92691389999999996</v>
      </c>
      <c r="AB2264">
        <v>26</v>
      </c>
      <c r="AC2264">
        <v>-51.808199999999999</v>
      </c>
      <c r="AD2264">
        <v>-1.096546071743</v>
      </c>
      <c r="AE2264">
        <v>4.0492000000000399</v>
      </c>
      <c r="AF2264">
        <v>19.575273368092901</v>
      </c>
      <c r="AG2264">
        <v>-1.096546071743</v>
      </c>
      <c r="AH2264">
        <v>48.113314779482202</v>
      </c>
      <c r="AI2264">
        <v>91.209365039338905</v>
      </c>
      <c r="AJ2264">
        <v>67.860670949227298</v>
      </c>
      <c r="AK2264">
        <v>51.9546417540585</v>
      </c>
      <c r="AL2264">
        <v>84.987033304492698</v>
      </c>
      <c r="AM2264">
        <v>81.849597722090607</v>
      </c>
      <c r="AN2264">
        <v>0.99999999016013297</v>
      </c>
    </row>
    <row r="2265" spans="1:40" x14ac:dyDescent="0.3">
      <c r="A2265" t="str">
        <f>"20200111145959729"</f>
        <v>20200111145959729</v>
      </c>
      <c r="B2265" t="str">
        <f>"1578725999718017"</f>
        <v>1578725999718017</v>
      </c>
      <c r="C2265" t="s">
        <v>40</v>
      </c>
      <c r="D2265">
        <v>4.1984380000000003</v>
      </c>
      <c r="E2265">
        <v>0.59346489999999996</v>
      </c>
      <c r="F2265" t="s">
        <v>62</v>
      </c>
      <c r="G2265">
        <v>-259.97919999999999</v>
      </c>
      <c r="H2265" s="1">
        <v>-1.5478809999999999E-6</v>
      </c>
      <c r="I2265">
        <v>287.57029999999997</v>
      </c>
      <c r="J2265">
        <v>-209.31479999999999</v>
      </c>
      <c r="K2265">
        <v>1.096525</v>
      </c>
      <c r="L2265">
        <v>283.4436</v>
      </c>
      <c r="M2265">
        <v>-0.95599020000000001</v>
      </c>
      <c r="N2265">
        <v>0</v>
      </c>
      <c r="O2265">
        <v>-0.29327609999999998</v>
      </c>
      <c r="P2265">
        <v>-0.98353860000000004</v>
      </c>
      <c r="Q2265">
        <v>8.1379939999999998E-2</v>
      </c>
      <c r="R2265">
        <v>-0.16133549999999999</v>
      </c>
      <c r="S2265">
        <v>-3.100403</v>
      </c>
      <c r="T2265">
        <v>-6.6774849999999997E-2</v>
      </c>
      <c r="U2265">
        <v>0.24719240000000001</v>
      </c>
      <c r="V2265">
        <v>0.13586819999999999</v>
      </c>
      <c r="W2265">
        <v>8.7235839999999995E-2</v>
      </c>
      <c r="X2265">
        <v>0.98687879999999994</v>
      </c>
      <c r="Y2265">
        <v>0.36818899999999999</v>
      </c>
      <c r="Z2265">
        <v>1.0211720000000001E-2</v>
      </c>
      <c r="AA2265">
        <v>0.92969489999999999</v>
      </c>
      <c r="AB2265">
        <v>26</v>
      </c>
      <c r="AC2265">
        <v>-50.664400000000001</v>
      </c>
      <c r="AD2265">
        <v>-1.096526547881</v>
      </c>
      <c r="AE2265">
        <v>4.1266999999999703</v>
      </c>
      <c r="AF2265">
        <v>18.795671933129999</v>
      </c>
      <c r="AG2265">
        <v>-1.096526547881</v>
      </c>
      <c r="AH2265">
        <v>47.204138942966203</v>
      </c>
      <c r="AI2265">
        <v>91.236339178010795</v>
      </c>
      <c r="AJ2265">
        <v>68.288617543942905</v>
      </c>
      <c r="AK2265">
        <v>50.820373741590302</v>
      </c>
      <c r="AL2265">
        <v>84.995393282975996</v>
      </c>
      <c r="AM2265">
        <v>82.161102315385705</v>
      </c>
      <c r="AN2265">
        <v>1.0000000127205899</v>
      </c>
    </row>
    <row r="2266" spans="1:40" x14ac:dyDescent="0.3">
      <c r="A2266" t="str">
        <f>"20200111145959751"</f>
        <v>20200111145959751</v>
      </c>
      <c r="B2266" t="str">
        <f>"1578725999748271"</f>
        <v>1578725999748271</v>
      </c>
      <c r="C2266" t="s">
        <v>40</v>
      </c>
      <c r="D2266">
        <v>4.2635730000000001</v>
      </c>
      <c r="E2266">
        <v>0.59124019999999899</v>
      </c>
      <c r="F2266" t="s">
        <v>62</v>
      </c>
      <c r="G2266">
        <v>-259.75439999999998</v>
      </c>
      <c r="H2266" s="1">
        <v>3.653996E-6</v>
      </c>
      <c r="I2266">
        <v>287.6542</v>
      </c>
      <c r="J2266">
        <v>-209.5617</v>
      </c>
      <c r="K2266">
        <v>1.096517</v>
      </c>
      <c r="L2266">
        <v>283.37950000000001</v>
      </c>
      <c r="M2266">
        <v>-0.95902960000000004</v>
      </c>
      <c r="N2266">
        <v>0</v>
      </c>
      <c r="O2266">
        <v>-0.28318130000000002</v>
      </c>
      <c r="P2266">
        <v>-0.98426599999999997</v>
      </c>
      <c r="Q2266">
        <v>8.0833840000000004E-2</v>
      </c>
      <c r="R2266">
        <v>-0.157119799999999</v>
      </c>
      <c r="S2266">
        <v>-3.098236</v>
      </c>
      <c r="T2266">
        <v>-6.7353609999999994E-2</v>
      </c>
      <c r="U2266">
        <v>0.25863649999999999</v>
      </c>
      <c r="V2266">
        <v>0.12968789999999999</v>
      </c>
      <c r="W2266">
        <v>8.6744639999999998E-2</v>
      </c>
      <c r="X2266">
        <v>0.9877532</v>
      </c>
      <c r="Y2266">
        <v>0.36184260000000001</v>
      </c>
      <c r="Z2266">
        <v>1.002482E-2</v>
      </c>
      <c r="AA2266">
        <v>0.93218529999999999</v>
      </c>
      <c r="AB2266">
        <v>26</v>
      </c>
      <c r="AC2266">
        <v>-50.192699999999903</v>
      </c>
      <c r="AD2266">
        <v>-1.096513346004</v>
      </c>
      <c r="AE2266">
        <v>4.2746999999999904</v>
      </c>
      <c r="AF2266">
        <v>18.305170903286999</v>
      </c>
      <c r="AG2266">
        <v>-1.096513346004</v>
      </c>
      <c r="AH2266">
        <v>46.905201593489501</v>
      </c>
      <c r="AI2266">
        <v>91.247566631096603</v>
      </c>
      <c r="AJ2266">
        <v>68.681343562225393</v>
      </c>
      <c r="AK2266">
        <v>50.362481668821701</v>
      </c>
      <c r="AL2266">
        <v>85.023643920813697</v>
      </c>
      <c r="AM2266">
        <v>82.520086956137902</v>
      </c>
      <c r="AN2266">
        <v>0.99999998404268897</v>
      </c>
    </row>
    <row r="2267" spans="1:40" x14ac:dyDescent="0.3">
      <c r="A2267" t="str">
        <f>"20200111145959774"</f>
        <v>20200111145959774</v>
      </c>
      <c r="B2267" t="str">
        <f>"1578725999768689"</f>
        <v>1578725999768689</v>
      </c>
      <c r="C2267" t="s">
        <v>40</v>
      </c>
      <c r="D2267">
        <v>4.1952819999999997</v>
      </c>
      <c r="E2267">
        <v>0.57094040000000001</v>
      </c>
      <c r="F2267" t="s">
        <v>62</v>
      </c>
      <c r="G2267">
        <v>-263.37810000000002</v>
      </c>
      <c r="H2267" s="1">
        <v>2.6087529999999999E-7</v>
      </c>
      <c r="I2267">
        <v>287.80579999999998</v>
      </c>
      <c r="J2267">
        <v>-209.8349</v>
      </c>
      <c r="K2267">
        <v>1.0965240000000001</v>
      </c>
      <c r="L2267">
        <v>283.31169999999997</v>
      </c>
      <c r="M2267">
        <v>-0.96223340000000002</v>
      </c>
      <c r="N2267">
        <v>0</v>
      </c>
      <c r="O2267">
        <v>-0.27209850000000002</v>
      </c>
      <c r="P2267">
        <v>-0.98507060000000002</v>
      </c>
      <c r="Q2267">
        <v>8.1294099999999994E-2</v>
      </c>
      <c r="R2267">
        <v>-0.15174860000000001</v>
      </c>
      <c r="S2267">
        <v>-3.09375</v>
      </c>
      <c r="T2267">
        <v>-6.3035610000000006E-2</v>
      </c>
      <c r="U2267">
        <v>0.2544556</v>
      </c>
      <c r="V2267">
        <v>0.1236691</v>
      </c>
      <c r="W2267">
        <v>8.7262439999999997E-2</v>
      </c>
      <c r="X2267">
        <v>0.98847929999999995</v>
      </c>
      <c r="Y2267">
        <v>0.3499428</v>
      </c>
      <c r="Z2267">
        <v>9.0553370000000001E-3</v>
      </c>
      <c r="AA2267">
        <v>0.93672730000000004</v>
      </c>
      <c r="AB2267">
        <v>26</v>
      </c>
      <c r="AC2267">
        <v>-53.543199999999999</v>
      </c>
      <c r="AD2267">
        <v>-1.0965237391247</v>
      </c>
      <c r="AE2267">
        <v>4.4941000000000004</v>
      </c>
      <c r="AF2267">
        <v>18.8861866889489</v>
      </c>
      <c r="AG2267">
        <v>-1.0965237391247</v>
      </c>
      <c r="AH2267">
        <v>50.279020736025799</v>
      </c>
      <c r="AI2267">
        <v>91.169586711892705</v>
      </c>
      <c r="AJ2267">
        <v>69.412436935249005</v>
      </c>
      <c r="AK2267">
        <v>53.720297264013801</v>
      </c>
      <c r="AL2267">
        <v>84.993863583820101</v>
      </c>
      <c r="AM2267">
        <v>82.868752207233698</v>
      </c>
      <c r="AN2267">
        <v>1.0000000531290201</v>
      </c>
    </row>
    <row r="2268" spans="1:40" x14ac:dyDescent="0.3">
      <c r="A2268" t="str">
        <f>"20200111145959797"</f>
        <v>20200111145959797</v>
      </c>
      <c r="B2268" t="str">
        <f>"1578725999788197"</f>
        <v>1578725999788197</v>
      </c>
      <c r="C2268" t="s">
        <v>40</v>
      </c>
      <c r="D2268">
        <v>4.2635940000000003</v>
      </c>
      <c r="E2268">
        <v>0.56930049999999999</v>
      </c>
      <c r="F2268" t="s">
        <v>62</v>
      </c>
      <c r="G2268">
        <v>-226.4151</v>
      </c>
      <c r="H2268" s="1">
        <v>1.877032E-6</v>
      </c>
      <c r="I2268">
        <v>283.93040000000002</v>
      </c>
      <c r="J2268">
        <v>-210.09950000000001</v>
      </c>
      <c r="K2268">
        <v>1.0965419999999999</v>
      </c>
      <c r="L2268">
        <v>283.24900000000002</v>
      </c>
      <c r="M2268">
        <v>-0.96517660000000005</v>
      </c>
      <c r="N2268">
        <v>0</v>
      </c>
      <c r="O2268">
        <v>-0.26146839999999999</v>
      </c>
      <c r="P2268">
        <v>-0.98586689999999999</v>
      </c>
      <c r="Q2268">
        <v>8.2058969999999995E-2</v>
      </c>
      <c r="R2268">
        <v>-0.1460592</v>
      </c>
      <c r="S2268">
        <v>-3.079971</v>
      </c>
      <c r="T2268">
        <v>-0.20369200000000001</v>
      </c>
      <c r="U2268">
        <v>0.1149292</v>
      </c>
      <c r="V2268">
        <v>0.1184598</v>
      </c>
      <c r="W2268">
        <v>8.8084200000000001E-2</v>
      </c>
      <c r="X2268">
        <v>0.98904420000000004</v>
      </c>
      <c r="Y2268">
        <v>0.29607810000000001</v>
      </c>
      <c r="Z2268">
        <v>2.6912249999999999E-2</v>
      </c>
      <c r="AA2268">
        <v>0.95478450000000004</v>
      </c>
      <c r="AB2268">
        <v>26</v>
      </c>
      <c r="AC2268">
        <v>-16.3155999999999</v>
      </c>
      <c r="AD2268">
        <v>-1.0965401229680001</v>
      </c>
      <c r="AE2268">
        <v>0.68139999999999601</v>
      </c>
      <c r="AF2268">
        <v>4.9017512814266802</v>
      </c>
      <c r="AG2268">
        <v>-1.0965401229680001</v>
      </c>
      <c r="AH2268">
        <v>15.499913259819699</v>
      </c>
      <c r="AI2268">
        <v>93.858888149612099</v>
      </c>
      <c r="AJ2268">
        <v>72.450764856998404</v>
      </c>
      <c r="AK2268">
        <v>16.293461170917102</v>
      </c>
      <c r="AL2268">
        <v>84.946597879767296</v>
      </c>
      <c r="AM2268">
        <v>83.170105038898896</v>
      </c>
      <c r="AN2268">
        <v>0.999999990029659</v>
      </c>
    </row>
    <row r="2269" spans="1:40" x14ac:dyDescent="0.3">
      <c r="A2269" t="str">
        <f>"20200111145959819"</f>
        <v>20200111145959819</v>
      </c>
      <c r="B2269" t="str">
        <f>"1578725999808693"</f>
        <v>1578725999808693</v>
      </c>
      <c r="C2269" t="s">
        <v>40</v>
      </c>
      <c r="D2269">
        <v>4.250229</v>
      </c>
      <c r="E2269">
        <v>0.57030499999999995</v>
      </c>
      <c r="F2269" t="s">
        <v>62</v>
      </c>
      <c r="G2269">
        <v>-227.79810000000001</v>
      </c>
      <c r="H2269" s="1">
        <v>2.612953E-6</v>
      </c>
      <c r="I2269">
        <v>283.93189999999998</v>
      </c>
      <c r="J2269">
        <v>-210.3587</v>
      </c>
      <c r="K2269">
        <v>1.0965750000000001</v>
      </c>
      <c r="L2269">
        <v>283.19029999999998</v>
      </c>
      <c r="M2269">
        <v>-0.96790920000000003</v>
      </c>
      <c r="N2269">
        <v>0</v>
      </c>
      <c r="O2269">
        <v>-0.25116490000000002</v>
      </c>
      <c r="P2269">
        <v>-0.98675259999999998</v>
      </c>
      <c r="Q2269">
        <v>8.3477759999999998E-2</v>
      </c>
      <c r="R2269">
        <v>-0.13910819999999999</v>
      </c>
      <c r="S2269">
        <v>-3.0764619999999998</v>
      </c>
      <c r="T2269">
        <v>-0.1906062</v>
      </c>
      <c r="U2269">
        <v>0.1187134</v>
      </c>
      <c r="V2269">
        <v>0.1148714</v>
      </c>
      <c r="W2269">
        <v>8.9542289999999997E-2</v>
      </c>
      <c r="X2269">
        <v>0.98933649999999995</v>
      </c>
      <c r="Y2269">
        <v>0.28728389999999998</v>
      </c>
      <c r="Z2269">
        <v>2.4320950000000001E-2</v>
      </c>
      <c r="AA2269">
        <v>0.95753670000000002</v>
      </c>
      <c r="AB2269">
        <v>26</v>
      </c>
      <c r="AC2269">
        <v>-17.439399999999999</v>
      </c>
      <c r="AD2269">
        <v>-1.0965723870469899</v>
      </c>
      <c r="AE2269">
        <v>0.74160000000000503</v>
      </c>
      <c r="AF2269">
        <v>5.0780984938827398</v>
      </c>
      <c r="AG2269">
        <v>-1.0965723870469899</v>
      </c>
      <c r="AH2269">
        <v>16.628432854483599</v>
      </c>
      <c r="AI2269">
        <v>93.608875059495205</v>
      </c>
      <c r="AJ2269">
        <v>73.018037489320704</v>
      </c>
      <c r="AK2269">
        <v>17.421088786573598</v>
      </c>
      <c r="AL2269">
        <v>84.862723998766498</v>
      </c>
      <c r="AM2269">
        <v>83.377069669340599</v>
      </c>
      <c r="AN2269">
        <v>0.99999998523432698</v>
      </c>
    </row>
    <row r="2270" spans="1:40" x14ac:dyDescent="0.3">
      <c r="A2270" t="str">
        <f>"20200111145959840"</f>
        <v>20200111145959840</v>
      </c>
      <c r="B2270" t="str">
        <f>"1578725999837975"</f>
        <v>1578725999837975</v>
      </c>
      <c r="C2270" t="s">
        <v>40</v>
      </c>
      <c r="D2270">
        <v>4.1905769999999896</v>
      </c>
      <c r="E2270">
        <v>0.56838230000000001</v>
      </c>
      <c r="F2270" t="s">
        <v>66</v>
      </c>
      <c r="G2270">
        <v>-429.95839999999998</v>
      </c>
      <c r="H2270">
        <v>4.0038619999999997E-2</v>
      </c>
      <c r="I2270">
        <v>293.52789999999999</v>
      </c>
      <c r="J2270">
        <v>-210.6052</v>
      </c>
      <c r="K2270">
        <v>1.096624</v>
      </c>
      <c r="L2270">
        <v>283.13709999999998</v>
      </c>
      <c r="M2270">
        <v>-0.97036670000000003</v>
      </c>
      <c r="N2270">
        <v>0</v>
      </c>
      <c r="O2270">
        <v>-0.2414972</v>
      </c>
      <c r="P2270">
        <v>-0.98740530000000004</v>
      </c>
      <c r="Q2270">
        <v>8.5557519999999998E-2</v>
      </c>
      <c r="R2270">
        <v>-0.13308310000000001</v>
      </c>
      <c r="S2270">
        <v>-3.0618289999999999</v>
      </c>
      <c r="T2270">
        <v>-1.4731050000000001E-2</v>
      </c>
      <c r="U2270">
        <v>0.1441345</v>
      </c>
      <c r="V2270">
        <v>0.111022</v>
      </c>
      <c r="W2270">
        <v>9.1677809999999998E-2</v>
      </c>
      <c r="X2270">
        <v>0.98958029999999997</v>
      </c>
      <c r="Y2270">
        <v>0.28686289999999998</v>
      </c>
      <c r="Z2270">
        <v>1.843901E-3</v>
      </c>
      <c r="AA2270">
        <v>0.95796990000000004</v>
      </c>
      <c r="AB2270">
        <v>26</v>
      </c>
      <c r="AC2270">
        <v>-219.35319999999999</v>
      </c>
      <c r="AD2270">
        <v>-1.05658538</v>
      </c>
      <c r="AE2270">
        <v>10.3908</v>
      </c>
      <c r="AF2270">
        <v>63.056740619434301</v>
      </c>
      <c r="AG2270">
        <v>-1.05658538</v>
      </c>
      <c r="AH2270">
        <v>210.345929053861</v>
      </c>
      <c r="AI2270">
        <v>90.275678717193799</v>
      </c>
      <c r="AJ2270">
        <v>73.312511195159701</v>
      </c>
      <c r="AK2270">
        <v>219.596627432535</v>
      </c>
      <c r="AL2270">
        <v>84.739862041393906</v>
      </c>
      <c r="AM2270">
        <v>83.598697191010999</v>
      </c>
      <c r="AN2270">
        <v>0.99999993773924101</v>
      </c>
    </row>
    <row r="2271" spans="1:40" x14ac:dyDescent="0.3">
      <c r="A2271" t="str">
        <f>"20200111145959864"</f>
        <v>20200111145959864</v>
      </c>
      <c r="B2271" t="str">
        <f>"1578725999858470"</f>
        <v>1578725999858470</v>
      </c>
      <c r="C2271" t="s">
        <v>40</v>
      </c>
      <c r="D2271">
        <v>4.1977849999999997</v>
      </c>
      <c r="E2271">
        <v>0.5684941</v>
      </c>
      <c r="F2271" t="s">
        <v>52</v>
      </c>
      <c r="G2271">
        <v>-492.1454</v>
      </c>
      <c r="H2271" s="1">
        <v>6.4468849999999999E-6</v>
      </c>
      <c r="I2271">
        <v>296.75290000000001</v>
      </c>
      <c r="J2271">
        <v>-210.8785</v>
      </c>
      <c r="K2271">
        <v>1.0966910000000001</v>
      </c>
      <c r="L2271">
        <v>283.08120000000002</v>
      </c>
      <c r="M2271">
        <v>-0.97292800000000002</v>
      </c>
      <c r="N2271">
        <v>0</v>
      </c>
      <c r="O2271">
        <v>-0.23096340000000001</v>
      </c>
      <c r="P2271">
        <v>-0.98838579999999998</v>
      </c>
      <c r="Q2271">
        <v>8.6666149999999997E-2</v>
      </c>
      <c r="R2271">
        <v>-0.12483030000000001</v>
      </c>
      <c r="S2271">
        <v>-3.0592350000000001</v>
      </c>
      <c r="T2271">
        <v>-1.191592E-2</v>
      </c>
      <c r="U2271">
        <v>0.1479492</v>
      </c>
      <c r="V2271">
        <v>0.108539</v>
      </c>
      <c r="W2271">
        <v>9.2823509999999998E-2</v>
      </c>
      <c r="X2271">
        <v>0.98974899999999999</v>
      </c>
      <c r="Y2271">
        <v>0.27769660000000002</v>
      </c>
      <c r="Z2271">
        <v>1.434722E-3</v>
      </c>
      <c r="AA2271">
        <v>0.96066770000000001</v>
      </c>
      <c r="AB2271">
        <v>26</v>
      </c>
      <c r="AC2271">
        <v>-281.26690000000002</v>
      </c>
      <c r="AD2271">
        <v>-1.096684553115</v>
      </c>
      <c r="AE2271">
        <v>13.6716999999999</v>
      </c>
      <c r="AF2271">
        <v>78.265374761796096</v>
      </c>
      <c r="AG2271">
        <v>-1.096684553115</v>
      </c>
      <c r="AH2271">
        <v>270.49974149821497</v>
      </c>
      <c r="AI2271">
        <v>90.223140126910494</v>
      </c>
      <c r="AJ2271">
        <v>73.862928253422893</v>
      </c>
      <c r="AK2271">
        <v>281.59684258566301</v>
      </c>
      <c r="AL2271">
        <v>84.673937479739493</v>
      </c>
      <c r="AM2271">
        <v>83.741771154539407</v>
      </c>
      <c r="AN2271">
        <v>1.00000000076536</v>
      </c>
    </row>
    <row r="2272" spans="1:40" x14ac:dyDescent="0.3">
      <c r="A2272" t="str">
        <f>"20200111145959886"</f>
        <v>20200111145959886</v>
      </c>
      <c r="B2272" t="str">
        <f>"1578725999877990"</f>
        <v>1578725999877990</v>
      </c>
      <c r="C2272" t="s">
        <v>40</v>
      </c>
      <c r="D2272">
        <v>4.2917360000000002</v>
      </c>
      <c r="E2272">
        <v>0.56841779999999997</v>
      </c>
      <c r="F2272" t="s">
        <v>68</v>
      </c>
      <c r="G2272">
        <v>-511.8202</v>
      </c>
      <c r="H2272">
        <v>9.8360299999999998E-2</v>
      </c>
      <c r="I2272">
        <v>300.26780000000002</v>
      </c>
      <c r="J2272">
        <v>-211.15600000000001</v>
      </c>
      <c r="K2272">
        <v>1.096767</v>
      </c>
      <c r="L2272">
        <v>283.02719999999999</v>
      </c>
      <c r="M2272">
        <v>-0.97536080000000003</v>
      </c>
      <c r="N2272">
        <v>0</v>
      </c>
      <c r="O2272">
        <v>-0.22046499999999999</v>
      </c>
      <c r="P2272">
        <v>-0.98973449999999996</v>
      </c>
      <c r="Q2272">
        <v>8.5837739999999996E-2</v>
      </c>
      <c r="R2272">
        <v>-0.1142716</v>
      </c>
      <c r="S2272">
        <v>-3.0581969999999998</v>
      </c>
      <c r="T2272">
        <v>-1.0144230000000001E-2</v>
      </c>
      <c r="U2272">
        <v>0.1746521</v>
      </c>
      <c r="V2272">
        <v>0.1084181</v>
      </c>
      <c r="W2272">
        <v>9.1995460000000001E-2</v>
      </c>
      <c r="X2272">
        <v>0.98983960000000004</v>
      </c>
      <c r="Y2272">
        <v>0.27572459999999999</v>
      </c>
      <c r="Z2272">
        <v>1.18425E-3</v>
      </c>
      <c r="AA2272">
        <v>0.96123590000000003</v>
      </c>
      <c r="AB2272">
        <v>27</v>
      </c>
      <c r="AC2272">
        <v>-300.66419999999999</v>
      </c>
      <c r="AD2272">
        <v>-0.99840669999999998</v>
      </c>
      <c r="AE2272">
        <v>17.240600000000001</v>
      </c>
      <c r="AF2272">
        <v>83.103587898355102</v>
      </c>
      <c r="AG2272">
        <v>-0.99840669999999998</v>
      </c>
      <c r="AH2272">
        <v>289.46156831159698</v>
      </c>
      <c r="AI2272">
        <v>90.189949763390004</v>
      </c>
      <c r="AJ2272">
        <v>73.981379016714101</v>
      </c>
      <c r="AK2272">
        <v>301.156442180684</v>
      </c>
      <c r="AL2272">
        <v>84.721585346477596</v>
      </c>
      <c r="AM2272">
        <v>83.749254536128504</v>
      </c>
      <c r="AN2272">
        <v>1.00000004139819</v>
      </c>
    </row>
    <row r="2273" spans="1:40" x14ac:dyDescent="0.3">
      <c r="A2273" t="str">
        <f>"20200111145959908"</f>
        <v>20200111145959908</v>
      </c>
      <c r="B2273" t="str">
        <f>"1578725999898485"</f>
        <v>1578725999898485</v>
      </c>
      <c r="C2273" t="s">
        <v>40</v>
      </c>
      <c r="D2273">
        <v>4.1485599999999998</v>
      </c>
      <c r="E2273">
        <v>0.5674574</v>
      </c>
      <c r="F2273" t="s">
        <v>66</v>
      </c>
      <c r="G2273">
        <v>-417.49259999999998</v>
      </c>
      <c r="H2273" s="1">
        <v>9.2429389999999999E-7</v>
      </c>
      <c r="I2273">
        <v>297.0016</v>
      </c>
      <c r="J2273">
        <v>-211.42</v>
      </c>
      <c r="K2273">
        <v>1.096843</v>
      </c>
      <c r="L2273">
        <v>282.97840000000002</v>
      </c>
      <c r="M2273">
        <v>-0.97752850000000002</v>
      </c>
      <c r="N2273">
        <v>0</v>
      </c>
      <c r="O2273">
        <v>-0.21064559999999999</v>
      </c>
      <c r="P2273">
        <v>-0.99105220000000005</v>
      </c>
      <c r="Q2273">
        <v>8.3654980000000004E-2</v>
      </c>
      <c r="R2273">
        <v>-0.104008199999999</v>
      </c>
      <c r="S2273">
        <v>-3.0564269999999998</v>
      </c>
      <c r="T2273">
        <v>-1.6246199999999999E-2</v>
      </c>
      <c r="U2273">
        <v>0.20700070000000001</v>
      </c>
      <c r="V2273">
        <v>0.10870299999999999</v>
      </c>
      <c r="W2273">
        <v>8.9811089999999996E-2</v>
      </c>
      <c r="X2273">
        <v>0.99000889999999997</v>
      </c>
      <c r="Y2273">
        <v>0.27621980000000002</v>
      </c>
      <c r="Z2273">
        <v>1.84734E-3</v>
      </c>
      <c r="AA2273">
        <v>0.96109270000000002</v>
      </c>
      <c r="AB2273">
        <v>27</v>
      </c>
      <c r="AC2273">
        <v>-206.07259999999999</v>
      </c>
      <c r="AD2273">
        <v>-1.0968420757060999</v>
      </c>
      <c r="AE2273">
        <v>14.0231999999999</v>
      </c>
      <c r="AF2273">
        <v>57.116651625308002</v>
      </c>
      <c r="AG2273">
        <v>-1.0968420757060999</v>
      </c>
      <c r="AH2273">
        <v>198.48891327428899</v>
      </c>
      <c r="AI2273">
        <v>90.304264587468396</v>
      </c>
      <c r="AJ2273">
        <v>73.946436164079202</v>
      </c>
      <c r="AK2273">
        <v>206.54627483504601</v>
      </c>
      <c r="AL2273">
        <v>84.847260656191196</v>
      </c>
      <c r="AM2273">
        <v>83.734022611498403</v>
      </c>
      <c r="AN2273">
        <v>0.99999999808759898</v>
      </c>
    </row>
    <row r="2274" spans="1:40" x14ac:dyDescent="0.3">
      <c r="A2274" t="str">
        <f>"20200111145959929"</f>
        <v>20200111145959929</v>
      </c>
      <c r="B2274" t="str">
        <f>"1578725999918008"</f>
        <v>1578725999918008</v>
      </c>
      <c r="C2274" t="s">
        <v>40</v>
      </c>
      <c r="D2274">
        <v>4.1899800000000003</v>
      </c>
      <c r="E2274">
        <v>0.56681389999999998</v>
      </c>
      <c r="F2274" t="s">
        <v>66</v>
      </c>
      <c r="G2274">
        <v>-315.05399999999997</v>
      </c>
      <c r="H2274">
        <v>0.08</v>
      </c>
      <c r="I2274">
        <v>290.815</v>
      </c>
      <c r="J2274">
        <v>-211.67570000000001</v>
      </c>
      <c r="K2274">
        <v>1.0969249999999999</v>
      </c>
      <c r="L2274">
        <v>282.93349999999998</v>
      </c>
      <c r="M2274">
        <v>-0.97949240000000004</v>
      </c>
      <c r="N2274">
        <v>0</v>
      </c>
      <c r="O2274">
        <v>-0.20131679999999999</v>
      </c>
      <c r="P2274">
        <v>-0.99218209999999996</v>
      </c>
      <c r="Q2274">
        <v>8.1323270000000003E-2</v>
      </c>
      <c r="R2274">
        <v>-9.4665810000000003E-2</v>
      </c>
      <c r="S2274">
        <v>-3.0538639999999999</v>
      </c>
      <c r="T2274">
        <v>-2.9964089999999999E-2</v>
      </c>
      <c r="U2274">
        <v>0.23092650000000001</v>
      </c>
      <c r="V2274">
        <v>0.10857020000000001</v>
      </c>
      <c r="W2274">
        <v>8.7494240000000001E-2</v>
      </c>
      <c r="X2274">
        <v>0.99023090000000002</v>
      </c>
      <c r="Y2274">
        <v>0.2745862</v>
      </c>
      <c r="Z2274">
        <v>3.3112039999999999E-3</v>
      </c>
      <c r="AA2274">
        <v>0.96155679999999999</v>
      </c>
      <c r="AB2274">
        <v>27</v>
      </c>
      <c r="AC2274">
        <v>-103.3783</v>
      </c>
      <c r="AD2274">
        <v>-1.0169250000000001</v>
      </c>
      <c r="AE2274">
        <v>7.8815000000000097</v>
      </c>
      <c r="AF2274">
        <v>28.5298573750506</v>
      </c>
      <c r="AG2274">
        <v>-1.0169250000000001</v>
      </c>
      <c r="AH2274">
        <v>99.665290933303694</v>
      </c>
      <c r="AI2274">
        <v>90.5620196730126</v>
      </c>
      <c r="AJ2274">
        <v>74.025875634780206</v>
      </c>
      <c r="AK2274">
        <v>103.67331920564899</v>
      </c>
      <c r="AL2274">
        <v>84.980531076235593</v>
      </c>
      <c r="AM2274">
        <v>83.743008772825107</v>
      </c>
      <c r="AN2274">
        <v>0.99999998283801295</v>
      </c>
    </row>
    <row r="2275" spans="1:40" x14ac:dyDescent="0.3">
      <c r="A2275" t="str">
        <f>"20200111145959952"</f>
        <v>20200111145959952</v>
      </c>
      <c r="B2275" t="str">
        <f>"1578725999948261"</f>
        <v>1578725999948261</v>
      </c>
      <c r="C2275" t="s">
        <v>40</v>
      </c>
      <c r="D2275">
        <v>4.3016500000000004</v>
      </c>
      <c r="E2275">
        <v>0.56575969999999998</v>
      </c>
      <c r="F2275" t="s">
        <v>66</v>
      </c>
      <c r="G2275">
        <v>-295.7704</v>
      </c>
      <c r="H2275" s="1">
        <v>2.7334419999999998E-6</v>
      </c>
      <c r="I2275">
        <v>289.95</v>
      </c>
      <c r="J2275">
        <v>-211.9417</v>
      </c>
      <c r="K2275">
        <v>1.0970340000000001</v>
      </c>
      <c r="L2275">
        <v>282.88929999999999</v>
      </c>
      <c r="M2275">
        <v>-0.98139219999999905</v>
      </c>
      <c r="N2275">
        <v>0</v>
      </c>
      <c r="O2275">
        <v>-0.1918426</v>
      </c>
      <c r="P2275">
        <v>-0.99305270000000001</v>
      </c>
      <c r="Q2275">
        <v>7.9985909999999993E-2</v>
      </c>
      <c r="R2275">
        <v>-8.6307529999999993E-2</v>
      </c>
      <c r="S2275">
        <v>-3.0512079999999999</v>
      </c>
      <c r="T2275">
        <v>-3.9799689999999999E-2</v>
      </c>
      <c r="U2275">
        <v>0.25457760000000001</v>
      </c>
      <c r="V2275">
        <v>0.1073122</v>
      </c>
      <c r="W2275">
        <v>8.6200239999999997E-2</v>
      </c>
      <c r="X2275">
        <v>0.99048150000000001</v>
      </c>
      <c r="Y2275">
        <v>0.27274700000000002</v>
      </c>
      <c r="Z2275">
        <v>4.2669969999999998E-3</v>
      </c>
      <c r="AA2275">
        <v>0.9620763</v>
      </c>
      <c r="AB2275">
        <v>27</v>
      </c>
      <c r="AC2275">
        <v>-83.828699999999998</v>
      </c>
      <c r="AD2275">
        <v>-1.097031266558</v>
      </c>
      <c r="AE2275">
        <v>7.06069999999999</v>
      </c>
      <c r="AF2275">
        <v>23.008075816487601</v>
      </c>
      <c r="AG2275">
        <v>-1.097031266558</v>
      </c>
      <c r="AH2275">
        <v>80.903192359919998</v>
      </c>
      <c r="AI2275">
        <v>90.7472450698519</v>
      </c>
      <c r="AJ2275">
        <v>74.124767004657102</v>
      </c>
      <c r="AK2275">
        <v>84.118378279679504</v>
      </c>
      <c r="AL2275">
        <v>85.054953078356604</v>
      </c>
      <c r="AM2275">
        <v>83.816495936859596</v>
      </c>
      <c r="AN2275">
        <v>0.99999999574357301</v>
      </c>
    </row>
    <row r="2276" spans="1:40" x14ac:dyDescent="0.3">
      <c r="A2276" t="str">
        <f>"20200111145959975"</f>
        <v>20200111145959975</v>
      </c>
      <c r="B2276" t="str">
        <f>"1578725999968758"</f>
        <v>1578725999968758</v>
      </c>
      <c r="C2276" t="s">
        <v>40</v>
      </c>
      <c r="D2276">
        <v>4.2646369999999996</v>
      </c>
      <c r="E2276">
        <v>0.56407700000000005</v>
      </c>
      <c r="F2276" t="s">
        <v>62</v>
      </c>
      <c r="G2276">
        <v>-275.09679999999997</v>
      </c>
      <c r="H2276" s="1">
        <v>1.0042259999999999E-6</v>
      </c>
      <c r="I2276">
        <v>288.53429999999997</v>
      </c>
      <c r="J2276">
        <v>-212.22989999999999</v>
      </c>
      <c r="K2276">
        <v>1.097175</v>
      </c>
      <c r="L2276">
        <v>282.84390000000002</v>
      </c>
      <c r="M2276">
        <v>-0.98328970000000004</v>
      </c>
      <c r="N2276">
        <v>0</v>
      </c>
      <c r="O2276">
        <v>-0.1818668</v>
      </c>
      <c r="P2276">
        <v>-0.99376819999999999</v>
      </c>
      <c r="Q2276">
        <v>7.9229099999999997E-2</v>
      </c>
      <c r="R2276">
        <v>-7.8405509999999998E-2</v>
      </c>
      <c r="S2276">
        <v>-3.0489199999999999</v>
      </c>
      <c r="T2276">
        <v>-5.2961109999999999E-2</v>
      </c>
      <c r="U2276">
        <v>0.27252199999999999</v>
      </c>
      <c r="V2276">
        <v>0.1050971</v>
      </c>
      <c r="W2276">
        <v>8.5510909999999996E-2</v>
      </c>
      <c r="X2276">
        <v>0.99077870000000001</v>
      </c>
      <c r="Y2276">
        <v>0.26862649999999999</v>
      </c>
      <c r="Z2276">
        <v>5.4741190000000004E-3</v>
      </c>
      <c r="AA2276">
        <v>0.96322890000000005</v>
      </c>
      <c r="AB2276">
        <v>27</v>
      </c>
      <c r="AC2276">
        <v>-62.866900000000001</v>
      </c>
      <c r="AD2276">
        <v>-1.0971739957740001</v>
      </c>
      <c r="AE2276">
        <v>5.6903999999999497</v>
      </c>
      <c r="AF2276">
        <v>17.024131052181701</v>
      </c>
      <c r="AG2276">
        <v>-1.0971739957740001</v>
      </c>
      <c r="AH2276">
        <v>60.765123539098198</v>
      </c>
      <c r="AI2276">
        <v>90.996074193776707</v>
      </c>
      <c r="AJ2276">
        <v>74.349100877027595</v>
      </c>
      <c r="AK2276">
        <v>63.114380830209598</v>
      </c>
      <c r="AL2276">
        <v>85.094595048075604</v>
      </c>
      <c r="AM2276">
        <v>83.944978307062996</v>
      </c>
      <c r="AN2276">
        <v>0.99999997426556297</v>
      </c>
    </row>
    <row r="2277" spans="1:40" x14ac:dyDescent="0.3">
      <c r="A2277" t="str">
        <f>"20200111145959999"</f>
        <v>20200111145959999</v>
      </c>
      <c r="B2277" t="str">
        <f>"1578725999988277"</f>
        <v>1578725999988277</v>
      </c>
      <c r="C2277" t="s">
        <v>40</v>
      </c>
      <c r="D2277">
        <v>4.1286899999999997</v>
      </c>
      <c r="E2277">
        <v>0.56228690000000003</v>
      </c>
      <c r="F2277" t="s">
        <v>62</v>
      </c>
      <c r="G2277">
        <v>-273.78129999999999</v>
      </c>
      <c r="H2277" s="1">
        <v>3.026672E-7</v>
      </c>
      <c r="I2277">
        <v>288.56819999999999</v>
      </c>
      <c r="J2277">
        <v>-212.5249</v>
      </c>
      <c r="K2277">
        <v>1.0973539999999999</v>
      </c>
      <c r="L2277">
        <v>282.80009999999999</v>
      </c>
      <c r="M2277">
        <v>-0.98506839999999996</v>
      </c>
      <c r="N2277">
        <v>0</v>
      </c>
      <c r="O2277">
        <v>-0.17197319999999999</v>
      </c>
      <c r="P2277">
        <v>-0.99429420000000002</v>
      </c>
      <c r="Q2277">
        <v>7.8562409999999999E-2</v>
      </c>
      <c r="R2277">
        <v>-7.2163340000000006E-2</v>
      </c>
      <c r="S2277">
        <v>-3.045471</v>
      </c>
      <c r="T2277">
        <v>-5.4286599999999997E-2</v>
      </c>
      <c r="U2277">
        <v>0.28323359999999997</v>
      </c>
      <c r="V2277">
        <v>0.1013172</v>
      </c>
      <c r="W2277">
        <v>8.4942210000000004E-2</v>
      </c>
      <c r="X2277">
        <v>0.99122129999999997</v>
      </c>
      <c r="Y2277">
        <v>0.26239370000000001</v>
      </c>
      <c r="Z2277">
        <v>5.3867990000000003E-3</v>
      </c>
      <c r="AA2277">
        <v>0.96494590000000002</v>
      </c>
      <c r="AB2277">
        <v>27</v>
      </c>
      <c r="AC2277">
        <v>-61.2563999999999</v>
      </c>
      <c r="AD2277">
        <v>-1.0973536973328</v>
      </c>
      <c r="AE2277">
        <v>5.7680999999999996</v>
      </c>
      <c r="AF2277">
        <v>16.211806112712001</v>
      </c>
      <c r="AG2277">
        <v>-1.0973536973328</v>
      </c>
      <c r="AH2277">
        <v>59.332854638113702</v>
      </c>
      <c r="AI2277">
        <v>91.022098969121899</v>
      </c>
      <c r="AJ2277">
        <v>74.717813897870599</v>
      </c>
      <c r="AK2277">
        <v>61.517594898376402</v>
      </c>
      <c r="AL2277">
        <v>85.127298319845906</v>
      </c>
      <c r="AM2277">
        <v>84.163808753968993</v>
      </c>
      <c r="AN2277">
        <v>1.0000000098146</v>
      </c>
    </row>
    <row r="2278" spans="1:40" x14ac:dyDescent="0.3">
      <c r="A2278" t="str">
        <f>"20200111150000026"</f>
        <v>20200111150000026</v>
      </c>
      <c r="B2278" t="str">
        <f>"1578726000018534"</f>
        <v>1578726000018534</v>
      </c>
      <c r="C2278" t="s">
        <v>40</v>
      </c>
      <c r="D2278">
        <v>4.1245719999999997</v>
      </c>
      <c r="E2278">
        <v>0.56050180000000005</v>
      </c>
      <c r="F2278" t="s">
        <v>62</v>
      </c>
      <c r="G2278">
        <v>-267.60640000000001</v>
      </c>
      <c r="H2278" s="1">
        <v>2.5109599999999999E-6</v>
      </c>
      <c r="I2278">
        <v>288.02199999999999</v>
      </c>
      <c r="J2278">
        <v>-212.77369999999999</v>
      </c>
      <c r="K2278">
        <v>1.0975109999999999</v>
      </c>
      <c r="L2278">
        <v>282.76530000000002</v>
      </c>
      <c r="M2278">
        <v>-0.98644339999999997</v>
      </c>
      <c r="N2278">
        <v>0</v>
      </c>
      <c r="O2278">
        <v>-0.1639023</v>
      </c>
      <c r="P2278">
        <v>-0.99457399999999996</v>
      </c>
      <c r="Q2278">
        <v>7.860955E-2</v>
      </c>
      <c r="R2278">
        <v>-6.8141969999999996E-2</v>
      </c>
      <c r="S2278">
        <v>-3.0429529999999998</v>
      </c>
      <c r="T2278">
        <v>-6.062269E-2</v>
      </c>
      <c r="U2278">
        <v>0.28848269999999998</v>
      </c>
      <c r="V2278">
        <v>9.717307E-2</v>
      </c>
      <c r="W2278">
        <v>8.5088540000000004E-2</v>
      </c>
      <c r="X2278">
        <v>0.99162360000000005</v>
      </c>
      <c r="Y2278">
        <v>0.25619720000000001</v>
      </c>
      <c r="Z2278">
        <v>5.7991029999999999E-3</v>
      </c>
      <c r="AA2278">
        <v>0.9666072</v>
      </c>
      <c r="AB2278">
        <v>27</v>
      </c>
      <c r="AC2278">
        <v>-54.832700000000003</v>
      </c>
      <c r="AD2278">
        <v>-1.09750848904</v>
      </c>
      <c r="AE2278">
        <v>5.2566999999999604</v>
      </c>
      <c r="AF2278">
        <v>14.1674823834521</v>
      </c>
      <c r="AG2278">
        <v>-1.09750848904</v>
      </c>
      <c r="AH2278">
        <v>53.208389480117297</v>
      </c>
      <c r="AI2278">
        <v>91.141876518176005</v>
      </c>
      <c r="AJ2278">
        <v>75.090120601845996</v>
      </c>
      <c r="AK2278">
        <v>55.073176710961597</v>
      </c>
      <c r="AL2278">
        <v>85.118883788318001</v>
      </c>
      <c r="AM2278">
        <v>84.403232004853194</v>
      </c>
      <c r="AN2278">
        <v>1.0000000146247501</v>
      </c>
    </row>
    <row r="2279" spans="1:40" x14ac:dyDescent="0.3">
      <c r="A2279" t="str">
        <f>"20200111150000041"</f>
        <v>20200111150000041</v>
      </c>
      <c r="B2279" t="str">
        <f>"1578726000038053"</f>
        <v>1578726000038053</v>
      </c>
      <c r="C2279" t="s">
        <v>40</v>
      </c>
      <c r="D2279">
        <v>4.0692490000000001</v>
      </c>
      <c r="E2279">
        <v>0.55873839999999997</v>
      </c>
      <c r="F2279" t="s">
        <v>62</v>
      </c>
      <c r="G2279">
        <v>-266.4744</v>
      </c>
      <c r="H2279" s="1">
        <v>1.9085520000000002E-6</v>
      </c>
      <c r="I2279">
        <v>287.8381</v>
      </c>
      <c r="J2279">
        <v>-213.03469999999999</v>
      </c>
      <c r="K2279">
        <v>1.0976809999999999</v>
      </c>
      <c r="L2279">
        <v>282.73070000000001</v>
      </c>
      <c r="M2279">
        <v>-0.98777369999999998</v>
      </c>
      <c r="N2279">
        <v>0</v>
      </c>
      <c r="O2279">
        <v>-0.15568570000000001</v>
      </c>
      <c r="P2279">
        <v>-0.99486819999999998</v>
      </c>
      <c r="Q2279">
        <v>7.8716919999999996E-2</v>
      </c>
      <c r="R2279">
        <v>-6.3569280000000006E-2</v>
      </c>
      <c r="S2279">
        <v>-3.0409389999999998</v>
      </c>
      <c r="T2279">
        <v>-6.2149290000000003E-2</v>
      </c>
      <c r="U2279">
        <v>0.28726200000000002</v>
      </c>
      <c r="V2279">
        <v>9.3440190000000006E-2</v>
      </c>
      <c r="W2279">
        <v>8.5286189999999998E-2</v>
      </c>
      <c r="X2279">
        <v>0.99196530000000005</v>
      </c>
      <c r="Y2279">
        <v>0.2478165</v>
      </c>
      <c r="Z2279">
        <v>5.6971359999999898E-3</v>
      </c>
      <c r="AA2279">
        <v>0.96879020000000005</v>
      </c>
      <c r="AB2279">
        <v>27</v>
      </c>
      <c r="AC2279">
        <v>-53.439700000000002</v>
      </c>
      <c r="AD2279">
        <v>-1.0976790914479999</v>
      </c>
      <c r="AE2279">
        <v>5.1073999999999797</v>
      </c>
      <c r="AF2279">
        <v>13.359601842685001</v>
      </c>
      <c r="AG2279">
        <v>-1.0976790914479999</v>
      </c>
      <c r="AH2279">
        <v>51.971144119795099</v>
      </c>
      <c r="AI2279">
        <v>91.171872918350701</v>
      </c>
      <c r="AJ2279">
        <v>75.583783780254507</v>
      </c>
      <c r="AK2279">
        <v>53.672000912052702</v>
      </c>
      <c r="AL2279">
        <v>85.107517791784701</v>
      </c>
      <c r="AM2279">
        <v>84.618785954387107</v>
      </c>
      <c r="AN2279">
        <v>0.99999997985802103</v>
      </c>
    </row>
    <row r="2280" spans="1:40" x14ac:dyDescent="0.3">
      <c r="A2280" t="str">
        <f>"20200111150000064"</f>
        <v>20200111150000064</v>
      </c>
      <c r="B2280" t="str">
        <f>"1578726000058550"</f>
        <v>1578726000058550</v>
      </c>
      <c r="C2280" t="s">
        <v>40</v>
      </c>
      <c r="D2280">
        <v>4.129454</v>
      </c>
      <c r="E2280">
        <v>0.55733500000000002</v>
      </c>
      <c r="F2280" t="s">
        <v>62</v>
      </c>
      <c r="G2280">
        <v>-268.47840000000002</v>
      </c>
      <c r="H2280" s="1">
        <v>2.9749749999999998E-6</v>
      </c>
      <c r="I2280">
        <v>287.98050000000001</v>
      </c>
      <c r="J2280">
        <v>-213.31200000000001</v>
      </c>
      <c r="K2280">
        <v>1.097839</v>
      </c>
      <c r="L2280">
        <v>282.69619999999998</v>
      </c>
      <c r="M2280">
        <v>-0.98907219999999996</v>
      </c>
      <c r="N2280">
        <v>0</v>
      </c>
      <c r="O2280">
        <v>-0.14721110000000001</v>
      </c>
      <c r="P2280">
        <v>-0.99512500000000004</v>
      </c>
      <c r="Q2280">
        <v>7.9238429999999999E-2</v>
      </c>
      <c r="R2280">
        <v>-5.8717949999999998E-2</v>
      </c>
      <c r="S2280">
        <v>-3.0386199999999999</v>
      </c>
      <c r="T2280">
        <v>-6.015885E-2</v>
      </c>
      <c r="U2280">
        <v>0.28771970000000002</v>
      </c>
      <c r="V2280">
        <v>8.9738879999999993E-2</v>
      </c>
      <c r="W2280">
        <v>8.5894299999999896E-2</v>
      </c>
      <c r="X2280">
        <v>0.99225459999999999</v>
      </c>
      <c r="Y2280">
        <v>0.2397241</v>
      </c>
      <c r="Z2280">
        <v>5.272428E-3</v>
      </c>
      <c r="AA2280">
        <v>0.97082670000000004</v>
      </c>
      <c r="AB2280">
        <v>27</v>
      </c>
      <c r="AC2280">
        <v>-55.166400000000003</v>
      </c>
      <c r="AD2280">
        <v>-1.0978360250249899</v>
      </c>
      <c r="AE2280">
        <v>5.2843000000000302</v>
      </c>
      <c r="AF2280">
        <v>13.3428588761016</v>
      </c>
      <c r="AG2280">
        <v>-1.0978360250249899</v>
      </c>
      <c r="AH2280">
        <v>53.766295787936599</v>
      </c>
      <c r="AI2280">
        <v>91.135313197885694</v>
      </c>
      <c r="AJ2280">
        <v>76.062806482351604</v>
      </c>
      <c r="AK2280">
        <v>55.408047156358897</v>
      </c>
      <c r="AL2280">
        <v>85.072547645464397</v>
      </c>
      <c r="AM2280">
        <v>84.832264699678902</v>
      </c>
      <c r="AN2280">
        <v>1.0000000442886501</v>
      </c>
    </row>
    <row r="2281" spans="1:40" x14ac:dyDescent="0.3">
      <c r="A2281" t="str">
        <f>"20200111150000087"</f>
        <v>20200111150000087</v>
      </c>
      <c r="B2281" t="str">
        <f>"1578726000078655"</f>
        <v>1578726000078655</v>
      </c>
      <c r="C2281" t="s">
        <v>40</v>
      </c>
      <c r="D2281">
        <v>4.2273050000000003</v>
      </c>
      <c r="E2281">
        <v>0.55566740000000003</v>
      </c>
      <c r="F2281" t="s">
        <v>62</v>
      </c>
      <c r="G2281">
        <v>-267.15100000000001</v>
      </c>
      <c r="H2281" s="1">
        <v>2.2685969999999999E-6</v>
      </c>
      <c r="I2281">
        <v>287.86849999999998</v>
      </c>
      <c r="J2281">
        <v>-213.60059999999999</v>
      </c>
      <c r="K2281">
        <v>1.0979669999999999</v>
      </c>
      <c r="L2281">
        <v>282.66250000000002</v>
      </c>
      <c r="M2281">
        <v>-0.99031619999999998</v>
      </c>
      <c r="N2281">
        <v>0</v>
      </c>
      <c r="O2281">
        <v>-0.13859669999999999</v>
      </c>
      <c r="P2281">
        <v>-0.99533150000000004</v>
      </c>
      <c r="Q2281">
        <v>7.9999280000000006E-2</v>
      </c>
      <c r="R2281">
        <v>-5.399785E-2</v>
      </c>
      <c r="S2281">
        <v>-3.036835</v>
      </c>
      <c r="T2281">
        <v>-6.1924460000000001E-2</v>
      </c>
      <c r="U2281">
        <v>0.29174800000000001</v>
      </c>
      <c r="V2281">
        <v>8.5783460000000006E-2</v>
      </c>
      <c r="W2281">
        <v>8.6739899999999995E-2</v>
      </c>
      <c r="X2281">
        <v>0.99253080000000005</v>
      </c>
      <c r="Y2281">
        <v>0.23259589999999999</v>
      </c>
      <c r="Z2281">
        <v>5.1830649999999997E-3</v>
      </c>
      <c r="AA2281">
        <v>0.97255970000000003</v>
      </c>
      <c r="AB2281">
        <v>27</v>
      </c>
      <c r="AC2281">
        <v>-53.550400000000003</v>
      </c>
      <c r="AD2281">
        <v>-1.0979647314030001</v>
      </c>
      <c r="AE2281">
        <v>5.2059999999999604</v>
      </c>
      <c r="AF2281">
        <v>12.5726663326866</v>
      </c>
      <c r="AG2281">
        <v>-1.0979647314030001</v>
      </c>
      <c r="AH2281">
        <v>52.290212178225801</v>
      </c>
      <c r="AI2281">
        <v>91.169569829181597</v>
      </c>
      <c r="AJ2281">
        <v>76.480423982700103</v>
      </c>
      <c r="AK2281">
        <v>53.791669939762599</v>
      </c>
      <c r="AL2281">
        <v>85.023916612960505</v>
      </c>
      <c r="AM2281">
        <v>85.060257689272802</v>
      </c>
      <c r="AN2281">
        <v>1.00000000060511</v>
      </c>
    </row>
    <row r="2282" spans="1:40" x14ac:dyDescent="0.3">
      <c r="A2282" t="str">
        <f>"20200111150000108"</f>
        <v>20200111150000108</v>
      </c>
      <c r="B2282" t="str">
        <f>"1578726000098175"</f>
        <v>1578726000098175</v>
      </c>
      <c r="C2282" t="s">
        <v>40</v>
      </c>
      <c r="D2282">
        <v>4.3036799999999999</v>
      </c>
      <c r="E2282">
        <v>0.55428549999999999</v>
      </c>
      <c r="F2282" t="s">
        <v>62</v>
      </c>
      <c r="G2282">
        <v>-265.61360000000002</v>
      </c>
      <c r="H2282" s="1">
        <v>1.4504980000000001E-6</v>
      </c>
      <c r="I2282">
        <v>287.67689999999999</v>
      </c>
      <c r="J2282">
        <v>-213.86500000000001</v>
      </c>
      <c r="K2282">
        <v>1.0980510000000001</v>
      </c>
      <c r="L2282">
        <v>282.63369999999998</v>
      </c>
      <c r="M2282">
        <v>-0.99136690000000005</v>
      </c>
      <c r="N2282">
        <v>0</v>
      </c>
      <c r="O2282">
        <v>-0.13086829999999999</v>
      </c>
      <c r="P2282">
        <v>-0.99550550000000004</v>
      </c>
      <c r="Q2282">
        <v>7.993807E-2</v>
      </c>
      <c r="R2282">
        <v>-5.0782189999999998E-2</v>
      </c>
      <c r="S2282">
        <v>-3.0350799999999998</v>
      </c>
      <c r="T2282">
        <v>-6.4068910000000007E-2</v>
      </c>
      <c r="U2282">
        <v>0.29260249999999999</v>
      </c>
      <c r="V2282">
        <v>8.1228690000000006E-2</v>
      </c>
      <c r="W2282">
        <v>8.6767460000000005E-2</v>
      </c>
      <c r="X2282">
        <v>0.99291149999999995</v>
      </c>
      <c r="Y2282">
        <v>0.22532650000000001</v>
      </c>
      <c r="Z2282">
        <v>5.126851E-3</v>
      </c>
      <c r="AA2282">
        <v>0.97426979999999996</v>
      </c>
      <c r="AB2282">
        <v>27</v>
      </c>
      <c r="AC2282">
        <v>-51.748600000000003</v>
      </c>
      <c r="AD2282">
        <v>-1.098049549502</v>
      </c>
      <c r="AE2282">
        <v>5.0432000000000103</v>
      </c>
      <c r="AF2282">
        <v>11.767048211123999</v>
      </c>
      <c r="AG2282">
        <v>-1.098049549502</v>
      </c>
      <c r="AH2282">
        <v>50.620926811742898</v>
      </c>
      <c r="AI2282">
        <v>91.210381725251693</v>
      </c>
      <c r="AJ2282">
        <v>76.913755553423002</v>
      </c>
      <c r="AK2282">
        <v>51.982183175544897</v>
      </c>
      <c r="AL2282">
        <v>85.022331410162906</v>
      </c>
      <c r="AM2282">
        <v>85.323128046859594</v>
      </c>
      <c r="AN2282">
        <v>0.99999996951310799</v>
      </c>
    </row>
    <row r="2283" spans="1:40" x14ac:dyDescent="0.3">
      <c r="A2283" t="str">
        <f>"20200111150000131"</f>
        <v>20200111150000131</v>
      </c>
      <c r="B2283" t="str">
        <f>"1578726000128431"</f>
        <v>1578726000128431</v>
      </c>
      <c r="C2283" t="s">
        <v>40</v>
      </c>
      <c r="D2283">
        <v>4.2778419999999997</v>
      </c>
      <c r="E2283">
        <v>0.52327109999999899</v>
      </c>
      <c r="F2283" t="s">
        <v>62</v>
      </c>
      <c r="G2283">
        <v>-262.25479999999999</v>
      </c>
      <c r="H2283" s="1">
        <v>-3.3688329999999999E-7</v>
      </c>
      <c r="I2283">
        <v>287.27859999999998</v>
      </c>
      <c r="J2283">
        <v>-214.14070000000001</v>
      </c>
      <c r="K2283">
        <v>1.0981129999999999</v>
      </c>
      <c r="L2283">
        <v>282.60570000000001</v>
      </c>
      <c r="M2283">
        <v>-0.99237920000000002</v>
      </c>
      <c r="N2283">
        <v>0</v>
      </c>
      <c r="O2283">
        <v>-0.12295780000000001</v>
      </c>
      <c r="P2283">
        <v>-0.99567539999999999</v>
      </c>
      <c r="Q2283">
        <v>8.0855940000000001E-2</v>
      </c>
      <c r="R2283">
        <v>-4.5749860000000003E-2</v>
      </c>
      <c r="S2283">
        <v>-3.0339360000000002</v>
      </c>
      <c r="T2283">
        <v>-6.8845390000000006E-2</v>
      </c>
      <c r="U2283">
        <v>0.29122920000000002</v>
      </c>
      <c r="V2283">
        <v>7.8317949999999997E-2</v>
      </c>
      <c r="W2283">
        <v>8.7745989999999996E-2</v>
      </c>
      <c r="X2283">
        <v>0.99305940000000004</v>
      </c>
      <c r="Y2283">
        <v>0.21713850000000001</v>
      </c>
      <c r="Z2283">
        <v>5.2399409999999997E-3</v>
      </c>
      <c r="AA2283">
        <v>0.97612670000000001</v>
      </c>
      <c r="AB2283">
        <v>28</v>
      </c>
      <c r="AC2283">
        <v>-48.114099999999901</v>
      </c>
      <c r="AD2283">
        <v>-1.09811333688329</v>
      </c>
      <c r="AE2283">
        <v>4.6728999999999603</v>
      </c>
      <c r="AF2283">
        <v>10.548191984268501</v>
      </c>
      <c r="AG2283">
        <v>-1.09811333688329</v>
      </c>
      <c r="AH2283">
        <v>47.150062765128901</v>
      </c>
      <c r="AI2283">
        <v>91.301991265311301</v>
      </c>
      <c r="AJ2283">
        <v>77.389695010636302</v>
      </c>
      <c r="AK2283">
        <v>48.3280314702887</v>
      </c>
      <c r="AL2283">
        <v>84.966051340513403</v>
      </c>
      <c r="AM2283">
        <v>85.490683330378701</v>
      </c>
      <c r="AN2283">
        <v>1.00000001599082</v>
      </c>
    </row>
    <row r="2284" spans="1:40" x14ac:dyDescent="0.3">
      <c r="A2284" t="str">
        <f>"20200111150000152"</f>
        <v>20200111150000152</v>
      </c>
      <c r="B2284" t="str">
        <f>"1578726000147951"</f>
        <v>1578726000147951</v>
      </c>
      <c r="C2284" t="s">
        <v>40</v>
      </c>
      <c r="D2284">
        <v>4.2310299999999996</v>
      </c>
      <c r="E2284">
        <v>0.51798770000000005</v>
      </c>
      <c r="F2284" t="s">
        <v>62</v>
      </c>
      <c r="G2284">
        <v>-238.14660000000001</v>
      </c>
      <c r="H2284" s="1">
        <v>2.8650710000000002E-6</v>
      </c>
      <c r="I2284">
        <v>283.09219999999999</v>
      </c>
      <c r="J2284">
        <v>-214.41720000000001</v>
      </c>
      <c r="K2284">
        <v>1.0981780000000001</v>
      </c>
      <c r="L2284">
        <v>282.5797</v>
      </c>
      <c r="M2284">
        <v>-0.99331270000000005</v>
      </c>
      <c r="N2284">
        <v>0</v>
      </c>
      <c r="O2284">
        <v>-0.1151726</v>
      </c>
      <c r="P2284">
        <v>-0.99565669999999995</v>
      </c>
      <c r="Q2284">
        <v>8.2493739999999996E-2</v>
      </c>
      <c r="R2284">
        <v>-4.3163090000000001E-2</v>
      </c>
      <c r="S2284">
        <v>-3.0271150000000002</v>
      </c>
      <c r="T2284">
        <v>-0.13847019999999999</v>
      </c>
      <c r="U2284">
        <v>6.1340329999999998E-2</v>
      </c>
      <c r="V2284">
        <v>7.3102429999999996E-2</v>
      </c>
      <c r="W2284">
        <v>8.9478180000000004E-2</v>
      </c>
      <c r="X2284">
        <v>0.99330240000000003</v>
      </c>
      <c r="Y2284">
        <v>0.1350161</v>
      </c>
      <c r="Z2284">
        <v>8.3441009999999996E-3</v>
      </c>
      <c r="AA2284">
        <v>0.99080820000000003</v>
      </c>
      <c r="AB2284">
        <v>28</v>
      </c>
      <c r="AC2284">
        <v>-23.729399999999998</v>
      </c>
      <c r="AD2284">
        <v>-1.0981751349290001</v>
      </c>
      <c r="AE2284">
        <v>0.51249999999998797</v>
      </c>
      <c r="AF2284">
        <v>3.2352292354178198</v>
      </c>
      <c r="AG2284">
        <v>-1.0981751349290001</v>
      </c>
      <c r="AH2284">
        <v>23.462227479163602</v>
      </c>
      <c r="AI2284">
        <v>92.654752230677502</v>
      </c>
      <c r="AJ2284">
        <v>82.148939546910597</v>
      </c>
      <c r="AK2284">
        <v>23.709677667920801</v>
      </c>
      <c r="AL2284">
        <v>84.866412028552404</v>
      </c>
      <c r="AM2284">
        <v>85.790885796499495</v>
      </c>
      <c r="AN2284">
        <v>0.99999998390688805</v>
      </c>
    </row>
    <row r="2285" spans="1:40" x14ac:dyDescent="0.3">
      <c r="A2285" t="str">
        <f>"20200111150000166"</f>
        <v>20200111150000166</v>
      </c>
      <c r="B2285" t="str">
        <f>"1578726000158687"</f>
        <v>1578726000158687</v>
      </c>
      <c r="C2285" t="s">
        <v>40</v>
      </c>
      <c r="D2285">
        <v>4.2703189999999998</v>
      </c>
      <c r="E2285">
        <v>0.51657310000000001</v>
      </c>
      <c r="F2285" t="s">
        <v>62</v>
      </c>
      <c r="G2285">
        <v>-242.28280000000001</v>
      </c>
      <c r="H2285" s="1">
        <v>-3.219986E-7</v>
      </c>
      <c r="I2285">
        <v>282.82830000000001</v>
      </c>
      <c r="J2285">
        <v>-214.58500000000001</v>
      </c>
      <c r="K2285">
        <v>1.0982190000000001</v>
      </c>
      <c r="L2285">
        <v>282.56490000000002</v>
      </c>
      <c r="M2285">
        <v>-0.99384110000000003</v>
      </c>
      <c r="N2285">
        <v>0</v>
      </c>
      <c r="O2285">
        <v>-0.11052049999999999</v>
      </c>
      <c r="P2285">
        <v>-0.99565700000000001</v>
      </c>
      <c r="Q2285">
        <v>8.3511719999999998E-2</v>
      </c>
      <c r="R2285">
        <v>-4.1151609999999998E-2</v>
      </c>
      <c r="S2285">
        <v>-3.024124</v>
      </c>
      <c r="T2285">
        <v>-0.1191801</v>
      </c>
      <c r="U2285">
        <v>2.6977540000000001E-2</v>
      </c>
      <c r="V2285">
        <v>7.0452189999999998E-2</v>
      </c>
      <c r="W2285">
        <v>9.0545749999999994E-2</v>
      </c>
      <c r="X2285">
        <v>0.99339719999999998</v>
      </c>
      <c r="Y2285">
        <v>0.11920739999999901</v>
      </c>
      <c r="Z2285">
        <v>6.69581E-3</v>
      </c>
      <c r="AA2285">
        <v>0.99284680000000003</v>
      </c>
      <c r="AB2285">
        <v>28</v>
      </c>
      <c r="AC2285">
        <v>-27.697800000000001</v>
      </c>
      <c r="AD2285">
        <v>-1.0982193219985901</v>
      </c>
      <c r="AE2285">
        <v>0.26339999999998998</v>
      </c>
      <c r="AF2285">
        <v>3.3178449946405402</v>
      </c>
      <c r="AG2285">
        <v>-1.0982193219985901</v>
      </c>
      <c r="AH2285">
        <v>27.4558356926151</v>
      </c>
      <c r="AI2285">
        <v>92.274054353327301</v>
      </c>
      <c r="AJ2285">
        <v>83.109617803210398</v>
      </c>
      <c r="AK2285">
        <v>27.677375140492501</v>
      </c>
      <c r="AL2285">
        <v>84.804995650297897</v>
      </c>
      <c r="AM2285">
        <v>85.943348916619897</v>
      </c>
      <c r="AN2285">
        <v>1.0000000204433399</v>
      </c>
    </row>
    <row r="2286" spans="1:40" x14ac:dyDescent="0.3">
      <c r="A2286" t="str">
        <f>"20200111150000178"</f>
        <v>20200111150000178</v>
      </c>
      <c r="B2286" t="str">
        <f>"1578726000168448"</f>
        <v>1578726000168448</v>
      </c>
      <c r="C2286" t="s">
        <v>40</v>
      </c>
      <c r="D2286">
        <v>4.2112669999999897</v>
      </c>
      <c r="E2286">
        <v>0.51571420000000001</v>
      </c>
      <c r="F2286" t="s">
        <v>62</v>
      </c>
      <c r="G2286">
        <v>-243.52080000000001</v>
      </c>
      <c r="H2286" s="1">
        <v>3.3679850000000001E-7</v>
      </c>
      <c r="I2286">
        <v>282.77229999999997</v>
      </c>
      <c r="J2286">
        <v>-214.74959999999999</v>
      </c>
      <c r="K2286">
        <v>1.098265</v>
      </c>
      <c r="L2286">
        <v>282.55099999999999</v>
      </c>
      <c r="M2286">
        <v>-0.99433280000000002</v>
      </c>
      <c r="N2286">
        <v>0</v>
      </c>
      <c r="O2286">
        <v>-0.10600370000000001</v>
      </c>
      <c r="P2286">
        <v>-0.99566209999999999</v>
      </c>
      <c r="Q2286">
        <v>8.4369710000000001E-2</v>
      </c>
      <c r="R2286">
        <v>-3.9225980000000001E-2</v>
      </c>
      <c r="S2286">
        <v>-3.02359</v>
      </c>
      <c r="T2286">
        <v>-0.1147561</v>
      </c>
      <c r="U2286">
        <v>2.1667479999999999E-2</v>
      </c>
      <c r="V2286">
        <v>6.7851839999999997E-2</v>
      </c>
      <c r="W2286">
        <v>9.1452270000000002E-2</v>
      </c>
      <c r="X2286">
        <v>0.99349520000000002</v>
      </c>
      <c r="Y2286">
        <v>0.11297260000000001</v>
      </c>
      <c r="Z2286">
        <v>6.1596130000000004E-3</v>
      </c>
      <c r="AA2286">
        <v>0.99357899999999999</v>
      </c>
      <c r="AB2286">
        <v>28</v>
      </c>
      <c r="AC2286">
        <v>-28.7712</v>
      </c>
      <c r="AD2286">
        <v>-1.0982646632015001</v>
      </c>
      <c r="AE2286">
        <v>0.22129999999998501</v>
      </c>
      <c r="AF2286">
        <v>3.26524898573166</v>
      </c>
      <c r="AG2286">
        <v>-1.0982646632015001</v>
      </c>
      <c r="AH2286">
        <v>28.5440355208863</v>
      </c>
      <c r="AI2286">
        <v>92.1891712475243</v>
      </c>
      <c r="AJ2286">
        <v>83.4741085024379</v>
      </c>
      <c r="AK2286">
        <v>28.751173889545399</v>
      </c>
      <c r="AL2286">
        <v>84.752839644237099</v>
      </c>
      <c r="AM2286">
        <v>86.092989173118895</v>
      </c>
      <c r="AN2286">
        <v>1.0000000511512801</v>
      </c>
    </row>
    <row r="2287" spans="1:40" x14ac:dyDescent="0.3">
      <c r="A2287" t="str">
        <f>"20200111150000198"</f>
        <v>20200111150000198</v>
      </c>
      <c r="B2287" t="str">
        <f>"1578726000188687"</f>
        <v>1578726000188687</v>
      </c>
      <c r="C2287" t="s">
        <v>40</v>
      </c>
      <c r="D2287">
        <v>4.2095060000000002</v>
      </c>
      <c r="E2287">
        <v>0.51516459999999997</v>
      </c>
      <c r="F2287" t="s">
        <v>62</v>
      </c>
      <c r="G2287">
        <v>-244.09950000000001</v>
      </c>
      <c r="H2287" s="1">
        <v>6.4478969999999901E-7</v>
      </c>
      <c r="I2287">
        <v>282.75040000000001</v>
      </c>
      <c r="J2287">
        <v>-214.98140000000001</v>
      </c>
      <c r="K2287">
        <v>1.098347</v>
      </c>
      <c r="L2287">
        <v>282.53289999999998</v>
      </c>
      <c r="M2287">
        <v>-0.99497690000000005</v>
      </c>
      <c r="N2287">
        <v>0</v>
      </c>
      <c r="O2287">
        <v>-9.9778000000000006E-2</v>
      </c>
      <c r="P2287">
        <v>-0.99569260000000004</v>
      </c>
      <c r="Q2287">
        <v>8.4837239999999994E-2</v>
      </c>
      <c r="R2287">
        <v>-3.7402869999999998E-2</v>
      </c>
      <c r="S2287">
        <v>-3.0234830000000001</v>
      </c>
      <c r="T2287">
        <v>-0.1131375</v>
      </c>
      <c r="U2287">
        <v>2.053833E-2</v>
      </c>
      <c r="V2287">
        <v>6.3431370000000001E-2</v>
      </c>
      <c r="W2287">
        <v>9.2000219999999994E-2</v>
      </c>
      <c r="X2287">
        <v>0.99373659999999997</v>
      </c>
      <c r="Y2287">
        <v>0.10639369999999999</v>
      </c>
      <c r="Z2287">
        <v>5.7179559999999997E-3</v>
      </c>
      <c r="AA2287">
        <v>0.99430759999999996</v>
      </c>
      <c r="AB2287">
        <v>28</v>
      </c>
      <c r="AC2287">
        <v>-29.118099999999998</v>
      </c>
      <c r="AD2287">
        <v>-1.0983463552103001</v>
      </c>
      <c r="AE2287">
        <v>0.217500000000029</v>
      </c>
      <c r="AF2287">
        <v>3.1174199112569898</v>
      </c>
      <c r="AG2287">
        <v>-1.0983463552103001</v>
      </c>
      <c r="AH2287">
        <v>28.909949097802301</v>
      </c>
      <c r="AI2287">
        <v>92.163205742373606</v>
      </c>
      <c r="AJ2287">
        <v>83.845457972089307</v>
      </c>
      <c r="AK2287">
        <v>29.0982787885577</v>
      </c>
      <c r="AL2287">
        <v>84.721311262695096</v>
      </c>
      <c r="AM2287">
        <v>86.347698305902199</v>
      </c>
      <c r="AN2287">
        <v>1.0000000046798401</v>
      </c>
    </row>
    <row r="2288" spans="1:40" x14ac:dyDescent="0.3">
      <c r="A2288" t="str">
        <f>"20200111150000211"</f>
        <v>20200111150000211</v>
      </c>
      <c r="B2288" t="str">
        <f>"1578726000208208"</f>
        <v>1578726000208208</v>
      </c>
      <c r="C2288" t="s">
        <v>40</v>
      </c>
      <c r="D2288">
        <v>4.4217839999999997</v>
      </c>
      <c r="E2288">
        <v>0.51455589999999995</v>
      </c>
      <c r="F2288" t="s">
        <v>62</v>
      </c>
      <c r="G2288">
        <v>-253.56</v>
      </c>
      <c r="H2288" s="1">
        <v>3.5769049999999998E-7</v>
      </c>
      <c r="I2288">
        <v>282.7928</v>
      </c>
      <c r="J2288">
        <v>-215.15110000000001</v>
      </c>
      <c r="K2288">
        <v>1.0984350000000001</v>
      </c>
      <c r="L2288">
        <v>282.5204</v>
      </c>
      <c r="M2288">
        <v>-0.99541159999999995</v>
      </c>
      <c r="N2288">
        <v>0</v>
      </c>
      <c r="O2288">
        <v>-9.5342449999999995E-2</v>
      </c>
      <c r="P2288">
        <v>-0.99580190000000002</v>
      </c>
      <c r="Q2288">
        <v>8.4640019999999996E-2</v>
      </c>
      <c r="R2288">
        <v>-3.4853219999999997E-2</v>
      </c>
      <c r="S2288">
        <v>-3.021042</v>
      </c>
      <c r="T2288">
        <v>-8.6010100000000006E-2</v>
      </c>
      <c r="U2288">
        <v>2.035522E-2</v>
      </c>
      <c r="V2288">
        <v>6.1524170000000003E-2</v>
      </c>
      <c r="W2288">
        <v>9.1844949999999995E-2</v>
      </c>
      <c r="X2288">
        <v>0.9938709</v>
      </c>
      <c r="Y2288">
        <v>0.10197050000000001</v>
      </c>
      <c r="Z2288">
        <v>4.1623179999999999E-3</v>
      </c>
      <c r="AA2288">
        <v>0.99477870000000002</v>
      </c>
      <c r="AB2288">
        <v>28</v>
      </c>
      <c r="AC2288">
        <v>-38.408899999999903</v>
      </c>
      <c r="AD2288">
        <v>-1.0984346423094999</v>
      </c>
      <c r="AE2288">
        <v>0.27240000000000397</v>
      </c>
      <c r="AF2288">
        <v>3.9300635675286899</v>
      </c>
      <c r="AG2288">
        <v>-1.0984346423094999</v>
      </c>
      <c r="AH2288">
        <v>38.176723812449197</v>
      </c>
      <c r="AI2288">
        <v>91.639421217370497</v>
      </c>
      <c r="AJ2288">
        <v>84.122448930106103</v>
      </c>
      <c r="AK2288">
        <v>38.3941948653734</v>
      </c>
      <c r="AL2288">
        <v>84.7302456018611</v>
      </c>
      <c r="AM2288">
        <v>86.457706081826103</v>
      </c>
      <c r="AN2288">
        <v>1.00000004210075</v>
      </c>
    </row>
    <row r="2289" spans="1:40" x14ac:dyDescent="0.3">
      <c r="A2289" t="str">
        <f>"20200111150000224"</f>
        <v>20200111150000224</v>
      </c>
      <c r="B2289" t="str">
        <f>"1578726000217968"</f>
        <v>1578726000217968</v>
      </c>
      <c r="C2289" t="s">
        <v>40</v>
      </c>
      <c r="D2289">
        <v>4.2244229999999998</v>
      </c>
      <c r="E2289">
        <v>0.51431640000000001</v>
      </c>
      <c r="F2289" t="s">
        <v>62</v>
      </c>
      <c r="G2289">
        <v>-259.64069999999998</v>
      </c>
      <c r="H2289" s="1">
        <v>3.593532E-6</v>
      </c>
      <c r="I2289">
        <v>282.85309999999998</v>
      </c>
      <c r="J2289">
        <v>-215.32589999999999</v>
      </c>
      <c r="K2289">
        <v>1.098546</v>
      </c>
      <c r="L2289">
        <v>282.50819999999999</v>
      </c>
      <c r="M2289">
        <v>-0.99583069999999896</v>
      </c>
      <c r="N2289">
        <v>0</v>
      </c>
      <c r="O2289">
        <v>-9.0862319999999996E-2</v>
      </c>
      <c r="P2289">
        <v>-0.99592670000000005</v>
      </c>
      <c r="Q2289">
        <v>8.4143380000000004E-2</v>
      </c>
      <c r="R2289">
        <v>-3.2399610000000002E-2</v>
      </c>
      <c r="S2289">
        <v>-3.0197750000000001</v>
      </c>
      <c r="T2289">
        <v>-7.4557070000000003E-2</v>
      </c>
      <c r="U2289">
        <v>2.2583010000000001E-2</v>
      </c>
      <c r="V2289">
        <v>5.9471540000000003E-2</v>
      </c>
      <c r="W2289">
        <v>9.1393370000000002E-2</v>
      </c>
      <c r="X2289">
        <v>0.99403739999999996</v>
      </c>
      <c r="Y2289">
        <v>9.8252389999999995E-2</v>
      </c>
      <c r="Z2289">
        <v>3.4536250000000001E-3</v>
      </c>
      <c r="AA2289">
        <v>0.99515549999999997</v>
      </c>
      <c r="AB2289">
        <v>28</v>
      </c>
      <c r="AC2289">
        <v>-44.314799999999899</v>
      </c>
      <c r="AD2289">
        <v>-1.0985424064680001</v>
      </c>
      <c r="AE2289">
        <v>0.34489999999999499</v>
      </c>
      <c r="AF2289">
        <v>4.3674664046265601</v>
      </c>
      <c r="AG2289">
        <v>-1.0985424064680001</v>
      </c>
      <c r="AH2289">
        <v>44.073056670269303</v>
      </c>
      <c r="AI2289">
        <v>91.420872979735904</v>
      </c>
      <c r="AJ2289">
        <v>84.340690418371196</v>
      </c>
      <c r="AK2289">
        <v>44.302549390245296</v>
      </c>
      <c r="AL2289">
        <v>84.756228196026299</v>
      </c>
      <c r="AM2289">
        <v>86.576173730213597</v>
      </c>
      <c r="AN2289">
        <v>0.99999998237434395</v>
      </c>
    </row>
    <row r="2290" spans="1:40" x14ac:dyDescent="0.3">
      <c r="A2290" t="str">
        <f>"20200111150000243"</f>
        <v>20200111150000243</v>
      </c>
      <c r="B2290" t="str">
        <f>"1578726000238464"</f>
        <v>1578726000238464</v>
      </c>
      <c r="C2290" t="s">
        <v>40</v>
      </c>
      <c r="D2290">
        <v>4.1878419999999998</v>
      </c>
      <c r="E2290">
        <v>0.51391019999999998</v>
      </c>
      <c r="F2290" t="s">
        <v>62</v>
      </c>
      <c r="G2290">
        <v>-261.25139999999999</v>
      </c>
      <c r="H2290" s="1">
        <v>-8.7085259999999905E-7</v>
      </c>
      <c r="I2290">
        <v>282.93529999999998</v>
      </c>
      <c r="J2290">
        <v>-215.55340000000001</v>
      </c>
      <c r="K2290">
        <v>1.098716</v>
      </c>
      <c r="L2290">
        <v>282.49329999999998</v>
      </c>
      <c r="M2290">
        <v>-0.99632980000000004</v>
      </c>
      <c r="N2290">
        <v>0</v>
      </c>
      <c r="O2290">
        <v>-8.5214319999999996E-2</v>
      </c>
      <c r="P2290">
        <v>-0.99607650000000003</v>
      </c>
      <c r="Q2290">
        <v>8.2903270000000001E-2</v>
      </c>
      <c r="R2290">
        <v>-3.0964479999999999E-2</v>
      </c>
      <c r="S2290">
        <v>-3.0193020000000002</v>
      </c>
      <c r="T2290">
        <v>-7.2222229999999998E-2</v>
      </c>
      <c r="U2290">
        <v>2.8076170000000001E-2</v>
      </c>
      <c r="V2290">
        <v>5.52191E-2</v>
      </c>
      <c r="W2290">
        <v>9.0236609999999995E-2</v>
      </c>
      <c r="X2290">
        <v>0.9943883</v>
      </c>
      <c r="Y2290">
        <v>9.4426739999999995E-2</v>
      </c>
      <c r="Z2290">
        <v>3.165583E-3</v>
      </c>
      <c r="AA2290">
        <v>0.99552680000000005</v>
      </c>
      <c r="AB2290">
        <v>28</v>
      </c>
      <c r="AC2290">
        <v>-45.697999999999901</v>
      </c>
      <c r="AD2290">
        <v>-1.0987168708526001</v>
      </c>
      <c r="AE2290">
        <v>0.442000000000007</v>
      </c>
      <c r="AF2290">
        <v>4.3321395919304901</v>
      </c>
      <c r="AG2290">
        <v>-1.0987168708526001</v>
      </c>
      <c r="AH2290">
        <v>45.467822344042403</v>
      </c>
      <c r="AI2290">
        <v>91.378028253746393</v>
      </c>
      <c r="AJ2290">
        <v>84.557331704037296</v>
      </c>
      <c r="AK2290">
        <v>45.6869508822341</v>
      </c>
      <c r="AL2290">
        <v>84.822780471849896</v>
      </c>
      <c r="AM2290">
        <v>86.8215883761941</v>
      </c>
      <c r="AN2290">
        <v>0.99999994298299399</v>
      </c>
    </row>
    <row r="2291" spans="1:40" x14ac:dyDescent="0.3">
      <c r="A2291" t="str">
        <f>"20200111150000256"</f>
        <v>20200111150000256</v>
      </c>
      <c r="B2291" t="str">
        <f>"1578726000248224"</f>
        <v>1578726000248224</v>
      </c>
      <c r="C2291" t="s">
        <v>40</v>
      </c>
      <c r="D2291">
        <v>4.2340549999999997</v>
      </c>
      <c r="E2291">
        <v>0.5136657</v>
      </c>
      <c r="F2291" t="s">
        <v>62</v>
      </c>
      <c r="G2291">
        <v>-261.00130000000001</v>
      </c>
      <c r="H2291" s="1">
        <v>-1.0039569999999999E-6</v>
      </c>
      <c r="I2291">
        <v>282.9357</v>
      </c>
      <c r="J2291">
        <v>-215.72569999999999</v>
      </c>
      <c r="K2291">
        <v>1.098862</v>
      </c>
      <c r="L2291">
        <v>282.48270000000002</v>
      </c>
      <c r="M2291">
        <v>-0.99667380000000005</v>
      </c>
      <c r="N2291">
        <v>0</v>
      </c>
      <c r="O2291">
        <v>-8.1092330000000004E-2</v>
      </c>
      <c r="P2291">
        <v>-0.99619409999999997</v>
      </c>
      <c r="Q2291">
        <v>8.2381590000000005E-2</v>
      </c>
      <c r="R2291">
        <v>-2.8471980000000001E-2</v>
      </c>
      <c r="S2291">
        <v>-3.0188139999999999</v>
      </c>
      <c r="T2291">
        <v>-7.2980760000000006E-2</v>
      </c>
      <c r="U2291">
        <v>2.938843E-2</v>
      </c>
      <c r="V2291">
        <v>5.355787E-2</v>
      </c>
      <c r="W2291">
        <v>8.9755999999999905E-2</v>
      </c>
      <c r="X2291">
        <v>0.99452269999999998</v>
      </c>
      <c r="Y2291">
        <v>9.0743519999999994E-2</v>
      </c>
      <c r="Z2291">
        <v>3.05543E-3</v>
      </c>
      <c r="AA2291">
        <v>0.99586960000000002</v>
      </c>
      <c r="AB2291">
        <v>28</v>
      </c>
      <c r="AC2291">
        <v>-45.275599999999997</v>
      </c>
      <c r="AD2291">
        <v>-1.098863003957</v>
      </c>
      <c r="AE2291">
        <v>0.45299999999997398</v>
      </c>
      <c r="AF2291">
        <v>4.1207048005548499</v>
      </c>
      <c r="AG2291">
        <v>-1.098863003957</v>
      </c>
      <c r="AH2291">
        <v>45.063201045656101</v>
      </c>
      <c r="AI2291">
        <v>91.391075212280199</v>
      </c>
      <c r="AJ2291">
        <v>84.775244531172405</v>
      </c>
      <c r="AK2291">
        <v>45.264553421369399</v>
      </c>
      <c r="AL2291">
        <v>84.850429853418603</v>
      </c>
      <c r="AM2291">
        <v>86.917437300398703</v>
      </c>
      <c r="AN2291">
        <v>0.99999999289511299</v>
      </c>
    </row>
    <row r="2292" spans="1:40" x14ac:dyDescent="0.3">
      <c r="A2292" t="str">
        <f>"20200111150000270"</f>
        <v>20200111150000270</v>
      </c>
      <c r="B2292" t="str">
        <f>"1578726000257984"</f>
        <v>1578726000257984</v>
      </c>
      <c r="C2292" t="s">
        <v>40</v>
      </c>
      <c r="D2292">
        <v>4.2087879999999904</v>
      </c>
      <c r="E2292">
        <v>0.51322670000000004</v>
      </c>
      <c r="F2292" t="s">
        <v>62</v>
      </c>
      <c r="G2292">
        <v>-257.82220000000001</v>
      </c>
      <c r="H2292" s="1">
        <v>2.6257900000000001E-6</v>
      </c>
      <c r="I2292">
        <v>282.97160000000002</v>
      </c>
      <c r="J2292">
        <v>-215.8939</v>
      </c>
      <c r="K2292">
        <v>1.0990089999999999</v>
      </c>
      <c r="L2292">
        <v>282.47300000000001</v>
      </c>
      <c r="M2292">
        <v>-0.99698290000000001</v>
      </c>
      <c r="N2292">
        <v>0</v>
      </c>
      <c r="O2292">
        <v>-7.7198699999999995E-2</v>
      </c>
      <c r="P2292">
        <v>-0.99624369999999995</v>
      </c>
      <c r="Q2292">
        <v>8.2385379999999994E-2</v>
      </c>
      <c r="R2292">
        <v>-2.6671489999999999E-2</v>
      </c>
      <c r="S2292">
        <v>-3.0189819999999998</v>
      </c>
      <c r="T2292">
        <v>-7.8805570000000005E-2</v>
      </c>
      <c r="U2292">
        <v>3.5064699999999997E-2</v>
      </c>
      <c r="V2292">
        <v>5.1437549999999999E-2</v>
      </c>
      <c r="W2292">
        <v>8.9805399999999994E-2</v>
      </c>
      <c r="X2292">
        <v>0.99463020000000002</v>
      </c>
      <c r="Y2292">
        <v>8.8718850000000002E-2</v>
      </c>
      <c r="Z2292">
        <v>3.1712139999999999E-3</v>
      </c>
      <c r="AA2292">
        <v>0.99605169999999998</v>
      </c>
      <c r="AB2292">
        <v>28</v>
      </c>
      <c r="AC2292">
        <v>-41.9283</v>
      </c>
      <c r="AD2292">
        <v>-1.09900637421</v>
      </c>
      <c r="AE2292">
        <v>0.49860000000000998</v>
      </c>
      <c r="AF2292">
        <v>3.7314648137616202</v>
      </c>
      <c r="AG2292">
        <v>-1.09900637421</v>
      </c>
      <c r="AH2292">
        <v>41.736003282736903</v>
      </c>
      <c r="AI2292">
        <v>91.502393053746601</v>
      </c>
      <c r="AJ2292">
        <v>84.890976075675795</v>
      </c>
      <c r="AK2292">
        <v>41.916889372704198</v>
      </c>
      <c r="AL2292">
        <v>84.847588172728095</v>
      </c>
      <c r="AM2292">
        <v>87.039571716658202</v>
      </c>
      <c r="AN2292">
        <v>1.0000000330856</v>
      </c>
    </row>
    <row r="2293" spans="1:40" x14ac:dyDescent="0.3">
      <c r="A2293" t="str">
        <f>"20200111150000289"</f>
        <v>20200111150000289</v>
      </c>
      <c r="B2293" t="str">
        <f>"1578726000278485"</f>
        <v>1578726000278485</v>
      </c>
      <c r="C2293" t="s">
        <v>40</v>
      </c>
      <c r="D2293">
        <v>4.433738</v>
      </c>
      <c r="E2293">
        <v>0.51299539999999999</v>
      </c>
      <c r="F2293" t="s">
        <v>62</v>
      </c>
      <c r="G2293">
        <v>-255.6788</v>
      </c>
      <c r="H2293" s="1">
        <v>1.4851899999999999E-6</v>
      </c>
      <c r="I2293">
        <v>282.95960000000002</v>
      </c>
      <c r="J2293">
        <v>-216.1293</v>
      </c>
      <c r="K2293">
        <v>1.099235</v>
      </c>
      <c r="L2293">
        <v>282.46010000000001</v>
      </c>
      <c r="M2293">
        <v>-0.99737399999999998</v>
      </c>
      <c r="N2293">
        <v>0</v>
      </c>
      <c r="O2293">
        <v>-7.1969790000000006E-2</v>
      </c>
      <c r="P2293">
        <v>-0.99624710000000005</v>
      </c>
      <c r="Q2293">
        <v>8.2795649999999998E-2</v>
      </c>
      <c r="R2293">
        <v>-2.5236229999999998E-2</v>
      </c>
      <c r="S2293">
        <v>-3.01918</v>
      </c>
      <c r="T2293">
        <v>-8.3401080000000002E-2</v>
      </c>
      <c r="U2293">
        <v>3.6926269999999997E-2</v>
      </c>
      <c r="V2293">
        <v>4.7606280000000001E-2</v>
      </c>
      <c r="W2293">
        <v>9.0289809999999998E-2</v>
      </c>
      <c r="X2293">
        <v>0.99477709999999997</v>
      </c>
      <c r="Y2293">
        <v>8.4105189999999996E-2</v>
      </c>
      <c r="Z2293">
        <v>3.1480010000000001E-3</v>
      </c>
      <c r="AA2293">
        <v>0.99645189999999995</v>
      </c>
      <c r="AB2293">
        <v>28</v>
      </c>
      <c r="AC2293">
        <v>-39.549500000000002</v>
      </c>
      <c r="AD2293">
        <v>-1.0992335148100001</v>
      </c>
      <c r="AE2293">
        <v>0.49950000000001099</v>
      </c>
      <c r="AF2293">
        <v>3.3420856383220299</v>
      </c>
      <c r="AG2293">
        <v>-1.0992335148100001</v>
      </c>
      <c r="AH2293">
        <v>39.3805673192199</v>
      </c>
      <c r="AI2293">
        <v>91.593163407451101</v>
      </c>
      <c r="AJ2293">
        <v>85.149138909824202</v>
      </c>
      <c r="AK2293">
        <v>39.537411816121299</v>
      </c>
      <c r="AL2293">
        <v>84.819720363039295</v>
      </c>
      <c r="AM2293">
        <v>87.260130452800396</v>
      </c>
      <c r="AN2293">
        <v>1.0000000431848399</v>
      </c>
    </row>
    <row r="2294" spans="1:40" x14ac:dyDescent="0.3">
      <c r="A2294" t="str">
        <f>"20200111150000303"</f>
        <v>20200111150000303</v>
      </c>
      <c r="B2294" t="str">
        <f>"1578726000298002"</f>
        <v>1578726000298002</v>
      </c>
      <c r="C2294" t="s">
        <v>40</v>
      </c>
      <c r="D2294">
        <v>4.3567499999999999</v>
      </c>
      <c r="E2294">
        <v>0.51269319999999996</v>
      </c>
      <c r="F2294" t="s">
        <v>62</v>
      </c>
      <c r="G2294">
        <v>-257.66640000000001</v>
      </c>
      <c r="H2294" s="1">
        <v>2.5429069999999998E-6</v>
      </c>
      <c r="I2294">
        <v>282.9975</v>
      </c>
      <c r="J2294">
        <v>-216.31540000000001</v>
      </c>
      <c r="K2294">
        <v>1.0994349999999999</v>
      </c>
      <c r="L2294">
        <v>282.45060000000001</v>
      </c>
      <c r="M2294">
        <v>-0.99764969999999997</v>
      </c>
      <c r="N2294">
        <v>0</v>
      </c>
      <c r="O2294">
        <v>-6.80418E-2</v>
      </c>
      <c r="P2294">
        <v>-0.99626000000000003</v>
      </c>
      <c r="Q2294">
        <v>8.3167110000000002E-2</v>
      </c>
      <c r="R2294">
        <v>-2.3442080000000001E-2</v>
      </c>
      <c r="S2294">
        <v>-3.0189360000000001</v>
      </c>
      <c r="T2294">
        <v>-7.9892640000000001E-2</v>
      </c>
      <c r="U2294">
        <v>3.90625E-2</v>
      </c>
      <c r="V2294">
        <v>4.5438609999999997E-2</v>
      </c>
      <c r="W2294">
        <v>9.0707689999999994E-2</v>
      </c>
      <c r="X2294">
        <v>0.99484039999999996</v>
      </c>
      <c r="Y2294">
        <v>8.0894309999999997E-2</v>
      </c>
      <c r="Z2294">
        <v>2.8696239999999999E-3</v>
      </c>
      <c r="AA2294">
        <v>0.99671849999999995</v>
      </c>
      <c r="AB2294">
        <v>28</v>
      </c>
      <c r="AC2294">
        <v>-41.350999999999999</v>
      </c>
      <c r="AD2294">
        <v>-1.0994324570930001</v>
      </c>
      <c r="AE2294">
        <v>0.54689999999999295</v>
      </c>
      <c r="AF2294">
        <v>3.3569482762902298</v>
      </c>
      <c r="AG2294">
        <v>-1.0994324570930001</v>
      </c>
      <c r="AH2294">
        <v>41.188836545901999</v>
      </c>
      <c r="AI2294">
        <v>91.523953106631893</v>
      </c>
      <c r="AJ2294">
        <v>85.340611573195005</v>
      </c>
      <c r="AK2294">
        <v>41.340030351493802</v>
      </c>
      <c r="AL2294">
        <v>84.795678657490598</v>
      </c>
      <c r="AM2294">
        <v>87.384874535729907</v>
      </c>
      <c r="AN2294">
        <v>0.99999998688801395</v>
      </c>
    </row>
    <row r="2295" spans="1:40" x14ac:dyDescent="0.3">
      <c r="A2295" t="str">
        <f>"20200111150000320"</f>
        <v>20200111150000320</v>
      </c>
      <c r="B2295" t="str">
        <f>"1578726000308735"</f>
        <v>1578726000308735</v>
      </c>
      <c r="C2295" t="s">
        <v>40</v>
      </c>
      <c r="D2295">
        <v>4.2621089999999997</v>
      </c>
      <c r="E2295">
        <v>0.51234590000000002</v>
      </c>
      <c r="F2295" t="s">
        <v>62</v>
      </c>
      <c r="G2295">
        <v>-260.08760000000001</v>
      </c>
      <c r="H2295" s="1">
        <v>-1.490163E-6</v>
      </c>
      <c r="I2295">
        <v>283.05950000000001</v>
      </c>
      <c r="J2295">
        <v>-216.53380000000001</v>
      </c>
      <c r="K2295">
        <v>1.0996939999999999</v>
      </c>
      <c r="L2295">
        <v>282.44009999999997</v>
      </c>
      <c r="M2295">
        <v>-0.99793549999999998</v>
      </c>
      <c r="N2295">
        <v>0</v>
      </c>
      <c r="O2295">
        <v>-6.3712350000000001E-2</v>
      </c>
      <c r="P2295">
        <v>-0.99614190000000002</v>
      </c>
      <c r="Q2295">
        <v>8.4709930000000003E-2</v>
      </c>
      <c r="R2295">
        <v>-2.2929990000000001E-2</v>
      </c>
      <c r="S2295">
        <v>-3.0186000000000002</v>
      </c>
      <c r="T2295">
        <v>-7.5818899999999995E-2</v>
      </c>
      <c r="U2295">
        <v>4.1992189999999999E-2</v>
      </c>
      <c r="V2295">
        <v>4.1584009999999998E-2</v>
      </c>
      <c r="W2295">
        <v>9.2317369999999996E-2</v>
      </c>
      <c r="X2295">
        <v>0.99486090000000005</v>
      </c>
      <c r="Y2295">
        <v>7.7545279999999994E-2</v>
      </c>
      <c r="Z2295">
        <v>2.5730250000000001E-3</v>
      </c>
      <c r="AA2295">
        <v>0.99698549999999997</v>
      </c>
      <c r="AB2295">
        <v>28</v>
      </c>
      <c r="AC2295">
        <v>-43.553800000000003</v>
      </c>
      <c r="AD2295">
        <v>-1.0996954901629901</v>
      </c>
      <c r="AE2295">
        <v>0.61940000000004103</v>
      </c>
      <c r="AF2295">
        <v>3.3909859028540699</v>
      </c>
      <c r="AG2295">
        <v>-1.0996954901629901</v>
      </c>
      <c r="AH2295">
        <v>43.398179864415198</v>
      </c>
      <c r="AI2295">
        <v>91.447136418386904</v>
      </c>
      <c r="AJ2295">
        <v>85.532180757348002</v>
      </c>
      <c r="AK2295">
        <v>43.544346718128303</v>
      </c>
      <c r="AL2295">
        <v>84.7030620522156</v>
      </c>
      <c r="AM2295">
        <v>87.606497402531105</v>
      </c>
      <c r="AN2295">
        <v>0.99999996852010298</v>
      </c>
    </row>
    <row r="2296" spans="1:40" x14ac:dyDescent="0.3">
      <c r="A2296" t="str">
        <f>"20200111150000343"</f>
        <v>20200111150000343</v>
      </c>
      <c r="B2296" t="str">
        <f>"1578726000338016"</f>
        <v>1578726000338016</v>
      </c>
      <c r="C2296" t="s">
        <v>40</v>
      </c>
      <c r="D2296">
        <v>4.3403640000000001</v>
      </c>
      <c r="E2296">
        <v>0.51151780000000002</v>
      </c>
      <c r="F2296" t="s">
        <v>62</v>
      </c>
      <c r="G2296">
        <v>-260.80610000000001</v>
      </c>
      <c r="H2296" s="1">
        <v>-1.107814E-6</v>
      </c>
      <c r="I2296">
        <v>283.0514</v>
      </c>
      <c r="J2296">
        <v>-216.82509999999999</v>
      </c>
      <c r="K2296">
        <v>1.100069</v>
      </c>
      <c r="L2296">
        <v>282.4271</v>
      </c>
      <c r="M2296">
        <v>-0.99825699999999995</v>
      </c>
      <c r="N2296">
        <v>0</v>
      </c>
      <c r="O2296">
        <v>-5.8459360000000002E-2</v>
      </c>
      <c r="P2296">
        <v>-0.99608719999999995</v>
      </c>
      <c r="Q2296">
        <v>8.5856509999999997E-2</v>
      </c>
      <c r="R2296">
        <v>-2.0950699999999999E-2</v>
      </c>
      <c r="S2296">
        <v>-3.0189509999999999</v>
      </c>
      <c r="T2296">
        <v>-7.4988719999999995E-2</v>
      </c>
      <c r="U2296">
        <v>4.1687009999999997E-2</v>
      </c>
      <c r="V2296">
        <v>3.8246849999999999E-2</v>
      </c>
      <c r="W2296">
        <v>9.3528539999999993E-2</v>
      </c>
      <c r="X2296">
        <v>0.99488169999999998</v>
      </c>
      <c r="Y2296">
        <v>7.219892E-2</v>
      </c>
      <c r="Z2296">
        <v>2.347876E-3</v>
      </c>
      <c r="AA2296">
        <v>0.99738749999999998</v>
      </c>
      <c r="AB2296">
        <v>28</v>
      </c>
      <c r="AC2296">
        <v>-43.981000000000002</v>
      </c>
      <c r="AD2296">
        <v>-1.1000701078140001</v>
      </c>
      <c r="AE2296">
        <v>0.62430000000000496</v>
      </c>
      <c r="AF2296">
        <v>3.1924206810896099</v>
      </c>
      <c r="AG2296">
        <v>-1.1000701078140001</v>
      </c>
      <c r="AH2296">
        <v>43.841858105472603</v>
      </c>
      <c r="AI2296">
        <v>91.433557353907602</v>
      </c>
      <c r="AJ2296">
        <v>85.835259264951404</v>
      </c>
      <c r="AK2296">
        <v>43.971698013467197</v>
      </c>
      <c r="AL2296">
        <v>84.633365747139393</v>
      </c>
      <c r="AM2296">
        <v>87.798427205846195</v>
      </c>
      <c r="AN2296">
        <v>1.0000000031621701</v>
      </c>
    </row>
    <row r="2297" spans="1:40" x14ac:dyDescent="0.3">
      <c r="A2297" t="str">
        <f>"20200111150000357"</f>
        <v>20200111150000357</v>
      </c>
      <c r="B2297" t="str">
        <f>"1578726000348752"</f>
        <v>1578726000348752</v>
      </c>
      <c r="C2297" t="s">
        <v>40</v>
      </c>
      <c r="D2297">
        <v>4.3780239999999999</v>
      </c>
      <c r="E2297">
        <v>0.51106289999999999</v>
      </c>
      <c r="F2297" t="s">
        <v>62</v>
      </c>
      <c r="G2297">
        <v>-257.76339999999999</v>
      </c>
      <c r="H2297" s="1">
        <v>2.59449E-6</v>
      </c>
      <c r="I2297">
        <v>282.98610000000002</v>
      </c>
      <c r="J2297">
        <v>-217.01079999999999</v>
      </c>
      <c r="K2297">
        <v>1.1003320000000001</v>
      </c>
      <c r="L2297">
        <v>282.4194</v>
      </c>
      <c r="M2297">
        <v>-0.99843009999999999</v>
      </c>
      <c r="N2297">
        <v>0</v>
      </c>
      <c r="O2297">
        <v>-5.5425040000000002E-2</v>
      </c>
      <c r="P2297">
        <v>-0.99609950000000003</v>
      </c>
      <c r="Q2297">
        <v>8.6046029999999996E-2</v>
      </c>
      <c r="R2297">
        <v>-1.9541949999999999E-2</v>
      </c>
      <c r="S2297">
        <v>-3.0196529999999999</v>
      </c>
      <c r="T2297">
        <v>-8.1142069999999997E-2</v>
      </c>
      <c r="U2297">
        <v>4.1229250000000002E-2</v>
      </c>
      <c r="V2297">
        <v>3.657088E-2</v>
      </c>
      <c r="W2297">
        <v>9.3756880000000001E-2</v>
      </c>
      <c r="X2297">
        <v>0.99492320000000001</v>
      </c>
      <c r="Y2297">
        <v>6.9008159999999999E-2</v>
      </c>
      <c r="Z2297">
        <v>2.4155819999999999E-3</v>
      </c>
      <c r="AA2297">
        <v>0.99761319999999998</v>
      </c>
      <c r="AB2297">
        <v>28</v>
      </c>
      <c r="AC2297">
        <v>-40.752600000000001</v>
      </c>
      <c r="AD2297">
        <v>-1.1003294055099999</v>
      </c>
      <c r="AE2297">
        <v>0.56670000000002496</v>
      </c>
      <c r="AF2297">
        <v>2.8225599069888698</v>
      </c>
      <c r="AG2297">
        <v>-1.1003294055099999</v>
      </c>
      <c r="AH2297">
        <v>40.628929427653397</v>
      </c>
      <c r="AI2297">
        <v>91.547600415612195</v>
      </c>
      <c r="AJ2297">
        <v>86.025951177141295</v>
      </c>
      <c r="AK2297">
        <v>40.741716650951403</v>
      </c>
      <c r="AL2297">
        <v>84.620224950503001</v>
      </c>
      <c r="AM2297">
        <v>87.894898668333596</v>
      </c>
      <c r="AN2297">
        <v>0.99999997785477401</v>
      </c>
    </row>
    <row r="2298" spans="1:40" x14ac:dyDescent="0.3">
      <c r="A2298" t="str">
        <f>"20200111150000370"</f>
        <v>20200111150000370</v>
      </c>
      <c r="B2298" t="str">
        <f>"1578726000358512"</f>
        <v>1578726000358512</v>
      </c>
      <c r="C2298" t="s">
        <v>40</v>
      </c>
      <c r="D2298">
        <v>4.3077990000000002</v>
      </c>
      <c r="E2298">
        <v>0.51067099999999999</v>
      </c>
      <c r="F2298" t="s">
        <v>62</v>
      </c>
      <c r="G2298">
        <v>-257.04090000000002</v>
      </c>
      <c r="H2298" s="1">
        <v>2.210039E-6</v>
      </c>
      <c r="I2298">
        <v>282.97559999999999</v>
      </c>
      <c r="J2298">
        <v>-217.17259999999999</v>
      </c>
      <c r="K2298">
        <v>1.100565</v>
      </c>
      <c r="L2298">
        <v>282.41289999999998</v>
      </c>
      <c r="M2298">
        <v>-0.99856310000000004</v>
      </c>
      <c r="N2298">
        <v>0</v>
      </c>
      <c r="O2298">
        <v>-5.2979060000000001E-2</v>
      </c>
      <c r="P2298">
        <v>-0.99611989999999995</v>
      </c>
      <c r="Q2298">
        <v>8.6030220000000004E-2</v>
      </c>
      <c r="R2298">
        <v>-1.8560819999999999E-2</v>
      </c>
      <c r="S2298">
        <v>-3.0197449999999999</v>
      </c>
      <c r="T2298">
        <v>-8.3005309999999999E-2</v>
      </c>
      <c r="U2298">
        <v>4.196167E-2</v>
      </c>
      <c r="V2298">
        <v>3.5062030000000001E-2</v>
      </c>
      <c r="W2298">
        <v>9.3775410000000003E-2</v>
      </c>
      <c r="X2298">
        <v>0.99497579999999997</v>
      </c>
      <c r="Y2298">
        <v>6.6805359999999994E-2</v>
      </c>
      <c r="Z2298">
        <v>2.3735269999999998E-3</v>
      </c>
      <c r="AA2298">
        <v>0.99776319999999996</v>
      </c>
      <c r="AB2298">
        <v>28</v>
      </c>
      <c r="AC2298">
        <v>-39.868299999999998</v>
      </c>
      <c r="AD2298">
        <v>-1.100562789961</v>
      </c>
      <c r="AE2298">
        <v>0.56270000000000597</v>
      </c>
      <c r="AF2298">
        <v>2.6721275192303602</v>
      </c>
      <c r="AG2298">
        <v>-1.100562789961</v>
      </c>
      <c r="AH2298">
        <v>39.752207478885303</v>
      </c>
      <c r="AI2298">
        <v>91.582292674946999</v>
      </c>
      <c r="AJ2298">
        <v>86.154385712406295</v>
      </c>
      <c r="AK2298">
        <v>39.857113585632597</v>
      </c>
      <c r="AL2298">
        <v>84.619158724271998</v>
      </c>
      <c r="AM2298">
        <v>87.981784671732299</v>
      </c>
      <c r="AN2298">
        <v>1.0000000080270099</v>
      </c>
    </row>
    <row r="2299" spans="1:40" x14ac:dyDescent="0.3">
      <c r="A2299" t="str">
        <f>"20200111150000389"</f>
        <v>20200111150000389</v>
      </c>
      <c r="B2299" t="str">
        <f>"1578726000378035"</f>
        <v>1578726000378035</v>
      </c>
      <c r="C2299" t="s">
        <v>40</v>
      </c>
      <c r="D2299">
        <v>4.3755739999999896</v>
      </c>
      <c r="E2299">
        <v>0.51021039999999995</v>
      </c>
      <c r="F2299" t="s">
        <v>62</v>
      </c>
      <c r="G2299">
        <v>-258.17970000000003</v>
      </c>
      <c r="H2299" s="1">
        <v>2.8160359999999902E-6</v>
      </c>
      <c r="I2299">
        <v>282.97489999999999</v>
      </c>
      <c r="J2299">
        <v>-217.4144</v>
      </c>
      <c r="K2299">
        <v>1.1009150000000001</v>
      </c>
      <c r="L2299">
        <v>282.40359999999998</v>
      </c>
      <c r="M2299">
        <v>-0.9987355</v>
      </c>
      <c r="N2299">
        <v>0</v>
      </c>
      <c r="O2299">
        <v>-4.962076E-2</v>
      </c>
      <c r="P2299">
        <v>-0.996112</v>
      </c>
      <c r="Q2299">
        <v>8.6199479999999995E-2</v>
      </c>
      <c r="R2299">
        <v>-1.818467E-2</v>
      </c>
      <c r="S2299">
        <v>-3.0194700000000001</v>
      </c>
      <c r="T2299">
        <v>-8.1037639999999994E-2</v>
      </c>
      <c r="U2299">
        <v>4.1381840000000003E-2</v>
      </c>
      <c r="V2299">
        <v>3.2013119999999999E-2</v>
      </c>
      <c r="W2299">
        <v>9.4001840000000003E-2</v>
      </c>
      <c r="X2299">
        <v>0.99505719999999998</v>
      </c>
      <c r="Y2299">
        <v>6.3263920000000001E-2</v>
      </c>
      <c r="Z2299">
        <v>2.1799419999999998E-3</v>
      </c>
      <c r="AA2299">
        <v>0.99799439999999995</v>
      </c>
      <c r="AB2299">
        <v>28</v>
      </c>
      <c r="AC2299">
        <v>-40.765300000000003</v>
      </c>
      <c r="AD2299">
        <v>-1.1009121839639999</v>
      </c>
      <c r="AE2299">
        <v>0.57130000000000702</v>
      </c>
      <c r="AF2299">
        <v>2.5915775387675302</v>
      </c>
      <c r="AG2299">
        <v>-1.1009121839639999</v>
      </c>
      <c r="AH2299">
        <v>40.657083357409597</v>
      </c>
      <c r="AI2299">
        <v>91.547935673228295</v>
      </c>
      <c r="AJ2299">
        <v>86.352767403424394</v>
      </c>
      <c r="AK2299">
        <v>40.754468575943903</v>
      </c>
      <c r="AL2299">
        <v>84.606127681732701</v>
      </c>
      <c r="AM2299">
        <v>88.157307716070406</v>
      </c>
      <c r="AN2299">
        <v>1.00000000852368</v>
      </c>
    </row>
    <row r="2300" spans="1:40" x14ac:dyDescent="0.3">
      <c r="A2300" t="str">
        <f>"20200111150000411"</f>
        <v>20200111150000411</v>
      </c>
      <c r="B2300" t="str">
        <f>"1578726000408287"</f>
        <v>1578726000408287</v>
      </c>
      <c r="C2300" t="s">
        <v>40</v>
      </c>
      <c r="D2300">
        <v>4.3146890000000004</v>
      </c>
      <c r="E2300">
        <v>0.50944659999999997</v>
      </c>
      <c r="F2300" t="s">
        <v>62</v>
      </c>
      <c r="G2300">
        <v>-257.97910000000002</v>
      </c>
      <c r="H2300" s="1">
        <v>2.7092689999999998E-6</v>
      </c>
      <c r="I2300">
        <v>282.91730000000001</v>
      </c>
      <c r="J2300">
        <v>-217.6934</v>
      </c>
      <c r="K2300">
        <v>1.101335</v>
      </c>
      <c r="L2300">
        <v>282.39330000000001</v>
      </c>
      <c r="M2300">
        <v>-0.99889600000000001</v>
      </c>
      <c r="N2300">
        <v>0</v>
      </c>
      <c r="O2300">
        <v>-4.6271960000000001E-2</v>
      </c>
      <c r="P2300">
        <v>-0.99599859999999896</v>
      </c>
      <c r="Q2300">
        <v>8.7648320000000002E-2</v>
      </c>
      <c r="R2300">
        <v>-1.7453509999999998E-2</v>
      </c>
      <c r="S2300">
        <v>-3.019501</v>
      </c>
      <c r="T2300">
        <v>-8.1948279999999998E-2</v>
      </c>
      <c r="U2300">
        <v>3.823853E-2</v>
      </c>
      <c r="V2300">
        <v>2.9317940000000001E-2</v>
      </c>
      <c r="W2300">
        <v>9.5507090000000003E-2</v>
      </c>
      <c r="X2300">
        <v>0.99499689999999996</v>
      </c>
      <c r="Y2300">
        <v>5.8880340000000003E-2</v>
      </c>
      <c r="Z2300">
        <v>2.054139E-3</v>
      </c>
      <c r="AA2300">
        <v>0.99826289999999995</v>
      </c>
      <c r="AB2300">
        <v>29</v>
      </c>
      <c r="AC2300">
        <v>-40.285699999999999</v>
      </c>
      <c r="AD2300">
        <v>-1.1013322907309999</v>
      </c>
      <c r="AE2300">
        <v>0.52400000000000002</v>
      </c>
      <c r="AF2300">
        <v>2.38581543901376</v>
      </c>
      <c r="AG2300">
        <v>-1.1013322907309999</v>
      </c>
      <c r="AH2300">
        <v>40.188268635378201</v>
      </c>
      <c r="AI2300">
        <v>91.567001661866399</v>
      </c>
      <c r="AJ2300">
        <v>86.602568096866904</v>
      </c>
      <c r="AK2300">
        <v>40.274085762844599</v>
      </c>
      <c r="AL2300">
        <v>84.519493295576893</v>
      </c>
      <c r="AM2300">
        <v>88.312247663738404</v>
      </c>
      <c r="AN2300">
        <v>0.99999998842785998</v>
      </c>
    </row>
    <row r="2301" spans="1:40" x14ac:dyDescent="0.3">
      <c r="A2301" t="str">
        <f>"20200111150000425"</f>
        <v>20200111150000425</v>
      </c>
      <c r="B2301" t="str">
        <f>"1578726000418048"</f>
        <v>1578726000418048</v>
      </c>
      <c r="C2301" t="s">
        <v>40</v>
      </c>
      <c r="D2301">
        <v>4.4050449999999897</v>
      </c>
      <c r="E2301">
        <v>0.50922230000000002</v>
      </c>
      <c r="F2301" t="s">
        <v>62</v>
      </c>
      <c r="G2301">
        <v>-258.10309999999998</v>
      </c>
      <c r="H2301" s="1">
        <v>2.7752819999999999E-6</v>
      </c>
      <c r="I2301">
        <v>282.84089999999998</v>
      </c>
      <c r="J2301">
        <v>-217.88210000000001</v>
      </c>
      <c r="K2301">
        <v>1.101615</v>
      </c>
      <c r="L2301">
        <v>282.38659999999999</v>
      </c>
      <c r="M2301">
        <v>-0.99898549999999997</v>
      </c>
      <c r="N2301">
        <v>0</v>
      </c>
      <c r="O2301">
        <v>-4.429777E-2</v>
      </c>
      <c r="P2301">
        <v>-0.99588659999999996</v>
      </c>
      <c r="Q2301">
        <v>8.9004349999999996E-2</v>
      </c>
      <c r="R2301">
        <v>-1.6975500000000001E-2</v>
      </c>
      <c r="S2301">
        <v>-3.019882</v>
      </c>
      <c r="T2301">
        <v>-8.2304359999999993E-2</v>
      </c>
      <c r="U2301">
        <v>3.3447270000000001E-2</v>
      </c>
      <c r="V2301">
        <v>2.77688E-2</v>
      </c>
      <c r="W2301">
        <v>9.6897739999999996E-2</v>
      </c>
      <c r="X2301">
        <v>0.99490690000000004</v>
      </c>
      <c r="Y2301">
        <v>5.5323669999999998E-2</v>
      </c>
      <c r="Z2301">
        <v>1.9605920000000002E-3</v>
      </c>
      <c r="AA2301">
        <v>0.99846659999999998</v>
      </c>
      <c r="AB2301">
        <v>29</v>
      </c>
      <c r="AC2301">
        <v>-40.220999999999897</v>
      </c>
      <c r="AD2301">
        <v>-1.101612224718</v>
      </c>
      <c r="AE2301">
        <v>0.45429999999998899</v>
      </c>
      <c r="AF2301">
        <v>2.2339375481590098</v>
      </c>
      <c r="AG2301">
        <v>-1.101612224718</v>
      </c>
      <c r="AH2301">
        <v>40.131289307874098</v>
      </c>
      <c r="AI2301">
        <v>91.569956894693405</v>
      </c>
      <c r="AJ2301">
        <v>86.813876764093905</v>
      </c>
      <c r="AK2301">
        <v>40.208511635908799</v>
      </c>
      <c r="AL2301">
        <v>84.439443739697595</v>
      </c>
      <c r="AM2301">
        <v>88.401235246154101</v>
      </c>
      <c r="AN2301">
        <v>1.0000000089690699</v>
      </c>
    </row>
    <row r="2302" spans="1:40" x14ac:dyDescent="0.3">
      <c r="A2302" t="str">
        <f>"20200111150000443"</f>
        <v>20200111150000443</v>
      </c>
      <c r="B2302" t="str">
        <f>"1578726000438544"</f>
        <v>1578726000438544</v>
      </c>
      <c r="C2302" t="s">
        <v>40</v>
      </c>
      <c r="D2302">
        <v>4.4040749999999997</v>
      </c>
      <c r="E2302">
        <v>0.50873710000000005</v>
      </c>
      <c r="F2302" t="s">
        <v>62</v>
      </c>
      <c r="G2302">
        <v>-258.97460000000001</v>
      </c>
      <c r="H2302" s="1">
        <v>3.2390339999999999E-6</v>
      </c>
      <c r="I2302">
        <v>282.83210000000003</v>
      </c>
      <c r="J2302">
        <v>-218.11529999999999</v>
      </c>
      <c r="K2302">
        <v>1.1019540000000001</v>
      </c>
      <c r="L2302">
        <v>282.3784</v>
      </c>
      <c r="M2302">
        <v>-0.99907679999999999</v>
      </c>
      <c r="N2302">
        <v>0</v>
      </c>
      <c r="O2302">
        <v>-4.2188429999999999E-2</v>
      </c>
      <c r="P2302">
        <v>-0.99546900000000005</v>
      </c>
      <c r="Q2302">
        <v>9.3395039999999999E-2</v>
      </c>
      <c r="R2302">
        <v>-1.7869570000000001E-2</v>
      </c>
      <c r="S2302">
        <v>-3.0201720000000001</v>
      </c>
      <c r="T2302">
        <v>-8.0965159999999994E-2</v>
      </c>
      <c r="U2302">
        <v>3.2745360000000001E-2</v>
      </c>
      <c r="V2302">
        <v>2.4703909999999999E-2</v>
      </c>
      <c r="W2302">
        <v>0.1013328</v>
      </c>
      <c r="X2302">
        <v>0.99454580000000004</v>
      </c>
      <c r="Y2302">
        <v>5.2985089999999999E-2</v>
      </c>
      <c r="Z2302">
        <v>1.840674E-3</v>
      </c>
      <c r="AA2302">
        <v>0.99859359999999997</v>
      </c>
      <c r="AB2302">
        <v>29</v>
      </c>
      <c r="AC2302">
        <v>-40.859299999999998</v>
      </c>
      <c r="AD2302">
        <v>-1.101950760966</v>
      </c>
      <c r="AE2302">
        <v>0.45370000000002603</v>
      </c>
      <c r="AF2302">
        <v>2.1755601697291902</v>
      </c>
      <c r="AG2302">
        <v>-1.101950760966</v>
      </c>
      <c r="AH2302">
        <v>40.774124563542699</v>
      </c>
      <c r="AI2302">
        <v>91.545885969847305</v>
      </c>
      <c r="AJ2302">
        <v>86.945800075382294</v>
      </c>
      <c r="AK2302">
        <v>40.846989992593102</v>
      </c>
      <c r="AL2302">
        <v>84.184075717275604</v>
      </c>
      <c r="AM2302">
        <v>88.577100437498302</v>
      </c>
      <c r="AN2302">
        <v>0.999999983911384</v>
      </c>
    </row>
    <row r="2303" spans="1:40" x14ac:dyDescent="0.3">
      <c r="A2303" t="str">
        <f>"20200111150000458"</f>
        <v>20200111150000458</v>
      </c>
      <c r="B2303" t="str">
        <f>"1578726000448304"</f>
        <v>1578726000448304</v>
      </c>
      <c r="C2303" t="s">
        <v>40</v>
      </c>
      <c r="D2303">
        <v>4.3146789999999999</v>
      </c>
      <c r="E2303">
        <v>0.50866339999999999</v>
      </c>
      <c r="F2303" t="s">
        <v>62</v>
      </c>
      <c r="G2303">
        <v>-266.6071</v>
      </c>
      <c r="H2303" s="1">
        <v>1.9791959999999999E-6</v>
      </c>
      <c r="I2303">
        <v>282.78949999999998</v>
      </c>
      <c r="J2303">
        <v>-218.30549999999999</v>
      </c>
      <c r="K2303">
        <v>1.10222</v>
      </c>
      <c r="L2303">
        <v>282.37189999999998</v>
      </c>
      <c r="M2303">
        <v>-0.99913719999999995</v>
      </c>
      <c r="N2303">
        <v>0</v>
      </c>
      <c r="O2303">
        <v>-4.0730889999999999E-2</v>
      </c>
      <c r="P2303">
        <v>-0.99524880000000004</v>
      </c>
      <c r="Q2303">
        <v>9.5714140000000003E-2</v>
      </c>
      <c r="R2303">
        <v>-1.785759E-2</v>
      </c>
      <c r="S2303">
        <v>-3.0205540000000002</v>
      </c>
      <c r="T2303">
        <v>-6.8640469999999995E-2</v>
      </c>
      <c r="U2303">
        <v>2.5604249999999999E-2</v>
      </c>
      <c r="V2303">
        <v>2.320328E-2</v>
      </c>
      <c r="W2303">
        <v>0.1036802</v>
      </c>
      <c r="X2303">
        <v>0.99434</v>
      </c>
      <c r="Y2303">
        <v>4.9176900000000003E-2</v>
      </c>
      <c r="Z2303">
        <v>1.4840070000000001E-3</v>
      </c>
      <c r="AA2303">
        <v>0.99878900000000004</v>
      </c>
      <c r="AB2303">
        <v>29</v>
      </c>
      <c r="AC2303">
        <v>-48.301600000000001</v>
      </c>
      <c r="AD2303">
        <v>-1.102218020804</v>
      </c>
      <c r="AE2303">
        <v>0.41759999999999298</v>
      </c>
      <c r="AF2303">
        <v>2.3834443319768699</v>
      </c>
      <c r="AG2303">
        <v>-1.102218020804</v>
      </c>
      <c r="AH2303">
        <v>48.219397266296298</v>
      </c>
      <c r="AI2303">
        <v>91.307865328896</v>
      </c>
      <c r="AJ2303">
        <v>87.170220824285096</v>
      </c>
      <c r="AK2303">
        <v>48.290847623270501</v>
      </c>
      <c r="AL2303">
        <v>84.048867468507396</v>
      </c>
      <c r="AM2303">
        <v>88.663225072672702</v>
      </c>
      <c r="AN2303">
        <v>1.0000000058373899</v>
      </c>
    </row>
    <row r="2304" spans="1:40" x14ac:dyDescent="0.3">
      <c r="A2304" t="str">
        <f>"20200111150000470"</f>
        <v>20200111150000470</v>
      </c>
      <c r="B2304" t="str">
        <f>"1578726000468800"</f>
        <v>1578726000468800</v>
      </c>
      <c r="C2304" t="s">
        <v>40</v>
      </c>
      <c r="D2304">
        <v>4.3078399999999997</v>
      </c>
      <c r="E2304">
        <v>0.50823109999999905</v>
      </c>
      <c r="F2304" t="s">
        <v>62</v>
      </c>
      <c r="G2304">
        <v>-272.74869999999999</v>
      </c>
      <c r="H2304" s="1">
        <v>4.3260680000000003E-9</v>
      </c>
      <c r="I2304">
        <v>282.82240000000002</v>
      </c>
      <c r="J2304">
        <v>-218.46440000000001</v>
      </c>
      <c r="K2304">
        <v>1.1024350000000001</v>
      </c>
      <c r="L2304">
        <v>282.36660000000001</v>
      </c>
      <c r="M2304">
        <v>-0.99917840000000002</v>
      </c>
      <c r="N2304">
        <v>0</v>
      </c>
      <c r="O2304">
        <v>-3.9707699999999999E-2</v>
      </c>
      <c r="P2304">
        <v>-0.99503869999999905</v>
      </c>
      <c r="Q2304">
        <v>9.7686739999999994E-2</v>
      </c>
      <c r="R2304">
        <v>-1.885947E-2</v>
      </c>
      <c r="S2304">
        <v>-3.0206300000000001</v>
      </c>
      <c r="T2304">
        <v>-6.1153649999999997E-2</v>
      </c>
      <c r="U2304">
        <v>2.4993899999999999E-2</v>
      </c>
      <c r="V2304">
        <v>2.1132950000000001E-2</v>
      </c>
      <c r="W2304">
        <v>0.105679</v>
      </c>
      <c r="X2304">
        <v>0.9941757</v>
      </c>
      <c r="Y2304">
        <v>4.7957279999999998E-2</v>
      </c>
      <c r="Z2304">
        <v>1.289098E-3</v>
      </c>
      <c r="AA2304">
        <v>0.99884859999999998</v>
      </c>
      <c r="AB2304">
        <v>29</v>
      </c>
      <c r="AC2304">
        <v>-54.284299999999902</v>
      </c>
      <c r="AD2304">
        <v>-1.1024349956739301</v>
      </c>
      <c r="AE2304">
        <v>0.45580000000000997</v>
      </c>
      <c r="AF2304">
        <v>2.6099397888480902</v>
      </c>
      <c r="AG2304">
        <v>-1.1024349956739301</v>
      </c>
      <c r="AH2304">
        <v>54.201032937004797</v>
      </c>
      <c r="AI2304">
        <v>91.163872485964504</v>
      </c>
      <c r="AJ2304">
        <v>87.2431684703934</v>
      </c>
      <c r="AK2304">
        <v>54.275032197681597</v>
      </c>
      <c r="AL2304">
        <v>83.933711869378897</v>
      </c>
      <c r="AM2304">
        <v>88.782261000526404</v>
      </c>
      <c r="AN2304">
        <v>0.99999998754359598</v>
      </c>
    </row>
    <row r="2305" spans="1:40" x14ac:dyDescent="0.3">
      <c r="A2305" t="str">
        <f>"20200111150000489"</f>
        <v>20200111150000489</v>
      </c>
      <c r="B2305" t="str">
        <f>"1578726000478559"</f>
        <v>1578726000478559</v>
      </c>
      <c r="C2305" t="s">
        <v>40</v>
      </c>
      <c r="D2305">
        <v>4.45444</v>
      </c>
      <c r="E2305">
        <v>0.508135</v>
      </c>
      <c r="F2305" t="s">
        <v>62</v>
      </c>
      <c r="G2305">
        <v>-277.38350000000003</v>
      </c>
      <c r="H2305" s="1">
        <v>2.4749140000000002E-6</v>
      </c>
      <c r="I2305">
        <v>282.72669999999999</v>
      </c>
      <c r="J2305">
        <v>-218.70150000000001</v>
      </c>
      <c r="K2305">
        <v>1.102746</v>
      </c>
      <c r="L2305">
        <v>282.35860000000002</v>
      </c>
      <c r="M2305">
        <v>-0.99922909999999998</v>
      </c>
      <c r="N2305">
        <v>0</v>
      </c>
      <c r="O2305">
        <v>-3.8406879999999997E-2</v>
      </c>
      <c r="P2305">
        <v>-0.9946547</v>
      </c>
      <c r="Q2305">
        <v>0.100937</v>
      </c>
      <c r="R2305">
        <v>-2.1774470000000001E-2</v>
      </c>
      <c r="S2305">
        <v>-3.0208439999999999</v>
      </c>
      <c r="T2305">
        <v>-5.6522849999999999E-2</v>
      </c>
      <c r="U2305">
        <v>1.8463130000000001E-2</v>
      </c>
      <c r="V2305">
        <v>1.6847339999999999E-2</v>
      </c>
      <c r="W2305">
        <v>0.1089687</v>
      </c>
      <c r="X2305">
        <v>0.99390239999999996</v>
      </c>
      <c r="Y2305">
        <v>4.450022E-2</v>
      </c>
      <c r="Z2305">
        <v>1.1347519999999999E-3</v>
      </c>
      <c r="AA2305">
        <v>0.99900869999999997</v>
      </c>
      <c r="AB2305">
        <v>29</v>
      </c>
      <c r="AC2305">
        <v>-58.682000000000002</v>
      </c>
      <c r="AD2305">
        <v>-1.102743525086</v>
      </c>
      <c r="AE2305">
        <v>0.36809999999996901</v>
      </c>
      <c r="AF2305">
        <v>2.6207699890869098</v>
      </c>
      <c r="AG2305">
        <v>-1.102743525086</v>
      </c>
      <c r="AH2305">
        <v>58.603868364902802</v>
      </c>
      <c r="AI2305">
        <v>91.076926046676604</v>
      </c>
      <c r="AJ2305">
        <v>87.439433893300404</v>
      </c>
      <c r="AK2305">
        <v>58.672803460791599</v>
      </c>
      <c r="AL2305">
        <v>83.744130904552193</v>
      </c>
      <c r="AM2305">
        <v>89.028889512951395</v>
      </c>
      <c r="AN2305">
        <v>0.99999999558526198</v>
      </c>
    </row>
    <row r="2306" spans="1:40" x14ac:dyDescent="0.3">
      <c r="A2306" t="str">
        <f>"20200111150000503"</f>
        <v>20200111150000503</v>
      </c>
      <c r="B2306" t="str">
        <f>"1578726000498080"</f>
        <v>1578726000498080</v>
      </c>
      <c r="C2306" t="s">
        <v>40</v>
      </c>
      <c r="D2306">
        <v>4.4224379999999996</v>
      </c>
      <c r="E2306">
        <v>0.50764920000000002</v>
      </c>
      <c r="F2306" t="s">
        <v>66</v>
      </c>
      <c r="G2306">
        <v>-290.48430000000002</v>
      </c>
      <c r="H2306" s="1">
        <v>2.4707100000000002E-6</v>
      </c>
      <c r="I2306">
        <v>282.56810000000002</v>
      </c>
      <c r="J2306">
        <v>-218.89689999999999</v>
      </c>
      <c r="K2306">
        <v>1.102983</v>
      </c>
      <c r="L2306">
        <v>282.35199999999998</v>
      </c>
      <c r="M2306">
        <v>-0.99926170000000003</v>
      </c>
      <c r="N2306">
        <v>0</v>
      </c>
      <c r="O2306">
        <v>-3.7550010000000002E-2</v>
      </c>
      <c r="P2306">
        <v>-0.99457030000000002</v>
      </c>
      <c r="Q2306">
        <v>0.10152220000000001</v>
      </c>
      <c r="R2306">
        <v>-2.2882739999999999E-2</v>
      </c>
      <c r="S2306">
        <v>-3.0210110000000001</v>
      </c>
      <c r="T2306">
        <v>-4.6409489999999998E-2</v>
      </c>
      <c r="U2306">
        <v>8.8195800000000005E-3</v>
      </c>
      <c r="V2306">
        <v>1.4824530000000001E-2</v>
      </c>
      <c r="W2306">
        <v>0.1095778</v>
      </c>
      <c r="X2306">
        <v>0.99386770000000002</v>
      </c>
      <c r="Y2306">
        <v>4.0459229999999999E-2</v>
      </c>
      <c r="Z2306">
        <v>8.8749499999999997E-4</v>
      </c>
      <c r="AA2306">
        <v>0.99918079999999998</v>
      </c>
      <c r="AB2306">
        <v>29</v>
      </c>
      <c r="AC2306">
        <v>-71.587400000000002</v>
      </c>
      <c r="AD2306">
        <v>-1.1029805292899999</v>
      </c>
      <c r="AE2306">
        <v>0.216099999999983</v>
      </c>
      <c r="AF2306">
        <v>2.9034547076160599</v>
      </c>
      <c r="AG2306">
        <v>-1.1029805292899999</v>
      </c>
      <c r="AH2306">
        <v>71.511818762738898</v>
      </c>
      <c r="AI2306">
        <v>90.882918498430001</v>
      </c>
      <c r="AJ2306">
        <v>87.675008347908204</v>
      </c>
      <c r="AK2306">
        <v>71.579234684662495</v>
      </c>
      <c r="AL2306">
        <v>83.709022038877904</v>
      </c>
      <c r="AM2306">
        <v>89.145439560580598</v>
      </c>
      <c r="AN2306">
        <v>1.00000003302292</v>
      </c>
    </row>
    <row r="2307" spans="1:40" x14ac:dyDescent="0.3">
      <c r="A2307" t="str">
        <f>"20200111150000521"</f>
        <v>20200111150000521</v>
      </c>
      <c r="B2307" t="str">
        <f>"1578726000518575"</f>
        <v>1578726000518575</v>
      </c>
      <c r="C2307" t="s">
        <v>40</v>
      </c>
      <c r="D2307">
        <v>4.3526249999999997</v>
      </c>
      <c r="E2307">
        <v>0.49849979999999999</v>
      </c>
      <c r="F2307" t="s">
        <v>66</v>
      </c>
      <c r="G2307">
        <v>-285.24619999999999</v>
      </c>
      <c r="H2307" s="1">
        <v>6.5357879999999998E-6</v>
      </c>
      <c r="I2307">
        <v>282.39019999999999</v>
      </c>
      <c r="J2307">
        <v>-219.12370000000001</v>
      </c>
      <c r="K2307">
        <v>1.1032379999999999</v>
      </c>
      <c r="L2307">
        <v>282.34429999999998</v>
      </c>
      <c r="M2307">
        <v>-0.99928980000000001</v>
      </c>
      <c r="N2307">
        <v>0</v>
      </c>
      <c r="O2307">
        <v>-3.6793340000000001E-2</v>
      </c>
      <c r="P2307">
        <v>-0.99471679999999996</v>
      </c>
      <c r="Q2307">
        <v>0.1000142</v>
      </c>
      <c r="R2307">
        <v>-2.3154109999999999E-2</v>
      </c>
      <c r="S2307">
        <v>-3.0215299999999998</v>
      </c>
      <c r="T2307">
        <v>-5.0229309999999999E-2</v>
      </c>
      <c r="U2307">
        <v>1.739502E-3</v>
      </c>
      <c r="V2307">
        <v>1.3735030000000001E-2</v>
      </c>
      <c r="W2307">
        <v>0.1080946</v>
      </c>
      <c r="X2307">
        <v>0.99404570000000003</v>
      </c>
      <c r="Y2307">
        <v>3.7359620000000003E-2</v>
      </c>
      <c r="Z2307">
        <v>9.2202910000000003E-4</v>
      </c>
      <c r="AA2307">
        <v>0.99930140000000001</v>
      </c>
      <c r="AB2307">
        <v>29</v>
      </c>
      <c r="AC2307">
        <v>-66.122499999999903</v>
      </c>
      <c r="AD2307">
        <v>-1.103231464212</v>
      </c>
      <c r="AE2307">
        <v>4.5900000000017302E-2</v>
      </c>
      <c r="AF2307">
        <v>2.4781271534368998</v>
      </c>
      <c r="AG2307">
        <v>-1.103231464212</v>
      </c>
      <c r="AH2307">
        <v>66.057647366706405</v>
      </c>
      <c r="AI2307">
        <v>90.9561377520062</v>
      </c>
      <c r="AJ2307">
        <v>87.851578418174796</v>
      </c>
      <c r="AK2307">
        <v>66.113319455888401</v>
      </c>
      <c r="AL2307">
        <v>83.794510604616505</v>
      </c>
      <c r="AM2307">
        <v>89.208377266054896</v>
      </c>
      <c r="AN2307">
        <v>0.99999997364337501</v>
      </c>
    </row>
    <row r="2308" spans="1:40" x14ac:dyDescent="0.3">
      <c r="A2308" t="str">
        <f>"20200111150000535"</f>
        <v>20200111150000535</v>
      </c>
      <c r="B2308" t="str">
        <f>"1578726000528336"</f>
        <v>1578726000528336</v>
      </c>
      <c r="C2308" t="s">
        <v>40</v>
      </c>
      <c r="D2308">
        <v>4.4156750000000002</v>
      </c>
      <c r="E2308">
        <v>0.49869400000000003</v>
      </c>
      <c r="F2308" t="s">
        <v>41</v>
      </c>
      <c r="G2308">
        <v>-220.0873</v>
      </c>
      <c r="H2308">
        <v>1.0276459999999901</v>
      </c>
      <c r="I2308">
        <v>282.32310000000001</v>
      </c>
      <c r="J2308">
        <v>-219.30969999999999</v>
      </c>
      <c r="K2308">
        <v>1.1034280000000001</v>
      </c>
      <c r="L2308">
        <v>282.33800000000002</v>
      </c>
      <c r="M2308">
        <v>-0.99930509999999995</v>
      </c>
      <c r="N2308">
        <v>0</v>
      </c>
      <c r="O2308">
        <v>-3.636781E-2</v>
      </c>
      <c r="P2308">
        <v>-0.99472169999999904</v>
      </c>
      <c r="Q2308">
        <v>9.9852700000000003E-2</v>
      </c>
      <c r="R2308">
        <v>-2.363347E-2</v>
      </c>
      <c r="S2308">
        <v>-3.0383450000000001</v>
      </c>
      <c r="T2308">
        <v>-0.2383912</v>
      </c>
      <c r="U2308">
        <v>-6.6986080000000003E-2</v>
      </c>
      <c r="V2308">
        <v>1.278314E-2</v>
      </c>
      <c r="W2308">
        <v>0.1079524</v>
      </c>
      <c r="X2308">
        <v>0.99407389999999995</v>
      </c>
      <c r="Y2308">
        <v>1.417802E-2</v>
      </c>
      <c r="Z2308">
        <v>3.4033539999999999E-3</v>
      </c>
      <c r="AA2308">
        <v>0.9998937</v>
      </c>
      <c r="AB2308">
        <v>29</v>
      </c>
      <c r="AC2308">
        <v>-0.77760000000000595</v>
      </c>
      <c r="AD2308">
        <v>-7.5782000000000196E-2</v>
      </c>
      <c r="AE2308">
        <v>-1.4899999999954601E-2</v>
      </c>
      <c r="AF2308">
        <v>1.3264473548547401E-2</v>
      </c>
      <c r="AG2308">
        <v>-7.5782000000000196E-2</v>
      </c>
      <c r="AH2308">
        <v>0.77031391526417803</v>
      </c>
      <c r="AI2308">
        <v>95.617741587507098</v>
      </c>
      <c r="AJ2308">
        <v>89.013488873180805</v>
      </c>
      <c r="AK2308">
        <v>0.77414623026411999</v>
      </c>
      <c r="AL2308">
        <v>83.802706334757204</v>
      </c>
      <c r="AM2308">
        <v>89.263254368448798</v>
      </c>
      <c r="AN2308">
        <v>1.0000000239976099</v>
      </c>
    </row>
    <row r="2309" spans="1:40" x14ac:dyDescent="0.3">
      <c r="A2309" t="str">
        <f>"20200111150000548"</f>
        <v>20200111150000548</v>
      </c>
      <c r="B2309" t="str">
        <f>"1578726000538096"</f>
        <v>1578726000538096</v>
      </c>
      <c r="C2309" t="s">
        <v>40</v>
      </c>
      <c r="D2309">
        <v>4.4078780000000002</v>
      </c>
      <c r="E2309">
        <v>0.49869400000000003</v>
      </c>
      <c r="F2309" t="s">
        <v>62</v>
      </c>
      <c r="G2309">
        <v>-235.44390000000001</v>
      </c>
      <c r="H2309" s="1">
        <v>1.475573E-6</v>
      </c>
      <c r="I2309">
        <v>281.97640000000001</v>
      </c>
      <c r="J2309">
        <v>-219.4777</v>
      </c>
      <c r="K2309">
        <v>1.103586</v>
      </c>
      <c r="L2309">
        <v>282.3322</v>
      </c>
      <c r="M2309">
        <v>-0.99931539999999996</v>
      </c>
      <c r="N2309">
        <v>0</v>
      </c>
      <c r="O2309">
        <v>-3.6081240000000001E-2</v>
      </c>
      <c r="P2309">
        <v>-0.99478949999999999</v>
      </c>
      <c r="Q2309">
        <v>9.9121780000000007E-2</v>
      </c>
      <c r="R2309">
        <v>-2.3854670000000001E-2</v>
      </c>
      <c r="S2309">
        <v>-3.035126</v>
      </c>
      <c r="T2309">
        <v>-0.20757349999999999</v>
      </c>
      <c r="U2309">
        <v>-6.8023680000000003E-2</v>
      </c>
      <c r="V2309">
        <v>1.22375E-2</v>
      </c>
      <c r="W2309">
        <v>0.1072399</v>
      </c>
      <c r="X2309">
        <v>0.99415790000000004</v>
      </c>
      <c r="Y2309">
        <v>1.3565600000000001E-2</v>
      </c>
      <c r="Z2309">
        <v>2.9271359999999999E-3</v>
      </c>
      <c r="AA2309">
        <v>0.99990369999999995</v>
      </c>
      <c r="AB2309">
        <v>29</v>
      </c>
      <c r="AC2309">
        <v>-15.966200000000001</v>
      </c>
      <c r="AD2309">
        <v>-1.1035845244269999</v>
      </c>
      <c r="AE2309">
        <v>-0.35579999999998702</v>
      </c>
      <c r="AF2309">
        <v>0.21948317077085899</v>
      </c>
      <c r="AG2309">
        <v>-1.1035845244269999</v>
      </c>
      <c r="AH2309">
        <v>15.8927499934266</v>
      </c>
      <c r="AI2309">
        <v>93.971836155170294</v>
      </c>
      <c r="AJ2309">
        <v>89.208780105570298</v>
      </c>
      <c r="AK2309">
        <v>15.9325319399764</v>
      </c>
      <c r="AL2309">
        <v>83.843768060478396</v>
      </c>
      <c r="AM2309">
        <v>89.294758215452205</v>
      </c>
      <c r="AN2309">
        <v>1.00000004134533</v>
      </c>
    </row>
    <row r="2310" spans="1:40" x14ac:dyDescent="0.3">
      <c r="A2310" t="str">
        <f>"20200111150000567"</f>
        <v>20200111150000567</v>
      </c>
      <c r="B2310" t="str">
        <f>"1578726000558591"</f>
        <v>1578726000558591</v>
      </c>
      <c r="C2310" t="s">
        <v>40</v>
      </c>
      <c r="D2310">
        <v>4.4244570000000003</v>
      </c>
      <c r="E2310">
        <v>0.47576079999999998</v>
      </c>
      <c r="F2310" t="s">
        <v>41</v>
      </c>
      <c r="G2310">
        <v>-220.35679999999999</v>
      </c>
      <c r="H2310">
        <v>1.042897</v>
      </c>
      <c r="I2310">
        <v>282.31259999999997</v>
      </c>
      <c r="J2310">
        <v>-219.7218</v>
      </c>
      <c r="K2310">
        <v>1.103799</v>
      </c>
      <c r="L2310">
        <v>282.32380000000001</v>
      </c>
      <c r="M2310">
        <v>-0.99932410000000005</v>
      </c>
      <c r="N2310">
        <v>0</v>
      </c>
      <c r="O2310">
        <v>-3.5834100000000001E-2</v>
      </c>
      <c r="P2310">
        <v>-0.99492510000000001</v>
      </c>
      <c r="Q2310">
        <v>9.7648310000000002E-2</v>
      </c>
      <c r="R2310">
        <v>-2.4268950000000001E-2</v>
      </c>
      <c r="S2310">
        <v>-3.0349879999999998</v>
      </c>
      <c r="T2310">
        <v>-0.2098091</v>
      </c>
      <c r="U2310">
        <v>-6.8695069999999997E-2</v>
      </c>
      <c r="V2310">
        <v>1.1525850000000001E-2</v>
      </c>
      <c r="W2310">
        <v>0.10579379999999999</v>
      </c>
      <c r="X2310">
        <v>0.99432129999999996</v>
      </c>
      <c r="Y2310">
        <v>1.309541E-2</v>
      </c>
      <c r="Z2310">
        <v>2.9254279999999999E-3</v>
      </c>
      <c r="AA2310">
        <v>0.99990999999999997</v>
      </c>
      <c r="AB2310">
        <v>29</v>
      </c>
      <c r="AC2310">
        <v>-0.63499999999999002</v>
      </c>
      <c r="AD2310">
        <v>-6.0901999999999998E-2</v>
      </c>
      <c r="AE2310">
        <v>-1.1200000000030699E-2</v>
      </c>
      <c r="AF2310">
        <v>1.14572559745634E-2</v>
      </c>
      <c r="AG2310">
        <v>-6.0901999999999998E-2</v>
      </c>
      <c r="AH2310">
        <v>0.62920755306948695</v>
      </c>
      <c r="AI2310">
        <v>95.5276170504942</v>
      </c>
      <c r="AJ2310">
        <v>88.956815012196699</v>
      </c>
      <c r="AK2310">
        <v>0.63225190166432699</v>
      </c>
      <c r="AL2310">
        <v>83.9270973732866</v>
      </c>
      <c r="AM2310">
        <v>89.335875652243402</v>
      </c>
      <c r="AN2310">
        <v>1.0000000104851701</v>
      </c>
    </row>
    <row r="2311" spans="1:40" x14ac:dyDescent="0.3">
      <c r="A2311" t="str">
        <f>"20200111150000582"</f>
        <v>20200111150000582</v>
      </c>
      <c r="B2311" t="str">
        <f>"1578726000578177"</f>
        <v>1578726000578177</v>
      </c>
      <c r="C2311" t="s">
        <v>40</v>
      </c>
      <c r="D2311">
        <v>4.4119609999999998</v>
      </c>
      <c r="E2311">
        <v>0.4754758</v>
      </c>
      <c r="F2311" t="s">
        <v>62</v>
      </c>
      <c r="G2311">
        <v>-240.2724</v>
      </c>
      <c r="H2311" s="1">
        <v>-1.3918190000000001E-6</v>
      </c>
      <c r="I2311">
        <v>280.59589999999997</v>
      </c>
      <c r="J2311">
        <v>-219.90110000000001</v>
      </c>
      <c r="K2311">
        <v>1.1039490000000001</v>
      </c>
      <c r="L2311">
        <v>282.3175</v>
      </c>
      <c r="M2311">
        <v>-0.9993263</v>
      </c>
      <c r="N2311">
        <v>0</v>
      </c>
      <c r="O2311">
        <v>-3.5770000000000003E-2</v>
      </c>
      <c r="P2311">
        <v>-0.99502330000000005</v>
      </c>
      <c r="Q2311">
        <v>9.6685499999999994E-2</v>
      </c>
      <c r="R2311">
        <v>-2.410112E-2</v>
      </c>
      <c r="S2311">
        <v>-3.025055</v>
      </c>
      <c r="T2311">
        <v>-0.1624794</v>
      </c>
      <c r="U2311">
        <v>-0.25433349999999999</v>
      </c>
      <c r="V2311">
        <v>1.159455E-2</v>
      </c>
      <c r="W2311">
        <v>0.1048511</v>
      </c>
      <c r="X2311">
        <v>0.99442030000000003</v>
      </c>
      <c r="Y2311">
        <v>-4.8063429999999997E-2</v>
      </c>
      <c r="Z2311">
        <v>6.2795590000000001E-4</v>
      </c>
      <c r="AA2311">
        <v>0.99884410000000001</v>
      </c>
      <c r="AB2311">
        <v>29</v>
      </c>
      <c r="AC2311">
        <v>-20.371299999999898</v>
      </c>
      <c r="AD2311">
        <v>-1.1039503918189999</v>
      </c>
      <c r="AE2311">
        <v>-1.72160000000002</v>
      </c>
      <c r="AF2311">
        <v>-0.98890866034180602</v>
      </c>
      <c r="AG2311">
        <v>-1.1039503918189999</v>
      </c>
      <c r="AH2311">
        <v>20.360477315489</v>
      </c>
      <c r="AI2311">
        <v>93.099906062897801</v>
      </c>
      <c r="AJ2311">
        <v>92.780671587040999</v>
      </c>
      <c r="AK2311">
        <v>20.414349936273702</v>
      </c>
      <c r="AL2311">
        <v>83.981411892962996</v>
      </c>
      <c r="AM2311">
        <v>89.331983992196498</v>
      </c>
      <c r="AN2311">
        <v>0.99999995990650004</v>
      </c>
    </row>
    <row r="2312" spans="1:40" x14ac:dyDescent="0.3">
      <c r="A2312" t="str">
        <f>"20200111150000599"</f>
        <v>20200111150000599</v>
      </c>
      <c r="B2312" t="str">
        <f>"1578726000587940"</f>
        <v>1578726000587940</v>
      </c>
      <c r="C2312" t="s">
        <v>40</v>
      </c>
      <c r="D2312">
        <v>4.4457839999999997</v>
      </c>
      <c r="E2312">
        <v>0.47578870000000001</v>
      </c>
      <c r="F2312" t="s">
        <v>62</v>
      </c>
      <c r="G2312">
        <v>-243.02109999999999</v>
      </c>
      <c r="H2312" s="1">
        <v>7.0885220000000006E-8</v>
      </c>
      <c r="I2312">
        <v>280.35399999999998</v>
      </c>
      <c r="J2312">
        <v>-220.13820000000001</v>
      </c>
      <c r="K2312">
        <v>1.1041369999999999</v>
      </c>
      <c r="L2312">
        <v>282.30900000000003</v>
      </c>
      <c r="M2312">
        <v>-0.99932209999999999</v>
      </c>
      <c r="N2312">
        <v>0</v>
      </c>
      <c r="O2312">
        <v>-3.5881940000000001E-2</v>
      </c>
      <c r="P2312">
        <v>-0.99530399999999997</v>
      </c>
      <c r="Q2312">
        <v>9.3794139999999998E-2</v>
      </c>
      <c r="R2312">
        <v>-2.3929990000000002E-2</v>
      </c>
      <c r="S2312">
        <v>-3.0228120000000001</v>
      </c>
      <c r="T2312">
        <v>-0.1443352</v>
      </c>
      <c r="U2312">
        <v>-0.25671389999999999</v>
      </c>
      <c r="V2312">
        <v>1.1838629999999999E-2</v>
      </c>
      <c r="W2312">
        <v>0.10198840000000001</v>
      </c>
      <c r="X2312">
        <v>0.99471520000000002</v>
      </c>
      <c r="Y2312">
        <v>-4.8797350000000003E-2</v>
      </c>
      <c r="Z2312">
        <v>5.4614859999999998E-4</v>
      </c>
      <c r="AA2312">
        <v>0.99880860000000005</v>
      </c>
      <c r="AB2312">
        <v>29</v>
      </c>
      <c r="AC2312">
        <v>-22.8828999999999</v>
      </c>
      <c r="AD2312">
        <v>-1.10413692911478</v>
      </c>
      <c r="AE2312">
        <v>-1.9549999999999801</v>
      </c>
      <c r="AF2312">
        <v>-1.13001840722494</v>
      </c>
      <c r="AG2312">
        <v>-1.10413692911478</v>
      </c>
      <c r="AH2312">
        <v>22.885418644531899</v>
      </c>
      <c r="AI2312">
        <v>92.758812019386696</v>
      </c>
      <c r="AJ2312">
        <v>92.826810583621807</v>
      </c>
      <c r="AK2312">
        <v>22.939887673970699</v>
      </c>
      <c r="AL2312">
        <v>84.146317415429195</v>
      </c>
      <c r="AM2312">
        <v>89.318124916024104</v>
      </c>
      <c r="AN2312">
        <v>1.00000005800293</v>
      </c>
    </row>
    <row r="2313" spans="1:40" x14ac:dyDescent="0.3">
      <c r="A2313" t="str">
        <f>"20200111150000612"</f>
        <v>20200111150000612</v>
      </c>
      <c r="B2313" t="str">
        <f>"1578726000608433"</f>
        <v>1578726000608433</v>
      </c>
      <c r="C2313" t="s">
        <v>40</v>
      </c>
      <c r="D2313">
        <v>4.4651319999999997</v>
      </c>
      <c r="E2313">
        <v>0.47494829999999999</v>
      </c>
      <c r="F2313" t="s">
        <v>62</v>
      </c>
      <c r="G2313">
        <v>-242.23339999999999</v>
      </c>
      <c r="H2313" s="1">
        <v>-3.4831360000000001E-7</v>
      </c>
      <c r="I2313">
        <v>280.45229999999998</v>
      </c>
      <c r="J2313">
        <v>-220.30330000000001</v>
      </c>
      <c r="K2313">
        <v>1.1042609999999999</v>
      </c>
      <c r="L2313">
        <v>282.30290000000002</v>
      </c>
      <c r="M2313">
        <v>-0.99931499999999995</v>
      </c>
      <c r="N2313">
        <v>0</v>
      </c>
      <c r="O2313">
        <v>-3.6081099999999998E-2</v>
      </c>
      <c r="P2313">
        <v>-0.99542580000000003</v>
      </c>
      <c r="Q2313">
        <v>9.2361670000000007E-2</v>
      </c>
      <c r="R2313">
        <v>-2.4434709999999998E-2</v>
      </c>
      <c r="S2313">
        <v>-3.0222929999999999</v>
      </c>
      <c r="T2313">
        <v>-0.1510302</v>
      </c>
      <c r="U2313">
        <v>-0.25396729999999901</v>
      </c>
      <c r="V2313">
        <v>1.1505720000000001E-2</v>
      </c>
      <c r="W2313">
        <v>0.1005756</v>
      </c>
      <c r="X2313">
        <v>0.99486289999999999</v>
      </c>
      <c r="Y2313">
        <v>-4.7711660000000003E-2</v>
      </c>
      <c r="Z2313">
        <v>6.0855700000000002E-4</v>
      </c>
      <c r="AA2313">
        <v>0.998861</v>
      </c>
      <c r="AB2313">
        <v>29</v>
      </c>
      <c r="AC2313">
        <v>-21.9300999999999</v>
      </c>
      <c r="AD2313">
        <v>-1.1042613483135999</v>
      </c>
      <c r="AE2313">
        <v>-1.85060000000004</v>
      </c>
      <c r="AF2313">
        <v>-1.05544885541014</v>
      </c>
      <c r="AG2313">
        <v>-1.1042613483135999</v>
      </c>
      <c r="AH2313">
        <v>21.927389874828599</v>
      </c>
      <c r="AI2313">
        <v>92.879646347992804</v>
      </c>
      <c r="AJ2313">
        <v>92.755737353110803</v>
      </c>
      <c r="AK2313">
        <v>21.980532116727801</v>
      </c>
      <c r="AL2313">
        <v>84.227683027946</v>
      </c>
      <c r="AM2313">
        <v>89.337396331207003</v>
      </c>
      <c r="AN2313">
        <v>1.00000001135224</v>
      </c>
    </row>
    <row r="2314" spans="1:40" x14ac:dyDescent="0.3">
      <c r="A2314" t="str">
        <f>"20200111150000626"</f>
        <v>20200111150000626</v>
      </c>
      <c r="B2314" t="str">
        <f>"1578726000618195"</f>
        <v>1578726000618195</v>
      </c>
      <c r="C2314" t="s">
        <v>40</v>
      </c>
      <c r="D2314">
        <v>4.4778699999999896</v>
      </c>
      <c r="E2314">
        <v>0.4744159</v>
      </c>
      <c r="F2314" t="s">
        <v>62</v>
      </c>
      <c r="G2314">
        <v>-241.0008</v>
      </c>
      <c r="H2314" s="1">
        <v>-1.004227E-6</v>
      </c>
      <c r="I2314">
        <v>280.50959999999998</v>
      </c>
      <c r="J2314">
        <v>-220.48249999999999</v>
      </c>
      <c r="K2314">
        <v>1.1043970000000001</v>
      </c>
      <c r="L2314">
        <v>282.2962</v>
      </c>
      <c r="M2314">
        <v>-0.99930430000000003</v>
      </c>
      <c r="N2314">
        <v>0</v>
      </c>
      <c r="O2314">
        <v>-3.6365550000000003E-2</v>
      </c>
      <c r="P2314">
        <v>-0.99550059999999996</v>
      </c>
      <c r="Q2314">
        <v>9.1412919999999995E-2</v>
      </c>
      <c r="R2314">
        <v>-2.494037E-2</v>
      </c>
      <c r="S2314">
        <v>-3.0223239999999998</v>
      </c>
      <c r="T2314">
        <v>-0.16124839999999999</v>
      </c>
      <c r="U2314">
        <v>-0.26187129999999997</v>
      </c>
      <c r="V2314">
        <v>1.125342E-2</v>
      </c>
      <c r="W2314">
        <v>9.9648100000000003E-2</v>
      </c>
      <c r="X2314">
        <v>0.99495909999999999</v>
      </c>
      <c r="Y2314">
        <v>-5.001485E-2</v>
      </c>
      <c r="Z2314">
        <v>6.0340980000000001E-4</v>
      </c>
      <c r="AA2314">
        <v>0.99874830000000003</v>
      </c>
      <c r="AB2314">
        <v>29</v>
      </c>
      <c r="AC2314">
        <v>-20.5183</v>
      </c>
      <c r="AD2314">
        <v>-1.1043980042270001</v>
      </c>
      <c r="AE2314">
        <v>-1.7866000000000199</v>
      </c>
      <c r="AF2314">
        <v>-1.0362537979747</v>
      </c>
      <c r="AG2314">
        <v>-1.1043980042270001</v>
      </c>
      <c r="AH2314">
        <v>20.5107250849276</v>
      </c>
      <c r="AI2314">
        <v>93.078190854616594</v>
      </c>
      <c r="AJ2314">
        <v>92.892268756260407</v>
      </c>
      <c r="AK2314">
        <v>20.566559274585401</v>
      </c>
      <c r="AL2314">
        <v>84.281093104897707</v>
      </c>
      <c r="AM2314">
        <v>89.351987454778794</v>
      </c>
      <c r="AN2314">
        <v>0.99999999698405795</v>
      </c>
    </row>
    <row r="2315" spans="1:40" x14ac:dyDescent="0.3">
      <c r="A2315" t="str">
        <f>"20200111150000645"</f>
        <v>20200111150000645</v>
      </c>
      <c r="B2315" t="str">
        <f>"1578726000627953"</f>
        <v>1578726000627953</v>
      </c>
      <c r="C2315" t="s">
        <v>40</v>
      </c>
      <c r="D2315">
        <v>4.4652560000000001</v>
      </c>
      <c r="E2315">
        <v>0.47379369999999998</v>
      </c>
      <c r="F2315" t="s">
        <v>62</v>
      </c>
      <c r="G2315">
        <v>-241.9074</v>
      </c>
      <c r="H2315" s="1">
        <v>-5.2175619999999996E-7</v>
      </c>
      <c r="I2315">
        <v>280.39580000000001</v>
      </c>
      <c r="J2315">
        <v>-220.7389</v>
      </c>
      <c r="K2315">
        <v>1.1045969999999901</v>
      </c>
      <c r="L2315">
        <v>282.28640000000001</v>
      </c>
      <c r="M2315">
        <v>-0.99928300000000003</v>
      </c>
      <c r="N2315">
        <v>0</v>
      </c>
      <c r="O2315">
        <v>-3.6947300000000002E-2</v>
      </c>
      <c r="P2315">
        <v>-0.99555280000000002</v>
      </c>
      <c r="Q2315">
        <v>9.0102639999999998E-2</v>
      </c>
      <c r="R2315">
        <v>-2.7502970000000002E-2</v>
      </c>
      <c r="S2315">
        <v>-3.0211489999999999</v>
      </c>
      <c r="T2315">
        <v>-0.15573199999999901</v>
      </c>
      <c r="U2315">
        <v>-0.26797490000000002</v>
      </c>
      <c r="V2315">
        <v>9.2283959999999998E-3</v>
      </c>
      <c r="W2315">
        <v>9.8366980000000007E-2</v>
      </c>
      <c r="X2315">
        <v>0.99510739999999998</v>
      </c>
      <c r="Y2315">
        <v>-5.1469250000000001E-2</v>
      </c>
      <c r="Z2315">
        <v>5.7543510000000004E-4</v>
      </c>
      <c r="AA2315">
        <v>0.99867439999999996</v>
      </c>
      <c r="AB2315">
        <v>29</v>
      </c>
      <c r="AC2315">
        <v>-21.168499999999899</v>
      </c>
      <c r="AD2315">
        <v>-1.1045975217562001</v>
      </c>
      <c r="AE2315">
        <v>-1.8906000000000001</v>
      </c>
      <c r="AF2315">
        <v>-1.10418062068533</v>
      </c>
      <c r="AG2315">
        <v>-1.1045975217562001</v>
      </c>
      <c r="AH2315">
        <v>21.166722156880201</v>
      </c>
      <c r="AI2315">
        <v>92.9832542028701</v>
      </c>
      <c r="AJ2315">
        <v>92.986177798477499</v>
      </c>
      <c r="AK2315">
        <v>21.224266239253801</v>
      </c>
      <c r="AL2315">
        <v>84.354858225174596</v>
      </c>
      <c r="AM2315">
        <v>89.4686674168845</v>
      </c>
      <c r="AN2315">
        <v>0.99999998179090599</v>
      </c>
    </row>
    <row r="2316" spans="1:40" x14ac:dyDescent="0.3">
      <c r="A2316" t="str">
        <f>"20200111150001505"</f>
        <v>20200111150001505</v>
      </c>
      <c r="B2316" t="str">
        <f>"1578726001498545"</f>
        <v>1578726001498545</v>
      </c>
      <c r="C2316" t="s">
        <v>40</v>
      </c>
      <c r="D2316">
        <v>3.9986160000000002</v>
      </c>
      <c r="E2316">
        <v>0.55236919999999901</v>
      </c>
      <c r="F2316" t="s">
        <v>62</v>
      </c>
      <c r="G2316">
        <v>-242.78790000000001</v>
      </c>
      <c r="H2316" s="1">
        <v>-5.3215559999999997E-8</v>
      </c>
      <c r="I2316">
        <v>280.23349999999999</v>
      </c>
      <c r="J2316">
        <v>-232.4614</v>
      </c>
      <c r="K2316">
        <v>1.103853</v>
      </c>
      <c r="L2316">
        <v>281.63479999999998</v>
      </c>
      <c r="M2316">
        <v>-0.99831210000000004</v>
      </c>
      <c r="N2316">
        <v>0</v>
      </c>
      <c r="O2316">
        <v>-5.737333E-2</v>
      </c>
      <c r="P2316">
        <v>-0.9948958</v>
      </c>
      <c r="Q2316">
        <v>8.2612309999999994E-2</v>
      </c>
      <c r="R2316">
        <v>-5.7946699999999997E-2</v>
      </c>
      <c r="S2316">
        <v>-3.019333</v>
      </c>
      <c r="T2316">
        <v>-0.15126099999999901</v>
      </c>
      <c r="U2316">
        <v>-0.28112789999999999</v>
      </c>
      <c r="V2316">
        <v>-6.8785799999999996E-4</v>
      </c>
      <c r="W2316">
        <v>9.1601360000000007E-2</v>
      </c>
      <c r="X2316">
        <v>0.99579549999999994</v>
      </c>
      <c r="Y2316">
        <v>-3.545417E-2</v>
      </c>
      <c r="Z2316">
        <v>1.9776849999999999E-3</v>
      </c>
      <c r="AA2316">
        <v>0.99936930000000002</v>
      </c>
      <c r="AB2316">
        <v>32</v>
      </c>
      <c r="AC2316">
        <v>-10.326499999999999</v>
      </c>
      <c r="AD2316">
        <v>-1.1038530532155599</v>
      </c>
      <c r="AE2316">
        <v>-1.40129999999999</v>
      </c>
      <c r="AF2316">
        <v>-0.79755329443821199</v>
      </c>
      <c r="AG2316">
        <v>-1.1038530532155599</v>
      </c>
      <c r="AH2316">
        <v>10.2746084496625</v>
      </c>
      <c r="AI2316">
        <v>96.113802755534905</v>
      </c>
      <c r="AJ2316">
        <v>94.438610767343107</v>
      </c>
      <c r="AK2316">
        <v>10.3644662966521</v>
      </c>
      <c r="AL2316">
        <v>84.744261036046296</v>
      </c>
      <c r="AM2316">
        <v>90.039577758722402</v>
      </c>
      <c r="AN2316">
        <v>0.99999998006136304</v>
      </c>
    </row>
    <row r="2317" spans="1:40" x14ac:dyDescent="0.3">
      <c r="A2317" t="str">
        <f>"20200111150001520"</f>
        <v>20200111150001520</v>
      </c>
      <c r="B2317" t="str">
        <f>"1578726001508305"</f>
        <v>1578726001508305</v>
      </c>
      <c r="C2317" t="s">
        <v>40</v>
      </c>
      <c r="D2317">
        <v>4.5073559999999997</v>
      </c>
      <c r="E2317">
        <v>0.55236919999999901</v>
      </c>
      <c r="F2317" t="s">
        <v>62</v>
      </c>
      <c r="G2317">
        <v>-270.83280000000002</v>
      </c>
      <c r="H2317" s="1">
        <v>-1.0979680000000001E-6</v>
      </c>
      <c r="I2317">
        <v>284.71609999999998</v>
      </c>
      <c r="J2317">
        <v>-232.6712</v>
      </c>
      <c r="K2317">
        <v>1.1038049999999999</v>
      </c>
      <c r="L2317">
        <v>281.62299999999999</v>
      </c>
      <c r="M2317">
        <v>-0.99833150000000004</v>
      </c>
      <c r="N2317">
        <v>0</v>
      </c>
      <c r="O2317">
        <v>-5.7033559999999997E-2</v>
      </c>
      <c r="P2317">
        <v>-0.99491200000000002</v>
      </c>
      <c r="Q2317">
        <v>8.2204849999999996E-2</v>
      </c>
      <c r="R2317">
        <v>-5.8245570000000003E-2</v>
      </c>
      <c r="S2317">
        <v>-3.0368650000000001</v>
      </c>
      <c r="T2317">
        <v>-8.7363239999999995E-2</v>
      </c>
      <c r="U2317">
        <v>0.243866</v>
      </c>
      <c r="V2317">
        <v>-1.3161099999999999E-3</v>
      </c>
      <c r="W2317">
        <v>9.119679E-2</v>
      </c>
      <c r="X2317">
        <v>0.99583200000000005</v>
      </c>
      <c r="Y2317">
        <v>0.13668710000000001</v>
      </c>
      <c r="Z2317">
        <v>3.6005949999999998E-3</v>
      </c>
      <c r="AA2317">
        <v>0.99060769999999998</v>
      </c>
      <c r="AB2317">
        <v>32</v>
      </c>
      <c r="AC2317">
        <v>-38.1616</v>
      </c>
      <c r="AD2317">
        <v>-1.103806097968</v>
      </c>
      <c r="AE2317">
        <v>3.09309999999999</v>
      </c>
      <c r="AF2317">
        <v>5.2602731437836301</v>
      </c>
      <c r="AG2317">
        <v>-1.103806097968</v>
      </c>
      <c r="AH2317">
        <v>37.891565915247398</v>
      </c>
      <c r="AI2317">
        <v>91.652750495666396</v>
      </c>
      <c r="AJ2317">
        <v>82.096463469745103</v>
      </c>
      <c r="AK2317">
        <v>38.270871808186698</v>
      </c>
      <c r="AL2317">
        <v>84.767538618874099</v>
      </c>
      <c r="AM2317">
        <v>90.0757231184284</v>
      </c>
      <c r="AN2317">
        <v>0.99999997943791796</v>
      </c>
    </row>
    <row r="2318" spans="1:40" x14ac:dyDescent="0.3">
      <c r="A2318" t="str">
        <f>"20200111150001574"</f>
        <v>20200111150001574</v>
      </c>
      <c r="B2318" t="str">
        <f>"1578726001567841"</f>
        <v>1578726001567841</v>
      </c>
      <c r="C2318" t="s">
        <v>40</v>
      </c>
      <c r="D2318">
        <v>4.7391959999999997</v>
      </c>
      <c r="E2318">
        <v>0.57181289999999996</v>
      </c>
      <c r="F2318" t="s">
        <v>62</v>
      </c>
      <c r="G2318">
        <v>-270.5111</v>
      </c>
      <c r="H2318" s="1">
        <v>-1.266322E-6</v>
      </c>
      <c r="I2318">
        <v>284.6506</v>
      </c>
      <c r="J2318">
        <v>-233.43520000000001</v>
      </c>
      <c r="K2318">
        <v>1.1035950000000001</v>
      </c>
      <c r="L2318">
        <v>281.5813</v>
      </c>
      <c r="M2318">
        <v>-0.9984229</v>
      </c>
      <c r="N2318">
        <v>0</v>
      </c>
      <c r="O2318">
        <v>-5.5411250000000002E-2</v>
      </c>
      <c r="P2318">
        <v>-0.99488350000000003</v>
      </c>
      <c r="Q2318">
        <v>8.1380079999999994E-2</v>
      </c>
      <c r="R2318">
        <v>-5.9868850000000001E-2</v>
      </c>
      <c r="S2318">
        <v>-3.03688</v>
      </c>
      <c r="T2318">
        <v>-8.8587280000000004E-2</v>
      </c>
      <c r="U2318">
        <v>0.242981</v>
      </c>
      <c r="V2318">
        <v>-4.5169260000000001E-3</v>
      </c>
      <c r="W2318">
        <v>9.0373369999999995E-2</v>
      </c>
      <c r="X2318">
        <v>0.9958977</v>
      </c>
      <c r="Y2318">
        <v>0.1347892</v>
      </c>
      <c r="Z2318">
        <v>3.5761730000000002E-3</v>
      </c>
      <c r="AA2318">
        <v>0.99086790000000002</v>
      </c>
      <c r="AB2318">
        <v>32</v>
      </c>
      <c r="AC2318">
        <v>-37.075899999999898</v>
      </c>
      <c r="AD2318">
        <v>-1.103596266322</v>
      </c>
      <c r="AE2318">
        <v>3.0692999999999899</v>
      </c>
      <c r="AF2318">
        <v>5.1145887659119698</v>
      </c>
      <c r="AG2318">
        <v>-1.103596266322</v>
      </c>
      <c r="AH2318">
        <v>36.816454298087102</v>
      </c>
      <c r="AI2318">
        <v>91.700640450052703</v>
      </c>
      <c r="AJ2318">
        <v>82.0910168440939</v>
      </c>
      <c r="AK2318">
        <v>37.186398723815302</v>
      </c>
      <c r="AL2318">
        <v>84.814912791442794</v>
      </c>
      <c r="AM2318">
        <v>90.259865066053706</v>
      </c>
      <c r="AN2318">
        <v>0.99999998874546803</v>
      </c>
    </row>
    <row r="2319" spans="1:40" x14ac:dyDescent="0.3">
      <c r="A2319" t="str">
        <f>"20200111150001587"</f>
        <v>20200111150001587</v>
      </c>
      <c r="B2319" t="str">
        <f>"1578726001578577"</f>
        <v>1578726001578577</v>
      </c>
      <c r="C2319" t="s">
        <v>40</v>
      </c>
      <c r="D2319">
        <v>4.6827329999999998</v>
      </c>
      <c r="E2319">
        <v>0.62749630000000001</v>
      </c>
      <c r="F2319" t="s">
        <v>41</v>
      </c>
      <c r="G2319">
        <v>-234.21039999999999</v>
      </c>
      <c r="H2319">
        <v>0.94062460000000003</v>
      </c>
      <c r="I2319">
        <v>281.68009999999998</v>
      </c>
      <c r="J2319">
        <v>-233.62219999999999</v>
      </c>
      <c r="K2319">
        <v>1.1035330000000001</v>
      </c>
      <c r="L2319">
        <v>281.57139999999998</v>
      </c>
      <c r="M2319">
        <v>-0.99845099999999998</v>
      </c>
      <c r="N2319">
        <v>0</v>
      </c>
      <c r="O2319">
        <v>-5.4904309999999998E-2</v>
      </c>
      <c r="P2319">
        <v>-0.99487630000000005</v>
      </c>
      <c r="Q2319">
        <v>8.1548239999999994E-2</v>
      </c>
      <c r="R2319">
        <v>-5.9760800000000003E-2</v>
      </c>
      <c r="S2319">
        <v>-3.092285</v>
      </c>
      <c r="T2319">
        <v>-0.65012040000000004</v>
      </c>
      <c r="U2319">
        <v>0.39358520000000002</v>
      </c>
      <c r="V2319">
        <v>-4.9019809999999997E-3</v>
      </c>
      <c r="W2319">
        <v>9.0537670000000001E-2</v>
      </c>
      <c r="X2319">
        <v>0.99588100000000002</v>
      </c>
      <c r="Y2319">
        <v>0.1755708</v>
      </c>
      <c r="Z2319">
        <v>2.956514E-2</v>
      </c>
      <c r="AA2319">
        <v>0.98402270000000003</v>
      </c>
      <c r="AB2319">
        <v>32</v>
      </c>
      <c r="AC2319">
        <v>-0.58819999999999995</v>
      </c>
      <c r="AD2319">
        <v>-0.16290840000000001</v>
      </c>
      <c r="AE2319">
        <v>0.10869999999999801</v>
      </c>
      <c r="AF2319">
        <v>0.131107275787224</v>
      </c>
      <c r="AG2319">
        <v>-0.16290840000000001</v>
      </c>
      <c r="AH2319">
        <v>0.54120120150873197</v>
      </c>
      <c r="AI2319">
        <v>106.306872353225</v>
      </c>
      <c r="AJ2319">
        <v>76.382306250672698</v>
      </c>
      <c r="AK2319">
        <v>0.58019566102255804</v>
      </c>
      <c r="AL2319">
        <v>84.805460573017896</v>
      </c>
      <c r="AM2319">
        <v>90.282022203738904</v>
      </c>
      <c r="AN2319">
        <v>1.0000000326338701</v>
      </c>
    </row>
    <row r="2320" spans="1:40" x14ac:dyDescent="0.3">
      <c r="A2320" t="str">
        <f>"20200111150001605"</f>
        <v>20200111150001605</v>
      </c>
      <c r="B2320" t="str">
        <f>"1578726001598098"</f>
        <v>1578726001598098</v>
      </c>
      <c r="C2320" t="s">
        <v>40</v>
      </c>
      <c r="D2320">
        <v>6.8696520000000003</v>
      </c>
      <c r="E2320">
        <v>0.62749630000000001</v>
      </c>
      <c r="F2320" t="s">
        <v>62</v>
      </c>
      <c r="G2320">
        <v>-238.26490000000001</v>
      </c>
      <c r="H2320" s="1">
        <v>2.9401419999999999E-6</v>
      </c>
      <c r="I2320">
        <v>282.81459999999998</v>
      </c>
      <c r="J2320">
        <v>-233.89189999999999</v>
      </c>
      <c r="K2320">
        <v>1.1034299999999999</v>
      </c>
      <c r="L2320">
        <v>281.55739999999997</v>
      </c>
      <c r="M2320">
        <v>-0.99849540000000003</v>
      </c>
      <c r="N2320">
        <v>0</v>
      </c>
      <c r="O2320">
        <v>-5.4091430000000003E-2</v>
      </c>
      <c r="P2320">
        <v>-0.99487979999999998</v>
      </c>
      <c r="Q2320">
        <v>8.1894939999999999E-2</v>
      </c>
      <c r="R2320">
        <v>-5.9223949999999997E-2</v>
      </c>
      <c r="S2320">
        <v>-3.1266479999999999</v>
      </c>
      <c r="T2320">
        <v>-0.74317180000000005</v>
      </c>
      <c r="U2320">
        <v>0.83724979999999904</v>
      </c>
      <c r="V2320">
        <v>-5.1563529999999998E-3</v>
      </c>
      <c r="W2320">
        <v>9.0876739999999998E-2</v>
      </c>
      <c r="X2320">
        <v>0.99584879999999998</v>
      </c>
      <c r="Y2320">
        <v>0.30126009999999998</v>
      </c>
      <c r="Z2320">
        <v>4.7211049999999997E-2</v>
      </c>
      <c r="AA2320">
        <v>0.95237260000000001</v>
      </c>
      <c r="AB2320">
        <v>32</v>
      </c>
      <c r="AC2320">
        <v>-4.37300000000001</v>
      </c>
      <c r="AD2320">
        <v>-1.1034270598579901</v>
      </c>
      <c r="AE2320">
        <v>1.2572000000000101</v>
      </c>
      <c r="AF2320">
        <v>1.40904684951463</v>
      </c>
      <c r="AG2320">
        <v>-1.1034270598579901</v>
      </c>
      <c r="AH2320">
        <v>4.0598380847854001</v>
      </c>
      <c r="AI2320">
        <v>104.40050954197901</v>
      </c>
      <c r="AJ2320">
        <v>70.8596607612794</v>
      </c>
      <c r="AK2320">
        <v>4.4368062359345801</v>
      </c>
      <c r="AL2320">
        <v>84.785952710568793</v>
      </c>
      <c r="AM2320">
        <v>90.296666144888306</v>
      </c>
      <c r="AN2320">
        <v>1.00000000115536</v>
      </c>
    </row>
    <row r="2321" spans="1:40" x14ac:dyDescent="0.3">
      <c r="A2321" t="str">
        <f>"20200111150001618"</f>
        <v>20200111150001618</v>
      </c>
      <c r="B2321" t="str">
        <f>"1578726001607857"</f>
        <v>1578726001607857</v>
      </c>
      <c r="C2321" t="s">
        <v>40</v>
      </c>
      <c r="D2321">
        <v>4.3363199999999997</v>
      </c>
      <c r="E2321">
        <v>0.62749630000000001</v>
      </c>
      <c r="F2321" t="s">
        <v>62</v>
      </c>
      <c r="G2321">
        <v>-238.53139999999999</v>
      </c>
      <c r="H2321" s="1">
        <v>3.082618E-6</v>
      </c>
      <c r="I2321">
        <v>282.7998</v>
      </c>
      <c r="J2321">
        <v>-234.0806</v>
      </c>
      <c r="K2321">
        <v>1.103356</v>
      </c>
      <c r="L2321">
        <v>281.54770000000002</v>
      </c>
      <c r="M2321">
        <v>-0.99852879999999999</v>
      </c>
      <c r="N2321">
        <v>0</v>
      </c>
      <c r="O2321">
        <v>-5.3472279999999997E-2</v>
      </c>
      <c r="P2321">
        <v>-0.99492530000000001</v>
      </c>
      <c r="Q2321">
        <v>8.1713140000000004E-2</v>
      </c>
      <c r="R2321">
        <v>-5.8707099999999998E-2</v>
      </c>
      <c r="S2321">
        <v>-3.1265109999999998</v>
      </c>
      <c r="T2321">
        <v>-0.74358080000000004</v>
      </c>
      <c r="U2321">
        <v>0.83724979999999904</v>
      </c>
      <c r="V2321">
        <v>-5.2414419999999998E-3</v>
      </c>
      <c r="W2321">
        <v>9.0689640000000002E-2</v>
      </c>
      <c r="X2321">
        <v>0.99586540000000001</v>
      </c>
      <c r="Y2321">
        <v>0.3007013</v>
      </c>
      <c r="Z2321">
        <v>4.703073E-2</v>
      </c>
      <c r="AA2321">
        <v>0.95255800000000002</v>
      </c>
      <c r="AB2321">
        <v>32</v>
      </c>
      <c r="AC2321">
        <v>-4.4507999999999797</v>
      </c>
      <c r="AD2321">
        <v>-1.103352917382</v>
      </c>
      <c r="AE2321">
        <v>1.25209999999998</v>
      </c>
      <c r="AF2321">
        <v>1.4081234898636199</v>
      </c>
      <c r="AG2321">
        <v>-1.103352917382</v>
      </c>
      <c r="AH2321">
        <v>4.1416216071074503</v>
      </c>
      <c r="AI2321">
        <v>104.156243974739</v>
      </c>
      <c r="AJ2321">
        <v>71.222312217036006</v>
      </c>
      <c r="AK2321">
        <v>4.5114553039413297</v>
      </c>
      <c r="AL2321">
        <v>84.796717138650493</v>
      </c>
      <c r="AM2321">
        <v>90.301556547895103</v>
      </c>
      <c r="AN2321">
        <v>0.99999998921736399</v>
      </c>
    </row>
    <row r="2322" spans="1:40" x14ac:dyDescent="0.3">
      <c r="A2322" t="str">
        <f>"20200111150001639"</f>
        <v>20200111150001639</v>
      </c>
      <c r="B2322" t="str">
        <f>"1578726001628353"</f>
        <v>1578726001628353</v>
      </c>
      <c r="C2322" t="s">
        <v>40</v>
      </c>
      <c r="D2322">
        <v>5.1207419999999999</v>
      </c>
      <c r="E2322">
        <v>0.60329969999999999</v>
      </c>
      <c r="F2322" t="s">
        <v>41</v>
      </c>
      <c r="G2322">
        <v>-234.7877</v>
      </c>
      <c r="H2322">
        <v>0.93492649999999999</v>
      </c>
      <c r="I2322">
        <v>281.73750000000001</v>
      </c>
      <c r="J2322">
        <v>-234.3588</v>
      </c>
      <c r="K2322">
        <v>1.1032519999999999</v>
      </c>
      <c r="L2322">
        <v>281.53379999999999</v>
      </c>
      <c r="M2322">
        <v>-0.99858219999999998</v>
      </c>
      <c r="N2322">
        <v>0</v>
      </c>
      <c r="O2322">
        <v>-5.246762E-2</v>
      </c>
      <c r="P2322">
        <v>-0.99503359999999996</v>
      </c>
      <c r="Q2322">
        <v>8.0781370000000005E-2</v>
      </c>
      <c r="R2322">
        <v>-5.8158840000000003E-2</v>
      </c>
      <c r="S2322">
        <v>-3.125931</v>
      </c>
      <c r="T2322">
        <v>-0.74451239999999996</v>
      </c>
      <c r="U2322">
        <v>0.83874509999999902</v>
      </c>
      <c r="V2322">
        <v>-5.671204E-3</v>
      </c>
      <c r="W2322">
        <v>8.9751239999999996E-2</v>
      </c>
      <c r="X2322">
        <v>0.9959481</v>
      </c>
      <c r="Y2322">
        <v>0.30022850000000001</v>
      </c>
      <c r="Z2322">
        <v>4.680641E-2</v>
      </c>
      <c r="AA2322">
        <v>0.95271830000000002</v>
      </c>
      <c r="AB2322">
        <v>32</v>
      </c>
      <c r="AC2322">
        <v>-0.42889999999999801</v>
      </c>
      <c r="AD2322">
        <v>-0.16832549999999999</v>
      </c>
      <c r="AE2322">
        <v>0.203700000000026</v>
      </c>
      <c r="AF2322">
        <v>0.20070048071423999</v>
      </c>
      <c r="AG2322">
        <v>-0.16832549999999999</v>
      </c>
      <c r="AH2322">
        <v>0.37099589930209698</v>
      </c>
      <c r="AI2322">
        <v>111.75501004437901</v>
      </c>
      <c r="AJ2322">
        <v>61.587603656202397</v>
      </c>
      <c r="AK2322">
        <v>0.454149880775222</v>
      </c>
      <c r="AL2322">
        <v>84.850703892377894</v>
      </c>
      <c r="AM2322">
        <v>90.326254492610602</v>
      </c>
      <c r="AN2322">
        <v>1.0000000327649701</v>
      </c>
    </row>
    <row r="2323" spans="1:40" x14ac:dyDescent="0.3">
      <c r="A2323" t="str">
        <f>"20200111150001652"</f>
        <v>20200111150001652</v>
      </c>
      <c r="B2323" t="str">
        <f>"1578726001647873"</f>
        <v>1578726001647873</v>
      </c>
      <c r="C2323" t="s">
        <v>40</v>
      </c>
      <c r="D2323">
        <v>4.3278919999999896</v>
      </c>
      <c r="E2323">
        <v>0.59904080000000004</v>
      </c>
      <c r="F2323" t="s">
        <v>69</v>
      </c>
      <c r="G2323">
        <v>-383.17739999999998</v>
      </c>
      <c r="H2323">
        <v>5.795083</v>
      </c>
      <c r="I2323">
        <v>313.1961</v>
      </c>
      <c r="J2323">
        <v>-234.56270000000001</v>
      </c>
      <c r="K2323">
        <v>1.103178</v>
      </c>
      <c r="L2323">
        <v>281.52390000000003</v>
      </c>
      <c r="M2323">
        <v>-0.99862459999999997</v>
      </c>
      <c r="N2323">
        <v>0</v>
      </c>
      <c r="O2323">
        <v>-5.1655949999999999E-2</v>
      </c>
      <c r="P2323">
        <v>-0.99508079999999999</v>
      </c>
      <c r="Q2323">
        <v>8.0332310000000004E-2</v>
      </c>
      <c r="R2323">
        <v>-5.7974909999999998E-2</v>
      </c>
      <c r="S2323">
        <v>-3.0450439999999999</v>
      </c>
      <c r="T2323">
        <v>9.6004249999999999E-2</v>
      </c>
      <c r="U2323">
        <v>0.64785769999999998</v>
      </c>
      <c r="V2323">
        <v>-6.2812369999999899E-3</v>
      </c>
      <c r="W2323">
        <v>8.9299130000000004E-2</v>
      </c>
      <c r="X2323">
        <v>0.99598500000000001</v>
      </c>
      <c r="Y2323">
        <v>0.25820179999999998</v>
      </c>
      <c r="Z2323">
        <v>-5.6362010000000004E-3</v>
      </c>
      <c r="AA2323">
        <v>0.96607460000000001</v>
      </c>
      <c r="AB2323">
        <v>32</v>
      </c>
      <c r="AC2323">
        <v>-148.614699999999</v>
      </c>
      <c r="AD2323">
        <v>4.6919050000000002</v>
      </c>
      <c r="AE2323">
        <v>31.672199999999901</v>
      </c>
      <c r="AF2323">
        <v>39.2696146332624</v>
      </c>
      <c r="AG2323">
        <v>4.6919050000000002</v>
      </c>
      <c r="AH2323">
        <v>146.64034102601801</v>
      </c>
      <c r="AI2323">
        <v>88.229725473646397</v>
      </c>
      <c r="AJ2323">
        <v>75.008219570635703</v>
      </c>
      <c r="AK2323">
        <v>151.87990723660801</v>
      </c>
      <c r="AL2323">
        <v>84.876711919340906</v>
      </c>
      <c r="AM2323">
        <v>90.361334356536105</v>
      </c>
      <c r="AN2323">
        <v>0.99999995439100198</v>
      </c>
    </row>
    <row r="2324" spans="1:40" x14ac:dyDescent="0.3">
      <c r="A2324" t="str">
        <f>"20200111150001666"</f>
        <v>20200111150001666</v>
      </c>
      <c r="B2324" t="str">
        <f>"1578726001658610"</f>
        <v>1578726001658610</v>
      </c>
      <c r="C2324" t="s">
        <v>40</v>
      </c>
      <c r="D2324">
        <v>4.3181129999999897</v>
      </c>
      <c r="E2324">
        <v>0.59824619999999995</v>
      </c>
      <c r="F2324" t="s">
        <v>70</v>
      </c>
      <c r="G2324">
        <v>-442.06360000000001</v>
      </c>
      <c r="H2324">
        <v>4.8520430000000001</v>
      </c>
      <c r="I2324">
        <v>323.3766</v>
      </c>
      <c r="J2324">
        <v>-234.75450000000001</v>
      </c>
      <c r="K2324">
        <v>1.103111</v>
      </c>
      <c r="L2324">
        <v>281.5147</v>
      </c>
      <c r="M2324">
        <v>-0.99866600000000005</v>
      </c>
      <c r="N2324">
        <v>0</v>
      </c>
      <c r="O2324">
        <v>-5.0849569999999997E-2</v>
      </c>
      <c r="P2324">
        <v>-0.99520129999999996</v>
      </c>
      <c r="Q2324">
        <v>7.9356250000000003E-2</v>
      </c>
      <c r="R2324">
        <v>-5.7245459999999998E-2</v>
      </c>
      <c r="S2324">
        <v>-3.046173</v>
      </c>
      <c r="T2324">
        <v>5.5034279999999998E-2</v>
      </c>
      <c r="U2324">
        <v>0.61441040000000002</v>
      </c>
      <c r="V2324">
        <v>-6.3397330000000002E-3</v>
      </c>
      <c r="W2324">
        <v>8.8320259999999998E-2</v>
      </c>
      <c r="X2324">
        <v>0.99607190000000001</v>
      </c>
      <c r="Y2324">
        <v>0.2472625</v>
      </c>
      <c r="Z2324">
        <v>-3.12152E-3</v>
      </c>
      <c r="AA2324">
        <v>0.96894349999999996</v>
      </c>
      <c r="AB2324">
        <v>32</v>
      </c>
      <c r="AC2324">
        <v>-207.3091</v>
      </c>
      <c r="AD2324">
        <v>3.7489319999999999</v>
      </c>
      <c r="AE2324">
        <v>41.861899999999899</v>
      </c>
      <c r="AF2324">
        <v>52.333299334298196</v>
      </c>
      <c r="AG2324">
        <v>3.7489319999999999</v>
      </c>
      <c r="AH2324">
        <v>204.84777678949899</v>
      </c>
      <c r="AI2324">
        <v>88.9841626132649</v>
      </c>
      <c r="AJ2324">
        <v>75.668946157605404</v>
      </c>
      <c r="AK2324">
        <v>211.460257178398</v>
      </c>
      <c r="AL2324">
        <v>84.933019490738602</v>
      </c>
      <c r="AM2324">
        <v>90.364667489694199</v>
      </c>
      <c r="AN2324">
        <v>0.99999994525529301</v>
      </c>
    </row>
    <row r="2325" spans="1:40" x14ac:dyDescent="0.3">
      <c r="A2325" t="str">
        <f>"20200111150001684"</f>
        <v>20200111150001684</v>
      </c>
      <c r="B2325" t="str">
        <f>"1578726001678130"</f>
        <v>1578726001678130</v>
      </c>
      <c r="C2325" t="s">
        <v>40</v>
      </c>
      <c r="D2325">
        <v>4.3864320000000001</v>
      </c>
      <c r="E2325">
        <v>0.59730349999999999</v>
      </c>
      <c r="F2325" t="s">
        <v>47</v>
      </c>
      <c r="G2325">
        <v>-336.47559999999999</v>
      </c>
      <c r="H2325">
        <v>2.3514569999999999</v>
      </c>
      <c r="I2325">
        <v>301.88839999999999</v>
      </c>
      <c r="J2325">
        <v>-235.01060000000001</v>
      </c>
      <c r="K2325">
        <v>1.103019</v>
      </c>
      <c r="L2325">
        <v>281.5027</v>
      </c>
      <c r="M2325">
        <v>-0.99872419999999995</v>
      </c>
      <c r="N2325">
        <v>0</v>
      </c>
      <c r="O2325">
        <v>-4.9696860000000002E-2</v>
      </c>
      <c r="P2325">
        <v>-0.99529800000000002</v>
      </c>
      <c r="Q2325">
        <v>7.8823539999999997E-2</v>
      </c>
      <c r="R2325">
        <v>-5.6295949999999997E-2</v>
      </c>
      <c r="S2325">
        <v>-3.0465849999999999</v>
      </c>
      <c r="T2325">
        <v>3.739083E-2</v>
      </c>
      <c r="U2325">
        <v>0.61019899999999905</v>
      </c>
      <c r="V2325">
        <v>-6.5191049999999999E-3</v>
      </c>
      <c r="W2325">
        <v>8.7784000000000001E-2</v>
      </c>
      <c r="X2325">
        <v>0.99611819999999895</v>
      </c>
      <c r="Y2325">
        <v>0.24485599999999999</v>
      </c>
      <c r="Z2325">
        <v>-2.0922290000000001E-3</v>
      </c>
      <c r="AA2325">
        <v>0.96955720000000001</v>
      </c>
      <c r="AB2325">
        <v>32</v>
      </c>
      <c r="AC2325">
        <v>-101.46499999999899</v>
      </c>
      <c r="AD2325">
        <v>1.2484379999999999</v>
      </c>
      <c r="AE2325">
        <v>20.3856999999999</v>
      </c>
      <c r="AF2325">
        <v>25.399506369854599</v>
      </c>
      <c r="AG2325">
        <v>1.2484379999999999</v>
      </c>
      <c r="AH2325">
        <v>100.311871436313</v>
      </c>
      <c r="AI2325">
        <v>89.308770379465699</v>
      </c>
      <c r="AJ2325">
        <v>75.7910353442728</v>
      </c>
      <c r="AK2325">
        <v>103.485095894663</v>
      </c>
      <c r="AL2325">
        <v>84.963865005286905</v>
      </c>
      <c r="AM2325">
        <v>90.374967418709701</v>
      </c>
      <c r="AN2325">
        <v>0.99999999887862001</v>
      </c>
    </row>
    <row r="2326" spans="1:40" x14ac:dyDescent="0.3">
      <c r="A2326" t="str">
        <f>"20200111150001706"</f>
        <v>20200111150001706</v>
      </c>
      <c r="B2326" t="str">
        <f>"1578726001698626"</f>
        <v>1578726001698626</v>
      </c>
      <c r="C2326" t="s">
        <v>40</v>
      </c>
      <c r="D2326">
        <v>4.419575</v>
      </c>
      <c r="E2326">
        <v>0.59605769999999902</v>
      </c>
      <c r="F2326" t="s">
        <v>47</v>
      </c>
      <c r="G2326">
        <v>-337.5985</v>
      </c>
      <c r="H2326">
        <v>1.923387</v>
      </c>
      <c r="I2326">
        <v>301.88839999999999</v>
      </c>
      <c r="J2326">
        <v>-235.33199999999999</v>
      </c>
      <c r="K2326">
        <v>1.102911</v>
      </c>
      <c r="L2326">
        <v>281.48829999999998</v>
      </c>
      <c r="M2326">
        <v>-0.99880069999999999</v>
      </c>
      <c r="N2326">
        <v>0</v>
      </c>
      <c r="O2326">
        <v>-4.8134690000000001E-2</v>
      </c>
      <c r="P2326">
        <v>-0.99538579999999999</v>
      </c>
      <c r="Q2326">
        <v>7.910971E-2</v>
      </c>
      <c r="R2326">
        <v>-5.4304749999999999E-2</v>
      </c>
      <c r="S2326">
        <v>-3.046478</v>
      </c>
      <c r="T2326">
        <v>2.4364230000000001E-2</v>
      </c>
      <c r="U2326">
        <v>0.60537719999999995</v>
      </c>
      <c r="V2326">
        <v>-6.0610660000000004E-3</v>
      </c>
      <c r="W2326">
        <v>8.8063299999999997E-2</v>
      </c>
      <c r="X2326">
        <v>0.99609639999999999</v>
      </c>
      <c r="Y2326">
        <v>0.2418815</v>
      </c>
      <c r="Z2326">
        <v>-1.339427E-3</v>
      </c>
      <c r="AA2326">
        <v>0.97030479999999997</v>
      </c>
      <c r="AB2326">
        <v>32</v>
      </c>
      <c r="AC2326">
        <v>-102.26649999999999</v>
      </c>
      <c r="AD2326">
        <v>0.82047599999999998</v>
      </c>
      <c r="AE2326">
        <v>20.400099999999998</v>
      </c>
      <c r="AF2326">
        <v>25.2976490973995</v>
      </c>
      <c r="AG2326">
        <v>0.82047599999999998</v>
      </c>
      <c r="AH2326">
        <v>101.159694620333</v>
      </c>
      <c r="AI2326">
        <v>89.549183536305904</v>
      </c>
      <c r="AJ2326">
        <v>75.959638386129697</v>
      </c>
      <c r="AK2326">
        <v>104.278128322293</v>
      </c>
      <c r="AL2326">
        <v>84.947799879614607</v>
      </c>
      <c r="AM2326">
        <v>90.348630127876604</v>
      </c>
      <c r="AN2326">
        <v>0.99999995971045197</v>
      </c>
    </row>
    <row r="2327" spans="1:40" x14ac:dyDescent="0.3">
      <c r="A2327" t="str">
        <f>"20200111150001728"</f>
        <v>20200111150001728</v>
      </c>
      <c r="B2327" t="str">
        <f>"1578726001708386"</f>
        <v>1578726001708386</v>
      </c>
      <c r="C2327" t="s">
        <v>40</v>
      </c>
      <c r="D2327">
        <v>4.4163620000000003</v>
      </c>
      <c r="E2327">
        <v>0.5955918</v>
      </c>
      <c r="F2327" t="s">
        <v>47</v>
      </c>
      <c r="G2327">
        <v>-338.6318</v>
      </c>
      <c r="H2327">
        <v>1.5413190000000001</v>
      </c>
      <c r="I2327">
        <v>301.88839999999999</v>
      </c>
      <c r="J2327">
        <v>-235.65539999999999</v>
      </c>
      <c r="K2327">
        <v>1.1028180000000001</v>
      </c>
      <c r="L2327">
        <v>281.4744</v>
      </c>
      <c r="M2327">
        <v>-0.9988802</v>
      </c>
      <c r="N2327">
        <v>0</v>
      </c>
      <c r="O2327">
        <v>-4.6458289999999999E-2</v>
      </c>
      <c r="P2327">
        <v>-0.99541009999999996</v>
      </c>
      <c r="Q2327">
        <v>8.0026849999999997E-2</v>
      </c>
      <c r="R2327">
        <v>-5.248448E-2</v>
      </c>
      <c r="S2327">
        <v>-3.0456699999999999</v>
      </c>
      <c r="T2327">
        <v>1.2928250000000001E-2</v>
      </c>
      <c r="U2327">
        <v>0.60147090000000003</v>
      </c>
      <c r="V2327">
        <v>-5.8910219999999897E-3</v>
      </c>
      <c r="W2327">
        <v>8.897236E-2</v>
      </c>
      <c r="X2327">
        <v>0.99601669999999998</v>
      </c>
      <c r="Y2327">
        <v>0.2391103</v>
      </c>
      <c r="Z2327">
        <v>-6.9812779999999896E-4</v>
      </c>
      <c r="AA2327">
        <v>0.97099210000000002</v>
      </c>
      <c r="AB2327">
        <v>32</v>
      </c>
      <c r="AC2327">
        <v>-102.9764</v>
      </c>
      <c r="AD2327">
        <v>0.43850099999999997</v>
      </c>
      <c r="AE2327">
        <v>20.413999999999898</v>
      </c>
      <c r="AF2327">
        <v>25.175815344822801</v>
      </c>
      <c r="AG2327">
        <v>0.43850099999999997</v>
      </c>
      <c r="AH2327">
        <v>101.91498475932499</v>
      </c>
      <c r="AI2327">
        <v>89.760673755944694</v>
      </c>
      <c r="AJ2327">
        <v>76.124155606182299</v>
      </c>
      <c r="AK2327">
        <v>104.979417410734</v>
      </c>
      <c r="AL2327">
        <v>84.895509650949606</v>
      </c>
      <c r="AM2327">
        <v>90.338876609034202</v>
      </c>
      <c r="AN2327">
        <v>1.00000002583153</v>
      </c>
    </row>
    <row r="2328" spans="1:40" x14ac:dyDescent="0.3">
      <c r="A2328" t="str">
        <f>"20200111150001743"</f>
        <v>20200111150001743</v>
      </c>
      <c r="B2328" t="str">
        <f>"1578726001738641"</f>
        <v>1578726001738641</v>
      </c>
      <c r="C2328" t="s">
        <v>40</v>
      </c>
      <c r="D2328">
        <v>4.4124140000000001</v>
      </c>
      <c r="E2328">
        <v>0.59495159999999903</v>
      </c>
      <c r="F2328" t="s">
        <v>47</v>
      </c>
      <c r="G2328">
        <v>-338.68509999999998</v>
      </c>
      <c r="H2328">
        <v>1.558082</v>
      </c>
      <c r="I2328">
        <v>301.88839999999999</v>
      </c>
      <c r="J2328">
        <v>-235.86429999999999</v>
      </c>
      <c r="K2328">
        <v>1.10276</v>
      </c>
      <c r="L2328">
        <v>281.4658</v>
      </c>
      <c r="M2328">
        <v>-0.99893220000000005</v>
      </c>
      <c r="N2328">
        <v>0</v>
      </c>
      <c r="O2328">
        <v>-4.5328159999999999E-2</v>
      </c>
      <c r="P2328">
        <v>-0.99542520000000001</v>
      </c>
      <c r="Q2328">
        <v>8.0539540000000007E-2</v>
      </c>
      <c r="R2328">
        <v>-5.1402570000000002E-2</v>
      </c>
      <c r="S2328">
        <v>-3.0445709999999999</v>
      </c>
      <c r="T2328">
        <v>1.345563E-2</v>
      </c>
      <c r="U2328">
        <v>0.60324100000000003</v>
      </c>
      <c r="V2328">
        <v>-5.9225730000000004E-3</v>
      </c>
      <c r="W2328">
        <v>8.9480560000000001E-2</v>
      </c>
      <c r="X2328">
        <v>0.99597100000000005</v>
      </c>
      <c r="Y2328">
        <v>0.23862140000000001</v>
      </c>
      <c r="Z2328">
        <v>-7.2079939999999997E-4</v>
      </c>
      <c r="AA2328">
        <v>0.97111239999999999</v>
      </c>
      <c r="AB2328">
        <v>32</v>
      </c>
      <c r="AC2328">
        <v>-102.82080000000001</v>
      </c>
      <c r="AD2328">
        <v>0.455322</v>
      </c>
      <c r="AE2328">
        <v>20.4225999999999</v>
      </c>
      <c r="AF2328">
        <v>25.0619978456985</v>
      </c>
      <c r="AG2328">
        <v>0.455322</v>
      </c>
      <c r="AH2328">
        <v>101.78743116351799</v>
      </c>
      <c r="AI2328">
        <v>89.751135069954699</v>
      </c>
      <c r="AJ2328">
        <v>76.167830194753094</v>
      </c>
      <c r="AK2328">
        <v>104.82839404001901</v>
      </c>
      <c r="AL2328">
        <v>84.866275404980598</v>
      </c>
      <c r="AM2328">
        <v>90.340707146125695</v>
      </c>
      <c r="AN2328">
        <v>1.0000000401649201</v>
      </c>
    </row>
    <row r="2329" spans="1:40" x14ac:dyDescent="0.3">
      <c r="A2329" t="str">
        <f>"20200111150001922"</f>
        <v>20200111150001922</v>
      </c>
      <c r="B2329" t="str">
        <f>"1578726001918864"</f>
        <v>1578726001918864</v>
      </c>
      <c r="C2329" t="s">
        <v>40</v>
      </c>
      <c r="D2329">
        <v>6.0098820000000002</v>
      </c>
      <c r="E2329">
        <v>0.59301630000000005</v>
      </c>
      <c r="F2329" t="s">
        <v>47</v>
      </c>
      <c r="G2329">
        <v>-339.21409999999997</v>
      </c>
      <c r="H2329">
        <v>1.6137919999999999</v>
      </c>
      <c r="I2329">
        <v>301.88839999999999</v>
      </c>
      <c r="J2329">
        <v>-238.46510000000001</v>
      </c>
      <c r="K2329">
        <v>1.1022400000000001</v>
      </c>
      <c r="L2329">
        <v>281.38420000000002</v>
      </c>
      <c r="M2329">
        <v>-0.99956639999999997</v>
      </c>
      <c r="N2329">
        <v>0</v>
      </c>
      <c r="O2329">
        <v>-2.739697E-2</v>
      </c>
      <c r="P2329">
        <v>-0.99592420000000004</v>
      </c>
      <c r="Q2329">
        <v>7.9652310000000004E-2</v>
      </c>
      <c r="R2329">
        <v>-4.2315970000000001E-2</v>
      </c>
      <c r="S2329">
        <v>-3.043625</v>
      </c>
      <c r="T2329">
        <v>1.5052080000000001E-2</v>
      </c>
      <c r="U2329">
        <v>0.60144039999999999</v>
      </c>
      <c r="V2329">
        <v>-1.451737E-2</v>
      </c>
      <c r="W2329">
        <v>9.0494459999999999E-2</v>
      </c>
      <c r="X2329">
        <v>0.99579110000000004</v>
      </c>
      <c r="Y2329">
        <v>0.220661</v>
      </c>
      <c r="Z2329">
        <v>-6.7468259999999903E-4</v>
      </c>
      <c r="AA2329">
        <v>0.9753503</v>
      </c>
      <c r="AB2329">
        <v>32</v>
      </c>
      <c r="AC2329">
        <v>-100.748999999999</v>
      </c>
      <c r="AD2329">
        <v>0.51155200000000001</v>
      </c>
      <c r="AE2329">
        <v>20.504199999999901</v>
      </c>
      <c r="AF2329">
        <v>23.256304786483401</v>
      </c>
      <c r="AG2329">
        <v>0.51155200000000001</v>
      </c>
      <c r="AH2329">
        <v>100.146912857334</v>
      </c>
      <c r="AI2329">
        <v>89.714920490255494</v>
      </c>
      <c r="AJ2329">
        <v>76.926385802722393</v>
      </c>
      <c r="AK2329">
        <v>102.813041743862</v>
      </c>
      <c r="AL2329">
        <v>84.807946140281103</v>
      </c>
      <c r="AM2329">
        <v>90.835240553153398</v>
      </c>
      <c r="AN2329">
        <v>0.99999995808080799</v>
      </c>
    </row>
    <row r="2330" spans="1:40" x14ac:dyDescent="0.3">
      <c r="A2330" t="str">
        <f>"20200111150001940"</f>
        <v>20200111150001940</v>
      </c>
      <c r="B2330" t="str">
        <f>"1578726001928623"</f>
        <v>1578726001928623</v>
      </c>
      <c r="C2330" t="s">
        <v>40</v>
      </c>
      <c r="D2330">
        <v>4.3883669999999997</v>
      </c>
      <c r="E2330">
        <v>0.59312600000000004</v>
      </c>
      <c r="F2330" t="s">
        <v>47</v>
      </c>
      <c r="G2330">
        <v>-339.70839999999998</v>
      </c>
      <c r="H2330">
        <v>1.5920620000000001</v>
      </c>
      <c r="I2330">
        <v>301.88839999999999</v>
      </c>
      <c r="J2330">
        <v>-238.71979999999999</v>
      </c>
      <c r="K2330">
        <v>1.1021609999999999</v>
      </c>
      <c r="L2330">
        <v>281.3793</v>
      </c>
      <c r="M2330">
        <v>-0.99962220000000002</v>
      </c>
      <c r="N2330">
        <v>0</v>
      </c>
      <c r="O2330">
        <v>-2.5175039999999999E-2</v>
      </c>
      <c r="P2330">
        <v>-0.99605359999999998</v>
      </c>
      <c r="Q2330">
        <v>7.8413499999999997E-2</v>
      </c>
      <c r="R2330">
        <v>-4.1582059999999997E-2</v>
      </c>
      <c r="S2330">
        <v>-3.0372309999999998</v>
      </c>
      <c r="T2330">
        <v>1.469672E-2</v>
      </c>
      <c r="U2330">
        <v>0.61511229999999995</v>
      </c>
      <c r="V2330">
        <v>-1.5980330000000001E-2</v>
      </c>
      <c r="W2330">
        <v>8.9491959999999995E-2</v>
      </c>
      <c r="X2330">
        <v>0.9958593</v>
      </c>
      <c r="Y2330">
        <v>0.2231041</v>
      </c>
      <c r="Z2330">
        <v>-6.5502430000000003E-4</v>
      </c>
      <c r="AA2330">
        <v>0.97479439999999995</v>
      </c>
      <c r="AB2330">
        <v>32</v>
      </c>
      <c r="AC2330">
        <v>-100.98860000000001</v>
      </c>
      <c r="AD2330">
        <v>0.48990099999999898</v>
      </c>
      <c r="AE2330">
        <v>20.509099999999901</v>
      </c>
      <c r="AF2330">
        <v>23.044624931688698</v>
      </c>
      <c r="AG2330">
        <v>0.48990099999999898</v>
      </c>
      <c r="AH2330">
        <v>100.43796983621399</v>
      </c>
      <c r="AI2330">
        <v>89.727611268482704</v>
      </c>
      <c r="AJ2330">
        <v>77.077638479674306</v>
      </c>
      <c r="AK2330">
        <v>103.048922973762</v>
      </c>
      <c r="AL2330">
        <v>84.865619208031106</v>
      </c>
      <c r="AM2330">
        <v>90.919333571727506</v>
      </c>
      <c r="AN2330">
        <v>0.99999996362401899</v>
      </c>
    </row>
    <row r="2331" spans="1:40" x14ac:dyDescent="0.3">
      <c r="A2331" t="str">
        <f>"20200111150001953"</f>
        <v>20200111150001953</v>
      </c>
      <c r="B2331" t="str">
        <f>"1578726001948144"</f>
        <v>1578726001948144</v>
      </c>
      <c r="C2331" t="s">
        <v>40</v>
      </c>
      <c r="D2331">
        <v>4.4597810000000004</v>
      </c>
      <c r="E2331">
        <v>0.5935551</v>
      </c>
      <c r="F2331" t="s">
        <v>47</v>
      </c>
      <c r="G2331">
        <v>-339.46600000000001</v>
      </c>
      <c r="H2331">
        <v>1.2475430000000001</v>
      </c>
      <c r="I2331">
        <v>301.88839999999999</v>
      </c>
      <c r="J2331">
        <v>-238.90170000000001</v>
      </c>
      <c r="K2331">
        <v>1.1021099999999999</v>
      </c>
      <c r="L2331">
        <v>281.37639999999999</v>
      </c>
      <c r="M2331">
        <v>-0.99966080000000002</v>
      </c>
      <c r="N2331">
        <v>0</v>
      </c>
      <c r="O2331">
        <v>-2.3528299999999999E-2</v>
      </c>
      <c r="P2331">
        <v>-0.99613490000000005</v>
      </c>
      <c r="Q2331">
        <v>7.7894260000000007E-2</v>
      </c>
      <c r="R2331">
        <v>-4.0593120000000003E-2</v>
      </c>
      <c r="S2331">
        <v>-3.0373380000000001</v>
      </c>
      <c r="T2331">
        <v>4.3854710000000002E-3</v>
      </c>
      <c r="U2331">
        <v>0.61831669999999905</v>
      </c>
      <c r="V2331">
        <v>-1.6620989999999999E-2</v>
      </c>
      <c r="W2331">
        <v>8.9125770000000007E-2</v>
      </c>
      <c r="X2331">
        <v>0.99588169999999998</v>
      </c>
      <c r="Y2331">
        <v>0.22248180000000001</v>
      </c>
      <c r="Z2331">
        <v>-1.9263139999999999E-4</v>
      </c>
      <c r="AA2331">
        <v>0.97493680000000005</v>
      </c>
      <c r="AB2331">
        <v>32</v>
      </c>
      <c r="AC2331">
        <v>-100.5643</v>
      </c>
      <c r="AD2331">
        <v>0.14543299999999901</v>
      </c>
      <c r="AE2331">
        <v>20.511999999999901</v>
      </c>
      <c r="AF2331">
        <v>22.8725296199732</v>
      </c>
      <c r="AG2331">
        <v>0.14543299999999901</v>
      </c>
      <c r="AH2331">
        <v>100.05361395714699</v>
      </c>
      <c r="AI2331">
        <v>89.918812128289701</v>
      </c>
      <c r="AJ2331">
        <v>77.123293882328596</v>
      </c>
      <c r="AK2331">
        <v>102.634786636207</v>
      </c>
      <c r="AL2331">
        <v>84.886684767134497</v>
      </c>
      <c r="AM2331">
        <v>90.9561619335676</v>
      </c>
      <c r="AN2331">
        <v>1.00000001029078</v>
      </c>
    </row>
    <row r="2332" spans="1:40" x14ac:dyDescent="0.3">
      <c r="A2332" t="str">
        <f>"20200111150001974"</f>
        <v>20200111150001974</v>
      </c>
      <c r="B2332" t="str">
        <f>"1578726001968640"</f>
        <v>1578726001968640</v>
      </c>
      <c r="C2332" t="s">
        <v>40</v>
      </c>
      <c r="D2332">
        <v>4.4771239999999999</v>
      </c>
      <c r="E2332">
        <v>0.59383409999999903</v>
      </c>
      <c r="F2332" t="s">
        <v>47</v>
      </c>
      <c r="G2332">
        <v>-338.65910000000002</v>
      </c>
      <c r="H2332">
        <v>0.85261319999999996</v>
      </c>
      <c r="I2332">
        <v>301.88839999999999</v>
      </c>
      <c r="J2332">
        <v>-239.2159</v>
      </c>
      <c r="K2332">
        <v>1.102023</v>
      </c>
      <c r="L2332">
        <v>281.37189999999998</v>
      </c>
      <c r="M2332">
        <v>-0.99972220000000001</v>
      </c>
      <c r="N2332">
        <v>0</v>
      </c>
      <c r="O2332">
        <v>-2.0619999999999999E-2</v>
      </c>
      <c r="P2332">
        <v>-0.99625149999999996</v>
      </c>
      <c r="Q2332">
        <v>7.7392100000000005E-2</v>
      </c>
      <c r="R2332">
        <v>-3.864244E-2</v>
      </c>
      <c r="S2332">
        <v>-3.037674</v>
      </c>
      <c r="T2332">
        <v>-7.5949429999999998E-3</v>
      </c>
      <c r="U2332">
        <v>0.62460329999999997</v>
      </c>
      <c r="V2332">
        <v>-1.7548339999999999E-2</v>
      </c>
      <c r="W2332">
        <v>8.8869310000000007E-2</v>
      </c>
      <c r="X2332">
        <v>0.99588869999999896</v>
      </c>
      <c r="Y2332">
        <v>0.2215606</v>
      </c>
      <c r="Z2332">
        <v>3.251595E-4</v>
      </c>
      <c r="AA2332">
        <v>0.97514650000000003</v>
      </c>
      <c r="AB2332">
        <v>32</v>
      </c>
      <c r="AC2332">
        <v>-99.443200000000004</v>
      </c>
      <c r="AD2332">
        <v>-0.24940979999999999</v>
      </c>
      <c r="AE2332">
        <v>20.516500000000001</v>
      </c>
      <c r="AF2332">
        <v>22.562653614381201</v>
      </c>
      <c r="AG2332">
        <v>-0.24940979999999999</v>
      </c>
      <c r="AH2332">
        <v>98.998379032167605</v>
      </c>
      <c r="AI2332">
        <v>90.140737928885798</v>
      </c>
      <c r="AJ2332">
        <v>77.161055888272301</v>
      </c>
      <c r="AK2332">
        <v>101.537257173746</v>
      </c>
      <c r="AL2332">
        <v>84.901437333968801</v>
      </c>
      <c r="AM2332">
        <v>91.009492102749704</v>
      </c>
      <c r="AN2332">
        <v>1.0000000006421601</v>
      </c>
    </row>
    <row r="2333" spans="1:40" x14ac:dyDescent="0.3">
      <c r="A2333" t="str">
        <f>"20200111150001996"</f>
        <v>20200111150001996</v>
      </c>
      <c r="B2333" t="str">
        <f>"1578726001988160"</f>
        <v>1578726001988160</v>
      </c>
      <c r="C2333" t="s">
        <v>40</v>
      </c>
      <c r="D2333">
        <v>4.4758190000000004</v>
      </c>
      <c r="E2333">
        <v>0.59427859999999999</v>
      </c>
      <c r="F2333" t="s">
        <v>47</v>
      </c>
      <c r="G2333">
        <v>-337.71820000000002</v>
      </c>
      <c r="H2333">
        <v>0.53829740000000004</v>
      </c>
      <c r="I2333">
        <v>301.88839999999999</v>
      </c>
      <c r="J2333">
        <v>-239.54249999999999</v>
      </c>
      <c r="K2333">
        <v>1.101945</v>
      </c>
      <c r="L2333">
        <v>281.36829999999998</v>
      </c>
      <c r="M2333">
        <v>-0.99977910000000003</v>
      </c>
      <c r="N2333">
        <v>0</v>
      </c>
      <c r="O2333">
        <v>-1.75079E-2</v>
      </c>
      <c r="P2333">
        <v>-0.99631329999999996</v>
      </c>
      <c r="Q2333">
        <v>7.7705040000000003E-2</v>
      </c>
      <c r="R2333">
        <v>-3.6359219999999998E-2</v>
      </c>
      <c r="S2333">
        <v>-3.0371860000000002</v>
      </c>
      <c r="T2333">
        <v>-1.737928E-2</v>
      </c>
      <c r="U2333">
        <v>0.63259889999999996</v>
      </c>
      <c r="V2333">
        <v>-1.8345230000000001E-2</v>
      </c>
      <c r="W2333">
        <v>8.9409779999999994E-2</v>
      </c>
      <c r="X2333">
        <v>0.99582590000000004</v>
      </c>
      <c r="Y2333">
        <v>0.22101470000000001</v>
      </c>
      <c r="Z2333">
        <v>7.2478959999999998E-4</v>
      </c>
      <c r="AA2333">
        <v>0.97527019999999998</v>
      </c>
      <c r="AB2333">
        <v>32</v>
      </c>
      <c r="AC2333">
        <v>-98.175700000000006</v>
      </c>
      <c r="AD2333">
        <v>-0.56364760000000003</v>
      </c>
      <c r="AE2333">
        <v>20.520099999999999</v>
      </c>
      <c r="AF2333">
        <v>22.2352186924048</v>
      </c>
      <c r="AG2333">
        <v>-0.56364760000000003</v>
      </c>
      <c r="AH2333">
        <v>97.798273282641205</v>
      </c>
      <c r="AI2333">
        <v>90.321995884897206</v>
      </c>
      <c r="AJ2333">
        <v>77.191088848349494</v>
      </c>
      <c r="AK2333">
        <v>100.295687374793</v>
      </c>
      <c r="AL2333">
        <v>84.870346603653601</v>
      </c>
      <c r="AM2333">
        <v>91.055390677560197</v>
      </c>
      <c r="AN2333">
        <v>0.99999993966710299</v>
      </c>
    </row>
    <row r="2334" spans="1:40" x14ac:dyDescent="0.3">
      <c r="A2334" t="str">
        <f>"20200111150002012"</f>
        <v>20200111150002012</v>
      </c>
      <c r="B2334" t="str">
        <f>"1578726002008656"</f>
        <v>1578726002008656</v>
      </c>
      <c r="C2334" t="s">
        <v>40</v>
      </c>
      <c r="D2334">
        <v>4.5339359999999997</v>
      </c>
      <c r="E2334">
        <v>0.59493490000000004</v>
      </c>
      <c r="F2334" t="s">
        <v>47</v>
      </c>
      <c r="G2334">
        <v>-336.47469999999998</v>
      </c>
      <c r="H2334">
        <v>0.39885120000000002</v>
      </c>
      <c r="I2334">
        <v>301.88839999999999</v>
      </c>
      <c r="J2334">
        <v>-239.7687</v>
      </c>
      <c r="K2334">
        <v>1.1019030000000001</v>
      </c>
      <c r="L2334">
        <v>281.36649999999997</v>
      </c>
      <c r="M2334">
        <v>-0.99981350000000002</v>
      </c>
      <c r="N2334">
        <v>0</v>
      </c>
      <c r="O2334">
        <v>-1.5312050000000001E-2</v>
      </c>
      <c r="P2334">
        <v>-0.99638090000000001</v>
      </c>
      <c r="Q2334">
        <v>7.7734330000000004E-2</v>
      </c>
      <c r="R2334">
        <v>-3.4385569999999997E-2</v>
      </c>
      <c r="S2334">
        <v>-3.0362550000000001</v>
      </c>
      <c r="T2334">
        <v>-2.2020939999999999E-2</v>
      </c>
      <c r="U2334">
        <v>0.64276119999999903</v>
      </c>
      <c r="V2334">
        <v>-1.8549139999999999E-2</v>
      </c>
      <c r="W2334">
        <v>8.9577439999999994E-2</v>
      </c>
      <c r="X2334">
        <v>0.99580709999999995</v>
      </c>
      <c r="Y2334">
        <v>0.22205639999999999</v>
      </c>
      <c r="Z2334">
        <v>9.062982E-4</v>
      </c>
      <c r="AA2334">
        <v>0.97503340000000005</v>
      </c>
      <c r="AB2334">
        <v>32</v>
      </c>
      <c r="AC2334">
        <v>-96.706000000000003</v>
      </c>
      <c r="AD2334">
        <v>-0.7030518</v>
      </c>
      <c r="AE2334">
        <v>20.521899999999999</v>
      </c>
      <c r="AF2334">
        <v>21.9992508033523</v>
      </c>
      <c r="AG2334">
        <v>-0.7030518</v>
      </c>
      <c r="AH2334">
        <v>96.375532636787199</v>
      </c>
      <c r="AI2334">
        <v>90.407479938507606</v>
      </c>
      <c r="AJ2334">
        <v>77.141634121959996</v>
      </c>
      <c r="AK2334">
        <v>98.856990692447795</v>
      </c>
      <c r="AL2334">
        <v>84.860701921871595</v>
      </c>
      <c r="AM2334">
        <v>91.067138948154096</v>
      </c>
      <c r="AN2334">
        <v>0.99999998438105098</v>
      </c>
    </row>
    <row r="2335" spans="1:40" x14ac:dyDescent="0.3">
      <c r="A2335" t="str">
        <f>"20200111150002029"</f>
        <v>20200111150002029</v>
      </c>
      <c r="B2335" t="str">
        <f>"1578726002018419"</f>
        <v>1578726002018419</v>
      </c>
      <c r="C2335" t="s">
        <v>40</v>
      </c>
      <c r="D2335">
        <v>4.4715619999999996</v>
      </c>
      <c r="E2335">
        <v>0.5951554</v>
      </c>
      <c r="F2335" t="s">
        <v>47</v>
      </c>
      <c r="G2335">
        <v>-335.0292</v>
      </c>
      <c r="H2335">
        <v>0.29068539999999998</v>
      </c>
      <c r="I2335">
        <v>301.88839999999999</v>
      </c>
      <c r="J2335">
        <v>-240.01400000000001</v>
      </c>
      <c r="K2335">
        <v>1.101864</v>
      </c>
      <c r="L2335">
        <v>281.36509999999998</v>
      </c>
      <c r="M2335">
        <v>-0.99984589999999995</v>
      </c>
      <c r="N2335">
        <v>0</v>
      </c>
      <c r="O2335">
        <v>-1.291085E-2</v>
      </c>
      <c r="P2335">
        <v>-0.99645890000000004</v>
      </c>
      <c r="Q2335">
        <v>7.7474829999999995E-2</v>
      </c>
      <c r="R2335">
        <v>-3.2666769999999998E-2</v>
      </c>
      <c r="S2335">
        <v>-3.0354770000000002</v>
      </c>
      <c r="T2335">
        <v>-2.5846959999999999E-2</v>
      </c>
      <c r="U2335">
        <v>0.65393069999999998</v>
      </c>
      <c r="V2335">
        <v>-1.921554E-2</v>
      </c>
      <c r="W2335">
        <v>8.945728E-2</v>
      </c>
      <c r="X2335">
        <v>0.9958053</v>
      </c>
      <c r="Y2335">
        <v>0.22319430000000001</v>
      </c>
      <c r="Z2335">
        <v>1.0481819999999999E-3</v>
      </c>
      <c r="AA2335">
        <v>0.97477340000000001</v>
      </c>
      <c r="AB2335">
        <v>32</v>
      </c>
      <c r="AC2335">
        <v>-95.015199999999993</v>
      </c>
      <c r="AD2335">
        <v>-0.81117859999999897</v>
      </c>
      <c r="AE2335">
        <v>20.523299999999999</v>
      </c>
      <c r="AF2335">
        <v>21.746888560673298</v>
      </c>
      <c r="AG2335">
        <v>-0.81117859999999897</v>
      </c>
      <c r="AH2335">
        <v>94.735690359395306</v>
      </c>
      <c r="AI2335">
        <v>90.478150033813193</v>
      </c>
      <c r="AJ2335">
        <v>77.071547010141799</v>
      </c>
      <c r="AK2335">
        <v>97.203066827455004</v>
      </c>
      <c r="AL2335">
        <v>84.867614511064701</v>
      </c>
      <c r="AM2335">
        <v>91.105469837707901</v>
      </c>
      <c r="AN2335">
        <v>1.00000001871528</v>
      </c>
    </row>
    <row r="2336" spans="1:40" x14ac:dyDescent="0.3">
      <c r="A2336" t="str">
        <f>"20200111150002043"</f>
        <v>20200111150002043</v>
      </c>
      <c r="B2336" t="str">
        <f>"1578726002038912"</f>
        <v>1578726002038912</v>
      </c>
      <c r="C2336" t="s">
        <v>40</v>
      </c>
      <c r="D2336">
        <v>4.5554160000000001</v>
      </c>
      <c r="E2336">
        <v>0.5951554</v>
      </c>
      <c r="F2336" t="s">
        <v>47</v>
      </c>
      <c r="G2336">
        <v>-334.26990000000001</v>
      </c>
      <c r="H2336">
        <v>0.16908429999999999</v>
      </c>
      <c r="I2336">
        <v>301.88839999999999</v>
      </c>
      <c r="J2336">
        <v>-240.21360000000001</v>
      </c>
      <c r="K2336">
        <v>1.101839</v>
      </c>
      <c r="L2336">
        <v>281.36430000000001</v>
      </c>
      <c r="M2336">
        <v>-0.99986819999999998</v>
      </c>
      <c r="N2336">
        <v>0</v>
      </c>
      <c r="O2336">
        <v>-1.0945949999999999E-2</v>
      </c>
      <c r="P2336">
        <v>-0.99655680000000002</v>
      </c>
      <c r="Q2336">
        <v>7.6965019999999995E-2</v>
      </c>
      <c r="R2336">
        <v>-3.0840179999999998E-2</v>
      </c>
      <c r="S2336">
        <v>-3.034653</v>
      </c>
      <c r="T2336">
        <v>-3.0029179999999999E-2</v>
      </c>
      <c r="U2336">
        <v>0.66076659999999998</v>
      </c>
      <c r="V2336">
        <v>-1.934398E-2</v>
      </c>
      <c r="W2336">
        <v>8.9050260000000006E-2</v>
      </c>
      <c r="X2336">
        <v>0.99583929999999998</v>
      </c>
      <c r="Y2336">
        <v>0.22342780000000001</v>
      </c>
      <c r="Z2336">
        <v>1.199725E-3</v>
      </c>
      <c r="AA2336">
        <v>0.97471980000000003</v>
      </c>
      <c r="AB2336">
        <v>32</v>
      </c>
      <c r="AC2336">
        <v>-94.056299999999993</v>
      </c>
      <c r="AD2336">
        <v>-0.93275469999999905</v>
      </c>
      <c r="AE2336">
        <v>20.524099999999901</v>
      </c>
      <c r="AF2336">
        <v>21.550456741444702</v>
      </c>
      <c r="AG2336">
        <v>-0.93275469999999905</v>
      </c>
      <c r="AH2336">
        <v>93.817185243804104</v>
      </c>
      <c r="AI2336">
        <v>90.555172969679305</v>
      </c>
      <c r="AJ2336">
        <v>77.063185031052996</v>
      </c>
      <c r="AK2336">
        <v>96.265032406193598</v>
      </c>
      <c r="AL2336">
        <v>84.891028517727804</v>
      </c>
      <c r="AM2336">
        <v>91.112819151956899</v>
      </c>
      <c r="AN2336">
        <v>1.0000000248963901</v>
      </c>
    </row>
    <row r="2337" spans="1:40" x14ac:dyDescent="0.3">
      <c r="A2337" t="str">
        <f>"20200111150002055"</f>
        <v>20200111150002055</v>
      </c>
      <c r="B2337" t="str">
        <f>"1578726002048672"</f>
        <v>1578726002048672</v>
      </c>
      <c r="C2337" t="s">
        <v>40</v>
      </c>
      <c r="D2337">
        <v>4.7376870000000002</v>
      </c>
      <c r="E2337">
        <v>0.51788540000000005</v>
      </c>
      <c r="F2337" t="s">
        <v>47</v>
      </c>
      <c r="G2337">
        <v>-333.67189999999999</v>
      </c>
      <c r="H2337">
        <v>0.1111543</v>
      </c>
      <c r="I2337">
        <v>301.88839999999999</v>
      </c>
      <c r="J2337">
        <v>-240.4034</v>
      </c>
      <c r="K2337">
        <v>1.1018209999999999</v>
      </c>
      <c r="L2337">
        <v>281.36399999999998</v>
      </c>
      <c r="M2337">
        <v>-0.99988589999999999</v>
      </c>
      <c r="N2337">
        <v>0</v>
      </c>
      <c r="O2337">
        <v>-9.0716670000000003E-3</v>
      </c>
      <c r="P2337">
        <v>-0.99664350000000002</v>
      </c>
      <c r="Q2337">
        <v>7.6524480000000006E-2</v>
      </c>
      <c r="R2337">
        <v>-2.9087849999999998E-2</v>
      </c>
      <c r="S2337">
        <v>-3.0334629999999998</v>
      </c>
      <c r="T2337">
        <v>-3.2153010000000003E-2</v>
      </c>
      <c r="U2337">
        <v>0.66616819999999999</v>
      </c>
      <c r="V2337">
        <v>-1.9457599999999999E-2</v>
      </c>
      <c r="W2337">
        <v>8.8698319999999997E-2</v>
      </c>
      <c r="X2337">
        <v>0.99586839999999999</v>
      </c>
      <c r="Y2337">
        <v>0.22333510000000001</v>
      </c>
      <c r="Z2337">
        <v>1.2646949999999999E-3</v>
      </c>
      <c r="AA2337">
        <v>0.97474090000000002</v>
      </c>
      <c r="AB2337">
        <v>32</v>
      </c>
      <c r="AC2337">
        <v>-93.268500000000003</v>
      </c>
      <c r="AD2337">
        <v>-0.99066670000000001</v>
      </c>
      <c r="AE2337">
        <v>20.524399999999901</v>
      </c>
      <c r="AF2337">
        <v>21.367418508244398</v>
      </c>
      <c r="AG2337">
        <v>-0.99066670000000001</v>
      </c>
      <c r="AH2337">
        <v>93.068442501556305</v>
      </c>
      <c r="AI2337">
        <v>90.594398412950397</v>
      </c>
      <c r="AJ2337">
        <v>77.069645113795403</v>
      </c>
      <c r="AK2337">
        <v>95.494936954178101</v>
      </c>
      <c r="AL2337">
        <v>84.911272822174695</v>
      </c>
      <c r="AM2337">
        <v>91.119321117324702</v>
      </c>
      <c r="AN2337">
        <v>0.99999993014356803</v>
      </c>
    </row>
    <row r="2338" spans="1:40" x14ac:dyDescent="0.3">
      <c r="A2338" t="str">
        <f>"20200111150002075"</f>
        <v>20200111150002075</v>
      </c>
      <c r="B2338" t="str">
        <f>"1578726002068193"</f>
        <v>1578726002068193</v>
      </c>
      <c r="C2338" t="s">
        <v>40</v>
      </c>
      <c r="D2338">
        <v>4.5167809999999999</v>
      </c>
      <c r="E2338">
        <v>0.50440549999999995</v>
      </c>
      <c r="F2338" t="s">
        <v>46</v>
      </c>
      <c r="G2338">
        <v>0</v>
      </c>
      <c r="H2338">
        <v>0</v>
      </c>
      <c r="I2338">
        <v>0</v>
      </c>
      <c r="J2338">
        <v>-240.67</v>
      </c>
      <c r="K2338">
        <v>1.1018019999999999</v>
      </c>
      <c r="L2338">
        <v>281.36419999999998</v>
      </c>
      <c r="M2338">
        <v>-0.99990489999999999</v>
      </c>
      <c r="N2338">
        <v>0</v>
      </c>
      <c r="O2338">
        <v>-6.4358360000000003E-3</v>
      </c>
      <c r="P2338">
        <v>-0.99677969999999905</v>
      </c>
      <c r="Q2338">
        <v>7.5594700000000001E-2</v>
      </c>
      <c r="R2338">
        <v>-2.6757110000000001E-2</v>
      </c>
      <c r="S2338">
        <v>-3.011673</v>
      </c>
      <c r="T2338">
        <v>6.1678890000000004E-4</v>
      </c>
      <c r="U2338">
        <v>5.5267330000000003E-2</v>
      </c>
      <c r="V2338">
        <v>-1.9755829999999999E-2</v>
      </c>
      <c r="W2338">
        <v>8.7882790000000002E-2</v>
      </c>
      <c r="X2338">
        <v>0.99593489999999996</v>
      </c>
      <c r="Y2338">
        <v>2.4782800000000001E-2</v>
      </c>
      <c r="Z2338" s="1">
        <v>-3.855593E-6</v>
      </c>
      <c r="AA2338">
        <v>0.9996929</v>
      </c>
      <c r="AB2338">
        <v>32</v>
      </c>
      <c r="AC2338">
        <v>-3.011673</v>
      </c>
      <c r="AD2338">
        <v>6.1678890000000004E-4</v>
      </c>
      <c r="AE2338">
        <v>5.5267330000000003E-2</v>
      </c>
      <c r="AF2338">
        <v>7.4650257562983893E-2</v>
      </c>
      <c r="AG2338">
        <v>6.1678890000000004E-4</v>
      </c>
      <c r="AH2338">
        <v>3.0112547741569502</v>
      </c>
      <c r="AI2338">
        <v>89.988267832247701</v>
      </c>
      <c r="AJ2338">
        <v>88.579904675118996</v>
      </c>
      <c r="AK2338">
        <v>3.0121800006416901</v>
      </c>
      <c r="AL2338">
        <v>84.958182806820801</v>
      </c>
      <c r="AM2338">
        <v>91.136396816094901</v>
      </c>
      <c r="AN2338">
        <v>1.00000000131759</v>
      </c>
    </row>
    <row r="2339" spans="1:40" x14ac:dyDescent="0.3">
      <c r="A2339" t="str">
        <f>"20200111150002087"</f>
        <v>20200111150002087</v>
      </c>
      <c r="B2339" t="str">
        <f>"1578726002078928"</f>
        <v>1578726002078928</v>
      </c>
      <c r="C2339" t="s">
        <v>40</v>
      </c>
      <c r="D2339">
        <v>4.49268</v>
      </c>
      <c r="E2339">
        <v>0.50210329999999903</v>
      </c>
      <c r="F2339" t="s">
        <v>66</v>
      </c>
      <c r="G2339">
        <v>-307.91559999999998</v>
      </c>
      <c r="H2339" s="1">
        <v>2.9324180000000002E-6</v>
      </c>
      <c r="I2339">
        <v>280.3621</v>
      </c>
      <c r="J2339">
        <v>-240.85400000000001</v>
      </c>
      <c r="K2339">
        <v>1.1017939999999999</v>
      </c>
      <c r="L2339">
        <v>281.3648</v>
      </c>
      <c r="M2339">
        <v>-0.99991410000000003</v>
      </c>
      <c r="N2339">
        <v>0</v>
      </c>
      <c r="O2339">
        <v>-4.6178340000000003E-3</v>
      </c>
      <c r="P2339">
        <v>-0.99685579999999996</v>
      </c>
      <c r="Q2339">
        <v>7.5107110000000005E-2</v>
      </c>
      <c r="R2339">
        <v>-2.524767E-2</v>
      </c>
      <c r="S2339">
        <v>-3.012222</v>
      </c>
      <c r="T2339">
        <v>-4.9354309999999998E-2</v>
      </c>
      <c r="U2339">
        <v>-4.4891359999999998E-2</v>
      </c>
      <c r="V2339">
        <v>-2.005908E-2</v>
      </c>
      <c r="W2339">
        <v>8.7466680000000005E-2</v>
      </c>
      <c r="X2339">
        <v>0.99596549999999995</v>
      </c>
      <c r="Y2339">
        <v>-1.028283E-2</v>
      </c>
      <c r="Z2339" s="1">
        <v>-8.572795E-6</v>
      </c>
      <c r="AA2339">
        <v>0.99994709999999998</v>
      </c>
      <c r="AB2339">
        <v>32</v>
      </c>
      <c r="AC2339">
        <v>-67.061599999999899</v>
      </c>
      <c r="AD2339">
        <v>-1.101791067582</v>
      </c>
      <c r="AE2339">
        <v>-1.0026999999999999</v>
      </c>
      <c r="AF2339">
        <v>-0.69279970427734205</v>
      </c>
      <c r="AG2339">
        <v>-1.101791067582</v>
      </c>
      <c r="AH2339">
        <v>67.047421469968199</v>
      </c>
      <c r="AI2339">
        <v>90.941407234612299</v>
      </c>
      <c r="AJ2339">
        <v>90.592015107957593</v>
      </c>
      <c r="AK2339">
        <v>67.060052495941306</v>
      </c>
      <c r="AL2339">
        <v>84.982116472332194</v>
      </c>
      <c r="AM2339">
        <v>91.153800271780497</v>
      </c>
      <c r="AN2339">
        <v>1.0000000319954501</v>
      </c>
    </row>
    <row r="2340" spans="1:40" x14ac:dyDescent="0.3">
      <c r="A2340" t="str">
        <f>"20200111150002100"</f>
        <v>20200111150002100</v>
      </c>
      <c r="B2340" t="str">
        <f>"1578726002088688"</f>
        <v>1578726002088688</v>
      </c>
      <c r="C2340" t="s">
        <v>40</v>
      </c>
      <c r="D2340">
        <v>4.4809000000000001</v>
      </c>
      <c r="E2340">
        <v>0.50004470000000001</v>
      </c>
      <c r="F2340" t="s">
        <v>66</v>
      </c>
      <c r="G2340">
        <v>-290.10320000000002</v>
      </c>
      <c r="H2340" s="1">
        <v>2.59182E-6</v>
      </c>
      <c r="I2340">
        <v>280.40949999999998</v>
      </c>
      <c r="J2340">
        <v>-241.0429</v>
      </c>
      <c r="K2340">
        <v>1.1017870000000001</v>
      </c>
      <c r="L2340">
        <v>281.36559999999997</v>
      </c>
      <c r="M2340">
        <v>-0.99992020000000004</v>
      </c>
      <c r="N2340">
        <v>0</v>
      </c>
      <c r="O2340">
        <v>-2.752399E-3</v>
      </c>
      <c r="P2340">
        <v>-0.99692709999999995</v>
      </c>
      <c r="Q2340">
        <v>7.4666590000000005E-2</v>
      </c>
      <c r="R2340">
        <v>-2.3691029999999998E-2</v>
      </c>
      <c r="S2340">
        <v>-3.013077</v>
      </c>
      <c r="T2340">
        <v>-6.7407850000000005E-2</v>
      </c>
      <c r="U2340">
        <v>-5.8441159999999999E-2</v>
      </c>
      <c r="V2340">
        <v>-2.036321E-2</v>
      </c>
      <c r="W2340">
        <v>8.7095710000000007E-2</v>
      </c>
      <c r="X2340">
        <v>0.99599179999999998</v>
      </c>
      <c r="Y2340">
        <v>-1.6636560000000002E-2</v>
      </c>
      <c r="Z2340">
        <v>-1.2448709999999901E-4</v>
      </c>
      <c r="AA2340">
        <v>0.99986160000000002</v>
      </c>
      <c r="AB2340">
        <v>32</v>
      </c>
      <c r="AC2340">
        <v>-49.060299999999998</v>
      </c>
      <c r="AD2340">
        <v>-1.1017844081799999</v>
      </c>
      <c r="AE2340">
        <v>-0.95609999999999196</v>
      </c>
      <c r="AF2340">
        <v>-0.82063885943292902</v>
      </c>
      <c r="AG2340">
        <v>-1.1017844081799999</v>
      </c>
      <c r="AH2340">
        <v>49.0380229230949</v>
      </c>
      <c r="AI2340">
        <v>91.286922684260603</v>
      </c>
      <c r="AJ2340">
        <v>90.958740826419699</v>
      </c>
      <c r="AK2340">
        <v>49.057263164853602</v>
      </c>
      <c r="AL2340">
        <v>85.003452724445495</v>
      </c>
      <c r="AM2340">
        <v>91.171258102253404</v>
      </c>
      <c r="AN2340">
        <v>0.99999999434457398</v>
      </c>
    </row>
    <row r="2341" spans="1:40" x14ac:dyDescent="0.3">
      <c r="A2341" t="str">
        <f>"20200111150002124"</f>
        <v>20200111150002124</v>
      </c>
      <c r="B2341" t="str">
        <f>"1578726002117968"</f>
        <v>1578726002117968</v>
      </c>
      <c r="C2341" t="s">
        <v>40</v>
      </c>
      <c r="D2341">
        <v>4.4578360000000004</v>
      </c>
      <c r="E2341">
        <v>0.4971333</v>
      </c>
      <c r="F2341" t="s">
        <v>66</v>
      </c>
      <c r="G2341">
        <v>-284.64299999999997</v>
      </c>
      <c r="H2341" s="1">
        <v>7.2239399999999897E-6</v>
      </c>
      <c r="I2341">
        <v>280.3544</v>
      </c>
      <c r="J2341">
        <v>-241.36429999999999</v>
      </c>
      <c r="K2341">
        <v>1.1017779999999999</v>
      </c>
      <c r="L2341">
        <v>281.36799999999999</v>
      </c>
      <c r="M2341">
        <v>-0.9999228</v>
      </c>
      <c r="N2341">
        <v>0</v>
      </c>
      <c r="O2341">
        <v>4.03865E-4</v>
      </c>
      <c r="P2341">
        <v>-0.99703399999999998</v>
      </c>
      <c r="Q2341">
        <v>7.418429E-2</v>
      </c>
      <c r="R2341">
        <v>-2.0494499999999999E-2</v>
      </c>
      <c r="S2341">
        <v>-3.01329</v>
      </c>
      <c r="T2341">
        <v>-7.6146359999999996E-2</v>
      </c>
      <c r="U2341">
        <v>-6.9885249999999996E-2</v>
      </c>
      <c r="V2341">
        <v>-2.0315449999999999E-2</v>
      </c>
      <c r="W2341">
        <v>8.6710919999999997E-2</v>
      </c>
      <c r="X2341">
        <v>0.99602630000000003</v>
      </c>
      <c r="Y2341">
        <v>-2.3582240000000001E-2</v>
      </c>
      <c r="Z2341">
        <v>-3.0807959999999999E-4</v>
      </c>
      <c r="AA2341">
        <v>0.99972179999999999</v>
      </c>
      <c r="AB2341">
        <v>32</v>
      </c>
      <c r="AC2341">
        <v>-43.278699999999901</v>
      </c>
      <c r="AD2341">
        <v>-1.10177077606</v>
      </c>
      <c r="AE2341">
        <v>-1.0135999999999901</v>
      </c>
      <c r="AF2341">
        <v>-1.03041258544104</v>
      </c>
      <c r="AG2341">
        <v>-1.10177077606</v>
      </c>
      <c r="AH2341">
        <v>43.250272457855999</v>
      </c>
      <c r="AI2341">
        <v>91.458840968140393</v>
      </c>
      <c r="AJ2341">
        <v>91.364780442963394</v>
      </c>
      <c r="AK2341">
        <v>43.276572376032597</v>
      </c>
      <c r="AL2341">
        <v>85.025583050705293</v>
      </c>
      <c r="AM2341">
        <v>91.168471325471899</v>
      </c>
      <c r="AN2341">
        <v>0.99999994572381801</v>
      </c>
    </row>
    <row r="2342" spans="1:40" x14ac:dyDescent="0.3">
      <c r="A2342" t="str">
        <f>"20200111150002142"</f>
        <v>20200111150002142</v>
      </c>
      <c r="B2342" t="str">
        <f>"1578726002138464"</f>
        <v>1578726002138464</v>
      </c>
      <c r="C2342" t="s">
        <v>40</v>
      </c>
      <c r="D2342">
        <v>4.4175659999999999</v>
      </c>
      <c r="E2342">
        <v>0.49634329999999999</v>
      </c>
      <c r="F2342" t="s">
        <v>62</v>
      </c>
      <c r="G2342">
        <v>-272.46640000000002</v>
      </c>
      <c r="H2342" s="1">
        <v>-4.4707010000000001E-8</v>
      </c>
      <c r="I2342">
        <v>280.50740000000002</v>
      </c>
      <c r="J2342">
        <v>-241.6448</v>
      </c>
      <c r="K2342">
        <v>1.1017619999999999</v>
      </c>
      <c r="L2342">
        <v>281.37079999999997</v>
      </c>
      <c r="M2342">
        <v>-0.99991790000000003</v>
      </c>
      <c r="N2342">
        <v>0</v>
      </c>
      <c r="O2342">
        <v>3.1374329999999998E-3</v>
      </c>
      <c r="P2342">
        <v>-0.99711620000000001</v>
      </c>
      <c r="Q2342">
        <v>7.3797009999999996E-2</v>
      </c>
      <c r="R2342">
        <v>-1.7706690000000001E-2</v>
      </c>
      <c r="S2342">
        <v>-3.0151370000000002</v>
      </c>
      <c r="T2342">
        <v>-0.10681</v>
      </c>
      <c r="U2342">
        <v>-8.3435060000000005E-2</v>
      </c>
      <c r="V2342">
        <v>-2.0258200000000001E-2</v>
      </c>
      <c r="W2342">
        <v>8.6319010000000002E-2</v>
      </c>
      <c r="X2342">
        <v>0.99606159999999999</v>
      </c>
      <c r="Y2342">
        <v>-3.0776560000000001E-2</v>
      </c>
      <c r="Z2342">
        <v>-6.5594419999999995E-4</v>
      </c>
      <c r="AA2342">
        <v>0.99952609999999997</v>
      </c>
      <c r="AB2342">
        <v>32</v>
      </c>
      <c r="AC2342">
        <v>-30.8216</v>
      </c>
      <c r="AD2342">
        <v>-1.10176204470701</v>
      </c>
      <c r="AE2342">
        <v>-0.86339999999995498</v>
      </c>
      <c r="AF2342">
        <v>-0.95887961625458495</v>
      </c>
      <c r="AG2342">
        <v>-1.10176204470701</v>
      </c>
      <c r="AH2342">
        <v>30.779439867466799</v>
      </c>
      <c r="AI2342">
        <v>92.049056230665997</v>
      </c>
      <c r="AJ2342">
        <v>91.784372691059303</v>
      </c>
      <c r="AK2342">
        <v>30.814075489565301</v>
      </c>
      <c r="AL2342">
        <v>85.048122811915704</v>
      </c>
      <c r="AM2342">
        <v>91.165138139181096</v>
      </c>
      <c r="AN2342">
        <v>1.00000003857458</v>
      </c>
    </row>
    <row r="2343" spans="1:40" x14ac:dyDescent="0.3">
      <c r="A2343" t="str">
        <f>"20200111150002164"</f>
        <v>20200111150002164</v>
      </c>
      <c r="B2343" t="str">
        <f>"1578726002157983"</f>
        <v>1578726002157983</v>
      </c>
      <c r="C2343" t="s">
        <v>40</v>
      </c>
      <c r="D2343">
        <v>4.4772100000000004</v>
      </c>
      <c r="E2343">
        <v>0.49635780000000002</v>
      </c>
      <c r="F2343" t="s">
        <v>62</v>
      </c>
      <c r="G2343">
        <v>-269.83850000000001</v>
      </c>
      <c r="H2343" s="1">
        <v>3.6987939999999999E-6</v>
      </c>
      <c r="I2343">
        <v>280.60910000000001</v>
      </c>
      <c r="J2343">
        <v>-241.98009999999999</v>
      </c>
      <c r="K2343">
        <v>1.101588</v>
      </c>
      <c r="L2343">
        <v>281.37509999999997</v>
      </c>
      <c r="M2343">
        <v>-0.99991609999999997</v>
      </c>
      <c r="N2343">
        <v>0</v>
      </c>
      <c r="O2343">
        <v>6.3005860000000004E-3</v>
      </c>
      <c r="P2343">
        <v>-0.9971527</v>
      </c>
      <c r="Q2343">
        <v>7.3956439999999998E-2</v>
      </c>
      <c r="R2343">
        <v>-1.472794E-2</v>
      </c>
      <c r="S2343">
        <v>-3.0159449999999999</v>
      </c>
      <c r="T2343">
        <v>-0.11785760000000001</v>
      </c>
      <c r="U2343">
        <v>-8.1481929999999994E-2</v>
      </c>
      <c r="V2343">
        <v>-2.0467900000000001E-2</v>
      </c>
      <c r="W2343">
        <v>8.5379769999999994E-2</v>
      </c>
      <c r="X2343">
        <v>0.99613819999999997</v>
      </c>
      <c r="Y2343">
        <v>-3.3275159999999998E-2</v>
      </c>
      <c r="Z2343">
        <v>-8.9589580000000002E-4</v>
      </c>
      <c r="AA2343">
        <v>0.9994459</v>
      </c>
      <c r="AB2343">
        <v>32</v>
      </c>
      <c r="AC2343">
        <v>-27.8584</v>
      </c>
      <c r="AD2343">
        <v>-1.101584301206</v>
      </c>
      <c r="AE2343">
        <v>-0.76599999999996204</v>
      </c>
      <c r="AF2343">
        <v>-0.94005153624134297</v>
      </c>
      <c r="AG2343">
        <v>-1.101584301206</v>
      </c>
      <c r="AH2343">
        <v>27.809570471222401</v>
      </c>
      <c r="AI2343">
        <v>92.267103626128602</v>
      </c>
      <c r="AJ2343">
        <v>91.936041580936006</v>
      </c>
      <c r="AK2343">
        <v>27.847251114918699</v>
      </c>
      <c r="AL2343">
        <v>85.102136408904499</v>
      </c>
      <c r="AM2343">
        <v>91.177105034234302</v>
      </c>
      <c r="AN2343">
        <v>0.99999997677745101</v>
      </c>
    </row>
    <row r="2344" spans="1:40" x14ac:dyDescent="0.3">
      <c r="A2344" t="str">
        <f>"20200111150002178"</f>
        <v>20200111150002178</v>
      </c>
      <c r="B2344" t="str">
        <f>"1578726002168720"</f>
        <v>1578726002168720</v>
      </c>
      <c r="C2344" t="s">
        <v>40</v>
      </c>
      <c r="D2344">
        <v>4.4334709999999999</v>
      </c>
      <c r="E2344">
        <v>0.49619350000000001</v>
      </c>
      <c r="F2344" t="s">
        <v>62</v>
      </c>
      <c r="G2344">
        <v>-269.89069999999998</v>
      </c>
      <c r="H2344" s="1">
        <v>3.7265179999999999E-6</v>
      </c>
      <c r="I2344">
        <v>280.7047</v>
      </c>
      <c r="J2344">
        <v>-242.18610000000001</v>
      </c>
      <c r="K2344">
        <v>1.1014740000000001</v>
      </c>
      <c r="L2344">
        <v>281.37799999999999</v>
      </c>
      <c r="M2344">
        <v>-0.99991169999999996</v>
      </c>
      <c r="N2344">
        <v>0</v>
      </c>
      <c r="O2344">
        <v>8.1635030000000008E-3</v>
      </c>
      <c r="P2344">
        <v>-0.99715469999999895</v>
      </c>
      <c r="Q2344">
        <v>7.4267899999999998E-2</v>
      </c>
      <c r="R2344">
        <v>-1.2922869999999999E-2</v>
      </c>
      <c r="S2344">
        <v>-3.016327</v>
      </c>
      <c r="T2344">
        <v>-0.1190495</v>
      </c>
      <c r="U2344">
        <v>-7.2448730000000003E-2</v>
      </c>
      <c r="V2344">
        <v>-2.0542439999999999E-2</v>
      </c>
      <c r="W2344">
        <v>8.4858119999999995E-2</v>
      </c>
      <c r="X2344">
        <v>0.99618119999999999</v>
      </c>
      <c r="Y2344">
        <v>-3.2141370000000002E-2</v>
      </c>
      <c r="Z2344">
        <v>-9.5599719999999995E-4</v>
      </c>
      <c r="AA2344">
        <v>0.99948289999999995</v>
      </c>
      <c r="AB2344">
        <v>33</v>
      </c>
      <c r="AC2344">
        <v>-27.7045999999999</v>
      </c>
      <c r="AD2344">
        <v>-1.1014702734819899</v>
      </c>
      <c r="AE2344">
        <v>-0.67329999999998302</v>
      </c>
      <c r="AF2344">
        <v>-0.89803791595411597</v>
      </c>
      <c r="AG2344">
        <v>-1.1014702734819899</v>
      </c>
      <c r="AH2344">
        <v>27.6544930550236</v>
      </c>
      <c r="AI2344">
        <v>92.279667921953902</v>
      </c>
      <c r="AJ2344">
        <v>91.859940346111998</v>
      </c>
      <c r="AK2344">
        <v>27.6909858075187</v>
      </c>
      <c r="AL2344">
        <v>85.132133429116195</v>
      </c>
      <c r="AM2344">
        <v>91.181339622658896</v>
      </c>
      <c r="AN2344">
        <v>0.99999993780226204</v>
      </c>
    </row>
    <row r="2345" spans="1:40" x14ac:dyDescent="0.3">
      <c r="A2345" t="str">
        <f>"20200111150002198"</f>
        <v>20200111150002198</v>
      </c>
      <c r="B2345" t="str">
        <f>"1578726002188886"</f>
        <v>1578726002188886</v>
      </c>
      <c r="C2345" t="s">
        <v>40</v>
      </c>
      <c r="D2345">
        <v>4.3998429999999997</v>
      </c>
      <c r="E2345">
        <v>0.49589290000000003</v>
      </c>
      <c r="F2345" t="s">
        <v>62</v>
      </c>
      <c r="G2345">
        <v>-270.08749999999998</v>
      </c>
      <c r="H2345" s="1">
        <v>-1.3210890000000001E-6</v>
      </c>
      <c r="I2345">
        <v>280.74680000000001</v>
      </c>
      <c r="J2345">
        <v>-242.47149999999999</v>
      </c>
      <c r="K2345">
        <v>1.1013599999999999</v>
      </c>
      <c r="L2345">
        <v>281.38240000000002</v>
      </c>
      <c r="M2345">
        <v>-0.99989939999999999</v>
      </c>
      <c r="N2345">
        <v>0</v>
      </c>
      <c r="O2345">
        <v>1.0692719999999999E-2</v>
      </c>
      <c r="P2345">
        <v>-0.99720070000000005</v>
      </c>
      <c r="Q2345">
        <v>7.4010569999999998E-2</v>
      </c>
      <c r="R2345">
        <v>-1.065789E-2</v>
      </c>
      <c r="S2345">
        <v>-3.016556</v>
      </c>
      <c r="T2345">
        <v>-0.11908589999999999</v>
      </c>
      <c r="U2345">
        <v>-6.8237300000000001E-2</v>
      </c>
      <c r="V2345">
        <v>-2.0837089999999999E-2</v>
      </c>
      <c r="W2345">
        <v>8.343457E-2</v>
      </c>
      <c r="X2345">
        <v>0.99629540000000005</v>
      </c>
      <c r="Y2345">
        <v>-3.327008E-2</v>
      </c>
      <c r="Z2345">
        <v>-1.078297E-3</v>
      </c>
      <c r="AA2345">
        <v>0.99944580000000005</v>
      </c>
      <c r="AB2345">
        <v>33</v>
      </c>
      <c r="AC2345">
        <v>-27.6159999999999</v>
      </c>
      <c r="AD2345">
        <v>-1.1013613210889901</v>
      </c>
      <c r="AE2345">
        <v>-0.63560000000001005</v>
      </c>
      <c r="AF2345">
        <v>-0.92938921457138401</v>
      </c>
      <c r="AG2345">
        <v>-1.1013613210889901</v>
      </c>
      <c r="AH2345">
        <v>27.563807032053699</v>
      </c>
      <c r="AI2345">
        <v>92.286840203906493</v>
      </c>
      <c r="AJ2345">
        <v>91.931152451416395</v>
      </c>
      <c r="AK2345">
        <v>27.601453207613002</v>
      </c>
      <c r="AL2345">
        <v>85.213987534424504</v>
      </c>
      <c r="AM2345">
        <v>91.198141921598506</v>
      </c>
      <c r="AN2345">
        <v>1.0000000179259501</v>
      </c>
    </row>
    <row r="2346" spans="1:40" x14ac:dyDescent="0.3">
      <c r="A2346" t="str">
        <f>"20200111150002220"</f>
        <v>20200111150002220</v>
      </c>
      <c r="B2346" t="str">
        <f>"1578726002208407"</f>
        <v>1578726002208407</v>
      </c>
      <c r="C2346" t="s">
        <v>40</v>
      </c>
      <c r="D2346">
        <v>4.3419049999999997</v>
      </c>
      <c r="E2346">
        <v>0.4954383</v>
      </c>
      <c r="F2346" t="s">
        <v>62</v>
      </c>
      <c r="G2346">
        <v>-268.8467</v>
      </c>
      <c r="H2346" s="1">
        <v>3.1709890000000001E-6</v>
      </c>
      <c r="I2346">
        <v>280.82429999999999</v>
      </c>
      <c r="J2346">
        <v>-242.79499999999999</v>
      </c>
      <c r="K2346">
        <v>1.1012519999999999</v>
      </c>
      <c r="L2346">
        <v>281.38799999999998</v>
      </c>
      <c r="M2346">
        <v>-0.99987669999999995</v>
      </c>
      <c r="N2346">
        <v>0</v>
      </c>
      <c r="O2346">
        <v>1.348749E-2</v>
      </c>
      <c r="P2346">
        <v>-0.99724290000000004</v>
      </c>
      <c r="Q2346">
        <v>7.3754760000000003E-2</v>
      </c>
      <c r="R2346">
        <v>-8.1623440000000002E-3</v>
      </c>
      <c r="S2346">
        <v>-3.01709</v>
      </c>
      <c r="T2346">
        <v>-0.1259854</v>
      </c>
      <c r="U2346">
        <v>-6.3842769999999993E-2</v>
      </c>
      <c r="V2346">
        <v>-2.11643E-2</v>
      </c>
      <c r="W2346">
        <v>8.1881599999999999E-2</v>
      </c>
      <c r="X2346">
        <v>0.99641729999999995</v>
      </c>
      <c r="Y2346">
        <v>-3.4596740000000001E-2</v>
      </c>
      <c r="Z2346">
        <v>-1.2848549999999999E-3</v>
      </c>
      <c r="AA2346">
        <v>0.99940059999999997</v>
      </c>
      <c r="AB2346">
        <v>33</v>
      </c>
      <c r="AC2346">
        <v>-26.0517</v>
      </c>
      <c r="AD2346">
        <v>-1.1012488290109901</v>
      </c>
      <c r="AE2346">
        <v>-0.56369999999998299</v>
      </c>
      <c r="AF2346">
        <v>-0.91340074169563301</v>
      </c>
      <c r="AG2346">
        <v>-1.1012488290109901</v>
      </c>
      <c r="AH2346">
        <v>25.9952979282257</v>
      </c>
      <c r="AI2346">
        <v>92.424298442985005</v>
      </c>
      <c r="AJ2346">
        <v>92.012382626267595</v>
      </c>
      <c r="AK2346">
        <v>26.034641619879199</v>
      </c>
      <c r="AL2346">
        <v>85.303271523124295</v>
      </c>
      <c r="AM2346">
        <v>91.216802192490505</v>
      </c>
      <c r="AN2346">
        <v>0.99999997987616895</v>
      </c>
    </row>
    <row r="2347" spans="1:40" x14ac:dyDescent="0.3">
      <c r="A2347" t="str">
        <f>"20200111150002233"</f>
        <v>20200111150002233</v>
      </c>
      <c r="B2347" t="str">
        <f>"1578726002228902"</f>
        <v>1578726002228902</v>
      </c>
      <c r="C2347" t="s">
        <v>40</v>
      </c>
      <c r="D2347">
        <v>4.3705470000000002</v>
      </c>
      <c r="E2347">
        <v>0.49524259999999898</v>
      </c>
      <c r="F2347" t="s">
        <v>62</v>
      </c>
      <c r="G2347">
        <v>-267.9769</v>
      </c>
      <c r="H2347" s="1">
        <v>2.7081209999999999E-6</v>
      </c>
      <c r="I2347">
        <v>280.88729999999998</v>
      </c>
      <c r="J2347">
        <v>-243.00890000000001</v>
      </c>
      <c r="K2347">
        <v>1.101167</v>
      </c>
      <c r="L2347">
        <v>281.3922</v>
      </c>
      <c r="M2347">
        <v>-0.99985760000000001</v>
      </c>
      <c r="N2347">
        <v>0</v>
      </c>
      <c r="O2347">
        <v>1.5262629999999999E-2</v>
      </c>
      <c r="P2347">
        <v>-0.99722900000000003</v>
      </c>
      <c r="Q2347">
        <v>7.408816E-2</v>
      </c>
      <c r="R2347">
        <v>-6.7504840000000002E-3</v>
      </c>
      <c r="S2347">
        <v>-3.017563</v>
      </c>
      <c r="T2347">
        <v>-0.13196359999999999</v>
      </c>
      <c r="U2347">
        <v>-5.9997559999999998E-2</v>
      </c>
      <c r="V2347">
        <v>-2.1532920000000001E-2</v>
      </c>
      <c r="W2347">
        <v>8.1388299999999997E-2</v>
      </c>
      <c r="X2347">
        <v>0.99644980000000005</v>
      </c>
      <c r="Y2347">
        <v>-3.508845E-2</v>
      </c>
      <c r="Z2347">
        <v>-1.433901E-3</v>
      </c>
      <c r="AA2347">
        <v>0.99938320000000003</v>
      </c>
      <c r="AB2347">
        <v>33</v>
      </c>
      <c r="AC2347">
        <v>-24.9679999999999</v>
      </c>
      <c r="AD2347">
        <v>-1.1011642918789999</v>
      </c>
      <c r="AE2347">
        <v>-0.50490000000002</v>
      </c>
      <c r="AF2347">
        <v>-0.88420925622447699</v>
      </c>
      <c r="AG2347">
        <v>-1.1011642918789999</v>
      </c>
      <c r="AH2347">
        <v>24.908955233125699</v>
      </c>
      <c r="AI2347">
        <v>92.529667658629407</v>
      </c>
      <c r="AJ2347">
        <v>92.0330116207857</v>
      </c>
      <c r="AK2347">
        <v>24.948956683844798</v>
      </c>
      <c r="AL2347">
        <v>85.331630105707703</v>
      </c>
      <c r="AM2347">
        <v>91.237948411466903</v>
      </c>
      <c r="AN2347">
        <v>0.99999996297032701</v>
      </c>
    </row>
    <row r="2348" spans="1:40" x14ac:dyDescent="0.3">
      <c r="A2348" t="str">
        <f>"20200111150002247"</f>
        <v>20200111150002247</v>
      </c>
      <c r="B2348" t="str">
        <f>"1578726002238662"</f>
        <v>1578726002238662</v>
      </c>
      <c r="C2348" t="s">
        <v>40</v>
      </c>
      <c r="D2348">
        <v>4.3469369999999996</v>
      </c>
      <c r="E2348">
        <v>0.49502109999999999</v>
      </c>
      <c r="F2348" t="s">
        <v>62</v>
      </c>
      <c r="G2348">
        <v>-268.74610000000001</v>
      </c>
      <c r="H2348" s="1">
        <v>3.1174699999999998E-6</v>
      </c>
      <c r="I2348">
        <v>280.90249999999997</v>
      </c>
      <c r="J2348">
        <v>-243.21619999999999</v>
      </c>
      <c r="K2348">
        <v>1.101073</v>
      </c>
      <c r="L2348">
        <v>281.39640000000003</v>
      </c>
      <c r="M2348">
        <v>-0.99983580000000005</v>
      </c>
      <c r="N2348">
        <v>0</v>
      </c>
      <c r="O2348">
        <v>1.6942800000000001E-2</v>
      </c>
      <c r="P2348">
        <v>-0.9972143</v>
      </c>
      <c r="Q2348">
        <v>7.4386079999999993E-2</v>
      </c>
      <c r="R2348">
        <v>-5.5241369999999897E-3</v>
      </c>
      <c r="S2348">
        <v>-3.0175320000000001</v>
      </c>
      <c r="T2348">
        <v>-0.12910439999999901</v>
      </c>
      <c r="U2348">
        <v>-5.7403559999999999E-2</v>
      </c>
      <c r="V2348">
        <v>-2.1987050000000001E-2</v>
      </c>
      <c r="W2348">
        <v>8.0913979999999996E-2</v>
      </c>
      <c r="X2348">
        <v>0.99647859999999999</v>
      </c>
      <c r="Y2348">
        <v>-3.590894E-2</v>
      </c>
      <c r="Z2348">
        <v>-1.492272E-3</v>
      </c>
      <c r="AA2348">
        <v>0.99935390000000002</v>
      </c>
      <c r="AB2348">
        <v>33</v>
      </c>
      <c r="AC2348">
        <v>-25.529900000000001</v>
      </c>
      <c r="AD2348">
        <v>-1.1010698825299901</v>
      </c>
      <c r="AE2348">
        <v>-0.49390000000005302</v>
      </c>
      <c r="AF2348">
        <v>-0.924666717896377</v>
      </c>
      <c r="AG2348">
        <v>-1.1010698825299901</v>
      </c>
      <c r="AH2348">
        <v>25.470507629024901</v>
      </c>
      <c r="AI2348">
        <v>92.473682519086296</v>
      </c>
      <c r="AJ2348">
        <v>92.079120093334595</v>
      </c>
      <c r="AK2348">
        <v>25.511058823686898</v>
      </c>
      <c r="AL2348">
        <v>85.358896982457594</v>
      </c>
      <c r="AM2348">
        <v>91.264011879866104</v>
      </c>
      <c r="AN2348">
        <v>1.00000005139255</v>
      </c>
    </row>
    <row r="2349" spans="1:40" x14ac:dyDescent="0.3">
      <c r="A2349" t="str">
        <f>"20200111150002264"</f>
        <v>20200111150002264</v>
      </c>
      <c r="B2349" t="str">
        <f>"1578726002258182"</f>
        <v>1578726002258182</v>
      </c>
      <c r="C2349" t="s">
        <v>40</v>
      </c>
      <c r="D2349">
        <v>4.350784</v>
      </c>
      <c r="E2349">
        <v>0.49471690000000001</v>
      </c>
      <c r="F2349" t="s">
        <v>62</v>
      </c>
      <c r="G2349">
        <v>-268.2953</v>
      </c>
      <c r="H2349" s="1">
        <v>2.8775340000000001E-6</v>
      </c>
      <c r="I2349">
        <v>280.93689999999998</v>
      </c>
      <c r="J2349">
        <v>-243.46289999999999</v>
      </c>
      <c r="K2349">
        <v>1.1009500000000001</v>
      </c>
      <c r="L2349">
        <v>281.40179999999998</v>
      </c>
      <c r="M2349">
        <v>-0.99980630000000004</v>
      </c>
      <c r="N2349">
        <v>0</v>
      </c>
      <c r="O2349">
        <v>1.8884160000000001E-2</v>
      </c>
      <c r="P2349">
        <v>-0.99715399999999998</v>
      </c>
      <c r="Q2349">
        <v>7.5278810000000002E-2</v>
      </c>
      <c r="R2349">
        <v>-4.2014670000000004E-3</v>
      </c>
      <c r="S2349">
        <v>-3.017944</v>
      </c>
      <c r="T2349">
        <v>-0.1324996</v>
      </c>
      <c r="U2349">
        <v>-5.5297850000000003E-2</v>
      </c>
      <c r="V2349">
        <v>-2.2595670000000002E-2</v>
      </c>
      <c r="W2349">
        <v>8.0942020000000003E-2</v>
      </c>
      <c r="X2349">
        <v>0.99646259999999998</v>
      </c>
      <c r="Y2349">
        <v>-3.7144000000000003E-2</v>
      </c>
      <c r="Z2349">
        <v>-1.643554E-3</v>
      </c>
      <c r="AA2349">
        <v>0.99930859999999999</v>
      </c>
      <c r="AB2349">
        <v>34</v>
      </c>
      <c r="AC2349">
        <v>-24.8324</v>
      </c>
      <c r="AD2349">
        <v>-1.1009471224659999</v>
      </c>
      <c r="AE2349">
        <v>-0.46489999999999998</v>
      </c>
      <c r="AF2349">
        <v>-0.93193215516960104</v>
      </c>
      <c r="AG2349">
        <v>-1.1009471224659999</v>
      </c>
      <c r="AH2349">
        <v>24.770520409240799</v>
      </c>
      <c r="AI2349">
        <v>92.543088596036199</v>
      </c>
      <c r="AJ2349">
        <v>92.154601782177394</v>
      </c>
      <c r="AK2349">
        <v>24.812482009120298</v>
      </c>
      <c r="AL2349">
        <v>85.357284622452894</v>
      </c>
      <c r="AM2349">
        <v>91.299009813172901</v>
      </c>
      <c r="AN2349">
        <v>0.99999994405159298</v>
      </c>
    </row>
    <row r="2350" spans="1:40" x14ac:dyDescent="0.3">
      <c r="A2350" t="str">
        <f>"20200111150002276"</f>
        <v>20200111150002276</v>
      </c>
      <c r="B2350" t="str">
        <f>"1578726002268919"</f>
        <v>1578726002268919</v>
      </c>
      <c r="C2350" t="s">
        <v>40</v>
      </c>
      <c r="D2350">
        <v>4.3708109999999998</v>
      </c>
      <c r="E2350">
        <v>0.49452740000000001</v>
      </c>
      <c r="F2350" t="s">
        <v>62</v>
      </c>
      <c r="G2350">
        <v>-269.50220000000002</v>
      </c>
      <c r="H2350" s="1">
        <v>3.5197989999999999E-6</v>
      </c>
      <c r="I2350">
        <v>280.9391</v>
      </c>
      <c r="J2350">
        <v>-243.6711</v>
      </c>
      <c r="K2350">
        <v>1.1008450000000001</v>
      </c>
      <c r="L2350">
        <v>281.40679999999998</v>
      </c>
      <c r="M2350">
        <v>-0.99977859999999996</v>
      </c>
      <c r="N2350">
        <v>0</v>
      </c>
      <c r="O2350">
        <v>2.0465549999999999E-2</v>
      </c>
      <c r="P2350">
        <v>-0.99708649999999999</v>
      </c>
      <c r="Q2350">
        <v>7.6235819999999996E-2</v>
      </c>
      <c r="R2350">
        <v>-2.6590530000000002E-3</v>
      </c>
      <c r="S2350">
        <v>-3.017944</v>
      </c>
      <c r="T2350">
        <v>-0.12759949999999901</v>
      </c>
      <c r="U2350">
        <v>-5.3619380000000001E-2</v>
      </c>
      <c r="V2350">
        <v>-2.2618389999999999E-2</v>
      </c>
      <c r="W2350">
        <v>8.1248100000000004E-2</v>
      </c>
      <c r="X2350">
        <v>0.99643729999999997</v>
      </c>
      <c r="Y2350">
        <v>-3.8170519999999999E-2</v>
      </c>
      <c r="Z2350">
        <v>-1.6713450000000001E-3</v>
      </c>
      <c r="AA2350">
        <v>0.99926979999999999</v>
      </c>
      <c r="AB2350">
        <v>34</v>
      </c>
      <c r="AC2350">
        <v>-25.831099999999999</v>
      </c>
      <c r="AD2350">
        <v>-1.100841480201</v>
      </c>
      <c r="AE2350">
        <v>-0.46769999999997902</v>
      </c>
      <c r="AF2350">
        <v>-0.99445050175173</v>
      </c>
      <c r="AG2350">
        <v>-1.100841480201</v>
      </c>
      <c r="AH2350">
        <v>25.769330987857899</v>
      </c>
      <c r="AI2350">
        <v>92.444317127708999</v>
      </c>
      <c r="AJ2350">
        <v>92.209974240778493</v>
      </c>
      <c r="AK2350">
        <v>25.8119972750413</v>
      </c>
      <c r="AL2350">
        <v>85.339690161601496</v>
      </c>
      <c r="AM2350">
        <v>91.300348526682896</v>
      </c>
      <c r="AN2350">
        <v>1.00000006907554</v>
      </c>
    </row>
    <row r="2351" spans="1:40" x14ac:dyDescent="0.3">
      <c r="A2351" t="str">
        <f>"20200111150002291"</f>
        <v>20200111150002291</v>
      </c>
      <c r="B2351" t="str">
        <f>"1578726002288128"</f>
        <v>1578726002288128</v>
      </c>
      <c r="C2351" t="s">
        <v>40</v>
      </c>
      <c r="D2351">
        <v>4.3560089999999896</v>
      </c>
      <c r="E2351">
        <v>0.4941178</v>
      </c>
      <c r="F2351" t="s">
        <v>62</v>
      </c>
      <c r="G2351">
        <v>-270.27370000000002</v>
      </c>
      <c r="H2351" s="1">
        <v>-1.231424E-6</v>
      </c>
      <c r="I2351">
        <v>280.9622</v>
      </c>
      <c r="J2351">
        <v>-243.87020000000001</v>
      </c>
      <c r="K2351">
        <v>1.1007530000000001</v>
      </c>
      <c r="L2351">
        <v>281.41199999999998</v>
      </c>
      <c r="M2351">
        <v>-0.99974980000000002</v>
      </c>
      <c r="N2351">
        <v>0</v>
      </c>
      <c r="O2351">
        <v>2.1928039999999999E-2</v>
      </c>
      <c r="P2351">
        <v>-0.99703660000000005</v>
      </c>
      <c r="Q2351">
        <v>7.6926949999999994E-2</v>
      </c>
      <c r="R2351">
        <v>-7.0744679999999998E-4</v>
      </c>
      <c r="S2351">
        <v>-3.0182039999999999</v>
      </c>
      <c r="T2351">
        <v>-0.1248968</v>
      </c>
      <c r="U2351">
        <v>-5.044556E-2</v>
      </c>
      <c r="V2351">
        <v>-2.2110609999999999E-2</v>
      </c>
      <c r="W2351">
        <v>8.143011E-2</v>
      </c>
      <c r="X2351">
        <v>0.99643380000000004</v>
      </c>
      <c r="Y2351">
        <v>-3.8580830000000003E-2</v>
      </c>
      <c r="Z2351">
        <v>-1.7048149999999999E-3</v>
      </c>
      <c r="AA2351">
        <v>0.99925399999999998</v>
      </c>
      <c r="AB2351">
        <v>34</v>
      </c>
      <c r="AC2351">
        <v>-26.403500000000001</v>
      </c>
      <c r="AD2351">
        <v>-1.100754231424</v>
      </c>
      <c r="AE2351">
        <v>-0.449800000000038</v>
      </c>
      <c r="AF2351">
        <v>-1.0268902428912401</v>
      </c>
      <c r="AG2351">
        <v>-1.100754231424</v>
      </c>
      <c r="AH2351">
        <v>26.3415187534838</v>
      </c>
      <c r="AI2351">
        <v>92.391058561779104</v>
      </c>
      <c r="AJ2351">
        <v>92.2324718423842</v>
      </c>
      <c r="AK2351">
        <v>26.384498738635902</v>
      </c>
      <c r="AL2351">
        <v>85.329226904247406</v>
      </c>
      <c r="AM2351">
        <v>91.271170018414495</v>
      </c>
      <c r="AN2351">
        <v>1.00000002983581</v>
      </c>
    </row>
    <row r="2352" spans="1:40" x14ac:dyDescent="0.3">
      <c r="A2352" t="str">
        <f>"20200111150002309"</f>
        <v>20200111150002309</v>
      </c>
      <c r="B2352" t="str">
        <f>"1578726002298864"</f>
        <v>1578726002298864</v>
      </c>
      <c r="C2352" t="s">
        <v>40</v>
      </c>
      <c r="D2352">
        <v>4.3485649999999998</v>
      </c>
      <c r="E2352">
        <v>0.49379960000000001</v>
      </c>
      <c r="F2352" t="s">
        <v>62</v>
      </c>
      <c r="G2352">
        <v>-271.40820000000002</v>
      </c>
      <c r="H2352" s="1">
        <v>-6.2828659999999997E-7</v>
      </c>
      <c r="I2352">
        <v>280.976</v>
      </c>
      <c r="J2352">
        <v>-244.1636</v>
      </c>
      <c r="K2352">
        <v>1.100652</v>
      </c>
      <c r="L2352">
        <v>281.42020000000002</v>
      </c>
      <c r="M2352">
        <v>-0.9997045</v>
      </c>
      <c r="N2352">
        <v>0</v>
      </c>
      <c r="O2352">
        <v>2.4004569999999999E-2</v>
      </c>
      <c r="P2352">
        <v>-0.99697780000000003</v>
      </c>
      <c r="Q2352">
        <v>7.7637620000000004E-2</v>
      </c>
      <c r="R2352">
        <v>2.7514000000000002E-3</v>
      </c>
      <c r="S2352">
        <v>-3.0181879999999999</v>
      </c>
      <c r="T2352">
        <v>-0.1206436</v>
      </c>
      <c r="U2352">
        <v>-4.7790529999999998E-2</v>
      </c>
      <c r="V2352">
        <v>-2.0698689999999999E-2</v>
      </c>
      <c r="W2352">
        <v>8.1591699999999906E-2</v>
      </c>
      <c r="X2352">
        <v>0.99645090000000003</v>
      </c>
      <c r="Y2352">
        <v>-3.9778439999999998E-2</v>
      </c>
      <c r="Z2352">
        <v>-1.753704E-3</v>
      </c>
      <c r="AA2352">
        <v>0.99920699999999996</v>
      </c>
      <c r="AB2352">
        <v>34</v>
      </c>
      <c r="AC2352">
        <v>-27.244599999999998</v>
      </c>
      <c r="AD2352">
        <v>-1.1006526282866</v>
      </c>
      <c r="AE2352">
        <v>-0.44420000000002302</v>
      </c>
      <c r="AF2352">
        <v>-1.09628297514484</v>
      </c>
      <c r="AG2352">
        <v>-1.1006526282866</v>
      </c>
      <c r="AH2352">
        <v>27.181735614742902</v>
      </c>
      <c r="AI2352">
        <v>92.316893029085705</v>
      </c>
      <c r="AJ2352">
        <v>92.309578904085797</v>
      </c>
      <c r="AK2352">
        <v>27.226090861516099</v>
      </c>
      <c r="AL2352">
        <v>85.319937516512397</v>
      </c>
      <c r="AM2352">
        <v>91.190000477202702</v>
      </c>
      <c r="AN2352">
        <v>1.0000000186936999</v>
      </c>
    </row>
    <row r="2353" spans="1:40" x14ac:dyDescent="0.3">
      <c r="A2353" t="str">
        <f>"20200111150002322"</f>
        <v>20200111150002322</v>
      </c>
      <c r="B2353" t="str">
        <f>"1578726002318384"</f>
        <v>1578726002318384</v>
      </c>
      <c r="C2353" t="s">
        <v>40</v>
      </c>
      <c r="D2353">
        <v>4.349164</v>
      </c>
      <c r="E2353">
        <v>0.49316559999999998</v>
      </c>
      <c r="F2353" t="s">
        <v>62</v>
      </c>
      <c r="G2353">
        <v>-272.2457</v>
      </c>
      <c r="H2353" s="1">
        <v>-1.8578070000000001E-7</v>
      </c>
      <c r="I2353">
        <v>281.048</v>
      </c>
      <c r="J2353">
        <v>-244.3732</v>
      </c>
      <c r="K2353">
        <v>1.100608</v>
      </c>
      <c r="L2353">
        <v>281.42649999999998</v>
      </c>
      <c r="M2353">
        <v>-0.99966999999999995</v>
      </c>
      <c r="N2353">
        <v>0</v>
      </c>
      <c r="O2353">
        <v>2.543956E-2</v>
      </c>
      <c r="P2353">
        <v>-0.99696050000000003</v>
      </c>
      <c r="Q2353">
        <v>7.7748780000000003E-2</v>
      </c>
      <c r="R2353">
        <v>5.0696769999999999E-3</v>
      </c>
      <c r="S2353">
        <v>-3.0184169999999999</v>
      </c>
      <c r="T2353">
        <v>-0.1183043</v>
      </c>
      <c r="U2353">
        <v>-4.0008540000000002E-2</v>
      </c>
      <c r="V2353">
        <v>-1.9796100000000001E-2</v>
      </c>
      <c r="W2353">
        <v>8.1467200000000004E-2</v>
      </c>
      <c r="X2353">
        <v>0.99647940000000002</v>
      </c>
      <c r="Y2353">
        <v>-3.8637659999999997E-2</v>
      </c>
      <c r="Z2353">
        <v>-1.753484E-3</v>
      </c>
      <c r="AA2353">
        <v>0.99925169999999996</v>
      </c>
      <c r="AB2353">
        <v>34</v>
      </c>
      <c r="AC2353">
        <v>-27.872499999999999</v>
      </c>
      <c r="AD2353">
        <v>-1.1006081857807</v>
      </c>
      <c r="AE2353">
        <v>-0.37849999999997402</v>
      </c>
      <c r="AF2353">
        <v>-1.0857535064788999</v>
      </c>
      <c r="AG2353">
        <v>-1.1006081857807</v>
      </c>
      <c r="AH2353">
        <v>27.810495043753999</v>
      </c>
      <c r="AI2353">
        <v>92.2645905586635</v>
      </c>
      <c r="AJ2353">
        <v>92.235757245504402</v>
      </c>
      <c r="AK2353">
        <v>27.853434862402601</v>
      </c>
      <c r="AL2353">
        <v>85.327094544602701</v>
      </c>
      <c r="AM2353">
        <v>91.138090565824498</v>
      </c>
      <c r="AN2353">
        <v>0.99999999243770499</v>
      </c>
    </row>
    <row r="2354" spans="1:40" x14ac:dyDescent="0.3">
      <c r="A2354" t="str">
        <f>"20200111150002342"</f>
        <v>20200111150002342</v>
      </c>
      <c r="B2354" t="str">
        <f>"1578726002338880"</f>
        <v>1578726002338880</v>
      </c>
      <c r="C2354" t="s">
        <v>40</v>
      </c>
      <c r="D2354">
        <v>4.3624580000000002</v>
      </c>
      <c r="E2354">
        <v>0.49235630000000002</v>
      </c>
      <c r="F2354" t="s">
        <v>62</v>
      </c>
      <c r="G2354">
        <v>-272.27190000000002</v>
      </c>
      <c r="H2354" s="1">
        <v>-1.7307649999999999E-7</v>
      </c>
      <c r="I2354">
        <v>281.07670000000002</v>
      </c>
      <c r="J2354">
        <v>-244.6874</v>
      </c>
      <c r="K2354">
        <v>1.1006309999999999</v>
      </c>
      <c r="L2354">
        <v>281.43669999999997</v>
      </c>
      <c r="M2354">
        <v>-0.99961390000000006</v>
      </c>
      <c r="N2354">
        <v>0</v>
      </c>
      <c r="O2354">
        <v>2.7560270000000001E-2</v>
      </c>
      <c r="P2354">
        <v>-0.99692270000000005</v>
      </c>
      <c r="Q2354">
        <v>7.7797820000000004E-2</v>
      </c>
      <c r="R2354">
        <v>9.6230469999999992E-3</v>
      </c>
      <c r="S2354">
        <v>-3.0186310000000001</v>
      </c>
      <c r="T2354">
        <v>-0.1190856</v>
      </c>
      <c r="U2354">
        <v>-3.7841800000000002E-2</v>
      </c>
      <c r="V2354">
        <v>-1.7340459999999999E-2</v>
      </c>
      <c r="W2354">
        <v>8.1447229999999995E-2</v>
      </c>
      <c r="X2354">
        <v>0.99652680000000005</v>
      </c>
      <c r="Y2354">
        <v>-4.003603E-2</v>
      </c>
      <c r="Z2354">
        <v>-1.87612E-3</v>
      </c>
      <c r="AA2354">
        <v>0.99919650000000004</v>
      </c>
      <c r="AB2354">
        <v>35</v>
      </c>
      <c r="AC2354">
        <v>-27.584499999999998</v>
      </c>
      <c r="AD2354">
        <v>-1.1006311730764999</v>
      </c>
      <c r="AE2354">
        <v>-0.35999999999995602</v>
      </c>
      <c r="AF2354">
        <v>-1.11832415148578</v>
      </c>
      <c r="AG2354">
        <v>-1.1006311730764999</v>
      </c>
      <c r="AH2354">
        <v>27.5202940732289</v>
      </c>
      <c r="AI2354">
        <v>92.288348065447195</v>
      </c>
      <c r="AJ2354">
        <v>92.327010725905097</v>
      </c>
      <c r="AK2354">
        <v>27.5649890942105</v>
      </c>
      <c r="AL2354">
        <v>85.3282426056833</v>
      </c>
      <c r="AM2354">
        <v>90.996897336954603</v>
      </c>
      <c r="AN2354">
        <v>1.0000000029729601</v>
      </c>
    </row>
    <row r="2355" spans="1:40" x14ac:dyDescent="0.3">
      <c r="A2355" t="str">
        <f>"20200111150002356"</f>
        <v>20200111150002356</v>
      </c>
      <c r="B2355" t="str">
        <f>"1578726002348640"</f>
        <v>1578726002348640</v>
      </c>
      <c r="C2355" t="s">
        <v>40</v>
      </c>
      <c r="D2355">
        <v>4.3482510000000003</v>
      </c>
      <c r="E2355">
        <v>0.49182330000000002</v>
      </c>
      <c r="F2355" t="s">
        <v>62</v>
      </c>
      <c r="G2355">
        <v>-272.952</v>
      </c>
      <c r="H2355" s="1">
        <v>1.8575219999999999E-7</v>
      </c>
      <c r="I2355">
        <v>281.14789999999999</v>
      </c>
      <c r="J2355">
        <v>-244.9118</v>
      </c>
      <c r="K2355">
        <v>1.1007</v>
      </c>
      <c r="L2355">
        <v>281.44459999999998</v>
      </c>
      <c r="M2355">
        <v>-0.9995695</v>
      </c>
      <c r="N2355">
        <v>0</v>
      </c>
      <c r="O2355">
        <v>2.9117549999999999E-2</v>
      </c>
      <c r="P2355">
        <v>-0.99687979999999998</v>
      </c>
      <c r="Q2355">
        <v>7.7925149999999999E-2</v>
      </c>
      <c r="R2355">
        <v>1.260154E-2</v>
      </c>
      <c r="S2355">
        <v>-3.018723</v>
      </c>
      <c r="T2355">
        <v>-0.1175495</v>
      </c>
      <c r="U2355">
        <v>-3.0853269999999999E-2</v>
      </c>
      <c r="V2355">
        <v>-1.590892E-2</v>
      </c>
      <c r="W2355">
        <v>8.1652539999999996E-2</v>
      </c>
      <c r="X2355">
        <v>0.99653389999999997</v>
      </c>
      <c r="Y2355">
        <v>-3.9280160000000001E-2</v>
      </c>
      <c r="Z2355">
        <v>-1.897791E-3</v>
      </c>
      <c r="AA2355">
        <v>0.99922650000000002</v>
      </c>
      <c r="AB2355">
        <v>35</v>
      </c>
      <c r="AC2355">
        <v>-28.040199999999999</v>
      </c>
      <c r="AD2355">
        <v>-1.1006998142477999</v>
      </c>
      <c r="AE2355">
        <v>-0.29669999999998697</v>
      </c>
      <c r="AF2355">
        <v>-1.1113291616632699</v>
      </c>
      <c r="AG2355">
        <v>-1.1006998142477999</v>
      </c>
      <c r="AH2355">
        <v>27.9765670294634</v>
      </c>
      <c r="AI2355">
        <v>92.251288443462002</v>
      </c>
      <c r="AJ2355">
        <v>92.274796984632104</v>
      </c>
      <c r="AK2355">
        <v>28.0202586594183</v>
      </c>
      <c r="AL2355">
        <v>85.316439988830197</v>
      </c>
      <c r="AM2355">
        <v>90.914606667260202</v>
      </c>
      <c r="AN2355">
        <v>1.0000000224366099</v>
      </c>
    </row>
    <row r="2356" spans="1:40" x14ac:dyDescent="0.3">
      <c r="A2356" t="str">
        <f>"20200111150002369"</f>
        <v>20200111150002369</v>
      </c>
      <c r="B2356" t="str">
        <f>"1578726002358418"</f>
        <v>1578726002358418</v>
      </c>
      <c r="C2356" t="s">
        <v>40</v>
      </c>
      <c r="D2356">
        <v>4.3560910000000002</v>
      </c>
      <c r="E2356">
        <v>0.4913555</v>
      </c>
      <c r="F2356" t="s">
        <v>62</v>
      </c>
      <c r="G2356">
        <v>-273.23070000000001</v>
      </c>
      <c r="H2356" s="1">
        <v>3.3196179999999998E-7</v>
      </c>
      <c r="I2356">
        <v>281.19529999999997</v>
      </c>
      <c r="J2356">
        <v>-245.10169999999999</v>
      </c>
      <c r="K2356">
        <v>1.1007800000000001</v>
      </c>
      <c r="L2356">
        <v>281.45150000000001</v>
      </c>
      <c r="M2356">
        <v>-0.99952830000000004</v>
      </c>
      <c r="N2356">
        <v>0</v>
      </c>
      <c r="O2356">
        <v>3.0480770000000001E-2</v>
      </c>
      <c r="P2356">
        <v>-0.99685310000000005</v>
      </c>
      <c r="Q2356">
        <v>7.7791959999999993E-2</v>
      </c>
      <c r="R2356">
        <v>1.524407E-2</v>
      </c>
      <c r="S2356">
        <v>-3.0188899999999999</v>
      </c>
      <c r="T2356">
        <v>-0.1173385</v>
      </c>
      <c r="U2356">
        <v>-2.658081E-2</v>
      </c>
      <c r="V2356">
        <v>-1.462785E-2</v>
      </c>
      <c r="W2356">
        <v>8.1627350000000001E-2</v>
      </c>
      <c r="X2356">
        <v>0.99655559999999999</v>
      </c>
      <c r="Y2356">
        <v>-3.9227570000000003E-2</v>
      </c>
      <c r="Z2356">
        <v>-1.946218E-3</v>
      </c>
      <c r="AA2356">
        <v>0.99922840000000002</v>
      </c>
      <c r="AB2356">
        <v>35</v>
      </c>
      <c r="AC2356">
        <v>-28.129000000000001</v>
      </c>
      <c r="AD2356">
        <v>-1.1007796680381901</v>
      </c>
      <c r="AE2356">
        <v>-0.25620000000003501</v>
      </c>
      <c r="AF2356">
        <v>-1.1117781301502201</v>
      </c>
      <c r="AG2356">
        <v>-1.1007796680381901</v>
      </c>
      <c r="AH2356">
        <v>28.065144791714001</v>
      </c>
      <c r="AI2356">
        <v>92.244362677655701</v>
      </c>
      <c r="AJ2356">
        <v>92.268540040752001</v>
      </c>
      <c r="AK2356">
        <v>28.108719619863901</v>
      </c>
      <c r="AL2356">
        <v>85.317888143999994</v>
      </c>
      <c r="AM2356">
        <v>90.8409504537304</v>
      </c>
      <c r="AN2356">
        <v>1.0000000310774999</v>
      </c>
    </row>
    <row r="2357" spans="1:40" x14ac:dyDescent="0.3">
      <c r="A2357" t="str">
        <f>"20200111150002387"</f>
        <v>20200111150002387</v>
      </c>
      <c r="B2357" t="str">
        <f>"1578726002378898"</f>
        <v>1578726002378898</v>
      </c>
      <c r="C2357" t="s">
        <v>40</v>
      </c>
      <c r="D2357">
        <v>4.2657829999999999</v>
      </c>
      <c r="E2357">
        <v>0.49130489999999999</v>
      </c>
      <c r="F2357" t="s">
        <v>62</v>
      </c>
      <c r="G2357">
        <v>-273.46550000000002</v>
      </c>
      <c r="H2357" s="1">
        <v>4.5516260000000002E-7</v>
      </c>
      <c r="I2357">
        <v>281.23559999999998</v>
      </c>
      <c r="J2357">
        <v>-245.38509999999999</v>
      </c>
      <c r="K2357">
        <v>1.100922</v>
      </c>
      <c r="L2357">
        <v>281.4624</v>
      </c>
      <c r="M2357">
        <v>-0.99946190000000001</v>
      </c>
      <c r="N2357">
        <v>0</v>
      </c>
      <c r="O2357">
        <v>3.2559320000000003E-2</v>
      </c>
      <c r="P2357">
        <v>-0.99681969999999998</v>
      </c>
      <c r="Q2357">
        <v>7.720428E-2</v>
      </c>
      <c r="R2357">
        <v>1.974505E-2</v>
      </c>
      <c r="S2357">
        <v>-3.018967</v>
      </c>
      <c r="T2357">
        <v>-0.117164</v>
      </c>
      <c r="U2357">
        <v>-2.2979739999999999E-2</v>
      </c>
      <c r="V2357">
        <v>-1.221183E-2</v>
      </c>
      <c r="W2357">
        <v>8.1236230000000006E-2</v>
      </c>
      <c r="X2357">
        <v>0.99662010000000001</v>
      </c>
      <c r="Y2357">
        <v>-4.0111460000000002E-2</v>
      </c>
      <c r="Z2357">
        <v>-2.041036E-3</v>
      </c>
      <c r="AA2357">
        <v>0.99919309999999995</v>
      </c>
      <c r="AB2357">
        <v>35</v>
      </c>
      <c r="AC2357">
        <v>-28.080400000000001</v>
      </c>
      <c r="AD2357">
        <v>-1.1009215448373999</v>
      </c>
      <c r="AE2357">
        <v>-0.22680000000002501</v>
      </c>
      <c r="AF2357">
        <v>-1.1392147135597199</v>
      </c>
      <c r="AG2357">
        <v>-1.1009215448373999</v>
      </c>
      <c r="AH2357">
        <v>28.015067606961399</v>
      </c>
      <c r="AI2357">
        <v>92.248565336479501</v>
      </c>
      <c r="AJ2357">
        <v>92.328613080640295</v>
      </c>
      <c r="AK2357">
        <v>28.059826290162601</v>
      </c>
      <c r="AL2357">
        <v>85.340372376630199</v>
      </c>
      <c r="AM2357">
        <v>90.702024076024003</v>
      </c>
      <c r="AN2357">
        <v>1.0000000387902801</v>
      </c>
    </row>
    <row r="2358" spans="1:40" x14ac:dyDescent="0.3">
      <c r="A2358" t="str">
        <f>"20200111150002399"</f>
        <v>20200111150002399</v>
      </c>
      <c r="B2358" t="str">
        <f>"1578726002388146"</f>
        <v>1578726002388146</v>
      </c>
      <c r="C2358" t="s">
        <v>40</v>
      </c>
      <c r="D2358">
        <v>4.2662069999999996</v>
      </c>
      <c r="E2358">
        <v>0.49102839999999998</v>
      </c>
      <c r="F2358" t="s">
        <v>62</v>
      </c>
      <c r="G2358">
        <v>-274.01420000000002</v>
      </c>
      <c r="H2358" s="1">
        <v>7.4155949999999996E-7</v>
      </c>
      <c r="I2358">
        <v>281.36309999999997</v>
      </c>
      <c r="J2358">
        <v>-245.5865</v>
      </c>
      <c r="K2358">
        <v>1.1010359999999999</v>
      </c>
      <c r="L2358">
        <v>281.47030000000001</v>
      </c>
      <c r="M2358">
        <v>-0.9994113</v>
      </c>
      <c r="N2358">
        <v>0</v>
      </c>
      <c r="O2358">
        <v>3.4057179999999999E-2</v>
      </c>
      <c r="P2358">
        <v>-0.99679410000000002</v>
      </c>
      <c r="Q2358">
        <v>7.6875620000000006E-2</v>
      </c>
      <c r="R2358">
        <v>2.218295E-2</v>
      </c>
      <c r="S2358">
        <v>-3.0187529999999998</v>
      </c>
      <c r="T2358">
        <v>-0.1160849</v>
      </c>
      <c r="U2358">
        <v>-1.0467529999999999E-2</v>
      </c>
      <c r="V2358">
        <v>-1.1278639999999999E-2</v>
      </c>
      <c r="W2358">
        <v>8.1070349999999999E-2</v>
      </c>
      <c r="X2358">
        <v>0.99664459999999999</v>
      </c>
      <c r="Y2358">
        <v>-3.7469879999999997E-2</v>
      </c>
      <c r="Z2358">
        <v>-2.0291839999999998E-3</v>
      </c>
      <c r="AA2358">
        <v>0.99929570000000001</v>
      </c>
      <c r="AB2358">
        <v>35</v>
      </c>
      <c r="AC2358">
        <v>-28.427700000000002</v>
      </c>
      <c r="AD2358">
        <v>-1.1010352584405001</v>
      </c>
      <c r="AE2358">
        <v>-0.107200000000034</v>
      </c>
      <c r="AF2358">
        <v>-1.0737027803407699</v>
      </c>
      <c r="AG2358">
        <v>-1.1010352584405001</v>
      </c>
      <c r="AH2358">
        <v>28.365007823416999</v>
      </c>
      <c r="AI2358">
        <v>92.221326334349797</v>
      </c>
      <c r="AJ2358">
        <v>92.167786483496002</v>
      </c>
      <c r="AK2358">
        <v>28.406667969393201</v>
      </c>
      <c r="AL2358">
        <v>85.349908030200794</v>
      </c>
      <c r="AM2358">
        <v>90.648366415296195</v>
      </c>
      <c r="AN2358">
        <v>1.0000000340392601</v>
      </c>
    </row>
    <row r="2359" spans="1:40" x14ac:dyDescent="0.3">
      <c r="A2359" t="str">
        <f>"20200111150002413"</f>
        <v>20200111150002413</v>
      </c>
      <c r="B2359" t="str">
        <f>"1578726002408642"</f>
        <v>1578726002408642</v>
      </c>
      <c r="C2359" t="s">
        <v>40</v>
      </c>
      <c r="D2359">
        <v>4.1665619999999999</v>
      </c>
      <c r="E2359">
        <v>0.49102040000000002</v>
      </c>
      <c r="F2359" t="s">
        <v>62</v>
      </c>
      <c r="G2359">
        <v>-274.51369999999997</v>
      </c>
      <c r="H2359" s="1">
        <v>1.005064E-6</v>
      </c>
      <c r="I2359">
        <v>281.41590000000002</v>
      </c>
      <c r="J2359">
        <v>-245.79480000000001</v>
      </c>
      <c r="K2359">
        <v>1.101156</v>
      </c>
      <c r="L2359">
        <v>281.47890000000001</v>
      </c>
      <c r="M2359">
        <v>-0.99935669999999999</v>
      </c>
      <c r="N2359">
        <v>0</v>
      </c>
      <c r="O2359">
        <v>3.5599810000000003E-2</v>
      </c>
      <c r="P2359">
        <v>-0.99675879999999994</v>
      </c>
      <c r="Q2359">
        <v>7.6521800000000001E-2</v>
      </c>
      <c r="R2359">
        <v>2.4823310000000001E-2</v>
      </c>
      <c r="S2359">
        <v>-3.0186160000000002</v>
      </c>
      <c r="T2359">
        <v>-0.11489530000000001</v>
      </c>
      <c r="U2359">
        <v>-5.6762699999999998E-3</v>
      </c>
      <c r="V2359">
        <v>-1.01919E-2</v>
      </c>
      <c r="W2359">
        <v>8.0897819999999995E-2</v>
      </c>
      <c r="X2359">
        <v>0.99667030000000001</v>
      </c>
      <c r="Y2359">
        <v>-3.7426439999999998E-2</v>
      </c>
      <c r="Z2359">
        <v>-2.0663360000000002E-3</v>
      </c>
      <c r="AA2359">
        <v>0.99929730000000005</v>
      </c>
      <c r="AB2359">
        <v>35</v>
      </c>
      <c r="AC2359">
        <v>-28.718899999999898</v>
      </c>
      <c r="AD2359">
        <v>-1.101154994936</v>
      </c>
      <c r="AE2359">
        <v>-6.2999999999988093E-2</v>
      </c>
      <c r="AF2359">
        <v>-1.0837637930461701</v>
      </c>
      <c r="AG2359">
        <v>-1.101154994936</v>
      </c>
      <c r="AH2359">
        <v>28.656323821609</v>
      </c>
      <c r="AI2359">
        <v>92.19900861088</v>
      </c>
      <c r="AJ2359">
        <v>92.165857426341802</v>
      </c>
      <c r="AK2359">
        <v>28.697943850577602</v>
      </c>
      <c r="AL2359">
        <v>85.359825732730997</v>
      </c>
      <c r="AM2359">
        <v>90.585883317520896</v>
      </c>
      <c r="AN2359">
        <v>1.0000000095042201</v>
      </c>
    </row>
    <row r="2360" spans="1:40" x14ac:dyDescent="0.3">
      <c r="A2360" t="str">
        <f>"20200111150002432"</f>
        <v>20200111150002432</v>
      </c>
      <c r="B2360" t="str">
        <f>"1578726002428163"</f>
        <v>1578726002428163</v>
      </c>
      <c r="C2360" t="s">
        <v>40</v>
      </c>
      <c r="D2360">
        <v>4.2376719999999999</v>
      </c>
      <c r="E2360">
        <v>0.4905274</v>
      </c>
      <c r="F2360" t="s">
        <v>62</v>
      </c>
      <c r="G2360">
        <v>-274.40069999999997</v>
      </c>
      <c r="H2360" s="1">
        <v>9.4130559999999998E-7</v>
      </c>
      <c r="I2360">
        <v>281.49849999999998</v>
      </c>
      <c r="J2360">
        <v>-246.07210000000001</v>
      </c>
      <c r="K2360">
        <v>1.101316</v>
      </c>
      <c r="L2360">
        <v>281.49059999999997</v>
      </c>
      <c r="M2360">
        <v>-0.99928240000000002</v>
      </c>
      <c r="N2360">
        <v>0</v>
      </c>
      <c r="O2360">
        <v>3.7598369999999999E-2</v>
      </c>
      <c r="P2360">
        <v>-0.99669450000000004</v>
      </c>
      <c r="Q2360">
        <v>7.5790090000000004E-2</v>
      </c>
      <c r="R2360">
        <v>2.925848E-2</v>
      </c>
      <c r="S2360">
        <v>-3.0186160000000002</v>
      </c>
      <c r="T2360">
        <v>-0.1161985</v>
      </c>
      <c r="U2360">
        <v>2.0751950000000002E-3</v>
      </c>
      <c r="V2360">
        <v>-7.773645E-3</v>
      </c>
      <c r="W2360">
        <v>8.0405909999999997E-2</v>
      </c>
      <c r="X2360">
        <v>0.9967319</v>
      </c>
      <c r="Y2360">
        <v>-3.6856640000000003E-2</v>
      </c>
      <c r="Z2360">
        <v>-2.1556460000000002E-3</v>
      </c>
      <c r="AA2360">
        <v>0.99931820000000005</v>
      </c>
      <c r="AB2360">
        <v>35</v>
      </c>
      <c r="AC2360">
        <v>-28.328599999999899</v>
      </c>
      <c r="AD2360">
        <v>-1.1013150586943901</v>
      </c>
      <c r="AE2360">
        <v>7.9000000000064505E-3</v>
      </c>
      <c r="AF2360">
        <v>-1.0556305235107399</v>
      </c>
      <c r="AG2360">
        <v>-1.1013150586943901</v>
      </c>
      <c r="AH2360">
        <v>28.266145531620101</v>
      </c>
      <c r="AI2360">
        <v>92.229696006689494</v>
      </c>
      <c r="AJ2360">
        <v>92.138780397008205</v>
      </c>
      <c r="AK2360">
        <v>28.307282347046399</v>
      </c>
      <c r="AL2360">
        <v>85.388102218250197</v>
      </c>
      <c r="AM2360">
        <v>90.446848364758296</v>
      </c>
      <c r="AN2360">
        <v>1.00000001019856</v>
      </c>
    </row>
    <row r="2361" spans="1:40" x14ac:dyDescent="0.3">
      <c r="A2361" t="str">
        <f>"20200111150002444"</f>
        <v>20200111150002444</v>
      </c>
      <c r="B2361" t="str">
        <f>"1578726002438898"</f>
        <v>1578726002438898</v>
      </c>
      <c r="C2361" t="s">
        <v>40</v>
      </c>
      <c r="D2361">
        <v>4.2184819999999998</v>
      </c>
      <c r="E2361">
        <v>0.48996590000000001</v>
      </c>
      <c r="F2361" t="s">
        <v>62</v>
      </c>
      <c r="G2361">
        <v>-275.13619999999997</v>
      </c>
      <c r="H2361" s="1">
        <v>1.3285029999999999E-6</v>
      </c>
      <c r="I2361">
        <v>281.59559999999999</v>
      </c>
      <c r="J2361">
        <v>-246.27610000000001</v>
      </c>
      <c r="K2361">
        <v>1.1014330000000001</v>
      </c>
      <c r="L2361">
        <v>281.49950000000001</v>
      </c>
      <c r="M2361">
        <v>-0.99922739999999999</v>
      </c>
      <c r="N2361">
        <v>0</v>
      </c>
      <c r="O2361">
        <v>3.9013239999999998E-2</v>
      </c>
      <c r="P2361">
        <v>-0.99663939999999995</v>
      </c>
      <c r="Q2361">
        <v>7.5340019999999994E-2</v>
      </c>
      <c r="R2361">
        <v>3.2152989999999999E-2</v>
      </c>
      <c r="S2361">
        <v>-3.0183110000000002</v>
      </c>
      <c r="T2361">
        <v>-0.1143715</v>
      </c>
      <c r="U2361">
        <v>1.089478E-2</v>
      </c>
      <c r="V2361">
        <v>-6.3084889999999996E-3</v>
      </c>
      <c r="W2361">
        <v>8.0135460000000006E-2</v>
      </c>
      <c r="X2361">
        <v>0.99676399999999998</v>
      </c>
      <c r="Y2361">
        <v>-3.5353280000000001E-2</v>
      </c>
      <c r="Z2361">
        <v>-2.147057E-3</v>
      </c>
      <c r="AA2361">
        <v>0.9993725</v>
      </c>
      <c r="AB2361">
        <v>35</v>
      </c>
      <c r="AC2361">
        <v>-28.8600999999999</v>
      </c>
      <c r="AD2361">
        <v>-1.1014316714969901</v>
      </c>
      <c r="AE2361">
        <v>9.6099999999978494E-2</v>
      </c>
      <c r="AF2361">
        <v>-1.0284139780213699</v>
      </c>
      <c r="AG2361">
        <v>-1.1014316714969901</v>
      </c>
      <c r="AH2361">
        <v>28.799929845352899</v>
      </c>
      <c r="AI2361">
        <v>92.188772967690895</v>
      </c>
      <c r="AJ2361">
        <v>92.045100627420794</v>
      </c>
      <c r="AK2361">
        <v>28.839326381426002</v>
      </c>
      <c r="AL2361">
        <v>85.403647888905994</v>
      </c>
      <c r="AM2361">
        <v>90.362618402009304</v>
      </c>
      <c r="AN2361">
        <v>0.99999998033943704</v>
      </c>
    </row>
    <row r="2362" spans="1:40" x14ac:dyDescent="0.3">
      <c r="A2362" t="str">
        <f>"20200111150002456"</f>
        <v>20200111150002456</v>
      </c>
      <c r="B2362" t="str">
        <f>"1578726002448658"</f>
        <v>1578726002448658</v>
      </c>
      <c r="C2362" t="s">
        <v>40</v>
      </c>
      <c r="D2362">
        <v>4.1801079999999997</v>
      </c>
      <c r="E2362">
        <v>0.48966559999999998</v>
      </c>
      <c r="F2362" t="s">
        <v>62</v>
      </c>
      <c r="G2362">
        <v>-275.39080000000001</v>
      </c>
      <c r="H2362" s="1">
        <v>1.461927E-6</v>
      </c>
      <c r="I2362">
        <v>281.6429</v>
      </c>
      <c r="J2362">
        <v>-246.48220000000001</v>
      </c>
      <c r="K2362">
        <v>1.1015459999999999</v>
      </c>
      <c r="L2362">
        <v>281.50869999999998</v>
      </c>
      <c r="M2362">
        <v>-0.99917250000000002</v>
      </c>
      <c r="N2362">
        <v>0</v>
      </c>
      <c r="O2362">
        <v>4.037201E-2</v>
      </c>
      <c r="P2362">
        <v>-0.99660780000000004</v>
      </c>
      <c r="Q2362">
        <v>7.4634510000000001E-2</v>
      </c>
      <c r="R2362">
        <v>3.4682400000000002E-2</v>
      </c>
      <c r="S2362">
        <v>-3.0182799999999999</v>
      </c>
      <c r="T2362">
        <v>-0.11418349999999999</v>
      </c>
      <c r="U2362">
        <v>1.486206E-2</v>
      </c>
      <c r="V2362">
        <v>-5.1542130000000004E-3</v>
      </c>
      <c r="W2362">
        <v>7.9611199999999993E-2</v>
      </c>
      <c r="X2362">
        <v>0.99681260000000005</v>
      </c>
      <c r="Y2362">
        <v>-3.539788E-2</v>
      </c>
      <c r="Z2362">
        <v>-2.1957330000000001E-3</v>
      </c>
      <c r="AA2362">
        <v>0.99937089999999995</v>
      </c>
      <c r="AB2362">
        <v>35</v>
      </c>
      <c r="AC2362">
        <v>-28.9086</v>
      </c>
      <c r="AD2362">
        <v>-1.101544538073</v>
      </c>
      <c r="AE2362">
        <v>0.134200000000021</v>
      </c>
      <c r="AF2362">
        <v>-1.03152426635712</v>
      </c>
      <c r="AG2362">
        <v>-1.101544538073</v>
      </c>
      <c r="AH2362">
        <v>28.848563146056499</v>
      </c>
      <c r="AI2362">
        <v>92.185306668763801</v>
      </c>
      <c r="AJ2362">
        <v>92.047825330789706</v>
      </c>
      <c r="AK2362">
        <v>28.888008554994801</v>
      </c>
      <c r="AL2362">
        <v>85.433781842542004</v>
      </c>
      <c r="AM2362">
        <v>90.296256307155303</v>
      </c>
      <c r="AN2362">
        <v>0.999999934297922</v>
      </c>
    </row>
    <row r="2363" spans="1:40" x14ac:dyDescent="0.3">
      <c r="A2363" t="str">
        <f>"20200111150002469"</f>
        <v>20200111150002469</v>
      </c>
      <c r="B2363" t="str">
        <f>"1578726002458418"</f>
        <v>1578726002458418</v>
      </c>
      <c r="C2363" t="s">
        <v>40</v>
      </c>
      <c r="D2363">
        <v>4.1484540000000001</v>
      </c>
      <c r="E2363">
        <v>0.48966559999999998</v>
      </c>
      <c r="F2363" t="s">
        <v>62</v>
      </c>
      <c r="G2363">
        <v>-275.94900000000001</v>
      </c>
      <c r="H2363" s="1">
        <v>1.7563839999999901E-6</v>
      </c>
      <c r="I2363">
        <v>281.70179999999999</v>
      </c>
      <c r="J2363">
        <v>-246.66829999999999</v>
      </c>
      <c r="K2363">
        <v>1.1016459999999999</v>
      </c>
      <c r="L2363">
        <v>281.5172</v>
      </c>
      <c r="M2363">
        <v>-0.99912460000000003</v>
      </c>
      <c r="N2363">
        <v>0</v>
      </c>
      <c r="O2363">
        <v>4.1521240000000001E-2</v>
      </c>
      <c r="P2363">
        <v>-0.99656820000000002</v>
      </c>
      <c r="Q2363">
        <v>7.392891E-2</v>
      </c>
      <c r="R2363">
        <v>3.7238090000000001E-2</v>
      </c>
      <c r="S2363">
        <v>-3.01796</v>
      </c>
      <c r="T2363">
        <v>-0.112819</v>
      </c>
      <c r="U2363">
        <v>1.977539E-2</v>
      </c>
      <c r="V2363">
        <v>-3.76407E-3</v>
      </c>
      <c r="W2363">
        <v>7.9062179999999996E-2</v>
      </c>
      <c r="X2363">
        <v>0.99686260000000004</v>
      </c>
      <c r="Y2363">
        <v>-3.4920739999999999E-2</v>
      </c>
      <c r="Z2363">
        <v>-2.2037210000000001E-3</v>
      </c>
      <c r="AA2363">
        <v>0.99938769999999999</v>
      </c>
      <c r="AB2363">
        <v>35</v>
      </c>
      <c r="AC2363">
        <v>-29.2807</v>
      </c>
      <c r="AD2363">
        <v>-1.1016442436160001</v>
      </c>
      <c r="AE2363">
        <v>0.184599999999988</v>
      </c>
      <c r="AF2363">
        <v>-1.0298882067309401</v>
      </c>
      <c r="AG2363">
        <v>-1.1016442436160001</v>
      </c>
      <c r="AH2363">
        <v>29.221750524127199</v>
      </c>
      <c r="AI2363">
        <v>92.157659201293896</v>
      </c>
      <c r="AJ2363">
        <v>92.018490772859195</v>
      </c>
      <c r="AK2363">
        <v>29.2606389788771</v>
      </c>
      <c r="AL2363">
        <v>85.465338231299398</v>
      </c>
      <c r="AM2363">
        <v>90.216343054547096</v>
      </c>
      <c r="AN2363">
        <v>1.00000001990403</v>
      </c>
    </row>
    <row r="2364" spans="1:40" x14ac:dyDescent="0.3">
      <c r="A2364" t="str">
        <f>"20200111150002501"</f>
        <v>20200111150002501</v>
      </c>
      <c r="B2364" t="str">
        <f>"1578726002498435"</f>
        <v>1578726002498435</v>
      </c>
      <c r="C2364" t="s">
        <v>40</v>
      </c>
      <c r="D2364">
        <v>4.077782</v>
      </c>
      <c r="E2364">
        <v>0.4378591</v>
      </c>
      <c r="F2364" t="s">
        <v>62</v>
      </c>
      <c r="G2364">
        <v>-275.59800000000001</v>
      </c>
      <c r="H2364" s="1">
        <v>1.5661600000000001E-6</v>
      </c>
      <c r="I2364">
        <v>281.78019999999998</v>
      </c>
      <c r="J2364">
        <v>-247.17019999999999</v>
      </c>
      <c r="K2364">
        <v>1.1019099999999999</v>
      </c>
      <c r="L2364">
        <v>281.54070000000002</v>
      </c>
      <c r="M2364">
        <v>-0.99900259999999996</v>
      </c>
      <c r="N2364">
        <v>0</v>
      </c>
      <c r="O2364">
        <v>4.4307430000000002E-2</v>
      </c>
      <c r="P2364">
        <v>-0.99656979999999995</v>
      </c>
      <c r="Q2364">
        <v>7.1199129999999999E-2</v>
      </c>
      <c r="R2364">
        <v>4.2185140000000003E-2</v>
      </c>
      <c r="S2364">
        <v>-3.0178530000000001</v>
      </c>
      <c r="T2364">
        <v>-0.1149201</v>
      </c>
      <c r="U2364">
        <v>2.7435299999999999E-2</v>
      </c>
      <c r="V2364">
        <v>-1.6581279999999901E-3</v>
      </c>
      <c r="W2364">
        <v>7.6742290000000005E-2</v>
      </c>
      <c r="X2364">
        <v>0.99704959999999998</v>
      </c>
      <c r="Y2364">
        <v>-3.5166999999999997E-2</v>
      </c>
      <c r="Z2364">
        <v>-2.3554370000000002E-3</v>
      </c>
      <c r="AA2364">
        <v>0.99937869999999995</v>
      </c>
      <c r="AB2364">
        <v>35</v>
      </c>
      <c r="AC2364">
        <v>-28.427800000000001</v>
      </c>
      <c r="AD2364">
        <v>-1.10190843384</v>
      </c>
      <c r="AE2364">
        <v>0.23949999999996399</v>
      </c>
      <c r="AF2364">
        <v>-1.01878669259526</v>
      </c>
      <c r="AG2364">
        <v>-1.10190843384</v>
      </c>
      <c r="AH2364">
        <v>28.367874505019401</v>
      </c>
      <c r="AI2364">
        <v>92.2230204206287</v>
      </c>
      <c r="AJ2364">
        <v>92.056802017461393</v>
      </c>
      <c r="AK2364">
        <v>28.4075418235036</v>
      </c>
      <c r="AL2364">
        <v>85.598663325396402</v>
      </c>
      <c r="AM2364">
        <v>90.095284776914895</v>
      </c>
      <c r="AN2364">
        <v>1.0000000166615299</v>
      </c>
    </row>
    <row r="2365" spans="1:40" x14ac:dyDescent="0.3">
      <c r="A2365" t="str">
        <f>"20200111150002514"</f>
        <v>20200111150002514</v>
      </c>
      <c r="B2365" t="str">
        <f>"1578726002508194"</f>
        <v>1578726002508194</v>
      </c>
      <c r="C2365" t="s">
        <v>40</v>
      </c>
      <c r="D2365">
        <v>4.1948540000000003</v>
      </c>
      <c r="E2365">
        <v>0.43460389999999999</v>
      </c>
      <c r="F2365" t="s">
        <v>71</v>
      </c>
      <c r="G2365">
        <v>-354.96030000000002</v>
      </c>
      <c r="H2365">
        <v>0.84984590000000004</v>
      </c>
      <c r="I2365">
        <v>268.36970000000002</v>
      </c>
      <c r="J2365">
        <v>-247.37799999999999</v>
      </c>
      <c r="K2365">
        <v>1.102023</v>
      </c>
      <c r="L2365">
        <v>281.55079999999998</v>
      </c>
      <c r="M2365">
        <v>-0.99895880000000004</v>
      </c>
      <c r="N2365">
        <v>0</v>
      </c>
      <c r="O2365">
        <v>4.5264100000000002E-2</v>
      </c>
      <c r="P2365">
        <v>-0.99658040000000003</v>
      </c>
      <c r="Q2365">
        <v>7.0491059999999994E-2</v>
      </c>
      <c r="R2365">
        <v>4.3115559999999997E-2</v>
      </c>
      <c r="S2365">
        <v>-3.0264890000000002</v>
      </c>
      <c r="T2365">
        <v>-7.0753099999999996E-3</v>
      </c>
      <c r="U2365">
        <v>-0.36981199999999997</v>
      </c>
      <c r="V2365">
        <v>-1.7062189999999999E-3</v>
      </c>
      <c r="W2365">
        <v>7.6191250000000002E-2</v>
      </c>
      <c r="X2365">
        <v>0.99709179999999997</v>
      </c>
      <c r="Y2365">
        <v>-0.1660954</v>
      </c>
      <c r="Z2365">
        <v>-2.9890219999999999E-4</v>
      </c>
      <c r="AA2365">
        <v>0.98610969999999998</v>
      </c>
      <c r="AB2365">
        <v>35</v>
      </c>
      <c r="AC2365">
        <v>-107.5823</v>
      </c>
      <c r="AD2365">
        <v>-0.25217709999999899</v>
      </c>
      <c r="AE2365">
        <v>-13.181099999999899</v>
      </c>
      <c r="AF2365">
        <v>-18.037187086377799</v>
      </c>
      <c r="AG2365">
        <v>-0.25217709999999899</v>
      </c>
      <c r="AH2365">
        <v>106.874811658146</v>
      </c>
      <c r="AI2365">
        <v>90.133307184958397</v>
      </c>
      <c r="AJ2365">
        <v>99.579498073085205</v>
      </c>
      <c r="AK2365">
        <v>108.386480145094</v>
      </c>
      <c r="AL2365">
        <v>85.630328394626801</v>
      </c>
      <c r="AM2365">
        <v>90.098044184302793</v>
      </c>
      <c r="AN2365">
        <v>1.0000000376935301</v>
      </c>
    </row>
    <row r="2366" spans="1:40" x14ac:dyDescent="0.3">
      <c r="A2366" t="str">
        <f>"20200111150002531"</f>
        <v>20200111150002531</v>
      </c>
      <c r="B2366" t="str">
        <f>"1578726002528690"</f>
        <v>1578726002528690</v>
      </c>
      <c r="C2366" t="s">
        <v>40</v>
      </c>
      <c r="D2366">
        <v>4.1272859999999998</v>
      </c>
      <c r="E2366">
        <v>0.43081049999999899</v>
      </c>
      <c r="F2366" t="s">
        <v>43</v>
      </c>
      <c r="G2366">
        <v>-338.03379999999999</v>
      </c>
      <c r="H2366">
        <v>-0.05</v>
      </c>
      <c r="I2366">
        <v>269.78969999999998</v>
      </c>
      <c r="J2366">
        <v>-247.64709999999999</v>
      </c>
      <c r="K2366">
        <v>1.102174</v>
      </c>
      <c r="L2366">
        <v>281.56389999999999</v>
      </c>
      <c r="M2366">
        <v>-0.99890630000000002</v>
      </c>
      <c r="N2366">
        <v>0</v>
      </c>
      <c r="O2366">
        <v>4.6382739999999999E-2</v>
      </c>
      <c r="P2366">
        <v>-0.99660910000000003</v>
      </c>
      <c r="Q2366">
        <v>7.0049630000000002E-2</v>
      </c>
      <c r="R2366">
        <v>4.3172670000000003E-2</v>
      </c>
      <c r="S2366">
        <v>-3.030014</v>
      </c>
      <c r="T2366">
        <v>-3.8504360000000001E-2</v>
      </c>
      <c r="U2366">
        <v>-0.39309690000000003</v>
      </c>
      <c r="V2366">
        <v>-2.7950509999999998E-3</v>
      </c>
      <c r="W2366">
        <v>7.5946399999999997E-2</v>
      </c>
      <c r="X2366">
        <v>0.99710799999999999</v>
      </c>
      <c r="Y2366">
        <v>-0.17449819999999999</v>
      </c>
      <c r="Z2366">
        <v>-1.691286E-3</v>
      </c>
      <c r="AA2366">
        <v>0.98465599999999998</v>
      </c>
      <c r="AB2366">
        <v>35</v>
      </c>
      <c r="AC2366">
        <v>-90.386700000000005</v>
      </c>
      <c r="AD2366">
        <v>-1.152174</v>
      </c>
      <c r="AE2366">
        <v>-11.7742</v>
      </c>
      <c r="AF2366">
        <v>-15.9514346231507</v>
      </c>
      <c r="AG2366">
        <v>-1.152174</v>
      </c>
      <c r="AH2366">
        <v>89.728951193731504</v>
      </c>
      <c r="AI2366">
        <v>90.724316844773099</v>
      </c>
      <c r="AJ2366">
        <v>100.080363441977</v>
      </c>
      <c r="AK2366">
        <v>91.143076828632402</v>
      </c>
      <c r="AL2366">
        <v>85.644397936100304</v>
      </c>
      <c r="AM2366">
        <v>90.160608686691901</v>
      </c>
      <c r="AN2366">
        <v>1.00000001582352</v>
      </c>
    </row>
    <row r="2367" spans="1:40" x14ac:dyDescent="0.3">
      <c r="A2367" t="str">
        <f>"20200111150002544"</f>
        <v>20200111150002544</v>
      </c>
      <c r="B2367" t="str">
        <f>"1578726002538450"</f>
        <v>1578726002538450</v>
      </c>
      <c r="C2367" t="s">
        <v>40</v>
      </c>
      <c r="D2367">
        <v>4.1376429999999997</v>
      </c>
      <c r="E2367">
        <v>0.4295445</v>
      </c>
      <c r="F2367" t="s">
        <v>66</v>
      </c>
      <c r="G2367">
        <v>-296.54689999999999</v>
      </c>
      <c r="H2367" s="1">
        <v>5.3861370000000004E-6</v>
      </c>
      <c r="I2367">
        <v>274.7457</v>
      </c>
      <c r="J2367">
        <v>-247.8536</v>
      </c>
      <c r="K2367">
        <v>1.102301</v>
      </c>
      <c r="L2367">
        <v>281.57420000000002</v>
      </c>
      <c r="M2367">
        <v>-0.99887009999999998</v>
      </c>
      <c r="N2367">
        <v>0</v>
      </c>
      <c r="O2367">
        <v>4.7139279999999999E-2</v>
      </c>
      <c r="P2367">
        <v>-0.99657099999999998</v>
      </c>
      <c r="Q2367">
        <v>7.0492260000000001E-2</v>
      </c>
      <c r="R2367">
        <v>4.3327869999999997E-2</v>
      </c>
      <c r="S2367">
        <v>-3.033325</v>
      </c>
      <c r="T2367">
        <v>-6.8369150000000004E-2</v>
      </c>
      <c r="U2367">
        <v>-0.42294310000000002</v>
      </c>
      <c r="V2367">
        <v>-3.4129939999999999E-3</v>
      </c>
      <c r="W2367">
        <v>7.6529780000000006E-2</v>
      </c>
      <c r="X2367">
        <v>0.99706139999999999</v>
      </c>
      <c r="Y2367">
        <v>-0.1845734</v>
      </c>
      <c r="Z2367">
        <v>-3.1276429999999998E-3</v>
      </c>
      <c r="AA2367">
        <v>0.98281379999999996</v>
      </c>
      <c r="AB2367">
        <v>35</v>
      </c>
      <c r="AC2367">
        <v>-48.693300000000001</v>
      </c>
      <c r="AD2367">
        <v>-1.102295613863</v>
      </c>
      <c r="AE2367">
        <v>-6.8285000000000098</v>
      </c>
      <c r="AF2367">
        <v>-9.11173823081214</v>
      </c>
      <c r="AG2367">
        <v>-1.102295613863</v>
      </c>
      <c r="AH2367">
        <v>48.2929997313394</v>
      </c>
      <c r="AI2367">
        <v>91.284895976553898</v>
      </c>
      <c r="AJ2367">
        <v>100.68474226048799</v>
      </c>
      <c r="AK2367">
        <v>49.157427233921901</v>
      </c>
      <c r="AL2367">
        <v>85.610874852019506</v>
      </c>
      <c r="AM2367">
        <v>90.196125722985599</v>
      </c>
      <c r="AN2367">
        <v>0.999999945562424</v>
      </c>
    </row>
    <row r="2368" spans="1:40" x14ac:dyDescent="0.3">
      <c r="A2368" t="str">
        <f>"20200111150002556"</f>
        <v>20200111150002556</v>
      </c>
      <c r="B2368" t="str">
        <f>"1578726002548210"</f>
        <v>1578726002548210</v>
      </c>
      <c r="C2368" t="s">
        <v>40</v>
      </c>
      <c r="D2368">
        <v>4.1894960000000001</v>
      </c>
      <c r="E2368">
        <v>0.42846060000000002</v>
      </c>
      <c r="F2368" t="s">
        <v>66</v>
      </c>
      <c r="G2368">
        <v>-288.3648</v>
      </c>
      <c r="H2368">
        <v>8.0001610000000001E-2</v>
      </c>
      <c r="I2368">
        <v>275.80110000000002</v>
      </c>
      <c r="J2368">
        <v>-248.0651</v>
      </c>
      <c r="K2368">
        <v>1.102436</v>
      </c>
      <c r="L2368">
        <v>281.5847</v>
      </c>
      <c r="M2368">
        <v>-0.99883820000000001</v>
      </c>
      <c r="N2368">
        <v>0</v>
      </c>
      <c r="O2368">
        <v>4.779133E-2</v>
      </c>
      <c r="P2368">
        <v>-0.99650309999999998</v>
      </c>
      <c r="Q2368">
        <v>7.1378570000000002E-2</v>
      </c>
      <c r="R2368">
        <v>4.3436570000000001E-2</v>
      </c>
      <c r="S2368">
        <v>-3.0345309999999999</v>
      </c>
      <c r="T2368">
        <v>-7.6576350000000001E-2</v>
      </c>
      <c r="U2368">
        <v>-0.43243409999999899</v>
      </c>
      <c r="V2368">
        <v>-3.9736939999999998E-3</v>
      </c>
      <c r="W2368">
        <v>7.754954E-2</v>
      </c>
      <c r="X2368">
        <v>0.99698059999999999</v>
      </c>
      <c r="Y2368">
        <v>-0.18815850000000001</v>
      </c>
      <c r="Z2368">
        <v>-3.5622480000000001E-3</v>
      </c>
      <c r="AA2368">
        <v>0.98213220000000001</v>
      </c>
      <c r="AB2368">
        <v>35</v>
      </c>
      <c r="AC2368">
        <v>-40.299700000000001</v>
      </c>
      <c r="AD2368">
        <v>-1.0224343899999999</v>
      </c>
      <c r="AE2368">
        <v>-5.7835999999999697</v>
      </c>
      <c r="AF2368">
        <v>-7.6981490390919198</v>
      </c>
      <c r="AG2368">
        <v>-1.0224343899999999</v>
      </c>
      <c r="AH2368">
        <v>39.952041030477602</v>
      </c>
      <c r="AI2368">
        <v>91.439499976159595</v>
      </c>
      <c r="AJ2368">
        <v>100.90635894891599</v>
      </c>
      <c r="AK2368">
        <v>40.699784436909397</v>
      </c>
      <c r="AL2368">
        <v>85.552273066010997</v>
      </c>
      <c r="AM2368">
        <v>90.228364212569204</v>
      </c>
      <c r="AN2368">
        <v>1.00000001908728</v>
      </c>
    </row>
    <row r="2369" spans="1:40" x14ac:dyDescent="0.3">
      <c r="A2369" t="str">
        <f>"20200111150002570"</f>
        <v>20200111150002570</v>
      </c>
      <c r="B2369" t="str">
        <f>"1578726002557970"</f>
        <v>1578726002557970</v>
      </c>
      <c r="C2369" t="s">
        <v>40</v>
      </c>
      <c r="D2369">
        <v>4.0443009999999999</v>
      </c>
      <c r="E2369">
        <v>0.42862149999999999</v>
      </c>
      <c r="F2369" t="s">
        <v>66</v>
      </c>
      <c r="G2369">
        <v>-285.31139999999999</v>
      </c>
      <c r="H2369">
        <v>8.0001199999999995E-2</v>
      </c>
      <c r="I2369">
        <v>276.17230000000001</v>
      </c>
      <c r="J2369">
        <v>-248.26730000000001</v>
      </c>
      <c r="K2369">
        <v>1.102576</v>
      </c>
      <c r="L2369">
        <v>281.59480000000002</v>
      </c>
      <c r="M2369">
        <v>-0.99881350000000002</v>
      </c>
      <c r="N2369">
        <v>0</v>
      </c>
      <c r="O2369">
        <v>4.8291359999999998E-2</v>
      </c>
      <c r="P2369">
        <v>-0.99643789999999999</v>
      </c>
      <c r="Q2369">
        <v>7.2295819999999997E-2</v>
      </c>
      <c r="R2369">
        <v>4.3417440000000002E-2</v>
      </c>
      <c r="S2369">
        <v>-3.0357210000000001</v>
      </c>
      <c r="T2369">
        <v>-8.3332539999999997E-2</v>
      </c>
      <c r="U2369">
        <v>-0.44113160000000001</v>
      </c>
      <c r="V2369">
        <v>-4.5114760000000004E-3</v>
      </c>
      <c r="W2369">
        <v>7.8584920000000003E-2</v>
      </c>
      <c r="X2369">
        <v>0.99689720000000004</v>
      </c>
      <c r="Y2369">
        <v>-0.19133729999999999</v>
      </c>
      <c r="Z2369">
        <v>-3.9312180000000002E-3</v>
      </c>
      <c r="AA2369">
        <v>0.98151650000000001</v>
      </c>
      <c r="AB2369">
        <v>35</v>
      </c>
      <c r="AC2369">
        <v>-37.044099999999901</v>
      </c>
      <c r="AD2369">
        <v>-1.0225747999999999</v>
      </c>
      <c r="AE2369">
        <v>-5.4225000000000101</v>
      </c>
      <c r="AF2369">
        <v>-7.1997475227894299</v>
      </c>
      <c r="AG2369">
        <v>-1.0225747999999999</v>
      </c>
      <c r="AH2369">
        <v>36.711626307159698</v>
      </c>
      <c r="AI2369">
        <v>91.565707933949497</v>
      </c>
      <c r="AJ2369">
        <v>101.095811183541</v>
      </c>
      <c r="AK2369">
        <v>37.424931926859301</v>
      </c>
      <c r="AL2369">
        <v>85.4927684052671</v>
      </c>
      <c r="AM2369">
        <v>90.259291298595599</v>
      </c>
      <c r="AN2369">
        <v>0.99999998521747202</v>
      </c>
    </row>
    <row r="2370" spans="1:40" x14ac:dyDescent="0.3">
      <c r="A2370" t="str">
        <f>"20200111150002589"</f>
        <v>20200111150002589</v>
      </c>
      <c r="B2370" t="str">
        <f>"1578726002578484"</f>
        <v>1578726002578484</v>
      </c>
      <c r="C2370" t="s">
        <v>40</v>
      </c>
      <c r="D2370">
        <v>4.253126</v>
      </c>
      <c r="E2370">
        <v>0.42711379999999999</v>
      </c>
      <c r="F2370" t="s">
        <v>62</v>
      </c>
      <c r="G2370">
        <v>-278.83339999999998</v>
      </c>
      <c r="H2370">
        <v>8.0000660000000001E-2</v>
      </c>
      <c r="I2370">
        <v>277.17070000000001</v>
      </c>
      <c r="J2370">
        <v>-248.566</v>
      </c>
      <c r="K2370">
        <v>1.1027929999999999</v>
      </c>
      <c r="L2370">
        <v>281.60980000000001</v>
      </c>
      <c r="M2370">
        <v>-0.99878440000000002</v>
      </c>
      <c r="N2370">
        <v>0</v>
      </c>
      <c r="O2370">
        <v>4.8867439999999998E-2</v>
      </c>
      <c r="P2370">
        <v>-0.99636610000000003</v>
      </c>
      <c r="Q2370">
        <v>7.3450360000000006E-2</v>
      </c>
      <c r="R2370">
        <v>4.3120940000000003E-2</v>
      </c>
      <c r="S2370">
        <v>-3.0372309999999998</v>
      </c>
      <c r="T2370">
        <v>-0.10160909999999999</v>
      </c>
      <c r="U2370">
        <v>-0.43960569999999999</v>
      </c>
      <c r="V2370">
        <v>-5.4155109999999996E-3</v>
      </c>
      <c r="W2370">
        <v>7.9901620000000007E-2</v>
      </c>
      <c r="X2370">
        <v>0.99678800000000001</v>
      </c>
      <c r="Y2370">
        <v>-0.1913078</v>
      </c>
      <c r="Z2370">
        <v>-4.8094870000000003E-3</v>
      </c>
      <c r="AA2370">
        <v>0.98151829999999995</v>
      </c>
      <c r="AB2370">
        <v>35</v>
      </c>
      <c r="AC2370">
        <v>-30.267399999999999</v>
      </c>
      <c r="AD2370">
        <v>-1.0227923400000001</v>
      </c>
      <c r="AE2370">
        <v>-4.4390999999999901</v>
      </c>
      <c r="AF2370">
        <v>-5.9063151036650998</v>
      </c>
      <c r="AG2370">
        <v>-1.0227923400000001</v>
      </c>
      <c r="AH2370">
        <v>29.980791318013299</v>
      </c>
      <c r="AI2370">
        <v>91.9170647214968</v>
      </c>
      <c r="AJ2370">
        <v>101.144743762009</v>
      </c>
      <c r="AK2370">
        <v>30.574147744929999</v>
      </c>
      <c r="AL2370">
        <v>85.417088926842297</v>
      </c>
      <c r="AM2370">
        <v>90.311282711419096</v>
      </c>
      <c r="AN2370">
        <v>0.99999995679100595</v>
      </c>
    </row>
    <row r="2371" spans="1:40" x14ac:dyDescent="0.3">
      <c r="A2371" t="str">
        <f>"20200111150002602"</f>
        <v>20200111150002602</v>
      </c>
      <c r="B2371" t="str">
        <f>"1578726002597986"</f>
        <v>1578726002597986</v>
      </c>
      <c r="C2371" t="s">
        <v>40</v>
      </c>
      <c r="D2371">
        <v>4.3161769999999997</v>
      </c>
      <c r="E2371">
        <v>0.42597469999999998</v>
      </c>
      <c r="F2371" t="s">
        <v>66</v>
      </c>
      <c r="G2371">
        <v>-284.23849999999999</v>
      </c>
      <c r="H2371">
        <v>8.0001290000000003E-2</v>
      </c>
      <c r="I2371">
        <v>276.30090000000001</v>
      </c>
      <c r="J2371">
        <v>-248.78960000000001</v>
      </c>
      <c r="K2371">
        <v>1.1029530000000001</v>
      </c>
      <c r="L2371">
        <v>281.62099999999998</v>
      </c>
      <c r="M2371">
        <v>-0.99876880000000001</v>
      </c>
      <c r="N2371">
        <v>0</v>
      </c>
      <c r="O2371">
        <v>4.9173149999999999E-2</v>
      </c>
      <c r="P2371">
        <v>-0.99638059999999995</v>
      </c>
      <c r="Q2371">
        <v>7.3419890000000002E-2</v>
      </c>
      <c r="R2371">
        <v>4.2844640000000003E-2</v>
      </c>
      <c r="S2371">
        <v>-3.0369419999999998</v>
      </c>
      <c r="T2371">
        <v>-8.7074159999999998E-2</v>
      </c>
      <c r="U2371">
        <v>-0.45196530000000001</v>
      </c>
      <c r="V2371">
        <v>-6.0281390000000001E-3</v>
      </c>
      <c r="W2371">
        <v>7.9983360000000003E-2</v>
      </c>
      <c r="X2371">
        <v>0.99677800000000005</v>
      </c>
      <c r="Y2371">
        <v>-0.19556319999999999</v>
      </c>
      <c r="Z2371">
        <v>-4.190399E-3</v>
      </c>
      <c r="AA2371">
        <v>0.9806821</v>
      </c>
      <c r="AB2371">
        <v>36</v>
      </c>
      <c r="AC2371">
        <v>-35.448899999999902</v>
      </c>
      <c r="AD2371">
        <v>-1.0229517100000001</v>
      </c>
      <c r="AE2371">
        <v>-5.3200999999999601</v>
      </c>
      <c r="AF2371">
        <v>-7.0510929623549199</v>
      </c>
      <c r="AG2371">
        <v>-1.0229517100000001</v>
      </c>
      <c r="AH2371">
        <v>35.115804941397101</v>
      </c>
      <c r="AI2371">
        <v>91.635964472218504</v>
      </c>
      <c r="AJ2371">
        <v>101.353747369845</v>
      </c>
      <c r="AK2371">
        <v>35.831328454957003</v>
      </c>
      <c r="AL2371">
        <v>85.412390863406799</v>
      </c>
      <c r="AM2371">
        <v>90.346499132616202</v>
      </c>
      <c r="AN2371">
        <v>1.0000000288103399</v>
      </c>
    </row>
    <row r="2372" spans="1:40" x14ac:dyDescent="0.3">
      <c r="A2372" t="str">
        <f>"20200111150002621"</f>
        <v>20200111150002621</v>
      </c>
      <c r="B2372" t="str">
        <f>"1578726002618482"</f>
        <v>1578726002618482</v>
      </c>
      <c r="C2372" t="s">
        <v>40</v>
      </c>
      <c r="D2372">
        <v>4.2327139999999996</v>
      </c>
      <c r="E2372">
        <v>0.42522349999999998</v>
      </c>
      <c r="F2372" t="s">
        <v>66</v>
      </c>
      <c r="G2372">
        <v>-286.85250000000002</v>
      </c>
      <c r="H2372">
        <v>8.0001420000000004E-2</v>
      </c>
      <c r="I2372">
        <v>275.83789999999999</v>
      </c>
      <c r="J2372">
        <v>-249.07740000000001</v>
      </c>
      <c r="K2372">
        <v>1.1031550000000001</v>
      </c>
      <c r="L2372">
        <v>281.6354</v>
      </c>
      <c r="M2372">
        <v>-0.99875700000000001</v>
      </c>
      <c r="N2372">
        <v>0</v>
      </c>
      <c r="O2372">
        <v>4.9390549999999998E-2</v>
      </c>
      <c r="P2372">
        <v>-0.99638070000000001</v>
      </c>
      <c r="Q2372">
        <v>7.3703690000000002E-2</v>
      </c>
      <c r="R2372">
        <v>4.2346500000000002E-2</v>
      </c>
      <c r="S2372">
        <v>-3.0367739999999999</v>
      </c>
      <c r="T2372">
        <v>-8.1614140000000002E-2</v>
      </c>
      <c r="U2372">
        <v>-0.46139530000000001</v>
      </c>
      <c r="V2372">
        <v>-6.7817379999999998E-3</v>
      </c>
      <c r="W2372">
        <v>8.0398310000000001E-2</v>
      </c>
      <c r="X2372">
        <v>0.99673970000000001</v>
      </c>
      <c r="Y2372">
        <v>-0.19877230000000001</v>
      </c>
      <c r="Z2372">
        <v>-3.9757569999999999E-3</v>
      </c>
      <c r="AA2372">
        <v>0.98003759999999995</v>
      </c>
      <c r="AB2372">
        <v>36</v>
      </c>
      <c r="AC2372">
        <v>-37.775100000000002</v>
      </c>
      <c r="AD2372">
        <v>-1.02315357999999</v>
      </c>
      <c r="AE2372">
        <v>-5.7975000000000101</v>
      </c>
      <c r="AF2372">
        <v>-7.6507155013481398</v>
      </c>
      <c r="AG2372">
        <v>-1.02315357999999</v>
      </c>
      <c r="AH2372">
        <v>37.415829549323398</v>
      </c>
      <c r="AI2372">
        <v>91.5346511955387</v>
      </c>
      <c r="AJ2372">
        <v>101.55642330666601</v>
      </c>
      <c r="AK2372">
        <v>38.2037248418902</v>
      </c>
      <c r="AL2372">
        <v>85.388538824895505</v>
      </c>
      <c r="AM2372">
        <v>90.389829931866998</v>
      </c>
      <c r="AN2372">
        <v>0.99999995488862203</v>
      </c>
    </row>
    <row r="2373" spans="1:40" x14ac:dyDescent="0.3">
      <c r="A2373" t="str">
        <f>"20200111150002633"</f>
        <v>20200111150002633</v>
      </c>
      <c r="B2373" t="str">
        <f>"1578726002628242"</f>
        <v>1578726002628242</v>
      </c>
      <c r="C2373" t="s">
        <v>40</v>
      </c>
      <c r="D2373">
        <v>4.2123889999999999</v>
      </c>
      <c r="E2373">
        <v>0.42485230000000002</v>
      </c>
      <c r="F2373" t="s">
        <v>66</v>
      </c>
      <c r="G2373">
        <v>-293.49990000000003</v>
      </c>
      <c r="H2373" s="1">
        <v>4.7001019999999997E-6</v>
      </c>
      <c r="I2373">
        <v>274.7851</v>
      </c>
      <c r="J2373">
        <v>-249.27699999999999</v>
      </c>
      <c r="K2373">
        <v>1.1032919999999999</v>
      </c>
      <c r="L2373">
        <v>281.64530000000002</v>
      </c>
      <c r="M2373">
        <v>-0.99875579999999997</v>
      </c>
      <c r="N2373">
        <v>0</v>
      </c>
      <c r="O2373">
        <v>4.9407369999999999E-2</v>
      </c>
      <c r="P2373">
        <v>-0.99639250000000001</v>
      </c>
      <c r="Q2373">
        <v>7.3727470000000003E-2</v>
      </c>
      <c r="R2373">
        <v>4.2031060000000002E-2</v>
      </c>
      <c r="S2373">
        <v>-3.036362</v>
      </c>
      <c r="T2373">
        <v>-7.5402499999999997E-2</v>
      </c>
      <c r="U2373">
        <v>-0.46823120000000001</v>
      </c>
      <c r="V2373">
        <v>-7.1409899999999998E-3</v>
      </c>
      <c r="W2373">
        <v>8.0502879999999999E-2</v>
      </c>
      <c r="X2373">
        <v>0.99672879999999997</v>
      </c>
      <c r="Y2373">
        <v>-0.20097619999999999</v>
      </c>
      <c r="Z2373">
        <v>-3.7007609999999999E-3</v>
      </c>
      <c r="AA2373">
        <v>0.97958920000000005</v>
      </c>
      <c r="AB2373">
        <v>36</v>
      </c>
      <c r="AC2373">
        <v>-44.222900000000003</v>
      </c>
      <c r="AD2373">
        <v>-1.1032872998979999</v>
      </c>
      <c r="AE2373">
        <v>-6.8602000000000096</v>
      </c>
      <c r="AF2373">
        <v>-9.0313193340426903</v>
      </c>
      <c r="AG2373">
        <v>-1.1032872998979999</v>
      </c>
      <c r="AH2373">
        <v>43.803313019688098</v>
      </c>
      <c r="AI2373">
        <v>91.413110619873805</v>
      </c>
      <c r="AJ2373">
        <v>101.649933573856</v>
      </c>
      <c r="AK2373">
        <v>44.738263302014197</v>
      </c>
      <c r="AL2373">
        <v>85.382528148868602</v>
      </c>
      <c r="AM2373">
        <v>90.410484364818402</v>
      </c>
      <c r="AN2373">
        <v>1.00000000408795</v>
      </c>
    </row>
    <row r="2374" spans="1:40" x14ac:dyDescent="0.3">
      <c r="A2374" t="str">
        <f>"20200111150002646"</f>
        <v>20200111150002646</v>
      </c>
      <c r="B2374" t="str">
        <f>"1578726002638978"</f>
        <v>1578726002638978</v>
      </c>
      <c r="C2374" t="s">
        <v>40</v>
      </c>
      <c r="D2374">
        <v>4.1986600000000003</v>
      </c>
      <c r="E2374">
        <v>0.42456090000000002</v>
      </c>
      <c r="F2374" t="s">
        <v>66</v>
      </c>
      <c r="G2374">
        <v>-295.59640000000002</v>
      </c>
      <c r="H2374" s="1">
        <v>5.2696840000000001E-6</v>
      </c>
      <c r="I2374">
        <v>274.44650000000001</v>
      </c>
      <c r="J2374">
        <v>-249.48330000000001</v>
      </c>
      <c r="K2374">
        <v>1.1034299999999999</v>
      </c>
      <c r="L2374">
        <v>281.65550000000002</v>
      </c>
      <c r="M2374">
        <v>-0.99875740000000002</v>
      </c>
      <c r="N2374">
        <v>0</v>
      </c>
      <c r="O2374">
        <v>4.936426E-2</v>
      </c>
      <c r="P2374">
        <v>-0.99639489999999997</v>
      </c>
      <c r="Q2374">
        <v>7.383721E-2</v>
      </c>
      <c r="R2374">
        <v>4.1777670000000003E-2</v>
      </c>
      <c r="S2374">
        <v>-3.0361180000000001</v>
      </c>
      <c r="T2374">
        <v>-7.2317599999999996E-2</v>
      </c>
      <c r="U2374">
        <v>-0.47186280000000003</v>
      </c>
      <c r="V2374">
        <v>-7.3785150000000004E-3</v>
      </c>
      <c r="W2374">
        <v>8.0691559999999996E-2</v>
      </c>
      <c r="X2374">
        <v>0.99671180000000004</v>
      </c>
      <c r="Y2374">
        <v>-0.20209569999999999</v>
      </c>
      <c r="Z2374">
        <v>-3.5615960000000002E-3</v>
      </c>
      <c r="AA2374">
        <v>0.97935930000000004</v>
      </c>
      <c r="AB2374">
        <v>36</v>
      </c>
      <c r="AC2374">
        <v>-46.113100000000003</v>
      </c>
      <c r="AD2374">
        <v>-1.1034247303160001</v>
      </c>
      <c r="AE2374">
        <v>-7.2089999999999996</v>
      </c>
      <c r="AF2374">
        <v>-9.4713093200816196</v>
      </c>
      <c r="AG2374">
        <v>-1.1034247303160001</v>
      </c>
      <c r="AH2374">
        <v>45.675473945187903</v>
      </c>
      <c r="AI2374">
        <v>91.355062871473905</v>
      </c>
      <c r="AJ2374">
        <v>101.714882229468</v>
      </c>
      <c r="AK2374">
        <v>46.660177523126499</v>
      </c>
      <c r="AL2374">
        <v>85.371682237654596</v>
      </c>
      <c r="AM2374">
        <v>90.424144718793798</v>
      </c>
      <c r="AN2374">
        <v>0.99999999129903905</v>
      </c>
    </row>
    <row r="2375" spans="1:40" x14ac:dyDescent="0.3">
      <c r="A2375" t="str">
        <f>"20200111150002667"</f>
        <v>20200111150002667</v>
      </c>
      <c r="B2375" t="str">
        <f>"1578726002658498"</f>
        <v>1578726002658498</v>
      </c>
      <c r="C2375" t="s">
        <v>40</v>
      </c>
      <c r="D2375">
        <v>4.3337580000000004</v>
      </c>
      <c r="E2375">
        <v>0.42393249999999999</v>
      </c>
      <c r="F2375" t="s">
        <v>66</v>
      </c>
      <c r="G2375">
        <v>-298.4538</v>
      </c>
      <c r="H2375" s="1">
        <v>6.0617220000000001E-6</v>
      </c>
      <c r="I2375">
        <v>273.9982</v>
      </c>
      <c r="J2375">
        <v>-249.80629999999999</v>
      </c>
      <c r="K2375">
        <v>1.1036379999999999</v>
      </c>
      <c r="L2375">
        <v>281.67129999999997</v>
      </c>
      <c r="M2375">
        <v>-0.9987684</v>
      </c>
      <c r="N2375">
        <v>0</v>
      </c>
      <c r="O2375">
        <v>4.9122140000000002E-2</v>
      </c>
      <c r="P2375">
        <v>-0.99633819999999995</v>
      </c>
      <c r="Q2375">
        <v>7.4366169999999995E-2</v>
      </c>
      <c r="R2375">
        <v>4.2190890000000002E-2</v>
      </c>
      <c r="S2375">
        <v>-3.0358429999999998</v>
      </c>
      <c r="T2375">
        <v>-6.8404909999999999E-2</v>
      </c>
      <c r="U2375">
        <v>-0.47470089999999998</v>
      </c>
      <c r="V2375">
        <v>-6.7622119999999897E-3</v>
      </c>
      <c r="W2375">
        <v>8.1333180000000005E-2</v>
      </c>
      <c r="X2375">
        <v>0.99666399999999999</v>
      </c>
      <c r="Y2375">
        <v>-0.2027728</v>
      </c>
      <c r="Z2375">
        <v>-3.3711689999999998E-3</v>
      </c>
      <c r="AA2375">
        <v>0.97921999999999998</v>
      </c>
      <c r="AB2375">
        <v>36</v>
      </c>
      <c r="AC2375">
        <v>-48.647500000000001</v>
      </c>
      <c r="AD2375">
        <v>-1.103631938278</v>
      </c>
      <c r="AE2375">
        <v>-7.6730999999999696</v>
      </c>
      <c r="AF2375">
        <v>-10.0485178001531</v>
      </c>
      <c r="AG2375">
        <v>-1.103631938278</v>
      </c>
      <c r="AH2375">
        <v>48.187641949931198</v>
      </c>
      <c r="AI2375">
        <v>91.284385813615501</v>
      </c>
      <c r="AJ2375">
        <v>101.779029639063</v>
      </c>
      <c r="AK2375">
        <v>49.2365672049743</v>
      </c>
      <c r="AL2375">
        <v>85.334798793040903</v>
      </c>
      <c r="AM2375">
        <v>90.388737089616995</v>
      </c>
      <c r="AN2375">
        <v>0.99999997128802198</v>
      </c>
    </row>
    <row r="2376" spans="1:40" x14ac:dyDescent="0.3">
      <c r="A2376" t="str">
        <f>"20200111150002678"</f>
        <v>20200111150002678</v>
      </c>
      <c r="B2376" t="str">
        <f>"1578726002658498"</f>
        <v>1578726002658498</v>
      </c>
      <c r="C2376" t="s">
        <v>40</v>
      </c>
      <c r="D2376">
        <v>4.3337580000000004</v>
      </c>
      <c r="E2376">
        <v>0.42393249999999999</v>
      </c>
      <c r="F2376" t="s">
        <v>66</v>
      </c>
      <c r="G2376">
        <v>-304.33120000000002</v>
      </c>
      <c r="H2376" s="1">
        <v>5.6161780000000004E-6</v>
      </c>
      <c r="I2376">
        <v>273.0711</v>
      </c>
      <c r="J2376">
        <v>-250.01390000000001</v>
      </c>
      <c r="K2376">
        <v>1.103772</v>
      </c>
      <c r="L2376">
        <v>281.6814</v>
      </c>
      <c r="M2376">
        <v>-0.99878029999999995</v>
      </c>
      <c r="N2376">
        <v>0</v>
      </c>
      <c r="O2376">
        <v>4.8872369999999998E-2</v>
      </c>
      <c r="P2376">
        <v>-0.99633039999999995</v>
      </c>
      <c r="Q2376">
        <v>7.4543239999999997E-2</v>
      </c>
      <c r="R2376">
        <v>4.20624E-2</v>
      </c>
      <c r="S2376">
        <v>-3.035873</v>
      </c>
      <c r="T2376">
        <v>-6.144881E-2</v>
      </c>
      <c r="U2376">
        <v>-0.47885129999999998</v>
      </c>
      <c r="V2376">
        <v>-6.6679799999999996E-3</v>
      </c>
      <c r="W2376">
        <v>8.1576499999999996E-2</v>
      </c>
      <c r="X2376">
        <v>0.9966448</v>
      </c>
      <c r="Y2376">
        <v>-0.20384469999999999</v>
      </c>
      <c r="Z2376">
        <v>-3.0338380000000001E-3</v>
      </c>
      <c r="AA2376">
        <v>0.97899849999999999</v>
      </c>
      <c r="AB2376">
        <v>36</v>
      </c>
      <c r="AC2376">
        <v>-54.317300000000003</v>
      </c>
      <c r="AD2376">
        <v>-1.103766383822</v>
      </c>
      <c r="AE2376">
        <v>-8.6102999999999899</v>
      </c>
      <c r="AF2376">
        <v>-11.250159543273</v>
      </c>
      <c r="AG2376">
        <v>-1.103766383822</v>
      </c>
      <c r="AH2376">
        <v>53.809898035673797</v>
      </c>
      <c r="AI2376">
        <v>91.150241675368093</v>
      </c>
      <c r="AJ2376">
        <v>101.80886179869999</v>
      </c>
      <c r="AK2376">
        <v>54.984447952023402</v>
      </c>
      <c r="AL2376">
        <v>85.3208113423116</v>
      </c>
      <c r="AM2376">
        <v>90.383327552258905</v>
      </c>
      <c r="AN2376">
        <v>1.0000000223382799</v>
      </c>
    </row>
    <row r="2377" spans="1:40" x14ac:dyDescent="0.3">
      <c r="A2377" t="str">
        <f>"20200111150002692"</f>
        <v>20200111150002692</v>
      </c>
      <c r="B2377" t="str">
        <f>"1578726002688754"</f>
        <v>1578726002688754</v>
      </c>
      <c r="C2377" t="s">
        <v>40</v>
      </c>
      <c r="D2377">
        <v>4.2065570000000001</v>
      </c>
      <c r="E2377">
        <v>0.42393249999999999</v>
      </c>
      <c r="F2377" t="s">
        <v>66</v>
      </c>
      <c r="G2377">
        <v>-305.19540000000001</v>
      </c>
      <c r="H2377" s="1">
        <v>5.451255E-6</v>
      </c>
      <c r="I2377">
        <v>272.97030000000001</v>
      </c>
      <c r="J2377">
        <v>-250.22309999999999</v>
      </c>
      <c r="K2377">
        <v>1.1038969999999999</v>
      </c>
      <c r="L2377">
        <v>281.69130000000001</v>
      </c>
      <c r="M2377">
        <v>-0.9987973</v>
      </c>
      <c r="N2377">
        <v>0</v>
      </c>
      <c r="O2377">
        <v>4.8511249999999999E-2</v>
      </c>
      <c r="P2377">
        <v>-0.99632589999999999</v>
      </c>
      <c r="Q2377">
        <v>7.4744459999999999E-2</v>
      </c>
      <c r="R2377">
        <v>4.1808890000000001E-2</v>
      </c>
      <c r="S2377">
        <v>-3.0358429999999998</v>
      </c>
      <c r="T2377">
        <v>-6.0724380000000001E-2</v>
      </c>
      <c r="U2377">
        <v>-0.47924800000000001</v>
      </c>
      <c r="V2377">
        <v>-6.5860959999999996E-3</v>
      </c>
      <c r="W2377">
        <v>8.1838830000000001E-2</v>
      </c>
      <c r="X2377">
        <v>0.99662379999999995</v>
      </c>
      <c r="Y2377">
        <v>-0.2036184</v>
      </c>
      <c r="Z2377">
        <v>-2.9886449999999998E-3</v>
      </c>
      <c r="AA2377">
        <v>0.97904570000000002</v>
      </c>
      <c r="AB2377">
        <v>36</v>
      </c>
      <c r="AC2377">
        <v>-54.972299999999997</v>
      </c>
      <c r="AD2377">
        <v>-1.1038915487449901</v>
      </c>
      <c r="AE2377">
        <v>-8.7210000000000001</v>
      </c>
      <c r="AF2377">
        <v>-11.3731006515592</v>
      </c>
      <c r="AG2377">
        <v>-1.1038915487449901</v>
      </c>
      <c r="AH2377">
        <v>54.463074407841603</v>
      </c>
      <c r="AI2377">
        <v>91.136636180668006</v>
      </c>
      <c r="AJ2377">
        <v>101.79513281353501</v>
      </c>
      <c r="AK2377">
        <v>55.648831694259101</v>
      </c>
      <c r="AL2377">
        <v>85.305730338703</v>
      </c>
      <c r="AM2377">
        <v>90.378628336230705</v>
      </c>
      <c r="AN2377">
        <v>0.99999998474136498</v>
      </c>
    </row>
    <row r="2378" spans="1:40" x14ac:dyDescent="0.3">
      <c r="A2378" t="str">
        <f>"20200111150002710"</f>
        <v>20200111150002710</v>
      </c>
      <c r="B2378" t="str">
        <f>"1578726002698514"</f>
        <v>1578726002698514</v>
      </c>
      <c r="C2378" t="s">
        <v>40</v>
      </c>
      <c r="D2378">
        <v>4.2906430000000002</v>
      </c>
      <c r="E2378">
        <v>0.47717320000000002</v>
      </c>
      <c r="F2378" t="s">
        <v>66</v>
      </c>
      <c r="G2378">
        <v>-305.64330000000001</v>
      </c>
      <c r="H2378" s="1">
        <v>5.3621529999999999E-6</v>
      </c>
      <c r="I2378">
        <v>272.93169999999998</v>
      </c>
      <c r="J2378">
        <v>-250.50559999999999</v>
      </c>
      <c r="K2378">
        <v>1.104069</v>
      </c>
      <c r="L2378">
        <v>281.7047</v>
      </c>
      <c r="M2378">
        <v>-0.99882470000000001</v>
      </c>
      <c r="N2378">
        <v>0</v>
      </c>
      <c r="O2378">
        <v>4.7936060000000003E-2</v>
      </c>
      <c r="P2378">
        <v>-0.99633499999999997</v>
      </c>
      <c r="Q2378">
        <v>7.5168090000000007E-2</v>
      </c>
      <c r="R2378">
        <v>4.0827019999999999E-2</v>
      </c>
      <c r="S2378">
        <v>-3.0357509999999999</v>
      </c>
      <c r="T2378">
        <v>-6.0467840000000002E-2</v>
      </c>
      <c r="U2378">
        <v>-0.47982789999999997</v>
      </c>
      <c r="V2378">
        <v>-7.0268170000000003E-3</v>
      </c>
      <c r="W2378">
        <v>8.2339250000000003E-2</v>
      </c>
      <c r="X2378">
        <v>0.99657960000000001</v>
      </c>
      <c r="Y2378">
        <v>-0.20324220000000001</v>
      </c>
      <c r="Z2378">
        <v>-2.9609469999999998E-3</v>
      </c>
      <c r="AA2378">
        <v>0.97912399999999999</v>
      </c>
      <c r="AB2378">
        <v>36</v>
      </c>
      <c r="AC2378">
        <v>-55.137700000000002</v>
      </c>
      <c r="AD2378">
        <v>-1.1040636378469999</v>
      </c>
      <c r="AE2378">
        <v>-8.7730000000000192</v>
      </c>
      <c r="AF2378">
        <v>-11.401607452345999</v>
      </c>
      <c r="AG2378">
        <v>-1.1040636378469999</v>
      </c>
      <c r="AH2378">
        <v>54.632392900512798</v>
      </c>
      <c r="AI2378">
        <v>91.133319420127805</v>
      </c>
      <c r="AJ2378">
        <v>101.78824820689999</v>
      </c>
      <c r="AK2378">
        <v>55.820372294080997</v>
      </c>
      <c r="AL2378">
        <v>85.276961425455696</v>
      </c>
      <c r="AM2378">
        <v>90.403982066010101</v>
      </c>
      <c r="AN2378">
        <v>1.00000001369193</v>
      </c>
    </row>
    <row r="2379" spans="1:40" x14ac:dyDescent="0.3">
      <c r="A2379" t="str">
        <f>"20200111150002723"</f>
        <v>20200111150002723</v>
      </c>
      <c r="B2379" t="str">
        <f>"1578726002718034"</f>
        <v>1578726002718034</v>
      </c>
      <c r="C2379" t="s">
        <v>40</v>
      </c>
      <c r="D2379">
        <v>4.2653470000000002</v>
      </c>
      <c r="E2379">
        <v>0.47802820000000001</v>
      </c>
      <c r="F2379" t="s">
        <v>66</v>
      </c>
      <c r="G2379">
        <v>-311.96039999999999</v>
      </c>
      <c r="H2379" s="1">
        <v>3.4439420000000001E-6</v>
      </c>
      <c r="I2379">
        <v>280.5256</v>
      </c>
      <c r="J2379">
        <v>-250.72550000000001</v>
      </c>
      <c r="K2379">
        <v>1.1041920000000001</v>
      </c>
      <c r="L2379">
        <v>281.71480000000003</v>
      </c>
      <c r="M2379">
        <v>-0.99884870000000003</v>
      </c>
      <c r="N2379">
        <v>0</v>
      </c>
      <c r="O2379">
        <v>4.7420480000000001E-2</v>
      </c>
      <c r="P2379">
        <v>-0.99634739999999999</v>
      </c>
      <c r="Q2379">
        <v>7.5290949999999995E-2</v>
      </c>
      <c r="R2379">
        <v>4.0290159999999998E-2</v>
      </c>
      <c r="S2379">
        <v>-3.0175169999999998</v>
      </c>
      <c r="T2379">
        <v>-5.4211259999999997E-2</v>
      </c>
      <c r="U2379">
        <v>-5.7891850000000002E-2</v>
      </c>
      <c r="V2379">
        <v>-7.0747079999999999E-3</v>
      </c>
      <c r="W2379">
        <v>8.2516980000000004E-2</v>
      </c>
      <c r="X2379">
        <v>0.99656460000000002</v>
      </c>
      <c r="Y2379">
        <v>-6.6554760000000004E-2</v>
      </c>
      <c r="Z2379">
        <v>-1.4494079999999999E-3</v>
      </c>
      <c r="AA2379">
        <v>0.99778169999999999</v>
      </c>
      <c r="AB2379">
        <v>36</v>
      </c>
      <c r="AC2379">
        <v>-61.234899999999897</v>
      </c>
      <c r="AD2379">
        <v>-1.104188556058</v>
      </c>
      <c r="AE2379">
        <v>-1.18920000000002</v>
      </c>
      <c r="AF2379">
        <v>-4.0903972768871002</v>
      </c>
      <c r="AG2379">
        <v>-1.104188556058</v>
      </c>
      <c r="AH2379">
        <v>61.089758130002899</v>
      </c>
      <c r="AI2379">
        <v>91.033187252522495</v>
      </c>
      <c r="AJ2379">
        <v>93.830645439922407</v>
      </c>
      <c r="AK2379">
        <v>61.236501619804798</v>
      </c>
      <c r="AL2379">
        <v>85.266743660321197</v>
      </c>
      <c r="AM2379">
        <v>90.406741419854498</v>
      </c>
      <c r="AN2379">
        <v>1.00000005272738</v>
      </c>
    </row>
    <row r="2380" spans="1:40" x14ac:dyDescent="0.3">
      <c r="A2380" t="str">
        <f>"20200111150002736"</f>
        <v>20200111150002736</v>
      </c>
      <c r="B2380" t="str">
        <f>"1578726002728769"</f>
        <v>1578726002728769</v>
      </c>
      <c r="C2380" t="s">
        <v>40</v>
      </c>
      <c r="D2380">
        <v>4.3140169999999998</v>
      </c>
      <c r="E2380">
        <v>0.478487</v>
      </c>
      <c r="F2380" t="s">
        <v>66</v>
      </c>
      <c r="G2380">
        <v>-295.68279999999999</v>
      </c>
      <c r="H2380" s="1">
        <v>3.5354690000000001E-6</v>
      </c>
      <c r="I2380">
        <v>280.93680000000001</v>
      </c>
      <c r="J2380">
        <v>-250.93559999999999</v>
      </c>
      <c r="K2380">
        <v>1.1042989999999999</v>
      </c>
      <c r="L2380">
        <v>281.7244</v>
      </c>
      <c r="M2380">
        <v>-0.9988745</v>
      </c>
      <c r="N2380">
        <v>0</v>
      </c>
      <c r="O2380">
        <v>4.6868090000000001E-2</v>
      </c>
      <c r="P2380">
        <v>-0.99638230000000005</v>
      </c>
      <c r="Q2380">
        <v>7.5291250000000004E-2</v>
      </c>
      <c r="R2380">
        <v>3.9419219999999998E-2</v>
      </c>
      <c r="S2380">
        <v>-3.018723</v>
      </c>
      <c r="T2380">
        <v>-7.4142340000000001E-2</v>
      </c>
      <c r="U2380">
        <v>-5.2246090000000002E-2</v>
      </c>
      <c r="V2380">
        <v>-7.4163459999999999E-3</v>
      </c>
      <c r="W2380">
        <v>8.2564499999999999E-2</v>
      </c>
      <c r="X2380">
        <v>0.9965581</v>
      </c>
      <c r="Y2380">
        <v>-6.4114589999999999E-2</v>
      </c>
      <c r="Z2380">
        <v>-1.9378659999999999E-3</v>
      </c>
      <c r="AA2380">
        <v>0.99794070000000001</v>
      </c>
      <c r="AB2380">
        <v>36</v>
      </c>
      <c r="AC2380">
        <v>-44.7471999999999</v>
      </c>
      <c r="AD2380">
        <v>-1.1042954645309999</v>
      </c>
      <c r="AE2380">
        <v>-0.78759999999999697</v>
      </c>
      <c r="AF2380">
        <v>-2.8822511122150498</v>
      </c>
      <c r="AG2380">
        <v>-1.1042954645309999</v>
      </c>
      <c r="AH2380">
        <v>44.633934833966897</v>
      </c>
      <c r="AI2380">
        <v>91.414330501440205</v>
      </c>
      <c r="AJ2380">
        <v>93.694763931790007</v>
      </c>
      <c r="AK2380">
        <v>44.740529486245997</v>
      </c>
      <c r="AL2380">
        <v>85.264011262954298</v>
      </c>
      <c r="AM2380">
        <v>90.426385055677798</v>
      </c>
      <c r="AN2380">
        <v>0.99999997276192498</v>
      </c>
    </row>
    <row r="2381" spans="1:40" x14ac:dyDescent="0.3">
      <c r="A2381" t="str">
        <f>"20200111150002757"</f>
        <v>20200111150002757</v>
      </c>
      <c r="B2381" t="str">
        <f>"1578726002748290"</f>
        <v>1578726002748290</v>
      </c>
      <c r="C2381" t="s">
        <v>40</v>
      </c>
      <c r="D2381">
        <v>4.2215259999999999</v>
      </c>
      <c r="E2381">
        <v>0.47963460000000002</v>
      </c>
      <c r="F2381" t="s">
        <v>66</v>
      </c>
      <c r="G2381">
        <v>-293.28649999999999</v>
      </c>
      <c r="H2381" s="1">
        <v>3.1042700000000001E-6</v>
      </c>
      <c r="I2381">
        <v>281.00689999999997</v>
      </c>
      <c r="J2381">
        <v>-251.25200000000001</v>
      </c>
      <c r="K2381">
        <v>1.1044389999999999</v>
      </c>
      <c r="L2381">
        <v>281.73849999999999</v>
      </c>
      <c r="M2381">
        <v>-0.99891589999999997</v>
      </c>
      <c r="N2381">
        <v>0</v>
      </c>
      <c r="O2381">
        <v>4.5966470000000002E-2</v>
      </c>
      <c r="P2381">
        <v>-0.99643769999999998</v>
      </c>
      <c r="Q2381">
        <v>7.5545280000000006E-2</v>
      </c>
      <c r="R2381">
        <v>3.7485659999999997E-2</v>
      </c>
      <c r="S2381">
        <v>-3.0188600000000001</v>
      </c>
      <c r="T2381">
        <v>-7.8716399999999895E-2</v>
      </c>
      <c r="U2381">
        <v>-5.1147459999999999E-2</v>
      </c>
      <c r="V2381">
        <v>-8.4796049999999994E-3</v>
      </c>
      <c r="W2381">
        <v>8.2882899999999995E-2</v>
      </c>
      <c r="X2381">
        <v>0.99652320000000005</v>
      </c>
      <c r="Y2381">
        <v>-6.2846440000000003E-2</v>
      </c>
      <c r="Z2381">
        <v>-2.0172710000000002E-3</v>
      </c>
      <c r="AA2381">
        <v>0.99802120000000005</v>
      </c>
      <c r="AB2381">
        <v>36</v>
      </c>
      <c r="AC2381">
        <v>-42.034499999999902</v>
      </c>
      <c r="AD2381">
        <v>-1.10443589573</v>
      </c>
      <c r="AE2381">
        <v>-0.73160000000001402</v>
      </c>
      <c r="AF2381">
        <v>-2.6612198869658399</v>
      </c>
      <c r="AG2381">
        <v>-1.10443589573</v>
      </c>
      <c r="AH2381">
        <v>41.927500561837498</v>
      </c>
      <c r="AI2381">
        <v>91.505882531215093</v>
      </c>
      <c r="AJ2381">
        <v>93.631802494538206</v>
      </c>
      <c r="AK2381">
        <v>42.026386631465698</v>
      </c>
      <c r="AL2381">
        <v>85.245705594762299</v>
      </c>
      <c r="AM2381">
        <v>90.487528893308394</v>
      </c>
      <c r="AN2381">
        <v>0.99999998347580299</v>
      </c>
    </row>
    <row r="2382" spans="1:40" x14ac:dyDescent="0.3">
      <c r="A2382" t="str">
        <f>"20200111150002769"</f>
        <v>20200111150002769</v>
      </c>
      <c r="B2382" t="str">
        <f>"1578726002758051"</f>
        <v>1578726002758051</v>
      </c>
      <c r="C2382" t="s">
        <v>40</v>
      </c>
      <c r="D2382">
        <v>4.2724909999999996</v>
      </c>
      <c r="E2382">
        <v>0.48063980000000001</v>
      </c>
      <c r="F2382" t="s">
        <v>66</v>
      </c>
      <c r="G2382">
        <v>-288.07920000000001</v>
      </c>
      <c r="H2382" s="1">
        <v>5.5341559999999999E-6</v>
      </c>
      <c r="I2382">
        <v>281.15750000000003</v>
      </c>
      <c r="J2382">
        <v>-251.4633</v>
      </c>
      <c r="K2382">
        <v>1.104517</v>
      </c>
      <c r="L2382">
        <v>281.74770000000001</v>
      </c>
      <c r="M2382">
        <v>-0.99894490000000002</v>
      </c>
      <c r="N2382">
        <v>0</v>
      </c>
      <c r="O2382">
        <v>4.5325940000000002E-2</v>
      </c>
      <c r="P2382">
        <v>-0.99648930000000002</v>
      </c>
      <c r="Q2382">
        <v>7.5837139999999997E-2</v>
      </c>
      <c r="R2382">
        <v>3.5471080000000002E-2</v>
      </c>
      <c r="S2382">
        <v>-3.0193629999999998</v>
      </c>
      <c r="T2382">
        <v>-9.0549350000000001E-2</v>
      </c>
      <c r="U2382">
        <v>-4.7637939999999997E-2</v>
      </c>
      <c r="V2382">
        <v>-9.8711259999999992E-3</v>
      </c>
      <c r="W2382">
        <v>8.32122E-2</v>
      </c>
      <c r="X2382">
        <v>0.99648300000000001</v>
      </c>
      <c r="Y2382">
        <v>-6.1033039999999997E-2</v>
      </c>
      <c r="Z2382">
        <v>-2.2736380000000001E-3</v>
      </c>
      <c r="AA2382">
        <v>0.99813320000000005</v>
      </c>
      <c r="AB2382">
        <v>36</v>
      </c>
      <c r="AC2382">
        <v>-36.615900000000003</v>
      </c>
      <c r="AD2382">
        <v>-1.1045114658440001</v>
      </c>
      <c r="AE2382">
        <v>-0.59019999999998096</v>
      </c>
      <c r="AF2382">
        <v>-2.2472445531302898</v>
      </c>
      <c r="AG2382">
        <v>-1.1045114658440001</v>
      </c>
      <c r="AH2382">
        <v>36.518293975150101</v>
      </c>
      <c r="AI2382">
        <v>91.729138375705503</v>
      </c>
      <c r="AJ2382">
        <v>93.521398551493206</v>
      </c>
      <c r="AK2382">
        <v>36.6040414232533</v>
      </c>
      <c r="AL2382">
        <v>85.226772959268402</v>
      </c>
      <c r="AM2382">
        <v>90.5675514387693</v>
      </c>
      <c r="AN2382">
        <v>1.0000000393231701</v>
      </c>
    </row>
    <row r="2383" spans="1:40" x14ac:dyDescent="0.3">
      <c r="A2383" t="str">
        <f>"20200111150002972"</f>
        <v>20200111150002972</v>
      </c>
      <c r="B2383" t="str">
        <f>"1578726002968866"</f>
        <v>1578726002968866</v>
      </c>
      <c r="C2383" t="s">
        <v>40</v>
      </c>
      <c r="D2383">
        <v>4.2352470000000002</v>
      </c>
      <c r="E2383">
        <v>0.49266739999999998</v>
      </c>
      <c r="F2383" t="s">
        <v>66</v>
      </c>
      <c r="G2383">
        <v>-290.42680000000001</v>
      </c>
      <c r="H2383" s="1">
        <v>2.583281E-6</v>
      </c>
      <c r="I2383">
        <v>281.16399999999999</v>
      </c>
      <c r="J2383">
        <v>-254.77770000000001</v>
      </c>
      <c r="K2383">
        <v>1.1050230000000001</v>
      </c>
      <c r="L2383">
        <v>281.87290000000002</v>
      </c>
      <c r="M2383">
        <v>-0.99937679999999995</v>
      </c>
      <c r="N2383">
        <v>0</v>
      </c>
      <c r="O2383">
        <v>3.442456E-2</v>
      </c>
      <c r="P2383">
        <v>-0.99648210000000004</v>
      </c>
      <c r="Q2383">
        <v>8.2554820000000001E-2</v>
      </c>
      <c r="R2383">
        <v>1.4424650000000001E-2</v>
      </c>
      <c r="S2383">
        <v>-3.0186769999999998</v>
      </c>
      <c r="T2383">
        <v>-8.5571649999999999E-2</v>
      </c>
      <c r="U2383">
        <v>-4.5227049999999998E-2</v>
      </c>
      <c r="V2383">
        <v>-2.0139489999999999E-2</v>
      </c>
      <c r="W2383">
        <v>9.027839E-2</v>
      </c>
      <c r="X2383">
        <v>0.99571290000000001</v>
      </c>
      <c r="Y2383">
        <v>-4.9359939999999998E-2</v>
      </c>
      <c r="Z2383">
        <v>-1.674977E-3</v>
      </c>
      <c r="AA2383">
        <v>0.99877969999999905</v>
      </c>
      <c r="AB2383">
        <v>37</v>
      </c>
      <c r="AC2383">
        <v>-35.649099999999997</v>
      </c>
      <c r="AD2383">
        <v>-1.1050204167190001</v>
      </c>
      <c r="AE2383">
        <v>-0.70890000000002795</v>
      </c>
      <c r="AF2383">
        <v>-1.93386443108907</v>
      </c>
      <c r="AG2383">
        <v>-1.1050204167190001</v>
      </c>
      <c r="AH2383">
        <v>35.569402749349599</v>
      </c>
      <c r="AI2383">
        <v>91.776790329794196</v>
      </c>
      <c r="AJ2383">
        <v>93.112036720840393</v>
      </c>
      <c r="AK2383">
        <v>35.639070045452101</v>
      </c>
      <c r="AL2383">
        <v>84.820377051344806</v>
      </c>
      <c r="AM2383">
        <v>91.158718002844694</v>
      </c>
      <c r="AN2383">
        <v>0.99999998299243098</v>
      </c>
    </row>
    <row r="2384" spans="1:40" x14ac:dyDescent="0.3">
      <c r="A2384" t="str">
        <f>"20200111150002990"</f>
        <v>20200111150002990</v>
      </c>
      <c r="B2384" t="str">
        <f>"1578726002978626"</f>
        <v>1578726002978626</v>
      </c>
      <c r="C2384" t="s">
        <v>40</v>
      </c>
      <c r="D2384">
        <v>4.147462</v>
      </c>
      <c r="E2384">
        <v>0.49266739999999998</v>
      </c>
      <c r="F2384" t="s">
        <v>62</v>
      </c>
      <c r="G2384">
        <v>-272.44670000000002</v>
      </c>
      <c r="H2384" s="1">
        <v>-1.1192309999999999E-7</v>
      </c>
      <c r="I2384">
        <v>281.80610000000001</v>
      </c>
      <c r="J2384">
        <v>-255.0703</v>
      </c>
      <c r="K2384">
        <v>1.1050390000000001</v>
      </c>
      <c r="L2384">
        <v>281.88220000000001</v>
      </c>
      <c r="M2384">
        <v>-0.9994094</v>
      </c>
      <c r="N2384">
        <v>0</v>
      </c>
      <c r="O2384">
        <v>3.3459419999999997E-2</v>
      </c>
      <c r="P2384">
        <v>-0.9964769</v>
      </c>
      <c r="Q2384">
        <v>8.2788009999999995E-2</v>
      </c>
      <c r="R2384">
        <v>1.3425579999999999E-2</v>
      </c>
      <c r="S2384">
        <v>-3.0264280000000001</v>
      </c>
      <c r="T2384">
        <v>-0.189273</v>
      </c>
      <c r="U2384">
        <v>-1.1444090000000001E-2</v>
      </c>
      <c r="V2384">
        <v>-2.0178910000000001E-2</v>
      </c>
      <c r="W2384">
        <v>9.0531990000000007E-2</v>
      </c>
      <c r="X2384">
        <v>0.99568909999999999</v>
      </c>
      <c r="Y2384">
        <v>-3.7101599999999998E-2</v>
      </c>
      <c r="Z2384">
        <v>-3.2493399999999999E-3</v>
      </c>
      <c r="AA2384">
        <v>0.99930620000000003</v>
      </c>
      <c r="AB2384">
        <v>37</v>
      </c>
      <c r="AC2384">
        <v>-17.3764</v>
      </c>
      <c r="AD2384">
        <v>-1.10503911192309</v>
      </c>
      <c r="AE2384">
        <v>-7.6099999999996698E-2</v>
      </c>
      <c r="AF2384">
        <v>-0.65483124273113602</v>
      </c>
      <c r="AG2384">
        <v>-1.10503911192309</v>
      </c>
      <c r="AH2384">
        <v>17.294183326448401</v>
      </c>
      <c r="AI2384">
        <v>93.653423070162205</v>
      </c>
      <c r="AJ2384">
        <v>92.168425696928395</v>
      </c>
      <c r="AK2384">
        <v>17.341819175742302</v>
      </c>
      <c r="AL2384">
        <v>84.805787220168497</v>
      </c>
      <c r="AM2384">
        <v>91.161013141088105</v>
      </c>
      <c r="AN2384">
        <v>1.00000000674047</v>
      </c>
    </row>
    <row r="2385" spans="1:40" x14ac:dyDescent="0.3">
      <c r="A2385" t="str">
        <f>"20200111150003004"</f>
        <v>20200111150003004</v>
      </c>
      <c r="B2385" t="str">
        <f>"1578726002998147"</f>
        <v>1578726002998147</v>
      </c>
      <c r="C2385" t="s">
        <v>40</v>
      </c>
      <c r="D2385">
        <v>4.2286239999999999</v>
      </c>
      <c r="E2385">
        <v>0.49245699999999998</v>
      </c>
      <c r="F2385" t="s">
        <v>62</v>
      </c>
      <c r="G2385">
        <v>-272.80189999999999</v>
      </c>
      <c r="H2385" s="1">
        <v>7.7355489999999998E-8</v>
      </c>
      <c r="I2385">
        <v>281.7996</v>
      </c>
      <c r="J2385">
        <v>-255.3048</v>
      </c>
      <c r="K2385">
        <v>1.105048</v>
      </c>
      <c r="L2385">
        <v>281.8895</v>
      </c>
      <c r="M2385">
        <v>-0.99943479999999996</v>
      </c>
      <c r="N2385">
        <v>0</v>
      </c>
      <c r="O2385">
        <v>3.2685739999999998E-2</v>
      </c>
      <c r="P2385">
        <v>-0.99650479999999997</v>
      </c>
      <c r="Q2385">
        <v>8.2602590000000004E-2</v>
      </c>
      <c r="R2385">
        <v>1.2459990000000001E-2</v>
      </c>
      <c r="S2385">
        <v>-3.0264739999999999</v>
      </c>
      <c r="T2385">
        <v>-0.18861140000000001</v>
      </c>
      <c r="U2385">
        <v>-1.409912E-2</v>
      </c>
      <c r="V2385">
        <v>-2.0374349999999999E-2</v>
      </c>
      <c r="W2385">
        <v>9.0361979999999995E-2</v>
      </c>
      <c r="X2385">
        <v>0.99570049999999999</v>
      </c>
      <c r="Y2385">
        <v>-3.7206879999999998E-2</v>
      </c>
      <c r="Z2385">
        <v>-3.1930830000000002E-3</v>
      </c>
      <c r="AA2385">
        <v>0.99930249999999998</v>
      </c>
      <c r="AB2385">
        <v>37</v>
      </c>
      <c r="AC2385">
        <v>-17.4970999999999</v>
      </c>
      <c r="AD2385">
        <v>-1.10504792264451</v>
      </c>
      <c r="AE2385">
        <v>-8.9899999999999994E-2</v>
      </c>
      <c r="AF2385">
        <v>-0.65914621429558895</v>
      </c>
      <c r="AG2385">
        <v>-1.10504792264451</v>
      </c>
      <c r="AH2385">
        <v>17.415349243970301</v>
      </c>
      <c r="AI2385">
        <v>93.628103789340997</v>
      </c>
      <c r="AJ2385">
        <v>92.167529202116398</v>
      </c>
      <c r="AK2385">
        <v>17.462817468341701</v>
      </c>
      <c r="AL2385">
        <v>84.8155678369573</v>
      </c>
      <c r="AM2385">
        <v>91.172241430463799</v>
      </c>
      <c r="AN2385">
        <v>0.99999994363384404</v>
      </c>
    </row>
    <row r="2386" spans="1:40" x14ac:dyDescent="0.3">
      <c r="A2386" t="str">
        <f>"20200111150003024"</f>
        <v>20200111150003024</v>
      </c>
      <c r="B2386" t="str">
        <f>"1578726003018643"</f>
        <v>1578726003018643</v>
      </c>
      <c r="C2386" t="s">
        <v>40</v>
      </c>
      <c r="D2386">
        <v>4.113105</v>
      </c>
      <c r="E2386">
        <v>0.49358419999999997</v>
      </c>
      <c r="F2386" t="s">
        <v>41</v>
      </c>
      <c r="G2386">
        <v>-256.28440000000001</v>
      </c>
      <c r="H2386">
        <v>1.0096889999999901</v>
      </c>
      <c r="I2386">
        <v>281.88389999999998</v>
      </c>
      <c r="J2386">
        <v>-255.6284</v>
      </c>
      <c r="K2386">
        <v>1.1050549999999999</v>
      </c>
      <c r="L2386">
        <v>281.89909999999998</v>
      </c>
      <c r="M2386">
        <v>-0.99946900000000005</v>
      </c>
      <c r="N2386">
        <v>0</v>
      </c>
      <c r="O2386">
        <v>3.161775E-2</v>
      </c>
      <c r="P2386">
        <v>-0.99654790000000004</v>
      </c>
      <c r="Q2386">
        <v>8.2241610000000007E-2</v>
      </c>
      <c r="R2386">
        <v>1.1336580000000001E-2</v>
      </c>
      <c r="S2386">
        <v>-3.0352329999999998</v>
      </c>
      <c r="T2386">
        <v>-0.2955488</v>
      </c>
      <c r="U2386">
        <v>-1.773071E-2</v>
      </c>
      <c r="V2386">
        <v>-2.0435289999999998E-2</v>
      </c>
      <c r="W2386">
        <v>9.0020989999999995E-2</v>
      </c>
      <c r="X2386">
        <v>0.99573020000000001</v>
      </c>
      <c r="Y2386">
        <v>-3.7131669999999999E-2</v>
      </c>
      <c r="Z2386">
        <v>-4.8747230000000001E-3</v>
      </c>
      <c r="AA2386">
        <v>0.99929849999999998</v>
      </c>
      <c r="AB2386">
        <v>37</v>
      </c>
      <c r="AC2386">
        <v>-0.65600000000000502</v>
      </c>
      <c r="AD2386">
        <v>-9.5366000000000006E-2</v>
      </c>
      <c r="AE2386">
        <v>-1.51999999999929E-2</v>
      </c>
      <c r="AF2386">
        <v>-3.5190964508035001E-2</v>
      </c>
      <c r="AG2386">
        <v>-9.5366000000000006E-2</v>
      </c>
      <c r="AH2386">
        <v>0.641638358716487</v>
      </c>
      <c r="AI2386">
        <v>98.441417042597394</v>
      </c>
      <c r="AJ2386">
        <v>93.139269447276106</v>
      </c>
      <c r="AK2386">
        <v>0.64964056316966001</v>
      </c>
      <c r="AL2386">
        <v>84.835185397366104</v>
      </c>
      <c r="AM2386">
        <v>91.175711580625403</v>
      </c>
      <c r="AN2386">
        <v>1.000000005455</v>
      </c>
    </row>
    <row r="2387" spans="1:40" x14ac:dyDescent="0.3">
      <c r="A2387" t="str">
        <f>"20200111150003037"</f>
        <v>20200111150003037</v>
      </c>
      <c r="B2387" t="str">
        <f>"1578726003028402"</f>
        <v>1578726003028402</v>
      </c>
      <c r="C2387" t="s">
        <v>40</v>
      </c>
      <c r="D2387">
        <v>4.2082509999999997</v>
      </c>
      <c r="E2387">
        <v>0.49570219999999998</v>
      </c>
      <c r="F2387" t="s">
        <v>62</v>
      </c>
      <c r="G2387">
        <v>-272.69690000000003</v>
      </c>
      <c r="H2387" s="1">
        <v>2.0436739999999999E-8</v>
      </c>
      <c r="I2387">
        <v>281.82319999999999</v>
      </c>
      <c r="J2387">
        <v>-255.85769999999999</v>
      </c>
      <c r="K2387">
        <v>1.1050610000000001</v>
      </c>
      <c r="L2387">
        <v>281.9058</v>
      </c>
      <c r="M2387">
        <v>-0.99949259999999995</v>
      </c>
      <c r="N2387">
        <v>0</v>
      </c>
      <c r="O2387">
        <v>3.0861280000000001E-2</v>
      </c>
      <c r="P2387">
        <v>-0.99657099999999998</v>
      </c>
      <c r="Q2387">
        <v>8.1999859999999994E-2</v>
      </c>
      <c r="R2387">
        <v>1.10493E-2</v>
      </c>
      <c r="S2387">
        <v>-3.0267179999999998</v>
      </c>
      <c r="T2387">
        <v>-0.1959573</v>
      </c>
      <c r="U2387">
        <v>-1.345825E-2</v>
      </c>
      <c r="V2387">
        <v>-1.9970390000000001E-2</v>
      </c>
      <c r="W2387">
        <v>8.9794949999999998E-2</v>
      </c>
      <c r="X2387">
        <v>0.99575999999999998</v>
      </c>
      <c r="Y2387">
        <v>-3.5168030000000003E-2</v>
      </c>
      <c r="Z2387">
        <v>-3.133032E-3</v>
      </c>
      <c r="AA2387">
        <v>0.9993765</v>
      </c>
      <c r="AB2387">
        <v>37</v>
      </c>
      <c r="AC2387">
        <v>-16.839200000000002</v>
      </c>
      <c r="AD2387">
        <v>-1.10506097956326</v>
      </c>
      <c r="AE2387">
        <v>-8.2600000000013496E-2</v>
      </c>
      <c r="AF2387">
        <v>-0.59967359978422696</v>
      </c>
      <c r="AG2387">
        <v>-1.10506097956326</v>
      </c>
      <c r="AH2387">
        <v>16.756468539462102</v>
      </c>
      <c r="AI2387">
        <v>93.770689959090504</v>
      </c>
      <c r="AJ2387">
        <v>92.049603064437406</v>
      </c>
      <c r="AK2387">
        <v>16.8035712308073</v>
      </c>
      <c r="AL2387">
        <v>84.848188983303004</v>
      </c>
      <c r="AM2387">
        <v>91.148937183609505</v>
      </c>
      <c r="AN2387">
        <v>0.99999996356112597</v>
      </c>
    </row>
    <row r="2388" spans="1:40" x14ac:dyDescent="0.3">
      <c r="A2388" t="str">
        <f>"20200111150003049"</f>
        <v>20200111150003049</v>
      </c>
      <c r="B2388" t="str">
        <f>"1578726003038162"</f>
        <v>1578726003038162</v>
      </c>
      <c r="C2388" t="s">
        <v>40</v>
      </c>
      <c r="D2388">
        <v>4.2044319999999997</v>
      </c>
      <c r="E2388">
        <v>0.49678260000000002</v>
      </c>
      <c r="F2388" t="s">
        <v>41</v>
      </c>
      <c r="G2388">
        <v>-256.62920000000003</v>
      </c>
      <c r="H2388">
        <v>1.031949</v>
      </c>
      <c r="I2388">
        <v>281.90690000000001</v>
      </c>
      <c r="J2388">
        <v>-256.05700000000002</v>
      </c>
      <c r="K2388">
        <v>1.10507</v>
      </c>
      <c r="L2388">
        <v>281.91140000000001</v>
      </c>
      <c r="M2388">
        <v>-0.99951270000000003</v>
      </c>
      <c r="N2388">
        <v>0</v>
      </c>
      <c r="O2388">
        <v>3.020318E-2</v>
      </c>
      <c r="P2388">
        <v>-0.99658559999999996</v>
      </c>
      <c r="Q2388">
        <v>8.1820459999999998E-2</v>
      </c>
      <c r="R2388">
        <v>1.108957E-2</v>
      </c>
      <c r="S2388">
        <v>-3.0339360000000002</v>
      </c>
      <c r="T2388">
        <v>-0.28772880000000001</v>
      </c>
      <c r="U2388">
        <v>3.1433110000000002E-3</v>
      </c>
      <c r="V2388">
        <v>-1.9274590000000001E-2</v>
      </c>
      <c r="W2388">
        <v>8.9629199999999895E-2</v>
      </c>
      <c r="X2388">
        <v>0.99578869999999997</v>
      </c>
      <c r="Y2388">
        <v>-2.8903350000000001E-2</v>
      </c>
      <c r="Z2388">
        <v>-4.2251950000000002E-3</v>
      </c>
      <c r="AA2388">
        <v>0.9995733</v>
      </c>
      <c r="AB2388">
        <v>37</v>
      </c>
      <c r="AC2388">
        <v>-0.57220000000000903</v>
      </c>
      <c r="AD2388">
        <v>-7.3120999999999894E-2</v>
      </c>
      <c r="AE2388">
        <v>-4.5000000000072699E-3</v>
      </c>
      <c r="AF2388">
        <v>-2.1430798193550201E-2</v>
      </c>
      <c r="AG2388">
        <v>-7.3120999999999894E-2</v>
      </c>
      <c r="AH2388">
        <v>0.56261601500408798</v>
      </c>
      <c r="AI2388">
        <v>97.399694333786996</v>
      </c>
      <c r="AJ2388">
        <v>92.181418410897294</v>
      </c>
      <c r="AK2388">
        <v>0.56775235806757596</v>
      </c>
      <c r="AL2388">
        <v>84.857724494377393</v>
      </c>
      <c r="AM2388">
        <v>91.108884617156505</v>
      </c>
      <c r="AN2388">
        <v>1.00000001917999</v>
      </c>
    </row>
    <row r="2389" spans="1:40" x14ac:dyDescent="0.3">
      <c r="A2389" t="str">
        <f>"20200111150003068"</f>
        <v>20200111150003068</v>
      </c>
      <c r="B2389" t="str">
        <f>"1578726003058657"</f>
        <v>1578726003058657</v>
      </c>
      <c r="C2389" t="s">
        <v>40</v>
      </c>
      <c r="D2389">
        <v>4.2479519999999997</v>
      </c>
      <c r="E2389">
        <v>0.49737809999999999</v>
      </c>
      <c r="F2389" t="s">
        <v>41</v>
      </c>
      <c r="G2389">
        <v>-256.95569999999998</v>
      </c>
      <c r="H2389">
        <v>1.0242579999999999</v>
      </c>
      <c r="I2389">
        <v>281.91489999999999</v>
      </c>
      <c r="J2389">
        <v>-256.3691</v>
      </c>
      <c r="K2389">
        <v>1.105078</v>
      </c>
      <c r="L2389">
        <v>281.92</v>
      </c>
      <c r="M2389">
        <v>-0.99954310000000002</v>
      </c>
      <c r="N2389">
        <v>0</v>
      </c>
      <c r="O2389">
        <v>2.9173399999999999E-2</v>
      </c>
      <c r="P2389">
        <v>-0.99656210000000001</v>
      </c>
      <c r="Q2389">
        <v>8.2023979999999996E-2</v>
      </c>
      <c r="R2389">
        <v>1.1666599999999999E-2</v>
      </c>
      <c r="S2389">
        <v>-3.0325319999999998</v>
      </c>
      <c r="T2389">
        <v>-0.27279379999999998</v>
      </c>
      <c r="U2389">
        <v>1.1566160000000001E-2</v>
      </c>
      <c r="V2389">
        <v>-1.7673089999999999E-2</v>
      </c>
      <c r="W2389">
        <v>8.9854779999999995E-2</v>
      </c>
      <c r="X2389">
        <v>0.99579810000000002</v>
      </c>
      <c r="Y2389">
        <v>-2.514243E-2</v>
      </c>
      <c r="Z2389">
        <v>-3.7473559999999999E-3</v>
      </c>
      <c r="AA2389">
        <v>0.99967689999999998</v>
      </c>
      <c r="AB2389">
        <v>37</v>
      </c>
      <c r="AC2389">
        <v>-0.58659999999997503</v>
      </c>
      <c r="AD2389">
        <v>-8.08200000000001E-2</v>
      </c>
      <c r="AE2389">
        <v>-5.1000000000271904E-3</v>
      </c>
      <c r="AF2389">
        <v>-2.17977360058902E-2</v>
      </c>
      <c r="AG2389">
        <v>-8.08200000000001E-2</v>
      </c>
      <c r="AH2389">
        <v>0.575282048094648</v>
      </c>
      <c r="AI2389">
        <v>97.991349154588093</v>
      </c>
      <c r="AJ2389">
        <v>92.169928833027598</v>
      </c>
      <c r="AK2389">
        <v>0.58134021756193299</v>
      </c>
      <c r="AL2389">
        <v>84.844747446647403</v>
      </c>
      <c r="AM2389">
        <v>91.016759494342097</v>
      </c>
      <c r="AN2389">
        <v>1.0000000377813001</v>
      </c>
    </row>
    <row r="2390" spans="1:40" x14ac:dyDescent="0.3">
      <c r="A2390" t="str">
        <f>"20200111150003081"</f>
        <v>20200111150003081</v>
      </c>
      <c r="B2390" t="str">
        <f>"1578726003078180"</f>
        <v>1578726003078180</v>
      </c>
      <c r="C2390" t="s">
        <v>40</v>
      </c>
      <c r="D2390">
        <v>4.2026349999999999</v>
      </c>
      <c r="E2390">
        <v>0.49678169999999999</v>
      </c>
      <c r="F2390" t="s">
        <v>41</v>
      </c>
      <c r="G2390">
        <v>-257.2921</v>
      </c>
      <c r="H2390">
        <v>1.0288459999999999</v>
      </c>
      <c r="I2390">
        <v>281.92559999999997</v>
      </c>
      <c r="J2390">
        <v>-256.57909999999998</v>
      </c>
      <c r="K2390">
        <v>1.105086</v>
      </c>
      <c r="L2390">
        <v>281.92559999999997</v>
      </c>
      <c r="M2390">
        <v>-0.99956299999999998</v>
      </c>
      <c r="N2390">
        <v>0</v>
      </c>
      <c r="O2390">
        <v>2.848032E-2</v>
      </c>
      <c r="P2390">
        <v>-0.99652839999999998</v>
      </c>
      <c r="Q2390">
        <v>8.239581E-2</v>
      </c>
      <c r="R2390">
        <v>1.193574E-2</v>
      </c>
      <c r="S2390">
        <v>-3.0307620000000002</v>
      </c>
      <c r="T2390">
        <v>-0.25045060000000002</v>
      </c>
      <c r="U2390">
        <v>1.7608639999999998E-2</v>
      </c>
      <c r="V2390">
        <v>-1.6713800000000001E-2</v>
      </c>
      <c r="W2390">
        <v>9.0240399999999998E-2</v>
      </c>
      <c r="X2390">
        <v>0.99577979999999999</v>
      </c>
      <c r="Y2390">
        <v>-2.2499479999999999E-2</v>
      </c>
      <c r="Z2390">
        <v>-3.2773139999999999E-3</v>
      </c>
      <c r="AA2390">
        <v>0.99974149999999995</v>
      </c>
      <c r="AB2390">
        <v>37</v>
      </c>
      <c r="AC2390">
        <v>-0.71300000000002195</v>
      </c>
      <c r="AD2390">
        <v>-7.6240000000000002E-2</v>
      </c>
      <c r="AE2390">
        <v>0</v>
      </c>
      <c r="AF2390">
        <v>-2.0077544024506101E-2</v>
      </c>
      <c r="AG2390">
        <v>-7.6240000000000002E-2</v>
      </c>
      <c r="AH2390">
        <v>0.70465395535469399</v>
      </c>
      <c r="AI2390">
        <v>96.172607564691305</v>
      </c>
      <c r="AJ2390">
        <v>91.632073980147197</v>
      </c>
      <c r="AK2390">
        <v>0.70905066262649497</v>
      </c>
      <c r="AL2390">
        <v>84.822562963468002</v>
      </c>
      <c r="AM2390">
        <v>90.961598423367406</v>
      </c>
      <c r="AN2390">
        <v>1.00000004549531</v>
      </c>
    </row>
    <row r="2391" spans="1:40" x14ac:dyDescent="0.3">
      <c r="A2391" t="str">
        <f>"20200111150003093"</f>
        <v>20200111150003093</v>
      </c>
      <c r="B2391" t="str">
        <f>"1578726003088914"</f>
        <v>1578726003088914</v>
      </c>
      <c r="C2391" t="s">
        <v>40</v>
      </c>
      <c r="D2391">
        <v>4.1836440000000001</v>
      </c>
      <c r="E2391">
        <v>0.49692409999999998</v>
      </c>
      <c r="F2391" t="s">
        <v>41</v>
      </c>
      <c r="G2391">
        <v>-257.62200000000001</v>
      </c>
      <c r="H2391">
        <v>1.0229410000000001</v>
      </c>
      <c r="I2391">
        <v>281.93049999999999</v>
      </c>
      <c r="J2391">
        <v>-256.80329999999998</v>
      </c>
      <c r="K2391">
        <v>1.1050930000000001</v>
      </c>
      <c r="L2391">
        <v>281.9314</v>
      </c>
      <c r="M2391">
        <v>-0.99958380000000002</v>
      </c>
      <c r="N2391">
        <v>0</v>
      </c>
      <c r="O2391">
        <v>2.7740819999999999E-2</v>
      </c>
      <c r="P2391">
        <v>-0.99650620000000001</v>
      </c>
      <c r="Q2391">
        <v>8.2689239999999997E-2</v>
      </c>
      <c r="R2391">
        <v>1.175256E-2</v>
      </c>
      <c r="S2391">
        <v>-3.0300289999999999</v>
      </c>
      <c r="T2391">
        <v>-0.23891399999999999</v>
      </c>
      <c r="U2391">
        <v>1.345825E-2</v>
      </c>
      <c r="V2391">
        <v>-1.6161129999999999E-2</v>
      </c>
      <c r="W2391">
        <v>9.0546699999999994E-2</v>
      </c>
      <c r="X2391">
        <v>0.99576109999999896</v>
      </c>
      <c r="Y2391">
        <v>-2.3143629999999998E-2</v>
      </c>
      <c r="Z2391">
        <v>-3.094758E-3</v>
      </c>
      <c r="AA2391">
        <v>0.99972740000000004</v>
      </c>
      <c r="AB2391">
        <v>37</v>
      </c>
      <c r="AC2391">
        <v>-0.81870000000003496</v>
      </c>
      <c r="AD2391">
        <v>-8.2152000000000197E-2</v>
      </c>
      <c r="AE2391">
        <v>-9.0000000000145497E-4</v>
      </c>
      <c r="AF2391">
        <v>-2.33763978236541E-2</v>
      </c>
      <c r="AG2391">
        <v>-8.2152000000000197E-2</v>
      </c>
      <c r="AH2391">
        <v>0.81020201455011698</v>
      </c>
      <c r="AI2391">
        <v>95.787436003919495</v>
      </c>
      <c r="AJ2391">
        <v>91.652671106159104</v>
      </c>
      <c r="AK2391">
        <v>0.81469178924319396</v>
      </c>
      <c r="AL2391">
        <v>84.804941032279501</v>
      </c>
      <c r="AM2391">
        <v>90.929824684929002</v>
      </c>
      <c r="AN2391">
        <v>1.0000000276384799</v>
      </c>
    </row>
    <row r="2392" spans="1:40" x14ac:dyDescent="0.3">
      <c r="A2392" t="str">
        <f>"20200111150003113"</f>
        <v>20200111150003113</v>
      </c>
      <c r="B2392" t="str">
        <f>"1578726003108434"</f>
        <v>1578726003108434</v>
      </c>
      <c r="C2392" t="s">
        <v>40</v>
      </c>
      <c r="D2392">
        <v>4.219176</v>
      </c>
      <c r="E2392">
        <v>0.49696689999999999</v>
      </c>
      <c r="F2392" t="s">
        <v>41</v>
      </c>
      <c r="G2392">
        <v>-257.63499999999999</v>
      </c>
      <c r="H2392">
        <v>1.037228</v>
      </c>
      <c r="I2392">
        <v>281.93549999999999</v>
      </c>
      <c r="J2392">
        <v>-257.10739999999998</v>
      </c>
      <c r="K2392">
        <v>1.1051040000000001</v>
      </c>
      <c r="L2392">
        <v>281.93900000000002</v>
      </c>
      <c r="M2392">
        <v>-0.99961089999999997</v>
      </c>
      <c r="N2392">
        <v>0</v>
      </c>
      <c r="O2392">
        <v>2.673789E-2</v>
      </c>
      <c r="P2392">
        <v>-0.99643550000000003</v>
      </c>
      <c r="Q2392">
        <v>8.3512000000000003E-2</v>
      </c>
      <c r="R2392">
        <v>1.192318E-2</v>
      </c>
      <c r="S2392">
        <v>-3.0309140000000001</v>
      </c>
      <c r="T2392">
        <v>-0.24763379999999999</v>
      </c>
      <c r="U2392">
        <v>1.409912E-2</v>
      </c>
      <c r="V2392">
        <v>-1.499239E-2</v>
      </c>
      <c r="W2392">
        <v>9.1388150000000001E-2</v>
      </c>
      <c r="X2392">
        <v>0.99570250000000005</v>
      </c>
      <c r="Y2392">
        <v>-2.1926250000000001E-2</v>
      </c>
      <c r="Z2392">
        <v>-3.0749739999999998E-3</v>
      </c>
      <c r="AA2392">
        <v>0.99975480000000005</v>
      </c>
      <c r="AB2392">
        <v>37</v>
      </c>
      <c r="AC2392">
        <v>-0.52760000000000595</v>
      </c>
      <c r="AD2392">
        <v>-6.7876000000000006E-2</v>
      </c>
      <c r="AE2392">
        <v>-3.5000000000309198E-3</v>
      </c>
      <c r="AF2392">
        <v>-1.7319463741407699E-2</v>
      </c>
      <c r="AG2392">
        <v>-6.7876000000000006E-2</v>
      </c>
      <c r="AH2392">
        <v>0.51873263456261798</v>
      </c>
      <c r="AI2392">
        <v>97.450675987393794</v>
      </c>
      <c r="AJ2392">
        <v>91.9122831656275</v>
      </c>
      <c r="AK2392">
        <v>0.52344117277929503</v>
      </c>
      <c r="AL2392">
        <v>84.756528719552506</v>
      </c>
      <c r="AM2392">
        <v>90.862642972361897</v>
      </c>
      <c r="AN2392">
        <v>1.00000001711229</v>
      </c>
    </row>
    <row r="2393" spans="1:40" x14ac:dyDescent="0.3">
      <c r="A2393" t="str">
        <f>"20200111150003127"</f>
        <v>20200111150003127</v>
      </c>
      <c r="B2393" t="str">
        <f>"1578726003118195"</f>
        <v>1578726003118195</v>
      </c>
      <c r="C2393" t="s">
        <v>40</v>
      </c>
      <c r="D2393">
        <v>4.29915</v>
      </c>
      <c r="E2393">
        <v>0.49722329999999998</v>
      </c>
      <c r="F2393" t="s">
        <v>41</v>
      </c>
      <c r="G2393">
        <v>-257.96440000000001</v>
      </c>
      <c r="H2393">
        <v>1.034289</v>
      </c>
      <c r="I2393">
        <v>281.9434</v>
      </c>
      <c r="J2393">
        <v>-257.36180000000002</v>
      </c>
      <c r="K2393">
        <v>1.10511</v>
      </c>
      <c r="L2393">
        <v>281.9452</v>
      </c>
      <c r="M2393">
        <v>-0.99963299999999999</v>
      </c>
      <c r="N2393">
        <v>0</v>
      </c>
      <c r="O2393">
        <v>2.590052E-2</v>
      </c>
      <c r="P2393">
        <v>-0.9964134</v>
      </c>
      <c r="Q2393">
        <v>8.3896280000000004E-2</v>
      </c>
      <c r="R2393">
        <v>1.1061929999999999E-2</v>
      </c>
      <c r="S2393">
        <v>-3.0315249999999998</v>
      </c>
      <c r="T2393">
        <v>-0.25067889999999998</v>
      </c>
      <c r="U2393">
        <v>1.473999E-2</v>
      </c>
      <c r="V2393">
        <v>-1.501985E-2</v>
      </c>
      <c r="W2393">
        <v>9.1784169999999998E-2</v>
      </c>
      <c r="X2393">
        <v>0.99566569999999999</v>
      </c>
      <c r="Y2393">
        <v>-2.0880840000000001E-2</v>
      </c>
      <c r="Z2393">
        <v>-2.9997750000000001E-3</v>
      </c>
      <c r="AA2393">
        <v>0.99977749999999999</v>
      </c>
      <c r="AB2393">
        <v>37</v>
      </c>
      <c r="AC2393">
        <v>-0.60259999999999503</v>
      </c>
      <c r="AD2393">
        <v>-7.0820999999999995E-2</v>
      </c>
      <c r="AE2393">
        <v>-1.8000000000029099E-3</v>
      </c>
      <c r="AF2393">
        <v>-1.7170381087213998E-2</v>
      </c>
      <c r="AG2393">
        <v>-7.0820999999999995E-2</v>
      </c>
      <c r="AH2393">
        <v>0.59414477787005004</v>
      </c>
      <c r="AI2393">
        <v>96.794672421255299</v>
      </c>
      <c r="AJ2393">
        <v>91.655348435361901</v>
      </c>
      <c r="AK2393">
        <v>0.59859707073951796</v>
      </c>
      <c r="AL2393">
        <v>84.733742894711398</v>
      </c>
      <c r="AM2393">
        <v>90.864254683268797</v>
      </c>
      <c r="AN2393">
        <v>1.00000005795654</v>
      </c>
    </row>
    <row r="2394" spans="1:40" x14ac:dyDescent="0.3">
      <c r="A2394" t="str">
        <f>"20200111150003146"</f>
        <v>20200111150003146</v>
      </c>
      <c r="B2394" t="str">
        <f>"1578726003138689"</f>
        <v>1578726003138689</v>
      </c>
      <c r="C2394" t="s">
        <v>40</v>
      </c>
      <c r="D2394">
        <v>4.2191269999999896</v>
      </c>
      <c r="E2394">
        <v>0.49786209999999997</v>
      </c>
      <c r="F2394" t="s">
        <v>41</v>
      </c>
      <c r="G2394">
        <v>-258.29770000000002</v>
      </c>
      <c r="H2394">
        <v>1.0317620000000001</v>
      </c>
      <c r="I2394">
        <v>281.94959999999998</v>
      </c>
      <c r="J2394">
        <v>-257.67829999999998</v>
      </c>
      <c r="K2394">
        <v>1.1051139999999999</v>
      </c>
      <c r="L2394">
        <v>281.95249999999999</v>
      </c>
      <c r="M2394">
        <v>-0.99965890000000002</v>
      </c>
      <c r="N2394">
        <v>0</v>
      </c>
      <c r="O2394">
        <v>2.486725E-2</v>
      </c>
      <c r="P2394">
        <v>-0.99639429999999996</v>
      </c>
      <c r="Q2394">
        <v>8.4343600000000005E-2</v>
      </c>
      <c r="R2394">
        <v>9.1943990000000007E-3</v>
      </c>
      <c r="S2394">
        <v>-3.03064</v>
      </c>
      <c r="T2394">
        <v>-0.23762449999999999</v>
      </c>
      <c r="U2394">
        <v>1.4068600000000001E-2</v>
      </c>
      <c r="V2394">
        <v>-1.5858089999999998E-2</v>
      </c>
      <c r="W2394">
        <v>9.2243779999999997E-2</v>
      </c>
      <c r="X2394">
        <v>0.9956102</v>
      </c>
      <c r="Y2394">
        <v>-2.008917E-2</v>
      </c>
      <c r="Z2394">
        <v>-2.7330200000000001E-3</v>
      </c>
      <c r="AA2394">
        <v>0.99979450000000003</v>
      </c>
      <c r="AB2394">
        <v>37</v>
      </c>
      <c r="AC2394">
        <v>-0.61940000000004103</v>
      </c>
      <c r="AD2394">
        <v>-7.3351999999999806E-2</v>
      </c>
      <c r="AE2394">
        <v>-2.9000000000110001E-3</v>
      </c>
      <c r="AF2394">
        <v>-1.8049245754537601E-2</v>
      </c>
      <c r="AG2394">
        <v>-7.3351999999999806E-2</v>
      </c>
      <c r="AH2394">
        <v>0.61057364191795005</v>
      </c>
      <c r="AI2394">
        <v>96.847503650764693</v>
      </c>
      <c r="AJ2394">
        <v>91.693234786213907</v>
      </c>
      <c r="AK2394">
        <v>0.61522878946068205</v>
      </c>
      <c r="AL2394">
        <v>84.707296854803801</v>
      </c>
      <c r="AM2394">
        <v>90.912530628913998</v>
      </c>
      <c r="AN2394">
        <v>1.00000003215558</v>
      </c>
    </row>
    <row r="2395" spans="1:40" x14ac:dyDescent="0.3">
      <c r="A2395" t="str">
        <f>"20200111150003158"</f>
        <v>20200111150003158</v>
      </c>
      <c r="B2395" t="str">
        <f>"1578726003148450"</f>
        <v>1578726003148450</v>
      </c>
      <c r="C2395" t="s">
        <v>40</v>
      </c>
      <c r="D2395">
        <v>4.2298589999999896</v>
      </c>
      <c r="E2395">
        <v>0.49774259999999898</v>
      </c>
      <c r="F2395" t="s">
        <v>62</v>
      </c>
      <c r="G2395">
        <v>-273.7176</v>
      </c>
      <c r="H2395" s="1">
        <v>5.5482909999999996E-7</v>
      </c>
      <c r="I2395">
        <v>282.02379999999999</v>
      </c>
      <c r="J2395">
        <v>-257.88749999999999</v>
      </c>
      <c r="K2395">
        <v>1.1051120000000001</v>
      </c>
      <c r="L2395">
        <v>281.9572</v>
      </c>
      <c r="M2395">
        <v>-0.99967550000000005</v>
      </c>
      <c r="N2395">
        <v>0</v>
      </c>
      <c r="O2395">
        <v>2.4190059999999999E-2</v>
      </c>
      <c r="P2395">
        <v>-0.99638720000000003</v>
      </c>
      <c r="Q2395">
        <v>8.4584199999999998E-2</v>
      </c>
      <c r="R2395">
        <v>7.6452459999999996E-3</v>
      </c>
      <c r="S2395">
        <v>-3.028381</v>
      </c>
      <c r="T2395">
        <v>-0.20865649999999999</v>
      </c>
      <c r="U2395">
        <v>1.345825E-2</v>
      </c>
      <c r="V2395">
        <v>-1.6731699999999999E-2</v>
      </c>
      <c r="W2395">
        <v>9.2490680000000006E-2</v>
      </c>
      <c r="X2395">
        <v>0.99557300000000004</v>
      </c>
      <c r="Y2395">
        <v>-1.964399E-2</v>
      </c>
      <c r="Z2395">
        <v>-2.3405650000000002E-3</v>
      </c>
      <c r="AA2395">
        <v>0.99980429999999998</v>
      </c>
      <c r="AB2395">
        <v>38</v>
      </c>
      <c r="AC2395">
        <v>-15.8301</v>
      </c>
      <c r="AD2395">
        <v>-1.1051114451708901</v>
      </c>
      <c r="AE2395">
        <v>6.6599999999993997E-2</v>
      </c>
      <c r="AF2395">
        <v>-0.31482845946806798</v>
      </c>
      <c r="AG2395">
        <v>-1.1051114451708901</v>
      </c>
      <c r="AH2395">
        <v>15.750320063977099</v>
      </c>
      <c r="AI2395">
        <v>94.012746256713001</v>
      </c>
      <c r="AJ2395">
        <v>91.145115788428697</v>
      </c>
      <c r="AK2395">
        <v>15.792180672182599</v>
      </c>
      <c r="AL2395">
        <v>84.6930898179926</v>
      </c>
      <c r="AM2395">
        <v>90.962827993045593</v>
      </c>
      <c r="AN2395">
        <v>1.0000000370003701</v>
      </c>
    </row>
    <row r="2396" spans="1:40" x14ac:dyDescent="0.3">
      <c r="A2396" t="str">
        <f>"20200111150003179"</f>
        <v>20200111150003179</v>
      </c>
      <c r="B2396" t="str">
        <f>"1578726003167970"</f>
        <v>1578726003167970</v>
      </c>
      <c r="C2396" t="s">
        <v>40</v>
      </c>
      <c r="D2396">
        <v>4.2879399999999999</v>
      </c>
      <c r="E2396">
        <v>0.49733110000000003</v>
      </c>
      <c r="F2396" t="s">
        <v>62</v>
      </c>
      <c r="G2396">
        <v>-274.14240000000001</v>
      </c>
      <c r="H2396" s="1">
        <v>7.8202089999999999E-7</v>
      </c>
      <c r="I2396">
        <v>281.99829999999997</v>
      </c>
      <c r="J2396">
        <v>-258.2235</v>
      </c>
      <c r="K2396">
        <v>1.1051059999999999</v>
      </c>
      <c r="L2396">
        <v>281.96440000000001</v>
      </c>
      <c r="M2396">
        <v>-0.9997007</v>
      </c>
      <c r="N2396">
        <v>0</v>
      </c>
      <c r="O2396">
        <v>2.312266E-2</v>
      </c>
      <c r="P2396">
        <v>-0.99638720000000003</v>
      </c>
      <c r="Q2396">
        <v>8.4782910000000003E-2</v>
      </c>
      <c r="R2396">
        <v>4.9905160000000004E-3</v>
      </c>
      <c r="S2396">
        <v>-3.0282900000000001</v>
      </c>
      <c r="T2396">
        <v>-0.2058827</v>
      </c>
      <c r="U2396">
        <v>7.6599119999999996E-3</v>
      </c>
      <c r="V2396">
        <v>-1.832071E-2</v>
      </c>
      <c r="W2396">
        <v>9.2699589999999998E-2</v>
      </c>
      <c r="X2396">
        <v>0.99552549999999995</v>
      </c>
      <c r="Y2396">
        <v>-2.0493890000000001E-2</v>
      </c>
      <c r="Z2396">
        <v>-2.2659970000000001E-3</v>
      </c>
      <c r="AA2396">
        <v>0.99978739999999999</v>
      </c>
      <c r="AB2396">
        <v>38</v>
      </c>
      <c r="AC2396">
        <v>-15.918900000000001</v>
      </c>
      <c r="AD2396">
        <v>-1.1051052179791001</v>
      </c>
      <c r="AE2396">
        <v>3.3899999999959997E-2</v>
      </c>
      <c r="AF2396">
        <v>-0.33260522211325699</v>
      </c>
      <c r="AG2396">
        <v>-1.1051052179791001</v>
      </c>
      <c r="AH2396">
        <v>15.839094953616</v>
      </c>
      <c r="AI2396">
        <v>93.990223762755704</v>
      </c>
      <c r="AJ2396">
        <v>91.202977516880196</v>
      </c>
      <c r="AK2396">
        <v>15.881083487163099</v>
      </c>
      <c r="AL2396">
        <v>84.681068003733699</v>
      </c>
      <c r="AM2396">
        <v>91.054298341279804</v>
      </c>
      <c r="AN2396">
        <v>0.99999994177565898</v>
      </c>
    </row>
    <row r="2397" spans="1:40" x14ac:dyDescent="0.3">
      <c r="A2397" t="str">
        <f>"20200111150003192"</f>
        <v>20200111150003192</v>
      </c>
      <c r="B2397" t="str">
        <f>"1578726003188466"</f>
        <v>1578726003188466</v>
      </c>
      <c r="C2397" t="s">
        <v>40</v>
      </c>
      <c r="D2397">
        <v>4.1726799999999997</v>
      </c>
      <c r="E2397">
        <v>0.4973205</v>
      </c>
      <c r="F2397" t="s">
        <v>62</v>
      </c>
      <c r="G2397">
        <v>-275.6814</v>
      </c>
      <c r="H2397" s="1">
        <v>1.60341E-6</v>
      </c>
      <c r="I2397">
        <v>281.94279999999998</v>
      </c>
      <c r="J2397">
        <v>-258.44720000000001</v>
      </c>
      <c r="K2397">
        <v>1.1050930000000001</v>
      </c>
      <c r="L2397">
        <v>281.96899999999999</v>
      </c>
      <c r="M2397">
        <v>-0.9997163</v>
      </c>
      <c r="N2397">
        <v>0</v>
      </c>
      <c r="O2397">
        <v>2.243736E-2</v>
      </c>
      <c r="P2397">
        <v>-0.99636230000000003</v>
      </c>
      <c r="Q2397">
        <v>8.5144269999999994E-2</v>
      </c>
      <c r="R2397">
        <v>3.5804449999999998E-3</v>
      </c>
      <c r="S2397">
        <v>-3.0272220000000001</v>
      </c>
      <c r="T2397">
        <v>-0.19162680000000001</v>
      </c>
      <c r="U2397">
        <v>-3.7536620000000001E-3</v>
      </c>
      <c r="V2397">
        <v>-1.904492E-2</v>
      </c>
      <c r="W2397">
        <v>9.3068479999999995E-2</v>
      </c>
      <c r="X2397">
        <v>0.99547759999999996</v>
      </c>
      <c r="Y2397">
        <v>-2.358561E-2</v>
      </c>
      <c r="Z2397">
        <v>-2.1646059999999999E-3</v>
      </c>
      <c r="AA2397">
        <v>0.99971949999999998</v>
      </c>
      <c r="AB2397">
        <v>38</v>
      </c>
      <c r="AC2397">
        <v>-17.234199999999898</v>
      </c>
      <c r="AD2397">
        <v>-1.10509139659</v>
      </c>
      <c r="AE2397">
        <v>-2.6200000000017099E-2</v>
      </c>
      <c r="AF2397">
        <v>-0.41120498648923598</v>
      </c>
      <c r="AG2397">
        <v>-1.10509139659</v>
      </c>
      <c r="AH2397">
        <v>17.158722972880199</v>
      </c>
      <c r="AI2397">
        <v>93.683936586950594</v>
      </c>
      <c r="AJ2397">
        <v>91.372817867594804</v>
      </c>
      <c r="AK2397">
        <v>17.199188660973999</v>
      </c>
      <c r="AL2397">
        <v>84.6598409816757</v>
      </c>
      <c r="AM2397">
        <v>91.096017063987702</v>
      </c>
      <c r="AN2397">
        <v>1.00000005152453</v>
      </c>
    </row>
    <row r="2398" spans="1:40" x14ac:dyDescent="0.3">
      <c r="A2398" t="str">
        <f>"20200111150003205"</f>
        <v>20200111150003205</v>
      </c>
      <c r="B2398" t="str">
        <f>"1578726003198227"</f>
        <v>1578726003198227</v>
      </c>
      <c r="C2398" t="s">
        <v>40</v>
      </c>
      <c r="D2398">
        <v>4.2090940000000003</v>
      </c>
      <c r="E2398">
        <v>0.49767119999999998</v>
      </c>
      <c r="F2398" t="s">
        <v>62</v>
      </c>
      <c r="G2398">
        <v>-275.39920000000001</v>
      </c>
      <c r="H2398" s="1">
        <v>1.4540439999999999E-6</v>
      </c>
      <c r="I2398">
        <v>281.92500000000001</v>
      </c>
      <c r="J2398">
        <v>-258.66050000000001</v>
      </c>
      <c r="K2398">
        <v>1.1050770000000001</v>
      </c>
      <c r="L2398">
        <v>281.97329999999999</v>
      </c>
      <c r="M2398">
        <v>-0.99973029999999996</v>
      </c>
      <c r="N2398">
        <v>0</v>
      </c>
      <c r="O2398">
        <v>2.1799909999999999E-2</v>
      </c>
      <c r="P2398">
        <v>-0.99637439999999999</v>
      </c>
      <c r="Q2398">
        <v>8.5051699999999994E-2</v>
      </c>
      <c r="R2398">
        <v>2.0610559999999999E-3</v>
      </c>
      <c r="S2398">
        <v>-3.0278320000000001</v>
      </c>
      <c r="T2398">
        <v>-0.197383</v>
      </c>
      <c r="U2398">
        <v>-7.8735349999999992E-3</v>
      </c>
      <c r="V2398">
        <v>-1.9924649999999999E-2</v>
      </c>
      <c r="W2398">
        <v>9.2983029999999994E-2</v>
      </c>
      <c r="X2398">
        <v>0.99546829999999997</v>
      </c>
      <c r="Y2398">
        <v>-2.430245E-2</v>
      </c>
      <c r="Z2398">
        <v>-2.2108800000000001E-3</v>
      </c>
      <c r="AA2398">
        <v>0.99970219999999999</v>
      </c>
      <c r="AB2398">
        <v>38</v>
      </c>
      <c r="AC2398">
        <v>-16.738699999999898</v>
      </c>
      <c r="AD2398">
        <v>-1.105075545956</v>
      </c>
      <c r="AE2398">
        <v>-4.8299999999983301E-2</v>
      </c>
      <c r="AF2398">
        <v>-0.41140924209864799</v>
      </c>
      <c r="AG2398">
        <v>-1.105075545956</v>
      </c>
      <c r="AH2398">
        <v>16.661051722182101</v>
      </c>
      <c r="AI2398">
        <v>93.793539110285707</v>
      </c>
      <c r="AJ2398">
        <v>91.414509987272197</v>
      </c>
      <c r="AK2398">
        <v>16.702727143074</v>
      </c>
      <c r="AL2398">
        <v>84.664757877422701</v>
      </c>
      <c r="AM2398">
        <v>91.146642181376507</v>
      </c>
      <c r="AN2398">
        <v>0.99999998592524597</v>
      </c>
    </row>
    <row r="2399" spans="1:40" x14ac:dyDescent="0.3">
      <c r="A2399" t="str">
        <f>"20200111150003217"</f>
        <v>20200111150003217</v>
      </c>
      <c r="B2399" t="str">
        <f>"1578726003207988"</f>
        <v>1578726003207988</v>
      </c>
      <c r="C2399" t="s">
        <v>40</v>
      </c>
      <c r="D2399">
        <v>4.1055950000000001</v>
      </c>
      <c r="E2399">
        <v>0.49792649999999999</v>
      </c>
      <c r="F2399" t="s">
        <v>62</v>
      </c>
      <c r="G2399">
        <v>-275.90929999999997</v>
      </c>
      <c r="H2399" s="1">
        <v>1.7257709999999999E-6</v>
      </c>
      <c r="I2399">
        <v>281.91820000000001</v>
      </c>
      <c r="J2399">
        <v>-258.87959999999998</v>
      </c>
      <c r="K2399">
        <v>1.1050530000000001</v>
      </c>
      <c r="L2399">
        <v>281.9776</v>
      </c>
      <c r="M2399">
        <v>-0.99974370000000001</v>
      </c>
      <c r="N2399">
        <v>0</v>
      </c>
      <c r="O2399">
        <v>2.116852E-2</v>
      </c>
      <c r="P2399">
        <v>-0.99635390000000001</v>
      </c>
      <c r="Q2399">
        <v>8.5312170000000007E-2</v>
      </c>
      <c r="R2399">
        <v>9.2259929999999996E-4</v>
      </c>
      <c r="S2399">
        <v>-3.0274350000000001</v>
      </c>
      <c r="T2399">
        <v>-0.19395789999999999</v>
      </c>
      <c r="U2399">
        <v>-9.6740720000000006E-3</v>
      </c>
      <c r="V2399">
        <v>-2.042824E-2</v>
      </c>
      <c r="W2399">
        <v>9.3251280000000006E-2</v>
      </c>
      <c r="X2399">
        <v>0.99543300000000001</v>
      </c>
      <c r="Y2399">
        <v>-2.4270670000000001E-2</v>
      </c>
      <c r="Z2399">
        <v>-2.1314580000000001E-3</v>
      </c>
      <c r="AA2399">
        <v>0.99970320000000001</v>
      </c>
      <c r="AB2399">
        <v>38</v>
      </c>
      <c r="AC2399">
        <v>-17.029699999999899</v>
      </c>
      <c r="AD2399">
        <v>-1.105051274229</v>
      </c>
      <c r="AE2399">
        <v>-5.93999999999823E-2</v>
      </c>
      <c r="AF2399">
        <v>-0.41813125751483399</v>
      </c>
      <c r="AG2399">
        <v>-1.105051274229</v>
      </c>
      <c r="AH2399">
        <v>16.953242732576999</v>
      </c>
      <c r="AI2399">
        <v>93.728264073802606</v>
      </c>
      <c r="AJ2399">
        <v>91.412844772781099</v>
      </c>
      <c r="AK2399">
        <v>16.994364101573801</v>
      </c>
      <c r="AL2399">
        <v>84.649321214051298</v>
      </c>
      <c r="AM2399">
        <v>91.175656889066602</v>
      </c>
      <c r="AN2399">
        <v>0.999999985850068</v>
      </c>
    </row>
    <row r="2400" spans="1:40" x14ac:dyDescent="0.3">
      <c r="A2400" t="str">
        <f>"20200111150003236"</f>
        <v>20200111150003236</v>
      </c>
      <c r="B2400" t="str">
        <f>"1578726003228482"</f>
        <v>1578726003228482</v>
      </c>
      <c r="C2400" t="s">
        <v>40</v>
      </c>
      <c r="D2400">
        <v>4.0967399999999996</v>
      </c>
      <c r="E2400">
        <v>0.49859680000000001</v>
      </c>
      <c r="F2400" t="s">
        <v>62</v>
      </c>
      <c r="G2400">
        <v>-276.65960000000001</v>
      </c>
      <c r="H2400" s="1">
        <v>2.1253339999999999E-6</v>
      </c>
      <c r="I2400">
        <v>281.91219999999998</v>
      </c>
      <c r="J2400">
        <v>-259.19220000000001</v>
      </c>
      <c r="K2400">
        <v>1.105002</v>
      </c>
      <c r="L2400">
        <v>281.98349999999999</v>
      </c>
      <c r="M2400">
        <v>-0.99976120000000002</v>
      </c>
      <c r="N2400">
        <v>0</v>
      </c>
      <c r="O2400">
        <v>2.031939E-2</v>
      </c>
      <c r="P2400">
        <v>-0.99635289999999999</v>
      </c>
      <c r="Q2400">
        <v>8.5321640000000004E-2</v>
      </c>
      <c r="R2400">
        <v>-1.1823300000000001E-3</v>
      </c>
      <c r="S2400">
        <v>-3.0270999999999999</v>
      </c>
      <c r="T2400">
        <v>-0.18813840000000001</v>
      </c>
      <c r="U2400">
        <v>-1.113892E-2</v>
      </c>
      <c r="V2400">
        <v>-2.1676540000000001E-2</v>
      </c>
      <c r="W2400">
        <v>9.3271690000000004E-2</v>
      </c>
      <c r="X2400">
        <v>0.99540470000000003</v>
      </c>
      <c r="Y2400">
        <v>-2.3913509999999999E-2</v>
      </c>
      <c r="Z2400">
        <v>-2.0040539999999999E-3</v>
      </c>
      <c r="AA2400">
        <v>0.99971200000000005</v>
      </c>
      <c r="AB2400">
        <v>38</v>
      </c>
      <c r="AC2400">
        <v>-17.467399999999898</v>
      </c>
      <c r="AD2400">
        <v>-1.1049998746659999</v>
      </c>
      <c r="AE2400">
        <v>-7.1300000000007899E-2</v>
      </c>
      <c r="AF2400">
        <v>-0.42452478357141599</v>
      </c>
      <c r="AG2400">
        <v>-1.1049998746659999</v>
      </c>
      <c r="AH2400">
        <v>17.392741501934601</v>
      </c>
      <c r="AI2400">
        <v>93.634164112460397</v>
      </c>
      <c r="AJ2400">
        <v>91.398206821896693</v>
      </c>
      <c r="AK2400">
        <v>17.432977455615401</v>
      </c>
      <c r="AL2400">
        <v>84.648146756947497</v>
      </c>
      <c r="AM2400">
        <v>91.2475106747724</v>
      </c>
      <c r="AN2400">
        <v>0.99999999866195799</v>
      </c>
    </row>
    <row r="2401" spans="1:40" x14ac:dyDescent="0.3">
      <c r="A2401" t="str">
        <f>"20200111150003249"</f>
        <v>20200111150003249</v>
      </c>
      <c r="B2401" t="str">
        <f>"1578726003238242"</f>
        <v>1578726003238242</v>
      </c>
      <c r="C2401" t="s">
        <v>40</v>
      </c>
      <c r="D2401">
        <v>4.1988019999999997</v>
      </c>
      <c r="E2401">
        <v>0.49890220000000002</v>
      </c>
      <c r="F2401" t="s">
        <v>62</v>
      </c>
      <c r="G2401">
        <v>-277.3673</v>
      </c>
      <c r="H2401" s="1">
        <v>2.5019600000000001E-6</v>
      </c>
      <c r="I2401">
        <v>281.9117</v>
      </c>
      <c r="J2401">
        <v>-259.41379999999998</v>
      </c>
      <c r="K2401">
        <v>1.1049610000000001</v>
      </c>
      <c r="L2401">
        <v>281.98759999999999</v>
      </c>
      <c r="M2401">
        <v>-0.99977249999999995</v>
      </c>
      <c r="N2401">
        <v>0</v>
      </c>
      <c r="O2401">
        <v>1.976029E-2</v>
      </c>
      <c r="P2401">
        <v>-0.99636499999999995</v>
      </c>
      <c r="Q2401">
        <v>8.5157679999999999E-2</v>
      </c>
      <c r="R2401">
        <v>-2.3478650000000002E-3</v>
      </c>
      <c r="S2401">
        <v>-3.0267940000000002</v>
      </c>
      <c r="T2401">
        <v>-0.18402080000000001</v>
      </c>
      <c r="U2401">
        <v>-1.196289E-2</v>
      </c>
      <c r="V2401">
        <v>-2.2275389999999999E-2</v>
      </c>
      <c r="W2401">
        <v>9.3116439999999995E-2</v>
      </c>
      <c r="X2401">
        <v>0.99540600000000001</v>
      </c>
      <c r="Y2401">
        <v>-2.3632170000000001E-2</v>
      </c>
      <c r="Z2401">
        <v>-1.91797E-3</v>
      </c>
      <c r="AA2401">
        <v>0.99971889999999997</v>
      </c>
      <c r="AB2401">
        <v>38</v>
      </c>
      <c r="AC2401">
        <v>-17.953499999999998</v>
      </c>
      <c r="AD2401">
        <v>-1.10495849803999</v>
      </c>
      <c r="AE2401">
        <v>-7.5899999999990003E-2</v>
      </c>
      <c r="AF2401">
        <v>-0.42903787840622198</v>
      </c>
      <c r="AG2401">
        <v>-1.10495849803999</v>
      </c>
      <c r="AH2401">
        <v>17.8807658441456</v>
      </c>
      <c r="AI2401">
        <v>93.535134252544495</v>
      </c>
      <c r="AJ2401">
        <v>91.374512925344504</v>
      </c>
      <c r="AK2401">
        <v>17.920010992091001</v>
      </c>
      <c r="AL2401">
        <v>84.6570807327995</v>
      </c>
      <c r="AM2401">
        <v>91.281962184590896</v>
      </c>
      <c r="AN2401">
        <v>0.99999998461696205</v>
      </c>
    </row>
    <row r="2402" spans="1:40" x14ac:dyDescent="0.3">
      <c r="A2402" t="str">
        <f>"20200111150003263"</f>
        <v>20200111150003263</v>
      </c>
      <c r="B2402" t="str">
        <f>"1578726003258738"</f>
        <v>1578726003258738</v>
      </c>
      <c r="C2402" t="s">
        <v>40</v>
      </c>
      <c r="D2402">
        <v>4.1988760000000003</v>
      </c>
      <c r="E2402">
        <v>0.49984489999999998</v>
      </c>
      <c r="F2402" t="s">
        <v>62</v>
      </c>
      <c r="G2402">
        <v>-277.83139999999997</v>
      </c>
      <c r="H2402" s="1">
        <v>2.7490050000000002E-6</v>
      </c>
      <c r="I2402">
        <v>281.90899999999999</v>
      </c>
      <c r="J2402">
        <v>-259.64010000000002</v>
      </c>
      <c r="K2402">
        <v>1.104916</v>
      </c>
      <c r="L2402">
        <v>281.99160000000001</v>
      </c>
      <c r="M2402">
        <v>-0.99978299999999998</v>
      </c>
      <c r="N2402">
        <v>0</v>
      </c>
      <c r="O2402">
        <v>1.9217100000000001E-2</v>
      </c>
      <c r="P2402">
        <v>-0.99639800000000001</v>
      </c>
      <c r="Q2402">
        <v>8.4734889999999993E-2</v>
      </c>
      <c r="R2402">
        <v>-3.3796730000000001E-3</v>
      </c>
      <c r="S2402">
        <v>-3.0264280000000001</v>
      </c>
      <c r="T2402">
        <v>-0.18157029999999999</v>
      </c>
      <c r="U2402">
        <v>-1.2908940000000001E-2</v>
      </c>
      <c r="V2402">
        <v>-2.275566E-2</v>
      </c>
      <c r="W2402">
        <v>9.2703859999999999E-2</v>
      </c>
      <c r="X2402">
        <v>0.99543369999999998</v>
      </c>
      <c r="Y2402">
        <v>-2.3405490000000001E-2</v>
      </c>
      <c r="Z2402">
        <v>-1.8533550000000001E-3</v>
      </c>
      <c r="AA2402">
        <v>0.99972430000000001</v>
      </c>
      <c r="AB2402">
        <v>38</v>
      </c>
      <c r="AC2402">
        <v>-18.191299999999899</v>
      </c>
      <c r="AD2402">
        <v>-1.1049132509949999</v>
      </c>
      <c r="AE2402">
        <v>-8.2600000000013496E-2</v>
      </c>
      <c r="AF2402">
        <v>-0.43059158514331097</v>
      </c>
      <c r="AG2402">
        <v>-1.1049132509949999</v>
      </c>
      <c r="AH2402">
        <v>18.1195084897786</v>
      </c>
      <c r="AI2402">
        <v>93.488547758669</v>
      </c>
      <c r="AJ2402">
        <v>91.361319374137395</v>
      </c>
      <c r="AK2402">
        <v>18.158271677573801</v>
      </c>
      <c r="AL2402">
        <v>84.680822808178405</v>
      </c>
      <c r="AM2402">
        <v>91.309556060482805</v>
      </c>
      <c r="AN2402">
        <v>1.0000000384083101</v>
      </c>
    </row>
    <row r="2403" spans="1:40" x14ac:dyDescent="0.3">
      <c r="A2403" t="str">
        <f>"20200111150003279"</f>
        <v>20200111150003279</v>
      </c>
      <c r="B2403" t="str">
        <f>"1578726003268497"</f>
        <v>1578726003268497</v>
      </c>
      <c r="C2403" t="s">
        <v>40</v>
      </c>
      <c r="D2403">
        <v>4.050173</v>
      </c>
      <c r="E2403">
        <v>0.50031329999999996</v>
      </c>
      <c r="F2403" t="s">
        <v>62</v>
      </c>
      <c r="G2403">
        <v>-278.06490000000002</v>
      </c>
      <c r="H2403" s="1">
        <v>2.8718670000000001E-6</v>
      </c>
      <c r="I2403">
        <v>281.94170000000003</v>
      </c>
      <c r="J2403">
        <v>-259.91910000000001</v>
      </c>
      <c r="K2403">
        <v>1.1048519999999999</v>
      </c>
      <c r="L2403">
        <v>281.99650000000003</v>
      </c>
      <c r="M2403">
        <v>-0.99979430000000002</v>
      </c>
      <c r="N2403">
        <v>0</v>
      </c>
      <c r="O2403">
        <v>1.8610700000000001E-2</v>
      </c>
      <c r="P2403">
        <v>-0.99644509999999997</v>
      </c>
      <c r="Q2403">
        <v>8.4160250000000006E-2</v>
      </c>
      <c r="R2403">
        <v>-3.8345430000000002E-3</v>
      </c>
      <c r="S2403">
        <v>-3.0261840000000002</v>
      </c>
      <c r="T2403">
        <v>-0.181477</v>
      </c>
      <c r="U2403">
        <v>-8.2092290000000002E-3</v>
      </c>
      <c r="V2403">
        <v>-2.2591179999999999E-2</v>
      </c>
      <c r="W2403">
        <v>9.2144069999999995E-2</v>
      </c>
      <c r="X2403">
        <v>0.99548939999999997</v>
      </c>
      <c r="Y2403">
        <v>-2.1251880000000001E-2</v>
      </c>
      <c r="Z2403">
        <v>-1.7517079999999901E-3</v>
      </c>
      <c r="AA2403">
        <v>0.99977260000000001</v>
      </c>
      <c r="AB2403">
        <v>38</v>
      </c>
      <c r="AC2403">
        <v>-18.145800000000001</v>
      </c>
      <c r="AD2403">
        <v>-1.104849128133</v>
      </c>
      <c r="AE2403">
        <v>-5.4800000000000099E-2</v>
      </c>
      <c r="AF2403">
        <v>-0.39105778242258199</v>
      </c>
      <c r="AG2403">
        <v>-1.104849128133</v>
      </c>
      <c r="AH2403">
        <v>18.074630304999001</v>
      </c>
      <c r="AI2403">
        <v>93.497154122449999</v>
      </c>
      <c r="AJ2403">
        <v>91.239442520824895</v>
      </c>
      <c r="AK2403">
        <v>18.112588949333499</v>
      </c>
      <c r="AL2403">
        <v>84.7130341784016</v>
      </c>
      <c r="AM2403">
        <v>91.300021011223194</v>
      </c>
      <c r="AN2403">
        <v>1.0000000182811499</v>
      </c>
    </row>
    <row r="2404" spans="1:40" x14ac:dyDescent="0.3">
      <c r="A2404" t="str">
        <f>"20200111150003292"</f>
        <v>20200111150003292</v>
      </c>
      <c r="B2404" t="str">
        <f>"1578726003288018"</f>
        <v>1578726003288018</v>
      </c>
      <c r="C2404" t="s">
        <v>40</v>
      </c>
      <c r="D2404">
        <v>4.0897519999999998</v>
      </c>
      <c r="E2404">
        <v>0.50141550000000001</v>
      </c>
      <c r="F2404" t="s">
        <v>62</v>
      </c>
      <c r="G2404">
        <v>-277.7276</v>
      </c>
      <c r="H2404" s="1">
        <v>2.6916519999999999E-6</v>
      </c>
      <c r="I2404">
        <v>281.95830000000001</v>
      </c>
      <c r="J2404">
        <v>-260.13929999999999</v>
      </c>
      <c r="K2404">
        <v>1.1047990000000001</v>
      </c>
      <c r="L2404">
        <v>282.00029999999998</v>
      </c>
      <c r="M2404">
        <v>-0.99980210000000003</v>
      </c>
      <c r="N2404">
        <v>0</v>
      </c>
      <c r="O2404">
        <v>1.8186040000000001E-2</v>
      </c>
      <c r="P2404">
        <v>-0.99646230000000002</v>
      </c>
      <c r="Q2404">
        <v>8.3954130000000002E-2</v>
      </c>
      <c r="R2404">
        <v>-3.8337359999999999E-3</v>
      </c>
      <c r="S2404">
        <v>-3.0265200000000001</v>
      </c>
      <c r="T2404">
        <v>-0.18776680000000001</v>
      </c>
      <c r="U2404">
        <v>-6.5002439999999996E-3</v>
      </c>
      <c r="V2404">
        <v>-2.2155810000000001E-2</v>
      </c>
      <c r="W2404">
        <v>9.1949879999999998E-2</v>
      </c>
      <c r="X2404">
        <v>0.99551710000000004</v>
      </c>
      <c r="Y2404">
        <v>-2.026008E-2</v>
      </c>
      <c r="Z2404">
        <v>-1.75505E-3</v>
      </c>
      <c r="AA2404">
        <v>0.99979320000000005</v>
      </c>
      <c r="AB2404">
        <v>38</v>
      </c>
      <c r="AC2404">
        <v>-17.5883</v>
      </c>
      <c r="AD2404">
        <v>-1.1047963083479999</v>
      </c>
      <c r="AE2404">
        <v>-4.1999999999973101E-2</v>
      </c>
      <c r="AF2404">
        <v>-0.360442814549295</v>
      </c>
      <c r="AG2404">
        <v>-1.1047963083479999</v>
      </c>
      <c r="AH2404">
        <v>17.515517811569801</v>
      </c>
      <c r="AI2404">
        <v>93.608404509937998</v>
      </c>
      <c r="AJ2404">
        <v>91.178893928102198</v>
      </c>
      <c r="AK2404">
        <v>17.5540268346872</v>
      </c>
      <c r="AL2404">
        <v>84.724207670586495</v>
      </c>
      <c r="AM2404">
        <v>91.274940308669301</v>
      </c>
      <c r="AN2404">
        <v>0.99999997837058996</v>
      </c>
    </row>
    <row r="2405" spans="1:40" x14ac:dyDescent="0.3">
      <c r="A2405" t="str">
        <f>"20200111150003313"</f>
        <v>20200111150003313</v>
      </c>
      <c r="B2405" t="str">
        <f>"1578726003308514"</f>
        <v>1578726003308514</v>
      </c>
      <c r="C2405" t="s">
        <v>40</v>
      </c>
      <c r="D2405">
        <v>4.1595129999999996</v>
      </c>
      <c r="E2405">
        <v>0.50243149999999903</v>
      </c>
      <c r="F2405" t="s">
        <v>62</v>
      </c>
      <c r="G2405">
        <v>-277.91269999999997</v>
      </c>
      <c r="H2405" s="1">
        <v>2.7878479999999999E-6</v>
      </c>
      <c r="I2405">
        <v>282.01069999999999</v>
      </c>
      <c r="J2405">
        <v>-260.50279999999998</v>
      </c>
      <c r="K2405">
        <v>1.1047089999999999</v>
      </c>
      <c r="L2405">
        <v>282.00639999999999</v>
      </c>
      <c r="M2405">
        <v>-0.99981310000000001</v>
      </c>
      <c r="N2405">
        <v>0</v>
      </c>
      <c r="O2405">
        <v>1.756077E-2</v>
      </c>
      <c r="P2405">
        <v>-0.99654240000000005</v>
      </c>
      <c r="Q2405">
        <v>8.3027619999999996E-2</v>
      </c>
      <c r="R2405">
        <v>-3.1478489999999999E-3</v>
      </c>
      <c r="S2405">
        <v>-3.0264890000000002</v>
      </c>
      <c r="T2405">
        <v>-0.1881264</v>
      </c>
      <c r="U2405">
        <v>1.77002E-3</v>
      </c>
      <c r="V2405">
        <v>-2.082647E-2</v>
      </c>
      <c r="W2405">
        <v>9.1044840000000002E-2</v>
      </c>
      <c r="X2405">
        <v>0.99562899999999999</v>
      </c>
      <c r="Y2405">
        <v>-1.6910060000000001E-2</v>
      </c>
      <c r="Z2405">
        <v>-1.615574E-3</v>
      </c>
      <c r="AA2405">
        <v>0.99985570000000001</v>
      </c>
      <c r="AB2405">
        <v>38</v>
      </c>
      <c r="AC2405">
        <v>-17.409899999999901</v>
      </c>
      <c r="AD2405">
        <v>-1.1047062121519999</v>
      </c>
      <c r="AE2405">
        <v>4.3000000000006297E-3</v>
      </c>
      <c r="AF2405">
        <v>-0.30023309399722498</v>
      </c>
      <c r="AG2405">
        <v>-1.1047062121519999</v>
      </c>
      <c r="AH2405">
        <v>17.337485597581701</v>
      </c>
      <c r="AI2405">
        <v>93.645286569478102</v>
      </c>
      <c r="AJ2405">
        <v>90.992091376698596</v>
      </c>
      <c r="AK2405">
        <v>17.3752387774169</v>
      </c>
      <c r="AL2405">
        <v>84.776281217671198</v>
      </c>
      <c r="AM2405">
        <v>91.198332749589994</v>
      </c>
      <c r="AN2405">
        <v>1.0000000051921401</v>
      </c>
    </row>
    <row r="2406" spans="1:40" x14ac:dyDescent="0.3">
      <c r="A2406" t="str">
        <f>"20200111150003327"</f>
        <v>20200111150003327</v>
      </c>
      <c r="B2406" t="str">
        <f>"1578726003318274"</f>
        <v>1578726003318274</v>
      </c>
      <c r="C2406" t="s">
        <v>40</v>
      </c>
      <c r="D2406">
        <v>4.0730469999999999</v>
      </c>
      <c r="E2406">
        <v>0.50278970000000001</v>
      </c>
      <c r="F2406" t="s">
        <v>62</v>
      </c>
      <c r="G2406">
        <v>-278.18759999999997</v>
      </c>
      <c r="H2406" s="1">
        <v>2.9312500000000001E-6</v>
      </c>
      <c r="I2406">
        <v>282.077</v>
      </c>
      <c r="J2406">
        <v>-260.72820000000002</v>
      </c>
      <c r="K2406">
        <v>1.1046499999999999</v>
      </c>
      <c r="L2406">
        <v>282.01010000000002</v>
      </c>
      <c r="M2406">
        <v>-0.99981889999999995</v>
      </c>
      <c r="N2406">
        <v>0</v>
      </c>
      <c r="O2406">
        <v>1.72304E-2</v>
      </c>
      <c r="P2406">
        <v>-0.99658610000000003</v>
      </c>
      <c r="Q2406">
        <v>8.2512619999999995E-2</v>
      </c>
      <c r="R2406">
        <v>-2.8710099999999998E-3</v>
      </c>
      <c r="S2406">
        <v>-3.0261840000000002</v>
      </c>
      <c r="T2406">
        <v>-0.18903510000000001</v>
      </c>
      <c r="U2406">
        <v>1.208496E-2</v>
      </c>
      <c r="V2406">
        <v>-2.02069E-2</v>
      </c>
      <c r="W2406">
        <v>9.0542910000000004E-2</v>
      </c>
      <c r="X2406">
        <v>0.99568749999999995</v>
      </c>
      <c r="Y2406">
        <v>-1.317872E-2</v>
      </c>
      <c r="Z2406">
        <v>-1.4864679999999999E-3</v>
      </c>
      <c r="AA2406">
        <v>0.99991200000000002</v>
      </c>
      <c r="AB2406">
        <v>38</v>
      </c>
      <c r="AC2406">
        <v>-17.459399999999899</v>
      </c>
      <c r="AD2406">
        <v>-1.1046470687499901</v>
      </c>
      <c r="AE2406">
        <v>6.6899999999975507E-2</v>
      </c>
      <c r="AF2406">
        <v>-0.23301942849587001</v>
      </c>
      <c r="AG2406">
        <v>-1.1046470687499901</v>
      </c>
      <c r="AH2406">
        <v>17.3883556326189</v>
      </c>
      <c r="AI2406">
        <v>93.634674730267704</v>
      </c>
      <c r="AJ2406">
        <v>90.767768439743705</v>
      </c>
      <c r="AK2406">
        <v>17.4249664219757</v>
      </c>
      <c r="AL2406">
        <v>84.805158765700597</v>
      </c>
      <c r="AM2406">
        <v>91.162624998882606</v>
      </c>
      <c r="AN2406">
        <v>0.99999996750756304</v>
      </c>
    </row>
    <row r="2407" spans="1:40" x14ac:dyDescent="0.3">
      <c r="A2407" t="str">
        <f>"20200111150003338"</f>
        <v>20200111150003338</v>
      </c>
      <c r="B2407" t="str">
        <f>"1578726003328034"</f>
        <v>1578726003328034</v>
      </c>
      <c r="C2407" t="s">
        <v>40</v>
      </c>
      <c r="D2407">
        <v>4.059653</v>
      </c>
      <c r="E2407">
        <v>0.50325819999999999</v>
      </c>
      <c r="F2407" t="s">
        <v>62</v>
      </c>
      <c r="G2407">
        <v>-278.36810000000003</v>
      </c>
      <c r="H2407" s="1">
        <v>3.0261149999999999E-6</v>
      </c>
      <c r="I2407">
        <v>282.10399999999998</v>
      </c>
      <c r="J2407">
        <v>-260.94459999999998</v>
      </c>
      <c r="K2407">
        <v>1.1045879999999999</v>
      </c>
      <c r="L2407">
        <v>282.0136</v>
      </c>
      <c r="M2407">
        <v>-0.99982360000000003</v>
      </c>
      <c r="N2407">
        <v>0</v>
      </c>
      <c r="O2407">
        <v>1.6946739999999998E-2</v>
      </c>
      <c r="P2407">
        <v>-0.99663290000000004</v>
      </c>
      <c r="Q2407">
        <v>8.1958879999999998E-2</v>
      </c>
      <c r="R2407">
        <v>-2.401846E-3</v>
      </c>
      <c r="S2407">
        <v>-3.0260009999999999</v>
      </c>
      <c r="T2407">
        <v>-0.1894941</v>
      </c>
      <c r="U2407">
        <v>1.6113280000000001E-2</v>
      </c>
      <c r="V2407">
        <v>-1.9442500000000001E-2</v>
      </c>
      <c r="W2407">
        <v>9.0001049999999999E-2</v>
      </c>
      <c r="X2407">
        <v>0.99575190000000002</v>
      </c>
      <c r="Y2407">
        <v>-1.15671E-2</v>
      </c>
      <c r="Z2407">
        <v>-1.4219979999999901E-3</v>
      </c>
      <c r="AA2407">
        <v>0.99993209999999999</v>
      </c>
      <c r="AB2407">
        <v>38</v>
      </c>
      <c r="AC2407">
        <v>-17.423500000000001</v>
      </c>
      <c r="AD2407">
        <v>-1.104584973885</v>
      </c>
      <c r="AE2407">
        <v>9.0400000000045097E-2</v>
      </c>
      <c r="AF2407">
        <v>-0.20407401995489799</v>
      </c>
      <c r="AG2407">
        <v>-1.104584973885</v>
      </c>
      <c r="AH2407">
        <v>17.3527892457032</v>
      </c>
      <c r="AI2407">
        <v>93.641975124701702</v>
      </c>
      <c r="AJ2407">
        <v>90.673784536002003</v>
      </c>
      <c r="AK2407">
        <v>17.389107187430401</v>
      </c>
      <c r="AL2407">
        <v>84.836332622945307</v>
      </c>
      <c r="AM2407">
        <v>91.118583515344696</v>
      </c>
      <c r="AN2407">
        <v>1.00000002308048</v>
      </c>
    </row>
    <row r="2408" spans="1:40" x14ac:dyDescent="0.3">
      <c r="A2408" t="str">
        <f>"20200111150003358"</f>
        <v>20200111150003358</v>
      </c>
      <c r="B2408" t="str">
        <f>"1578726003348529"</f>
        <v>1578726003348529</v>
      </c>
      <c r="C2408" t="s">
        <v>40</v>
      </c>
      <c r="D2408">
        <v>4.3354299999999997</v>
      </c>
      <c r="E2408">
        <v>0.50393270000000001</v>
      </c>
      <c r="F2408" t="s">
        <v>62</v>
      </c>
      <c r="G2408">
        <v>-278.47120000000001</v>
      </c>
      <c r="H2408" s="1">
        <v>3.0794379999999999E-6</v>
      </c>
      <c r="I2408">
        <v>282.13929999999999</v>
      </c>
      <c r="J2408">
        <v>-261.2697</v>
      </c>
      <c r="K2408">
        <v>1.1044989999999999</v>
      </c>
      <c r="L2408">
        <v>282.01889999999997</v>
      </c>
      <c r="M2408">
        <v>-0.99982899999999997</v>
      </c>
      <c r="N2408">
        <v>0</v>
      </c>
      <c r="O2408">
        <v>1.6610059999999999E-2</v>
      </c>
      <c r="P2408">
        <v>-0.9967085</v>
      </c>
      <c r="Q2408">
        <v>8.1069199999999994E-2</v>
      </c>
      <c r="R2408">
        <v>-1.4329389999999999E-4</v>
      </c>
      <c r="S2408">
        <v>-3.0258180000000001</v>
      </c>
      <c r="T2408">
        <v>-0.1906977</v>
      </c>
      <c r="U2408">
        <v>2.1697999999999999E-2</v>
      </c>
      <c r="V2408">
        <v>-1.6829920000000002E-2</v>
      </c>
      <c r="W2408">
        <v>8.9131940000000007E-2</v>
      </c>
      <c r="X2408">
        <v>0.99587760000000003</v>
      </c>
      <c r="Y2408">
        <v>-9.3888270000000006E-3</v>
      </c>
      <c r="Z2408">
        <v>-1.341318E-3</v>
      </c>
      <c r="AA2408">
        <v>0.99995500000000004</v>
      </c>
      <c r="AB2408">
        <v>38</v>
      </c>
      <c r="AC2408">
        <v>-17.201499999999999</v>
      </c>
      <c r="AD2408">
        <v>-1.104495920562</v>
      </c>
      <c r="AE2408">
        <v>0.12040000000001699</v>
      </c>
      <c r="AF2408">
        <v>-0.164665144870832</v>
      </c>
      <c r="AG2408">
        <v>-1.104495920562</v>
      </c>
      <c r="AH2408">
        <v>17.130503977991498</v>
      </c>
      <c r="AI2408">
        <v>93.688891517947894</v>
      </c>
      <c r="AJ2408">
        <v>90.550732616037195</v>
      </c>
      <c r="AK2408">
        <v>17.166863207600201</v>
      </c>
      <c r="AL2408">
        <v>84.886329641012495</v>
      </c>
      <c r="AM2408">
        <v>90.968182839704198</v>
      </c>
      <c r="AN2408">
        <v>0.99999997155856402</v>
      </c>
    </row>
    <row r="2409" spans="1:40" x14ac:dyDescent="0.3">
      <c r="A2409" t="str">
        <f>"20200111150003373"</f>
        <v>20200111150003373</v>
      </c>
      <c r="B2409" t="str">
        <f>"1578726003368050"</f>
        <v>1578726003368050</v>
      </c>
      <c r="C2409" t="s">
        <v>40</v>
      </c>
      <c r="D2409">
        <v>4.0516439999999996</v>
      </c>
      <c r="E2409">
        <v>0.5048028</v>
      </c>
      <c r="F2409" t="s">
        <v>62</v>
      </c>
      <c r="G2409">
        <v>-279.03109999999998</v>
      </c>
      <c r="H2409" s="1">
        <v>3.3740729999999999E-6</v>
      </c>
      <c r="I2409">
        <v>282.21519999999998</v>
      </c>
      <c r="J2409">
        <v>-261.52550000000002</v>
      </c>
      <c r="K2409">
        <v>1.10443</v>
      </c>
      <c r="L2409">
        <v>282.02289999999999</v>
      </c>
      <c r="M2409">
        <v>-0.99983230000000001</v>
      </c>
      <c r="N2409">
        <v>0</v>
      </c>
      <c r="O2409">
        <v>1.6412349999999999E-2</v>
      </c>
      <c r="P2409">
        <v>-0.99672780000000005</v>
      </c>
      <c r="Q2409">
        <v>8.0823320000000004E-2</v>
      </c>
      <c r="R2409">
        <v>1.2454289999999999E-3</v>
      </c>
      <c r="S2409">
        <v>-3.0252080000000001</v>
      </c>
      <c r="T2409">
        <v>-0.1881234</v>
      </c>
      <c r="U2409">
        <v>3.3447270000000001E-2</v>
      </c>
      <c r="V2409">
        <v>-1.5228480000000001E-2</v>
      </c>
      <c r="W2409">
        <v>8.8900179999999995E-2</v>
      </c>
      <c r="X2409">
        <v>0.99592409999999998</v>
      </c>
      <c r="Y2409">
        <v>-5.3159009999999996E-3</v>
      </c>
      <c r="Z2409">
        <v>-1.1846879999999999E-3</v>
      </c>
      <c r="AA2409">
        <v>0.99998520000000002</v>
      </c>
      <c r="AB2409">
        <v>38</v>
      </c>
      <c r="AC2409">
        <v>-17.505599999999902</v>
      </c>
      <c r="AD2409">
        <v>-1.1044266259269999</v>
      </c>
      <c r="AE2409">
        <v>0.19229999999998801</v>
      </c>
      <c r="AF2409">
        <v>-9.46666600192035E-2</v>
      </c>
      <c r="AG2409">
        <v>-1.1044266259269999</v>
      </c>
      <c r="AH2409">
        <v>17.437001434205602</v>
      </c>
      <c r="AI2409">
        <v>93.624111626624895</v>
      </c>
      <c r="AJ2409">
        <v>90.311059605673194</v>
      </c>
      <c r="AK2409">
        <v>17.472199030604699</v>
      </c>
      <c r="AL2409">
        <v>84.899661483142907</v>
      </c>
      <c r="AM2409">
        <v>90.876030252130505</v>
      </c>
      <c r="AN2409">
        <v>0.99999998078397601</v>
      </c>
    </row>
    <row r="2410" spans="1:40" x14ac:dyDescent="0.3">
      <c r="A2410" t="str">
        <f>"20200111150003393"</f>
        <v>20200111150003393</v>
      </c>
      <c r="B2410" t="str">
        <f>"1578726003388547"</f>
        <v>1578726003388547</v>
      </c>
      <c r="C2410" t="s">
        <v>40</v>
      </c>
      <c r="D2410">
        <v>4.1124020000000003</v>
      </c>
      <c r="E2410">
        <v>0.5055771</v>
      </c>
      <c r="F2410" t="s">
        <v>62</v>
      </c>
      <c r="G2410">
        <v>-279.73559999999998</v>
      </c>
      <c r="H2410" s="1">
        <v>3.7456420000000001E-6</v>
      </c>
      <c r="I2410">
        <v>282.29079999999999</v>
      </c>
      <c r="J2410">
        <v>-261.85480000000001</v>
      </c>
      <c r="K2410">
        <v>1.104344</v>
      </c>
      <c r="L2410">
        <v>282.02820000000003</v>
      </c>
      <c r="M2410">
        <v>-0.99983529999999998</v>
      </c>
      <c r="N2410">
        <v>0</v>
      </c>
      <c r="O2410">
        <v>1.6218860000000002E-2</v>
      </c>
      <c r="P2410">
        <v>-0.99672169999999904</v>
      </c>
      <c r="Q2410">
        <v>8.0842140000000007E-2</v>
      </c>
      <c r="R2410">
        <v>3.2610009999999999E-3</v>
      </c>
      <c r="S2410">
        <v>-3.0246580000000001</v>
      </c>
      <c r="T2410">
        <v>-0.18344340000000001</v>
      </c>
      <c r="U2410">
        <v>4.449463E-2</v>
      </c>
      <c r="V2410">
        <v>-1.300115E-2</v>
      </c>
      <c r="W2410">
        <v>8.8936280000000006E-2</v>
      </c>
      <c r="X2410">
        <v>0.99595250000000002</v>
      </c>
      <c r="Y2410">
        <v>-1.478034E-3</v>
      </c>
      <c r="Z2410">
        <v>-1.027455E-3</v>
      </c>
      <c r="AA2410">
        <v>0.99999839999999995</v>
      </c>
      <c r="AB2410">
        <v>38</v>
      </c>
      <c r="AC2410">
        <v>-17.880799999999901</v>
      </c>
      <c r="AD2410">
        <v>-1.1043402543580001</v>
      </c>
      <c r="AE2410">
        <v>0.26259999999996297</v>
      </c>
      <c r="AF2410">
        <v>-2.7346064696173698E-2</v>
      </c>
      <c r="AG2410">
        <v>-1.1043402543580001</v>
      </c>
      <c r="AH2410">
        <v>17.814768230686202</v>
      </c>
      <c r="AI2410">
        <v>93.5472310173772</v>
      </c>
      <c r="AJ2410">
        <v>90.087950224357101</v>
      </c>
      <c r="AK2410">
        <v>17.848985470264601</v>
      </c>
      <c r="AL2410">
        <v>84.897585167635697</v>
      </c>
      <c r="AM2410">
        <v>90.747895823916707</v>
      </c>
      <c r="AN2410">
        <v>1.0000000370288999</v>
      </c>
    </row>
    <row r="2411" spans="1:40" x14ac:dyDescent="0.3">
      <c r="A2411" t="str">
        <f>"20200111150003407"</f>
        <v>20200111150003407</v>
      </c>
      <c r="B2411" t="str">
        <f>"1578726003398306"</f>
        <v>1578726003398306</v>
      </c>
      <c r="C2411" t="s">
        <v>40</v>
      </c>
      <c r="D2411">
        <v>4.0062170000000004</v>
      </c>
      <c r="E2411">
        <v>0.50589759999999995</v>
      </c>
      <c r="F2411" t="s">
        <v>66</v>
      </c>
      <c r="G2411">
        <v>-280.58589999999998</v>
      </c>
      <c r="H2411" s="1">
        <v>8.6044459999999993E-6</v>
      </c>
      <c r="I2411">
        <v>282.38029999999998</v>
      </c>
      <c r="J2411">
        <v>-262.11360000000002</v>
      </c>
      <c r="K2411">
        <v>1.104277</v>
      </c>
      <c r="L2411">
        <v>282.03230000000002</v>
      </c>
      <c r="M2411">
        <v>-0.99983710000000003</v>
      </c>
      <c r="N2411">
        <v>0</v>
      </c>
      <c r="O2411">
        <v>1.611572E-2</v>
      </c>
      <c r="P2411">
        <v>-0.99668909999999999</v>
      </c>
      <c r="Q2411">
        <v>8.1211489999999997E-2</v>
      </c>
      <c r="R2411">
        <v>4.0009390000000002E-3</v>
      </c>
      <c r="S2411">
        <v>-3.0241090000000002</v>
      </c>
      <c r="T2411">
        <v>-0.17829300000000001</v>
      </c>
      <c r="U2411">
        <v>5.6854250000000002E-2</v>
      </c>
      <c r="V2411">
        <v>-1.2144469999999999E-2</v>
      </c>
      <c r="W2411">
        <v>8.9317170000000001E-2</v>
      </c>
      <c r="X2411">
        <v>0.99592919999999996</v>
      </c>
      <c r="Y2411">
        <v>2.7044410000000001E-3</v>
      </c>
      <c r="Z2411">
        <v>-8.6954749999999998E-4</v>
      </c>
      <c r="AA2411">
        <v>0.99999590000000005</v>
      </c>
      <c r="AB2411">
        <v>38</v>
      </c>
      <c r="AC2411">
        <v>-18.472299999999901</v>
      </c>
      <c r="AD2411">
        <v>-1.104268395554</v>
      </c>
      <c r="AE2411">
        <v>0.34799999999995601</v>
      </c>
      <c r="AF2411">
        <v>5.0071682714282001E-2</v>
      </c>
      <c r="AG2411">
        <v>-1.104268395554</v>
      </c>
      <c r="AH2411">
        <v>18.409743431363001</v>
      </c>
      <c r="AI2411">
        <v>93.4326370988462</v>
      </c>
      <c r="AJ2411">
        <v>89.844164638736501</v>
      </c>
      <c r="AK2411">
        <v>18.442900234817799</v>
      </c>
      <c r="AL2411">
        <v>84.875674433102304</v>
      </c>
      <c r="AM2411">
        <v>90.698636398587595</v>
      </c>
      <c r="AN2411">
        <v>1.00000000821051</v>
      </c>
    </row>
    <row r="2412" spans="1:40" x14ac:dyDescent="0.3">
      <c r="A2412" t="str">
        <f>"20200111150003421"</f>
        <v>20200111150003421</v>
      </c>
      <c r="B2412" t="str">
        <f>"1578726003418802"</f>
        <v>1578726003418802</v>
      </c>
      <c r="C2412" t="s">
        <v>40</v>
      </c>
      <c r="D2412">
        <v>4.0038910000000003</v>
      </c>
      <c r="E2412">
        <v>0.5063645</v>
      </c>
      <c r="F2412" t="s">
        <v>66</v>
      </c>
      <c r="G2412">
        <v>-281.24720000000002</v>
      </c>
      <c r="H2412" s="1">
        <v>8.3016800000000008E-6</v>
      </c>
      <c r="I2412">
        <v>282.4264</v>
      </c>
      <c r="J2412">
        <v>-262.34960000000001</v>
      </c>
      <c r="K2412">
        <v>1.104217</v>
      </c>
      <c r="L2412">
        <v>282.03609999999998</v>
      </c>
      <c r="M2412">
        <v>-0.9998378</v>
      </c>
      <c r="N2412">
        <v>0</v>
      </c>
      <c r="O2412">
        <v>1.6052719999999999E-2</v>
      </c>
      <c r="P2412">
        <v>-0.99667269999999997</v>
      </c>
      <c r="Q2412">
        <v>8.1396099999999999E-2</v>
      </c>
      <c r="R2412">
        <v>4.2478020000000002E-3</v>
      </c>
      <c r="S2412">
        <v>-3.0239259999999999</v>
      </c>
      <c r="T2412">
        <v>-0.1745217</v>
      </c>
      <c r="U2412">
        <v>6.2286380000000002E-2</v>
      </c>
      <c r="V2412">
        <v>-1.1822279999999999E-2</v>
      </c>
      <c r="W2412">
        <v>8.9511899999999894E-2</v>
      </c>
      <c r="X2412">
        <v>0.99591560000000001</v>
      </c>
      <c r="Y2412">
        <v>4.5600939999999998E-3</v>
      </c>
      <c r="Z2412">
        <v>-7.9408910000000003E-4</v>
      </c>
      <c r="AA2412">
        <v>0.99998929999999997</v>
      </c>
      <c r="AB2412">
        <v>38</v>
      </c>
      <c r="AC2412">
        <v>-18.897600000000001</v>
      </c>
      <c r="AD2412">
        <v>-1.1042086983199999</v>
      </c>
      <c r="AE2412">
        <v>0.39030000000002402</v>
      </c>
      <c r="AF2412">
        <v>8.6586212078900104E-2</v>
      </c>
      <c r="AG2412">
        <v>-1.1042086983199999</v>
      </c>
      <c r="AH2412">
        <v>18.837144042012699</v>
      </c>
      <c r="AI2412">
        <v>93.354729174309597</v>
      </c>
      <c r="AJ2412">
        <v>89.736637912522198</v>
      </c>
      <c r="AK2412">
        <v>18.8696785791678</v>
      </c>
      <c r="AL2412">
        <v>84.864472388145202</v>
      </c>
      <c r="AM2412">
        <v>90.680112786518194</v>
      </c>
      <c r="AN2412">
        <v>1.0000000144346799</v>
      </c>
    </row>
    <row r="2413" spans="1:40" x14ac:dyDescent="0.3">
      <c r="A2413" t="str">
        <f>"20200111150003437"</f>
        <v>20200111150003437</v>
      </c>
      <c r="B2413" t="str">
        <f>"1578726003428562"</f>
        <v>1578726003428562</v>
      </c>
      <c r="C2413" t="s">
        <v>40</v>
      </c>
      <c r="D2413">
        <v>4.0269240000000002</v>
      </c>
      <c r="E2413">
        <v>0.50652410000000003</v>
      </c>
      <c r="F2413" t="s">
        <v>41</v>
      </c>
      <c r="G2413">
        <v>-263.40769999999998</v>
      </c>
      <c r="H2413">
        <v>1.0431649999999999</v>
      </c>
      <c r="I2413">
        <v>282.05959999999999</v>
      </c>
      <c r="J2413">
        <v>-262.62979999999999</v>
      </c>
      <c r="K2413">
        <v>1.1041430000000001</v>
      </c>
      <c r="L2413">
        <v>282.04050000000001</v>
      </c>
      <c r="M2413">
        <v>-0.99983809999999995</v>
      </c>
      <c r="N2413">
        <v>0</v>
      </c>
      <c r="O2413">
        <v>1.6039060000000001E-2</v>
      </c>
      <c r="P2413">
        <v>-0.99666319999999997</v>
      </c>
      <c r="Q2413">
        <v>8.1511940000000005E-2</v>
      </c>
      <c r="R2413">
        <v>4.3121499999999998E-3</v>
      </c>
      <c r="S2413">
        <v>-3.023987</v>
      </c>
      <c r="T2413">
        <v>-0.17451749999999999</v>
      </c>
      <c r="U2413">
        <v>6.6986080000000003E-2</v>
      </c>
      <c r="V2413">
        <v>-1.1729069999999999E-2</v>
      </c>
      <c r="W2413">
        <v>8.9639179999999999E-2</v>
      </c>
      <c r="X2413">
        <v>0.99590520000000005</v>
      </c>
      <c r="Y2413">
        <v>6.1241289999999999E-3</v>
      </c>
      <c r="Z2413">
        <v>-7.4816179999999996E-4</v>
      </c>
      <c r="AA2413">
        <v>0.99998100000000001</v>
      </c>
      <c r="AB2413">
        <v>39</v>
      </c>
      <c r="AC2413">
        <v>-0.77789999999998805</v>
      </c>
      <c r="AD2413">
        <v>-6.0978000000000199E-2</v>
      </c>
      <c r="AE2413">
        <v>1.9099999999980299E-2</v>
      </c>
      <c r="AF2413">
        <v>6.57993594225876E-3</v>
      </c>
      <c r="AG2413">
        <v>-6.0978000000000199E-2</v>
      </c>
      <c r="AH2413">
        <v>0.77335712130930501</v>
      </c>
      <c r="AI2413">
        <v>94.508192652513898</v>
      </c>
      <c r="AJ2413">
        <v>89.512523449002302</v>
      </c>
      <c r="AK2413">
        <v>0.77578531123038197</v>
      </c>
      <c r="AL2413">
        <v>84.857150069085804</v>
      </c>
      <c r="AM2413">
        <v>90.674758139766695</v>
      </c>
      <c r="AN2413">
        <v>0.99999996053058704</v>
      </c>
    </row>
    <row r="2414" spans="1:40" x14ac:dyDescent="0.3">
      <c r="A2414" t="str">
        <f>"20200111150003451"</f>
        <v>20200111150003451</v>
      </c>
      <c r="B2414" t="str">
        <f>"1578726003448082"</f>
        <v>1578726003448082</v>
      </c>
      <c r="C2414" t="s">
        <v>40</v>
      </c>
      <c r="D2414">
        <v>4.0337249999999996</v>
      </c>
      <c r="E2414">
        <v>0.50673900000000005</v>
      </c>
      <c r="F2414" t="s">
        <v>66</v>
      </c>
      <c r="G2414">
        <v>-281.87599999999998</v>
      </c>
      <c r="H2414" s="1">
        <v>8.0119610000000005E-6</v>
      </c>
      <c r="I2414">
        <v>282.47910000000002</v>
      </c>
      <c r="J2414">
        <v>-262.87360000000001</v>
      </c>
      <c r="K2414">
        <v>1.1040779999999999</v>
      </c>
      <c r="L2414">
        <v>282.0444</v>
      </c>
      <c r="M2414">
        <v>-0.99983750000000005</v>
      </c>
      <c r="N2414">
        <v>0</v>
      </c>
      <c r="O2414">
        <v>1.607563E-2</v>
      </c>
      <c r="P2414">
        <v>-0.9966621</v>
      </c>
      <c r="Q2414">
        <v>8.1538070000000004E-2</v>
      </c>
      <c r="R2414">
        <v>4.0745929999999996E-3</v>
      </c>
      <c r="S2414">
        <v>-3.0239259999999999</v>
      </c>
      <c r="T2414">
        <v>-0.17347939999999901</v>
      </c>
      <c r="U2414">
        <v>6.8908689999999995E-2</v>
      </c>
      <c r="V2414">
        <v>-1.198927E-2</v>
      </c>
      <c r="W2414">
        <v>8.9675279999999996E-2</v>
      </c>
      <c r="X2414">
        <v>0.99589890000000003</v>
      </c>
      <c r="Y2414">
        <v>6.7223419999999897E-3</v>
      </c>
      <c r="Z2414">
        <v>-7.2868019999999996E-4</v>
      </c>
      <c r="AA2414">
        <v>0.99997709999999995</v>
      </c>
      <c r="AB2414">
        <v>39</v>
      </c>
      <c r="AC2414">
        <v>-19.002399999999898</v>
      </c>
      <c r="AD2414">
        <v>-1.1040699880389999</v>
      </c>
      <c r="AE2414">
        <v>0.43470000000002001</v>
      </c>
      <c r="AF2414">
        <v>0.12872378932599199</v>
      </c>
      <c r="AG2414">
        <v>-1.1040699880389999</v>
      </c>
      <c r="AH2414">
        <v>18.943018297472999</v>
      </c>
      <c r="AI2414">
        <v>93.335561950696302</v>
      </c>
      <c r="AJ2414">
        <v>89.610663083528294</v>
      </c>
      <c r="AK2414">
        <v>18.9756022979726</v>
      </c>
      <c r="AL2414">
        <v>84.855073576312193</v>
      </c>
      <c r="AM2414">
        <v>90.689730039638107</v>
      </c>
      <c r="AN2414">
        <v>1.0000000087297101</v>
      </c>
    </row>
    <row r="2415" spans="1:40" x14ac:dyDescent="0.3">
      <c r="A2415" t="str">
        <f>"20200111150003465"</f>
        <v>20200111150003465</v>
      </c>
      <c r="B2415" t="str">
        <f>"1578726003458819"</f>
        <v>1578726003458819</v>
      </c>
      <c r="C2415" t="s">
        <v>40</v>
      </c>
      <c r="D2415">
        <v>4.020181</v>
      </c>
      <c r="E2415">
        <v>0.50688549999999999</v>
      </c>
      <c r="F2415" t="s">
        <v>66</v>
      </c>
      <c r="G2415">
        <v>-282.34809999999999</v>
      </c>
      <c r="H2415" s="1">
        <v>7.7995429999999997E-6</v>
      </c>
      <c r="I2415">
        <v>282.4939</v>
      </c>
      <c r="J2415">
        <v>-263.1146</v>
      </c>
      <c r="K2415">
        <v>1.1040099999999999</v>
      </c>
      <c r="L2415">
        <v>282.04829999999998</v>
      </c>
      <c r="M2415">
        <v>-0.99983599999999995</v>
      </c>
      <c r="N2415">
        <v>0</v>
      </c>
      <c r="O2415">
        <v>1.6152880000000001E-2</v>
      </c>
      <c r="P2415">
        <v>-0.99669490000000005</v>
      </c>
      <c r="Q2415">
        <v>8.112743E-2</v>
      </c>
      <c r="R2415">
        <v>4.2002890000000003E-3</v>
      </c>
      <c r="S2415">
        <v>-3.0237729999999998</v>
      </c>
      <c r="T2415">
        <v>-0.1714272</v>
      </c>
      <c r="U2415">
        <v>6.97937E-2</v>
      </c>
      <c r="V2415">
        <v>-1.192606E-2</v>
      </c>
      <c r="W2415">
        <v>8.9274899999999893E-2</v>
      </c>
      <c r="X2415">
        <v>0.99593560000000003</v>
      </c>
      <c r="Y2415">
        <v>6.938166E-3</v>
      </c>
      <c r="Z2415">
        <v>-7.1837029999999996E-4</v>
      </c>
      <c r="AA2415">
        <v>0.99997570000000002</v>
      </c>
      <c r="AB2415">
        <v>39</v>
      </c>
      <c r="AC2415">
        <v>-19.2334999999999</v>
      </c>
      <c r="AD2415">
        <v>-1.104002200457</v>
      </c>
      <c r="AE2415">
        <v>0.44560000000001299</v>
      </c>
      <c r="AF2415">
        <v>0.134412407235839</v>
      </c>
      <c r="AG2415">
        <v>-1.104002200457</v>
      </c>
      <c r="AH2415">
        <v>19.175045273384601</v>
      </c>
      <c r="AI2415">
        <v>93.295082844052899</v>
      </c>
      <c r="AJ2415">
        <v>89.598377088318699</v>
      </c>
      <c r="AK2415">
        <v>19.207270727257999</v>
      </c>
      <c r="AL2415">
        <v>84.878105889685401</v>
      </c>
      <c r="AM2415">
        <v>90.686068703641794</v>
      </c>
      <c r="AN2415">
        <v>0.99999997901224602</v>
      </c>
    </row>
    <row r="2416" spans="1:40" x14ac:dyDescent="0.3">
      <c r="A2416" t="str">
        <f>"20200111150003480"</f>
        <v>20200111150003480</v>
      </c>
      <c r="B2416" t="str">
        <f>"1578726003468578"</f>
        <v>1578726003468578</v>
      </c>
      <c r="C2416" t="s">
        <v>40</v>
      </c>
      <c r="D2416">
        <v>4.0201609999999999</v>
      </c>
      <c r="E2416">
        <v>0.50688069999999996</v>
      </c>
      <c r="F2416" t="s">
        <v>41</v>
      </c>
      <c r="G2416">
        <v>-264.10219999999998</v>
      </c>
      <c r="H2416">
        <v>1.0466390000000001</v>
      </c>
      <c r="I2416">
        <v>282.07190000000003</v>
      </c>
      <c r="J2416">
        <v>-263.3691</v>
      </c>
      <c r="K2416">
        <v>1.103925</v>
      </c>
      <c r="L2416">
        <v>282.05259999999998</v>
      </c>
      <c r="M2416">
        <v>-0.99983390000000005</v>
      </c>
      <c r="N2416">
        <v>0</v>
      </c>
      <c r="O2416">
        <v>1.6286269999999999E-2</v>
      </c>
      <c r="P2416">
        <v>-0.99674490000000004</v>
      </c>
      <c r="Q2416">
        <v>8.0548380000000003E-2</v>
      </c>
      <c r="R2416">
        <v>3.4599819999999999E-3</v>
      </c>
      <c r="S2416">
        <v>-3.0239560000000001</v>
      </c>
      <c r="T2416">
        <v>-0.17571020000000001</v>
      </c>
      <c r="U2416">
        <v>7.1685789999999999E-2</v>
      </c>
      <c r="V2416">
        <v>-1.278343E-2</v>
      </c>
      <c r="W2416">
        <v>8.8706880000000002E-2</v>
      </c>
      <c r="X2416">
        <v>0.99597570000000002</v>
      </c>
      <c r="Y2416">
        <v>7.4288560000000002E-3</v>
      </c>
      <c r="Z2416">
        <v>-7.2973690000000002E-4</v>
      </c>
      <c r="AA2416">
        <v>0.99997219999999998</v>
      </c>
      <c r="AB2416">
        <v>39</v>
      </c>
      <c r="AC2416">
        <v>-0.73309999999997899</v>
      </c>
      <c r="AD2416">
        <v>-5.7286000000000101E-2</v>
      </c>
      <c r="AE2416">
        <v>1.9300000000043799E-2</v>
      </c>
      <c r="AF2416">
        <v>7.3129525826098303E-3</v>
      </c>
      <c r="AG2416">
        <v>-5.7286000000000101E-2</v>
      </c>
      <c r="AH2416">
        <v>0.72886956189761098</v>
      </c>
      <c r="AI2416">
        <v>94.493737293601697</v>
      </c>
      <c r="AJ2416">
        <v>89.425154675559895</v>
      </c>
      <c r="AK2416">
        <v>0.73115388485071398</v>
      </c>
      <c r="AL2416">
        <v>84.9107805858429</v>
      </c>
      <c r="AM2416">
        <v>90.735355662094705</v>
      </c>
      <c r="AN2416">
        <v>0.99999996081619302</v>
      </c>
    </row>
    <row r="2417" spans="1:40" x14ac:dyDescent="0.3">
      <c r="A2417" t="str">
        <f>"20200111150003492"</f>
        <v>20200111150003492</v>
      </c>
      <c r="B2417" t="str">
        <f>"1578726003488098"</f>
        <v>1578726003488098</v>
      </c>
      <c r="C2417" t="s">
        <v>40</v>
      </c>
      <c r="D2417">
        <v>4.042503</v>
      </c>
      <c r="E2417">
        <v>0.50711569999999995</v>
      </c>
      <c r="F2417" t="s">
        <v>66</v>
      </c>
      <c r="G2417">
        <v>-282.40300000000002</v>
      </c>
      <c r="H2417" s="1">
        <v>7.7759859999999998E-6</v>
      </c>
      <c r="I2417">
        <v>282.49020000000002</v>
      </c>
      <c r="J2417">
        <v>-263.58049999999997</v>
      </c>
      <c r="K2417">
        <v>1.1038490000000001</v>
      </c>
      <c r="L2417">
        <v>282.05610000000001</v>
      </c>
      <c r="M2417">
        <v>-0.99983080000000002</v>
      </c>
      <c r="N2417">
        <v>0</v>
      </c>
      <c r="O2417">
        <v>1.6465839999999999E-2</v>
      </c>
      <c r="P2417">
        <v>-0.99675409999999998</v>
      </c>
      <c r="Q2417">
        <v>8.0443680000000004E-2</v>
      </c>
      <c r="R2417">
        <v>3.1690300000000002E-3</v>
      </c>
      <c r="S2417">
        <v>-3.0237430000000001</v>
      </c>
      <c r="T2417">
        <v>-0.1753702</v>
      </c>
      <c r="U2417">
        <v>6.9519040000000004E-2</v>
      </c>
      <c r="V2417">
        <v>-1.3237560000000001E-2</v>
      </c>
      <c r="W2417">
        <v>8.8611880000000004E-2</v>
      </c>
      <c r="X2417">
        <v>0.99597820000000004</v>
      </c>
      <c r="Y2417">
        <v>6.5365019999999996E-3</v>
      </c>
      <c r="Z2417">
        <v>-7.6464130000000003E-4</v>
      </c>
      <c r="AA2417">
        <v>0.99997840000000005</v>
      </c>
      <c r="AB2417">
        <v>39</v>
      </c>
      <c r="AC2417">
        <v>-18.822500000000002</v>
      </c>
      <c r="AD2417">
        <v>-1.1038412240140001</v>
      </c>
      <c r="AE2417">
        <v>0.43409999999999999</v>
      </c>
      <c r="AF2417">
        <v>0.123677323658915</v>
      </c>
      <c r="AG2417">
        <v>-1.1038412240140001</v>
      </c>
      <c r="AH2417">
        <v>18.762601891334</v>
      </c>
      <c r="AI2417">
        <v>93.366870822948499</v>
      </c>
      <c r="AJ2417">
        <v>89.622329244195001</v>
      </c>
      <c r="AK2417">
        <v>18.7954513449641</v>
      </c>
      <c r="AL2417">
        <v>84.916245081197204</v>
      </c>
      <c r="AM2417">
        <v>90.761474159859105</v>
      </c>
      <c r="AN2417">
        <v>0.99999993657356201</v>
      </c>
    </row>
    <row r="2418" spans="1:40" x14ac:dyDescent="0.3">
      <c r="A2418" t="str">
        <f>"20200111150003506"</f>
        <v>20200111150003506</v>
      </c>
      <c r="B2418" t="str">
        <f>"1578726003498835"</f>
        <v>1578726003498835</v>
      </c>
      <c r="C2418" t="s">
        <v>40</v>
      </c>
      <c r="D2418">
        <v>4.0110060000000001</v>
      </c>
      <c r="E2418">
        <v>0.50728700000000004</v>
      </c>
      <c r="F2418" t="s">
        <v>66</v>
      </c>
      <c r="G2418">
        <v>-282.35809999999998</v>
      </c>
      <c r="H2418" s="1">
        <v>7.7946460000000007E-6</v>
      </c>
      <c r="I2418">
        <v>282.49619999999999</v>
      </c>
      <c r="J2418">
        <v>-263.81569999999999</v>
      </c>
      <c r="K2418">
        <v>1.103761</v>
      </c>
      <c r="L2418">
        <v>282.06020000000001</v>
      </c>
      <c r="M2418">
        <v>-0.99982689999999996</v>
      </c>
      <c r="N2418">
        <v>0</v>
      </c>
      <c r="O2418">
        <v>1.670255E-2</v>
      </c>
      <c r="P2418">
        <v>-0.99677020000000005</v>
      </c>
      <c r="Q2418">
        <v>8.025032E-2</v>
      </c>
      <c r="R2418">
        <v>3.08954E-3</v>
      </c>
      <c r="S2418">
        <v>-3.023895</v>
      </c>
      <c r="T2418">
        <v>-0.17776029999999901</v>
      </c>
      <c r="U2418">
        <v>7.0861820000000006E-2</v>
      </c>
      <c r="V2418">
        <v>-1.3534610000000001E-2</v>
      </c>
      <c r="W2418">
        <v>8.8429499999999994E-2</v>
      </c>
      <c r="X2418">
        <v>0.9959905</v>
      </c>
      <c r="Y2418">
        <v>6.7429079999999997E-3</v>
      </c>
      <c r="Z2418">
        <v>-7.8283910000000005E-4</v>
      </c>
      <c r="AA2418">
        <v>0.99997689999999995</v>
      </c>
      <c r="AB2418">
        <v>39</v>
      </c>
      <c r="AC2418">
        <v>-18.542399999999901</v>
      </c>
      <c r="AD2418">
        <v>-1.103753205354</v>
      </c>
      <c r="AE2418">
        <v>0.43599999999997802</v>
      </c>
      <c r="AF2418">
        <v>0.125777979044843</v>
      </c>
      <c r="AG2418">
        <v>-1.103753205354</v>
      </c>
      <c r="AH2418">
        <v>18.481645316513401</v>
      </c>
      <c r="AI2418">
        <v>93.417656523760101</v>
      </c>
      <c r="AJ2418">
        <v>89.610076052432703</v>
      </c>
      <c r="AK2418">
        <v>18.515002156190601</v>
      </c>
      <c r="AL2418">
        <v>84.926736289281394</v>
      </c>
      <c r="AM2418">
        <v>90.778549897413896</v>
      </c>
      <c r="AN2418">
        <v>1.00000001911417</v>
      </c>
    </row>
    <row r="2419" spans="1:40" x14ac:dyDescent="0.3">
      <c r="A2419" t="str">
        <f>"20200111150003518"</f>
        <v>20200111150003518</v>
      </c>
      <c r="B2419" t="str">
        <f>"1578726003508596"</f>
        <v>1578726003508596</v>
      </c>
      <c r="C2419" t="s">
        <v>40</v>
      </c>
      <c r="D2419">
        <v>4.062983</v>
      </c>
      <c r="E2419">
        <v>0.50738019999999995</v>
      </c>
      <c r="F2419" t="s">
        <v>41</v>
      </c>
      <c r="G2419">
        <v>-264.79590000000002</v>
      </c>
      <c r="H2419">
        <v>1.0460419999999999</v>
      </c>
      <c r="I2419">
        <v>282.08359999999999</v>
      </c>
      <c r="J2419">
        <v>-264.03149999999999</v>
      </c>
      <c r="K2419">
        <v>1.103674</v>
      </c>
      <c r="L2419">
        <v>282.06400000000002</v>
      </c>
      <c r="M2419">
        <v>-0.9998224</v>
      </c>
      <c r="N2419">
        <v>0</v>
      </c>
      <c r="O2419">
        <v>1.696725E-2</v>
      </c>
      <c r="P2419">
        <v>-0.99679890000000004</v>
      </c>
      <c r="Q2419">
        <v>7.9895110000000005E-2</v>
      </c>
      <c r="R2419">
        <v>2.946784E-3</v>
      </c>
      <c r="S2419">
        <v>-3.0238339999999999</v>
      </c>
      <c r="T2419">
        <v>-0.17815259999999999</v>
      </c>
      <c r="U2419">
        <v>7.1929930000000003E-2</v>
      </c>
      <c r="V2419">
        <v>-1.3924000000000001E-2</v>
      </c>
      <c r="W2419">
        <v>8.8085620000000003E-2</v>
      </c>
      <c r="X2419">
        <v>0.9960156</v>
      </c>
      <c r="Y2419">
        <v>6.8320480000000003E-3</v>
      </c>
      <c r="Z2419">
        <v>-7.9752849999999999E-4</v>
      </c>
      <c r="AA2419">
        <v>0.99997630000000004</v>
      </c>
      <c r="AB2419">
        <v>39</v>
      </c>
      <c r="AC2419">
        <v>-0.76440000000002295</v>
      </c>
      <c r="AD2419">
        <v>-5.76320000000001E-2</v>
      </c>
      <c r="AE2419">
        <v>1.95999999999685E-2</v>
      </c>
      <c r="AF2419">
        <v>6.5895429706235497E-3</v>
      </c>
      <c r="AG2419">
        <v>-5.76320000000001E-2</v>
      </c>
      <c r="AH2419">
        <v>0.76030347995952796</v>
      </c>
      <c r="AI2419">
        <v>94.334643301380396</v>
      </c>
      <c r="AJ2419">
        <v>89.503430461651604</v>
      </c>
      <c r="AK2419">
        <v>0.76251311538827304</v>
      </c>
      <c r="AL2419">
        <v>84.946516327956502</v>
      </c>
      <c r="AM2419">
        <v>90.800925677293904</v>
      </c>
      <c r="AN2419">
        <v>1.0000000148350701</v>
      </c>
    </row>
    <row r="2420" spans="1:40" x14ac:dyDescent="0.3">
      <c r="A2420" t="str">
        <f>"20200111150003536"</f>
        <v>20200111150003536</v>
      </c>
      <c r="B2420" t="str">
        <f>"1578726003528116"</f>
        <v>1578726003528116</v>
      </c>
      <c r="C2420" t="s">
        <v>40</v>
      </c>
      <c r="D2420">
        <v>4.0658969999999997</v>
      </c>
      <c r="E2420">
        <v>0.50763019999999903</v>
      </c>
      <c r="F2420" t="s">
        <v>66</v>
      </c>
      <c r="G2420">
        <v>-282.6533</v>
      </c>
      <c r="H2420" s="1">
        <v>7.6610770000000006E-6</v>
      </c>
      <c r="I2420">
        <v>282.50900000000001</v>
      </c>
      <c r="J2420">
        <v>-264.358</v>
      </c>
      <c r="K2420">
        <v>1.103539</v>
      </c>
      <c r="L2420">
        <v>282.06990000000002</v>
      </c>
      <c r="M2420">
        <v>-0.99981359999999997</v>
      </c>
      <c r="N2420">
        <v>0</v>
      </c>
      <c r="O2420">
        <v>1.7471830000000001E-2</v>
      </c>
      <c r="P2420">
        <v>-0.9968108</v>
      </c>
      <c r="Q2420">
        <v>7.9761360000000003E-2</v>
      </c>
      <c r="R2420">
        <v>2.5428540000000002E-3</v>
      </c>
      <c r="S2420">
        <v>-3.0238040000000002</v>
      </c>
      <c r="T2420">
        <v>-0.17921289999999901</v>
      </c>
      <c r="U2420">
        <v>7.2265629999999997E-2</v>
      </c>
      <c r="V2420">
        <v>-1.480277E-2</v>
      </c>
      <c r="W2420">
        <v>8.7968759999999993E-2</v>
      </c>
      <c r="X2420">
        <v>0.99601320000000004</v>
      </c>
      <c r="Y2420">
        <v>6.4403569999999999E-3</v>
      </c>
      <c r="Z2420">
        <v>-8.437389E-4</v>
      </c>
      <c r="AA2420">
        <v>0.9999789</v>
      </c>
      <c r="AB2420">
        <v>39</v>
      </c>
      <c r="AC2420">
        <v>-18.295300000000001</v>
      </c>
      <c r="AD2420">
        <v>-1.1035313389229999</v>
      </c>
      <c r="AE2420">
        <v>0.43909999999999599</v>
      </c>
      <c r="AF2420">
        <v>0.11893733679582801</v>
      </c>
      <c r="AG2420">
        <v>-1.1035313389229999</v>
      </c>
      <c r="AH2420">
        <v>18.233878411466598</v>
      </c>
      <c r="AI2420">
        <v>93.463296149728293</v>
      </c>
      <c r="AJ2420">
        <v>89.626272007276796</v>
      </c>
      <c r="AK2420">
        <v>18.267628456650201</v>
      </c>
      <c r="AL2420">
        <v>84.953237726518296</v>
      </c>
      <c r="AM2420">
        <v>90.851468443408905</v>
      </c>
      <c r="AN2420">
        <v>0.99999995965492405</v>
      </c>
    </row>
    <row r="2421" spans="1:40" x14ac:dyDescent="0.3">
      <c r="A2421" t="str">
        <f>"20200111150003549"</f>
        <v>20200111150003549</v>
      </c>
      <c r="B2421" t="str">
        <f>"1578726003538850"</f>
        <v>1578726003538850</v>
      </c>
      <c r="C2421" t="s">
        <v>40</v>
      </c>
      <c r="D2421">
        <v>3.992594</v>
      </c>
      <c r="E2421">
        <v>0.50776529999999998</v>
      </c>
      <c r="F2421" t="s">
        <v>66</v>
      </c>
      <c r="G2421">
        <v>-283.04329999999999</v>
      </c>
      <c r="H2421" s="1">
        <v>7.486361E-6</v>
      </c>
      <c r="I2421">
        <v>282.51760000000002</v>
      </c>
      <c r="J2421">
        <v>-264.57220000000001</v>
      </c>
      <c r="K2421">
        <v>1.103456</v>
      </c>
      <c r="L2421">
        <v>282.07389999999998</v>
      </c>
      <c r="M2421">
        <v>-0.99980650000000004</v>
      </c>
      <c r="N2421">
        <v>0</v>
      </c>
      <c r="O2421">
        <v>1.7866369999999999E-2</v>
      </c>
      <c r="P2421">
        <v>-0.99680000000000002</v>
      </c>
      <c r="Q2421">
        <v>7.9908309999999996E-2</v>
      </c>
      <c r="R2421">
        <v>2.0965760000000002E-3</v>
      </c>
      <c r="S2421">
        <v>-3.0237430000000001</v>
      </c>
      <c r="T2421">
        <v>-0.1785793</v>
      </c>
      <c r="U2421">
        <v>7.2448730000000003E-2</v>
      </c>
      <c r="V2421">
        <v>-1.562324E-2</v>
      </c>
      <c r="W2421">
        <v>8.8127399999999995E-2</v>
      </c>
      <c r="X2421">
        <v>0.9959867</v>
      </c>
      <c r="Y2421">
        <v>6.1078790000000001E-3</v>
      </c>
      <c r="Z2421">
        <v>-8.7385869999999995E-4</v>
      </c>
      <c r="AA2421">
        <v>0.99998100000000001</v>
      </c>
      <c r="AB2421">
        <v>39</v>
      </c>
      <c r="AC2421">
        <v>-18.4710999999999</v>
      </c>
      <c r="AD2421">
        <v>-1.103448513639</v>
      </c>
      <c r="AE2421">
        <v>0.44370000000003501</v>
      </c>
      <c r="AF2421">
        <v>0.113202724362145</v>
      </c>
      <c r="AG2421">
        <v>-1.103448513639</v>
      </c>
      <c r="AH2421">
        <v>18.410414432814498</v>
      </c>
      <c r="AI2421">
        <v>93.429917823904503</v>
      </c>
      <c r="AJ2421">
        <v>89.647701760385203</v>
      </c>
      <c r="AK2421">
        <v>18.443800396530001</v>
      </c>
      <c r="AL2421">
        <v>84.944113167518907</v>
      </c>
      <c r="AM2421">
        <v>90.898678974630101</v>
      </c>
      <c r="AN2421">
        <v>1.0000000154178701</v>
      </c>
    </row>
    <row r="2422" spans="1:40" x14ac:dyDescent="0.3">
      <c r="A2422" t="str">
        <f>"20200111150003562"</f>
        <v>20200111150003562</v>
      </c>
      <c r="B2422" t="str">
        <f>"1578726003558370"</f>
        <v>1578726003558370</v>
      </c>
      <c r="C2422" t="s">
        <v>40</v>
      </c>
      <c r="D2422">
        <v>4.110455</v>
      </c>
      <c r="E2422">
        <v>0.50794759999999906</v>
      </c>
      <c r="F2422" t="s">
        <v>66</v>
      </c>
      <c r="G2422">
        <v>-283.34570000000002</v>
      </c>
      <c r="H2422" s="1">
        <v>7.3519050000000002E-6</v>
      </c>
      <c r="I2422">
        <v>282.51920000000001</v>
      </c>
      <c r="J2422">
        <v>-264.79349999999999</v>
      </c>
      <c r="K2422">
        <v>1.10337</v>
      </c>
      <c r="L2422">
        <v>282.07819999999998</v>
      </c>
      <c r="M2422">
        <v>-0.99979859999999998</v>
      </c>
      <c r="N2422">
        <v>0</v>
      </c>
      <c r="O2422">
        <v>1.8303639999999999E-2</v>
      </c>
      <c r="P2422">
        <v>-0.99679169999999995</v>
      </c>
      <c r="Q2422">
        <v>8.0031370000000004E-2</v>
      </c>
      <c r="R2422">
        <v>1.26914E-3</v>
      </c>
      <c r="S2422">
        <v>-3.0237729999999998</v>
      </c>
      <c r="T2422">
        <v>-0.17772839999999901</v>
      </c>
      <c r="U2422">
        <v>7.1716310000000005E-2</v>
      </c>
      <c r="V2422">
        <v>-1.6867799999999999E-2</v>
      </c>
      <c r="W2422">
        <v>8.8263259999999996E-2</v>
      </c>
      <c r="X2422">
        <v>0.99595429999999996</v>
      </c>
      <c r="Y2422">
        <v>5.4299389999999999E-3</v>
      </c>
      <c r="Z2422">
        <v>-9.1527060000000003E-4</v>
      </c>
      <c r="AA2422">
        <v>0.99998489999999995</v>
      </c>
      <c r="AB2422">
        <v>39</v>
      </c>
      <c r="AC2422">
        <v>-18.552199999999999</v>
      </c>
      <c r="AD2422">
        <v>-1.1033626480949901</v>
      </c>
      <c r="AE2422">
        <v>0.44100000000002998</v>
      </c>
      <c r="AF2422">
        <v>0.10098483449486</v>
      </c>
      <c r="AG2422">
        <v>-1.1033626480949901</v>
      </c>
      <c r="AH2422">
        <v>18.491793855640299</v>
      </c>
      <c r="AI2422">
        <v>93.414607603800903</v>
      </c>
      <c r="AJ2422">
        <v>89.687107300755997</v>
      </c>
      <c r="AK2422">
        <v>18.524957410733901</v>
      </c>
      <c r="AL2422">
        <v>84.936298162073399</v>
      </c>
      <c r="AM2422">
        <v>90.970286849564602</v>
      </c>
      <c r="AN2422">
        <v>0.99999994671557701</v>
      </c>
    </row>
    <row r="2423" spans="1:40" x14ac:dyDescent="0.3">
      <c r="A2423" t="str">
        <f>"20200111150003574"</f>
        <v>20200111150003574</v>
      </c>
      <c r="B2423" t="str">
        <f>"1578726003568130"</f>
        <v>1578726003568130</v>
      </c>
      <c r="C2423" t="s">
        <v>40</v>
      </c>
      <c r="D2423">
        <v>4.1040609999999997</v>
      </c>
      <c r="E2423">
        <v>0.50810100000000002</v>
      </c>
      <c r="F2423" t="s">
        <v>41</v>
      </c>
      <c r="G2423">
        <v>-265.83940000000001</v>
      </c>
      <c r="H2423">
        <v>1.042224</v>
      </c>
      <c r="I2423">
        <v>282.1026</v>
      </c>
      <c r="J2423">
        <v>-265.02159999999998</v>
      </c>
      <c r="K2423">
        <v>1.103286</v>
      </c>
      <c r="L2423">
        <v>282.08280000000002</v>
      </c>
      <c r="M2423">
        <v>-0.99978889999999998</v>
      </c>
      <c r="N2423">
        <v>0</v>
      </c>
      <c r="O2423">
        <v>1.881704E-2</v>
      </c>
      <c r="P2423">
        <v>-0.99675570000000002</v>
      </c>
      <c r="Q2423">
        <v>8.0485059999999997E-2</v>
      </c>
      <c r="R2423">
        <v>6.2786889999999896E-4</v>
      </c>
      <c r="S2423">
        <v>-3.0237729999999998</v>
      </c>
      <c r="T2423">
        <v>-0.17677970000000001</v>
      </c>
      <c r="U2423">
        <v>7.0037840000000004E-2</v>
      </c>
      <c r="V2423">
        <v>-1.8001119999999999E-2</v>
      </c>
      <c r="W2423">
        <v>8.8729669999999997E-2</v>
      </c>
      <c r="X2423">
        <v>0.99589309999999998</v>
      </c>
      <c r="Y2423">
        <v>4.3641189999999996E-3</v>
      </c>
      <c r="Z2423">
        <v>-9.7150519999999996E-4</v>
      </c>
      <c r="AA2423">
        <v>0.99999000000000005</v>
      </c>
      <c r="AB2423">
        <v>39</v>
      </c>
      <c r="AC2423">
        <v>-0.81780000000003295</v>
      </c>
      <c r="AD2423">
        <v>-6.1061999999999901E-2</v>
      </c>
      <c r="AE2423">
        <v>1.9799999999975101E-2</v>
      </c>
      <c r="AF2423">
        <v>4.3829739943581801E-3</v>
      </c>
      <c r="AG2423">
        <v>-6.1061999999999901E-2</v>
      </c>
      <c r="AH2423">
        <v>0.81349517407019001</v>
      </c>
      <c r="AI2423">
        <v>94.292583455722607</v>
      </c>
      <c r="AJ2423">
        <v>89.691303046797501</v>
      </c>
      <c r="AK2423">
        <v>0.81579542566781105</v>
      </c>
      <c r="AL2423">
        <v>84.9094700020201</v>
      </c>
      <c r="AM2423">
        <v>91.035528712888805</v>
      </c>
      <c r="AN2423">
        <v>1.0000000306435799</v>
      </c>
    </row>
    <row r="2424" spans="1:40" x14ac:dyDescent="0.3">
      <c r="A2424" t="str">
        <f>"20200111150003592"</f>
        <v>20200111150003592</v>
      </c>
      <c r="B2424" t="str">
        <f>"1578726003588626"</f>
        <v>1578726003588626</v>
      </c>
      <c r="C2424" t="s">
        <v>40</v>
      </c>
      <c r="D2424">
        <v>4.0339519999999904</v>
      </c>
      <c r="E2424">
        <v>0.50836320000000002</v>
      </c>
      <c r="F2424" t="s">
        <v>66</v>
      </c>
      <c r="G2424">
        <v>-284.0299</v>
      </c>
      <c r="H2424" s="1">
        <v>7.0490669999999997E-6</v>
      </c>
      <c r="I2424">
        <v>282.51639999999998</v>
      </c>
      <c r="J2424">
        <v>-265.31779999999998</v>
      </c>
      <c r="K2424">
        <v>1.1031879999999901</v>
      </c>
      <c r="L2424">
        <v>282.089</v>
      </c>
      <c r="M2424">
        <v>-0.99977519999999998</v>
      </c>
      <c r="N2424">
        <v>0</v>
      </c>
      <c r="O2424">
        <v>1.953593E-2</v>
      </c>
      <c r="P2424">
        <v>-0.99667070000000002</v>
      </c>
      <c r="Q2424">
        <v>8.1534229999999999E-2</v>
      </c>
      <c r="R2424">
        <v>2.7561779999999998E-4</v>
      </c>
      <c r="S2424">
        <v>-3.0238649999999998</v>
      </c>
      <c r="T2424">
        <v>-0.1755109</v>
      </c>
      <c r="U2424">
        <v>6.8969730000000007E-2</v>
      </c>
      <c r="V2424">
        <v>-1.9044019999999998E-2</v>
      </c>
      <c r="W2424">
        <v>8.9794929999999995E-2</v>
      </c>
      <c r="X2424">
        <v>0.99577819999999995</v>
      </c>
      <c r="Y2424">
        <v>3.2939879999999999E-3</v>
      </c>
      <c r="Z2424">
        <v>-1.037222E-3</v>
      </c>
      <c r="AA2424">
        <v>0.99999400000000005</v>
      </c>
      <c r="AB2424">
        <v>39</v>
      </c>
      <c r="AC2424">
        <v>-18.7121</v>
      </c>
      <c r="AD2424">
        <v>-1.10318095093299</v>
      </c>
      <c r="AE2424">
        <v>0.42739999999997702</v>
      </c>
      <c r="AF2424">
        <v>6.1533975849045401E-2</v>
      </c>
      <c r="AG2424">
        <v>-1.10318095093299</v>
      </c>
      <c r="AH2424">
        <v>18.652082437458201</v>
      </c>
      <c r="AI2424">
        <v>93.384808156221297</v>
      </c>
      <c r="AJ2424">
        <v>89.810979587180398</v>
      </c>
      <c r="AK2424">
        <v>18.684779203791098</v>
      </c>
      <c r="AL2424">
        <v>84.848190393766401</v>
      </c>
      <c r="AM2424">
        <v>91.095634519213505</v>
      </c>
      <c r="AN2424">
        <v>1.00000001387335</v>
      </c>
    </row>
    <row r="2425" spans="1:40" x14ac:dyDescent="0.3">
      <c r="A2425" t="str">
        <f>"20200111150003606"</f>
        <v>20200111150003606</v>
      </c>
      <c r="B2425" t="str">
        <f>"1578726003598386"</f>
        <v>1578726003598386</v>
      </c>
      <c r="C2425" t="s">
        <v>40</v>
      </c>
      <c r="D2425">
        <v>4.0009459999999999</v>
      </c>
      <c r="E2425">
        <v>0.50850740000000005</v>
      </c>
      <c r="F2425" t="s">
        <v>66</v>
      </c>
      <c r="G2425">
        <v>-284.71280000000002</v>
      </c>
      <c r="H2425" s="1">
        <v>6.7431370000000003E-6</v>
      </c>
      <c r="I2425">
        <v>282.53129999999999</v>
      </c>
      <c r="J2425">
        <v>-265.55459999999999</v>
      </c>
      <c r="K2425">
        <v>1.1031150000000001</v>
      </c>
      <c r="L2425">
        <v>282.09410000000003</v>
      </c>
      <c r="M2425">
        <v>-0.99976299999999996</v>
      </c>
      <c r="N2425">
        <v>0</v>
      </c>
      <c r="O2425">
        <v>2.0147350000000001E-2</v>
      </c>
      <c r="P2425">
        <v>-0.99665729999999997</v>
      </c>
      <c r="Q2425">
        <v>8.1693740000000001E-2</v>
      </c>
      <c r="R2425">
        <v>7.5832030000000004E-4</v>
      </c>
      <c r="S2425">
        <v>-3.0240480000000001</v>
      </c>
      <c r="T2425">
        <v>-0.17200660000000001</v>
      </c>
      <c r="U2425">
        <v>6.8969730000000007E-2</v>
      </c>
      <c r="V2425">
        <v>-1.9154830000000001E-2</v>
      </c>
      <c r="W2425">
        <v>8.9965909999999996E-2</v>
      </c>
      <c r="X2425">
        <v>0.9957606</v>
      </c>
      <c r="Y2425">
        <v>2.6819410000000002E-3</v>
      </c>
      <c r="Z2425">
        <v>-1.068612E-3</v>
      </c>
      <c r="AA2425">
        <v>0.99999579999999999</v>
      </c>
      <c r="AB2425">
        <v>39</v>
      </c>
      <c r="AC2425">
        <v>-19.158200000000001</v>
      </c>
      <c r="AD2425">
        <v>-1.103108256863</v>
      </c>
      <c r="AE2425">
        <v>0.43719999999996101</v>
      </c>
      <c r="AF2425">
        <v>5.0942358497129497E-2</v>
      </c>
      <c r="AG2425">
        <v>-1.103108256863</v>
      </c>
      <c r="AH2425">
        <v>19.099830458400099</v>
      </c>
      <c r="AI2425">
        <v>93.305426690412602</v>
      </c>
      <c r="AJ2425">
        <v>89.847183187015901</v>
      </c>
      <c r="AK2425">
        <v>19.131726699121401</v>
      </c>
      <c r="AL2425">
        <v>84.838353935776098</v>
      </c>
      <c r="AM2425">
        <v>91.102027510526199</v>
      </c>
      <c r="AN2425">
        <v>0.999999972493408</v>
      </c>
    </row>
    <row r="2426" spans="1:40" x14ac:dyDescent="0.3">
      <c r="A2426" t="str">
        <f>"20200111150003617"</f>
        <v>20200111150003617</v>
      </c>
      <c r="B2426" t="str">
        <f>"1578726003608146"</f>
        <v>1578726003608146</v>
      </c>
      <c r="C2426" t="s">
        <v>40</v>
      </c>
      <c r="D2426">
        <v>4.0495210000000004</v>
      </c>
      <c r="E2426">
        <v>0.50864430000000005</v>
      </c>
      <c r="F2426" t="s">
        <v>66</v>
      </c>
      <c r="G2426">
        <v>-284.99939999999998</v>
      </c>
      <c r="H2426" s="1">
        <v>6.6120630000000002E-6</v>
      </c>
      <c r="I2426">
        <v>282.55070000000001</v>
      </c>
      <c r="J2426">
        <v>-265.78469999999999</v>
      </c>
      <c r="K2426">
        <v>1.1030549999999999</v>
      </c>
      <c r="L2426">
        <v>282.0992</v>
      </c>
      <c r="M2426">
        <v>-0.99975009999999997</v>
      </c>
      <c r="N2426">
        <v>0</v>
      </c>
      <c r="O2426">
        <v>2.076882E-2</v>
      </c>
      <c r="P2426">
        <v>-0.99663610000000002</v>
      </c>
      <c r="Q2426">
        <v>8.1935939999999999E-2</v>
      </c>
      <c r="R2426">
        <v>1.8075350000000001E-3</v>
      </c>
      <c r="S2426">
        <v>-3.0241090000000002</v>
      </c>
      <c r="T2426">
        <v>-0.17155889999999999</v>
      </c>
      <c r="U2426">
        <v>7.1014399999999894E-2</v>
      </c>
      <c r="V2426">
        <v>-1.8710919999999999E-2</v>
      </c>
      <c r="W2426">
        <v>9.0218080000000006E-2</v>
      </c>
      <c r="X2426">
        <v>0.99574629999999997</v>
      </c>
      <c r="Y2426">
        <v>2.7363859999999999E-3</v>
      </c>
      <c r="Z2426">
        <v>-1.0994749999999999E-3</v>
      </c>
      <c r="AA2426">
        <v>0.99999559999999998</v>
      </c>
      <c r="AB2426">
        <v>39</v>
      </c>
      <c r="AC2426">
        <v>-19.214700000000001</v>
      </c>
      <c r="AD2426">
        <v>-1.1030483879370001</v>
      </c>
      <c r="AE2426">
        <v>0.45150000000001</v>
      </c>
      <c r="AF2426">
        <v>5.2150546262424199E-2</v>
      </c>
      <c r="AG2426">
        <v>-1.1030483879370001</v>
      </c>
      <c r="AH2426">
        <v>19.156836039021201</v>
      </c>
      <c r="AI2426">
        <v>93.295433387405694</v>
      </c>
      <c r="AJ2426">
        <v>89.844024409206796</v>
      </c>
      <c r="AK2426">
        <v>19.188637326593799</v>
      </c>
      <c r="AL2426">
        <v>84.823847051915607</v>
      </c>
      <c r="AM2426">
        <v>91.076509743353697</v>
      </c>
      <c r="AN2426">
        <v>1.00000004722491</v>
      </c>
    </row>
    <row r="2427" spans="1:40" x14ac:dyDescent="0.3">
      <c r="A2427" t="str">
        <f>"20200111150003631"</f>
        <v>20200111150003631</v>
      </c>
      <c r="B2427" t="str">
        <f>"1578726003628643"</f>
        <v>1578726003628643</v>
      </c>
      <c r="C2427" t="s">
        <v>40</v>
      </c>
      <c r="D2427">
        <v>4.1125679999999996</v>
      </c>
      <c r="E2427">
        <v>0.50891509999999995</v>
      </c>
      <c r="F2427" t="s">
        <v>66</v>
      </c>
      <c r="G2427">
        <v>-285.28570000000002</v>
      </c>
      <c r="H2427" s="1">
        <v>6.4785580000000002E-6</v>
      </c>
      <c r="I2427">
        <v>282.58229999999998</v>
      </c>
      <c r="J2427">
        <v>-265.99990000000003</v>
      </c>
      <c r="K2427">
        <v>1.103005</v>
      </c>
      <c r="L2427">
        <v>282.10410000000002</v>
      </c>
      <c r="M2427">
        <v>-0.99973730000000005</v>
      </c>
      <c r="N2427">
        <v>0</v>
      </c>
      <c r="O2427">
        <v>2.1375930000000001E-2</v>
      </c>
      <c r="P2427">
        <v>-0.9966564</v>
      </c>
      <c r="Q2427">
        <v>8.1659430000000005E-2</v>
      </c>
      <c r="R2427">
        <v>2.840057E-3</v>
      </c>
      <c r="S2427">
        <v>-3.0240480000000001</v>
      </c>
      <c r="T2427">
        <v>-0.17105139999999999</v>
      </c>
      <c r="U2427">
        <v>7.4920650000000005E-2</v>
      </c>
      <c r="V2427">
        <v>-1.8273589999999999E-2</v>
      </c>
      <c r="W2427">
        <v>8.9950230000000006E-2</v>
      </c>
      <c r="X2427">
        <v>0.99577859999999996</v>
      </c>
      <c r="Y2427">
        <v>3.4202730000000001E-3</v>
      </c>
      <c r="Z2427">
        <v>-1.1112050000000001E-3</v>
      </c>
      <c r="AA2427">
        <v>0.99999360000000004</v>
      </c>
      <c r="AB2427">
        <v>39</v>
      </c>
      <c r="AC2427">
        <v>-19.285799999999899</v>
      </c>
      <c r="AD2427">
        <v>-1.1029985214419999</v>
      </c>
      <c r="AE2427">
        <v>0.47819999999995799</v>
      </c>
      <c r="AF2427">
        <v>6.5610241059642402E-2</v>
      </c>
      <c r="AG2427">
        <v>-1.1029985214419999</v>
      </c>
      <c r="AH2427">
        <v>19.2287576291472</v>
      </c>
      <c r="AI2427">
        <v>93.282979416321993</v>
      </c>
      <c r="AJ2427">
        <v>89.804502433826002</v>
      </c>
      <c r="AK2427">
        <v>19.2604784572586</v>
      </c>
      <c r="AL2427">
        <v>84.839256102731895</v>
      </c>
      <c r="AM2427">
        <v>91.051320120404199</v>
      </c>
      <c r="AN2427">
        <v>0.99999999409325002</v>
      </c>
    </row>
    <row r="2428" spans="1:40" x14ac:dyDescent="0.3">
      <c r="A2428" t="str">
        <f>"20200111150003648"</f>
        <v>20200111150003648</v>
      </c>
      <c r="B2428" t="str">
        <f>"1578726003638405"</f>
        <v>1578726003638405</v>
      </c>
      <c r="C2428" t="s">
        <v>40</v>
      </c>
      <c r="D2428">
        <v>4.2428499999999998</v>
      </c>
      <c r="E2428">
        <v>0.50906189999999996</v>
      </c>
      <c r="F2428" t="s">
        <v>66</v>
      </c>
      <c r="G2428">
        <v>-285.45440000000002</v>
      </c>
      <c r="H2428" s="1">
        <v>6.3964890000000004E-6</v>
      </c>
      <c r="I2428">
        <v>282.61750000000001</v>
      </c>
      <c r="J2428">
        <v>-266.29700000000003</v>
      </c>
      <c r="K2428">
        <v>1.1029409999999999</v>
      </c>
      <c r="L2428">
        <v>282.11110000000002</v>
      </c>
      <c r="M2428">
        <v>-0.99971860000000001</v>
      </c>
      <c r="N2428">
        <v>0</v>
      </c>
      <c r="O2428">
        <v>2.2229849999999999E-2</v>
      </c>
      <c r="P2428">
        <v>-0.99672689999999997</v>
      </c>
      <c r="Q2428">
        <v>8.0667559999999999E-2</v>
      </c>
      <c r="R2428">
        <v>5.3483030000000004E-3</v>
      </c>
      <c r="S2428">
        <v>-3.0239560000000001</v>
      </c>
      <c r="T2428">
        <v>-0.17144760000000001</v>
      </c>
      <c r="U2428">
        <v>7.9803470000000001E-2</v>
      </c>
      <c r="V2428">
        <v>-1.6608879999999999E-2</v>
      </c>
      <c r="W2428">
        <v>8.8967610000000003E-2</v>
      </c>
      <c r="X2428">
        <v>0.995896</v>
      </c>
      <c r="Y2428">
        <v>4.1807930000000004E-3</v>
      </c>
      <c r="Z2428">
        <v>-1.1405950000000001E-3</v>
      </c>
      <c r="AA2428">
        <v>0.99999059999999995</v>
      </c>
      <c r="AB2428">
        <v>39</v>
      </c>
      <c r="AC2428">
        <v>-19.157399999999999</v>
      </c>
      <c r="AD2428">
        <v>-1.1029346035109999</v>
      </c>
      <c r="AE2428">
        <v>0.50639999999998497</v>
      </c>
      <c r="AF2428">
        <v>8.01287200799842E-2</v>
      </c>
      <c r="AG2428">
        <v>-1.1029346035109999</v>
      </c>
      <c r="AH2428">
        <v>19.100657061207201</v>
      </c>
      <c r="AI2428">
        <v>93.304747504436193</v>
      </c>
      <c r="AJ2428">
        <v>89.759641224283897</v>
      </c>
      <c r="AK2428">
        <v>19.132641885564301</v>
      </c>
      <c r="AL2428">
        <v>84.895782586700307</v>
      </c>
      <c r="AM2428">
        <v>90.955451689328299</v>
      </c>
      <c r="AN2428">
        <v>0.99999996666998203</v>
      </c>
    </row>
    <row r="2429" spans="1:40" x14ac:dyDescent="0.3">
      <c r="A2429" t="str">
        <f>"20200111150003659"</f>
        <v>20200111150003659</v>
      </c>
      <c r="B2429" t="str">
        <f>"1578726003648163"</f>
        <v>1578726003648163</v>
      </c>
      <c r="C2429" t="s">
        <v>40</v>
      </c>
      <c r="D2429">
        <v>4.0821740000000002</v>
      </c>
      <c r="E2429">
        <v>0.50914780000000004</v>
      </c>
      <c r="F2429" t="s">
        <v>66</v>
      </c>
      <c r="G2429">
        <v>-285.48250000000002</v>
      </c>
      <c r="H2429" s="1">
        <v>6.3732169999999899E-6</v>
      </c>
      <c r="I2429">
        <v>282.6696</v>
      </c>
      <c r="J2429">
        <v>-266.5061</v>
      </c>
      <c r="K2429">
        <v>1.102902</v>
      </c>
      <c r="L2429">
        <v>282.11619999999999</v>
      </c>
      <c r="M2429">
        <v>-0.99970479999999995</v>
      </c>
      <c r="N2429">
        <v>0</v>
      </c>
      <c r="O2429">
        <v>2.28393E-2</v>
      </c>
      <c r="P2429">
        <v>-0.99675639999999999</v>
      </c>
      <c r="Q2429">
        <v>8.0194710000000002E-2</v>
      </c>
      <c r="R2429">
        <v>6.7692209999999997E-3</v>
      </c>
      <c r="S2429">
        <v>-3.0234380000000001</v>
      </c>
      <c r="T2429">
        <v>-0.17381079999999999</v>
      </c>
      <c r="U2429">
        <v>8.8012699999999999E-2</v>
      </c>
      <c r="V2429">
        <v>-1.578941E-2</v>
      </c>
      <c r="W2429">
        <v>8.8501209999999997E-2</v>
      </c>
      <c r="X2429">
        <v>0.99595089999999997</v>
      </c>
      <c r="Y2429">
        <v>6.2871069999999897E-3</v>
      </c>
      <c r="Z2429">
        <v>-1.1309429999999999E-3</v>
      </c>
      <c r="AA2429">
        <v>0.99997959999999997</v>
      </c>
      <c r="AB2429">
        <v>39</v>
      </c>
      <c r="AC2429">
        <v>-18.976400000000002</v>
      </c>
      <c r="AD2429">
        <v>-1.1028956267829999</v>
      </c>
      <c r="AE2429">
        <v>0.55340000000001</v>
      </c>
      <c r="AF2429">
        <v>0.11942998435660999</v>
      </c>
      <c r="AG2429">
        <v>-1.1028956267829999</v>
      </c>
      <c r="AH2429">
        <v>18.9202338269892</v>
      </c>
      <c r="AI2429">
        <v>93.336036054335494</v>
      </c>
      <c r="AJ2429">
        <v>89.638337283171694</v>
      </c>
      <c r="AK2429">
        <v>18.952727781316501</v>
      </c>
      <c r="AL2429">
        <v>84.922611249738907</v>
      </c>
      <c r="AM2429">
        <v>90.908268443207007</v>
      </c>
      <c r="AN2429">
        <v>0.99999998242521004</v>
      </c>
    </row>
    <row r="2430" spans="1:40" x14ac:dyDescent="0.3">
      <c r="A2430" t="str">
        <f>"20200111150003682"</f>
        <v>20200111150003682</v>
      </c>
      <c r="B2430" t="str">
        <f>"1578726003678418"</f>
        <v>1578726003678418</v>
      </c>
      <c r="C2430" t="s">
        <v>40</v>
      </c>
      <c r="D2430">
        <v>4.0714389999999998</v>
      </c>
      <c r="E2430">
        <v>0.50932559999999905</v>
      </c>
      <c r="F2430" t="s">
        <v>66</v>
      </c>
      <c r="G2430">
        <v>-285.6053</v>
      </c>
      <c r="H2430" s="1">
        <v>6.3117839999999998E-6</v>
      </c>
      <c r="I2430">
        <v>282.70339999999999</v>
      </c>
      <c r="J2430">
        <v>-266.88240000000002</v>
      </c>
      <c r="K2430">
        <v>1.102843</v>
      </c>
      <c r="L2430">
        <v>282.12569999999999</v>
      </c>
      <c r="M2430">
        <v>-0.99967870000000003</v>
      </c>
      <c r="N2430">
        <v>0</v>
      </c>
      <c r="O2430">
        <v>2.394717E-2</v>
      </c>
      <c r="P2430">
        <v>-0.99684209999999995</v>
      </c>
      <c r="Q2430">
        <v>7.8869930000000005E-2</v>
      </c>
      <c r="R2430">
        <v>9.2440500000000002E-3</v>
      </c>
      <c r="S2430">
        <v>-3.023193</v>
      </c>
      <c r="T2430">
        <v>-0.17457590000000001</v>
      </c>
      <c r="U2430">
        <v>9.2956540000000004E-2</v>
      </c>
      <c r="V2430">
        <v>-1.441479E-2</v>
      </c>
      <c r="W2430">
        <v>8.7188329999999994E-2</v>
      </c>
      <c r="X2430">
        <v>0.99608759999999996</v>
      </c>
      <c r="Y2430">
        <v>6.8162759999999996E-3</v>
      </c>
      <c r="Z2430">
        <v>-1.1845930000000001E-3</v>
      </c>
      <c r="AA2430">
        <v>0.99997599999999998</v>
      </c>
      <c r="AB2430">
        <v>39</v>
      </c>
      <c r="AC2430">
        <v>-18.7228999999999</v>
      </c>
      <c r="AD2430">
        <v>-1.1028366882159999</v>
      </c>
      <c r="AE2430">
        <v>0.577699999999992</v>
      </c>
      <c r="AF2430">
        <v>0.12871222192095</v>
      </c>
      <c r="AG2430">
        <v>-1.1028366882159999</v>
      </c>
      <c r="AH2430">
        <v>18.6666613698319</v>
      </c>
      <c r="AI2430">
        <v>93.381055875433603</v>
      </c>
      <c r="AJ2430">
        <v>89.604934697829293</v>
      </c>
      <c r="AK2430">
        <v>18.6996540688036</v>
      </c>
      <c r="AL2430">
        <v>84.998125998775507</v>
      </c>
      <c r="AM2430">
        <v>90.829092724945397</v>
      </c>
      <c r="AN2430">
        <v>1.0000000489663401</v>
      </c>
    </row>
    <row r="2431" spans="1:40" x14ac:dyDescent="0.3">
      <c r="A2431" t="str">
        <f>"20200111150003694"</f>
        <v>20200111150003694</v>
      </c>
      <c r="B2431" t="str">
        <f>"1578726003688256"</f>
        <v>1578726003688256</v>
      </c>
      <c r="C2431" t="s">
        <v>40</v>
      </c>
      <c r="D2431">
        <v>4.2181699999999998</v>
      </c>
      <c r="E2431">
        <v>0.50940129999999995</v>
      </c>
      <c r="F2431" t="s">
        <v>41</v>
      </c>
      <c r="G2431">
        <v>-267.94580000000002</v>
      </c>
      <c r="H2431">
        <v>1.0408999999999999</v>
      </c>
      <c r="I2431">
        <v>282.16149999999999</v>
      </c>
      <c r="J2431">
        <v>-267.11419999999998</v>
      </c>
      <c r="K2431">
        <v>1.102816</v>
      </c>
      <c r="L2431">
        <v>282.13170000000002</v>
      </c>
      <c r="M2431">
        <v>-0.9996621</v>
      </c>
      <c r="N2431">
        <v>0</v>
      </c>
      <c r="O2431">
        <v>2.4629430000000001E-2</v>
      </c>
      <c r="P2431">
        <v>-0.99684229999999996</v>
      </c>
      <c r="Q2431">
        <v>7.8739729999999994E-2</v>
      </c>
      <c r="R2431">
        <v>1.028188E-2</v>
      </c>
      <c r="S2431">
        <v>-3.0224609999999998</v>
      </c>
      <c r="T2431">
        <v>-0.17607320000000001</v>
      </c>
      <c r="U2431">
        <v>0.1017151</v>
      </c>
      <c r="V2431">
        <v>-1.4052540000000001E-2</v>
      </c>
      <c r="W2431">
        <v>8.7065779999999995E-2</v>
      </c>
      <c r="X2431">
        <v>0.99610350000000003</v>
      </c>
      <c r="Y2431">
        <v>9.0338870000000009E-3</v>
      </c>
      <c r="Z2431">
        <v>-1.1701210000000001E-3</v>
      </c>
      <c r="AA2431">
        <v>0.99995849999999997</v>
      </c>
      <c r="AB2431">
        <v>39</v>
      </c>
      <c r="AC2431">
        <v>-0.83160000000003698</v>
      </c>
      <c r="AD2431">
        <v>-6.1915999999999999E-2</v>
      </c>
      <c r="AE2431">
        <v>2.9799999999966E-2</v>
      </c>
      <c r="AF2431">
        <v>9.2571676531563001E-3</v>
      </c>
      <c r="AG2431">
        <v>-6.1915999999999999E-2</v>
      </c>
      <c r="AH2431">
        <v>0.82750040946922698</v>
      </c>
      <c r="AI2431">
        <v>94.278797485382498</v>
      </c>
      <c r="AJ2431">
        <v>89.359064350246499</v>
      </c>
      <c r="AK2431">
        <v>0.82986517813479599</v>
      </c>
      <c r="AL2431">
        <v>85.0051744216196</v>
      </c>
      <c r="AM2431">
        <v>90.808247160652101</v>
      </c>
      <c r="AN2431">
        <v>1.0000000533198501</v>
      </c>
    </row>
    <row r="2432" spans="1:40" x14ac:dyDescent="0.3">
      <c r="A2432" t="str">
        <f>"20200111150003707"</f>
        <v>20200111150003707</v>
      </c>
      <c r="B2432" t="str">
        <f>"1578726003698272"</f>
        <v>1578726003698272</v>
      </c>
      <c r="C2432" t="s">
        <v>40</v>
      </c>
      <c r="D2432">
        <v>4.037032</v>
      </c>
      <c r="E2432">
        <v>0.50943919999999998</v>
      </c>
      <c r="F2432" t="s">
        <v>66</v>
      </c>
      <c r="G2432">
        <v>-286.17540000000002</v>
      </c>
      <c r="H2432" s="1">
        <v>6.0396050000000001E-6</v>
      </c>
      <c r="I2432">
        <v>282.79730000000001</v>
      </c>
      <c r="J2432">
        <v>-267.33539999999999</v>
      </c>
      <c r="K2432">
        <v>1.102795</v>
      </c>
      <c r="L2432">
        <v>282.13760000000002</v>
      </c>
      <c r="M2432">
        <v>-0.99964580000000003</v>
      </c>
      <c r="N2432">
        <v>0</v>
      </c>
      <c r="O2432">
        <v>2.5278749999999999E-2</v>
      </c>
      <c r="P2432">
        <v>-0.99683940000000004</v>
      </c>
      <c r="Q2432">
        <v>7.8671260000000007E-2</v>
      </c>
      <c r="R2432">
        <v>1.1052330000000001E-2</v>
      </c>
      <c r="S2432">
        <v>-3.0222169999999999</v>
      </c>
      <c r="T2432">
        <v>-0.1748545</v>
      </c>
      <c r="U2432">
        <v>0.10552980000000001</v>
      </c>
      <c r="V2432">
        <v>-1.3926269999999999E-2</v>
      </c>
      <c r="W2432">
        <v>8.7004499999999999E-2</v>
      </c>
      <c r="X2432">
        <v>0.99611059999999996</v>
      </c>
      <c r="Y2432">
        <v>9.6474530000000003E-3</v>
      </c>
      <c r="Z2432">
        <v>-1.1818779999999999E-3</v>
      </c>
      <c r="AA2432">
        <v>0.99995279999999998</v>
      </c>
      <c r="AB2432">
        <v>39</v>
      </c>
      <c r="AC2432">
        <v>-18.84</v>
      </c>
      <c r="AD2432">
        <v>-1.1027889603950001</v>
      </c>
      <c r="AE2432">
        <v>0.65969999999998596</v>
      </c>
      <c r="AF2432">
        <v>0.18259616955234101</v>
      </c>
      <c r="AG2432">
        <v>-1.1027889603950001</v>
      </c>
      <c r="AH2432">
        <v>18.786367511117302</v>
      </c>
      <c r="AI2432">
        <v>93.359337703898802</v>
      </c>
      <c r="AJ2432">
        <v>89.443124891911296</v>
      </c>
      <c r="AK2432">
        <v>18.819593223953198</v>
      </c>
      <c r="AL2432">
        <v>85.008698743184297</v>
      </c>
      <c r="AM2432">
        <v>90.800979845955396</v>
      </c>
      <c r="AN2432">
        <v>1.00000002572436</v>
      </c>
    </row>
    <row r="2433" spans="1:40" x14ac:dyDescent="0.3">
      <c r="A2433" t="str">
        <f>"20200111150003723"</f>
        <v>20200111150003723</v>
      </c>
      <c r="B2433" t="str">
        <f>"1578726003718769"</f>
        <v>1578726003718769</v>
      </c>
      <c r="C2433" t="s">
        <v>40</v>
      </c>
      <c r="D2433">
        <v>4.1241320000000004</v>
      </c>
      <c r="E2433">
        <v>0.50932749999999904</v>
      </c>
      <c r="F2433" t="s">
        <v>41</v>
      </c>
      <c r="G2433">
        <v>-268.30380000000002</v>
      </c>
      <c r="H2433">
        <v>1.046265</v>
      </c>
      <c r="I2433">
        <v>282.17239999999998</v>
      </c>
      <c r="J2433">
        <v>-267.62619999999998</v>
      </c>
      <c r="K2433">
        <v>1.1027690000000001</v>
      </c>
      <c r="L2433">
        <v>282.1456</v>
      </c>
      <c r="M2433">
        <v>-0.99962379999999995</v>
      </c>
      <c r="N2433">
        <v>0</v>
      </c>
      <c r="O2433">
        <v>2.6129920000000001E-2</v>
      </c>
      <c r="P2433">
        <v>-0.9968264</v>
      </c>
      <c r="Q2433">
        <v>7.8727420000000006E-2</v>
      </c>
      <c r="R2433">
        <v>1.1804449999999999E-2</v>
      </c>
      <c r="S2433">
        <v>-3.0222169999999999</v>
      </c>
      <c r="T2433">
        <v>-0.1764502</v>
      </c>
      <c r="U2433">
        <v>0.1080627</v>
      </c>
      <c r="V2433">
        <v>-1.4017389999999999E-2</v>
      </c>
      <c r="W2433">
        <v>8.7071019999999999E-2</v>
      </c>
      <c r="X2433">
        <v>0.99610350000000003</v>
      </c>
      <c r="Y2433">
        <v>9.6349869999999994E-3</v>
      </c>
      <c r="Z2433">
        <v>-1.2426029999999999E-3</v>
      </c>
      <c r="AA2433">
        <v>0.99995279999999998</v>
      </c>
      <c r="AB2433">
        <v>39</v>
      </c>
      <c r="AC2433">
        <v>-0.67760000000003995</v>
      </c>
      <c r="AD2433">
        <v>-5.6504000000000103E-2</v>
      </c>
      <c r="AE2433">
        <v>2.67999999999801E-2</v>
      </c>
      <c r="AF2433">
        <v>9.0219622734291401E-3</v>
      </c>
      <c r="AG2433">
        <v>-5.6504000000000103E-2</v>
      </c>
      <c r="AH2433">
        <v>0.67339370985110902</v>
      </c>
      <c r="AI2433">
        <v>94.795985020853706</v>
      </c>
      <c r="AJ2433">
        <v>89.232411250753202</v>
      </c>
      <c r="AK2433">
        <v>0.67582038019454704</v>
      </c>
      <c r="AL2433">
        <v>85.004872861489304</v>
      </c>
      <c r="AM2433">
        <v>90.806225737264299</v>
      </c>
      <c r="AN2433">
        <v>1.0000000162292499</v>
      </c>
    </row>
    <row r="2434" spans="1:40" x14ac:dyDescent="0.3">
      <c r="A2434" t="str">
        <f>"20200111150003737"</f>
        <v>20200111150003737</v>
      </c>
      <c r="B2434" t="str">
        <f>"1578726003728528"</f>
        <v>1578726003728528</v>
      </c>
      <c r="C2434" t="s">
        <v>40</v>
      </c>
      <c r="D2434">
        <v>4.1292780000000002</v>
      </c>
      <c r="E2434">
        <v>0.48910019999999998</v>
      </c>
      <c r="F2434" t="s">
        <v>41</v>
      </c>
      <c r="G2434">
        <v>-268.65440000000001</v>
      </c>
      <c r="H2434">
        <v>1.0423960000000001</v>
      </c>
      <c r="I2434">
        <v>282.18299999999999</v>
      </c>
      <c r="J2434">
        <v>-267.88380000000001</v>
      </c>
      <c r="K2434">
        <v>1.102751</v>
      </c>
      <c r="L2434">
        <v>282.15289999999999</v>
      </c>
      <c r="M2434">
        <v>-0.99960389999999999</v>
      </c>
      <c r="N2434">
        <v>0</v>
      </c>
      <c r="O2434">
        <v>2.6879009999999998E-2</v>
      </c>
      <c r="P2434">
        <v>-0.99676830000000005</v>
      </c>
      <c r="Q2434">
        <v>7.9342919999999997E-2</v>
      </c>
      <c r="R2434">
        <v>1.255969E-2</v>
      </c>
      <c r="S2434">
        <v>-3.0222470000000001</v>
      </c>
      <c r="T2434">
        <v>-0.17751339999999999</v>
      </c>
      <c r="U2434">
        <v>0.1095276</v>
      </c>
      <c r="V2434">
        <v>-1.4001420000000001E-2</v>
      </c>
      <c r="W2434">
        <v>8.7694690000000006E-2</v>
      </c>
      <c r="X2434">
        <v>0.99604899999999996</v>
      </c>
      <c r="Y2434">
        <v>9.3713900000000003E-3</v>
      </c>
      <c r="Z2434">
        <v>-1.3017090000000001E-3</v>
      </c>
      <c r="AA2434">
        <v>0.99995520000000004</v>
      </c>
      <c r="AB2434">
        <v>39</v>
      </c>
      <c r="AC2434">
        <v>-0.77060000000000095</v>
      </c>
      <c r="AD2434">
        <v>-6.0355000000000103E-2</v>
      </c>
      <c r="AE2434">
        <v>3.0100000000004401E-2</v>
      </c>
      <c r="AF2434">
        <v>9.3183633615545203E-3</v>
      </c>
      <c r="AG2434">
        <v>-6.0355000000000103E-2</v>
      </c>
      <c r="AH2434">
        <v>0.76643621959586195</v>
      </c>
      <c r="AI2434">
        <v>94.502280956282505</v>
      </c>
      <c r="AJ2434">
        <v>89.303429855668298</v>
      </c>
      <c r="AK2434">
        <v>0.76886542166307303</v>
      </c>
      <c r="AL2434">
        <v>84.969001929866096</v>
      </c>
      <c r="AM2434">
        <v>90.805351383571804</v>
      </c>
      <c r="AN2434">
        <v>1.0000000044085999</v>
      </c>
    </row>
    <row r="2435" spans="1:40" x14ac:dyDescent="0.3">
      <c r="A2435" t="str">
        <f>"20200111150003750"</f>
        <v>20200111150003750</v>
      </c>
      <c r="B2435" t="str">
        <f>"1578726003748048"</f>
        <v>1578726003748048</v>
      </c>
      <c r="C2435" t="s">
        <v>40</v>
      </c>
      <c r="D2435">
        <v>4.0271530000000002</v>
      </c>
      <c r="E2435">
        <v>0.48924519999999999</v>
      </c>
      <c r="F2435" t="s">
        <v>66</v>
      </c>
      <c r="G2435">
        <v>-300.27850000000001</v>
      </c>
      <c r="H2435" s="1">
        <v>4.1773109999999999E-6</v>
      </c>
      <c r="I2435">
        <v>281.61799999999999</v>
      </c>
      <c r="J2435">
        <v>-268.10989999999998</v>
      </c>
      <c r="K2435">
        <v>1.1027359999999999</v>
      </c>
      <c r="L2435">
        <v>282.15949999999998</v>
      </c>
      <c r="M2435">
        <v>-0.99958610000000003</v>
      </c>
      <c r="N2435">
        <v>0</v>
      </c>
      <c r="O2435">
        <v>2.7533249999999999E-2</v>
      </c>
      <c r="P2435">
        <v>-0.99673469999999997</v>
      </c>
      <c r="Q2435">
        <v>7.9626199999999994E-2</v>
      </c>
      <c r="R2435">
        <v>1.341622E-2</v>
      </c>
      <c r="S2435">
        <v>-3.0185240000000002</v>
      </c>
      <c r="T2435">
        <v>-0.1027532</v>
      </c>
      <c r="U2435">
        <v>-4.9835209999999998E-2</v>
      </c>
      <c r="V2435">
        <v>-1.3792560000000001E-2</v>
      </c>
      <c r="W2435">
        <v>8.798491E-2</v>
      </c>
      <c r="X2435">
        <v>0.99602630000000003</v>
      </c>
      <c r="Y2435">
        <v>-4.3990319999999999E-2</v>
      </c>
      <c r="Z2435">
        <v>-1.685385E-3</v>
      </c>
      <c r="AA2435">
        <v>0.99903050000000004</v>
      </c>
      <c r="AB2435">
        <v>39</v>
      </c>
      <c r="AC2435">
        <v>-32.168599999999998</v>
      </c>
      <c r="AD2435">
        <v>-1.1027318226889999</v>
      </c>
      <c r="AE2435">
        <v>-0.54149999999998499</v>
      </c>
      <c r="AF2435">
        <v>-1.4253571388727699</v>
      </c>
      <c r="AG2435">
        <v>-1.1027318226889999</v>
      </c>
      <c r="AH2435">
        <v>32.103779360174798</v>
      </c>
      <c r="AI2435">
        <v>91.965343091058898</v>
      </c>
      <c r="AJ2435">
        <v>92.542172672193701</v>
      </c>
      <c r="AK2435">
        <v>32.154320233102297</v>
      </c>
      <c r="AL2435">
        <v>84.952308924464006</v>
      </c>
      <c r="AM2435">
        <v>90.793357535347695</v>
      </c>
      <c r="AN2435">
        <v>0.99999998469537499</v>
      </c>
    </row>
    <row r="2436" spans="1:40" x14ac:dyDescent="0.3">
      <c r="A2436" t="str">
        <f>"20200111150003764"</f>
        <v>20200111150003764</v>
      </c>
      <c r="B2436" t="str">
        <f>"1578726003758784"</f>
        <v>1578726003758784</v>
      </c>
      <c r="C2436" t="s">
        <v>40</v>
      </c>
      <c r="D2436">
        <v>4.1076949999999997</v>
      </c>
      <c r="E2436">
        <v>0.49019869999999999</v>
      </c>
      <c r="F2436" t="s">
        <v>66</v>
      </c>
      <c r="G2436">
        <v>-299.23759999999999</v>
      </c>
      <c r="H2436" s="1">
        <v>4.1005160000000004E-6</v>
      </c>
      <c r="I2436">
        <v>281.68619999999999</v>
      </c>
      <c r="J2436">
        <v>-268.35230000000001</v>
      </c>
      <c r="K2436">
        <v>1.1027180000000001</v>
      </c>
      <c r="L2436">
        <v>282.16660000000002</v>
      </c>
      <c r="M2436">
        <v>-0.99956650000000002</v>
      </c>
      <c r="N2436">
        <v>0</v>
      </c>
      <c r="O2436">
        <v>2.8232429999999999E-2</v>
      </c>
      <c r="P2436">
        <v>-0.99669850000000004</v>
      </c>
      <c r="Q2436">
        <v>7.9894599999999996E-2</v>
      </c>
      <c r="R2436">
        <v>1.4451189999999999E-2</v>
      </c>
      <c r="S2436">
        <v>-3.0189819999999998</v>
      </c>
      <c r="T2436">
        <v>-0.1069505</v>
      </c>
      <c r="U2436">
        <v>-4.5898439999999999E-2</v>
      </c>
      <c r="V2436">
        <v>-1.345027E-2</v>
      </c>
      <c r="W2436">
        <v>8.8260889999999995E-2</v>
      </c>
      <c r="X2436">
        <v>0.99600659999999996</v>
      </c>
      <c r="Y2436">
        <v>-4.3380700000000001E-2</v>
      </c>
      <c r="Z2436">
        <v>-1.767898E-3</v>
      </c>
      <c r="AA2436">
        <v>0.99905710000000003</v>
      </c>
      <c r="AB2436">
        <v>40</v>
      </c>
      <c r="AC2436">
        <v>-30.885299999999901</v>
      </c>
      <c r="AD2436">
        <v>-1.102713899484</v>
      </c>
      <c r="AE2436">
        <v>-0.48040000000003102</v>
      </c>
      <c r="AF2436">
        <v>-1.3504848680491599</v>
      </c>
      <c r="AG2436">
        <v>-1.102713899484</v>
      </c>
      <c r="AH2436">
        <v>30.820146270624601</v>
      </c>
      <c r="AI2436">
        <v>92.047148714395604</v>
      </c>
      <c r="AJ2436">
        <v>92.508995810393102</v>
      </c>
      <c r="AK2436">
        <v>30.869421819425799</v>
      </c>
      <c r="AL2436">
        <v>84.936434861498597</v>
      </c>
      <c r="AM2436">
        <v>90.773686503395496</v>
      </c>
      <c r="AN2436">
        <v>1.0000000208551101</v>
      </c>
    </row>
    <row r="2437" spans="1:40" x14ac:dyDescent="0.3">
      <c r="A2437" t="str">
        <f>"20200111150003777"</f>
        <v>20200111150003777</v>
      </c>
      <c r="B2437" t="str">
        <f>"1578726003768544"</f>
        <v>1578726003768544</v>
      </c>
      <c r="C2437" t="s">
        <v>40</v>
      </c>
      <c r="D2437">
        <v>4.1616879999999998</v>
      </c>
      <c r="E2437">
        <v>0.49107070000000003</v>
      </c>
      <c r="F2437" t="s">
        <v>66</v>
      </c>
      <c r="G2437">
        <v>-298.85230000000001</v>
      </c>
      <c r="H2437" s="1">
        <v>4.0212599999999997E-6</v>
      </c>
      <c r="I2437">
        <v>281.81079999999997</v>
      </c>
      <c r="J2437">
        <v>-268.58620000000002</v>
      </c>
      <c r="K2437">
        <v>1.102703</v>
      </c>
      <c r="L2437">
        <v>282.1737</v>
      </c>
      <c r="M2437">
        <v>-0.99954730000000003</v>
      </c>
      <c r="N2437">
        <v>0</v>
      </c>
      <c r="O2437">
        <v>2.8904300000000001E-2</v>
      </c>
      <c r="P2437">
        <v>-0.99669399999999997</v>
      </c>
      <c r="Q2437">
        <v>7.9736459999999995E-2</v>
      </c>
      <c r="R2437">
        <v>1.560487E-2</v>
      </c>
      <c r="S2437">
        <v>-3.0192260000000002</v>
      </c>
      <c r="T2437">
        <v>-0.1091589</v>
      </c>
      <c r="U2437">
        <v>-3.5217289999999998E-2</v>
      </c>
      <c r="V2437">
        <v>-1.296459E-2</v>
      </c>
      <c r="W2437">
        <v>8.8109839999999995E-2</v>
      </c>
      <c r="X2437">
        <v>0.99602639999999998</v>
      </c>
      <c r="Y2437">
        <v>-4.0516669999999998E-2</v>
      </c>
      <c r="Z2437">
        <v>-1.7767869999999999E-3</v>
      </c>
      <c r="AA2437">
        <v>0.99917730000000005</v>
      </c>
      <c r="AB2437">
        <v>40</v>
      </c>
      <c r="AC2437">
        <v>-30.266099999999899</v>
      </c>
      <c r="AD2437">
        <v>-1.1026989787399999</v>
      </c>
      <c r="AE2437">
        <v>-0.36290000000002398</v>
      </c>
      <c r="AF2437">
        <v>-1.2359589300248099</v>
      </c>
      <c r="AG2437">
        <v>-1.1026989787399999</v>
      </c>
      <c r="AH2437">
        <v>30.202878239433499</v>
      </c>
      <c r="AI2437">
        <v>92.089177836215995</v>
      </c>
      <c r="AJ2437">
        <v>92.343344245511005</v>
      </c>
      <c r="AK2437">
        <v>30.248262651935399</v>
      </c>
      <c r="AL2437">
        <v>84.945123167797306</v>
      </c>
      <c r="AM2437">
        <v>90.745737606942797</v>
      </c>
      <c r="AN2437">
        <v>1.0000000069978201</v>
      </c>
    </row>
    <row r="2438" spans="1:40" x14ac:dyDescent="0.3">
      <c r="A2438" t="str">
        <f>"20200111150003794"</f>
        <v>20200111150003794</v>
      </c>
      <c r="B2438" t="str">
        <f>"1578726003788065"</f>
        <v>1578726003788065</v>
      </c>
      <c r="C2438" t="s">
        <v>40</v>
      </c>
      <c r="D2438">
        <v>4.1463179999999999</v>
      </c>
      <c r="E2438">
        <v>0.49240620000000002</v>
      </c>
      <c r="F2438" t="s">
        <v>66</v>
      </c>
      <c r="G2438">
        <v>-299.01979999999998</v>
      </c>
      <c r="H2438" s="1">
        <v>4.0409590000000003E-6</v>
      </c>
      <c r="I2438">
        <v>281.92540000000002</v>
      </c>
      <c r="J2438">
        <v>-268.87689999999998</v>
      </c>
      <c r="K2438">
        <v>1.1026849999999999</v>
      </c>
      <c r="L2438">
        <v>282.18270000000001</v>
      </c>
      <c r="M2438">
        <v>-0.99952289999999999</v>
      </c>
      <c r="N2438">
        <v>0</v>
      </c>
      <c r="O2438">
        <v>2.9737159999999999E-2</v>
      </c>
      <c r="P2438">
        <v>-0.9966872</v>
      </c>
      <c r="Q2438">
        <v>7.938568E-2</v>
      </c>
      <c r="R2438">
        <v>1.76855E-2</v>
      </c>
      <c r="S2438">
        <v>-3.0191349999999999</v>
      </c>
      <c r="T2438">
        <v>-0.10939219999999999</v>
      </c>
      <c r="U2438">
        <v>-2.4627690000000001E-2</v>
      </c>
      <c r="V2438">
        <v>-1.171204E-2</v>
      </c>
      <c r="W2438">
        <v>8.7764999999999996E-2</v>
      </c>
      <c r="X2438">
        <v>0.99607239999999997</v>
      </c>
      <c r="Y2438">
        <v>-3.784618E-2</v>
      </c>
      <c r="Z2438">
        <v>-1.76244799999999E-3</v>
      </c>
      <c r="AA2438">
        <v>0.999282</v>
      </c>
      <c r="AB2438">
        <v>40</v>
      </c>
      <c r="AC2438">
        <v>-30.142900000000001</v>
      </c>
      <c r="AD2438">
        <v>-1.1026809590410001</v>
      </c>
      <c r="AE2438">
        <v>-0.25729999999998598</v>
      </c>
      <c r="AF2438">
        <v>-1.1520400917142899</v>
      </c>
      <c r="AG2438">
        <v>-1.1026809590410001</v>
      </c>
      <c r="AH2438">
        <v>30.0816636699684</v>
      </c>
      <c r="AI2438">
        <v>92.097772013151896</v>
      </c>
      <c r="AJ2438">
        <v>92.193189647562903</v>
      </c>
      <c r="AK2438">
        <v>30.123903977131601</v>
      </c>
      <c r="AL2438">
        <v>84.964958083815702</v>
      </c>
      <c r="AM2438">
        <v>90.673665426850107</v>
      </c>
      <c r="AN2438">
        <v>1.0000000465738501</v>
      </c>
    </row>
    <row r="2439" spans="1:40" x14ac:dyDescent="0.3">
      <c r="A2439" t="str">
        <f>"20200111150003806"</f>
        <v>20200111150003806</v>
      </c>
      <c r="B2439" t="str">
        <f>"1578726003798801"</f>
        <v>1578726003798801</v>
      </c>
      <c r="C2439" t="s">
        <v>40</v>
      </c>
      <c r="D2439">
        <v>4.1426249999999998</v>
      </c>
      <c r="E2439">
        <v>0.49302869999999999</v>
      </c>
      <c r="F2439" t="s">
        <v>66</v>
      </c>
      <c r="G2439">
        <v>-298.33370000000002</v>
      </c>
      <c r="H2439" s="1">
        <v>3.903769E-6</v>
      </c>
      <c r="I2439">
        <v>282.1026</v>
      </c>
      <c r="J2439">
        <v>-269.10770000000002</v>
      </c>
      <c r="K2439">
        <v>1.102673</v>
      </c>
      <c r="L2439">
        <v>282.19009999999997</v>
      </c>
      <c r="M2439">
        <v>-0.99950269999999997</v>
      </c>
      <c r="N2439">
        <v>0</v>
      </c>
      <c r="O2439">
        <v>3.0397509999999999E-2</v>
      </c>
      <c r="P2439">
        <v>-0.99669949999999996</v>
      </c>
      <c r="Q2439">
        <v>7.8952330000000001E-2</v>
      </c>
      <c r="R2439">
        <v>1.8884890000000001E-2</v>
      </c>
      <c r="S2439">
        <v>-3.0191349999999999</v>
      </c>
      <c r="T2439">
        <v>-0.1130178</v>
      </c>
      <c r="U2439">
        <v>-8.2092290000000002E-3</v>
      </c>
      <c r="V2439">
        <v>-1.1171469999999999E-2</v>
      </c>
      <c r="W2439">
        <v>8.7339390000000003E-2</v>
      </c>
      <c r="X2439">
        <v>0.996116</v>
      </c>
      <c r="Y2439">
        <v>-3.307181E-2</v>
      </c>
      <c r="Z2439">
        <v>-1.7562000000000001E-3</v>
      </c>
      <c r="AA2439">
        <v>0.99945150000000005</v>
      </c>
      <c r="AB2439">
        <v>40</v>
      </c>
      <c r="AC2439">
        <v>-29.225999999999999</v>
      </c>
      <c r="AD2439">
        <v>-1.102669096231</v>
      </c>
      <c r="AE2439">
        <v>-8.7499999999977193E-2</v>
      </c>
      <c r="AF2439">
        <v>-0.97450126658764902</v>
      </c>
      <c r="AG2439">
        <v>-1.102669096231</v>
      </c>
      <c r="AH2439">
        <v>29.1683133505909</v>
      </c>
      <c r="AI2439">
        <v>92.163753315915301</v>
      </c>
      <c r="AJ2439">
        <v>91.9135165155854</v>
      </c>
      <c r="AK2439">
        <v>29.205411066660702</v>
      </c>
      <c r="AL2439">
        <v>84.989437650406799</v>
      </c>
      <c r="AM2439">
        <v>90.642546900468801</v>
      </c>
      <c r="AN2439">
        <v>1.00000002812176</v>
      </c>
    </row>
    <row r="2440" spans="1:40" x14ac:dyDescent="0.3">
      <c r="A2440" t="str">
        <f>"20200111150003818"</f>
        <v>20200111150003818</v>
      </c>
      <c r="B2440" t="str">
        <f>"1578726003808561"</f>
        <v>1578726003808561</v>
      </c>
      <c r="C2440" t="s">
        <v>40</v>
      </c>
      <c r="D2440">
        <v>4.1170530000000003</v>
      </c>
      <c r="E2440">
        <v>0.49317860000000002</v>
      </c>
      <c r="F2440" t="s">
        <v>66</v>
      </c>
      <c r="G2440">
        <v>-297.88889999999998</v>
      </c>
      <c r="H2440" s="1">
        <v>3.8169459999999998E-6</v>
      </c>
      <c r="I2440">
        <v>282.19330000000002</v>
      </c>
      <c r="J2440">
        <v>-269.32190000000003</v>
      </c>
      <c r="K2440">
        <v>1.102662</v>
      </c>
      <c r="L2440">
        <v>282.197</v>
      </c>
      <c r="M2440">
        <v>-0.99948389999999998</v>
      </c>
      <c r="N2440">
        <v>0</v>
      </c>
      <c r="O2440">
        <v>3.100932E-2</v>
      </c>
      <c r="P2440">
        <v>-0.99669079999999999</v>
      </c>
      <c r="Q2440">
        <v>7.88026E-2</v>
      </c>
      <c r="R2440">
        <v>1.9940759999999998E-2</v>
      </c>
      <c r="S2440">
        <v>-3.019104</v>
      </c>
      <c r="T2440">
        <v>-0.1156682</v>
      </c>
      <c r="U2440">
        <v>3.3569339999999902E-4</v>
      </c>
      <c r="V2440">
        <v>-1.072417E-2</v>
      </c>
      <c r="W2440">
        <v>8.7197350000000007E-2</v>
      </c>
      <c r="X2440">
        <v>0.9961333</v>
      </c>
      <c r="Y2440">
        <v>-3.0853889999999998E-2</v>
      </c>
      <c r="Z2440">
        <v>-1.7783160000000001E-3</v>
      </c>
      <c r="AA2440">
        <v>0.99952229999999997</v>
      </c>
      <c r="AB2440">
        <v>40</v>
      </c>
      <c r="AC2440">
        <v>-28.566999999999901</v>
      </c>
      <c r="AD2440">
        <v>-1.1026581830540001</v>
      </c>
      <c r="AE2440">
        <v>-3.69999999998071E-3</v>
      </c>
      <c r="AF2440">
        <v>-0.88824924011512796</v>
      </c>
      <c r="AG2440">
        <v>-1.1026581830540001</v>
      </c>
      <c r="AH2440">
        <v>28.510668696377198</v>
      </c>
      <c r="AI2440">
        <v>92.213753596261697</v>
      </c>
      <c r="AJ2440">
        <v>91.784471512243002</v>
      </c>
      <c r="AK2440">
        <v>28.545806544846499</v>
      </c>
      <c r="AL2440">
        <v>84.997606811602395</v>
      </c>
      <c r="AM2440">
        <v>90.616810965659695</v>
      </c>
      <c r="AN2440">
        <v>0.99999996851905004</v>
      </c>
    </row>
    <row r="2441" spans="1:40" x14ac:dyDescent="0.3">
      <c r="A2441" t="str">
        <f>"20200111150003831"</f>
        <v>20200111150003831</v>
      </c>
      <c r="B2441" t="str">
        <f>"1578726003828081"</f>
        <v>1578726003828081</v>
      </c>
      <c r="C2441" t="s">
        <v>40</v>
      </c>
      <c r="D2441">
        <v>4.1196469999999996</v>
      </c>
      <c r="E2441">
        <v>0.49354910000000002</v>
      </c>
      <c r="F2441" t="s">
        <v>66</v>
      </c>
      <c r="G2441">
        <v>-298.38470000000001</v>
      </c>
      <c r="H2441" s="1">
        <v>3.9007730000000003E-6</v>
      </c>
      <c r="I2441">
        <v>282.24040000000002</v>
      </c>
      <c r="J2441">
        <v>-269.53019999999998</v>
      </c>
      <c r="K2441">
        <v>1.102654</v>
      </c>
      <c r="L2441">
        <v>282.20389999999998</v>
      </c>
      <c r="M2441">
        <v>-0.99946520000000005</v>
      </c>
      <c r="N2441">
        <v>0</v>
      </c>
      <c r="O2441">
        <v>3.1604359999999998E-2</v>
      </c>
      <c r="P2441">
        <v>-0.99668190000000001</v>
      </c>
      <c r="Q2441">
        <v>7.8683450000000002E-2</v>
      </c>
      <c r="R2441">
        <v>2.0842039999999999E-2</v>
      </c>
      <c r="S2441">
        <v>-3.0188899999999999</v>
      </c>
      <c r="T2441">
        <v>-0.1145381</v>
      </c>
      <c r="U2441">
        <v>4.5166019999999998E-3</v>
      </c>
      <c r="V2441">
        <v>-1.041504E-2</v>
      </c>
      <c r="W2441">
        <v>8.7088109999999996E-2</v>
      </c>
      <c r="X2441">
        <v>0.99614610000000003</v>
      </c>
      <c r="Y2441">
        <v>-3.0065720000000001E-2</v>
      </c>
      <c r="Z2441">
        <v>-1.768686E-3</v>
      </c>
      <c r="AA2441">
        <v>0.9995463</v>
      </c>
      <c r="AB2441">
        <v>40</v>
      </c>
      <c r="AC2441">
        <v>-28.854500000000002</v>
      </c>
      <c r="AD2441">
        <v>-1.1026500992270001</v>
      </c>
      <c r="AE2441">
        <v>3.6500000000046301E-2</v>
      </c>
      <c r="AF2441">
        <v>-0.87420176436250696</v>
      </c>
      <c r="AG2441">
        <v>-1.1026500992270001</v>
      </c>
      <c r="AH2441">
        <v>28.799182548636601</v>
      </c>
      <c r="AI2441">
        <v>92.191635427897097</v>
      </c>
      <c r="AJ2441">
        <v>91.738684621148295</v>
      </c>
      <c r="AK2441">
        <v>28.833539176379901</v>
      </c>
      <c r="AL2441">
        <v>85.003889522259996</v>
      </c>
      <c r="AM2441">
        <v>90.599024674143394</v>
      </c>
      <c r="AN2441">
        <v>0.99999993225338901</v>
      </c>
    </row>
    <row r="2442" spans="1:40" x14ac:dyDescent="0.3">
      <c r="A2442" t="str">
        <f>"20200111150003843"</f>
        <v>20200111150003843</v>
      </c>
      <c r="B2442" t="str">
        <f>"1578726003838816"</f>
        <v>1578726003838816</v>
      </c>
      <c r="C2442" t="s">
        <v>40</v>
      </c>
      <c r="D2442">
        <v>4.151516</v>
      </c>
      <c r="E2442">
        <v>0.49344060000000001</v>
      </c>
      <c r="F2442" t="s">
        <v>66</v>
      </c>
      <c r="G2442">
        <v>-298.72359999999998</v>
      </c>
      <c r="H2442" s="1">
        <v>3.9553309999999999E-6</v>
      </c>
      <c r="I2442">
        <v>282.30399999999997</v>
      </c>
      <c r="J2442">
        <v>-269.75420000000003</v>
      </c>
      <c r="K2442">
        <v>1.1026480000000001</v>
      </c>
      <c r="L2442">
        <v>282.21140000000003</v>
      </c>
      <c r="M2442">
        <v>-0.99944469999999996</v>
      </c>
      <c r="N2442">
        <v>0</v>
      </c>
      <c r="O2442">
        <v>3.2244469999999997E-2</v>
      </c>
      <c r="P2442">
        <v>-0.99667669999999997</v>
      </c>
      <c r="Q2442">
        <v>7.8540380000000007E-2</v>
      </c>
      <c r="R2442">
        <v>2.161014E-2</v>
      </c>
      <c r="S2442">
        <v>-3.0187379999999999</v>
      </c>
      <c r="T2442">
        <v>-0.114019</v>
      </c>
      <c r="U2442">
        <v>1.0345460000000001E-2</v>
      </c>
      <c r="V2442">
        <v>-1.028454E-2</v>
      </c>
      <c r="W2442">
        <v>8.6955580000000005E-2</v>
      </c>
      <c r="X2442">
        <v>0.99615909999999996</v>
      </c>
      <c r="Y2442">
        <v>-2.8776630000000001E-2</v>
      </c>
      <c r="Z2442">
        <v>-1.7605749999999999E-3</v>
      </c>
      <c r="AA2442">
        <v>0.99958429999999998</v>
      </c>
      <c r="AB2442">
        <v>40</v>
      </c>
      <c r="AC2442">
        <v>-28.969399999999901</v>
      </c>
      <c r="AD2442">
        <v>-1.10264404466899</v>
      </c>
      <c r="AE2442">
        <v>9.2600000000004401E-2</v>
      </c>
      <c r="AF2442">
        <v>-0.84036660876062697</v>
      </c>
      <c r="AG2442">
        <v>-1.10264404466899</v>
      </c>
      <c r="AH2442">
        <v>28.915430505434902</v>
      </c>
      <c r="AI2442">
        <v>92.182904662595107</v>
      </c>
      <c r="AJ2442">
        <v>91.664713594933801</v>
      </c>
      <c r="AK2442">
        <v>28.948646967362698</v>
      </c>
      <c r="AL2442">
        <v>85.011512180202999</v>
      </c>
      <c r="AM2442">
        <v>90.591511738774997</v>
      </c>
      <c r="AN2442">
        <v>0.99999999858447797</v>
      </c>
    </row>
    <row r="2443" spans="1:40" x14ac:dyDescent="0.3">
      <c r="A2443" t="str">
        <f>"20200111150003860"</f>
        <v>20200111150003860</v>
      </c>
      <c r="B2443" t="str">
        <f>"1578726003848576"</f>
        <v>1578726003848576</v>
      </c>
      <c r="C2443" t="s">
        <v>40</v>
      </c>
      <c r="D2443">
        <v>4.1134890000000004</v>
      </c>
      <c r="E2443">
        <v>0.49347609999999997</v>
      </c>
      <c r="F2443" t="s">
        <v>66</v>
      </c>
      <c r="G2443">
        <v>-299.59789999999998</v>
      </c>
      <c r="H2443" s="1">
        <v>4.1085130000000003E-6</v>
      </c>
      <c r="I2443">
        <v>282.32569999999998</v>
      </c>
      <c r="J2443">
        <v>-270.0575</v>
      </c>
      <c r="K2443">
        <v>1.1026389999999999</v>
      </c>
      <c r="L2443">
        <v>282.22179999999997</v>
      </c>
      <c r="M2443">
        <v>-0.99941619999999998</v>
      </c>
      <c r="N2443">
        <v>0</v>
      </c>
      <c r="O2443">
        <v>3.3111000000000002E-2</v>
      </c>
      <c r="P2443">
        <v>-0.99665139999999997</v>
      </c>
      <c r="Q2443">
        <v>7.8659980000000004E-2</v>
      </c>
      <c r="R2443">
        <v>2.233781E-2</v>
      </c>
      <c r="S2443">
        <v>-3.0185550000000001</v>
      </c>
      <c r="T2443">
        <v>-0.1115273</v>
      </c>
      <c r="U2443">
        <v>1.1566160000000001E-2</v>
      </c>
      <c r="V2443">
        <v>-1.041837E-2</v>
      </c>
      <c r="W2443">
        <v>8.70919E-2</v>
      </c>
      <c r="X2443">
        <v>0.99614579999999997</v>
      </c>
      <c r="Y2443">
        <v>-2.923984E-2</v>
      </c>
      <c r="Z2443">
        <v>-1.7627750000000001E-3</v>
      </c>
      <c r="AA2443">
        <v>0.99957079999999998</v>
      </c>
      <c r="AB2443">
        <v>40</v>
      </c>
      <c r="AC2443">
        <v>-29.540399999999899</v>
      </c>
      <c r="AD2443">
        <v>-1.1026348914869999</v>
      </c>
      <c r="AE2443">
        <v>0.10390000000001</v>
      </c>
      <c r="AF2443">
        <v>-0.87308742628078095</v>
      </c>
      <c r="AG2443">
        <v>-1.1026348914869999</v>
      </c>
      <c r="AH2443">
        <v>29.486559829806499</v>
      </c>
      <c r="AI2443">
        <v>92.140611370947198</v>
      </c>
      <c r="AJ2443">
        <v>91.696013823014695</v>
      </c>
      <c r="AK2443">
        <v>29.520082925943999</v>
      </c>
      <c r="AL2443">
        <v>85.003671873187301</v>
      </c>
      <c r="AM2443">
        <v>90.599216366744102</v>
      </c>
      <c r="AN2443">
        <v>0.99999999816835305</v>
      </c>
    </row>
    <row r="2444" spans="1:40" x14ac:dyDescent="0.3">
      <c r="A2444" t="str">
        <f>"20200111150003872"</f>
        <v>20200111150003872</v>
      </c>
      <c r="B2444" t="str">
        <f>"1578726003868096"</f>
        <v>1578726003868096</v>
      </c>
      <c r="C2444" t="s">
        <v>40</v>
      </c>
      <c r="D2444">
        <v>4.1338929999999996</v>
      </c>
      <c r="E2444">
        <v>0.49369570000000002</v>
      </c>
      <c r="F2444" t="s">
        <v>66</v>
      </c>
      <c r="G2444">
        <v>-299.827</v>
      </c>
      <c r="H2444" s="1">
        <v>4.1466570000000003E-6</v>
      </c>
      <c r="I2444">
        <v>282.35419999999999</v>
      </c>
      <c r="J2444">
        <v>-270.25580000000002</v>
      </c>
      <c r="K2444">
        <v>1.1026339999999999</v>
      </c>
      <c r="L2444">
        <v>282.22890000000001</v>
      </c>
      <c r="M2444">
        <v>-0.99939719999999999</v>
      </c>
      <c r="N2444">
        <v>0</v>
      </c>
      <c r="O2444">
        <v>3.3678489999999998E-2</v>
      </c>
      <c r="P2444">
        <v>-0.99661319999999998</v>
      </c>
      <c r="Q2444">
        <v>7.9052059999999993E-2</v>
      </c>
      <c r="R2444">
        <v>2.265004E-2</v>
      </c>
      <c r="S2444">
        <v>-3.0186459999999999</v>
      </c>
      <c r="T2444">
        <v>-0.1118077</v>
      </c>
      <c r="U2444">
        <v>1.3427730000000001E-2</v>
      </c>
      <c r="V2444">
        <v>-1.0668789999999999E-2</v>
      </c>
      <c r="W2444">
        <v>8.749519E-2</v>
      </c>
      <c r="X2444">
        <v>0.99610779999999999</v>
      </c>
      <c r="Y2444">
        <v>-2.9190560000000001E-2</v>
      </c>
      <c r="Z2444">
        <v>-1.787236E-3</v>
      </c>
      <c r="AA2444">
        <v>0.99957229999999997</v>
      </c>
      <c r="AB2444">
        <v>40</v>
      </c>
      <c r="AC2444">
        <v>-29.571199999999902</v>
      </c>
      <c r="AD2444">
        <v>-1.1026298533429999</v>
      </c>
      <c r="AE2444">
        <v>0.12529999999998101</v>
      </c>
      <c r="AF2444">
        <v>-0.86951090796170405</v>
      </c>
      <c r="AG2444">
        <v>-1.1026298533429999</v>
      </c>
      <c r="AH2444">
        <v>29.517604861350001</v>
      </c>
      <c r="AI2444">
        <v>92.138361921902003</v>
      </c>
      <c r="AJ2444">
        <v>91.687294853005497</v>
      </c>
      <c r="AK2444">
        <v>29.550987099644299</v>
      </c>
      <c r="AL2444">
        <v>84.980476473183202</v>
      </c>
      <c r="AM2444">
        <v>90.613641683217196</v>
      </c>
      <c r="AN2444">
        <v>0.99999999028702002</v>
      </c>
    </row>
    <row r="2445" spans="1:40" x14ac:dyDescent="0.3">
      <c r="A2445" t="str">
        <f>"20200111150003883"</f>
        <v>20200111150003883</v>
      </c>
      <c r="B2445" t="str">
        <f>"1578726003878832"</f>
        <v>1578726003878832</v>
      </c>
      <c r="C2445" t="s">
        <v>40</v>
      </c>
      <c r="D2445">
        <v>4.0718829999999997</v>
      </c>
      <c r="E2445">
        <v>0.49368810000000002</v>
      </c>
      <c r="F2445" t="s">
        <v>66</v>
      </c>
      <c r="G2445">
        <v>-300.28410000000002</v>
      </c>
      <c r="H2445" s="1">
        <v>4.1089319999999998E-6</v>
      </c>
      <c r="I2445">
        <v>282.3888</v>
      </c>
      <c r="J2445">
        <v>-270.46589999999998</v>
      </c>
      <c r="K2445">
        <v>1.1026309999999999</v>
      </c>
      <c r="L2445">
        <v>282.23630000000003</v>
      </c>
      <c r="M2445">
        <v>-0.99937670000000001</v>
      </c>
      <c r="N2445">
        <v>0</v>
      </c>
      <c r="O2445">
        <v>3.4279289999999997E-2</v>
      </c>
      <c r="P2445">
        <v>-0.99661540000000004</v>
      </c>
      <c r="Q2445">
        <v>7.9009430000000005E-2</v>
      </c>
      <c r="R2445">
        <v>2.2708510000000001E-2</v>
      </c>
      <c r="S2445">
        <v>-3.0186459999999999</v>
      </c>
      <c r="T2445">
        <v>-0.1108436</v>
      </c>
      <c r="U2445">
        <v>1.6082760000000001E-2</v>
      </c>
      <c r="V2445">
        <v>-1.1208869999999999E-2</v>
      </c>
      <c r="W2445">
        <v>8.7465749999999995E-2</v>
      </c>
      <c r="X2445">
        <v>0.99610449999999995</v>
      </c>
      <c r="Y2445">
        <v>-2.8912859999999999E-2</v>
      </c>
      <c r="Z2445">
        <v>-1.7887739999999999E-3</v>
      </c>
      <c r="AA2445">
        <v>0.99958029999999998</v>
      </c>
      <c r="AB2445">
        <v>40</v>
      </c>
      <c r="AC2445">
        <v>-29.818200000000001</v>
      </c>
      <c r="AD2445">
        <v>-1.1026268910679999</v>
      </c>
      <c r="AE2445">
        <v>0.15249999999997499</v>
      </c>
      <c r="AF2445">
        <v>-0.86858504878730003</v>
      </c>
      <c r="AG2445">
        <v>-1.1026268910679999</v>
      </c>
      <c r="AH2445">
        <v>29.7652023940182</v>
      </c>
      <c r="AI2445">
        <v>92.120602021750102</v>
      </c>
      <c r="AJ2445">
        <v>91.671486655720898</v>
      </c>
      <c r="AK2445">
        <v>29.7982801450813</v>
      </c>
      <c r="AL2445">
        <v>84.982169980313799</v>
      </c>
      <c r="AM2445">
        <v>90.644705288896603</v>
      </c>
      <c r="AN2445">
        <v>1.0000000355549901</v>
      </c>
    </row>
    <row r="2446" spans="1:40" x14ac:dyDescent="0.3">
      <c r="A2446" t="str">
        <f>"20200111150003895"</f>
        <v>20200111150003895</v>
      </c>
      <c r="B2446" t="str">
        <f>"1578726003888353"</f>
        <v>1578726003888353</v>
      </c>
      <c r="C2446" t="s">
        <v>40</v>
      </c>
      <c r="D2446">
        <v>4.1330339999999897</v>
      </c>
      <c r="E2446">
        <v>0.49361240000000001</v>
      </c>
      <c r="F2446" t="s">
        <v>66</v>
      </c>
      <c r="G2446">
        <v>-300.35910000000001</v>
      </c>
      <c r="H2446" s="1">
        <v>4.094987E-6</v>
      </c>
      <c r="I2446">
        <v>282.39620000000002</v>
      </c>
      <c r="J2446">
        <v>-270.69729999999998</v>
      </c>
      <c r="K2446">
        <v>1.1026279999999999</v>
      </c>
      <c r="L2446">
        <v>282.2448</v>
      </c>
      <c r="M2446">
        <v>-0.99935359999999995</v>
      </c>
      <c r="N2446">
        <v>0</v>
      </c>
      <c r="O2446">
        <v>3.4941720000000002E-2</v>
      </c>
      <c r="P2446">
        <v>-0.99659819999999999</v>
      </c>
      <c r="Q2446">
        <v>7.919474E-2</v>
      </c>
      <c r="R2446">
        <v>2.280977E-2</v>
      </c>
      <c r="S2446">
        <v>-3.0186160000000002</v>
      </c>
      <c r="T2446">
        <v>-0.11134330000000001</v>
      </c>
      <c r="U2446">
        <v>1.61438E-2</v>
      </c>
      <c r="V2446">
        <v>-1.176629E-2</v>
      </c>
      <c r="W2446">
        <v>8.7665240000000005E-2</v>
      </c>
      <c r="X2446">
        <v>0.99608050000000004</v>
      </c>
      <c r="Y2446">
        <v>-2.9553880000000001E-2</v>
      </c>
      <c r="Z2446">
        <v>-1.8330830000000001E-3</v>
      </c>
      <c r="AA2446">
        <v>0.99956149999999999</v>
      </c>
      <c r="AB2446">
        <v>40</v>
      </c>
      <c r="AC2446">
        <v>-29.661799999999999</v>
      </c>
      <c r="AD2446">
        <v>-1.102623905013</v>
      </c>
      <c r="AE2446">
        <v>0.15140000000002299</v>
      </c>
      <c r="AF2446">
        <v>-0.88394236116604896</v>
      </c>
      <c r="AG2446">
        <v>-1.102623905013</v>
      </c>
      <c r="AH2446">
        <v>29.608063408660101</v>
      </c>
      <c r="AI2446">
        <v>92.131798266394696</v>
      </c>
      <c r="AJ2446">
        <v>91.7100452284417</v>
      </c>
      <c r="AK2446">
        <v>29.6417703989658</v>
      </c>
      <c r="AL2446">
        <v>84.970695797962506</v>
      </c>
      <c r="AM2446">
        <v>90.676780042772194</v>
      </c>
      <c r="AN2446">
        <v>1.0000000011824299</v>
      </c>
    </row>
    <row r="2447" spans="1:40" x14ac:dyDescent="0.3">
      <c r="A2447" t="str">
        <f>"20200111150003907"</f>
        <v>20200111150003907</v>
      </c>
      <c r="B2447" t="str">
        <f>"1578726003898097"</f>
        <v>1578726003898097</v>
      </c>
      <c r="C2447" t="s">
        <v>40</v>
      </c>
      <c r="D2447">
        <v>4.2226939999999997</v>
      </c>
      <c r="E2447">
        <v>0.4931606</v>
      </c>
      <c r="F2447" t="s">
        <v>66</v>
      </c>
      <c r="G2447">
        <v>-300.4973</v>
      </c>
      <c r="H2447" s="1">
        <v>4.0701780000000003E-6</v>
      </c>
      <c r="I2447">
        <v>282.39960000000002</v>
      </c>
      <c r="J2447">
        <v>-270.90910000000002</v>
      </c>
      <c r="K2447">
        <v>1.102625</v>
      </c>
      <c r="L2447">
        <v>282.25259999999997</v>
      </c>
      <c r="M2447">
        <v>-0.99933209999999995</v>
      </c>
      <c r="N2447">
        <v>0</v>
      </c>
      <c r="O2447">
        <v>3.5547759999999998E-2</v>
      </c>
      <c r="P2447">
        <v>-0.996583</v>
      </c>
      <c r="Q2447">
        <v>7.928984E-2</v>
      </c>
      <c r="R2447">
        <v>2.3140939999999999E-2</v>
      </c>
      <c r="S2447">
        <v>-3.0187680000000001</v>
      </c>
      <c r="T2447">
        <v>-0.1116968</v>
      </c>
      <c r="U2447">
        <v>1.5686039999999998E-2</v>
      </c>
      <c r="V2447">
        <v>-1.203833E-2</v>
      </c>
      <c r="W2447">
        <v>8.7772119999999995E-2</v>
      </c>
      <c r="X2447">
        <v>0.99606779999999995</v>
      </c>
      <c r="Y2447">
        <v>-3.031068E-2</v>
      </c>
      <c r="Z2447">
        <v>-1.87521E-3</v>
      </c>
      <c r="AA2447">
        <v>0.99953879999999995</v>
      </c>
      <c r="AB2447">
        <v>40</v>
      </c>
      <c r="AC2447">
        <v>-29.588199999999901</v>
      </c>
      <c r="AD2447">
        <v>-1.102620929822</v>
      </c>
      <c r="AE2447">
        <v>0.14700000000004801</v>
      </c>
      <c r="AF2447">
        <v>-0.90366994517371602</v>
      </c>
      <c r="AG2447">
        <v>-1.102620929822</v>
      </c>
      <c r="AH2447">
        <v>29.5337108854586</v>
      </c>
      <c r="AI2447">
        <v>92.137106522152195</v>
      </c>
      <c r="AJ2447">
        <v>91.752584527318803</v>
      </c>
      <c r="AK2447">
        <v>29.568098872780901</v>
      </c>
      <c r="AL2447">
        <v>84.964548142212195</v>
      </c>
      <c r="AM2447">
        <v>90.692434712888698</v>
      </c>
      <c r="AN2447">
        <v>0.99999996431766003</v>
      </c>
    </row>
    <row r="2448" spans="1:40" x14ac:dyDescent="0.3">
      <c r="A2448" t="str">
        <f>"20200111150003919"</f>
        <v>20200111150003919</v>
      </c>
      <c r="B2448" t="str">
        <f>"1578726003908832"</f>
        <v>1578726003908832</v>
      </c>
      <c r="C2448" t="s">
        <v>40</v>
      </c>
      <c r="D2448">
        <v>4.1407930000000004</v>
      </c>
      <c r="E2448">
        <v>0.49306939999999999</v>
      </c>
      <c r="F2448" t="s">
        <v>66</v>
      </c>
      <c r="G2448">
        <v>-300.26949999999999</v>
      </c>
      <c r="H2448" s="1">
        <v>4.1125939999999996E-6</v>
      </c>
      <c r="I2448">
        <v>282.37670000000003</v>
      </c>
      <c r="J2448">
        <v>-271.12939999999998</v>
      </c>
      <c r="K2448">
        <v>1.102622</v>
      </c>
      <c r="L2448">
        <v>282.26089999999999</v>
      </c>
      <c r="M2448">
        <v>-0.99930949999999996</v>
      </c>
      <c r="N2448">
        <v>0</v>
      </c>
      <c r="O2448">
        <v>3.6177590000000003E-2</v>
      </c>
      <c r="P2448">
        <v>-0.99657130000000005</v>
      </c>
      <c r="Q2448">
        <v>7.9330970000000001E-2</v>
      </c>
      <c r="R2448">
        <v>2.350474E-2</v>
      </c>
      <c r="S2448">
        <v>-3.019012</v>
      </c>
      <c r="T2448">
        <v>-0.1133782</v>
      </c>
      <c r="U2448">
        <v>1.275635E-2</v>
      </c>
      <c r="V2448">
        <v>-1.2301400000000001E-2</v>
      </c>
      <c r="W2448">
        <v>8.7825319999999998E-2</v>
      </c>
      <c r="X2448">
        <v>0.99605999999999995</v>
      </c>
      <c r="Y2448">
        <v>-3.1908039999999999E-2</v>
      </c>
      <c r="Z2448">
        <v>-1.9568900000000002E-3</v>
      </c>
      <c r="AA2448">
        <v>0.99948890000000001</v>
      </c>
      <c r="AB2448">
        <v>40</v>
      </c>
      <c r="AC2448">
        <v>-29.1401</v>
      </c>
      <c r="AD2448">
        <v>-1.102617887406</v>
      </c>
      <c r="AE2448">
        <v>0.115800000000035</v>
      </c>
      <c r="AF2448">
        <v>-0.937190396046643</v>
      </c>
      <c r="AG2448">
        <v>-1.102617887406</v>
      </c>
      <c r="AH2448">
        <v>29.0835725349638</v>
      </c>
      <c r="AI2448">
        <v>92.170035396919999</v>
      </c>
      <c r="AJ2448">
        <v>91.845663205703403</v>
      </c>
      <c r="AK2448">
        <v>29.1195515666119</v>
      </c>
      <c r="AL2448">
        <v>84.961488710731501</v>
      </c>
      <c r="AM2448">
        <v>90.707570298463494</v>
      </c>
      <c r="AN2448">
        <v>1.00000006743752</v>
      </c>
    </row>
    <row r="2449" spans="1:40" x14ac:dyDescent="0.3">
      <c r="A2449" t="str">
        <f>"20200111150003932"</f>
        <v>20200111150003932</v>
      </c>
      <c r="B2449" t="str">
        <f>"1578726003928352"</f>
        <v>1578726003928352</v>
      </c>
      <c r="C2449" t="s">
        <v>40</v>
      </c>
      <c r="D2449">
        <v>4.2522140000000004</v>
      </c>
      <c r="E2449">
        <v>0.49269249999999998</v>
      </c>
      <c r="F2449" t="s">
        <v>66</v>
      </c>
      <c r="G2449">
        <v>-300.30829999999997</v>
      </c>
      <c r="H2449" s="1">
        <v>4.1050950000000004E-6</v>
      </c>
      <c r="I2449">
        <v>282.3836</v>
      </c>
      <c r="J2449">
        <v>-271.34010000000001</v>
      </c>
      <c r="K2449">
        <v>1.1026199999999999</v>
      </c>
      <c r="L2449">
        <v>282.26900000000001</v>
      </c>
      <c r="M2449">
        <v>-0.99928729999999999</v>
      </c>
      <c r="N2449">
        <v>0</v>
      </c>
      <c r="O2449">
        <v>3.6778610000000003E-2</v>
      </c>
      <c r="P2449">
        <v>-0.99655930000000004</v>
      </c>
      <c r="Q2449">
        <v>7.9320390000000005E-2</v>
      </c>
      <c r="R2449">
        <v>2.4046109999999999E-2</v>
      </c>
      <c r="S2449">
        <v>-3.019104</v>
      </c>
      <c r="T2449">
        <v>-0.1140863</v>
      </c>
      <c r="U2449">
        <v>1.269531E-2</v>
      </c>
      <c r="V2449">
        <v>-1.235935E-2</v>
      </c>
      <c r="W2449">
        <v>8.7825799999999996E-2</v>
      </c>
      <c r="X2449">
        <v>0.99605920000000003</v>
      </c>
      <c r="Y2449">
        <v>-3.2528050000000003E-2</v>
      </c>
      <c r="Z2449">
        <v>-2.0034459999999999E-3</v>
      </c>
      <c r="AA2449">
        <v>0.99946880000000005</v>
      </c>
      <c r="AB2449">
        <v>40</v>
      </c>
      <c r="AC2449">
        <v>-28.9681999999999</v>
      </c>
      <c r="AD2449">
        <v>-1.102615894905</v>
      </c>
      <c r="AE2449">
        <v>0.114599999999995</v>
      </c>
      <c r="AF2449">
        <v>-0.949550469179964</v>
      </c>
      <c r="AG2449">
        <v>-1.102615894905</v>
      </c>
      <c r="AH2449">
        <v>28.9109295693303</v>
      </c>
      <c r="AI2449">
        <v>92.182933483924799</v>
      </c>
      <c r="AJ2449">
        <v>91.881146160376602</v>
      </c>
      <c r="AK2449">
        <v>28.947525912726899</v>
      </c>
      <c r="AL2449">
        <v>84.961460899274698</v>
      </c>
      <c r="AM2449">
        <v>90.710903782743699</v>
      </c>
      <c r="AN2449">
        <v>1.0000000272913501</v>
      </c>
    </row>
    <row r="2450" spans="1:40" x14ac:dyDescent="0.3">
      <c r="A2450" t="str">
        <f>"20200111150003945"</f>
        <v>20200111150003945</v>
      </c>
      <c r="B2450" t="str">
        <f>"1578726003938112"</f>
        <v>1578726003938112</v>
      </c>
      <c r="C2450" t="s">
        <v>40</v>
      </c>
      <c r="D2450">
        <v>4.0975720000000004</v>
      </c>
      <c r="E2450">
        <v>0.49265979999999998</v>
      </c>
      <c r="F2450" t="s">
        <v>66</v>
      </c>
      <c r="G2450">
        <v>-300.76769999999999</v>
      </c>
      <c r="H2450" s="1">
        <v>4.0241750000000003E-6</v>
      </c>
      <c r="I2450">
        <v>282.37729999999999</v>
      </c>
      <c r="J2450">
        <v>-271.58819999999997</v>
      </c>
      <c r="K2450">
        <v>1.1026180000000001</v>
      </c>
      <c r="L2450">
        <v>282.27859999999998</v>
      </c>
      <c r="M2450">
        <v>-0.99926099999999995</v>
      </c>
      <c r="N2450">
        <v>0</v>
      </c>
      <c r="O2450">
        <v>3.7483759999999998E-2</v>
      </c>
      <c r="P2450">
        <v>-0.99654690000000001</v>
      </c>
      <c r="Q2450">
        <v>7.9289079999999998E-2</v>
      </c>
      <c r="R2450">
        <v>2.465378E-2</v>
      </c>
      <c r="S2450">
        <v>-3.019104</v>
      </c>
      <c r="T2450">
        <v>-0.1131223</v>
      </c>
      <c r="U2450">
        <v>1.1108399999999999E-2</v>
      </c>
      <c r="V2450">
        <v>-1.245483E-2</v>
      </c>
      <c r="W2450">
        <v>8.7806780000000001E-2</v>
      </c>
      <c r="X2450">
        <v>0.99605969999999999</v>
      </c>
      <c r="Y2450">
        <v>-3.3758129999999997E-2</v>
      </c>
      <c r="Z2450">
        <v>-2.0359689999999999E-3</v>
      </c>
      <c r="AA2450">
        <v>0.99942799999999998</v>
      </c>
      <c r="AB2450">
        <v>40</v>
      </c>
      <c r="AC2450">
        <v>-29.179500000000001</v>
      </c>
      <c r="AD2450">
        <v>-1.102613975825</v>
      </c>
      <c r="AE2450">
        <v>9.8700000000008004E-2</v>
      </c>
      <c r="AF2450">
        <v>-0.99374741618416196</v>
      </c>
      <c r="AG2450">
        <v>-1.102613975825</v>
      </c>
      <c r="AH2450">
        <v>29.121111083879399</v>
      </c>
      <c r="AI2450">
        <v>92.167096741059694</v>
      </c>
      <c r="AJ2450">
        <v>91.954439411074006</v>
      </c>
      <c r="AK2450">
        <v>29.1589163424586</v>
      </c>
      <c r="AL2450">
        <v>84.962554953994697</v>
      </c>
      <c r="AM2450">
        <v>90.716394816004396</v>
      </c>
      <c r="AN2450">
        <v>1.0000000396841899</v>
      </c>
    </row>
    <row r="2451" spans="1:40" x14ac:dyDescent="0.3">
      <c r="A2451" t="str">
        <f>"20200111150003960"</f>
        <v>20200111150003960</v>
      </c>
      <c r="B2451" t="str">
        <f>"1578726003948848"</f>
        <v>1578726003948848</v>
      </c>
      <c r="C2451" t="s">
        <v>40</v>
      </c>
      <c r="D2451">
        <v>4.1329699999999896</v>
      </c>
      <c r="E2451">
        <v>0.4925255</v>
      </c>
      <c r="F2451" t="s">
        <v>66</v>
      </c>
      <c r="G2451">
        <v>-300.8501</v>
      </c>
      <c r="H2451" s="1">
        <v>4.0074419999999998E-6</v>
      </c>
      <c r="I2451">
        <v>282.40140000000002</v>
      </c>
      <c r="J2451">
        <v>-271.85610000000003</v>
      </c>
      <c r="K2451">
        <v>1.1026149999999999</v>
      </c>
      <c r="L2451">
        <v>282.28919999999999</v>
      </c>
      <c r="M2451">
        <v>-0.99923229999999996</v>
      </c>
      <c r="N2451">
        <v>0</v>
      </c>
      <c r="O2451">
        <v>3.8240629999999998E-2</v>
      </c>
      <c r="P2451">
        <v>-0.99654750000000003</v>
      </c>
      <c r="Q2451">
        <v>7.9064339999999997E-2</v>
      </c>
      <c r="R2451">
        <v>2.5344160000000001E-2</v>
      </c>
      <c r="S2451">
        <v>-3.019104</v>
      </c>
      <c r="T2451">
        <v>-0.1137625</v>
      </c>
      <c r="U2451">
        <v>1.266479E-2</v>
      </c>
      <c r="V2451">
        <v>-1.252061E-2</v>
      </c>
      <c r="W2451">
        <v>8.7595889999999996E-2</v>
      </c>
      <c r="X2451">
        <v>0.9960774</v>
      </c>
      <c r="Y2451">
        <v>-3.3998639999999997E-2</v>
      </c>
      <c r="Z2451">
        <v>-2.0805020000000001E-3</v>
      </c>
      <c r="AA2451">
        <v>0.99941970000000002</v>
      </c>
      <c r="AB2451">
        <v>40</v>
      </c>
      <c r="AC2451">
        <v>-28.9939999999999</v>
      </c>
      <c r="AD2451">
        <v>-1.1026109925580001</v>
      </c>
      <c r="AE2451">
        <v>0.112200000000029</v>
      </c>
      <c r="AF2451">
        <v>-0.99523179193070099</v>
      </c>
      <c r="AG2451">
        <v>-1.1026109925580001</v>
      </c>
      <c r="AH2451">
        <v>28.9352363208708</v>
      </c>
      <c r="AI2451">
        <v>92.180978315702902</v>
      </c>
      <c r="AJ2451">
        <v>91.969920349890799</v>
      </c>
      <c r="AK2451">
        <v>28.973334952421698</v>
      </c>
      <c r="AL2451">
        <v>84.974684579962599</v>
      </c>
      <c r="AM2451">
        <v>90.720165251139704</v>
      </c>
      <c r="AN2451">
        <v>0.99999999620521196</v>
      </c>
    </row>
    <row r="2452" spans="1:40" x14ac:dyDescent="0.3">
      <c r="A2452" t="str">
        <f>"20200111150003974"</f>
        <v>20200111150003974</v>
      </c>
      <c r="B2452" t="str">
        <f>"1578726003968369"</f>
        <v>1578726003968369</v>
      </c>
      <c r="C2452" t="s">
        <v>40</v>
      </c>
      <c r="D2452">
        <v>4.0487609999999998</v>
      </c>
      <c r="E2452">
        <v>0.4928651</v>
      </c>
      <c r="F2452" t="s">
        <v>66</v>
      </c>
      <c r="G2452">
        <v>-300.47980000000001</v>
      </c>
      <c r="H2452" s="1">
        <v>4.0717359999999996E-6</v>
      </c>
      <c r="I2452">
        <v>282.41739999999999</v>
      </c>
      <c r="J2452">
        <v>-272.0917</v>
      </c>
      <c r="K2452">
        <v>1.102617</v>
      </c>
      <c r="L2452">
        <v>282.2987</v>
      </c>
      <c r="M2452">
        <v>-0.99920679999999995</v>
      </c>
      <c r="N2452">
        <v>0</v>
      </c>
      <c r="O2452">
        <v>3.8900270000000001E-2</v>
      </c>
      <c r="P2452">
        <v>-0.99653530000000001</v>
      </c>
      <c r="Q2452">
        <v>7.899262E-2</v>
      </c>
      <c r="R2452">
        <v>2.6040870000000001E-2</v>
      </c>
      <c r="S2452">
        <v>-3.0192869999999998</v>
      </c>
      <c r="T2452">
        <v>-0.1163057</v>
      </c>
      <c r="U2452">
        <v>1.351929E-2</v>
      </c>
      <c r="V2452">
        <v>-1.2482200000000001E-2</v>
      </c>
      <c r="W2452">
        <v>8.7534630000000002E-2</v>
      </c>
      <c r="X2452">
        <v>0.9960833</v>
      </c>
      <c r="Y2452">
        <v>-3.4372750000000001E-2</v>
      </c>
      <c r="Z2452">
        <v>-2.1594349999999999E-3</v>
      </c>
      <c r="AA2452">
        <v>0.99940680000000004</v>
      </c>
      <c r="AB2452">
        <v>40</v>
      </c>
      <c r="AC2452">
        <v>-28.388100000000001</v>
      </c>
      <c r="AD2452">
        <v>-1.102612928264</v>
      </c>
      <c r="AE2452">
        <v>0.11869999999998899</v>
      </c>
      <c r="AF2452">
        <v>-0.98424984945958605</v>
      </c>
      <c r="AG2452">
        <v>-1.102612928264</v>
      </c>
      <c r="AH2452">
        <v>28.3284935022985</v>
      </c>
      <c r="AI2452">
        <v>92.227621272348699</v>
      </c>
      <c r="AJ2452">
        <v>91.989893564113601</v>
      </c>
      <c r="AK2452">
        <v>28.367023938818601</v>
      </c>
      <c r="AL2452">
        <v>84.978208217211801</v>
      </c>
      <c r="AM2452">
        <v>90.717951949479897</v>
      </c>
      <c r="AN2452">
        <v>1.0000000286524799</v>
      </c>
    </row>
    <row r="2453" spans="1:40" x14ac:dyDescent="0.3">
      <c r="A2453" t="str">
        <f>"20200111150003987"</f>
        <v>20200111150003987</v>
      </c>
      <c r="B2453" t="str">
        <f>"1578726003978129"</f>
        <v>1578726003978129</v>
      </c>
      <c r="C2453" t="s">
        <v>40</v>
      </c>
      <c r="D2453">
        <v>4.1224360000000004</v>
      </c>
      <c r="E2453">
        <v>0.4928651</v>
      </c>
      <c r="F2453" t="s">
        <v>41</v>
      </c>
      <c r="G2453">
        <v>-272.93290000000002</v>
      </c>
      <c r="H2453">
        <v>1.0173270000000001</v>
      </c>
      <c r="I2453">
        <v>282.30340000000001</v>
      </c>
      <c r="J2453">
        <v>-272.35129999999998</v>
      </c>
      <c r="K2453">
        <v>1.102619</v>
      </c>
      <c r="L2453">
        <v>282.30939999999998</v>
      </c>
      <c r="M2453">
        <v>-0.99917820000000002</v>
      </c>
      <c r="N2453">
        <v>0</v>
      </c>
      <c r="O2453">
        <v>3.9621169999999997E-2</v>
      </c>
      <c r="P2453">
        <v>-0.99651400000000001</v>
      </c>
      <c r="Q2453">
        <v>7.8922229999999996E-2</v>
      </c>
      <c r="R2453">
        <v>2.7039090000000002E-2</v>
      </c>
      <c r="S2453">
        <v>-3.0343930000000001</v>
      </c>
      <c r="T2453">
        <v>-0.30780780000000002</v>
      </c>
      <c r="U2453">
        <v>1.638794E-2</v>
      </c>
      <c r="V2453">
        <v>-1.220488E-2</v>
      </c>
      <c r="W2453">
        <v>8.7475239999999996E-2</v>
      </c>
      <c r="X2453">
        <v>0.99609190000000003</v>
      </c>
      <c r="Y2453">
        <v>-3.3848709999999997E-2</v>
      </c>
      <c r="Z2453">
        <v>-5.7204869999999998E-3</v>
      </c>
      <c r="AA2453">
        <v>0.99941060000000004</v>
      </c>
      <c r="AB2453">
        <v>40</v>
      </c>
      <c r="AC2453">
        <v>-0.58160000000003698</v>
      </c>
      <c r="AD2453">
        <v>-8.5291999999999896E-2</v>
      </c>
      <c r="AE2453">
        <v>-5.9999999999717996E-3</v>
      </c>
      <c r="AF2453">
        <v>-2.8428473734745802E-2</v>
      </c>
      <c r="AG2453">
        <v>-8.5291999999999896E-2</v>
      </c>
      <c r="AH2453">
        <v>0.56867665454859995</v>
      </c>
      <c r="AI2453">
        <v>98.519347568383395</v>
      </c>
      <c r="AJ2453">
        <v>92.861866638673902</v>
      </c>
      <c r="AK2453">
        <v>0.57573955988057202</v>
      </c>
      <c r="AL2453">
        <v>84.981623846501705</v>
      </c>
      <c r="AM2453">
        <v>90.701996594740805</v>
      </c>
      <c r="AN2453">
        <v>0.99999997497724002</v>
      </c>
    </row>
    <row r="2454" spans="1:40" x14ac:dyDescent="0.3">
      <c r="A2454" t="str">
        <f>"20200111150004007"</f>
        <v>20200111150004007</v>
      </c>
      <c r="B2454" t="str">
        <f>"1578726003998658"</f>
        <v>1578726003998658</v>
      </c>
      <c r="C2454" t="s">
        <v>40</v>
      </c>
      <c r="D2454">
        <v>4.0855980000000001</v>
      </c>
      <c r="E2454">
        <v>0.49281419999999998</v>
      </c>
      <c r="F2454" t="s">
        <v>41</v>
      </c>
      <c r="G2454">
        <v>-273.2894</v>
      </c>
      <c r="H2454">
        <v>1.0074449999999999</v>
      </c>
      <c r="I2454">
        <v>282.31549999999999</v>
      </c>
      <c r="J2454">
        <v>-272.69349999999997</v>
      </c>
      <c r="K2454">
        <v>1.102627</v>
      </c>
      <c r="L2454">
        <v>282.32369999999997</v>
      </c>
      <c r="M2454">
        <v>-0.99914060000000005</v>
      </c>
      <c r="N2454">
        <v>0</v>
      </c>
      <c r="O2454">
        <v>4.0557210000000003E-2</v>
      </c>
      <c r="P2454">
        <v>-0.99647269999999999</v>
      </c>
      <c r="Q2454">
        <v>7.9051899999999994E-2</v>
      </c>
      <c r="R2454">
        <v>2.8164649999999999E-2</v>
      </c>
      <c r="S2454">
        <v>-3.0343930000000001</v>
      </c>
      <c r="T2454">
        <v>-0.30795869999999997</v>
      </c>
      <c r="U2454">
        <v>1.9256590000000001E-2</v>
      </c>
      <c r="V2454">
        <v>-1.2013319999999999E-2</v>
      </c>
      <c r="W2454">
        <v>8.7619649999999993E-2</v>
      </c>
      <c r="X2454">
        <v>0.99608160000000001</v>
      </c>
      <c r="Y2454">
        <v>-3.3835089999999998E-2</v>
      </c>
      <c r="Z2454">
        <v>-5.8172469999999898E-3</v>
      </c>
      <c r="AA2454">
        <v>0.99941049999999998</v>
      </c>
      <c r="AB2454">
        <v>40</v>
      </c>
      <c r="AC2454">
        <v>-0.59590000000002796</v>
      </c>
      <c r="AD2454">
        <v>-9.5181999999999795E-2</v>
      </c>
      <c r="AE2454">
        <v>-8.1999999999879895E-3</v>
      </c>
      <c r="AF2454">
        <v>-3.1557209257636498E-2</v>
      </c>
      <c r="AG2454">
        <v>-9.5181999999999795E-2</v>
      </c>
      <c r="AH2454">
        <v>0.58027528043934296</v>
      </c>
      <c r="AI2454">
        <v>99.301715329779199</v>
      </c>
      <c r="AJ2454">
        <v>93.112859746320595</v>
      </c>
      <c r="AK2454">
        <v>0.58887593911543801</v>
      </c>
      <c r="AL2454">
        <v>84.973318190315993</v>
      </c>
      <c r="AM2454">
        <v>90.690986725821602</v>
      </c>
      <c r="AN2454">
        <v>1.0000000383910499</v>
      </c>
    </row>
    <row r="2455" spans="1:40" x14ac:dyDescent="0.3">
      <c r="A2455" t="str">
        <f>"20200111150004021"</f>
        <v>20200111150004021</v>
      </c>
      <c r="B2455" t="str">
        <f>"1578726004018177"</f>
        <v>1578726004018177</v>
      </c>
      <c r="C2455" t="s">
        <v>40</v>
      </c>
      <c r="D2455">
        <v>4.1047120000000001</v>
      </c>
      <c r="E2455">
        <v>0.4920022</v>
      </c>
      <c r="F2455" t="s">
        <v>66</v>
      </c>
      <c r="G2455">
        <v>-295.30119999999999</v>
      </c>
      <c r="H2455" s="1">
        <v>3.3312029999999998E-6</v>
      </c>
      <c r="I2455">
        <v>282.49900000000002</v>
      </c>
      <c r="J2455">
        <v>-272.94569999999999</v>
      </c>
      <c r="K2455">
        <v>1.1026339999999999</v>
      </c>
      <c r="L2455">
        <v>282.33440000000002</v>
      </c>
      <c r="M2455">
        <v>-0.99911269999999996</v>
      </c>
      <c r="N2455">
        <v>0</v>
      </c>
      <c r="O2455">
        <v>4.123785E-2</v>
      </c>
      <c r="P2455">
        <v>-0.99642839999999999</v>
      </c>
      <c r="Q2455">
        <v>7.942362E-2</v>
      </c>
      <c r="R2455">
        <v>2.8684629999999999E-2</v>
      </c>
      <c r="S2455">
        <v>-3.0216669999999999</v>
      </c>
      <c r="T2455">
        <v>-0.147373</v>
      </c>
      <c r="U2455">
        <v>2.34375E-2</v>
      </c>
      <c r="V2455">
        <v>-1.217202E-2</v>
      </c>
      <c r="W2455">
        <v>8.8001540000000003E-2</v>
      </c>
      <c r="X2455">
        <v>0.99604590000000004</v>
      </c>
      <c r="Y2455">
        <v>-3.3399789999999999E-2</v>
      </c>
      <c r="Z2455">
        <v>-2.8235880000000001E-3</v>
      </c>
      <c r="AA2455">
        <v>0.9994381</v>
      </c>
      <c r="AB2455">
        <v>40</v>
      </c>
      <c r="AC2455">
        <v>-22.355499999999999</v>
      </c>
      <c r="AD2455">
        <v>-1.102630668797</v>
      </c>
      <c r="AE2455">
        <v>0.16460000000000699</v>
      </c>
      <c r="AF2455">
        <v>-0.75562841941238801</v>
      </c>
      <c r="AG2455">
        <v>-1.102630668797</v>
      </c>
      <c r="AH2455">
        <v>22.289050096250701</v>
      </c>
      <c r="AI2455">
        <v>92.830467823564007</v>
      </c>
      <c r="AJ2455">
        <v>91.941659447054604</v>
      </c>
      <c r="AK2455">
        <v>22.329095881678001</v>
      </c>
      <c r="AL2455">
        <v>84.951352118610203</v>
      </c>
      <c r="AM2455">
        <v>90.7001390811226</v>
      </c>
      <c r="AN2455">
        <v>0.99999993201002801</v>
      </c>
    </row>
    <row r="2456" spans="1:40" x14ac:dyDescent="0.3">
      <c r="A2456" t="str">
        <f>"20200111150004034"</f>
        <v>20200111150004034</v>
      </c>
      <c r="B2456" t="str">
        <f>"1578726004028915"</f>
        <v>1578726004028915</v>
      </c>
      <c r="C2456" t="s">
        <v>40</v>
      </c>
      <c r="D2456">
        <v>4.0742419999999999</v>
      </c>
      <c r="E2456">
        <v>0.49200500000000003</v>
      </c>
      <c r="F2456" t="s">
        <v>66</v>
      </c>
      <c r="G2456">
        <v>-295.84190000000001</v>
      </c>
      <c r="H2456" s="1">
        <v>3.42921E-6</v>
      </c>
      <c r="I2456">
        <v>282.47489999999999</v>
      </c>
      <c r="J2456">
        <v>-273.2097</v>
      </c>
      <c r="K2456">
        <v>1.102644</v>
      </c>
      <c r="L2456">
        <v>282.3458</v>
      </c>
      <c r="M2456">
        <v>-0.99908350000000001</v>
      </c>
      <c r="N2456">
        <v>0</v>
      </c>
      <c r="O2456">
        <v>4.1935880000000002E-2</v>
      </c>
      <c r="P2456">
        <v>-0.99641120000000005</v>
      </c>
      <c r="Q2456">
        <v>7.9446429999999998E-2</v>
      </c>
      <c r="R2456">
        <v>2.9213050000000001E-2</v>
      </c>
      <c r="S2456">
        <v>-3.0217900000000002</v>
      </c>
      <c r="T2456">
        <v>-0.14552319999999999</v>
      </c>
      <c r="U2456">
        <v>1.8554689999999999E-2</v>
      </c>
      <c r="V2456">
        <v>-1.234154E-2</v>
      </c>
      <c r="W2456">
        <v>8.8036219999999998E-2</v>
      </c>
      <c r="X2456">
        <v>0.99604079999999995</v>
      </c>
      <c r="Y2456">
        <v>-3.5711899999999998E-2</v>
      </c>
      <c r="Z2456">
        <v>-2.8773219999999999E-3</v>
      </c>
      <c r="AA2456">
        <v>0.99935799999999997</v>
      </c>
      <c r="AB2456">
        <v>40</v>
      </c>
      <c r="AC2456">
        <v>-22.632200000000001</v>
      </c>
      <c r="AD2456">
        <v>-1.10264057079</v>
      </c>
      <c r="AE2456">
        <v>0.129099999999994</v>
      </c>
      <c r="AF2456">
        <v>-0.81820763664134699</v>
      </c>
      <c r="AG2456">
        <v>-1.10264057079</v>
      </c>
      <c r="AH2456">
        <v>22.5641458419835</v>
      </c>
      <c r="AI2456">
        <v>92.7958088824588</v>
      </c>
      <c r="AJ2456">
        <v>92.076715582164397</v>
      </c>
      <c r="AK2456">
        <v>22.605883250678598</v>
      </c>
      <c r="AL2456">
        <v>84.949357614223302</v>
      </c>
      <c r="AM2456">
        <v>90.709892577500597</v>
      </c>
      <c r="AN2456">
        <v>0.99999998245305</v>
      </c>
    </row>
    <row r="2457" spans="1:40" x14ac:dyDescent="0.3">
      <c r="A2457" t="str">
        <f>"20200111150004050"</f>
        <v>20200111150004050</v>
      </c>
      <c r="B2457" t="str">
        <f>"1578726004038674"</f>
        <v>1578726004038674</v>
      </c>
      <c r="C2457" t="s">
        <v>40</v>
      </c>
      <c r="D2457">
        <v>4.0851389999999999</v>
      </c>
      <c r="E2457">
        <v>0.4923652</v>
      </c>
      <c r="F2457" t="s">
        <v>66</v>
      </c>
      <c r="G2457">
        <v>-295.25110000000001</v>
      </c>
      <c r="H2457" s="1">
        <v>3.3229730000000001E-6</v>
      </c>
      <c r="I2457">
        <v>282.4914</v>
      </c>
      <c r="J2457">
        <v>-273.47710000000001</v>
      </c>
      <c r="K2457">
        <v>1.1026499999999999</v>
      </c>
      <c r="L2457">
        <v>282.35750000000002</v>
      </c>
      <c r="M2457">
        <v>-0.99905390000000005</v>
      </c>
      <c r="N2457">
        <v>0</v>
      </c>
      <c r="O2457">
        <v>4.2632110000000001E-2</v>
      </c>
      <c r="P2457">
        <v>-0.99641060000000004</v>
      </c>
      <c r="Q2457">
        <v>7.9386670000000006E-2</v>
      </c>
      <c r="R2457">
        <v>2.9390059999999999E-2</v>
      </c>
      <c r="S2457">
        <v>-3.0222169999999999</v>
      </c>
      <c r="T2457">
        <v>-0.15118909999999999</v>
      </c>
      <c r="U2457">
        <v>1.9958500000000001E-2</v>
      </c>
      <c r="V2457">
        <v>-1.2862139999999999E-2</v>
      </c>
      <c r="W2457">
        <v>8.7988239999999995E-2</v>
      </c>
      <c r="X2457">
        <v>0.99603850000000005</v>
      </c>
      <c r="Y2457">
        <v>-3.5936750000000003E-2</v>
      </c>
      <c r="Z2457">
        <v>-3.0291850000000002E-3</v>
      </c>
      <c r="AA2457">
        <v>0.9993495</v>
      </c>
      <c r="AB2457">
        <v>40</v>
      </c>
      <c r="AC2457">
        <v>-21.774000000000001</v>
      </c>
      <c r="AD2457">
        <v>-1.10264667702699</v>
      </c>
      <c r="AE2457">
        <v>0.13389999999998201</v>
      </c>
      <c r="AF2457">
        <v>-0.79249532028132497</v>
      </c>
      <c r="AG2457">
        <v>-1.10264667702699</v>
      </c>
      <c r="AH2457">
        <v>21.7042534680206</v>
      </c>
      <c r="AI2457">
        <v>92.906378145383599</v>
      </c>
      <c r="AJ2457">
        <v>92.091132700303405</v>
      </c>
      <c r="AK2457">
        <v>21.746689337255699</v>
      </c>
      <c r="AL2457">
        <v>84.952117612171904</v>
      </c>
      <c r="AM2457">
        <v>90.739836240146104</v>
      </c>
      <c r="AN2457">
        <v>1.0000000292529601</v>
      </c>
    </row>
    <row r="2458" spans="1:40" x14ac:dyDescent="0.3">
      <c r="A2458" t="str">
        <f>"20200111150004063"</f>
        <v>20200111150004063</v>
      </c>
      <c r="B2458" t="str">
        <f>"1578726004058193"</f>
        <v>1578726004058193</v>
      </c>
      <c r="C2458" t="s">
        <v>40</v>
      </c>
      <c r="D2458">
        <v>4.0943569999999996</v>
      </c>
      <c r="E2458">
        <v>0.4916934</v>
      </c>
      <c r="F2458" t="s">
        <v>66</v>
      </c>
      <c r="G2458">
        <v>-294.9975</v>
      </c>
      <c r="H2458" s="1">
        <v>3.2752929999999998E-6</v>
      </c>
      <c r="I2458">
        <v>282.5222</v>
      </c>
      <c r="J2458">
        <v>-273.6986</v>
      </c>
      <c r="K2458">
        <v>1.10266</v>
      </c>
      <c r="L2458">
        <v>282.36739999999998</v>
      </c>
      <c r="M2458">
        <v>-0.99902939999999996</v>
      </c>
      <c r="N2458">
        <v>0</v>
      </c>
      <c r="O2458">
        <v>4.320152E-2</v>
      </c>
      <c r="P2458">
        <v>-0.99640890000000004</v>
      </c>
      <c r="Q2458">
        <v>7.928702E-2</v>
      </c>
      <c r="R2458">
        <v>2.971414E-2</v>
      </c>
      <c r="S2458">
        <v>-3.0224609999999998</v>
      </c>
      <c r="T2458">
        <v>-0.15486240000000001</v>
      </c>
      <c r="U2458">
        <v>2.3132320000000001E-2</v>
      </c>
      <c r="V2458">
        <v>-1.310921E-2</v>
      </c>
      <c r="W2458">
        <v>8.7897520000000007E-2</v>
      </c>
      <c r="X2458">
        <v>0.99604329999999996</v>
      </c>
      <c r="Y2458">
        <v>-3.5452600000000001E-2</v>
      </c>
      <c r="Z2458">
        <v>-3.119152E-3</v>
      </c>
      <c r="AA2458">
        <v>0.99936650000000005</v>
      </c>
      <c r="AB2458">
        <v>40</v>
      </c>
      <c r="AC2458">
        <v>-21.2989</v>
      </c>
      <c r="AD2458">
        <v>-1.102656724707</v>
      </c>
      <c r="AE2458">
        <v>0.154800000000022</v>
      </c>
      <c r="AF2458">
        <v>-0.76347722531686302</v>
      </c>
      <c r="AG2458">
        <v>-1.102656724707</v>
      </c>
      <c r="AH2458">
        <v>21.228806935332798</v>
      </c>
      <c r="AI2458">
        <v>92.971440841579806</v>
      </c>
      <c r="AJ2458">
        <v>92.059709604080695</v>
      </c>
      <c r="AK2458">
        <v>21.271130511182399</v>
      </c>
      <c r="AL2458">
        <v>84.957335759097504</v>
      </c>
      <c r="AM2458">
        <v>90.754042561952204</v>
      </c>
      <c r="AN2458">
        <v>1.00000004044193</v>
      </c>
    </row>
    <row r="2459" spans="1:40" x14ac:dyDescent="0.3">
      <c r="A2459" t="str">
        <f>"20200111150004074"</f>
        <v>20200111150004074</v>
      </c>
      <c r="B2459" t="str">
        <f>"1578726004068930"</f>
        <v>1578726004068930</v>
      </c>
      <c r="C2459" t="s">
        <v>40</v>
      </c>
      <c r="D2459">
        <v>4.1010359999999997</v>
      </c>
      <c r="E2459">
        <v>0.4916934</v>
      </c>
      <c r="F2459" t="s">
        <v>66</v>
      </c>
      <c r="G2459">
        <v>-295.92410000000001</v>
      </c>
      <c r="H2459" s="1">
        <v>3.440918E-6</v>
      </c>
      <c r="I2459">
        <v>282.50790000000001</v>
      </c>
      <c r="J2459">
        <v>-273.93630000000002</v>
      </c>
      <c r="K2459">
        <v>1.1026720000000001</v>
      </c>
      <c r="L2459">
        <v>282.37810000000002</v>
      </c>
      <c r="M2459">
        <v>-0.99900339999999999</v>
      </c>
      <c r="N2459">
        <v>0</v>
      </c>
      <c r="O2459">
        <v>4.3796599999999998E-2</v>
      </c>
      <c r="P2459">
        <v>-0.99638780000000005</v>
      </c>
      <c r="Q2459">
        <v>7.9453889999999999E-2</v>
      </c>
      <c r="R2459">
        <v>2.9968539999999998E-2</v>
      </c>
      <c r="S2459">
        <v>-3.0221559999999998</v>
      </c>
      <c r="T2459">
        <v>-0.14993609999999999</v>
      </c>
      <c r="U2459">
        <v>1.9103999999999999E-2</v>
      </c>
      <c r="V2459">
        <v>-1.3450490000000001E-2</v>
      </c>
      <c r="W2459">
        <v>8.8074219999999995E-2</v>
      </c>
      <c r="X2459">
        <v>0.99602310000000005</v>
      </c>
      <c r="Y2459">
        <v>-3.7382409999999998E-2</v>
      </c>
      <c r="Z2459">
        <v>-3.0977119999999999E-3</v>
      </c>
      <c r="AA2459">
        <v>0.99929619999999997</v>
      </c>
      <c r="AB2459">
        <v>41</v>
      </c>
      <c r="AC2459">
        <v>-21.9878</v>
      </c>
      <c r="AD2459">
        <v>-1.10266855908199</v>
      </c>
      <c r="AE2459">
        <v>0.12979999999998801</v>
      </c>
      <c r="AF2459">
        <v>-0.83126060972236604</v>
      </c>
      <c r="AG2459">
        <v>-1.10266855908199</v>
      </c>
      <c r="AH2459">
        <v>21.917266922427999</v>
      </c>
      <c r="AI2459">
        <v>92.8780848722662</v>
      </c>
      <c r="AJ2459">
        <v>92.172027534790303</v>
      </c>
      <c r="AK2459">
        <v>21.9607254320394</v>
      </c>
      <c r="AL2459">
        <v>84.947171972291699</v>
      </c>
      <c r="AM2459">
        <v>90.773686341248293</v>
      </c>
      <c r="AN2459">
        <v>0.99999999982172905</v>
      </c>
    </row>
    <row r="2460" spans="1:40" x14ac:dyDescent="0.3">
      <c r="A2460" t="str">
        <f>"20200111150004087"</f>
        <v>20200111150004087</v>
      </c>
      <c r="B2460" t="str">
        <f>"1578726004078690"</f>
        <v>1578726004078690</v>
      </c>
      <c r="C2460" t="s">
        <v>40</v>
      </c>
      <c r="D2460">
        <v>6.4181689999999998</v>
      </c>
      <c r="E2460">
        <v>0.49080420000000002</v>
      </c>
      <c r="F2460" t="s">
        <v>66</v>
      </c>
      <c r="G2460">
        <v>-296.23809999999997</v>
      </c>
      <c r="H2460" s="1">
        <v>3.495163E-6</v>
      </c>
      <c r="I2460">
        <v>282.52449999999999</v>
      </c>
      <c r="J2460">
        <v>-274.16230000000002</v>
      </c>
      <c r="K2460">
        <v>1.102689</v>
      </c>
      <c r="L2460">
        <v>282.38839999999999</v>
      </c>
      <c r="M2460">
        <v>-0.9989789</v>
      </c>
      <c r="N2460">
        <v>0</v>
      </c>
      <c r="O2460">
        <v>4.4351439999999999E-2</v>
      </c>
      <c r="P2460">
        <v>-0.99639949999999999</v>
      </c>
      <c r="Q2460">
        <v>7.9231380000000004E-2</v>
      </c>
      <c r="R2460">
        <v>3.017216E-2</v>
      </c>
      <c r="S2460">
        <v>-3.022186</v>
      </c>
      <c r="T2460">
        <v>-0.14942629999999901</v>
      </c>
      <c r="U2460">
        <v>1.9836429999999999E-2</v>
      </c>
      <c r="V2460">
        <v>-1.380411E-2</v>
      </c>
      <c r="W2460">
        <v>8.7860930000000004E-2</v>
      </c>
      <c r="X2460">
        <v>0.99603710000000001</v>
      </c>
      <c r="Y2460">
        <v>-3.7694940000000003E-2</v>
      </c>
      <c r="Z2460">
        <v>-3.1222730000000001E-3</v>
      </c>
      <c r="AA2460">
        <v>0.99928439999999996</v>
      </c>
      <c r="AB2460">
        <v>41</v>
      </c>
      <c r="AC2460">
        <v>-22.075799999999902</v>
      </c>
      <c r="AD2460">
        <v>-1.1026855048369999</v>
      </c>
      <c r="AE2460">
        <v>0.136099999999999</v>
      </c>
      <c r="AF2460">
        <v>-0.84106535593567999</v>
      </c>
      <c r="AG2460">
        <v>-1.1026855048369999</v>
      </c>
      <c r="AH2460">
        <v>22.0052111525812</v>
      </c>
      <c r="AI2460">
        <v>92.866613769839802</v>
      </c>
      <c r="AJ2460">
        <v>92.188847422440901</v>
      </c>
      <c r="AK2460">
        <v>22.048868998776701</v>
      </c>
      <c r="AL2460">
        <v>84.959440152249201</v>
      </c>
      <c r="AM2460">
        <v>90.794013205814807</v>
      </c>
      <c r="AN2460">
        <v>1.0000000005248799</v>
      </c>
    </row>
    <row r="2461" spans="1:40" x14ac:dyDescent="0.3">
      <c r="A2461" t="str">
        <f>"20200111150004100"</f>
        <v>20200111150004100</v>
      </c>
      <c r="B2461" t="str">
        <f>"1578726004088449"</f>
        <v>1578726004088449</v>
      </c>
      <c r="C2461" t="s">
        <v>40</v>
      </c>
      <c r="D2461">
        <v>4.537814</v>
      </c>
      <c r="E2461">
        <v>0.49080420000000002</v>
      </c>
      <c r="F2461" t="s">
        <v>66</v>
      </c>
      <c r="G2461">
        <v>-293.03680000000003</v>
      </c>
      <c r="H2461" s="1">
        <v>2.9319790000000001E-6</v>
      </c>
      <c r="I2461">
        <v>282.47109999999998</v>
      </c>
      <c r="J2461">
        <v>-274.38420000000002</v>
      </c>
      <c r="K2461">
        <v>1.1027</v>
      </c>
      <c r="L2461">
        <v>282.39859999999999</v>
      </c>
      <c r="M2461">
        <v>-0.99895469999999997</v>
      </c>
      <c r="N2461">
        <v>0</v>
      </c>
      <c r="O2461">
        <v>4.4888999999999998E-2</v>
      </c>
      <c r="P2461">
        <v>-0.99637790000000004</v>
      </c>
      <c r="Q2461">
        <v>7.9412150000000001E-2</v>
      </c>
      <c r="R2461">
        <v>3.041568E-2</v>
      </c>
      <c r="S2461">
        <v>-3.0244749999999998</v>
      </c>
      <c r="T2461">
        <v>-0.17669579999999999</v>
      </c>
      <c r="U2461">
        <v>1.324463E-2</v>
      </c>
      <c r="V2461">
        <v>-1.409882E-2</v>
      </c>
      <c r="W2461">
        <v>8.8049989999999995E-2</v>
      </c>
      <c r="X2461">
        <v>0.99601629999999997</v>
      </c>
      <c r="Y2461">
        <v>-4.0370219999999998E-2</v>
      </c>
      <c r="Z2461">
        <v>-3.7978740000000001E-3</v>
      </c>
      <c r="AA2461">
        <v>0.9991776</v>
      </c>
      <c r="AB2461">
        <v>41</v>
      </c>
      <c r="AC2461">
        <v>-18.6526</v>
      </c>
      <c r="AD2461">
        <v>-1.102697068021</v>
      </c>
      <c r="AE2461">
        <v>7.2499999999990905E-2</v>
      </c>
      <c r="AF2461">
        <v>-0.76223693793251801</v>
      </c>
      <c r="AG2461">
        <v>-1.102697068021</v>
      </c>
      <c r="AH2461">
        <v>18.572144346211999</v>
      </c>
      <c r="AI2461">
        <v>93.395022375018399</v>
      </c>
      <c r="AJ2461">
        <v>92.350211260469493</v>
      </c>
      <c r="AK2461">
        <v>18.6204589521823</v>
      </c>
      <c r="AL2461">
        <v>84.948565784295297</v>
      </c>
      <c r="AM2461">
        <v>90.810979635024793</v>
      </c>
      <c r="AN2461">
        <v>1.0000000236650399</v>
      </c>
    </row>
    <row r="2462" spans="1:40" x14ac:dyDescent="0.3">
      <c r="A2462" t="str">
        <f>"20200111150004119"</f>
        <v>20200111150004119</v>
      </c>
      <c r="B2462" t="str">
        <f>"1578726004108948"</f>
        <v>1578726004108948</v>
      </c>
      <c r="C2462" t="s">
        <v>40</v>
      </c>
      <c r="D2462">
        <v>4.1632309999999997</v>
      </c>
      <c r="E2462">
        <v>0.49184499999999998</v>
      </c>
      <c r="F2462" t="s">
        <v>66</v>
      </c>
      <c r="G2462">
        <v>-293.31990000000002</v>
      </c>
      <c r="H2462" s="1">
        <v>2.980919E-6</v>
      </c>
      <c r="I2462">
        <v>282.48570000000001</v>
      </c>
      <c r="J2462">
        <v>-274.73250000000002</v>
      </c>
      <c r="K2462">
        <v>1.1027279999999999</v>
      </c>
      <c r="L2462">
        <v>282.41489999999999</v>
      </c>
      <c r="M2462">
        <v>-0.99891779999999997</v>
      </c>
      <c r="N2462">
        <v>0</v>
      </c>
      <c r="O2462">
        <v>4.5703510000000003E-2</v>
      </c>
      <c r="P2462">
        <v>-0.99637810000000004</v>
      </c>
      <c r="Q2462">
        <v>7.9421359999999996E-2</v>
      </c>
      <c r="R2462">
        <v>3.0377580000000001E-2</v>
      </c>
      <c r="S2462">
        <v>-3.0245359999999999</v>
      </c>
      <c r="T2462">
        <v>-0.17612949999999999</v>
      </c>
      <c r="U2462">
        <v>1.3916019999999999E-2</v>
      </c>
      <c r="V2462">
        <v>-1.4955090000000001E-2</v>
      </c>
      <c r="W2462">
        <v>8.8073250000000006E-2</v>
      </c>
      <c r="X2462">
        <v>0.99600169999999999</v>
      </c>
      <c r="Y2462">
        <v>-4.0961770000000002E-2</v>
      </c>
      <c r="Z2462">
        <v>-3.850203E-3</v>
      </c>
      <c r="AA2462">
        <v>0.99915330000000002</v>
      </c>
      <c r="AB2462">
        <v>41</v>
      </c>
      <c r="AC2462">
        <v>-18.587399999999999</v>
      </c>
      <c r="AD2462">
        <v>-1.1027250190809901</v>
      </c>
      <c r="AE2462">
        <v>7.0800000000019694E-2</v>
      </c>
      <c r="AF2462">
        <v>-0.77608353277637399</v>
      </c>
      <c r="AG2462">
        <v>-1.1027250190809901</v>
      </c>
      <c r="AH2462">
        <v>18.506077928093099</v>
      </c>
      <c r="AI2462">
        <v>93.407074246567504</v>
      </c>
      <c r="AJ2462">
        <v>92.4013878686157</v>
      </c>
      <c r="AK2462">
        <v>18.555140214997301</v>
      </c>
      <c r="AL2462">
        <v>84.947227611103798</v>
      </c>
      <c r="AM2462">
        <v>90.860238645693599</v>
      </c>
      <c r="AN2462">
        <v>0.99999996924267898</v>
      </c>
    </row>
    <row r="2463" spans="1:40" x14ac:dyDescent="0.3">
      <c r="A2463" t="str">
        <f>"20200111150004134"</f>
        <v>20200111150004134</v>
      </c>
      <c r="B2463" t="str">
        <f>"1578726004128466"</f>
        <v>1578726004128466</v>
      </c>
      <c r="C2463" t="s">
        <v>40</v>
      </c>
      <c r="D2463">
        <v>3.8647369999999999</v>
      </c>
      <c r="E2463">
        <v>0.4905427</v>
      </c>
      <c r="F2463" t="s">
        <v>66</v>
      </c>
      <c r="G2463">
        <v>-299.06450000000001</v>
      </c>
      <c r="H2463" s="1">
        <v>3.9902070000000003E-6</v>
      </c>
      <c r="I2463">
        <v>282.5967</v>
      </c>
      <c r="J2463">
        <v>-274.99799999999999</v>
      </c>
      <c r="K2463">
        <v>1.1027480000000001</v>
      </c>
      <c r="L2463">
        <v>282.42750000000001</v>
      </c>
      <c r="M2463">
        <v>-0.9988901</v>
      </c>
      <c r="N2463">
        <v>0</v>
      </c>
      <c r="O2463">
        <v>4.6303360000000002E-2</v>
      </c>
      <c r="P2463">
        <v>-0.99636190000000002</v>
      </c>
      <c r="Q2463">
        <v>7.9513739999999999E-2</v>
      </c>
      <c r="R2463">
        <v>3.067953E-2</v>
      </c>
      <c r="S2463">
        <v>-3.021118</v>
      </c>
      <c r="T2463">
        <v>-0.1369165</v>
      </c>
      <c r="U2463">
        <v>2.2583010000000001E-2</v>
      </c>
      <c r="V2463">
        <v>-1.525464E-2</v>
      </c>
      <c r="W2463">
        <v>8.8174909999999995E-2</v>
      </c>
      <c r="X2463">
        <v>0.99598819999999999</v>
      </c>
      <c r="Y2463">
        <v>-3.874971E-2</v>
      </c>
      <c r="Z2463">
        <v>-2.9743809999999999E-3</v>
      </c>
      <c r="AA2463">
        <v>0.99924449999999998</v>
      </c>
      <c r="AB2463">
        <v>41</v>
      </c>
      <c r="AC2463">
        <v>-24.066500000000001</v>
      </c>
      <c r="AD2463">
        <v>-1.1027440097929999</v>
      </c>
      <c r="AE2463">
        <v>0.169199999999989</v>
      </c>
      <c r="AF2463">
        <v>-0.94340224627024805</v>
      </c>
      <c r="AG2463">
        <v>-1.1027440097929999</v>
      </c>
      <c r="AH2463">
        <v>23.998137261423</v>
      </c>
      <c r="AI2463">
        <v>92.6289332843984</v>
      </c>
      <c r="AJ2463">
        <v>92.251222582370502</v>
      </c>
      <c r="AK2463">
        <v>24.041976710900901</v>
      </c>
      <c r="AL2463">
        <v>84.941380362356099</v>
      </c>
      <c r="AM2463">
        <v>90.877478423787807</v>
      </c>
      <c r="AN2463">
        <v>1.00000000666713</v>
      </c>
    </row>
    <row r="2464" spans="1:40" x14ac:dyDescent="0.3">
      <c r="A2464" t="str">
        <f>"20200111150004146"</f>
        <v>20200111150004146</v>
      </c>
      <c r="B2464" t="str">
        <f>"1578726004138226"</f>
        <v>1578726004138226</v>
      </c>
      <c r="C2464" t="s">
        <v>40</v>
      </c>
      <c r="D2464">
        <v>4.7551800000000002</v>
      </c>
      <c r="E2464">
        <v>0.49038369999999998</v>
      </c>
      <c r="F2464" t="s">
        <v>66</v>
      </c>
      <c r="G2464">
        <v>-301.9391</v>
      </c>
      <c r="H2464" s="1">
        <v>3.8015509999999999E-6</v>
      </c>
      <c r="I2464">
        <v>282.54700000000003</v>
      </c>
      <c r="J2464">
        <v>-275.2176</v>
      </c>
      <c r="K2464">
        <v>1.1027659999999999</v>
      </c>
      <c r="L2464">
        <v>282.43799999999999</v>
      </c>
      <c r="M2464">
        <v>-0.99886730000000001</v>
      </c>
      <c r="N2464">
        <v>0</v>
      </c>
      <c r="O2464">
        <v>4.6789270000000001E-2</v>
      </c>
      <c r="P2464">
        <v>-0.99633579999999999</v>
      </c>
      <c r="Q2464">
        <v>7.9785480000000006E-2</v>
      </c>
      <c r="R2464">
        <v>3.0811890000000001E-2</v>
      </c>
      <c r="S2464">
        <v>-3.0203859999999998</v>
      </c>
      <c r="T2464">
        <v>-0.1236293</v>
      </c>
      <c r="U2464">
        <v>1.339722E-2</v>
      </c>
      <c r="V2464">
        <v>-1.560901E-2</v>
      </c>
      <c r="W2464">
        <v>8.8454669999999999E-2</v>
      </c>
      <c r="X2464">
        <v>0.99595789999999995</v>
      </c>
      <c r="Y2464">
        <v>-4.228531E-2</v>
      </c>
      <c r="Z2464">
        <v>-2.7788859999999999E-3</v>
      </c>
      <c r="AA2464">
        <v>0.99910169999999998</v>
      </c>
      <c r="AB2464">
        <v>41</v>
      </c>
      <c r="AC2464">
        <v>-26.721499999999899</v>
      </c>
      <c r="AD2464">
        <v>-1.1027621984489999</v>
      </c>
      <c r="AE2464">
        <v>0.109000000000037</v>
      </c>
      <c r="AF2464">
        <v>-1.1395050125192201</v>
      </c>
      <c r="AG2464">
        <v>-1.1027621984489999</v>
      </c>
      <c r="AH2464">
        <v>26.6519418022285</v>
      </c>
      <c r="AI2464">
        <v>92.367183155116507</v>
      </c>
      <c r="AJ2464">
        <v>92.448192686419006</v>
      </c>
      <c r="AK2464">
        <v>26.6990741032205</v>
      </c>
      <c r="AL2464">
        <v>84.925288405185498</v>
      </c>
      <c r="AM2464">
        <v>90.897886530653693</v>
      </c>
      <c r="AN2464">
        <v>1.00000000420519</v>
      </c>
    </row>
    <row r="2465" spans="1:40" x14ac:dyDescent="0.3">
      <c r="A2465" t="str">
        <f>"20200111150004161"</f>
        <v>20200111150004161</v>
      </c>
      <c r="B2465" t="str">
        <f>"1578726004158722"</f>
        <v>1578726004158722</v>
      </c>
      <c r="C2465" t="s">
        <v>40</v>
      </c>
      <c r="D2465">
        <v>4.0954639999999998</v>
      </c>
      <c r="E2465">
        <v>0.49266529999999997</v>
      </c>
      <c r="F2465" t="s">
        <v>66</v>
      </c>
      <c r="G2465">
        <v>-302.98649999999998</v>
      </c>
      <c r="H2465" s="1">
        <v>3.6151590000000001E-6</v>
      </c>
      <c r="I2465">
        <v>282.5539</v>
      </c>
      <c r="J2465">
        <v>-275.50619999999998</v>
      </c>
      <c r="K2465">
        <v>1.1027899999999999</v>
      </c>
      <c r="L2465">
        <v>282.45190000000002</v>
      </c>
      <c r="M2465">
        <v>-0.99883789999999995</v>
      </c>
      <c r="N2465">
        <v>0</v>
      </c>
      <c r="O2465">
        <v>4.7411450000000001E-2</v>
      </c>
      <c r="P2465">
        <v>-0.99629650000000003</v>
      </c>
      <c r="Q2465">
        <v>8.002476E-2</v>
      </c>
      <c r="R2465">
        <v>3.1461339999999997E-2</v>
      </c>
      <c r="S2465">
        <v>-3.0202640000000001</v>
      </c>
      <c r="T2465">
        <v>-0.11994109999999999</v>
      </c>
      <c r="U2465">
        <v>1.260376E-2</v>
      </c>
      <c r="V2465">
        <v>-1.5583970000000001E-2</v>
      </c>
      <c r="W2465">
        <v>8.8702589999999998E-2</v>
      </c>
      <c r="X2465">
        <v>0.99593620000000005</v>
      </c>
      <c r="Y2465">
        <v>-4.3173110000000001E-2</v>
      </c>
      <c r="Z2465">
        <v>-2.7384610000000002E-3</v>
      </c>
      <c r="AA2465">
        <v>0.99906379999999995</v>
      </c>
      <c r="AB2465">
        <v>41</v>
      </c>
      <c r="AC2465">
        <v>-27.4803</v>
      </c>
      <c r="AD2465">
        <v>-1.102786384841</v>
      </c>
      <c r="AE2465">
        <v>0.101999999999975</v>
      </c>
      <c r="AF2465">
        <v>-1.19911339332387</v>
      </c>
      <c r="AG2465">
        <v>-1.102786384841</v>
      </c>
      <c r="AH2465">
        <v>27.4100894992132</v>
      </c>
      <c r="AI2465">
        <v>92.301731573235003</v>
      </c>
      <c r="AJ2465">
        <v>92.504930087511298</v>
      </c>
      <c r="AK2465">
        <v>27.458459845656201</v>
      </c>
      <c r="AL2465">
        <v>84.911027363733098</v>
      </c>
      <c r="AM2465">
        <v>90.896465903895304</v>
      </c>
      <c r="AN2465">
        <v>0.99999996203205299</v>
      </c>
    </row>
    <row r="2466" spans="1:40" x14ac:dyDescent="0.3">
      <c r="A2466" t="str">
        <f>"20200111150004174"</f>
        <v>20200111150004174</v>
      </c>
      <c r="B2466" t="str">
        <f>"1578726004168482"</f>
        <v>1578726004168482</v>
      </c>
      <c r="C2466" t="s">
        <v>40</v>
      </c>
      <c r="D2466">
        <v>4.1540239999999997</v>
      </c>
      <c r="E2466">
        <v>0.4930966</v>
      </c>
      <c r="F2466" t="s">
        <v>66</v>
      </c>
      <c r="G2466">
        <v>-302.80869999999999</v>
      </c>
      <c r="H2466" s="1">
        <v>3.6300890000000001E-6</v>
      </c>
      <c r="I2466">
        <v>282.74380000000002</v>
      </c>
      <c r="J2466">
        <v>-275.74549999999999</v>
      </c>
      <c r="K2466">
        <v>1.1028100000000001</v>
      </c>
      <c r="L2466">
        <v>282.46370000000002</v>
      </c>
      <c r="M2466">
        <v>-0.99881419999999999</v>
      </c>
      <c r="N2466">
        <v>0</v>
      </c>
      <c r="O2466">
        <v>4.7907470000000001E-2</v>
      </c>
      <c r="P2466">
        <v>-0.996251</v>
      </c>
      <c r="Q2466">
        <v>8.0386040000000006E-2</v>
      </c>
      <c r="R2466">
        <v>3.1970579999999998E-2</v>
      </c>
      <c r="S2466">
        <v>-3.0199280000000002</v>
      </c>
      <c r="T2466">
        <v>-0.1219794</v>
      </c>
      <c r="U2466">
        <v>3.22876E-2</v>
      </c>
      <c r="V2466">
        <v>-1.5571110000000001E-2</v>
      </c>
      <c r="W2466">
        <v>8.9070679999999999E-2</v>
      </c>
      <c r="X2466">
        <v>0.9959036</v>
      </c>
      <c r="Y2466">
        <v>-3.7158579999999997E-2</v>
      </c>
      <c r="Z2466">
        <v>-2.683721E-3</v>
      </c>
      <c r="AA2466">
        <v>0.99930580000000002</v>
      </c>
      <c r="AB2466">
        <v>41</v>
      </c>
      <c r="AC2466">
        <v>-27.063199999999899</v>
      </c>
      <c r="AD2466">
        <v>-1.102806369911</v>
      </c>
      <c r="AE2466">
        <v>0.28010000000000401</v>
      </c>
      <c r="AF2466">
        <v>-1.01511432799125</v>
      </c>
      <c r="AG2466">
        <v>-1.102806369911</v>
      </c>
      <c r="AH2466">
        <v>27.000712467811599</v>
      </c>
      <c r="AI2466">
        <v>92.337216712255497</v>
      </c>
      <c r="AJ2466">
        <v>92.153068632841894</v>
      </c>
      <c r="AK2466">
        <v>27.042283793308702</v>
      </c>
      <c r="AL2466">
        <v>84.889853809183293</v>
      </c>
      <c r="AM2466">
        <v>90.895755570607605</v>
      </c>
      <c r="AN2466">
        <v>1.0000000129976201</v>
      </c>
    </row>
    <row r="2467" spans="1:40" x14ac:dyDescent="0.3">
      <c r="A2467" t="str">
        <f>"20200111150004187"</f>
        <v>20200111150004187</v>
      </c>
      <c r="B2467" t="str">
        <f>"1578726004178242"</f>
        <v>1578726004178242</v>
      </c>
      <c r="C2467" t="s">
        <v>40</v>
      </c>
      <c r="D2467">
        <v>4.1164560000000003</v>
      </c>
      <c r="E2467">
        <v>0.49343789999999998</v>
      </c>
      <c r="F2467" t="s">
        <v>66</v>
      </c>
      <c r="G2467">
        <v>-302.56180000000001</v>
      </c>
      <c r="H2467" s="1">
        <v>3.669471E-6</v>
      </c>
      <c r="I2467">
        <v>282.79430000000002</v>
      </c>
      <c r="J2467">
        <v>-275.96260000000001</v>
      </c>
      <c r="K2467">
        <v>1.1028290000000001</v>
      </c>
      <c r="L2467">
        <v>282.4744</v>
      </c>
      <c r="M2467">
        <v>-0.99879280000000004</v>
      </c>
      <c r="N2467">
        <v>0</v>
      </c>
      <c r="O2467">
        <v>4.8348910000000002E-2</v>
      </c>
      <c r="P2467">
        <v>-0.99621320000000002</v>
      </c>
      <c r="Q2467">
        <v>8.0681130000000004E-2</v>
      </c>
      <c r="R2467">
        <v>3.2402930000000003E-2</v>
      </c>
      <c r="S2467">
        <v>-3.0200809999999998</v>
      </c>
      <c r="T2467">
        <v>-0.1241995</v>
      </c>
      <c r="U2467">
        <v>3.7231449999999999E-2</v>
      </c>
      <c r="V2467">
        <v>-1.558113E-2</v>
      </c>
      <c r="W2467">
        <v>8.9371800000000001E-2</v>
      </c>
      <c r="X2467">
        <v>0.99587639999999999</v>
      </c>
      <c r="Y2467">
        <v>-3.596324E-2</v>
      </c>
      <c r="Z2467">
        <v>-2.7259049999999998E-3</v>
      </c>
      <c r="AA2467">
        <v>0.99934940000000005</v>
      </c>
      <c r="AB2467">
        <v>41</v>
      </c>
      <c r="AC2467">
        <v>-26.5992</v>
      </c>
      <c r="AD2467">
        <v>-1.1028253305289999</v>
      </c>
      <c r="AE2467">
        <v>0.319900000000018</v>
      </c>
      <c r="AF2467">
        <v>-0.96490647832926402</v>
      </c>
      <c r="AG2467">
        <v>-1.1028253305289999</v>
      </c>
      <c r="AH2467">
        <v>26.537945315021499</v>
      </c>
      <c r="AI2467">
        <v>92.378075856338398</v>
      </c>
      <c r="AJ2467">
        <v>92.082328716471494</v>
      </c>
      <c r="AK2467">
        <v>26.578371089377399</v>
      </c>
      <c r="AL2467">
        <v>84.872531482750901</v>
      </c>
      <c r="AM2467">
        <v>90.896356371956301</v>
      </c>
      <c r="AN2467">
        <v>0.99999994716213703</v>
      </c>
    </row>
    <row r="2468" spans="1:40" x14ac:dyDescent="0.3">
      <c r="A2468" t="str">
        <f>"20200111150004198"</f>
        <v>20200111150004198</v>
      </c>
      <c r="B2468" t="str">
        <f>"1578726004188978"</f>
        <v>1578726004188978</v>
      </c>
      <c r="C2468" t="s">
        <v>40</v>
      </c>
      <c r="D2468">
        <v>4.245838</v>
      </c>
      <c r="E2468">
        <v>0.49348969999999998</v>
      </c>
      <c r="F2468" t="s">
        <v>66</v>
      </c>
      <c r="G2468">
        <v>-301.79559999999998</v>
      </c>
      <c r="H2468" s="1">
        <v>3.8025169999999998E-6</v>
      </c>
      <c r="I2468">
        <v>282.827</v>
      </c>
      <c r="J2468">
        <v>-276.18939999999998</v>
      </c>
      <c r="K2468">
        <v>1.102846</v>
      </c>
      <c r="L2468">
        <v>282.48570000000001</v>
      </c>
      <c r="M2468">
        <v>-0.99877070000000001</v>
      </c>
      <c r="N2468">
        <v>0</v>
      </c>
      <c r="O2468">
        <v>4.8801490000000003E-2</v>
      </c>
      <c r="P2468">
        <v>-0.99616859999999996</v>
      </c>
      <c r="Q2468">
        <v>8.1061530000000007E-2</v>
      </c>
      <c r="R2468">
        <v>3.2827589999999997E-2</v>
      </c>
      <c r="S2468">
        <v>-3.020508</v>
      </c>
      <c r="T2468">
        <v>-0.1289468</v>
      </c>
      <c r="U2468">
        <v>4.1229250000000002E-2</v>
      </c>
      <c r="V2468">
        <v>-1.560956E-2</v>
      </c>
      <c r="W2468">
        <v>8.9759329999999998E-2</v>
      </c>
      <c r="X2468">
        <v>0.99584110000000003</v>
      </c>
      <c r="Y2468">
        <v>-3.509019E-2</v>
      </c>
      <c r="Z2468">
        <v>-2.8302280000000002E-3</v>
      </c>
      <c r="AA2468">
        <v>0.99938020000000005</v>
      </c>
      <c r="AB2468">
        <v>41</v>
      </c>
      <c r="AC2468">
        <v>-25.606200000000001</v>
      </c>
      <c r="AD2468">
        <v>-1.1028421974830001</v>
      </c>
      <c r="AE2468">
        <v>0.341299999999989</v>
      </c>
      <c r="AF2468">
        <v>-0.90709225329579901</v>
      </c>
      <c r="AG2468">
        <v>-1.1028421974830001</v>
      </c>
      <c r="AH2468">
        <v>25.544967731968999</v>
      </c>
      <c r="AI2468">
        <v>92.470516433079098</v>
      </c>
      <c r="AJ2468">
        <v>92.033697210060296</v>
      </c>
      <c r="AK2468">
        <v>25.584848127277901</v>
      </c>
      <c r="AL2468">
        <v>84.850238043428803</v>
      </c>
      <c r="AM2468">
        <v>90.898023461046407</v>
      </c>
      <c r="AN2468">
        <v>0.99999994606732401</v>
      </c>
    </row>
    <row r="2469" spans="1:40" x14ac:dyDescent="0.3">
      <c r="A2469" t="str">
        <f>"20200111150004211"</f>
        <v>20200111150004211</v>
      </c>
      <c r="B2469" t="str">
        <f>"1578726004208498"</f>
        <v>1578726004208498</v>
      </c>
      <c r="C2469" t="s">
        <v>40</v>
      </c>
      <c r="D2469">
        <v>4.1133930000000003</v>
      </c>
      <c r="E2469">
        <v>0.49401420000000001</v>
      </c>
      <c r="F2469" t="s">
        <v>66</v>
      </c>
      <c r="G2469">
        <v>-300.92</v>
      </c>
      <c r="H2469" s="1">
        <v>3.9571310000000004E-6</v>
      </c>
      <c r="I2469">
        <v>282.83519999999999</v>
      </c>
      <c r="J2469">
        <v>-276.41770000000002</v>
      </c>
      <c r="K2469">
        <v>1.102867</v>
      </c>
      <c r="L2469">
        <v>282.49709999999999</v>
      </c>
      <c r="M2469">
        <v>-0.99874929999999995</v>
      </c>
      <c r="N2469">
        <v>0</v>
      </c>
      <c r="O2469">
        <v>4.9236950000000002E-2</v>
      </c>
      <c r="P2469">
        <v>-0.99612869999999998</v>
      </c>
      <c r="Q2469">
        <v>8.1337090000000001E-2</v>
      </c>
      <c r="R2469">
        <v>3.3348450000000002E-2</v>
      </c>
      <c r="S2469">
        <v>-3.0210880000000002</v>
      </c>
      <c r="T2469">
        <v>-0.1347235</v>
      </c>
      <c r="U2469">
        <v>4.2694089999999997E-2</v>
      </c>
      <c r="V2469">
        <v>-1.5525590000000001E-2</v>
      </c>
      <c r="W2469">
        <v>9.0040949999999995E-2</v>
      </c>
      <c r="X2469">
        <v>0.99581710000000001</v>
      </c>
      <c r="Y2469">
        <v>-3.503672E-2</v>
      </c>
      <c r="Z2469">
        <v>-2.974511E-3</v>
      </c>
      <c r="AA2469">
        <v>0.99938159999999998</v>
      </c>
      <c r="AB2469">
        <v>41</v>
      </c>
      <c r="AC2469">
        <v>-24.502299999999899</v>
      </c>
      <c r="AD2469">
        <v>-1.1028630428690001</v>
      </c>
      <c r="AE2469">
        <v>0.33809999999999701</v>
      </c>
      <c r="AF2469">
        <v>-0.86701800019853004</v>
      </c>
      <c r="AG2469">
        <v>-1.1028630428690001</v>
      </c>
      <c r="AH2469">
        <v>24.439722873419399</v>
      </c>
      <c r="AI2469">
        <v>92.582145221076203</v>
      </c>
      <c r="AJ2469">
        <v>92.031759867781105</v>
      </c>
      <c r="AK2469">
        <v>24.479952639528001</v>
      </c>
      <c r="AL2469">
        <v>84.834037375504593</v>
      </c>
      <c r="AM2469">
        <v>90.893214945439198</v>
      </c>
      <c r="AN2469">
        <v>1.0000000566370699</v>
      </c>
    </row>
    <row r="2470" spans="1:40" x14ac:dyDescent="0.3">
      <c r="A2470" t="str">
        <f>"20200111150004224"</f>
        <v>20200111150004224</v>
      </c>
      <c r="B2470" t="str">
        <f>"1578726004218258"</f>
        <v>1578726004218258</v>
      </c>
      <c r="C2470" t="s">
        <v>40</v>
      </c>
      <c r="D2470">
        <v>4.1379460000000003</v>
      </c>
      <c r="E2470">
        <v>0.49413820000000003</v>
      </c>
      <c r="F2470" t="s">
        <v>66</v>
      </c>
      <c r="G2470">
        <v>-300.01909999999998</v>
      </c>
      <c r="H2470" s="1">
        <v>4.113413E-6</v>
      </c>
      <c r="I2470">
        <v>282.87540000000001</v>
      </c>
      <c r="J2470">
        <v>-276.6404</v>
      </c>
      <c r="K2470">
        <v>1.1028880000000001</v>
      </c>
      <c r="L2470">
        <v>282.50839999999999</v>
      </c>
      <c r="M2470">
        <v>-0.99872879999999997</v>
      </c>
      <c r="N2470">
        <v>0</v>
      </c>
      <c r="O2470">
        <v>4.9652429999999997E-2</v>
      </c>
      <c r="P2470">
        <v>-0.99609219999999998</v>
      </c>
      <c r="Q2470">
        <v>8.1504179999999996E-2</v>
      </c>
      <c r="R2470">
        <v>3.4023030000000003E-2</v>
      </c>
      <c r="S2470">
        <v>-3.021576</v>
      </c>
      <c r="T2470">
        <v>-0.1411945</v>
      </c>
      <c r="U2470">
        <v>4.8431399999999999E-2</v>
      </c>
      <c r="V2470">
        <v>-1.5269410000000001E-2</v>
      </c>
      <c r="W2470">
        <v>9.0213810000000005E-2</v>
      </c>
      <c r="X2470">
        <v>0.99580539999999995</v>
      </c>
      <c r="Y2470">
        <v>-3.355052E-2</v>
      </c>
      <c r="Z2470">
        <v>-3.101333E-3</v>
      </c>
      <c r="AA2470">
        <v>0.99943219999999999</v>
      </c>
      <c r="AB2470">
        <v>41</v>
      </c>
      <c r="AC2470">
        <v>-23.378699999999899</v>
      </c>
      <c r="AD2470">
        <v>-1.1028838865870001</v>
      </c>
      <c r="AE2470">
        <v>0.36700000000001798</v>
      </c>
      <c r="AF2470">
        <v>-0.79254241642226597</v>
      </c>
      <c r="AG2470">
        <v>-1.1028838865870001</v>
      </c>
      <c r="AH2470">
        <v>23.316208273891998</v>
      </c>
      <c r="AI2470">
        <v>92.706577969535701</v>
      </c>
      <c r="AJ2470">
        <v>91.946794204532196</v>
      </c>
      <c r="AK2470">
        <v>23.355728304221898</v>
      </c>
      <c r="AL2470">
        <v>84.824092671874197</v>
      </c>
      <c r="AM2470">
        <v>90.878489101070997</v>
      </c>
      <c r="AN2470">
        <v>1.00000004053281</v>
      </c>
    </row>
    <row r="2471" spans="1:40" x14ac:dyDescent="0.3">
      <c r="A2471" t="str">
        <f>"20200111150004239"</f>
        <v>20200111150004239</v>
      </c>
      <c r="B2471" t="str">
        <f>"1578726004228994"</f>
        <v>1578726004228994</v>
      </c>
      <c r="C2471" t="s">
        <v>40</v>
      </c>
      <c r="D2471">
        <v>4.1366350000000001</v>
      </c>
      <c r="E2471">
        <v>0.4942724</v>
      </c>
      <c r="F2471" t="s">
        <v>66</v>
      </c>
      <c r="G2471">
        <v>-299.61489999999998</v>
      </c>
      <c r="H2471" s="1">
        <v>4.0615330000000003E-6</v>
      </c>
      <c r="I2471">
        <v>282.89749999999998</v>
      </c>
      <c r="J2471">
        <v>-276.93239999999997</v>
      </c>
      <c r="K2471">
        <v>1.102916</v>
      </c>
      <c r="L2471">
        <v>282.52330000000001</v>
      </c>
      <c r="M2471">
        <v>-0.9987026</v>
      </c>
      <c r="N2471">
        <v>0</v>
      </c>
      <c r="O2471">
        <v>5.0171729999999998E-2</v>
      </c>
      <c r="P2471">
        <v>-0.99606030000000001</v>
      </c>
      <c r="Q2471">
        <v>8.1430210000000003E-2</v>
      </c>
      <c r="R2471">
        <v>3.5114380000000001E-2</v>
      </c>
      <c r="S2471">
        <v>-3.021881</v>
      </c>
      <c r="T2471">
        <v>-0.14506469999999999</v>
      </c>
      <c r="U2471">
        <v>5.1177979999999998E-2</v>
      </c>
      <c r="V2471">
        <v>-1.470254E-2</v>
      </c>
      <c r="W2471">
        <v>9.0146379999999998E-2</v>
      </c>
      <c r="X2471">
        <v>0.99582000000000004</v>
      </c>
      <c r="Y2471">
        <v>-3.3158519999999997E-2</v>
      </c>
      <c r="Z2471">
        <v>-3.2013699999999998E-3</v>
      </c>
      <c r="AA2471">
        <v>0.99944500000000003</v>
      </c>
      <c r="AB2471">
        <v>41</v>
      </c>
      <c r="AC2471">
        <v>-22.682500000000001</v>
      </c>
      <c r="AD2471">
        <v>-1.1029119384670001</v>
      </c>
      <c r="AE2471">
        <v>0.374199999999973</v>
      </c>
      <c r="AF2471">
        <v>-0.76253241185762699</v>
      </c>
      <c r="AG2471">
        <v>-1.1029119384670001</v>
      </c>
      <c r="AH2471">
        <v>22.619242806193</v>
      </c>
      <c r="AI2471">
        <v>92.789942975168202</v>
      </c>
      <c r="AJ2471">
        <v>91.930805100196295</v>
      </c>
      <c r="AK2471">
        <v>22.6589500098451</v>
      </c>
      <c r="AL2471">
        <v>84.827971739984505</v>
      </c>
      <c r="AM2471">
        <v>90.8458680172252</v>
      </c>
      <c r="AN2471">
        <v>1.00000000345477</v>
      </c>
    </row>
    <row r="2472" spans="1:40" x14ac:dyDescent="0.3">
      <c r="A2472" t="str">
        <f>"20200111150004251"</f>
        <v>20200111150004251</v>
      </c>
      <c r="B2472" t="str">
        <f>"1578726004248514"</f>
        <v>1578726004248514</v>
      </c>
      <c r="C2472" t="s">
        <v>40</v>
      </c>
      <c r="D2472">
        <v>4.1404930000000002</v>
      </c>
      <c r="E2472">
        <v>0.4949074</v>
      </c>
      <c r="F2472" t="s">
        <v>66</v>
      </c>
      <c r="G2472">
        <v>-299.59559999999999</v>
      </c>
      <c r="H2472" s="1">
        <v>4.0547060000000001E-6</v>
      </c>
      <c r="I2472">
        <v>282.9366</v>
      </c>
      <c r="J2472">
        <v>-277.14909999999998</v>
      </c>
      <c r="K2472">
        <v>1.1029469999999999</v>
      </c>
      <c r="L2472">
        <v>282.53449999999998</v>
      </c>
      <c r="M2472">
        <v>-0.99868420000000002</v>
      </c>
      <c r="N2472">
        <v>0</v>
      </c>
      <c r="O2472">
        <v>5.0534250000000003E-2</v>
      </c>
      <c r="P2472">
        <v>-0.99603010000000003</v>
      </c>
      <c r="Q2472">
        <v>8.1453289999999998E-2</v>
      </c>
      <c r="R2472">
        <v>3.591072E-2</v>
      </c>
      <c r="S2472">
        <v>-3.021973</v>
      </c>
      <c r="T2472">
        <v>-0.1470648</v>
      </c>
      <c r="U2472">
        <v>5.5114749999999997E-2</v>
      </c>
      <c r="V2472">
        <v>-1.4272770000000001E-2</v>
      </c>
      <c r="W2472">
        <v>9.0174400000000002E-2</v>
      </c>
      <c r="X2472">
        <v>0.99582369999999998</v>
      </c>
      <c r="Y2472">
        <v>-3.2218259999999999E-2</v>
      </c>
      <c r="Z2472">
        <v>-3.24005E-3</v>
      </c>
      <c r="AA2472">
        <v>0.99947560000000002</v>
      </c>
      <c r="AB2472">
        <v>41</v>
      </c>
      <c r="AC2472">
        <v>-22.4465</v>
      </c>
      <c r="AD2472">
        <v>-1.1029429452939901</v>
      </c>
      <c r="AE2472">
        <v>0.402100000000018</v>
      </c>
      <c r="AF2472">
        <v>-0.73100964782602496</v>
      </c>
      <c r="AG2472">
        <v>-1.1029429452939901</v>
      </c>
      <c r="AH2472">
        <v>22.3841123435379</v>
      </c>
      <c r="AI2472">
        <v>92.819379954398897</v>
      </c>
      <c r="AJ2472">
        <v>91.870473423764807</v>
      </c>
      <c r="AK2472">
        <v>22.423187633650901</v>
      </c>
      <c r="AL2472">
        <v>84.826359666480002</v>
      </c>
      <c r="AM2472">
        <v>90.821142832122405</v>
      </c>
      <c r="AN2472">
        <v>0.99999998793026101</v>
      </c>
    </row>
    <row r="2473" spans="1:40" x14ac:dyDescent="0.3">
      <c r="A2473" t="str">
        <f>"20200111150004264"</f>
        <v>20200111150004264</v>
      </c>
      <c r="B2473" t="str">
        <f>"1578726004258274"</f>
        <v>1578726004258274</v>
      </c>
      <c r="C2473" t="s">
        <v>40</v>
      </c>
      <c r="D2473">
        <v>4.1177099999999998</v>
      </c>
      <c r="E2473">
        <v>0.49488470000000001</v>
      </c>
      <c r="F2473" t="s">
        <v>66</v>
      </c>
      <c r="G2473">
        <v>-301.16539999999998</v>
      </c>
      <c r="H2473" s="1">
        <v>3.8966080000000003E-6</v>
      </c>
      <c r="I2473">
        <v>283.02940000000001</v>
      </c>
      <c r="J2473">
        <v>-277.38060000000002</v>
      </c>
      <c r="K2473">
        <v>1.102975</v>
      </c>
      <c r="L2473">
        <v>282.54640000000001</v>
      </c>
      <c r="M2473">
        <v>-0.99866500000000002</v>
      </c>
      <c r="N2473">
        <v>0</v>
      </c>
      <c r="O2473">
        <v>5.0911110000000002E-2</v>
      </c>
      <c r="P2473">
        <v>-0.99601329999999999</v>
      </c>
      <c r="Q2473">
        <v>8.1294930000000001E-2</v>
      </c>
      <c r="R2473">
        <v>3.6721209999999997E-2</v>
      </c>
      <c r="S2473">
        <v>-3.0210569999999999</v>
      </c>
      <c r="T2473">
        <v>-0.13874120000000001</v>
      </c>
      <c r="U2473">
        <v>6.2255860000000003E-2</v>
      </c>
      <c r="V2473">
        <v>-1.384465E-2</v>
      </c>
      <c r="W2473">
        <v>9.0021950000000003E-2</v>
      </c>
      <c r="X2473">
        <v>0.99584349999999999</v>
      </c>
      <c r="Y2473">
        <v>-3.0240590000000001E-2</v>
      </c>
      <c r="Z2473">
        <v>-3.0295790000000001E-3</v>
      </c>
      <c r="AA2473">
        <v>0.99953809999999998</v>
      </c>
      <c r="AB2473">
        <v>41</v>
      </c>
      <c r="AC2473">
        <v>-23.784799999999901</v>
      </c>
      <c r="AD2473">
        <v>-1.102971103392</v>
      </c>
      <c r="AE2473">
        <v>0.48300000000000398</v>
      </c>
      <c r="AF2473">
        <v>-0.72702038538360603</v>
      </c>
      <c r="AG2473">
        <v>-1.102971103392</v>
      </c>
      <c r="AH2473">
        <v>23.727540403239502</v>
      </c>
      <c r="AI2473">
        <v>92.660223023896506</v>
      </c>
      <c r="AJ2473">
        <v>91.755014240522101</v>
      </c>
      <c r="AK2473">
        <v>23.764285755794202</v>
      </c>
      <c r="AL2473">
        <v>84.835129887961401</v>
      </c>
      <c r="AM2473">
        <v>90.796499564998399</v>
      </c>
      <c r="AN2473">
        <v>0.999999951153836</v>
      </c>
    </row>
    <row r="2474" spans="1:40" x14ac:dyDescent="0.3">
      <c r="A2474" t="str">
        <f>"20200111150004275"</f>
        <v>20200111150004275</v>
      </c>
      <c r="B2474" t="str">
        <f>"1578726004269010"</f>
        <v>1578726004269010</v>
      </c>
      <c r="C2474" t="s">
        <v>40</v>
      </c>
      <c r="D2474">
        <v>4.1176550000000001</v>
      </c>
      <c r="E2474">
        <v>0.49488900000000002</v>
      </c>
      <c r="F2474" t="s">
        <v>66</v>
      </c>
      <c r="G2474">
        <v>-300.64460000000003</v>
      </c>
      <c r="H2474" s="1">
        <v>3.9878899999999997E-6</v>
      </c>
      <c r="I2474">
        <v>283.04199999999997</v>
      </c>
      <c r="J2474">
        <v>-277.61759999999998</v>
      </c>
      <c r="K2474">
        <v>1.1030089999999999</v>
      </c>
      <c r="L2474">
        <v>282.55880000000002</v>
      </c>
      <c r="M2474">
        <v>-0.99864640000000005</v>
      </c>
      <c r="N2474">
        <v>0</v>
      </c>
      <c r="O2474">
        <v>5.1274409999999999E-2</v>
      </c>
      <c r="P2474">
        <v>-0.99599680000000002</v>
      </c>
      <c r="Q2474">
        <v>8.1167340000000004E-2</v>
      </c>
      <c r="R2474">
        <v>3.744492E-2</v>
      </c>
      <c r="S2474">
        <v>-3.0213009999999998</v>
      </c>
      <c r="T2474">
        <v>-0.14324339999999999</v>
      </c>
      <c r="U2474">
        <v>6.4361570000000007E-2</v>
      </c>
      <c r="V2474">
        <v>-1.3491029999999999E-2</v>
      </c>
      <c r="W2474">
        <v>8.989991E-2</v>
      </c>
      <c r="X2474">
        <v>0.99585939999999995</v>
      </c>
      <c r="Y2474">
        <v>-2.9903900000000001E-2</v>
      </c>
      <c r="Z2474">
        <v>-3.1367119999999998E-3</v>
      </c>
      <c r="AA2474">
        <v>0.99954779999999999</v>
      </c>
      <c r="AB2474">
        <v>41</v>
      </c>
      <c r="AC2474">
        <v>-23.027000000000001</v>
      </c>
      <c r="AD2474">
        <v>-1.1030050121099999</v>
      </c>
      <c r="AE2474">
        <v>0.48320000000001001</v>
      </c>
      <c r="AF2474">
        <v>-0.69657896722522605</v>
      </c>
      <c r="AG2474">
        <v>-1.1030050121099999</v>
      </c>
      <c r="AH2474">
        <v>22.9688069806095</v>
      </c>
      <c r="AI2474">
        <v>92.748076704824598</v>
      </c>
      <c r="AJ2474">
        <v>91.737086554424806</v>
      </c>
      <c r="AK2474">
        <v>23.005823967569899</v>
      </c>
      <c r="AL2474">
        <v>84.8421508463951</v>
      </c>
      <c r="AM2474">
        <v>90.776145506697006</v>
      </c>
      <c r="AN2474">
        <v>0.99999997313841404</v>
      </c>
    </row>
    <row r="2475" spans="1:40" x14ac:dyDescent="0.3">
      <c r="A2475" t="str">
        <f>"20200111150004289"</f>
        <v>20200111150004289</v>
      </c>
      <c r="B2475" t="str">
        <f>"1578726004278770"</f>
        <v>1578726004278770</v>
      </c>
      <c r="C2475" t="s">
        <v>40</v>
      </c>
      <c r="D2475">
        <v>4.1418470000000003</v>
      </c>
      <c r="E2475">
        <v>0.49496030000000002</v>
      </c>
      <c r="F2475" t="s">
        <v>66</v>
      </c>
      <c r="G2475">
        <v>-300.30290000000002</v>
      </c>
      <c r="H2475" s="1">
        <v>4.0471359999999999E-6</v>
      </c>
      <c r="I2475">
        <v>283.05759999999998</v>
      </c>
      <c r="J2475">
        <v>-277.84739999999999</v>
      </c>
      <c r="K2475">
        <v>1.1030450000000001</v>
      </c>
      <c r="L2475">
        <v>282.57089999999999</v>
      </c>
      <c r="M2475">
        <v>-0.9986294</v>
      </c>
      <c r="N2475">
        <v>0</v>
      </c>
      <c r="O2475">
        <v>5.1606119999999998E-2</v>
      </c>
      <c r="P2475">
        <v>-0.99596879999999999</v>
      </c>
      <c r="Q2475">
        <v>8.1161919999999999E-2</v>
      </c>
      <c r="R2475">
        <v>3.820262E-2</v>
      </c>
      <c r="S2475">
        <v>-3.0215450000000001</v>
      </c>
      <c r="T2475">
        <v>-0.1469135</v>
      </c>
      <c r="U2475">
        <v>6.6436770000000006E-2</v>
      </c>
      <c r="V2475">
        <v>-1.3070770000000001E-2</v>
      </c>
      <c r="W2475">
        <v>8.989991E-2</v>
      </c>
      <c r="X2475">
        <v>0.995865</v>
      </c>
      <c r="Y2475">
        <v>-2.9546780000000002E-2</v>
      </c>
      <c r="Z2475">
        <v>-3.2241129999999998E-3</v>
      </c>
      <c r="AA2475">
        <v>0.99955819999999995</v>
      </c>
      <c r="AB2475">
        <v>41</v>
      </c>
      <c r="AC2475">
        <v>-22.455500000000001</v>
      </c>
      <c r="AD2475">
        <v>-1.1030409528639999</v>
      </c>
      <c r="AE2475">
        <v>0.48669999999998398</v>
      </c>
      <c r="AF2475">
        <v>-0.67121510169625898</v>
      </c>
      <c r="AG2475">
        <v>-1.1030409528639999</v>
      </c>
      <c r="AH2475">
        <v>22.396678407129901</v>
      </c>
      <c r="AI2475">
        <v>92.818287229029593</v>
      </c>
      <c r="AJ2475">
        <v>91.716606550220305</v>
      </c>
      <c r="AK2475">
        <v>22.433867984118098</v>
      </c>
      <c r="AL2475">
        <v>84.842150822590696</v>
      </c>
      <c r="AM2475">
        <v>90.751966337721797</v>
      </c>
      <c r="AN2475">
        <v>0.99999996853569995</v>
      </c>
    </row>
    <row r="2476" spans="1:40" x14ac:dyDescent="0.3">
      <c r="A2476" t="str">
        <f>"20200111150004302"</f>
        <v>20200111150004302</v>
      </c>
      <c r="B2476" t="str">
        <f>"1578726004298290"</f>
        <v>1578726004298290</v>
      </c>
      <c r="C2476" t="s">
        <v>40</v>
      </c>
      <c r="D2476">
        <v>4.1519589999999997</v>
      </c>
      <c r="E2476">
        <v>0.49498720000000002</v>
      </c>
      <c r="F2476" t="s">
        <v>66</v>
      </c>
      <c r="G2476">
        <v>-300.07780000000002</v>
      </c>
      <c r="H2476" s="1">
        <v>4.085206E-6</v>
      </c>
      <c r="I2476">
        <v>283.07889999999998</v>
      </c>
      <c r="J2476">
        <v>-278.08800000000002</v>
      </c>
      <c r="K2476">
        <v>1.103081</v>
      </c>
      <c r="L2476">
        <v>282.58350000000002</v>
      </c>
      <c r="M2476">
        <v>-0.99861180000000005</v>
      </c>
      <c r="N2476">
        <v>0</v>
      </c>
      <c r="O2476">
        <v>5.1940069999999998E-2</v>
      </c>
      <c r="P2476">
        <v>-0.99590800000000002</v>
      </c>
      <c r="Q2476">
        <v>8.1529359999999995E-2</v>
      </c>
      <c r="R2476">
        <v>3.8990709999999998E-2</v>
      </c>
      <c r="S2476">
        <v>-3.0217290000000001</v>
      </c>
      <c r="T2476">
        <v>-0.14993419999999999</v>
      </c>
      <c r="U2476">
        <v>6.9061280000000003E-2</v>
      </c>
      <c r="V2476">
        <v>-1.262017E-2</v>
      </c>
      <c r="W2476">
        <v>9.0272229999999995E-2</v>
      </c>
      <c r="X2476">
        <v>0.99583719999999998</v>
      </c>
      <c r="Y2476">
        <v>-2.9010959999999999E-2</v>
      </c>
      <c r="Z2476">
        <v>-3.293331E-3</v>
      </c>
      <c r="AA2476">
        <v>0.99957359999999995</v>
      </c>
      <c r="AB2476">
        <v>41</v>
      </c>
      <c r="AC2476">
        <v>-21.989799999999999</v>
      </c>
      <c r="AD2476">
        <v>-1.1030769147939901</v>
      </c>
      <c r="AE2476">
        <v>0.49539999999996098</v>
      </c>
      <c r="AF2476">
        <v>-0.64583996949542899</v>
      </c>
      <c r="AG2476">
        <v>-1.1030769147939901</v>
      </c>
      <c r="AH2476">
        <v>21.930691022039198</v>
      </c>
      <c r="AI2476">
        <v>92.878209128065293</v>
      </c>
      <c r="AJ2476">
        <v>91.686823857236902</v>
      </c>
      <c r="AK2476">
        <v>21.9679106118516</v>
      </c>
      <c r="AL2476">
        <v>84.820731718533906</v>
      </c>
      <c r="AM2476">
        <v>90.726066240267997</v>
      </c>
      <c r="AN2476">
        <v>1.0000000365519199</v>
      </c>
    </row>
    <row r="2477" spans="1:40" x14ac:dyDescent="0.3">
      <c r="A2477" t="str">
        <f>"20200111150004318"</f>
        <v>20200111150004318</v>
      </c>
      <c r="B2477" t="str">
        <f>"1578726004309028"</f>
        <v>1578726004309028</v>
      </c>
      <c r="C2477" t="s">
        <v>40</v>
      </c>
      <c r="D2477">
        <v>4.218496</v>
      </c>
      <c r="E2477">
        <v>0.49486459999999999</v>
      </c>
      <c r="F2477" t="s">
        <v>66</v>
      </c>
      <c r="G2477">
        <v>-299.82940000000002</v>
      </c>
      <c r="H2477" s="1">
        <v>4.0823190000000002E-6</v>
      </c>
      <c r="I2477">
        <v>283.09500000000003</v>
      </c>
      <c r="J2477">
        <v>-278.39330000000001</v>
      </c>
      <c r="K2477">
        <v>1.1031340000000001</v>
      </c>
      <c r="L2477">
        <v>282.59969999999998</v>
      </c>
      <c r="M2477">
        <v>-0.99859169999999997</v>
      </c>
      <c r="N2477">
        <v>0</v>
      </c>
      <c r="O2477">
        <v>5.2327690000000003E-2</v>
      </c>
      <c r="P2477">
        <v>-0.99581889999999995</v>
      </c>
      <c r="Q2477">
        <v>8.2278840000000006E-2</v>
      </c>
      <c r="R2477">
        <v>3.9689710000000003E-2</v>
      </c>
      <c r="S2477">
        <v>-3.0220950000000002</v>
      </c>
      <c r="T2477">
        <v>-0.15332979999999999</v>
      </c>
      <c r="U2477">
        <v>7.1105959999999996E-2</v>
      </c>
      <c r="V2477">
        <v>-1.231257E-2</v>
      </c>
      <c r="W2477">
        <v>9.1028700000000004E-2</v>
      </c>
      <c r="X2477">
        <v>0.99577210000000005</v>
      </c>
      <c r="Y2477">
        <v>-2.8721130000000001E-2</v>
      </c>
      <c r="Z2477">
        <v>-3.3796550000000001E-3</v>
      </c>
      <c r="AA2477">
        <v>0.99958179999999996</v>
      </c>
      <c r="AB2477">
        <v>41</v>
      </c>
      <c r="AC2477">
        <v>-21.4361</v>
      </c>
      <c r="AD2477">
        <v>-1.1031299176809899</v>
      </c>
      <c r="AE2477">
        <v>0.49530000000004198</v>
      </c>
      <c r="AF2477">
        <v>-0.62546757111627405</v>
      </c>
      <c r="AG2477">
        <v>-1.1031299176809899</v>
      </c>
      <c r="AH2477">
        <v>21.376069171687899</v>
      </c>
      <c r="AI2477">
        <v>92.952914399337203</v>
      </c>
      <c r="AJ2477">
        <v>91.676006459915598</v>
      </c>
      <c r="AK2477">
        <v>21.413650752045601</v>
      </c>
      <c r="AL2477">
        <v>84.777209535218702</v>
      </c>
      <c r="AM2477">
        <v>90.7084174650808</v>
      </c>
      <c r="AN2477">
        <v>0.99999994937105097</v>
      </c>
    </row>
    <row r="2478" spans="1:40" x14ac:dyDescent="0.3">
      <c r="A2478" t="str">
        <f>"20200111150004330"</f>
        <v>20200111150004330</v>
      </c>
      <c r="B2478" t="str">
        <f>"1578726004318786"</f>
        <v>1578726004318786</v>
      </c>
      <c r="C2478" t="s">
        <v>40</v>
      </c>
      <c r="D2478">
        <v>4.1970530000000004</v>
      </c>
      <c r="E2478">
        <v>0.49489509999999998</v>
      </c>
      <c r="F2478" t="s">
        <v>66</v>
      </c>
      <c r="G2478">
        <v>-300.44209999999998</v>
      </c>
      <c r="H2478" s="1">
        <v>4.0165880000000003E-6</v>
      </c>
      <c r="I2478">
        <v>283.12470000000002</v>
      </c>
      <c r="J2478">
        <v>-278.60899999999998</v>
      </c>
      <c r="K2478">
        <v>1.1031679999999999</v>
      </c>
      <c r="L2478">
        <v>282.61110000000002</v>
      </c>
      <c r="M2478">
        <v>-0.99857850000000004</v>
      </c>
      <c r="N2478">
        <v>0</v>
      </c>
      <c r="O2478">
        <v>5.2576829999999998E-2</v>
      </c>
      <c r="P2478">
        <v>-0.99574180000000001</v>
      </c>
      <c r="Q2478">
        <v>8.3097279999999996E-2</v>
      </c>
      <c r="R2478">
        <v>3.9921520000000002E-2</v>
      </c>
      <c r="S2478">
        <v>-3.0222169999999999</v>
      </c>
      <c r="T2478">
        <v>-0.1512059</v>
      </c>
      <c r="U2478">
        <v>7.1960449999999995E-2</v>
      </c>
      <c r="V2478">
        <v>-1.2331099999999999E-2</v>
      </c>
      <c r="W2478">
        <v>9.1851589999999997E-2</v>
      </c>
      <c r="X2478">
        <v>0.99569640000000004</v>
      </c>
      <c r="Y2478">
        <v>-2.8691620000000001E-2</v>
      </c>
      <c r="Z2478">
        <v>-3.344451E-3</v>
      </c>
      <c r="AA2478">
        <v>0.99958270000000005</v>
      </c>
      <c r="AB2478">
        <v>41</v>
      </c>
      <c r="AC2478">
        <v>-21.833099999999899</v>
      </c>
      <c r="AD2478">
        <v>-1.1031639834119999</v>
      </c>
      <c r="AE2478">
        <v>0.51359999999999595</v>
      </c>
      <c r="AF2478">
        <v>-0.63345330460286697</v>
      </c>
      <c r="AG2478">
        <v>-1.1031639834119999</v>
      </c>
      <c r="AH2478">
        <v>21.774345453605399</v>
      </c>
      <c r="AI2478">
        <v>92.899098981730901</v>
      </c>
      <c r="AJ2478">
        <v>91.666363161468794</v>
      </c>
      <c r="AK2478">
        <v>21.811472985480702</v>
      </c>
      <c r="AL2478">
        <v>84.729863562456501</v>
      </c>
      <c r="AM2478">
        <v>90.709537434948103</v>
      </c>
      <c r="AN2478">
        <v>1.00000004579284</v>
      </c>
    </row>
    <row r="2479" spans="1:40" x14ac:dyDescent="0.3">
      <c r="A2479" t="str">
        <f>"20200111150004343"</f>
        <v>20200111150004343</v>
      </c>
      <c r="B2479" t="str">
        <f>"1578726004338306"</f>
        <v>1578726004338306</v>
      </c>
      <c r="C2479" t="s">
        <v>40</v>
      </c>
      <c r="D2479">
        <v>4.176946</v>
      </c>
      <c r="E2479">
        <v>0.4949943</v>
      </c>
      <c r="F2479" t="s">
        <v>66</v>
      </c>
      <c r="G2479">
        <v>-300.78050000000002</v>
      </c>
      <c r="H2479" s="1">
        <v>3.9548410000000003E-6</v>
      </c>
      <c r="I2479">
        <v>283.14440000000002</v>
      </c>
      <c r="J2479">
        <v>-278.83769999999998</v>
      </c>
      <c r="K2479">
        <v>1.103205</v>
      </c>
      <c r="L2479">
        <v>282.6234</v>
      </c>
      <c r="M2479">
        <v>-0.99856500000000004</v>
      </c>
      <c r="N2479">
        <v>0</v>
      </c>
      <c r="O2479">
        <v>5.2830009999999997E-2</v>
      </c>
      <c r="P2479">
        <v>-0.9956834</v>
      </c>
      <c r="Q2479">
        <v>8.3765489999999998E-2</v>
      </c>
      <c r="R2479">
        <v>3.9975040000000003E-2</v>
      </c>
      <c r="S2479">
        <v>-3.0224609999999998</v>
      </c>
      <c r="T2479">
        <v>-0.15038570000000001</v>
      </c>
      <c r="U2479">
        <v>7.2692870000000007E-2</v>
      </c>
      <c r="V2479">
        <v>-1.2534E-2</v>
      </c>
      <c r="W2479">
        <v>9.252581E-2</v>
      </c>
      <c r="X2479">
        <v>0.99563140000000006</v>
      </c>
      <c r="Y2479">
        <v>-2.8705680000000001E-2</v>
      </c>
      <c r="Z2479">
        <v>-3.338971E-3</v>
      </c>
      <c r="AA2479">
        <v>0.99958239999999998</v>
      </c>
      <c r="AB2479">
        <v>41</v>
      </c>
      <c r="AC2479">
        <v>-21.942799999999998</v>
      </c>
      <c r="AD2479">
        <v>-1.103201045159</v>
      </c>
      <c r="AE2479">
        <v>0.52100000000001501</v>
      </c>
      <c r="AF2479">
        <v>-0.63740031079580495</v>
      </c>
      <c r="AG2479">
        <v>-1.103201045159</v>
      </c>
      <c r="AH2479">
        <v>21.884394472896801</v>
      </c>
      <c r="AI2479">
        <v>92.884638995247599</v>
      </c>
      <c r="AJ2479">
        <v>91.668313285406299</v>
      </c>
      <c r="AK2479">
        <v>21.921451894151499</v>
      </c>
      <c r="AL2479">
        <v>84.691068182296405</v>
      </c>
      <c r="AM2479">
        <v>90.721258254937297</v>
      </c>
      <c r="AN2479">
        <v>1.0000000056690499</v>
      </c>
    </row>
    <row r="2480" spans="1:40" x14ac:dyDescent="0.3">
      <c r="A2480" t="str">
        <f>"20200111150004355"</f>
        <v>20200111150004355</v>
      </c>
      <c r="B2480" t="str">
        <f>"1578726004349043"</f>
        <v>1578726004349043</v>
      </c>
      <c r="C2480" t="s">
        <v>40</v>
      </c>
      <c r="D2480">
        <v>4.2043839999999904</v>
      </c>
      <c r="E2480">
        <v>0.4950446</v>
      </c>
      <c r="F2480" t="s">
        <v>66</v>
      </c>
      <c r="G2480">
        <v>-300.90260000000001</v>
      </c>
      <c r="H2480" s="1">
        <v>3.9318589999999999E-6</v>
      </c>
      <c r="I2480">
        <v>283.15929999999997</v>
      </c>
      <c r="J2480">
        <v>-279.08920000000001</v>
      </c>
      <c r="K2480">
        <v>1.1032500000000001</v>
      </c>
      <c r="L2480">
        <v>282.63679999999999</v>
      </c>
      <c r="M2480">
        <v>-0.99855179999999999</v>
      </c>
      <c r="N2480">
        <v>0</v>
      </c>
      <c r="O2480">
        <v>5.307717E-2</v>
      </c>
      <c r="P2480">
        <v>-0.99562030000000001</v>
      </c>
      <c r="Q2480">
        <v>8.4554779999999996E-2</v>
      </c>
      <c r="R2480">
        <v>3.9883509999999997E-2</v>
      </c>
      <c r="S2480">
        <v>-3.0227659999999998</v>
      </c>
      <c r="T2480">
        <v>-0.15113180000000001</v>
      </c>
      <c r="U2480">
        <v>7.3425290000000004E-2</v>
      </c>
      <c r="V2480">
        <v>-1.287628E-2</v>
      </c>
      <c r="W2480">
        <v>9.3321539999999994E-2</v>
      </c>
      <c r="X2480">
        <v>0.99555280000000002</v>
      </c>
      <c r="Y2480">
        <v>-2.871218E-2</v>
      </c>
      <c r="Z2480">
        <v>-3.367657E-3</v>
      </c>
      <c r="AA2480">
        <v>0.99958210000000003</v>
      </c>
      <c r="AB2480">
        <v>41</v>
      </c>
      <c r="AC2480">
        <v>-21.813400000000001</v>
      </c>
      <c r="AD2480">
        <v>-1.1032460681409999</v>
      </c>
      <c r="AE2480">
        <v>0.52249999999997898</v>
      </c>
      <c r="AF2480">
        <v>-0.63445276082324797</v>
      </c>
      <c r="AG2480">
        <v>-1.1032460681409999</v>
      </c>
      <c r="AH2480">
        <v>21.754767179304899</v>
      </c>
      <c r="AI2480">
        <v>92.901913039992806</v>
      </c>
      <c r="AJ2480">
        <v>91.670492009712007</v>
      </c>
      <c r="AK2480">
        <v>21.7919612981105</v>
      </c>
      <c r="AL2480">
        <v>84.645278288182695</v>
      </c>
      <c r="AM2480">
        <v>90.741010789058393</v>
      </c>
      <c r="AN2480">
        <v>1.0000000430012199</v>
      </c>
    </row>
    <row r="2481" spans="1:40" x14ac:dyDescent="0.3">
      <c r="A2481" t="str">
        <f>"20200111150004369"</f>
        <v>20200111150004369</v>
      </c>
      <c r="B2481" t="str">
        <f>"1578726004358802"</f>
        <v>1578726004358802</v>
      </c>
      <c r="C2481" t="s">
        <v>40</v>
      </c>
      <c r="D2481">
        <v>4.228046</v>
      </c>
      <c r="E2481">
        <v>0.4950464</v>
      </c>
      <c r="F2481" t="s">
        <v>66</v>
      </c>
      <c r="G2481">
        <v>-301.31639999999999</v>
      </c>
      <c r="H2481" s="1">
        <v>3.8570490000000004E-6</v>
      </c>
      <c r="I2481">
        <v>283.17559999999997</v>
      </c>
      <c r="J2481">
        <v>-279.32560000000001</v>
      </c>
      <c r="K2481">
        <v>1.103289</v>
      </c>
      <c r="L2481">
        <v>282.64960000000002</v>
      </c>
      <c r="M2481">
        <v>-0.99854080000000001</v>
      </c>
      <c r="N2481">
        <v>0</v>
      </c>
      <c r="O2481">
        <v>5.328567E-2</v>
      </c>
      <c r="P2481">
        <v>-0.99553320000000001</v>
      </c>
      <c r="Q2481">
        <v>8.5644860000000003E-2</v>
      </c>
      <c r="R2481">
        <v>3.9737080000000001E-2</v>
      </c>
      <c r="S2481">
        <v>-3.02298</v>
      </c>
      <c r="T2481">
        <v>-0.1500454</v>
      </c>
      <c r="U2481">
        <v>7.3272710000000005E-2</v>
      </c>
      <c r="V2481">
        <v>-1.32319E-2</v>
      </c>
      <c r="W2481">
        <v>9.4416749999999994E-2</v>
      </c>
      <c r="X2481">
        <v>0.99544480000000002</v>
      </c>
      <c r="Y2481">
        <v>-2.897392E-2</v>
      </c>
      <c r="Z2481">
        <v>-3.3600639999999998E-3</v>
      </c>
      <c r="AA2481">
        <v>0.99957450000000003</v>
      </c>
      <c r="AB2481">
        <v>41</v>
      </c>
      <c r="AC2481">
        <v>-21.990799999999901</v>
      </c>
      <c r="AD2481">
        <v>-1.103285142951</v>
      </c>
      <c r="AE2481">
        <v>0.52599999999995295</v>
      </c>
      <c r="AF2481">
        <v>-0.644964429816694</v>
      </c>
      <c r="AG2481">
        <v>-1.103285142951</v>
      </c>
      <c r="AH2481">
        <v>21.932411197168101</v>
      </c>
      <c r="AI2481">
        <v>92.878529699908199</v>
      </c>
      <c r="AJ2481">
        <v>91.684406371896003</v>
      </c>
      <c r="AK2481">
        <v>21.969612607964901</v>
      </c>
      <c r="AL2481">
        <v>84.582248720220406</v>
      </c>
      <c r="AM2481">
        <v>90.761556420225304</v>
      </c>
      <c r="AN2481">
        <v>0.99999997785260597</v>
      </c>
    </row>
    <row r="2482" spans="1:40" x14ac:dyDescent="0.3">
      <c r="A2482" t="str">
        <f>"20200111150004386"</f>
        <v>20200111150004386</v>
      </c>
      <c r="B2482" t="str">
        <f>"1578726004378324"</f>
        <v>1578726004378324</v>
      </c>
      <c r="C2482" t="s">
        <v>40</v>
      </c>
      <c r="D2482">
        <v>4.250432</v>
      </c>
      <c r="E2482">
        <v>0.49512040000000002</v>
      </c>
      <c r="F2482" t="s">
        <v>66</v>
      </c>
      <c r="G2482">
        <v>-301.88830000000002</v>
      </c>
      <c r="H2482" s="1">
        <v>3.7541530000000002E-6</v>
      </c>
      <c r="I2482">
        <v>283.19209999999998</v>
      </c>
      <c r="J2482">
        <v>-279.64449999999999</v>
      </c>
      <c r="K2482">
        <v>1.103348</v>
      </c>
      <c r="L2482">
        <v>282.66669999999999</v>
      </c>
      <c r="M2482">
        <v>-0.99852739999999995</v>
      </c>
      <c r="N2482">
        <v>0</v>
      </c>
      <c r="O2482">
        <v>5.3534310000000002E-2</v>
      </c>
      <c r="P2482">
        <v>-0.99542310000000001</v>
      </c>
      <c r="Q2482">
        <v>8.7414790000000006E-2</v>
      </c>
      <c r="R2482">
        <v>3.8624930000000002E-2</v>
      </c>
      <c r="S2482">
        <v>-3.023285</v>
      </c>
      <c r="T2482">
        <v>-0.1478341</v>
      </c>
      <c r="U2482">
        <v>7.2692870000000007E-2</v>
      </c>
      <c r="V2482">
        <v>-1.459452E-2</v>
      </c>
      <c r="W2482">
        <v>9.6195320000000001E-2</v>
      </c>
      <c r="X2482">
        <v>0.99525549999999996</v>
      </c>
      <c r="Y2482">
        <v>-2.9419009999999999E-2</v>
      </c>
      <c r="Z2482">
        <v>-3.3332869999999999E-3</v>
      </c>
      <c r="AA2482">
        <v>0.99956160000000005</v>
      </c>
      <c r="AB2482">
        <v>41</v>
      </c>
      <c r="AC2482">
        <v>-22.2438</v>
      </c>
      <c r="AD2482">
        <v>-1.103344245847</v>
      </c>
      <c r="AE2482">
        <v>0.52539999999998999</v>
      </c>
      <c r="AF2482">
        <v>-0.66457168022031399</v>
      </c>
      <c r="AG2482">
        <v>-1.103344245847</v>
      </c>
      <c r="AH2482">
        <v>22.1854736770401</v>
      </c>
      <c r="AI2482">
        <v>92.845855525347801</v>
      </c>
      <c r="AJ2482">
        <v>91.715797013900996</v>
      </c>
      <c r="AK2482">
        <v>22.2228320948891</v>
      </c>
      <c r="AL2482">
        <v>84.479878421411399</v>
      </c>
      <c r="AM2482">
        <v>90.840130468842702</v>
      </c>
      <c r="AN2482">
        <v>1.0000000249420899</v>
      </c>
    </row>
    <row r="2483" spans="1:40" x14ac:dyDescent="0.3">
      <c r="A2483" t="str">
        <f>"20200111150004398"</f>
        <v>20200111150004398</v>
      </c>
      <c r="B2483" t="str">
        <f>"1578726004388082"</f>
        <v>1578726004388082</v>
      </c>
      <c r="C2483" t="s">
        <v>40</v>
      </c>
      <c r="D2483">
        <v>4.2190529999999997</v>
      </c>
      <c r="E2483">
        <v>0.49514550000000002</v>
      </c>
      <c r="F2483" t="s">
        <v>66</v>
      </c>
      <c r="G2483">
        <v>-303.12540000000001</v>
      </c>
      <c r="H2483" s="1">
        <v>3.5335659999999998E-6</v>
      </c>
      <c r="I2483">
        <v>283.20519999999999</v>
      </c>
      <c r="J2483">
        <v>-279.87090000000001</v>
      </c>
      <c r="K2483">
        <v>1.10338799999999</v>
      </c>
      <c r="L2483">
        <v>282.67899999999997</v>
      </c>
      <c r="M2483">
        <v>-0.99851920000000005</v>
      </c>
      <c r="N2483">
        <v>0</v>
      </c>
      <c r="O2483">
        <v>5.3686749999999998E-2</v>
      </c>
      <c r="P2483">
        <v>-0.99536690000000005</v>
      </c>
      <c r="Q2483">
        <v>8.8348060000000006E-2</v>
      </c>
      <c r="R2483">
        <v>3.7942910000000003E-2</v>
      </c>
      <c r="S2483">
        <v>-3.02359</v>
      </c>
      <c r="T2483">
        <v>-0.14207539999999999</v>
      </c>
      <c r="U2483">
        <v>6.9335939999999999E-2</v>
      </c>
      <c r="V2483">
        <v>-1.543215E-2</v>
      </c>
      <c r="W2483">
        <v>9.7134100000000001E-2</v>
      </c>
      <c r="X2483">
        <v>0.99515160000000003</v>
      </c>
      <c r="Y2483">
        <v>-3.0689170000000002E-2</v>
      </c>
      <c r="Z2483">
        <v>-3.240298E-3</v>
      </c>
      <c r="AA2483">
        <v>0.99952370000000001</v>
      </c>
      <c r="AB2483">
        <v>42</v>
      </c>
      <c r="AC2483">
        <v>-23.2545</v>
      </c>
      <c r="AD2483">
        <v>-1.10338446643399</v>
      </c>
      <c r="AE2483">
        <v>0.52619999999996003</v>
      </c>
      <c r="AF2483">
        <v>-0.72144223860277501</v>
      </c>
      <c r="AG2483">
        <v>-1.10338446643399</v>
      </c>
      <c r="AH2483">
        <v>23.197013970194298</v>
      </c>
      <c r="AI2483">
        <v>92.721952769082407</v>
      </c>
      <c r="AJ2483">
        <v>91.781361856524796</v>
      </c>
      <c r="AK2483">
        <v>23.2344441146716</v>
      </c>
      <c r="AL2483">
        <v>84.425836771445603</v>
      </c>
      <c r="AM2483">
        <v>90.888433679399995</v>
      </c>
      <c r="AN2483">
        <v>0.99999994580949403</v>
      </c>
    </row>
    <row r="2484" spans="1:40" x14ac:dyDescent="0.3">
      <c r="A2484" t="str">
        <f>"20200111150004412"</f>
        <v>20200111150004412</v>
      </c>
      <c r="B2484" t="str">
        <f>"1578726004408423"</f>
        <v>1578726004408423</v>
      </c>
      <c r="C2484" t="s">
        <v>40</v>
      </c>
      <c r="D2484">
        <v>4.2641960000000001</v>
      </c>
      <c r="E2484">
        <v>0.49486249999999998</v>
      </c>
      <c r="F2484" t="s">
        <v>66</v>
      </c>
      <c r="G2484">
        <v>-303.6275</v>
      </c>
      <c r="H2484" s="1">
        <v>3.4442119999999999E-6</v>
      </c>
      <c r="I2484">
        <v>283.20859999999999</v>
      </c>
      <c r="J2484">
        <v>-280.12630000000001</v>
      </c>
      <c r="K2484">
        <v>1.103434</v>
      </c>
      <c r="L2484">
        <v>282.69279999999998</v>
      </c>
      <c r="M2484">
        <v>-0.99851160000000005</v>
      </c>
      <c r="N2484">
        <v>0</v>
      </c>
      <c r="O2484">
        <v>5.3824230000000001E-2</v>
      </c>
      <c r="P2484">
        <v>-0.99533300000000002</v>
      </c>
      <c r="Q2484">
        <v>8.9054640000000004E-2</v>
      </c>
      <c r="R2484">
        <v>3.7173030000000003E-2</v>
      </c>
      <c r="S2484">
        <v>-3.0238649999999998</v>
      </c>
      <c r="T2484">
        <v>-0.14044489999999901</v>
      </c>
      <c r="U2484">
        <v>6.7413329999999994E-2</v>
      </c>
      <c r="V2484">
        <v>-1.634588E-2</v>
      </c>
      <c r="W2484">
        <v>9.7846870000000002E-2</v>
      </c>
      <c r="X2484">
        <v>0.99506719999999904</v>
      </c>
      <c r="Y2484">
        <v>-3.1465199999999999E-2</v>
      </c>
      <c r="Z2484">
        <v>-3.2272759999999998E-3</v>
      </c>
      <c r="AA2484">
        <v>0.99949960000000004</v>
      </c>
      <c r="AB2484">
        <v>42</v>
      </c>
      <c r="AC2484">
        <v>-23.501199999999901</v>
      </c>
      <c r="AD2484">
        <v>-1.103430555788</v>
      </c>
      <c r="AE2484">
        <v>0.51580000000001203</v>
      </c>
      <c r="AF2484">
        <v>-0.74828199224504999</v>
      </c>
      <c r="AG2484">
        <v>-1.103430555788</v>
      </c>
      <c r="AH2484">
        <v>23.443238513967401</v>
      </c>
      <c r="AI2484">
        <v>92.693449463635105</v>
      </c>
      <c r="AJ2484">
        <v>91.828196598653705</v>
      </c>
      <c r="AK2484">
        <v>23.481118307144701</v>
      </c>
      <c r="AL2484">
        <v>84.384802696336493</v>
      </c>
      <c r="AM2484">
        <v>90.941108007036306</v>
      </c>
      <c r="AN2484">
        <v>0.99999996513880396</v>
      </c>
    </row>
    <row r="2485" spans="1:40" x14ac:dyDescent="0.3">
      <c r="A2485" t="str">
        <f>"20200111150004425"</f>
        <v>20200111150004425</v>
      </c>
      <c r="B2485" t="str">
        <f>"1578726004418184"</f>
        <v>1578726004418184</v>
      </c>
      <c r="C2485" t="s">
        <v>40</v>
      </c>
      <c r="D2485">
        <v>4.3187740000000003</v>
      </c>
      <c r="E2485">
        <v>0.494722</v>
      </c>
      <c r="F2485" t="s">
        <v>66</v>
      </c>
      <c r="G2485">
        <v>-303.62169999999998</v>
      </c>
      <c r="H2485" s="1">
        <v>3.4478190000000002E-6</v>
      </c>
      <c r="I2485">
        <v>283.17899999999997</v>
      </c>
      <c r="J2485">
        <v>-280.37090000000001</v>
      </c>
      <c r="K2485">
        <v>1.103477</v>
      </c>
      <c r="L2485">
        <v>282.70609999999999</v>
      </c>
      <c r="M2485">
        <v>-0.99850530000000004</v>
      </c>
      <c r="N2485">
        <v>0</v>
      </c>
      <c r="O2485">
        <v>5.3937760000000001E-2</v>
      </c>
      <c r="P2485">
        <v>-0.99531729999999996</v>
      </c>
      <c r="Q2485">
        <v>8.9481630000000006E-2</v>
      </c>
      <c r="R2485">
        <v>3.6558239999999999E-2</v>
      </c>
      <c r="S2485">
        <v>-3.0244450000000001</v>
      </c>
      <c r="T2485">
        <v>-0.1420391</v>
      </c>
      <c r="U2485">
        <v>6.2591549999999996E-2</v>
      </c>
      <c r="V2485">
        <v>-1.7081550000000001E-2</v>
      </c>
      <c r="W2485">
        <v>9.8280140000000002E-2</v>
      </c>
      <c r="X2485">
        <v>0.99501220000000001</v>
      </c>
      <c r="Y2485">
        <v>-3.3171739999999998E-2</v>
      </c>
      <c r="Z2485">
        <v>-3.308694E-3</v>
      </c>
      <c r="AA2485">
        <v>0.9994442</v>
      </c>
      <c r="AB2485">
        <v>42</v>
      </c>
      <c r="AC2485">
        <v>-23.250799999999899</v>
      </c>
      <c r="AD2485">
        <v>-1.103473552181</v>
      </c>
      <c r="AE2485">
        <v>0.47290000000003801</v>
      </c>
      <c r="AF2485">
        <v>-0.78017681058051003</v>
      </c>
      <c r="AG2485">
        <v>-1.103473552181</v>
      </c>
      <c r="AH2485">
        <v>23.190246902294302</v>
      </c>
      <c r="AI2485">
        <v>92.722741887399906</v>
      </c>
      <c r="AJ2485">
        <v>91.926843892446598</v>
      </c>
      <c r="AK2485">
        <v>23.2295906362015</v>
      </c>
      <c r="AL2485">
        <v>84.359858243129295</v>
      </c>
      <c r="AM2485">
        <v>90.983510146516096</v>
      </c>
      <c r="AN2485">
        <v>1.0000000217088301</v>
      </c>
    </row>
    <row r="2486" spans="1:40" x14ac:dyDescent="0.3">
      <c r="A2486" t="str">
        <f>"20200111150004441"</f>
        <v>20200111150004441</v>
      </c>
      <c r="B2486" t="str">
        <f>"1578726004438680"</f>
        <v>1578726004438680</v>
      </c>
      <c r="C2486" t="s">
        <v>40</v>
      </c>
      <c r="D2486">
        <v>4.1338210000000002</v>
      </c>
      <c r="E2486">
        <v>0.49456869999999997</v>
      </c>
      <c r="F2486" t="s">
        <v>66</v>
      </c>
      <c r="G2486">
        <v>-303.77089999999998</v>
      </c>
      <c r="H2486" s="1">
        <v>3.4225470000000001E-6</v>
      </c>
      <c r="I2486">
        <v>283.16550000000001</v>
      </c>
      <c r="J2486">
        <v>-280.65449999999998</v>
      </c>
      <c r="K2486">
        <v>1.1035280000000001</v>
      </c>
      <c r="L2486">
        <v>282.72149999999999</v>
      </c>
      <c r="M2486">
        <v>-0.99849960000000004</v>
      </c>
      <c r="N2486">
        <v>0</v>
      </c>
      <c r="O2486">
        <v>5.4043710000000002E-2</v>
      </c>
      <c r="P2486">
        <v>-0.99534089999999997</v>
      </c>
      <c r="Q2486">
        <v>8.9754689999999998E-2</v>
      </c>
      <c r="R2486">
        <v>3.5225329999999999E-2</v>
      </c>
      <c r="S2486">
        <v>-3.02475</v>
      </c>
      <c r="T2486">
        <v>-0.1426384</v>
      </c>
      <c r="U2486">
        <v>5.9387210000000003E-2</v>
      </c>
      <c r="V2486">
        <v>-1.8531430000000002E-2</v>
      </c>
      <c r="W2486">
        <v>9.8560110000000006E-2</v>
      </c>
      <c r="X2486">
        <v>0.99495849999999997</v>
      </c>
      <c r="Y2486">
        <v>-3.433601E-2</v>
      </c>
      <c r="Z2486">
        <v>-3.3547809999999998E-3</v>
      </c>
      <c r="AA2486">
        <v>0.99940469999999904</v>
      </c>
      <c r="AB2486">
        <v>42</v>
      </c>
      <c r="AC2486">
        <v>-23.116399999999999</v>
      </c>
      <c r="AD2486">
        <v>-1.103524577453</v>
      </c>
      <c r="AE2486">
        <v>0.44400000000001599</v>
      </c>
      <c r="AF2486">
        <v>-0.80416163859112799</v>
      </c>
      <c r="AG2486">
        <v>-1.103524577453</v>
      </c>
      <c r="AH2486">
        <v>23.054092331483002</v>
      </c>
      <c r="AI2486">
        <v>92.738808138623</v>
      </c>
      <c r="AJ2486">
        <v>91.997753547899293</v>
      </c>
      <c r="AK2486">
        <v>23.0944931891256</v>
      </c>
      <c r="AL2486">
        <v>84.343738550371498</v>
      </c>
      <c r="AM2486">
        <v>91.067029404285506</v>
      </c>
      <c r="AN2486">
        <v>0.99999996295165205</v>
      </c>
    </row>
    <row r="2487" spans="1:40" x14ac:dyDescent="0.3">
      <c r="A2487" t="str">
        <f>"20200111150004452"</f>
        <v>20200111150004452</v>
      </c>
      <c r="B2487" t="str">
        <f>"1578726004448441"</f>
        <v>1578726004448441</v>
      </c>
      <c r="C2487" t="s">
        <v>40</v>
      </c>
      <c r="D2487">
        <v>4.2515919999999996</v>
      </c>
      <c r="E2487">
        <v>0.49451420000000001</v>
      </c>
      <c r="F2487" t="s">
        <v>66</v>
      </c>
      <c r="G2487">
        <v>-304.03019999999998</v>
      </c>
      <c r="H2487" s="1">
        <v>3.3792219999999999E-6</v>
      </c>
      <c r="I2487">
        <v>283.13490000000002</v>
      </c>
      <c r="J2487">
        <v>-280.88139999999999</v>
      </c>
      <c r="K2487">
        <v>1.1035699999999999</v>
      </c>
      <c r="L2487">
        <v>282.73379999999997</v>
      </c>
      <c r="M2487">
        <v>-0.99849659999999996</v>
      </c>
      <c r="N2487">
        <v>0</v>
      </c>
      <c r="O2487">
        <v>5.4097909999999999E-2</v>
      </c>
      <c r="P2487">
        <v>-0.99534610000000001</v>
      </c>
      <c r="Q2487">
        <v>8.9880230000000005E-2</v>
      </c>
      <c r="R2487">
        <v>3.4753249999999999E-2</v>
      </c>
      <c r="S2487">
        <v>-3.024994</v>
      </c>
      <c r="T2487">
        <v>-0.1428046</v>
      </c>
      <c r="U2487">
        <v>5.3497309999999999E-2</v>
      </c>
      <c r="V2487">
        <v>-1.9065869999999999E-2</v>
      </c>
      <c r="W2487">
        <v>9.8691070000000006E-2</v>
      </c>
      <c r="X2487">
        <v>0.99493549999999997</v>
      </c>
      <c r="Y2487">
        <v>-3.633451E-2</v>
      </c>
      <c r="Z2487">
        <v>-3.4082040000000002E-3</v>
      </c>
      <c r="AA2487">
        <v>0.9993339</v>
      </c>
      <c r="AB2487">
        <v>42</v>
      </c>
      <c r="AC2487">
        <v>-23.148799999999898</v>
      </c>
      <c r="AD2487">
        <v>-1.1035666207779999</v>
      </c>
      <c r="AE2487">
        <v>0.40110000000004198</v>
      </c>
      <c r="AF2487">
        <v>-0.849906921316258</v>
      </c>
      <c r="AG2487">
        <v>-1.1035666207779999</v>
      </c>
      <c r="AH2487">
        <v>23.084151233769401</v>
      </c>
      <c r="AI2487">
        <v>92.735161952972206</v>
      </c>
      <c r="AJ2487">
        <v>92.108550306419701</v>
      </c>
      <c r="AK2487">
        <v>23.126137577315799</v>
      </c>
      <c r="AL2487">
        <v>84.336198782086299</v>
      </c>
      <c r="AM2487">
        <v>91.097820107741299</v>
      </c>
      <c r="AN2487">
        <v>1.0000000419284201</v>
      </c>
    </row>
    <row r="2488" spans="1:40" x14ac:dyDescent="0.3">
      <c r="A2488" t="str">
        <f>"20200111150004465"</f>
        <v>20200111150004465</v>
      </c>
      <c r="B2488" t="str">
        <f>"1578726004458200"</f>
        <v>1578726004458200</v>
      </c>
      <c r="C2488" t="s">
        <v>40</v>
      </c>
      <c r="D2488">
        <v>4.2576269999999896</v>
      </c>
      <c r="E2488">
        <v>0.49440679999999998</v>
      </c>
      <c r="F2488" t="s">
        <v>66</v>
      </c>
      <c r="G2488">
        <v>-304.10289999999998</v>
      </c>
      <c r="H2488" s="1">
        <v>3.367079E-6</v>
      </c>
      <c r="I2488">
        <v>283.12619999999998</v>
      </c>
      <c r="J2488">
        <v>-281.0958</v>
      </c>
      <c r="K2488">
        <v>1.103607</v>
      </c>
      <c r="L2488">
        <v>282.74549999999999</v>
      </c>
      <c r="M2488">
        <v>-0.9984944</v>
      </c>
      <c r="N2488">
        <v>0</v>
      </c>
      <c r="O2488">
        <v>5.4138289999999999E-2</v>
      </c>
      <c r="P2488">
        <v>-0.99533490000000002</v>
      </c>
      <c r="Q2488">
        <v>9.0161060000000001E-2</v>
      </c>
      <c r="R2488">
        <v>3.4346179999999997E-2</v>
      </c>
      <c r="S2488">
        <v>-3.0252690000000002</v>
      </c>
      <c r="T2488">
        <v>-0.14377110000000001</v>
      </c>
      <c r="U2488">
        <v>5.111694E-2</v>
      </c>
      <c r="V2488">
        <v>-1.9520280000000001E-2</v>
      </c>
      <c r="W2488">
        <v>9.8976720000000004E-2</v>
      </c>
      <c r="X2488">
        <v>0.99489830000000001</v>
      </c>
      <c r="Y2488">
        <v>-3.7160260000000001E-2</v>
      </c>
      <c r="Z2488">
        <v>-3.4524960000000002E-3</v>
      </c>
      <c r="AA2488">
        <v>0.99930330000000001</v>
      </c>
      <c r="AB2488">
        <v>42</v>
      </c>
      <c r="AC2488">
        <v>-23.007099999999902</v>
      </c>
      <c r="AD2488">
        <v>-1.1036036329209999</v>
      </c>
      <c r="AE2488">
        <v>0.38069999999998999</v>
      </c>
      <c r="AF2488">
        <v>-0.86348570654948698</v>
      </c>
      <c r="AG2488">
        <v>-1.1036036329209999</v>
      </c>
      <c r="AH2488">
        <v>22.941195970233998</v>
      </c>
      <c r="AI2488">
        <v>92.752187911606299</v>
      </c>
      <c r="AJ2488">
        <v>92.155543382717596</v>
      </c>
      <c r="AK2488">
        <v>22.983951381098301</v>
      </c>
      <c r="AL2488">
        <v>84.319751648952604</v>
      </c>
      <c r="AM2488">
        <v>91.124020591306703</v>
      </c>
      <c r="AN2488">
        <v>1.00000002988806</v>
      </c>
    </row>
    <row r="2489" spans="1:40" x14ac:dyDescent="0.3">
      <c r="A2489" t="str">
        <f>"20200111150004476"</f>
        <v>20200111150004476</v>
      </c>
      <c r="B2489" t="str">
        <f>"1578726004468935"</f>
        <v>1578726004468935</v>
      </c>
      <c r="C2489" t="s">
        <v>40</v>
      </c>
      <c r="D2489">
        <v>4.2663460000000004</v>
      </c>
      <c r="E2489">
        <v>0.49436910000000001</v>
      </c>
      <c r="F2489" t="s">
        <v>66</v>
      </c>
      <c r="G2489">
        <v>-304.20150000000001</v>
      </c>
      <c r="H2489" s="1">
        <v>3.3502539999999999E-6</v>
      </c>
      <c r="I2489">
        <v>283.11860000000001</v>
      </c>
      <c r="J2489">
        <v>-281.32479999999998</v>
      </c>
      <c r="K2489">
        <v>1.103647</v>
      </c>
      <c r="L2489">
        <v>282.75790000000001</v>
      </c>
      <c r="M2489">
        <v>-0.99849310000000002</v>
      </c>
      <c r="N2489">
        <v>0</v>
      </c>
      <c r="O2489">
        <v>5.415855E-2</v>
      </c>
      <c r="P2489">
        <v>-0.99531530000000001</v>
      </c>
      <c r="Q2489">
        <v>9.0572479999999997E-2</v>
      </c>
      <c r="R2489">
        <v>3.3823400000000003E-2</v>
      </c>
      <c r="S2489">
        <v>-3.0254819999999998</v>
      </c>
      <c r="T2489">
        <v>-0.14450689999999999</v>
      </c>
      <c r="U2489">
        <v>4.8858640000000002E-2</v>
      </c>
      <c r="V2489">
        <v>-2.0071169999999999E-2</v>
      </c>
      <c r="W2489">
        <v>9.9392850000000005E-2</v>
      </c>
      <c r="X2489">
        <v>0.9948458</v>
      </c>
      <c r="Y2489">
        <v>-3.7925500000000001E-2</v>
      </c>
      <c r="Z2489">
        <v>-3.4891660000000001E-3</v>
      </c>
      <c r="AA2489">
        <v>0.99927449999999995</v>
      </c>
      <c r="AB2489">
        <v>42</v>
      </c>
      <c r="AC2489">
        <v>-22.8767</v>
      </c>
      <c r="AD2489">
        <v>-1.103643649746</v>
      </c>
      <c r="AE2489">
        <v>0.36070000000000801</v>
      </c>
      <c r="AF2489">
        <v>-0.87680671008634803</v>
      </c>
      <c r="AG2489">
        <v>-1.103643649746</v>
      </c>
      <c r="AH2489">
        <v>22.809584276568401</v>
      </c>
      <c r="AI2489">
        <v>92.768059559171903</v>
      </c>
      <c r="AJ2489">
        <v>92.201381698530298</v>
      </c>
      <c r="AK2489">
        <v>22.8530950678973</v>
      </c>
      <c r="AL2489">
        <v>84.2957907114303</v>
      </c>
      <c r="AM2489">
        <v>91.155794535251403</v>
      </c>
      <c r="AN2489">
        <v>0.99999997813696495</v>
      </c>
    </row>
    <row r="2490" spans="1:40" x14ac:dyDescent="0.3">
      <c r="A2490" t="str">
        <f>"20200111150004488"</f>
        <v>20200111150004488</v>
      </c>
      <c r="B2490" t="str">
        <f>"1578726004478696"</f>
        <v>1578726004478696</v>
      </c>
      <c r="C2490" t="s">
        <v>40</v>
      </c>
      <c r="D2490">
        <v>4.309869</v>
      </c>
      <c r="E2490">
        <v>0.49429050000000002</v>
      </c>
      <c r="F2490" t="s">
        <v>66</v>
      </c>
      <c r="G2490">
        <v>-304.36829999999998</v>
      </c>
      <c r="H2490" s="1">
        <v>3.3213950000000002E-6</v>
      </c>
      <c r="I2490">
        <v>283.1103</v>
      </c>
      <c r="J2490">
        <v>-281.55</v>
      </c>
      <c r="K2490">
        <v>1.1036919999999999</v>
      </c>
      <c r="L2490">
        <v>282.77010000000001</v>
      </c>
      <c r="M2490">
        <v>-0.99849370000000004</v>
      </c>
      <c r="N2490">
        <v>0</v>
      </c>
      <c r="O2490">
        <v>5.4146939999999998E-2</v>
      </c>
      <c r="P2490">
        <v>-0.99531349999999996</v>
      </c>
      <c r="Q2490">
        <v>9.0860010000000005E-2</v>
      </c>
      <c r="R2490">
        <v>3.3099099999999999E-2</v>
      </c>
      <c r="S2490">
        <v>-3.025757</v>
      </c>
      <c r="T2490">
        <v>-0.14491499999999999</v>
      </c>
      <c r="U2490">
        <v>4.6264649999999997E-2</v>
      </c>
      <c r="V2490">
        <v>-2.0793039999999999E-2</v>
      </c>
      <c r="W2490">
        <v>9.9684659999999994E-2</v>
      </c>
      <c r="X2490">
        <v>0.99480179999999996</v>
      </c>
      <c r="Y2490">
        <v>-3.8770270000000003E-2</v>
      </c>
      <c r="Z2490">
        <v>-3.5183900000000001E-3</v>
      </c>
      <c r="AA2490">
        <v>0.99924190000000002</v>
      </c>
      <c r="AB2490">
        <v>42</v>
      </c>
      <c r="AC2490">
        <v>-22.818299999999901</v>
      </c>
      <c r="AD2490">
        <v>-1.103688678605</v>
      </c>
      <c r="AE2490">
        <v>0.34019999999998102</v>
      </c>
      <c r="AF2490">
        <v>-0.89379810859245501</v>
      </c>
      <c r="AG2490">
        <v>-1.103688678605</v>
      </c>
      <c r="AH2490">
        <v>22.750031637327101</v>
      </c>
      <c r="AI2490">
        <v>92.775316103902995</v>
      </c>
      <c r="AJ2490">
        <v>92.249866552461995</v>
      </c>
      <c r="AK2490">
        <v>22.794318223135999</v>
      </c>
      <c r="AL2490">
        <v>84.278987915731307</v>
      </c>
      <c r="AM2490">
        <v>91.197404334818103</v>
      </c>
      <c r="AN2490">
        <v>1.0000000016174899</v>
      </c>
    </row>
    <row r="2491" spans="1:40" x14ac:dyDescent="0.3">
      <c r="A2491" t="str">
        <f>"20200111150004501"</f>
        <v>20200111150004501</v>
      </c>
      <c r="B2491" t="str">
        <f>"1578726004498218"</f>
        <v>1578726004498218</v>
      </c>
      <c r="C2491" t="s">
        <v>40</v>
      </c>
      <c r="D2491">
        <v>4.276853</v>
      </c>
      <c r="E2491">
        <v>0.49414979999999997</v>
      </c>
      <c r="F2491" t="s">
        <v>66</v>
      </c>
      <c r="G2491">
        <v>-304.44240000000002</v>
      </c>
      <c r="H2491" s="1">
        <v>3.3094520000000002E-6</v>
      </c>
      <c r="I2491">
        <v>283.09660000000002</v>
      </c>
      <c r="J2491">
        <v>-281.78469999999999</v>
      </c>
      <c r="K2491">
        <v>1.103737</v>
      </c>
      <c r="L2491">
        <v>282.78280000000001</v>
      </c>
      <c r="M2491">
        <v>-0.99849529999999997</v>
      </c>
      <c r="N2491">
        <v>0</v>
      </c>
      <c r="O2491">
        <v>5.4115789999999997E-2</v>
      </c>
      <c r="P2491">
        <v>-0.99526170000000003</v>
      </c>
      <c r="Q2491">
        <v>9.1648300000000002E-2</v>
      </c>
      <c r="R2491">
        <v>3.247452E-2</v>
      </c>
      <c r="S2491">
        <v>-3.0260310000000001</v>
      </c>
      <c r="T2491">
        <v>-0.14589079999999999</v>
      </c>
      <c r="U2491">
        <v>4.315186E-2</v>
      </c>
      <c r="V2491">
        <v>-2.139375E-2</v>
      </c>
      <c r="W2491">
        <v>0.10047739999999999</v>
      </c>
      <c r="X2491">
        <v>0.99470930000000002</v>
      </c>
      <c r="Y2491">
        <v>-3.9765590000000003E-2</v>
      </c>
      <c r="Z2491">
        <v>-3.5642579999999998E-3</v>
      </c>
      <c r="AA2491">
        <v>0.9992027</v>
      </c>
      <c r="AB2491">
        <v>42</v>
      </c>
      <c r="AC2491">
        <v>-22.657699999999998</v>
      </c>
      <c r="AD2491">
        <v>-1.103733690548</v>
      </c>
      <c r="AE2491">
        <v>0.31380000000001401</v>
      </c>
      <c r="AF2491">
        <v>-0.910686752053675</v>
      </c>
      <c r="AG2491">
        <v>-1.103733690548</v>
      </c>
      <c r="AH2491">
        <v>22.587887833721801</v>
      </c>
      <c r="AI2491">
        <v>92.795206431364505</v>
      </c>
      <c r="AJ2491">
        <v>92.308771109277998</v>
      </c>
      <c r="AK2491">
        <v>22.633167149314598</v>
      </c>
      <c r="AL2491">
        <v>84.233338031014995</v>
      </c>
      <c r="AM2491">
        <v>91.232101310333306</v>
      </c>
      <c r="AN2491">
        <v>0.99999999597815603</v>
      </c>
    </row>
    <row r="2492" spans="1:40" x14ac:dyDescent="0.3">
      <c r="A2492" t="str">
        <f>"20200111150004513"</f>
        <v>20200111150004513</v>
      </c>
      <c r="B2492" t="str">
        <f>"1578726004508952"</f>
        <v>1578726004508952</v>
      </c>
      <c r="C2492" t="s">
        <v>40</v>
      </c>
      <c r="D2492">
        <v>4.3113849999999996</v>
      </c>
      <c r="E2492">
        <v>0.49409819999999999</v>
      </c>
      <c r="F2492" t="s">
        <v>66</v>
      </c>
      <c r="G2492">
        <v>-304.45650000000001</v>
      </c>
      <c r="H2492" s="1">
        <v>3.3081959999999998E-6</v>
      </c>
      <c r="I2492">
        <v>283.08229999999998</v>
      </c>
      <c r="J2492">
        <v>-282.03539999999998</v>
      </c>
      <c r="K2492">
        <v>1.1037999999999999</v>
      </c>
      <c r="L2492">
        <v>282.79640000000001</v>
      </c>
      <c r="M2492">
        <v>-0.99850059999999996</v>
      </c>
      <c r="N2492">
        <v>0</v>
      </c>
      <c r="O2492">
        <v>5.401951E-2</v>
      </c>
      <c r="P2492">
        <v>-0.99526389999999998</v>
      </c>
      <c r="Q2492">
        <v>9.1957899999999995E-2</v>
      </c>
      <c r="R2492">
        <v>3.1521500000000001E-2</v>
      </c>
      <c r="S2492">
        <v>-3.0265499999999999</v>
      </c>
      <c r="T2492">
        <v>-0.14734149999999999</v>
      </c>
      <c r="U2492">
        <v>3.9978029999999998E-2</v>
      </c>
      <c r="V2492">
        <v>-2.2264349999999999E-2</v>
      </c>
      <c r="W2492">
        <v>0.10079100000000001</v>
      </c>
      <c r="X2492">
        <v>0.9946585</v>
      </c>
      <c r="Y2492">
        <v>-4.0716139999999998E-2</v>
      </c>
      <c r="Z2492">
        <v>-3.6175299999999999E-3</v>
      </c>
      <c r="AA2492">
        <v>0.99916419999999995</v>
      </c>
      <c r="AB2492">
        <v>42</v>
      </c>
      <c r="AC2492">
        <v>-22.421099999999999</v>
      </c>
      <c r="AD2492">
        <v>-1.1037966918040001</v>
      </c>
      <c r="AE2492">
        <v>0.28589999999996901</v>
      </c>
      <c r="AF2492">
        <v>-0.92350396656526901</v>
      </c>
      <c r="AG2492">
        <v>-1.1037966918040001</v>
      </c>
      <c r="AH2492">
        <v>22.349646502179699</v>
      </c>
      <c r="AI2492">
        <v>92.825000257361197</v>
      </c>
      <c r="AJ2492">
        <v>92.366158046712897</v>
      </c>
      <c r="AK2492">
        <v>22.3959354679704</v>
      </c>
      <c r="AL2492">
        <v>84.215278587916202</v>
      </c>
      <c r="AM2492">
        <v>91.282289651868595</v>
      </c>
      <c r="AN2492">
        <v>1.0000000292920801</v>
      </c>
    </row>
    <row r="2493" spans="1:40" x14ac:dyDescent="0.3">
      <c r="A2493" t="str">
        <f>"20200111150004530"</f>
        <v>20200111150004530</v>
      </c>
      <c r="B2493" t="str">
        <f>"1578726004518712"</f>
        <v>1578726004518712</v>
      </c>
      <c r="C2493" t="s">
        <v>40</v>
      </c>
      <c r="D2493">
        <v>4.2979349999999998</v>
      </c>
      <c r="E2493">
        <v>0.49400680000000002</v>
      </c>
      <c r="F2493" t="s">
        <v>66</v>
      </c>
      <c r="G2493">
        <v>-304.57310000000001</v>
      </c>
      <c r="H2493" s="1">
        <v>3.2886499999999998E-6</v>
      </c>
      <c r="I2493">
        <v>283.0693</v>
      </c>
      <c r="J2493">
        <v>-282.32510000000002</v>
      </c>
      <c r="K2493">
        <v>1.1038760000000001</v>
      </c>
      <c r="L2493">
        <v>282.81200000000001</v>
      </c>
      <c r="M2493">
        <v>-0.99850910000000004</v>
      </c>
      <c r="N2493">
        <v>0</v>
      </c>
      <c r="O2493">
        <v>5.3859259999999999E-2</v>
      </c>
      <c r="P2493">
        <v>-0.99522659999999996</v>
      </c>
      <c r="Q2493">
        <v>9.2853030000000003E-2</v>
      </c>
      <c r="R2493">
        <v>3.0038929999999998E-2</v>
      </c>
      <c r="S2493">
        <v>-3.0268250000000001</v>
      </c>
      <c r="T2493">
        <v>-0.14824039999999999</v>
      </c>
      <c r="U2493">
        <v>3.6651610000000001E-2</v>
      </c>
      <c r="V2493">
        <v>-2.3602499999999998E-2</v>
      </c>
      <c r="W2493">
        <v>0.10169</v>
      </c>
      <c r="X2493">
        <v>0.99453610000000003</v>
      </c>
      <c r="Y2493">
        <v>-4.165257E-2</v>
      </c>
      <c r="Z2493">
        <v>-3.6543729999999998E-3</v>
      </c>
      <c r="AA2493">
        <v>0.9991255</v>
      </c>
      <c r="AB2493">
        <v>42</v>
      </c>
      <c r="AC2493">
        <v>-22.247999999999902</v>
      </c>
      <c r="AD2493">
        <v>-1.10387271135</v>
      </c>
      <c r="AE2493">
        <v>0.25729999999998598</v>
      </c>
      <c r="AF2493">
        <v>-0.93906998536681396</v>
      </c>
      <c r="AG2493">
        <v>-1.10387271135</v>
      </c>
      <c r="AH2493">
        <v>22.174980354395998</v>
      </c>
      <c r="AI2493">
        <v>92.847289323526496</v>
      </c>
      <c r="AJ2493">
        <v>92.424922891898206</v>
      </c>
      <c r="AK2493">
        <v>22.222289286167801</v>
      </c>
      <c r="AL2493">
        <v>84.163503455501299</v>
      </c>
      <c r="AM2493">
        <v>91.3594979994444</v>
      </c>
      <c r="AN2493">
        <v>0.99999999415472995</v>
      </c>
    </row>
    <row r="2494" spans="1:40" x14ac:dyDescent="0.3">
      <c r="A2494" t="str">
        <f>"20200111150004543"</f>
        <v>20200111150004543</v>
      </c>
      <c r="B2494" t="str">
        <f>"1578726004538231"</f>
        <v>1578726004538231</v>
      </c>
      <c r="C2494" t="s">
        <v>40</v>
      </c>
      <c r="D2494">
        <v>4.4017030000000004</v>
      </c>
      <c r="E2494">
        <v>0.49390810000000002</v>
      </c>
      <c r="F2494" t="s">
        <v>66</v>
      </c>
      <c r="G2494">
        <v>-304.95420000000001</v>
      </c>
      <c r="H2494" s="1">
        <v>3.2228899999999998E-6</v>
      </c>
      <c r="I2494">
        <v>283.04829999999998</v>
      </c>
      <c r="J2494">
        <v>-282.55549999999999</v>
      </c>
      <c r="K2494">
        <v>1.1039460000000001</v>
      </c>
      <c r="L2494">
        <v>282.82429999999999</v>
      </c>
      <c r="M2494">
        <v>-0.99851780000000001</v>
      </c>
      <c r="N2494">
        <v>0</v>
      </c>
      <c r="O2494">
        <v>5.3695960000000001E-2</v>
      </c>
      <c r="P2494">
        <v>-0.99518899999999999</v>
      </c>
      <c r="Q2494">
        <v>9.3400059999999993E-2</v>
      </c>
      <c r="R2494">
        <v>2.9586640000000001E-2</v>
      </c>
      <c r="S2494">
        <v>-3.0272519999999998</v>
      </c>
      <c r="T2494">
        <v>-0.14767279999999999</v>
      </c>
      <c r="U2494">
        <v>3.1616209999999999E-2</v>
      </c>
      <c r="V2494">
        <v>-2.3905610000000001E-2</v>
      </c>
      <c r="W2494">
        <v>0.10223930000000001</v>
      </c>
      <c r="X2494">
        <v>0.99447260000000004</v>
      </c>
      <c r="Y2494">
        <v>-4.3151849999999999E-2</v>
      </c>
      <c r="Z2494">
        <v>-3.668541E-3</v>
      </c>
      <c r="AA2494">
        <v>0.9990618</v>
      </c>
      <c r="AB2494">
        <v>42</v>
      </c>
      <c r="AC2494">
        <v>-22.398700000000002</v>
      </c>
      <c r="AD2494">
        <v>-1.1039427771100001</v>
      </c>
      <c r="AE2494">
        <v>0.22399999999998901</v>
      </c>
      <c r="AF2494">
        <v>-0.976718040888922</v>
      </c>
      <c r="AG2494">
        <v>-1.1039427771100001</v>
      </c>
      <c r="AH2494">
        <v>22.3241893848191</v>
      </c>
      <c r="AI2494">
        <v>92.828298734141995</v>
      </c>
      <c r="AJ2494">
        <v>92.505181897474898</v>
      </c>
      <c r="AK2494">
        <v>22.3727982039753</v>
      </c>
      <c r="AL2494">
        <v>84.131866332467297</v>
      </c>
      <c r="AM2494">
        <v>91.377038267879101</v>
      </c>
      <c r="AN2494">
        <v>1.00000005240235</v>
      </c>
    </row>
    <row r="2495" spans="1:40" x14ac:dyDescent="0.3">
      <c r="A2495" t="str">
        <f>"20200111150004554"</f>
        <v>20200111150004554</v>
      </c>
      <c r="B2495" t="str">
        <f>"1578726004548968"</f>
        <v>1578726004548968</v>
      </c>
      <c r="C2495" t="s">
        <v>40</v>
      </c>
      <c r="D2495">
        <v>4.2188129999999999</v>
      </c>
      <c r="E2495">
        <v>0.49388949999999998</v>
      </c>
      <c r="F2495" t="s">
        <v>66</v>
      </c>
      <c r="G2495">
        <v>-305.27159999999998</v>
      </c>
      <c r="H2495" s="1">
        <v>3.167163E-6</v>
      </c>
      <c r="I2495">
        <v>283.04160000000002</v>
      </c>
      <c r="J2495">
        <v>-282.79309999999998</v>
      </c>
      <c r="K2495">
        <v>1.104033</v>
      </c>
      <c r="L2495">
        <v>282.83690000000001</v>
      </c>
      <c r="M2495">
        <v>-0.99853029999999998</v>
      </c>
      <c r="N2495">
        <v>0</v>
      </c>
      <c r="O2495">
        <v>5.3461889999999998E-2</v>
      </c>
      <c r="P2495">
        <v>-0.99515169999999997</v>
      </c>
      <c r="Q2495">
        <v>9.3851400000000001E-2</v>
      </c>
      <c r="R2495">
        <v>2.9412359999999999E-2</v>
      </c>
      <c r="S2495">
        <v>-3.0274049999999999</v>
      </c>
      <c r="T2495">
        <v>-0.14712349999999999</v>
      </c>
      <c r="U2495">
        <v>2.896118E-2</v>
      </c>
      <c r="V2495">
        <v>-2.3863700000000002E-2</v>
      </c>
      <c r="W2495">
        <v>0.1026932</v>
      </c>
      <c r="X2495">
        <v>0.99442680000000006</v>
      </c>
      <c r="Y2495">
        <v>-4.3794630000000001E-2</v>
      </c>
      <c r="Z2495">
        <v>-3.6590120000000001E-3</v>
      </c>
      <c r="AA2495">
        <v>0.99903390000000003</v>
      </c>
      <c r="AB2495">
        <v>42</v>
      </c>
      <c r="AC2495">
        <v>-22.4785</v>
      </c>
      <c r="AD2495">
        <v>-1.104029832837</v>
      </c>
      <c r="AE2495">
        <v>0.20470000000000199</v>
      </c>
      <c r="AF2495">
        <v>-0.99498339707626304</v>
      </c>
      <c r="AG2495">
        <v>-1.104029832837</v>
      </c>
      <c r="AH2495">
        <v>22.403256470014401</v>
      </c>
      <c r="AI2495">
        <v>92.818473104308794</v>
      </c>
      <c r="AJ2495">
        <v>92.542974561828899</v>
      </c>
      <c r="AK2495">
        <v>22.452500401814799</v>
      </c>
      <c r="AL2495">
        <v>84.105721947945497</v>
      </c>
      <c r="AM2495">
        <v>91.374688333639298</v>
      </c>
      <c r="AN2495">
        <v>1.0000000150310799</v>
      </c>
    </row>
    <row r="2496" spans="1:40" x14ac:dyDescent="0.3">
      <c r="A2496" t="str">
        <f>"20200111150004567"</f>
        <v>20200111150004567</v>
      </c>
      <c r="B2496" t="str">
        <f>"1578726004558728"</f>
        <v>1578726004558728</v>
      </c>
      <c r="C2496" t="s">
        <v>40</v>
      </c>
      <c r="D2496">
        <v>4.2601760000000004</v>
      </c>
      <c r="E2496">
        <v>0.49353330000000001</v>
      </c>
      <c r="F2496" t="s">
        <v>66</v>
      </c>
      <c r="G2496">
        <v>-305.67360000000002</v>
      </c>
      <c r="H2496" s="1">
        <v>3.0954820000000002E-6</v>
      </c>
      <c r="I2496">
        <v>283.04610000000002</v>
      </c>
      <c r="J2496">
        <v>-283.02870000000001</v>
      </c>
      <c r="K2496">
        <v>1.104117</v>
      </c>
      <c r="L2496">
        <v>282.84930000000003</v>
      </c>
      <c r="M2496">
        <v>-0.99854520000000002</v>
      </c>
      <c r="N2496">
        <v>0</v>
      </c>
      <c r="O2496">
        <v>5.3183050000000003E-2</v>
      </c>
      <c r="P2496">
        <v>-0.99512310000000004</v>
      </c>
      <c r="Q2496">
        <v>9.4397320000000007E-2</v>
      </c>
      <c r="R2496">
        <v>2.8622499999999999E-2</v>
      </c>
      <c r="S2496">
        <v>-3.0275880000000002</v>
      </c>
      <c r="T2496">
        <v>-0.14608759999999901</v>
      </c>
      <c r="U2496">
        <v>2.767944E-2</v>
      </c>
      <c r="V2496">
        <v>-2.4394809999999999E-2</v>
      </c>
      <c r="W2496">
        <v>0.103241</v>
      </c>
      <c r="X2496">
        <v>0.99435720000000005</v>
      </c>
      <c r="Y2496">
        <v>-4.394091E-2</v>
      </c>
      <c r="Z2496">
        <v>-3.623172E-3</v>
      </c>
      <c r="AA2496">
        <v>0.99902760000000002</v>
      </c>
      <c r="AB2496">
        <v>42</v>
      </c>
      <c r="AC2496">
        <v>-22.6449</v>
      </c>
      <c r="AD2496">
        <v>-1.104113904518</v>
      </c>
      <c r="AE2496">
        <v>0.19679999999999601</v>
      </c>
      <c r="AF2496">
        <v>-1.0054608701832499</v>
      </c>
      <c r="AG2496">
        <v>-1.104113904518</v>
      </c>
      <c r="AH2496">
        <v>22.569665612438001</v>
      </c>
      <c r="AI2496">
        <v>92.797921013523407</v>
      </c>
      <c r="AJ2496">
        <v>92.550795388690105</v>
      </c>
      <c r="AK2496">
        <v>22.619014676437299</v>
      </c>
      <c r="AL2496">
        <v>84.074167666456603</v>
      </c>
      <c r="AM2496">
        <v>91.405369555662006</v>
      </c>
      <c r="AN2496">
        <v>1.0000000260138799</v>
      </c>
    </row>
    <row r="2497" spans="1:40" x14ac:dyDescent="0.3">
      <c r="A2497" t="str">
        <f>"20200111150004581"</f>
        <v>20200111150004581</v>
      </c>
      <c r="B2497" t="str">
        <f>"1578726004568488"</f>
        <v>1578726004568488</v>
      </c>
      <c r="C2497" t="s">
        <v>40</v>
      </c>
      <c r="D2497">
        <v>4.2317179999999999</v>
      </c>
      <c r="E2497">
        <v>0.49353330000000001</v>
      </c>
      <c r="F2497" t="s">
        <v>66</v>
      </c>
      <c r="G2497">
        <v>-306.16590000000002</v>
      </c>
      <c r="H2497" s="1">
        <v>3.010676E-6</v>
      </c>
      <c r="I2497">
        <v>283.0172</v>
      </c>
      <c r="J2497">
        <v>-283.27519999999998</v>
      </c>
      <c r="K2497">
        <v>1.1042099999999999</v>
      </c>
      <c r="L2497">
        <v>282.8623</v>
      </c>
      <c r="M2497">
        <v>-0.99856250000000002</v>
      </c>
      <c r="N2497">
        <v>0</v>
      </c>
      <c r="O2497">
        <v>5.2852530000000002E-2</v>
      </c>
      <c r="P2497">
        <v>-0.99509539999999996</v>
      </c>
      <c r="Q2497">
        <v>9.4861819999999999E-2</v>
      </c>
      <c r="R2497">
        <v>2.8038E-2</v>
      </c>
      <c r="S2497">
        <v>-3.027771</v>
      </c>
      <c r="T2497">
        <v>-0.14448649999999999</v>
      </c>
      <c r="U2497">
        <v>2.1972660000000001E-2</v>
      </c>
      <c r="V2497">
        <v>-2.467051E-2</v>
      </c>
      <c r="W2497">
        <v>0.1037072</v>
      </c>
      <c r="X2497">
        <v>0.99430189999999996</v>
      </c>
      <c r="Y2497">
        <v>-4.5494680000000003E-2</v>
      </c>
      <c r="Z2497">
        <v>-3.6046559999999999E-3</v>
      </c>
      <c r="AA2497">
        <v>0.99895809999999996</v>
      </c>
      <c r="AB2497">
        <v>42</v>
      </c>
      <c r="AC2497">
        <v>-22.890699999999999</v>
      </c>
      <c r="AD2497">
        <v>-1.1042069893240001</v>
      </c>
      <c r="AE2497">
        <v>0.15489999999999701</v>
      </c>
      <c r="AF2497">
        <v>-1.05274649263099</v>
      </c>
      <c r="AG2497">
        <v>-1.1042069893240001</v>
      </c>
      <c r="AH2497">
        <v>22.813807309025599</v>
      </c>
      <c r="AI2497">
        <v>92.768059301748906</v>
      </c>
      <c r="AJ2497">
        <v>92.6420479303614</v>
      </c>
      <c r="AK2497">
        <v>22.864762237695999</v>
      </c>
      <c r="AL2497">
        <v>84.047312319137006</v>
      </c>
      <c r="AM2497">
        <v>91.421324992874602</v>
      </c>
      <c r="AN2497">
        <v>1.0000000428695499</v>
      </c>
    </row>
    <row r="2498" spans="1:40" x14ac:dyDescent="0.3">
      <c r="A2498" t="str">
        <f>"20200111150004597"</f>
        <v>20200111150004597</v>
      </c>
      <c r="B2498" t="str">
        <f>"1578726004588987"</f>
        <v>1578726004588987</v>
      </c>
      <c r="C2498" t="s">
        <v>40</v>
      </c>
      <c r="D2498">
        <v>4.3356570000000003</v>
      </c>
      <c r="E2498">
        <v>0.45715359999999999</v>
      </c>
      <c r="F2498" t="s">
        <v>66</v>
      </c>
      <c r="G2498">
        <v>-306.64010000000002</v>
      </c>
      <c r="H2498" s="1">
        <v>2.9264169999999999E-6</v>
      </c>
      <c r="I2498">
        <v>283.01889999999997</v>
      </c>
      <c r="J2498">
        <v>-283.59370000000001</v>
      </c>
      <c r="K2498">
        <v>1.104344</v>
      </c>
      <c r="L2498">
        <v>282.87880000000001</v>
      </c>
      <c r="M2498">
        <v>-0.99859140000000002</v>
      </c>
      <c r="N2498">
        <v>0</v>
      </c>
      <c r="O2498">
        <v>5.2303210000000003E-2</v>
      </c>
      <c r="P2498">
        <v>-0.99507950000000001</v>
      </c>
      <c r="Q2498">
        <v>9.5486890000000005E-2</v>
      </c>
      <c r="R2498">
        <v>2.6440990000000001E-2</v>
      </c>
      <c r="S2498">
        <v>-3.027863</v>
      </c>
      <c r="T2498">
        <v>-0.14309469999999999</v>
      </c>
      <c r="U2498">
        <v>2.029419E-2</v>
      </c>
      <c r="V2498">
        <v>-2.5749790000000002E-2</v>
      </c>
      <c r="W2498">
        <v>0.1043337</v>
      </c>
      <c r="X2498">
        <v>0.99420889999999995</v>
      </c>
      <c r="Y2498">
        <v>-4.5501850000000003E-2</v>
      </c>
      <c r="Z2498">
        <v>-3.5441330000000001E-3</v>
      </c>
      <c r="AA2498">
        <v>0.99895800000000001</v>
      </c>
      <c r="AB2498">
        <v>42</v>
      </c>
      <c r="AC2498">
        <v>-23.046399999999998</v>
      </c>
      <c r="AD2498">
        <v>-1.1043410735829999</v>
      </c>
      <c r="AE2498">
        <v>0.14009999999996101</v>
      </c>
      <c r="AF2498">
        <v>-1.0630995021282901</v>
      </c>
      <c r="AG2498">
        <v>-1.1043410735829999</v>
      </c>
      <c r="AH2498">
        <v>22.9694413730906</v>
      </c>
      <c r="AI2498">
        <v>92.749648495134807</v>
      </c>
      <c r="AJ2498">
        <v>92.649941555475706</v>
      </c>
      <c r="AK2498">
        <v>23.0205340239986</v>
      </c>
      <c r="AL2498">
        <v>84.011220193308702</v>
      </c>
      <c r="AM2498">
        <v>91.483616304954296</v>
      </c>
      <c r="AN2498">
        <v>0.99999995473997005</v>
      </c>
    </row>
    <row r="2499" spans="1:40" x14ac:dyDescent="0.3">
      <c r="A2499" t="str">
        <f>"20200111150004611"</f>
        <v>20200111150004611</v>
      </c>
      <c r="B2499" t="str">
        <f>"1578726004598744"</f>
        <v>1578726004598744</v>
      </c>
      <c r="C2499" t="s">
        <v>40</v>
      </c>
      <c r="D2499">
        <v>4.1783590000000004</v>
      </c>
      <c r="E2499">
        <v>0.45676699999999998</v>
      </c>
      <c r="F2499" t="s">
        <v>66</v>
      </c>
      <c r="G2499">
        <v>-303.04689999999999</v>
      </c>
      <c r="H2499" s="1">
        <v>3.7298970000000002E-6</v>
      </c>
      <c r="I2499">
        <v>281.11869999999999</v>
      </c>
      <c r="J2499">
        <v>-283.84030000000001</v>
      </c>
      <c r="K2499">
        <v>1.1044449999999999</v>
      </c>
      <c r="L2499">
        <v>282.8913</v>
      </c>
      <c r="M2499">
        <v>-0.99861759999999999</v>
      </c>
      <c r="N2499">
        <v>0</v>
      </c>
      <c r="O2499">
        <v>5.1802340000000002E-2</v>
      </c>
      <c r="P2499">
        <v>-0.99508859999999999</v>
      </c>
      <c r="Q2499">
        <v>9.5579890000000001E-2</v>
      </c>
      <c r="R2499">
        <v>2.575947E-2</v>
      </c>
      <c r="S2499">
        <v>-3.0387270000000002</v>
      </c>
      <c r="T2499">
        <v>-0.1725053</v>
      </c>
      <c r="U2499">
        <v>-0.27493289999999998</v>
      </c>
      <c r="V2499">
        <v>-2.5957649999999999E-2</v>
      </c>
      <c r="W2499">
        <v>0.1044286</v>
      </c>
      <c r="X2499">
        <v>0.99419360000000001</v>
      </c>
      <c r="Y2499">
        <v>-0.14127229999999999</v>
      </c>
      <c r="Z2499">
        <v>-6.9318369999999997E-3</v>
      </c>
      <c r="AA2499">
        <v>0.98994649999999995</v>
      </c>
      <c r="AB2499">
        <v>42</v>
      </c>
      <c r="AC2499">
        <v>-19.206599999999899</v>
      </c>
      <c r="AD2499">
        <v>-1.104441270103</v>
      </c>
      <c r="AE2499">
        <v>-1.7726000000000099</v>
      </c>
      <c r="AF2499">
        <v>-2.7561695371933399</v>
      </c>
      <c r="AG2499">
        <v>-1.104441270103</v>
      </c>
      <c r="AH2499">
        <v>19.026599498704499</v>
      </c>
      <c r="AI2499">
        <v>93.287891873477804</v>
      </c>
      <c r="AJ2499">
        <v>98.2424610384342</v>
      </c>
      <c r="AK2499">
        <v>19.2568883654905</v>
      </c>
      <c r="AL2499">
        <v>84.005753369872807</v>
      </c>
      <c r="AM2499">
        <v>91.495610087222701</v>
      </c>
      <c r="AN2499">
        <v>1.0000000231862201</v>
      </c>
    </row>
    <row r="2500" spans="1:40" x14ac:dyDescent="0.3">
      <c r="A2500" t="str">
        <f>"20200111150004626"</f>
        <v>20200111150004626</v>
      </c>
      <c r="B2500" t="str">
        <f>"1578726004618264"</f>
        <v>1578726004618264</v>
      </c>
      <c r="C2500" t="s">
        <v>40</v>
      </c>
      <c r="D2500">
        <v>4.2138839999999904</v>
      </c>
      <c r="E2500">
        <v>0.45534469999999999</v>
      </c>
      <c r="F2500" t="s">
        <v>66</v>
      </c>
      <c r="G2500">
        <v>-302.43630000000002</v>
      </c>
      <c r="H2500" s="1">
        <v>3.8332209999999999E-6</v>
      </c>
      <c r="I2500">
        <v>281.17570000000001</v>
      </c>
      <c r="J2500">
        <v>-284.12169999999998</v>
      </c>
      <c r="K2500">
        <v>1.1045579999999999</v>
      </c>
      <c r="L2500">
        <v>282.90550000000002</v>
      </c>
      <c r="M2500">
        <v>-0.99865029999999999</v>
      </c>
      <c r="N2500">
        <v>0</v>
      </c>
      <c r="O2500">
        <v>5.1165240000000001E-2</v>
      </c>
      <c r="P2500">
        <v>-0.99510779999999999</v>
      </c>
      <c r="Q2500">
        <v>9.5487210000000003E-2</v>
      </c>
      <c r="R2500">
        <v>2.5354499999999999E-2</v>
      </c>
      <c r="S2500">
        <v>-3.0393680000000001</v>
      </c>
      <c r="T2500">
        <v>-0.18051200000000001</v>
      </c>
      <c r="U2500">
        <v>-0.28039550000000002</v>
      </c>
      <c r="V2500">
        <v>-2.575831E-2</v>
      </c>
      <c r="W2500">
        <v>0.1043385</v>
      </c>
      <c r="X2500">
        <v>0.99420819999999999</v>
      </c>
      <c r="Y2500">
        <v>-0.1423566</v>
      </c>
      <c r="Z2500">
        <v>-7.2453140000000001E-3</v>
      </c>
      <c r="AA2500">
        <v>0.98978889999999997</v>
      </c>
      <c r="AB2500">
        <v>42</v>
      </c>
      <c r="AC2500">
        <v>-18.314599999999999</v>
      </c>
      <c r="AD2500">
        <v>-1.104554166779</v>
      </c>
      <c r="AE2500">
        <v>-1.72980000000001</v>
      </c>
      <c r="AF2500">
        <v>-2.65507047589684</v>
      </c>
      <c r="AG2500">
        <v>-1.104554166779</v>
      </c>
      <c r="AH2500">
        <v>18.136715089968401</v>
      </c>
      <c r="AI2500">
        <v>93.448432587246401</v>
      </c>
      <c r="AJ2500">
        <v>98.328486618816896</v>
      </c>
      <c r="AK2500">
        <v>18.3632751271121</v>
      </c>
      <c r="AL2500">
        <v>84.010943810302393</v>
      </c>
      <c r="AM2500">
        <v>91.484108023653206</v>
      </c>
      <c r="AN2500">
        <v>0.99999997903177196</v>
      </c>
    </row>
    <row r="2501" spans="1:40" x14ac:dyDescent="0.3">
      <c r="A2501" t="str">
        <f>"20200111150004642"</f>
        <v>20200111150004642</v>
      </c>
      <c r="B2501" t="str">
        <f>"1578726004638759"</f>
        <v>1578726004638759</v>
      </c>
      <c r="C2501" t="s">
        <v>40</v>
      </c>
      <c r="D2501">
        <v>4.1413129999999896</v>
      </c>
      <c r="E2501">
        <v>0.45438230000000002</v>
      </c>
      <c r="F2501" t="s">
        <v>66</v>
      </c>
      <c r="G2501">
        <v>-302.24520000000001</v>
      </c>
      <c r="H2501" s="1">
        <v>3.8688939999999998E-6</v>
      </c>
      <c r="I2501">
        <v>281.15539999999999</v>
      </c>
      <c r="J2501">
        <v>-284.43329999999997</v>
      </c>
      <c r="K2501">
        <v>1.1046940000000001</v>
      </c>
      <c r="L2501">
        <v>282.92079999999999</v>
      </c>
      <c r="M2501">
        <v>-0.99869110000000005</v>
      </c>
      <c r="N2501">
        <v>0</v>
      </c>
      <c r="O2501">
        <v>5.0359059999999997E-2</v>
      </c>
      <c r="P2501">
        <v>-0.99513830000000003</v>
      </c>
      <c r="Q2501">
        <v>9.5328759999999998E-2</v>
      </c>
      <c r="R2501">
        <v>2.4741030000000001E-2</v>
      </c>
      <c r="S2501">
        <v>-3.0400390000000002</v>
      </c>
      <c r="T2501">
        <v>-0.185278</v>
      </c>
      <c r="U2501">
        <v>-0.29354859999999999</v>
      </c>
      <c r="V2501">
        <v>-2.5604180000000001E-2</v>
      </c>
      <c r="W2501">
        <v>0.1041825</v>
      </c>
      <c r="X2501">
        <v>0.99422849999999996</v>
      </c>
      <c r="Y2501">
        <v>-0.14575879999999999</v>
      </c>
      <c r="Z2501">
        <v>-7.4875660000000002E-3</v>
      </c>
      <c r="AA2501">
        <v>0.98929180000000005</v>
      </c>
      <c r="AB2501">
        <v>42</v>
      </c>
      <c r="AC2501">
        <v>-17.811900000000001</v>
      </c>
      <c r="AD2501">
        <v>-1.104690131106</v>
      </c>
      <c r="AE2501">
        <v>-1.7653999999999901</v>
      </c>
      <c r="AF2501">
        <v>-2.65009199367918</v>
      </c>
      <c r="AG2501">
        <v>-1.104690131106</v>
      </c>
      <c r="AH2501">
        <v>17.633225033838102</v>
      </c>
      <c r="AI2501">
        <v>93.545083946106502</v>
      </c>
      <c r="AJ2501">
        <v>98.546997917875501</v>
      </c>
      <c r="AK2501">
        <v>17.865440183625498</v>
      </c>
      <c r="AL2501">
        <v>84.019930690100395</v>
      </c>
      <c r="AM2501">
        <v>91.475201394810497</v>
      </c>
      <c r="AN2501">
        <v>0.99999993877598403</v>
      </c>
    </row>
    <row r="2502" spans="1:40" x14ac:dyDescent="0.3">
      <c r="A2502" t="str">
        <f>"20200111150004665"</f>
        <v>20200111150004665</v>
      </c>
      <c r="B2502" t="str">
        <f>"1578726004658279"</f>
        <v>1578726004658279</v>
      </c>
      <c r="C2502" t="s">
        <v>40</v>
      </c>
      <c r="D2502">
        <v>4.0579809999999998</v>
      </c>
      <c r="E2502">
        <v>0.45378659999999998</v>
      </c>
      <c r="F2502" t="s">
        <v>66</v>
      </c>
      <c r="G2502">
        <v>-302.18759999999997</v>
      </c>
      <c r="H2502" s="1">
        <v>3.8794749999999998E-6</v>
      </c>
      <c r="I2502">
        <v>281.15140000000002</v>
      </c>
      <c r="J2502">
        <v>-284.86540000000002</v>
      </c>
      <c r="K2502">
        <v>1.104884</v>
      </c>
      <c r="L2502">
        <v>282.94159999999999</v>
      </c>
      <c r="M2502">
        <v>-0.99875590000000003</v>
      </c>
      <c r="N2502">
        <v>0</v>
      </c>
      <c r="O2502">
        <v>4.905089E-2</v>
      </c>
      <c r="P2502">
        <v>-0.9951084</v>
      </c>
      <c r="Q2502">
        <v>9.5988370000000003E-2</v>
      </c>
      <c r="R2502">
        <v>2.335284E-2</v>
      </c>
      <c r="S2502">
        <v>-3.0402830000000001</v>
      </c>
      <c r="T2502">
        <v>-0.18917010000000001</v>
      </c>
      <c r="U2502">
        <v>-0.30300899999999997</v>
      </c>
      <c r="V2502">
        <v>-2.5736080000000001E-2</v>
      </c>
      <c r="W2502">
        <v>0.10484499999999999</v>
      </c>
      <c r="X2502">
        <v>0.99415549999999997</v>
      </c>
      <c r="Y2502">
        <v>-0.14748829999999999</v>
      </c>
      <c r="Z2502">
        <v>-7.6153280000000002E-3</v>
      </c>
      <c r="AA2502">
        <v>0.98903450000000004</v>
      </c>
      <c r="AB2502">
        <v>42</v>
      </c>
      <c r="AC2502">
        <v>-17.322199999999899</v>
      </c>
      <c r="AD2502">
        <v>-1.1048801205249901</v>
      </c>
      <c r="AE2502">
        <v>-1.79019999999997</v>
      </c>
      <c r="AF2502">
        <v>-2.6271730720731301</v>
      </c>
      <c r="AG2502">
        <v>-1.1048801205249901</v>
      </c>
      <c r="AH2502">
        <v>17.144519060752099</v>
      </c>
      <c r="AI2502">
        <v>93.644903776892704</v>
      </c>
      <c r="AJ2502">
        <v>98.712058972980998</v>
      </c>
      <c r="AK2502">
        <v>17.379796669001902</v>
      </c>
      <c r="AL2502">
        <v>83.981763510083397</v>
      </c>
      <c r="AM2502">
        <v>91.482906346516302</v>
      </c>
      <c r="AN2502">
        <v>0.99999998900950804</v>
      </c>
    </row>
    <row r="2503" spans="1:40" x14ac:dyDescent="0.3">
      <c r="A2503" t="str">
        <f>"20200111150004678"</f>
        <v>20200111150004678</v>
      </c>
      <c r="B2503" t="str">
        <f>"1578726004669016"</f>
        <v>1578726004669016</v>
      </c>
      <c r="C2503" t="s">
        <v>40</v>
      </c>
      <c r="D2503">
        <v>4.0218579999999999</v>
      </c>
      <c r="E2503">
        <v>0.4537987</v>
      </c>
      <c r="F2503" t="s">
        <v>66</v>
      </c>
      <c r="G2503">
        <v>-302.6302</v>
      </c>
      <c r="H2503" s="1">
        <v>3.8038739999999998E-6</v>
      </c>
      <c r="I2503">
        <v>281.11799999999999</v>
      </c>
      <c r="J2503">
        <v>-285.11579999999998</v>
      </c>
      <c r="K2503">
        <v>1.104994</v>
      </c>
      <c r="L2503">
        <v>282.95330000000001</v>
      </c>
      <c r="M2503">
        <v>-0.99879660000000003</v>
      </c>
      <c r="N2503">
        <v>0</v>
      </c>
      <c r="O2503">
        <v>4.8216820000000001E-2</v>
      </c>
      <c r="P2503">
        <v>-0.99509539999999996</v>
      </c>
      <c r="Q2503">
        <v>9.6292299999999997E-2</v>
      </c>
      <c r="R2503">
        <v>2.264528E-2</v>
      </c>
      <c r="S2503">
        <v>-3.0403440000000002</v>
      </c>
      <c r="T2503">
        <v>-0.18909339999999999</v>
      </c>
      <c r="U2503">
        <v>-0.31210329999999997</v>
      </c>
      <c r="V2503">
        <v>-2.564044E-2</v>
      </c>
      <c r="W2503">
        <v>0.1051508</v>
      </c>
      <c r="X2503">
        <v>0.9941257</v>
      </c>
      <c r="Y2503">
        <v>-0.14958659999999999</v>
      </c>
      <c r="Z2503">
        <v>-7.6243169999999898E-3</v>
      </c>
      <c r="AA2503">
        <v>0.98871920000000002</v>
      </c>
      <c r="AB2503">
        <v>42</v>
      </c>
      <c r="AC2503">
        <v>-17.514399999999998</v>
      </c>
      <c r="AD2503">
        <v>-1.104990196126</v>
      </c>
      <c r="AE2503">
        <v>-1.8353000000000099</v>
      </c>
      <c r="AF2503">
        <v>-2.6671866861227702</v>
      </c>
      <c r="AG2503">
        <v>-1.104990196126</v>
      </c>
      <c r="AH2503">
        <v>17.337271656710499</v>
      </c>
      <c r="AI2503">
        <v>93.604520108929606</v>
      </c>
      <c r="AJ2503">
        <v>98.745885021925602</v>
      </c>
      <c r="AK2503">
        <v>17.576002863300399</v>
      </c>
      <c r="AL2503">
        <v>83.964145231920099</v>
      </c>
      <c r="AM2503">
        <v>91.477442308088996</v>
      </c>
      <c r="AN2503">
        <v>1.0000000151522599</v>
      </c>
    </row>
    <row r="2504" spans="1:40" x14ac:dyDescent="0.3">
      <c r="A2504" t="str">
        <f>"20200111150004692"</f>
        <v>20200111150004692</v>
      </c>
      <c r="B2504" t="str">
        <f>"1578726004688536"</f>
        <v>1578726004688536</v>
      </c>
      <c r="C2504" t="s">
        <v>40</v>
      </c>
      <c r="D2504">
        <v>4.1270480000000003</v>
      </c>
      <c r="E2504">
        <v>0.45434859999999999</v>
      </c>
      <c r="F2504" t="s">
        <v>66</v>
      </c>
      <c r="G2504">
        <v>-303.69630000000001</v>
      </c>
      <c r="H2504" s="1">
        <v>3.6221550000000001E-6</v>
      </c>
      <c r="I2504">
        <v>281.03359999999998</v>
      </c>
      <c r="J2504">
        <v>-285.37520000000001</v>
      </c>
      <c r="K2504">
        <v>1.10511</v>
      </c>
      <c r="L2504">
        <v>282.96510000000001</v>
      </c>
      <c r="M2504">
        <v>-0.99884150000000005</v>
      </c>
      <c r="N2504">
        <v>0</v>
      </c>
      <c r="O2504">
        <v>4.727481E-2</v>
      </c>
      <c r="P2504">
        <v>-0.99509510000000001</v>
      </c>
      <c r="Q2504">
        <v>9.6471459999999995E-2</v>
      </c>
      <c r="R2504">
        <v>2.1882860000000001E-2</v>
      </c>
      <c r="S2504">
        <v>-3.0394589999999999</v>
      </c>
      <c r="T2504">
        <v>-0.18075849999999999</v>
      </c>
      <c r="U2504">
        <v>-0.31402590000000002</v>
      </c>
      <c r="V2504">
        <v>-2.5493459999999999E-2</v>
      </c>
      <c r="W2504">
        <v>0.10533239999999899</v>
      </c>
      <c r="X2504">
        <v>0.99411020000000005</v>
      </c>
      <c r="Y2504">
        <v>-0.14933669999999999</v>
      </c>
      <c r="Z2504">
        <v>-7.2274879999999998E-3</v>
      </c>
      <c r="AA2504">
        <v>0.98875999999999997</v>
      </c>
      <c r="AB2504">
        <v>42</v>
      </c>
      <c r="AC2504">
        <v>-18.321100000000001</v>
      </c>
      <c r="AD2504">
        <v>-1.1051063778450001</v>
      </c>
      <c r="AE2504">
        <v>-1.93150000000002</v>
      </c>
      <c r="AF2504">
        <v>-2.7854785910186699</v>
      </c>
      <c r="AG2504">
        <v>-1.1051063778450001</v>
      </c>
      <c r="AH2504">
        <v>18.144010221083601</v>
      </c>
      <c r="AI2504">
        <v>93.445173651045295</v>
      </c>
      <c r="AJ2504">
        <v>98.727937493278105</v>
      </c>
      <c r="AK2504">
        <v>18.389813973778001</v>
      </c>
      <c r="AL2504">
        <v>83.953681881575093</v>
      </c>
      <c r="AM2504">
        <v>91.468999705902206</v>
      </c>
      <c r="AN2504">
        <v>0.99999996036828498</v>
      </c>
    </row>
    <row r="2505" spans="1:40" x14ac:dyDescent="0.3">
      <c r="A2505" t="str">
        <f>"20200111150004709"</f>
        <v>20200111150004709</v>
      </c>
      <c r="B2505" t="str">
        <f>"1578726004698296"</f>
        <v>1578726004698296</v>
      </c>
      <c r="C2505" t="s">
        <v>40</v>
      </c>
      <c r="D2505">
        <v>4.2024629999999998</v>
      </c>
      <c r="E2505">
        <v>0.45459850000000002</v>
      </c>
      <c r="F2505" t="s">
        <v>66</v>
      </c>
      <c r="G2505">
        <v>-304.59019999999998</v>
      </c>
      <c r="H2505" s="1">
        <v>3.4671179999999999E-6</v>
      </c>
      <c r="I2505">
        <v>280.99329999999998</v>
      </c>
      <c r="J2505">
        <v>-285.69510000000002</v>
      </c>
      <c r="K2505">
        <v>1.105248</v>
      </c>
      <c r="L2505">
        <v>282.9794</v>
      </c>
      <c r="M2505">
        <v>-0.99889930000000005</v>
      </c>
      <c r="N2505">
        <v>0</v>
      </c>
      <c r="O2505">
        <v>4.603662E-2</v>
      </c>
      <c r="P2505">
        <v>-0.99508799999999997</v>
      </c>
      <c r="Q2505">
        <v>9.6679399999999999E-2</v>
      </c>
      <c r="R2505">
        <v>2.1286030000000001E-2</v>
      </c>
      <c r="S2505">
        <v>-3.038605</v>
      </c>
      <c r="T2505">
        <v>-0.17475839999999901</v>
      </c>
      <c r="U2505">
        <v>-0.31182860000000001</v>
      </c>
      <c r="V2505">
        <v>-2.489135E-2</v>
      </c>
      <c r="W2505">
        <v>0.10554529999999999</v>
      </c>
      <c r="X2505">
        <v>0.99410290000000001</v>
      </c>
      <c r="Y2505">
        <v>-0.14745910000000001</v>
      </c>
      <c r="Z2505">
        <v>-6.8653719999999998E-3</v>
      </c>
      <c r="AA2505">
        <v>0.98904429999999999</v>
      </c>
      <c r="AB2505">
        <v>42</v>
      </c>
      <c r="AC2505">
        <v>-18.8950999999999</v>
      </c>
      <c r="AD2505">
        <v>-1.105244532882</v>
      </c>
      <c r="AE2505">
        <v>-1.98610000000002</v>
      </c>
      <c r="AF2505">
        <v>-2.8442703979088502</v>
      </c>
      <c r="AG2505">
        <v>-1.105244532882</v>
      </c>
      <c r="AH2505">
        <v>18.7202761260465</v>
      </c>
      <c r="AI2505">
        <v>93.340569750319204</v>
      </c>
      <c r="AJ2505">
        <v>98.639178110492693</v>
      </c>
      <c r="AK2505">
        <v>18.967345038494798</v>
      </c>
      <c r="AL2505">
        <v>83.941415368652102</v>
      </c>
      <c r="AM2505">
        <v>91.434329752918302</v>
      </c>
      <c r="AN2505">
        <v>0.999999982722661</v>
      </c>
    </row>
    <row r="2506" spans="1:40" x14ac:dyDescent="0.3">
      <c r="A2506" t="str">
        <f>"20200111150004722"</f>
        <v>20200111150004722</v>
      </c>
      <c r="B2506" t="str">
        <f>"1578726004718792"</f>
        <v>1578726004718792</v>
      </c>
      <c r="C2506" t="s">
        <v>40</v>
      </c>
      <c r="D2506">
        <v>4.1003160000000003</v>
      </c>
      <c r="E2506">
        <v>0.45482640000000002</v>
      </c>
      <c r="F2506" t="s">
        <v>66</v>
      </c>
      <c r="G2506">
        <v>-305.19639999999998</v>
      </c>
      <c r="H2506" s="1">
        <v>3.3608480000000001E-6</v>
      </c>
      <c r="I2506">
        <v>280.97890000000001</v>
      </c>
      <c r="J2506">
        <v>-285.93680000000001</v>
      </c>
      <c r="K2506">
        <v>1.1053550000000001</v>
      </c>
      <c r="L2506">
        <v>282.99</v>
      </c>
      <c r="M2506">
        <v>-0.99894439999999995</v>
      </c>
      <c r="N2506">
        <v>0</v>
      </c>
      <c r="O2506">
        <v>4.5048640000000001E-2</v>
      </c>
      <c r="P2506">
        <v>-0.99506660000000002</v>
      </c>
      <c r="Q2506">
        <v>9.7027180000000005E-2</v>
      </c>
      <c r="R2506">
        <v>2.0700710000000001E-2</v>
      </c>
      <c r="S2506">
        <v>-3.038208</v>
      </c>
      <c r="T2506">
        <v>-0.17219189999999901</v>
      </c>
      <c r="U2506">
        <v>-0.31167600000000001</v>
      </c>
      <c r="V2506">
        <v>-2.4519260000000001E-2</v>
      </c>
      <c r="W2506">
        <v>0.105896699999999</v>
      </c>
      <c r="X2506">
        <v>0.99407480000000004</v>
      </c>
      <c r="Y2506">
        <v>-0.14645710000000001</v>
      </c>
      <c r="Z2506">
        <v>-6.6814760000000004E-3</v>
      </c>
      <c r="AA2506">
        <v>0.98919449999999998</v>
      </c>
      <c r="AB2506">
        <v>42</v>
      </c>
      <c r="AC2506">
        <v>-19.259599999999899</v>
      </c>
      <c r="AD2506">
        <v>-1.105351639152</v>
      </c>
      <c r="AE2506">
        <v>-2.0110999999999901</v>
      </c>
      <c r="AF2506">
        <v>-2.8673690876149198</v>
      </c>
      <c r="AG2506">
        <v>-1.105351639152</v>
      </c>
      <c r="AH2506">
        <v>19.087252208332099</v>
      </c>
      <c r="AI2506">
        <v>93.277627708124498</v>
      </c>
      <c r="AJ2506">
        <v>98.5433338029477</v>
      </c>
      <c r="AK2506">
        <v>19.333049542047501</v>
      </c>
      <c r="AL2506">
        <v>83.921168308143706</v>
      </c>
      <c r="AM2506">
        <v>91.412937259255699</v>
      </c>
      <c r="AN2506">
        <v>1.00000000658843</v>
      </c>
    </row>
    <row r="2507" spans="1:40" x14ac:dyDescent="0.3">
      <c r="A2507" t="str">
        <f>"20200111150004735"</f>
        <v>20200111150004735</v>
      </c>
      <c r="B2507" t="str">
        <f>"1578726004728552"</f>
        <v>1578726004728552</v>
      </c>
      <c r="C2507" t="s">
        <v>40</v>
      </c>
      <c r="D2507">
        <v>4.1058450000000004</v>
      </c>
      <c r="E2507">
        <v>0.45445029999999997</v>
      </c>
      <c r="F2507" t="s">
        <v>66</v>
      </c>
      <c r="G2507">
        <v>-305.52210000000002</v>
      </c>
      <c r="H2507" s="1">
        <v>3.3030579999999999E-6</v>
      </c>
      <c r="I2507">
        <v>280.97899999999998</v>
      </c>
      <c r="J2507">
        <v>-286.19490000000002</v>
      </c>
      <c r="K2507">
        <v>1.105464</v>
      </c>
      <c r="L2507">
        <v>283.00080000000003</v>
      </c>
      <c r="M2507">
        <v>-0.99899459999999995</v>
      </c>
      <c r="N2507">
        <v>0</v>
      </c>
      <c r="O2507">
        <v>4.3915269999999999E-2</v>
      </c>
      <c r="P2507">
        <v>-0.99505790000000005</v>
      </c>
      <c r="Q2507">
        <v>9.7269510000000003E-2</v>
      </c>
      <c r="R2507">
        <v>1.995806E-2</v>
      </c>
      <c r="S2507">
        <v>-3.0380859999999998</v>
      </c>
      <c r="T2507">
        <v>-0.17146249999999999</v>
      </c>
      <c r="U2507">
        <v>-0.31195070000000003</v>
      </c>
      <c r="V2507">
        <v>-2.4161220000000001E-2</v>
      </c>
      <c r="W2507">
        <v>0.1061428</v>
      </c>
      <c r="X2507">
        <v>0.99405730000000003</v>
      </c>
      <c r="Y2507">
        <v>-0.14543329999999999</v>
      </c>
      <c r="Z2507">
        <v>-6.5608899999999998E-3</v>
      </c>
      <c r="AA2507">
        <v>0.98934630000000001</v>
      </c>
      <c r="AB2507">
        <v>42</v>
      </c>
      <c r="AC2507">
        <v>-19.327200000000001</v>
      </c>
      <c r="AD2507">
        <v>-1.105460696942</v>
      </c>
      <c r="AE2507">
        <v>-2.0217999999999798</v>
      </c>
      <c r="AF2507">
        <v>-2.8593897393465202</v>
      </c>
      <c r="AG2507">
        <v>-1.105460696942</v>
      </c>
      <c r="AH2507">
        <v>19.157764788083501</v>
      </c>
      <c r="AI2507">
        <v>93.266374354835193</v>
      </c>
      <c r="AJ2507">
        <v>98.489007834829707</v>
      </c>
      <c r="AK2507">
        <v>19.4014974862637</v>
      </c>
      <c r="AL2507">
        <v>83.906987777294503</v>
      </c>
      <c r="AM2507">
        <v>91.392337669726501</v>
      </c>
      <c r="AN2507">
        <v>0.99999998711350901</v>
      </c>
    </row>
    <row r="2508" spans="1:40" x14ac:dyDescent="0.3">
      <c r="A2508" t="str">
        <f>"20200111150004748"</f>
        <v>20200111150004748</v>
      </c>
      <c r="B2508" t="str">
        <f>"1578726004738314"</f>
        <v>1578726004738314</v>
      </c>
      <c r="C2508" t="s">
        <v>40</v>
      </c>
      <c r="D2508">
        <v>4.0059779999999998</v>
      </c>
      <c r="E2508">
        <v>0.45438780000000001</v>
      </c>
      <c r="F2508" t="s">
        <v>66</v>
      </c>
      <c r="G2508">
        <v>-305.55009999999999</v>
      </c>
      <c r="H2508" s="1">
        <v>3.2981569999999999E-6</v>
      </c>
      <c r="I2508">
        <v>280.97829999999999</v>
      </c>
      <c r="J2508">
        <v>-286.4264</v>
      </c>
      <c r="K2508">
        <v>1.1055630000000001</v>
      </c>
      <c r="L2508">
        <v>283.01029999999997</v>
      </c>
      <c r="M2508">
        <v>-0.9990405</v>
      </c>
      <c r="N2508">
        <v>0</v>
      </c>
      <c r="O2508">
        <v>4.2857960000000001E-2</v>
      </c>
      <c r="P2508">
        <v>-0.99507509999999999</v>
      </c>
      <c r="Q2508">
        <v>9.7226019999999996E-2</v>
      </c>
      <c r="R2508">
        <v>1.930929E-2</v>
      </c>
      <c r="S2508">
        <v>-3.0382389999999999</v>
      </c>
      <c r="T2508">
        <v>-0.17352770000000001</v>
      </c>
      <c r="U2508">
        <v>-0.31747439999999999</v>
      </c>
      <c r="V2508">
        <v>-2.378164E-2</v>
      </c>
      <c r="W2508">
        <v>0.1061039</v>
      </c>
      <c r="X2508">
        <v>0.99407060000000003</v>
      </c>
      <c r="Y2508">
        <v>-0.14615420000000001</v>
      </c>
      <c r="Z2508">
        <v>-6.5991720000000004E-3</v>
      </c>
      <c r="AA2508">
        <v>0.9892398</v>
      </c>
      <c r="AB2508">
        <v>42</v>
      </c>
      <c r="AC2508">
        <v>-19.1236999999999</v>
      </c>
      <c r="AD2508">
        <v>-1.1055597018429999</v>
      </c>
      <c r="AE2508">
        <v>-2.03199999999998</v>
      </c>
      <c r="AF2508">
        <v>-2.8403819901979701</v>
      </c>
      <c r="AG2508">
        <v>-1.1055597018429999</v>
      </c>
      <c r="AH2508">
        <v>18.9563893222997</v>
      </c>
      <c r="AI2508">
        <v>93.301011185200394</v>
      </c>
      <c r="AJ2508">
        <v>98.521671546394103</v>
      </c>
      <c r="AK2508">
        <v>19.1998627141753</v>
      </c>
      <c r="AL2508">
        <v>83.909229202704395</v>
      </c>
      <c r="AM2508">
        <v>91.370453707850103</v>
      </c>
      <c r="AN2508">
        <v>0.99999998089032904</v>
      </c>
    </row>
    <row r="2509" spans="1:40" x14ac:dyDescent="0.3">
      <c r="A2509" t="str">
        <f>"20200111150004759"</f>
        <v>20200111150004759</v>
      </c>
      <c r="B2509" t="str">
        <f>"1578726004749048"</f>
        <v>1578726004749048</v>
      </c>
      <c r="C2509" t="s">
        <v>40</v>
      </c>
      <c r="D2509">
        <v>3.9915430000000001</v>
      </c>
      <c r="E2509">
        <v>0.45434150000000001</v>
      </c>
      <c r="F2509" t="s">
        <v>66</v>
      </c>
      <c r="G2509">
        <v>-305.57240000000002</v>
      </c>
      <c r="H2509" s="1">
        <v>3.2928099999999999E-6</v>
      </c>
      <c r="I2509">
        <v>280.99430000000001</v>
      </c>
      <c r="J2509">
        <v>-286.6671</v>
      </c>
      <c r="K2509">
        <v>1.105664</v>
      </c>
      <c r="L2509">
        <v>283.02</v>
      </c>
      <c r="M2509">
        <v>-0.99908819999999998</v>
      </c>
      <c r="N2509">
        <v>0</v>
      </c>
      <c r="O2509">
        <v>4.1729229999999999E-2</v>
      </c>
      <c r="P2509">
        <v>-0.99507659999999998</v>
      </c>
      <c r="Q2509">
        <v>9.7396280000000002E-2</v>
      </c>
      <c r="R2509">
        <v>1.8354659999999998E-2</v>
      </c>
      <c r="S2509">
        <v>-3.038208</v>
      </c>
      <c r="T2509">
        <v>-0.1754376</v>
      </c>
      <c r="U2509">
        <v>-0.31991579999999997</v>
      </c>
      <c r="V2509">
        <v>-2.3637579999999998E-2</v>
      </c>
      <c r="W2509">
        <v>0.10627739999999999</v>
      </c>
      <c r="X2509">
        <v>0.99405549999999998</v>
      </c>
      <c r="Y2509">
        <v>-0.14581959999999999</v>
      </c>
      <c r="Z2509">
        <v>-6.5968809999999998E-3</v>
      </c>
      <c r="AA2509">
        <v>0.98928919999999998</v>
      </c>
      <c r="AB2509">
        <v>43</v>
      </c>
      <c r="AC2509">
        <v>-18.9053</v>
      </c>
      <c r="AD2509">
        <v>-1.10566070719</v>
      </c>
      <c r="AE2509">
        <v>-2.0256999999999699</v>
      </c>
      <c r="AF2509">
        <v>-2.8033912473984399</v>
      </c>
      <c r="AG2509">
        <v>-1.10566070719</v>
      </c>
      <c r="AH2509">
        <v>18.740923162661201</v>
      </c>
      <c r="AI2509">
        <v>93.339304699227199</v>
      </c>
      <c r="AJ2509">
        <v>98.507600149800595</v>
      </c>
      <c r="AK2509">
        <v>18.981667183737699</v>
      </c>
      <c r="AL2509">
        <v>83.899231846126696</v>
      </c>
      <c r="AM2509">
        <v>91.362175849052406</v>
      </c>
      <c r="AN2509">
        <v>0.999999979009633</v>
      </c>
    </row>
    <row r="2510" spans="1:40" x14ac:dyDescent="0.3">
      <c r="A2510" t="str">
        <f>"20200111150004777"</f>
        <v>20200111150004777</v>
      </c>
      <c r="B2510" t="str">
        <f>"1578726004768567"</f>
        <v>1578726004768567</v>
      </c>
      <c r="C2510" t="s">
        <v>40</v>
      </c>
      <c r="D2510">
        <v>4.0080600000000004</v>
      </c>
      <c r="E2510">
        <v>0.45412989999999998</v>
      </c>
      <c r="F2510" t="s">
        <v>66</v>
      </c>
      <c r="G2510">
        <v>-305.63490000000002</v>
      </c>
      <c r="H2510" s="1">
        <v>3.2809650000000001E-6</v>
      </c>
      <c r="I2510">
        <v>281.00279999999998</v>
      </c>
      <c r="J2510">
        <v>-286.9914</v>
      </c>
      <c r="K2510">
        <v>1.1057939999999999</v>
      </c>
      <c r="L2510">
        <v>283.0324</v>
      </c>
      <c r="M2510">
        <v>-0.99915410000000004</v>
      </c>
      <c r="N2510">
        <v>0</v>
      </c>
      <c r="O2510">
        <v>4.0118529999999999E-2</v>
      </c>
      <c r="P2510">
        <v>-0.99509630000000004</v>
      </c>
      <c r="Q2510">
        <v>9.7369750000000005E-2</v>
      </c>
      <c r="R2510">
        <v>1.7397159999999998E-2</v>
      </c>
      <c r="S2510">
        <v>-3.0381469999999999</v>
      </c>
      <c r="T2510">
        <v>-0.17709759999999999</v>
      </c>
      <c r="U2510">
        <v>-0.32308959999999998</v>
      </c>
      <c r="V2510">
        <v>-2.3025210000000001E-2</v>
      </c>
      <c r="W2510">
        <v>0.10625800000000001</v>
      </c>
      <c r="X2510">
        <v>0.99407199999999996</v>
      </c>
      <c r="Y2510">
        <v>-0.14524670000000001</v>
      </c>
      <c r="Z2510">
        <v>-6.5487499999999999E-3</v>
      </c>
      <c r="AA2510">
        <v>0.98937379999999997</v>
      </c>
      <c r="AB2510">
        <v>43</v>
      </c>
      <c r="AC2510">
        <v>-18.6435</v>
      </c>
      <c r="AD2510">
        <v>-1.105790719035</v>
      </c>
      <c r="AE2510">
        <v>-2.0296000000000101</v>
      </c>
      <c r="AF2510">
        <v>-2.7663283691551999</v>
      </c>
      <c r="AG2510">
        <v>-1.105790719035</v>
      </c>
      <c r="AH2510">
        <v>18.482801316958898</v>
      </c>
      <c r="AI2510">
        <v>93.386187837761497</v>
      </c>
      <c r="AJ2510">
        <v>98.512295896171196</v>
      </c>
      <c r="AK2510">
        <v>18.721359199654199</v>
      </c>
      <c r="AL2510">
        <v>83.900350038720106</v>
      </c>
      <c r="AM2510">
        <v>91.326877233181605</v>
      </c>
      <c r="AN2510">
        <v>1.0000000320217699</v>
      </c>
    </row>
    <row r="2511" spans="1:40" x14ac:dyDescent="0.3">
      <c r="A2511" t="str">
        <f>"20200111150004791"</f>
        <v>20200111150004791</v>
      </c>
      <c r="B2511" t="str">
        <f>"1578726004789064"</f>
        <v>1578726004789064</v>
      </c>
      <c r="C2511" t="s">
        <v>40</v>
      </c>
      <c r="D2511">
        <v>3.8792840000000002</v>
      </c>
      <c r="E2511">
        <v>0.45413170000000003</v>
      </c>
      <c r="F2511" t="s">
        <v>66</v>
      </c>
      <c r="G2511">
        <v>-305.61439999999999</v>
      </c>
      <c r="H2511" s="1">
        <v>3.2830280000000001E-6</v>
      </c>
      <c r="I2511">
        <v>281.02069999999998</v>
      </c>
      <c r="J2511">
        <v>-287.25569999999999</v>
      </c>
      <c r="K2511">
        <v>1.1058939999999999</v>
      </c>
      <c r="L2511">
        <v>283.04199999999997</v>
      </c>
      <c r="M2511">
        <v>-0.99920790000000004</v>
      </c>
      <c r="N2511">
        <v>0</v>
      </c>
      <c r="O2511">
        <v>3.8752580000000002E-2</v>
      </c>
      <c r="P2511">
        <v>-0.99513830000000003</v>
      </c>
      <c r="Q2511">
        <v>9.7121219999999994E-2</v>
      </c>
      <c r="R2511">
        <v>1.635143E-2</v>
      </c>
      <c r="S2511">
        <v>-3.038208</v>
      </c>
      <c r="T2511">
        <v>-0.1804008</v>
      </c>
      <c r="U2511">
        <v>-0.32818599999999998</v>
      </c>
      <c r="V2511">
        <v>-2.2736180000000002E-2</v>
      </c>
      <c r="W2511">
        <v>0.10601480000000001</v>
      </c>
      <c r="X2511">
        <v>0.9941046</v>
      </c>
      <c r="Y2511">
        <v>-0.14552309999999999</v>
      </c>
      <c r="Z2511">
        <v>-6.597314E-3</v>
      </c>
      <c r="AA2511">
        <v>0.98933289999999996</v>
      </c>
      <c r="AB2511">
        <v>43</v>
      </c>
      <c r="AC2511">
        <v>-18.358699999999999</v>
      </c>
      <c r="AD2511">
        <v>-1.105890716972</v>
      </c>
      <c r="AE2511">
        <v>-2.0213000000000498</v>
      </c>
      <c r="AF2511">
        <v>-2.72150064762012</v>
      </c>
      <c r="AG2511">
        <v>-1.105890716972</v>
      </c>
      <c r="AH2511">
        <v>18.2013201805721</v>
      </c>
      <c r="AI2511">
        <v>93.438814731575505</v>
      </c>
      <c r="AJ2511">
        <v>98.503987787465604</v>
      </c>
      <c r="AK2511">
        <v>18.436854839385798</v>
      </c>
      <c r="AL2511">
        <v>83.914363414149193</v>
      </c>
      <c r="AM2511">
        <v>91.310184149190505</v>
      </c>
      <c r="AN2511">
        <v>1.00000001372059</v>
      </c>
    </row>
    <row r="2512" spans="1:40" x14ac:dyDescent="0.3">
      <c r="A2512" t="str">
        <f>"20200111150004809"</f>
        <v>20200111150004809</v>
      </c>
      <c r="B2512" t="str">
        <f>"1578726004798824"</f>
        <v>1578726004798824</v>
      </c>
      <c r="C2512" t="s">
        <v>40</v>
      </c>
      <c r="D2512">
        <v>3.948045</v>
      </c>
      <c r="E2512">
        <v>0.45391340000000002</v>
      </c>
      <c r="F2512" t="s">
        <v>66</v>
      </c>
      <c r="G2512">
        <v>-305.69959999999998</v>
      </c>
      <c r="H2512" s="1">
        <v>3.2672930000000001E-6</v>
      </c>
      <c r="I2512">
        <v>281.02800000000002</v>
      </c>
      <c r="J2512">
        <v>-287.60059999999999</v>
      </c>
      <c r="K2512">
        <v>1.1060140000000001</v>
      </c>
      <c r="L2512">
        <v>283.05410000000001</v>
      </c>
      <c r="M2512">
        <v>-0.99927730000000003</v>
      </c>
      <c r="N2512">
        <v>0</v>
      </c>
      <c r="O2512">
        <v>3.6914809999999999E-2</v>
      </c>
      <c r="P2512">
        <v>-0.99516059999999995</v>
      </c>
      <c r="Q2512">
        <v>9.7085539999999998E-2</v>
      </c>
      <c r="R2512">
        <v>1.5155790000000001E-2</v>
      </c>
      <c r="S2512">
        <v>-3.0378720000000001</v>
      </c>
      <c r="T2512">
        <v>-0.1821507</v>
      </c>
      <c r="U2512">
        <v>-0.33172610000000002</v>
      </c>
      <c r="V2512">
        <v>-2.21347E-2</v>
      </c>
      <c r="W2512">
        <v>0.10598730000000001</v>
      </c>
      <c r="X2512">
        <v>0.99412109999999998</v>
      </c>
      <c r="Y2512">
        <v>-0.144852799999999</v>
      </c>
      <c r="Z2512">
        <v>-6.5316760000000001E-3</v>
      </c>
      <c r="AA2512">
        <v>0.98943170000000003</v>
      </c>
      <c r="AB2512">
        <v>43</v>
      </c>
      <c r="AC2512">
        <v>-18.098999999999901</v>
      </c>
      <c r="AD2512">
        <v>-1.1060107327069999</v>
      </c>
      <c r="AE2512">
        <v>-2.02609999999998</v>
      </c>
      <c r="AF2512">
        <v>-2.68297249926496</v>
      </c>
      <c r="AG2512">
        <v>-1.1060107327069999</v>
      </c>
      <c r="AH2512">
        <v>17.945681639402999</v>
      </c>
      <c r="AI2512">
        <v>93.488067214944607</v>
      </c>
      <c r="AJ2512">
        <v>98.503036787711906</v>
      </c>
      <c r="AK2512">
        <v>18.1788088354403</v>
      </c>
      <c r="AL2512">
        <v>83.915947934932205</v>
      </c>
      <c r="AM2512">
        <v>91.275513995286403</v>
      </c>
      <c r="AN2512">
        <v>1.0000000070852899</v>
      </c>
    </row>
    <row r="2513" spans="1:40" x14ac:dyDescent="0.3">
      <c r="A2513" t="str">
        <f>"20200111150004824"</f>
        <v>20200111150004824</v>
      </c>
      <c r="B2513" t="str">
        <f>"1578726004818346"</f>
        <v>1578726004818346</v>
      </c>
      <c r="C2513" t="s">
        <v>40</v>
      </c>
      <c r="D2513">
        <v>3.9781179999999998</v>
      </c>
      <c r="E2513">
        <v>0.45378980000000002</v>
      </c>
      <c r="F2513" t="s">
        <v>66</v>
      </c>
      <c r="G2513">
        <v>-306.0292</v>
      </c>
      <c r="H2513" s="1">
        <v>3.2104830000000002E-6</v>
      </c>
      <c r="I2513">
        <v>281.00889999999998</v>
      </c>
      <c r="J2513">
        <v>-287.88260000000002</v>
      </c>
      <c r="K2513">
        <v>1.106109</v>
      </c>
      <c r="L2513">
        <v>283.06360000000001</v>
      </c>
      <c r="M2513">
        <v>-0.99933309999999997</v>
      </c>
      <c r="N2513">
        <v>0</v>
      </c>
      <c r="O2513">
        <v>3.5370110000000003E-2</v>
      </c>
      <c r="P2513">
        <v>-0.99517670000000003</v>
      </c>
      <c r="Q2513">
        <v>9.7094420000000001E-2</v>
      </c>
      <c r="R2513">
        <v>1.401294E-2</v>
      </c>
      <c r="S2513">
        <v>-3.0374759999999998</v>
      </c>
      <c r="T2513">
        <v>-0.1822973</v>
      </c>
      <c r="U2513">
        <v>-0.33709719999999999</v>
      </c>
      <c r="V2513">
        <v>-2.1763970000000001E-2</v>
      </c>
      <c r="W2513">
        <v>0.1060029</v>
      </c>
      <c r="X2513">
        <v>0.9941276</v>
      </c>
      <c r="Y2513">
        <v>-0.1450679</v>
      </c>
      <c r="Z2513">
        <v>-6.4511999999999998E-3</v>
      </c>
      <c r="AA2513">
        <v>0.98940070000000002</v>
      </c>
      <c r="AB2513">
        <v>43</v>
      </c>
      <c r="AC2513">
        <v>-18.1465999999999</v>
      </c>
      <c r="AD2513">
        <v>-1.1061057895169999</v>
      </c>
      <c r="AE2513">
        <v>-2.05470000000002</v>
      </c>
      <c r="AF2513">
        <v>-2.6854367749127102</v>
      </c>
      <c r="AG2513">
        <v>-1.1061057895169999</v>
      </c>
      <c r="AH2513">
        <v>17.9965488836567</v>
      </c>
      <c r="AI2513">
        <v>93.478675455225002</v>
      </c>
      <c r="AJ2513">
        <v>98.487027630764203</v>
      </c>
      <c r="AK2513">
        <v>18.229394186628902</v>
      </c>
      <c r="AL2513">
        <v>83.915048923047195</v>
      </c>
      <c r="AM2513">
        <v>91.254149330922004</v>
      </c>
      <c r="AN2513">
        <v>0.99999998514016497</v>
      </c>
    </row>
    <row r="2514" spans="1:40" x14ac:dyDescent="0.3">
      <c r="A2514" t="str">
        <f>"20200111150004837"</f>
        <v>20200111150004837</v>
      </c>
      <c r="B2514" t="str">
        <f>"1578726004828104"</f>
        <v>1578726004828104</v>
      </c>
      <c r="C2514" t="s">
        <v>40</v>
      </c>
      <c r="D2514">
        <v>3.9661569999999999</v>
      </c>
      <c r="E2514">
        <v>0.45357189999999997</v>
      </c>
      <c r="F2514" t="s">
        <v>66</v>
      </c>
      <c r="G2514">
        <v>-306.54109999999997</v>
      </c>
      <c r="H2514" s="1">
        <v>3.1235389999999998E-6</v>
      </c>
      <c r="I2514">
        <v>280.9649</v>
      </c>
      <c r="J2514">
        <v>-288.15260000000001</v>
      </c>
      <c r="K2514">
        <v>1.1061920000000001</v>
      </c>
      <c r="L2514">
        <v>283.07220000000001</v>
      </c>
      <c r="M2514">
        <v>-0.99938550000000004</v>
      </c>
      <c r="N2514">
        <v>0</v>
      </c>
      <c r="O2514">
        <v>3.3856410000000003E-2</v>
      </c>
      <c r="P2514">
        <v>-0.99522189999999999</v>
      </c>
      <c r="Q2514">
        <v>9.6842170000000005E-2</v>
      </c>
      <c r="R2514">
        <v>1.2456709999999999E-2</v>
      </c>
      <c r="S2514">
        <v>-3.0369259999999998</v>
      </c>
      <c r="T2514">
        <v>-0.18003379999999999</v>
      </c>
      <c r="U2514">
        <v>-0.34158329999999998</v>
      </c>
      <c r="V2514">
        <v>-2.183471E-2</v>
      </c>
      <c r="W2514">
        <v>0.1057554</v>
      </c>
      <c r="X2514">
        <v>0.99415240000000005</v>
      </c>
      <c r="Y2514">
        <v>-0.14504300000000001</v>
      </c>
      <c r="Z2514">
        <v>-6.2817109999999997E-3</v>
      </c>
      <c r="AA2514">
        <v>0.98940539999999999</v>
      </c>
      <c r="AB2514">
        <v>43</v>
      </c>
      <c r="AC2514">
        <v>-18.388499999999901</v>
      </c>
      <c r="AD2514">
        <v>-1.1061888764609999</v>
      </c>
      <c r="AE2514">
        <v>-2.1073</v>
      </c>
      <c r="AF2514">
        <v>-2.7189741275324302</v>
      </c>
      <c r="AG2514">
        <v>-1.1061888764609999</v>
      </c>
      <c r="AH2514">
        <v>18.241451908168202</v>
      </c>
      <c r="AI2514">
        <v>93.4324239728073</v>
      </c>
      <c r="AJ2514">
        <v>98.477788356677806</v>
      </c>
      <c r="AK2514">
        <v>18.476120855163501</v>
      </c>
      <c r="AL2514">
        <v>83.929309738210705</v>
      </c>
      <c r="AM2514">
        <v>91.258193039514893</v>
      </c>
      <c r="AN2514">
        <v>0.99999997680785102</v>
      </c>
    </row>
    <row r="2515" spans="1:40" x14ac:dyDescent="0.3">
      <c r="A2515" t="str">
        <f>"20200111150004855"</f>
        <v>20200111150004855</v>
      </c>
      <c r="B2515" t="str">
        <f>"1578726004848599"</f>
        <v>1578726004848599</v>
      </c>
      <c r="C2515" t="s">
        <v>40</v>
      </c>
      <c r="D2515">
        <v>3.9372530000000001</v>
      </c>
      <c r="E2515">
        <v>0.45342529999999998</v>
      </c>
      <c r="F2515" t="s">
        <v>66</v>
      </c>
      <c r="G2515">
        <v>-306.62009999999998</v>
      </c>
      <c r="H2515" s="1">
        <v>3.1104049999999998E-6</v>
      </c>
      <c r="I2515">
        <v>280.95479999999998</v>
      </c>
      <c r="J2515">
        <v>-288.46550000000002</v>
      </c>
      <c r="K2515">
        <v>1.1062749999999999</v>
      </c>
      <c r="L2515">
        <v>283.08150000000001</v>
      </c>
      <c r="M2515">
        <v>-0.99944440000000001</v>
      </c>
      <c r="N2515">
        <v>0</v>
      </c>
      <c r="O2515">
        <v>3.20685E-2</v>
      </c>
      <c r="P2515">
        <v>-0.99525889999999995</v>
      </c>
      <c r="Q2515">
        <v>9.6668359999999995E-2</v>
      </c>
      <c r="R2515">
        <v>1.0753479999999999E-2</v>
      </c>
      <c r="S2515">
        <v>-3.0364689999999999</v>
      </c>
      <c r="T2515">
        <v>-0.1818823</v>
      </c>
      <c r="U2515">
        <v>-0.34814450000000002</v>
      </c>
      <c r="V2515">
        <v>-2.1779159999999999E-2</v>
      </c>
      <c r="W2515">
        <v>0.105589</v>
      </c>
      <c r="X2515">
        <v>0.99417129999999998</v>
      </c>
      <c r="Y2515">
        <v>-0.14539649999999901</v>
      </c>
      <c r="Z2515">
        <v>-6.2501249999999996E-3</v>
      </c>
      <c r="AA2515">
        <v>0.9893537</v>
      </c>
      <c r="AB2515">
        <v>43</v>
      </c>
      <c r="AC2515">
        <v>-18.154599999999899</v>
      </c>
      <c r="AD2515">
        <v>-1.1062718895949999</v>
      </c>
      <c r="AE2515">
        <v>-2.12670000000002</v>
      </c>
      <c r="AF2515">
        <v>-2.69793848006295</v>
      </c>
      <c r="AG2515">
        <v>-1.1062718895949999</v>
      </c>
      <c r="AH2515">
        <v>18.011085203606498</v>
      </c>
      <c r="AI2515">
        <v>93.476104544865194</v>
      </c>
      <c r="AJ2515">
        <v>98.519178441620099</v>
      </c>
      <c r="AK2515">
        <v>18.2455994625412</v>
      </c>
      <c r="AL2515">
        <v>83.938897403616096</v>
      </c>
      <c r="AM2515">
        <v>91.254969226731802</v>
      </c>
      <c r="AN2515">
        <v>0.99999997123749695</v>
      </c>
    </row>
    <row r="2516" spans="1:40" x14ac:dyDescent="0.3">
      <c r="A2516" t="str">
        <f>"20200111150004869"</f>
        <v>20200111150004869</v>
      </c>
      <c r="B2516" t="str">
        <f>"1578726004858360"</f>
        <v>1578726004858360</v>
      </c>
      <c r="C2516" t="s">
        <v>40</v>
      </c>
      <c r="D2516">
        <v>3.8807710000000002</v>
      </c>
      <c r="E2516">
        <v>0.45342529999999998</v>
      </c>
      <c r="F2516" t="s">
        <v>66</v>
      </c>
      <c r="G2516">
        <v>-306.7063</v>
      </c>
      <c r="H2516" s="1">
        <v>3.0952649999999999E-6</v>
      </c>
      <c r="I2516">
        <v>280.95319999999998</v>
      </c>
      <c r="J2516">
        <v>-288.71949999999998</v>
      </c>
      <c r="K2516">
        <v>1.1063339999999999</v>
      </c>
      <c r="L2516">
        <v>283.08879999999999</v>
      </c>
      <c r="M2516">
        <v>-0.99949030000000005</v>
      </c>
      <c r="N2516">
        <v>0</v>
      </c>
      <c r="O2516">
        <v>3.060069E-2</v>
      </c>
      <c r="P2516">
        <v>-0.99530649999999998</v>
      </c>
      <c r="Q2516">
        <v>9.6350920000000007E-2</v>
      </c>
      <c r="R2516">
        <v>9.0262850000000002E-3</v>
      </c>
      <c r="S2516">
        <v>-3.0360109999999998</v>
      </c>
      <c r="T2516">
        <v>-0.1841295</v>
      </c>
      <c r="U2516">
        <v>-0.35424800000000001</v>
      </c>
      <c r="V2516">
        <v>-2.206052E-2</v>
      </c>
      <c r="W2516">
        <v>0.10528029999999999</v>
      </c>
      <c r="X2516">
        <v>0.99419780000000002</v>
      </c>
      <c r="Y2516">
        <v>-0.14591699999999999</v>
      </c>
      <c r="Z2516">
        <v>-6.2544710000000002E-3</v>
      </c>
      <c r="AA2516">
        <v>0.98927710000000002</v>
      </c>
      <c r="AB2516">
        <v>43</v>
      </c>
      <c r="AC2516">
        <v>-17.986799999999999</v>
      </c>
      <c r="AD2516">
        <v>-1.1063309047349901</v>
      </c>
      <c r="AE2516">
        <v>-2.1356000000000099</v>
      </c>
      <c r="AF2516">
        <v>-2.6750514157101901</v>
      </c>
      <c r="AG2516">
        <v>-1.1063309047349901</v>
      </c>
      <c r="AH2516">
        <v>17.846443793982601</v>
      </c>
      <c r="AI2516">
        <v>93.5082291022362</v>
      </c>
      <c r="AJ2516">
        <v>98.524752238578202</v>
      </c>
      <c r="AK2516">
        <v>18.079696464245401</v>
      </c>
      <c r="AL2516">
        <v>83.956683539481304</v>
      </c>
      <c r="AM2516">
        <v>91.271142730454002</v>
      </c>
      <c r="AN2516">
        <v>0.99999993681779797</v>
      </c>
    </row>
    <row r="2517" spans="1:40" x14ac:dyDescent="0.3">
      <c r="A2517" t="str">
        <f>"20200111150004882"</f>
        <v>20200111150004882</v>
      </c>
      <c r="B2517" t="str">
        <f>"1578726004878856"</f>
        <v>1578726004878856</v>
      </c>
      <c r="C2517" t="s">
        <v>40</v>
      </c>
      <c r="D2517">
        <v>3.8695819999999999</v>
      </c>
      <c r="E2517">
        <v>0.48931249999999998</v>
      </c>
      <c r="F2517" t="s">
        <v>66</v>
      </c>
      <c r="G2517">
        <v>-306.8578</v>
      </c>
      <c r="H2517" s="1">
        <v>3.0693500000000001E-6</v>
      </c>
      <c r="I2517">
        <v>280.94200000000001</v>
      </c>
      <c r="J2517">
        <v>-288.98430000000002</v>
      </c>
      <c r="K2517">
        <v>1.106395</v>
      </c>
      <c r="L2517">
        <v>283.096</v>
      </c>
      <c r="M2517">
        <v>-0.99953619999999999</v>
      </c>
      <c r="N2517">
        <v>0</v>
      </c>
      <c r="O2517">
        <v>2.9057380000000001E-2</v>
      </c>
      <c r="P2517">
        <v>-0.99536559999999996</v>
      </c>
      <c r="Q2517">
        <v>9.5889820000000001E-2</v>
      </c>
      <c r="R2517">
        <v>7.2513050000000004E-3</v>
      </c>
      <c r="S2517">
        <v>-3.0353699999999999</v>
      </c>
      <c r="T2517">
        <v>-0.1851389</v>
      </c>
      <c r="U2517">
        <v>-0.35925289999999999</v>
      </c>
      <c r="V2517">
        <v>-2.2312849999999999E-2</v>
      </c>
      <c r="W2517">
        <v>0.1048312</v>
      </c>
      <c r="X2517">
        <v>0.99423969999999995</v>
      </c>
      <c r="Y2517">
        <v>-0.1460216</v>
      </c>
      <c r="Z2517">
        <v>-6.1988240000000003E-3</v>
      </c>
      <c r="AA2517">
        <v>0.98926199999999997</v>
      </c>
      <c r="AB2517">
        <v>43</v>
      </c>
      <c r="AC2517">
        <v>-17.8734999999999</v>
      </c>
      <c r="AD2517">
        <v>-1.1063919306500001</v>
      </c>
      <c r="AE2517">
        <v>-2.1539999999999901</v>
      </c>
      <c r="AF2517">
        <v>-2.66241334130518</v>
      </c>
      <c r="AG2517">
        <v>-1.1063919306500001</v>
      </c>
      <c r="AH2517">
        <v>17.736371322935099</v>
      </c>
      <c r="AI2517">
        <v>93.5300281721197</v>
      </c>
      <c r="AJ2517">
        <v>98.536950343231993</v>
      </c>
      <c r="AK2517">
        <v>17.969179603120502</v>
      </c>
      <c r="AL2517">
        <v>83.982558714546997</v>
      </c>
      <c r="AM2517">
        <v>91.285623146775706</v>
      </c>
      <c r="AN2517">
        <v>1.0000000124123201</v>
      </c>
    </row>
    <row r="2518" spans="1:40" x14ac:dyDescent="0.3">
      <c r="A2518" t="str">
        <f>"20200111150004898"</f>
        <v>20200111150004898</v>
      </c>
      <c r="B2518" t="str">
        <f>"1578726004888615"</f>
        <v>1578726004888615</v>
      </c>
      <c r="C2518" t="s">
        <v>40</v>
      </c>
      <c r="D2518">
        <v>3.878571</v>
      </c>
      <c r="E2518">
        <v>0.49224309999999899</v>
      </c>
      <c r="F2518" t="s">
        <v>62</v>
      </c>
      <c r="G2518">
        <v>-322.1601</v>
      </c>
      <c r="H2518" s="1">
        <v>-2.8445059999999999E-7</v>
      </c>
      <c r="I2518">
        <v>282.26339999999999</v>
      </c>
      <c r="J2518">
        <v>-289.29649999999998</v>
      </c>
      <c r="K2518">
        <v>1.106452</v>
      </c>
      <c r="L2518">
        <v>283.10379999999998</v>
      </c>
      <c r="M2518">
        <v>-0.99958769999999997</v>
      </c>
      <c r="N2518">
        <v>0</v>
      </c>
      <c r="O2518">
        <v>2.722045E-2</v>
      </c>
      <c r="P2518">
        <v>-0.99545700000000004</v>
      </c>
      <c r="Q2518">
        <v>9.5069100000000004E-2</v>
      </c>
      <c r="R2518">
        <v>5.2483640000000002E-3</v>
      </c>
      <c r="S2518">
        <v>-3.0242309999999999</v>
      </c>
      <c r="T2518">
        <v>-0.1008565</v>
      </c>
      <c r="U2518">
        <v>-7.5897220000000001E-2</v>
      </c>
      <c r="V2518">
        <v>-2.250011E-2</v>
      </c>
      <c r="W2518">
        <v>0.1040331</v>
      </c>
      <c r="X2518">
        <v>0.99431930000000002</v>
      </c>
      <c r="Y2518">
        <v>-5.2248040000000003E-2</v>
      </c>
      <c r="Z2518">
        <v>-1.7782679999999999E-3</v>
      </c>
      <c r="AA2518">
        <v>0.99863259999999998</v>
      </c>
      <c r="AB2518">
        <v>43</v>
      </c>
      <c r="AC2518">
        <v>-32.863599999999998</v>
      </c>
      <c r="AD2518">
        <v>-1.1064522844506</v>
      </c>
      <c r="AE2518">
        <v>-0.84039999999998805</v>
      </c>
      <c r="AF2518">
        <v>-1.7327250668635401</v>
      </c>
      <c r="AG2518">
        <v>-1.1064522844506</v>
      </c>
      <c r="AH2518">
        <v>32.791398594729202</v>
      </c>
      <c r="AI2518">
        <v>91.929859261394796</v>
      </c>
      <c r="AJ2518">
        <v>93.024744062340304</v>
      </c>
      <c r="AK2518">
        <v>32.855781753193902</v>
      </c>
      <c r="AL2518">
        <v>84.028537849545799</v>
      </c>
      <c r="AM2518">
        <v>91.296305289641893</v>
      </c>
      <c r="AN2518">
        <v>1.0000000055990499</v>
      </c>
    </row>
    <row r="2519" spans="1:40" x14ac:dyDescent="0.3">
      <c r="A2519" t="str">
        <f>"20200111150004913"</f>
        <v>20200111150004913</v>
      </c>
      <c r="B2519" t="str">
        <f>"1578726004908136"</f>
        <v>1578726004908136</v>
      </c>
      <c r="C2519" t="s">
        <v>40</v>
      </c>
      <c r="D2519">
        <v>3.877904</v>
      </c>
      <c r="E2519">
        <v>0.49453639999999999</v>
      </c>
      <c r="F2519" t="s">
        <v>62</v>
      </c>
      <c r="G2519">
        <v>-324.56389999999999</v>
      </c>
      <c r="H2519" s="1">
        <v>9.876505000000001E-7</v>
      </c>
      <c r="I2519">
        <v>282.42520000000002</v>
      </c>
      <c r="J2519">
        <v>-289.57040000000001</v>
      </c>
      <c r="K2519">
        <v>1.1065</v>
      </c>
      <c r="L2519">
        <v>283.11020000000002</v>
      </c>
      <c r="M2519">
        <v>-0.99963020000000002</v>
      </c>
      <c r="N2519">
        <v>0</v>
      </c>
      <c r="O2519">
        <v>2.559869E-2</v>
      </c>
      <c r="P2519">
        <v>-0.99550930000000004</v>
      </c>
      <c r="Q2519">
        <v>9.4599429999999998E-2</v>
      </c>
      <c r="R2519">
        <v>3.50183E-3</v>
      </c>
      <c r="S2519">
        <v>-3.0230709999999998</v>
      </c>
      <c r="T2519">
        <v>-9.484339E-2</v>
      </c>
      <c r="U2519">
        <v>-5.8166500000000003E-2</v>
      </c>
      <c r="V2519">
        <v>-2.2641979999999999E-2</v>
      </c>
      <c r="W2519">
        <v>0.10358870000000001</v>
      </c>
      <c r="X2519">
        <v>0.99436250000000004</v>
      </c>
      <c r="Y2519">
        <v>-4.4791409999999997E-2</v>
      </c>
      <c r="Z2519">
        <v>-1.5052450000000001E-3</v>
      </c>
      <c r="AA2519">
        <v>0.99899519999999997</v>
      </c>
      <c r="AB2519">
        <v>43</v>
      </c>
      <c r="AC2519">
        <v>-34.993499999999898</v>
      </c>
      <c r="AD2519">
        <v>-1.1064990123495</v>
      </c>
      <c r="AE2519">
        <v>-0.68500000000000205</v>
      </c>
      <c r="AF2519">
        <v>-1.57902281298126</v>
      </c>
      <c r="AG2519">
        <v>-1.1064990123495</v>
      </c>
      <c r="AH2519">
        <v>34.929585456890997</v>
      </c>
      <c r="AI2519">
        <v>91.812558435106695</v>
      </c>
      <c r="AJ2519">
        <v>92.588344206673199</v>
      </c>
      <c r="AK2519">
        <v>34.982761373260601</v>
      </c>
      <c r="AL2519">
        <v>84.054138556444997</v>
      </c>
      <c r="AM2519">
        <v>91.304419417944899</v>
      </c>
      <c r="AN2519">
        <v>1.00000002971613</v>
      </c>
    </row>
    <row r="2520" spans="1:40" x14ac:dyDescent="0.3">
      <c r="A2520" t="str">
        <f>"20200111150004926"</f>
        <v>20200111150004926</v>
      </c>
      <c r="B2520" t="str">
        <f>"1578726004918872"</f>
        <v>1578726004918872</v>
      </c>
      <c r="C2520" t="s">
        <v>40</v>
      </c>
      <c r="D2520">
        <v>3.8535590000000002</v>
      </c>
      <c r="E2520">
        <v>0.4954151</v>
      </c>
      <c r="F2520" t="s">
        <v>62</v>
      </c>
      <c r="G2520">
        <v>-327.31060000000002</v>
      </c>
      <c r="H2520" s="1">
        <v>2.4439660000000001E-6</v>
      </c>
      <c r="I2520">
        <v>282.548</v>
      </c>
      <c r="J2520">
        <v>-289.83870000000002</v>
      </c>
      <c r="K2520">
        <v>1.10654599999999</v>
      </c>
      <c r="L2520">
        <v>283.11610000000002</v>
      </c>
      <c r="M2520">
        <v>-0.99966940000000004</v>
      </c>
      <c r="N2520">
        <v>0</v>
      </c>
      <c r="O2520">
        <v>2.4005760000000001E-2</v>
      </c>
      <c r="P2520">
        <v>-0.99556020000000001</v>
      </c>
      <c r="Q2520">
        <v>9.4111130000000001E-2</v>
      </c>
      <c r="R2520">
        <v>1.76132E-3</v>
      </c>
      <c r="S2520">
        <v>-3.022125</v>
      </c>
      <c r="T2520">
        <v>-8.8605050000000005E-2</v>
      </c>
      <c r="U2520">
        <v>-4.501343E-2</v>
      </c>
      <c r="V2520">
        <v>-2.2805229999999999E-2</v>
      </c>
      <c r="W2520">
        <v>0.1031301</v>
      </c>
      <c r="X2520">
        <v>0.99440640000000002</v>
      </c>
      <c r="Y2520">
        <v>-3.8865789999999997E-2</v>
      </c>
      <c r="Z2520">
        <v>-1.2732349999999999E-3</v>
      </c>
      <c r="AA2520">
        <v>0.99924360000000001</v>
      </c>
      <c r="AB2520">
        <v>43</v>
      </c>
      <c r="AC2520">
        <v>-37.471899999999998</v>
      </c>
      <c r="AD2520">
        <v>-1.10654355603399</v>
      </c>
      <c r="AE2520">
        <v>-0.56810000000001504</v>
      </c>
      <c r="AF2520">
        <v>-1.4662375665125</v>
      </c>
      <c r="AG2520">
        <v>-1.10654355603399</v>
      </c>
      <c r="AH2520">
        <v>37.414843258789702</v>
      </c>
      <c r="AI2520">
        <v>91.692729669562993</v>
      </c>
      <c r="AJ2520">
        <v>92.244196443009201</v>
      </c>
      <c r="AK2520">
        <v>37.459909067196797</v>
      </c>
      <c r="AL2520">
        <v>84.080555666794794</v>
      </c>
      <c r="AM2520">
        <v>91.313763092727598</v>
      </c>
      <c r="AN2520">
        <v>0.99999999220116098</v>
      </c>
    </row>
    <row r="2521" spans="1:40" x14ac:dyDescent="0.3">
      <c r="A2521" t="str">
        <f>"20200111150004944"</f>
        <v>20200111150004944</v>
      </c>
      <c r="B2521" t="str">
        <f>"1578726004938392"</f>
        <v>1578726004938392</v>
      </c>
      <c r="C2521" t="s">
        <v>40</v>
      </c>
      <c r="D2521">
        <v>3.8713860000000002</v>
      </c>
      <c r="E2521">
        <v>0.4961565</v>
      </c>
      <c r="F2521" t="s">
        <v>62</v>
      </c>
      <c r="G2521">
        <v>-326.36149999999998</v>
      </c>
      <c r="H2521" s="1">
        <v>1.9370810000000002E-6</v>
      </c>
      <c r="I2521">
        <v>282.58909999999997</v>
      </c>
      <c r="J2521">
        <v>-290.16430000000003</v>
      </c>
      <c r="K2521">
        <v>1.106592</v>
      </c>
      <c r="L2521">
        <v>283.12259999999998</v>
      </c>
      <c r="M2521">
        <v>-0.99971350000000003</v>
      </c>
      <c r="N2521">
        <v>0</v>
      </c>
      <c r="O2521">
        <v>2.2068589999999999E-2</v>
      </c>
      <c r="P2521">
        <v>-0.99563480000000004</v>
      </c>
      <c r="Q2521">
        <v>9.3334619999999993E-2</v>
      </c>
      <c r="R2521">
        <v>-2.4213779999999999E-4</v>
      </c>
      <c r="S2521">
        <v>-3.0221559999999998</v>
      </c>
      <c r="T2521">
        <v>-9.1563459999999999E-2</v>
      </c>
      <c r="U2521">
        <v>-4.3609620000000002E-2</v>
      </c>
      <c r="V2521">
        <v>-2.2888530000000001E-2</v>
      </c>
      <c r="W2521">
        <v>0.10239910000000001</v>
      </c>
      <c r="X2521">
        <v>0.99448000000000003</v>
      </c>
      <c r="Y2521">
        <v>-3.6465339999999999E-2</v>
      </c>
      <c r="Z2521">
        <v>-1.220694E-3</v>
      </c>
      <c r="AA2521">
        <v>0.99933419999999895</v>
      </c>
      <c r="AB2521">
        <v>43</v>
      </c>
      <c r="AC2521">
        <v>-36.197199999999903</v>
      </c>
      <c r="AD2521">
        <v>-1.106590062919</v>
      </c>
      <c r="AE2521">
        <v>-0.53350000000000297</v>
      </c>
      <c r="AF2521">
        <v>-1.3309818761496399</v>
      </c>
      <c r="AG2521">
        <v>-1.106590062919</v>
      </c>
      <c r="AH2521">
        <v>36.142838053142697</v>
      </c>
      <c r="AI2521">
        <v>91.752497480037704</v>
      </c>
      <c r="AJ2521">
        <v>92.108998731112294</v>
      </c>
      <c r="AK2521">
        <v>36.184261728791597</v>
      </c>
      <c r="AL2521">
        <v>84.122661647474999</v>
      </c>
      <c r="AM2521">
        <v>91.318462595657195</v>
      </c>
      <c r="AN2521">
        <v>0.99999996544318404</v>
      </c>
    </row>
    <row r="2522" spans="1:40" x14ac:dyDescent="0.3">
      <c r="A2522" t="str">
        <f>"20200111150004956"</f>
        <v>20200111150004956</v>
      </c>
      <c r="B2522" t="str">
        <f>"1578726004948151"</f>
        <v>1578726004948151</v>
      </c>
      <c r="C2522" t="s">
        <v>40</v>
      </c>
      <c r="D2522">
        <v>3.873526</v>
      </c>
      <c r="E2522">
        <v>0.49643670000000001</v>
      </c>
      <c r="F2522" t="s">
        <v>62</v>
      </c>
      <c r="G2522">
        <v>-325.04079999999999</v>
      </c>
      <c r="H2522" s="1">
        <v>1.2328699999999999E-6</v>
      </c>
      <c r="I2522">
        <v>282.62110000000001</v>
      </c>
      <c r="J2522">
        <v>-290.42169999999999</v>
      </c>
      <c r="K2522">
        <v>1.1066309999999999</v>
      </c>
      <c r="L2522">
        <v>283.12729999999999</v>
      </c>
      <c r="M2522">
        <v>-0.99974580000000002</v>
      </c>
      <c r="N2522">
        <v>0</v>
      </c>
      <c r="O2522">
        <v>2.05364E-2</v>
      </c>
      <c r="P2522">
        <v>-0.99565159999999997</v>
      </c>
      <c r="Q2522">
        <v>9.3141409999999994E-2</v>
      </c>
      <c r="R2522">
        <v>-1.589116E-3</v>
      </c>
      <c r="S2522">
        <v>-3.022125</v>
      </c>
      <c r="T2522">
        <v>-9.5888609999999999E-2</v>
      </c>
      <c r="U2522">
        <v>-4.3457030000000001E-2</v>
      </c>
      <c r="V2522">
        <v>-2.2717689999999999E-2</v>
      </c>
      <c r="W2522">
        <v>0.1022516</v>
      </c>
      <c r="X2522">
        <v>0.99449909999999997</v>
      </c>
      <c r="Y2522">
        <v>-3.4882389999999999E-2</v>
      </c>
      <c r="Z2522">
        <v>-1.204639E-3</v>
      </c>
      <c r="AA2522">
        <v>0.99939069999999997</v>
      </c>
      <c r="AB2522">
        <v>43</v>
      </c>
      <c r="AC2522">
        <v>-34.619100000000003</v>
      </c>
      <c r="AD2522">
        <v>-1.1066297671299901</v>
      </c>
      <c r="AE2522">
        <v>-0.506199999999978</v>
      </c>
      <c r="AF2522">
        <v>-1.2158336106780701</v>
      </c>
      <c r="AG2522">
        <v>-1.1066297671299901</v>
      </c>
      <c r="AH2522">
        <v>34.566089757616197</v>
      </c>
      <c r="AI2522">
        <v>91.832559589742601</v>
      </c>
      <c r="AJ2522">
        <v>92.014501122143301</v>
      </c>
      <c r="AK2522">
        <v>34.605164960478497</v>
      </c>
      <c r="AL2522">
        <v>84.1311574052217</v>
      </c>
      <c r="AM2522">
        <v>91.308599900818294</v>
      </c>
      <c r="AN2522">
        <v>0.99999997152115205</v>
      </c>
    </row>
    <row r="2523" spans="1:40" x14ac:dyDescent="0.3">
      <c r="A2523" t="str">
        <f>"20200111150004969"</f>
        <v>20200111150004969</v>
      </c>
      <c r="B2523" t="str">
        <f>"1578726004958888"</f>
        <v>1578726004958888</v>
      </c>
      <c r="C2523" t="s">
        <v>40</v>
      </c>
      <c r="D2523">
        <v>3.8694829999999998</v>
      </c>
      <c r="E2523">
        <v>0.49663489999999999</v>
      </c>
      <c r="F2523" t="s">
        <v>62</v>
      </c>
      <c r="G2523">
        <v>-324.72949999999997</v>
      </c>
      <c r="H2523" s="1">
        <v>1.0677190000000001E-6</v>
      </c>
      <c r="I2523">
        <v>282.61009999999999</v>
      </c>
      <c r="J2523">
        <v>-290.65910000000002</v>
      </c>
      <c r="K2523">
        <v>1.106665</v>
      </c>
      <c r="L2523">
        <v>283.13130000000001</v>
      </c>
      <c r="M2523">
        <v>-0.99977340000000003</v>
      </c>
      <c r="N2523">
        <v>0</v>
      </c>
      <c r="O2523">
        <v>1.9124639999999998E-2</v>
      </c>
      <c r="P2523">
        <v>-0.9956661</v>
      </c>
      <c r="Q2523">
        <v>9.2956469999999999E-2</v>
      </c>
      <c r="R2523">
        <v>-2.9278540000000001E-3</v>
      </c>
      <c r="S2523">
        <v>-3.0221559999999998</v>
      </c>
      <c r="T2523">
        <v>-9.7482440000000004E-2</v>
      </c>
      <c r="U2523">
        <v>-4.5562739999999997E-2</v>
      </c>
      <c r="V2523">
        <v>-2.265588E-2</v>
      </c>
      <c r="W2523">
        <v>0.102115</v>
      </c>
      <c r="X2523">
        <v>0.99451460000000003</v>
      </c>
      <c r="Y2523">
        <v>-3.4167370000000002E-2</v>
      </c>
      <c r="Z2523">
        <v>-1.1675839999999999E-3</v>
      </c>
      <c r="AA2523">
        <v>0.99941550000000001</v>
      </c>
      <c r="AB2523">
        <v>43</v>
      </c>
      <c r="AC2523">
        <v>-34.0703999999999</v>
      </c>
      <c r="AD2523">
        <v>-1.1066639322809999</v>
      </c>
      <c r="AE2523">
        <v>-0.52120000000002098</v>
      </c>
      <c r="AF2523">
        <v>-1.17148158385714</v>
      </c>
      <c r="AG2523">
        <v>-1.1066639322809999</v>
      </c>
      <c r="AH2523">
        <v>34.018317072443097</v>
      </c>
      <c r="AI2523">
        <v>91.862152527509295</v>
      </c>
      <c r="AJ2523">
        <v>91.972303230373598</v>
      </c>
      <c r="AK2523">
        <v>34.056467382886403</v>
      </c>
      <c r="AL2523">
        <v>84.139025511823903</v>
      </c>
      <c r="AM2523">
        <v>91.305020379289701</v>
      </c>
      <c r="AN2523">
        <v>1.0000000258683599</v>
      </c>
    </row>
    <row r="2524" spans="1:40" x14ac:dyDescent="0.3">
      <c r="A2524" t="str">
        <f>"20200111150004983"</f>
        <v>20200111150004983</v>
      </c>
      <c r="B2524" t="str">
        <f>"1578726004978408"</f>
        <v>1578726004978408</v>
      </c>
      <c r="C2524" t="s">
        <v>40</v>
      </c>
      <c r="D2524">
        <v>3.8580179999999999</v>
      </c>
      <c r="E2524">
        <v>0.49664180000000002</v>
      </c>
      <c r="F2524" t="s">
        <v>62</v>
      </c>
      <c r="G2524">
        <v>-324.75229999999999</v>
      </c>
      <c r="H2524" s="1">
        <v>1.080782E-6</v>
      </c>
      <c r="I2524">
        <v>282.58909999999997</v>
      </c>
      <c r="J2524">
        <v>-290.91460000000001</v>
      </c>
      <c r="K2524">
        <v>1.1067039999999999</v>
      </c>
      <c r="L2524">
        <v>283.13529999999997</v>
      </c>
      <c r="M2524">
        <v>-0.99980069999999999</v>
      </c>
      <c r="N2524">
        <v>0</v>
      </c>
      <c r="O2524">
        <v>1.7608269999999999E-2</v>
      </c>
      <c r="P2524">
        <v>-0.99567819999999996</v>
      </c>
      <c r="Q2524">
        <v>9.2779470000000003E-2</v>
      </c>
      <c r="R2524">
        <v>-4.1228669999999997E-3</v>
      </c>
      <c r="S2524">
        <v>-3.0220639999999999</v>
      </c>
      <c r="T2524">
        <v>-9.8096130000000004E-2</v>
      </c>
      <c r="U2524">
        <v>-4.8065190000000001E-2</v>
      </c>
      <c r="V2524">
        <v>-2.234744E-2</v>
      </c>
      <c r="W2524">
        <v>0.101996</v>
      </c>
      <c r="X2524">
        <v>0.99453380000000002</v>
      </c>
      <c r="Y2524">
        <v>-3.3480210000000003E-2</v>
      </c>
      <c r="Z2524">
        <v>-1.1146070000000001E-3</v>
      </c>
      <c r="AA2524">
        <v>0.99943879999999996</v>
      </c>
      <c r="AB2524">
        <v>43</v>
      </c>
      <c r="AC2524">
        <v>-33.837699999999899</v>
      </c>
      <c r="AD2524">
        <v>-1.106702919218</v>
      </c>
      <c r="AE2524">
        <v>-0.54619999999999802</v>
      </c>
      <c r="AF2524">
        <v>-1.1407451055846101</v>
      </c>
      <c r="AG2524">
        <v>-1.106702919218</v>
      </c>
      <c r="AH2524">
        <v>33.786703264387903</v>
      </c>
      <c r="AI2524">
        <v>91.875017826589698</v>
      </c>
      <c r="AJ2524">
        <v>91.933750708344405</v>
      </c>
      <c r="AK2524">
        <v>33.824065518845003</v>
      </c>
      <c r="AL2524">
        <v>84.145879553928907</v>
      </c>
      <c r="AM2524">
        <v>91.2872348441079</v>
      </c>
      <c r="AN2524">
        <v>1.00000003571649</v>
      </c>
    </row>
    <row r="2525" spans="1:40" x14ac:dyDescent="0.3">
      <c r="A2525" t="str">
        <f>"20200111150004999"</f>
        <v>20200111150004999</v>
      </c>
      <c r="B2525" t="str">
        <f>"1578726004988168"</f>
        <v>1578726004988168</v>
      </c>
      <c r="C2525" t="s">
        <v>40</v>
      </c>
      <c r="D2525">
        <v>3.827766</v>
      </c>
      <c r="E2525">
        <v>0.49694490000000002</v>
      </c>
      <c r="F2525" t="s">
        <v>62</v>
      </c>
      <c r="G2525">
        <v>-326.26</v>
      </c>
      <c r="H2525" s="1">
        <v>1.8854720000000001E-6</v>
      </c>
      <c r="I2525">
        <v>282.53449999999998</v>
      </c>
      <c r="J2525">
        <v>-291.24290000000002</v>
      </c>
      <c r="K2525">
        <v>1.1067450000000001</v>
      </c>
      <c r="L2525">
        <v>283.13990000000001</v>
      </c>
      <c r="M2525">
        <v>-0.99983219999999995</v>
      </c>
      <c r="N2525">
        <v>0</v>
      </c>
      <c r="O2525">
        <v>1.5669450000000001E-2</v>
      </c>
      <c r="P2525">
        <v>-0.99569920000000001</v>
      </c>
      <c r="Q2525">
        <v>9.2505169999999998E-2</v>
      </c>
      <c r="R2525">
        <v>-5.1287490000000002E-3</v>
      </c>
      <c r="S2525">
        <v>-3.0216059999999998</v>
      </c>
      <c r="T2525">
        <v>-9.4609620000000005E-2</v>
      </c>
      <c r="U2525">
        <v>-5.1361080000000003E-2</v>
      </c>
      <c r="V2525">
        <v>-2.142877E-2</v>
      </c>
      <c r="W2525">
        <v>0.1018162</v>
      </c>
      <c r="X2525">
        <v>0.99457240000000002</v>
      </c>
      <c r="Y2525">
        <v>-3.2637630000000001E-2</v>
      </c>
      <c r="Z2525">
        <v>-1.001292E-3</v>
      </c>
      <c r="AA2525">
        <v>0.99946679999999999</v>
      </c>
      <c r="AB2525">
        <v>43</v>
      </c>
      <c r="AC2525">
        <v>-35.0170999999999</v>
      </c>
      <c r="AD2525">
        <v>-1.106743114528</v>
      </c>
      <c r="AE2525">
        <v>-0.60540000000003102</v>
      </c>
      <c r="AF2525">
        <v>-1.15289775265685</v>
      </c>
      <c r="AG2525">
        <v>-1.106743114528</v>
      </c>
      <c r="AH2525">
        <v>34.968393334785503</v>
      </c>
      <c r="AI2525">
        <v>91.811811780358099</v>
      </c>
      <c r="AJ2525">
        <v>91.888341166011301</v>
      </c>
      <c r="AK2525">
        <v>35.004893743102599</v>
      </c>
      <c r="AL2525">
        <v>84.156235006315598</v>
      </c>
      <c r="AM2525">
        <v>91.234287366734904</v>
      </c>
      <c r="AN2525">
        <v>0.99999999480395596</v>
      </c>
    </row>
    <row r="2526" spans="1:40" x14ac:dyDescent="0.3">
      <c r="A2526" t="str">
        <f>"20200111150005014"</f>
        <v>20200111150005014</v>
      </c>
      <c r="B2526" t="str">
        <f>"1578726005008664"</f>
        <v>1578726005008664</v>
      </c>
      <c r="C2526" t="s">
        <v>40</v>
      </c>
      <c r="D2526">
        <v>3.8189160000000002</v>
      </c>
      <c r="E2526">
        <v>0.49754169999999998</v>
      </c>
      <c r="F2526" t="s">
        <v>62</v>
      </c>
      <c r="G2526">
        <v>-326.62009999999998</v>
      </c>
      <c r="H2526" s="1">
        <v>2.0772900000000001E-6</v>
      </c>
      <c r="I2526">
        <v>282.53030000000001</v>
      </c>
      <c r="J2526">
        <v>-291.5127</v>
      </c>
      <c r="K2526">
        <v>1.1067720000000001</v>
      </c>
      <c r="L2526">
        <v>283.14299999999997</v>
      </c>
      <c r="M2526">
        <v>-0.99985480000000004</v>
      </c>
      <c r="N2526">
        <v>0</v>
      </c>
      <c r="O2526">
        <v>1.408826E-2</v>
      </c>
      <c r="P2526">
        <v>-0.99571909999999997</v>
      </c>
      <c r="Q2526">
        <v>9.2221209999999998E-2</v>
      </c>
      <c r="R2526">
        <v>-6.2440000000000004E-3</v>
      </c>
      <c r="S2526">
        <v>-3.0214840000000001</v>
      </c>
      <c r="T2526">
        <v>-9.4524380000000005E-2</v>
      </c>
      <c r="U2526">
        <v>-5.2062990000000003E-2</v>
      </c>
      <c r="V2526">
        <v>-2.0972009999999999E-2</v>
      </c>
      <c r="W2526">
        <v>0.10162119999999999</v>
      </c>
      <c r="X2526">
        <v>0.99460210000000004</v>
      </c>
      <c r="Y2526">
        <v>-3.1291289999999999E-2</v>
      </c>
      <c r="Z2526">
        <v>-9.2992460000000004E-4</v>
      </c>
      <c r="AA2526">
        <v>0.99950989999999995</v>
      </c>
      <c r="AB2526">
        <v>43</v>
      </c>
      <c r="AC2526">
        <v>-35.107399999999899</v>
      </c>
      <c r="AD2526">
        <v>-1.1067699227100001</v>
      </c>
      <c r="AE2526">
        <v>-0.61269999999996105</v>
      </c>
      <c r="AF2526">
        <v>-1.10616507633906</v>
      </c>
      <c r="AG2526">
        <v>-1.1067699227100001</v>
      </c>
      <c r="AH2526">
        <v>35.060449252642798</v>
      </c>
      <c r="AI2526">
        <v>91.807184138696201</v>
      </c>
      <c r="AJ2526">
        <v>91.807095312548995</v>
      </c>
      <c r="AK2526">
        <v>35.095350726771102</v>
      </c>
      <c r="AL2526">
        <v>84.167466056560102</v>
      </c>
      <c r="AM2526">
        <v>91.207950018664505</v>
      </c>
      <c r="AN2526">
        <v>1.0000000154086399</v>
      </c>
    </row>
    <row r="2527" spans="1:40" x14ac:dyDescent="0.3">
      <c r="A2527" t="str">
        <f>"20200111150005028"</f>
        <v>20200111150005028</v>
      </c>
      <c r="B2527" t="str">
        <f>"1578726005018426"</f>
        <v>1578726005018426</v>
      </c>
      <c r="C2527" t="s">
        <v>40</v>
      </c>
      <c r="D2527">
        <v>3.8380429999999999</v>
      </c>
      <c r="E2527">
        <v>0.4978494</v>
      </c>
      <c r="F2527" t="s">
        <v>62</v>
      </c>
      <c r="G2527">
        <v>-326.89830000000001</v>
      </c>
      <c r="H2527" s="1">
        <v>2.2244499999999999E-6</v>
      </c>
      <c r="I2527">
        <v>282.55</v>
      </c>
      <c r="J2527">
        <v>-291.79570000000001</v>
      </c>
      <c r="K2527">
        <v>1.1067979999999999</v>
      </c>
      <c r="L2527">
        <v>283.14589999999998</v>
      </c>
      <c r="M2527">
        <v>-0.99987579999999998</v>
      </c>
      <c r="N2527">
        <v>0</v>
      </c>
      <c r="O2527">
        <v>1.244225E-2</v>
      </c>
      <c r="P2527">
        <v>-0.99574629999999997</v>
      </c>
      <c r="Q2527">
        <v>9.1833139999999994E-2</v>
      </c>
      <c r="R2527">
        <v>-7.4906869999999898E-3</v>
      </c>
      <c r="S2527">
        <v>-3.021271</v>
      </c>
      <c r="T2527">
        <v>-9.4497680000000001E-2</v>
      </c>
      <c r="U2527">
        <v>-5.0628659999999999E-2</v>
      </c>
      <c r="V2527">
        <v>-2.058134E-2</v>
      </c>
      <c r="W2527">
        <v>0.1013371</v>
      </c>
      <c r="X2527">
        <v>0.99463919999999995</v>
      </c>
      <c r="Y2527">
        <v>-2.9174490000000001E-2</v>
      </c>
      <c r="Z2527">
        <v>-8.4516880000000004E-4</v>
      </c>
      <c r="AA2527">
        <v>0.99957399999999996</v>
      </c>
      <c r="AB2527">
        <v>43</v>
      </c>
      <c r="AC2527">
        <v>-35.102599999999903</v>
      </c>
      <c r="AD2527">
        <v>-1.10679577555</v>
      </c>
      <c r="AE2527">
        <v>-0.59589999999997101</v>
      </c>
      <c r="AF2527">
        <v>-1.03160434474092</v>
      </c>
      <c r="AG2527">
        <v>-1.10679577555</v>
      </c>
      <c r="AH2527">
        <v>35.057624989600498</v>
      </c>
      <c r="AI2527">
        <v>91.807488690396198</v>
      </c>
      <c r="AJ2527">
        <v>91.685497066036504</v>
      </c>
      <c r="AK2527">
        <v>35.090258966333103</v>
      </c>
      <c r="AL2527">
        <v>84.183827982341796</v>
      </c>
      <c r="AM2527">
        <v>91.185410407323204</v>
      </c>
      <c r="AN2527">
        <v>0.99999996878462205</v>
      </c>
    </row>
    <row r="2528" spans="1:40" x14ac:dyDescent="0.3">
      <c r="A2528" t="str">
        <f>"20200111150005044"</f>
        <v>20200111150005044</v>
      </c>
      <c r="B2528" t="str">
        <f>"1578726005038920"</f>
        <v>1578726005038920</v>
      </c>
      <c r="C2528" t="s">
        <v>40</v>
      </c>
      <c r="D2528">
        <v>3.9520659999999999</v>
      </c>
      <c r="E2528">
        <v>0.49844810000000001</v>
      </c>
      <c r="F2528" t="s">
        <v>62</v>
      </c>
      <c r="G2528">
        <v>-327.73899999999998</v>
      </c>
      <c r="H2528" s="1">
        <v>2.6726929999999999E-6</v>
      </c>
      <c r="I2528">
        <v>282.53120000000001</v>
      </c>
      <c r="J2528">
        <v>-292.11430000000001</v>
      </c>
      <c r="K2528">
        <v>1.1068199999999999</v>
      </c>
      <c r="L2528">
        <v>283.14870000000002</v>
      </c>
      <c r="M2528">
        <v>-0.99989550000000005</v>
      </c>
      <c r="N2528">
        <v>0</v>
      </c>
      <c r="O2528">
        <v>1.060997E-2</v>
      </c>
      <c r="P2528">
        <v>-0.99580729999999995</v>
      </c>
      <c r="Q2528">
        <v>9.1032119999999994E-2</v>
      </c>
      <c r="R2528">
        <v>-9.0015459999999992E-3</v>
      </c>
      <c r="S2528">
        <v>-3.0209959999999998</v>
      </c>
      <c r="T2528">
        <v>-9.3024969999999998E-2</v>
      </c>
      <c r="U2528">
        <v>-5.1666259999999999E-2</v>
      </c>
      <c r="V2528">
        <v>-2.0264480000000001E-2</v>
      </c>
      <c r="W2528">
        <v>0.1006681</v>
      </c>
      <c r="X2528">
        <v>0.99471370000000003</v>
      </c>
      <c r="Y2528">
        <v>-2.7689709999999999E-2</v>
      </c>
      <c r="Z2528">
        <v>-7.5281809999999997E-4</v>
      </c>
      <c r="AA2528">
        <v>0.99961630000000001</v>
      </c>
      <c r="AB2528">
        <v>43</v>
      </c>
      <c r="AC2528">
        <v>-35.624699999999997</v>
      </c>
      <c r="AD2528">
        <v>-1.1068173273070001</v>
      </c>
      <c r="AE2528">
        <v>-0.61750000000000604</v>
      </c>
      <c r="AF2528">
        <v>-0.99450078573306699</v>
      </c>
      <c r="AG2528">
        <v>-1.1068173273070001</v>
      </c>
      <c r="AH2528">
        <v>35.5818068289663</v>
      </c>
      <c r="AI2528">
        <v>91.780988485428907</v>
      </c>
      <c r="AJ2528">
        <v>91.600982981779197</v>
      </c>
      <c r="AK2528">
        <v>35.612905717207703</v>
      </c>
      <c r="AL2528">
        <v>84.222356242520206</v>
      </c>
      <c r="AM2528">
        <v>91.167078118652597</v>
      </c>
      <c r="AN2528">
        <v>1.0000000302374801</v>
      </c>
    </row>
    <row r="2529" spans="1:40" x14ac:dyDescent="0.3">
      <c r="A2529" t="str">
        <f>"20200111150005056"</f>
        <v>20200111150005056</v>
      </c>
      <c r="B2529" t="str">
        <f>"1578726005048680"</f>
        <v>1578726005048680</v>
      </c>
      <c r="C2529" t="s">
        <v>40</v>
      </c>
      <c r="D2529">
        <v>3.9381539999999999</v>
      </c>
      <c r="E2529">
        <v>0.49872660000000002</v>
      </c>
      <c r="F2529" t="s">
        <v>62</v>
      </c>
      <c r="G2529">
        <v>-328.44240000000002</v>
      </c>
      <c r="H2529" s="1">
        <v>3.0468580000000001E-6</v>
      </c>
      <c r="I2529">
        <v>282.53429999999997</v>
      </c>
      <c r="J2529">
        <v>-292.35219999999998</v>
      </c>
      <c r="K2529">
        <v>1.106833</v>
      </c>
      <c r="L2529">
        <v>283.15030000000002</v>
      </c>
      <c r="M2529">
        <v>-0.99990789999999996</v>
      </c>
      <c r="N2529">
        <v>0</v>
      </c>
      <c r="O2529">
        <v>9.2586579999999995E-3</v>
      </c>
      <c r="P2529">
        <v>-0.99586300000000005</v>
      </c>
      <c r="Q2529">
        <v>9.0289910000000001E-2</v>
      </c>
      <c r="R2529">
        <v>-1.0229830000000001E-2</v>
      </c>
      <c r="S2529">
        <v>-3.0205690000000001</v>
      </c>
      <c r="T2529">
        <v>-9.2028499999999999E-2</v>
      </c>
      <c r="U2529">
        <v>-5.1086430000000002E-2</v>
      </c>
      <c r="V2529">
        <v>-2.0142449999999999E-2</v>
      </c>
      <c r="W2529">
        <v>0.10003620000000001</v>
      </c>
      <c r="X2529">
        <v>0.99477990000000005</v>
      </c>
      <c r="Y2529">
        <v>-2.6151069999999998E-2</v>
      </c>
      <c r="Z2529">
        <v>-6.8027189999999996E-4</v>
      </c>
      <c r="AA2529">
        <v>0.99965780000000004</v>
      </c>
      <c r="AB2529">
        <v>43</v>
      </c>
      <c r="AC2529">
        <v>-36.090200000000003</v>
      </c>
      <c r="AD2529">
        <v>-1.1068299531420001</v>
      </c>
      <c r="AE2529">
        <v>-0.61600000000004196</v>
      </c>
      <c r="AF2529">
        <v>-0.94924431143833699</v>
      </c>
      <c r="AG2529">
        <v>-1.1068299531420001</v>
      </c>
      <c r="AH2529">
        <v>36.049053158014402</v>
      </c>
      <c r="AI2529">
        <v>91.758016073687301</v>
      </c>
      <c r="AJ2529">
        <v>91.508364932704296</v>
      </c>
      <c r="AK2529">
        <v>36.078530608899797</v>
      </c>
      <c r="AL2529">
        <v>84.258744988790397</v>
      </c>
      <c r="AM2529">
        <v>91.159974878615401</v>
      </c>
      <c r="AN2529">
        <v>1.00000000452322</v>
      </c>
    </row>
    <row r="2530" spans="1:40" x14ac:dyDescent="0.3">
      <c r="A2530" t="str">
        <f>"20200111150005069"</f>
        <v>20200111150005069</v>
      </c>
      <c r="B2530" t="str">
        <f>"1578726005058439"</f>
        <v>1578726005058439</v>
      </c>
      <c r="C2530" t="s">
        <v>40</v>
      </c>
      <c r="D2530">
        <v>3.9743189999999999</v>
      </c>
      <c r="E2530">
        <v>0.49897279999999999</v>
      </c>
      <c r="F2530" t="s">
        <v>62</v>
      </c>
      <c r="G2530">
        <v>-328.00549999999998</v>
      </c>
      <c r="H2530" s="1">
        <v>2.8142469999999999E-6</v>
      </c>
      <c r="I2530">
        <v>282.53609999999998</v>
      </c>
      <c r="J2530">
        <v>-292.58199999999999</v>
      </c>
      <c r="K2530">
        <v>1.10684</v>
      </c>
      <c r="L2530">
        <v>283.15159999999997</v>
      </c>
      <c r="M2530">
        <v>-0.99991790000000003</v>
      </c>
      <c r="N2530">
        <v>0</v>
      </c>
      <c r="O2530">
        <v>7.9690490000000006E-3</v>
      </c>
      <c r="P2530">
        <v>-0.99590210000000001</v>
      </c>
      <c r="Q2530">
        <v>8.9708159999999995E-2</v>
      </c>
      <c r="R2530">
        <v>-1.148278E-2</v>
      </c>
      <c r="S2530">
        <v>-3.0204469999999999</v>
      </c>
      <c r="T2530">
        <v>-9.3767639999999999E-2</v>
      </c>
      <c r="U2530">
        <v>-5.2032469999999997E-2</v>
      </c>
      <c r="V2530">
        <v>-2.0106410000000002E-2</v>
      </c>
      <c r="W2530">
        <v>9.9565570000000006E-2</v>
      </c>
      <c r="X2530">
        <v>0.99482789999999999</v>
      </c>
      <c r="Y2530">
        <v>-2.5175949999999999E-2</v>
      </c>
      <c r="Z2530">
        <v>-6.3799210000000002E-4</v>
      </c>
      <c r="AA2530">
        <v>0.99968279999999998</v>
      </c>
      <c r="AB2530">
        <v>43</v>
      </c>
      <c r="AC2530">
        <v>-35.423499999999898</v>
      </c>
      <c r="AD2530">
        <v>-1.1068371857529999</v>
      </c>
      <c r="AE2530">
        <v>-0.61549999999999705</v>
      </c>
      <c r="AF2530">
        <v>-0.89691088143766595</v>
      </c>
      <c r="AG2530">
        <v>-1.1068371857529999</v>
      </c>
      <c r="AH2530">
        <v>35.382935840404002</v>
      </c>
      <c r="AI2530">
        <v>91.791148183165802</v>
      </c>
      <c r="AJ2530">
        <v>91.452061687802896</v>
      </c>
      <c r="AK2530">
        <v>35.411603837882801</v>
      </c>
      <c r="AL2530">
        <v>84.285845723511002</v>
      </c>
      <c r="AM2530">
        <v>91.157844099193596</v>
      </c>
      <c r="AN2530">
        <v>1.00000006053545</v>
      </c>
    </row>
    <row r="2531" spans="1:40" x14ac:dyDescent="0.3">
      <c r="A2531" t="str">
        <f>"20200111150005081"</f>
        <v>20200111150005081</v>
      </c>
      <c r="B2531" t="str">
        <f>"1578726005078935"</f>
        <v>1578726005078935</v>
      </c>
      <c r="C2531" t="s">
        <v>40</v>
      </c>
      <c r="D2531">
        <v>3.9780190000000002</v>
      </c>
      <c r="E2531">
        <v>0.49950850000000002</v>
      </c>
      <c r="F2531" t="s">
        <v>62</v>
      </c>
      <c r="G2531">
        <v>-328.13319999999999</v>
      </c>
      <c r="H2531" s="1">
        <v>2.8829599999999999E-6</v>
      </c>
      <c r="I2531">
        <v>282.51940000000002</v>
      </c>
      <c r="J2531">
        <v>-292.82260000000002</v>
      </c>
      <c r="K2531">
        <v>1.1068480000000001</v>
      </c>
      <c r="L2531">
        <v>283.15269999999998</v>
      </c>
      <c r="M2531">
        <v>-0.99992639999999999</v>
      </c>
      <c r="N2531">
        <v>0</v>
      </c>
      <c r="O2531">
        <v>6.628409E-3</v>
      </c>
      <c r="P2531">
        <v>-0.99594009999999999</v>
      </c>
      <c r="Q2531">
        <v>8.9108839999999995E-2</v>
      </c>
      <c r="R2531">
        <v>-1.2771329999999999E-2</v>
      </c>
      <c r="S2531">
        <v>-3.0201720000000001</v>
      </c>
      <c r="T2531">
        <v>-9.402895E-2</v>
      </c>
      <c r="U2531">
        <v>-5.3710939999999999E-2</v>
      </c>
      <c r="V2531">
        <v>-2.0054720000000002E-2</v>
      </c>
      <c r="W2531">
        <v>9.9085400000000004E-2</v>
      </c>
      <c r="X2531">
        <v>0.99487680000000001</v>
      </c>
      <c r="Y2531">
        <v>-2.4393539999999998E-2</v>
      </c>
      <c r="Z2531">
        <v>-5.859207E-4</v>
      </c>
      <c r="AA2531">
        <v>0.99970230000000004</v>
      </c>
      <c r="AB2531">
        <v>43</v>
      </c>
      <c r="AC2531">
        <v>-35.310599999999901</v>
      </c>
      <c r="AD2531">
        <v>-1.10684511704</v>
      </c>
      <c r="AE2531">
        <v>-0.633299999999962</v>
      </c>
      <c r="AF2531">
        <v>-0.86650014663325903</v>
      </c>
      <c r="AG2531">
        <v>-1.10684511704</v>
      </c>
      <c r="AH2531">
        <v>35.270981158649299</v>
      </c>
      <c r="AI2531">
        <v>91.796877679595298</v>
      </c>
      <c r="AJ2531">
        <v>91.407299016911296</v>
      </c>
      <c r="AK2531">
        <v>35.298980729066699</v>
      </c>
      <c r="AL2531">
        <v>84.313493685721497</v>
      </c>
      <c r="AM2531">
        <v>91.154811546865204</v>
      </c>
      <c r="AN2531">
        <v>0.999999977732838</v>
      </c>
    </row>
    <row r="2532" spans="1:40" x14ac:dyDescent="0.3">
      <c r="A2532" t="str">
        <f>"20200111150005099"</f>
        <v>20200111150005099</v>
      </c>
      <c r="B2532" t="str">
        <f>"1578726005088695"</f>
        <v>1578726005088695</v>
      </c>
      <c r="C2532" t="s">
        <v>40</v>
      </c>
      <c r="D2532">
        <v>4.0038619999999998</v>
      </c>
      <c r="E2532">
        <v>0.49962450000000003</v>
      </c>
      <c r="F2532" t="s">
        <v>62</v>
      </c>
      <c r="G2532">
        <v>-327.62139999999999</v>
      </c>
      <c r="H2532" s="1">
        <v>2.6097729999999999E-6</v>
      </c>
      <c r="I2532">
        <v>282.53840000000002</v>
      </c>
      <c r="J2532">
        <v>-293.16289999999998</v>
      </c>
      <c r="K2532">
        <v>1.1068420000000001</v>
      </c>
      <c r="L2532">
        <v>283.15359999999998</v>
      </c>
      <c r="M2532">
        <v>-0.99993540000000003</v>
      </c>
      <c r="N2532">
        <v>0</v>
      </c>
      <c r="O2532">
        <v>4.7737020000000003E-3</v>
      </c>
      <c r="P2532">
        <v>-0.99598370000000003</v>
      </c>
      <c r="Q2532">
        <v>8.8398840000000006E-2</v>
      </c>
      <c r="R2532">
        <v>-1.423226E-2</v>
      </c>
      <c r="S2532">
        <v>-3.0201419999999999</v>
      </c>
      <c r="T2532">
        <v>-9.6061590000000002E-2</v>
      </c>
      <c r="U2532">
        <v>-5.3314210000000001E-2</v>
      </c>
      <c r="V2532">
        <v>-1.9659639999999999E-2</v>
      </c>
      <c r="W2532">
        <v>9.855063E-2</v>
      </c>
      <c r="X2532">
        <v>0.99493779999999998</v>
      </c>
      <c r="Y2532">
        <v>-2.2409399999999999E-2</v>
      </c>
      <c r="Z2532">
        <v>-5.0806599999999897E-4</v>
      </c>
      <c r="AA2532">
        <v>0.99974879999999999</v>
      </c>
      <c r="AB2532">
        <v>43</v>
      </c>
      <c r="AC2532">
        <v>-34.458500000000001</v>
      </c>
      <c r="AD2532">
        <v>-1.106839390227</v>
      </c>
      <c r="AE2532">
        <v>-0.615199999999958</v>
      </c>
      <c r="AF2532">
        <v>-0.77889298189399103</v>
      </c>
      <c r="AG2532">
        <v>-1.106839390227</v>
      </c>
      <c r="AH2532">
        <v>34.419669052946503</v>
      </c>
      <c r="AI2532">
        <v>91.841364744674195</v>
      </c>
      <c r="AJ2532">
        <v>91.296342076087498</v>
      </c>
      <c r="AK2532">
        <v>34.446268091440103</v>
      </c>
      <c r="AL2532">
        <v>84.3442844513512</v>
      </c>
      <c r="AM2532">
        <v>91.131998233787598</v>
      </c>
      <c r="AN2532">
        <v>0.99999997699358301</v>
      </c>
    </row>
    <row r="2533" spans="1:40" x14ac:dyDescent="0.3">
      <c r="A2533" t="str">
        <f>"20200111150005114"</f>
        <v>20200111150005114</v>
      </c>
      <c r="B2533" t="str">
        <f>"1578726005108217"</f>
        <v>1578726005108217</v>
      </c>
      <c r="C2533" t="s">
        <v>40</v>
      </c>
      <c r="D2533">
        <v>3.9733939999999999</v>
      </c>
      <c r="E2533">
        <v>0.49979849999999998</v>
      </c>
      <c r="F2533" t="s">
        <v>62</v>
      </c>
      <c r="G2533">
        <v>-327.49860000000001</v>
      </c>
      <c r="H2533" s="1">
        <v>2.545744E-6</v>
      </c>
      <c r="I2533">
        <v>282.50760000000002</v>
      </c>
      <c r="J2533">
        <v>-293.44</v>
      </c>
      <c r="K2533">
        <v>1.10683</v>
      </c>
      <c r="L2533">
        <v>283.15390000000002</v>
      </c>
      <c r="M2533">
        <v>-0.99993989999999999</v>
      </c>
      <c r="N2533">
        <v>0</v>
      </c>
      <c r="O2533">
        <v>3.298451E-3</v>
      </c>
      <c r="P2533">
        <v>-0.99600789999999995</v>
      </c>
      <c r="Q2533">
        <v>8.7871889999999994E-2</v>
      </c>
      <c r="R2533">
        <v>-1.5719110000000001E-2</v>
      </c>
      <c r="S2533">
        <v>-3.0199280000000002</v>
      </c>
      <c r="T2533">
        <v>-9.7350000000000006E-2</v>
      </c>
      <c r="U2533">
        <v>-5.6823730000000003E-2</v>
      </c>
      <c r="V2533">
        <v>-1.9667509999999999E-2</v>
      </c>
      <c r="W2533">
        <v>9.8163410000000006E-2</v>
      </c>
      <c r="X2533">
        <v>0.99497590000000002</v>
      </c>
      <c r="Y2533">
        <v>-2.2097680000000001E-2</v>
      </c>
      <c r="Z2533">
        <v>-4.6234290000000001E-4</v>
      </c>
      <c r="AA2533">
        <v>0.99975570000000002</v>
      </c>
      <c r="AB2533">
        <v>43</v>
      </c>
      <c r="AC2533">
        <v>-34.058599999999998</v>
      </c>
      <c r="AD2533">
        <v>-1.1068274542559999</v>
      </c>
      <c r="AE2533">
        <v>-0.64629999999999599</v>
      </c>
      <c r="AF2533">
        <v>-0.75784317556114</v>
      </c>
      <c r="AG2533">
        <v>-1.1068274542559999</v>
      </c>
      <c r="AH2533">
        <v>34.020366721765697</v>
      </c>
      <c r="AI2533">
        <v>91.862956665286404</v>
      </c>
      <c r="AJ2533">
        <v>91.276118970736306</v>
      </c>
      <c r="AK2533">
        <v>34.046802275333597</v>
      </c>
      <c r="AL2533">
        <v>84.366578492796094</v>
      </c>
      <c r="AM2533">
        <v>91.132407915898895</v>
      </c>
      <c r="AN2533">
        <v>0.99999995379661799</v>
      </c>
    </row>
    <row r="2534" spans="1:40" x14ac:dyDescent="0.3">
      <c r="A2534" t="str">
        <f>"20200111150005129"</f>
        <v>20200111150005129</v>
      </c>
      <c r="B2534" t="str">
        <f>"1578726005118952"</f>
        <v>1578726005118952</v>
      </c>
      <c r="C2534" t="s">
        <v>40</v>
      </c>
      <c r="D2534">
        <v>3.9892310000000002</v>
      </c>
      <c r="E2534">
        <v>0.49975989999999998</v>
      </c>
      <c r="F2534" t="s">
        <v>62</v>
      </c>
      <c r="G2534">
        <v>-327.2833</v>
      </c>
      <c r="H2534" s="1">
        <v>2.4323040000000001E-6</v>
      </c>
      <c r="I2534">
        <v>282.48250000000002</v>
      </c>
      <c r="J2534">
        <v>-293.73430000000002</v>
      </c>
      <c r="K2534">
        <v>1.106814</v>
      </c>
      <c r="L2534">
        <v>283.15379999999999</v>
      </c>
      <c r="M2534">
        <v>-0.9999422</v>
      </c>
      <c r="N2534">
        <v>0</v>
      </c>
      <c r="O2534">
        <v>1.7628349999999999E-3</v>
      </c>
      <c r="P2534">
        <v>-0.9960002</v>
      </c>
      <c r="Q2534">
        <v>8.7643239999999997E-2</v>
      </c>
      <c r="R2534">
        <v>-1.7401549999999998E-2</v>
      </c>
      <c r="S2534">
        <v>-3.0197750000000001</v>
      </c>
      <c r="T2534">
        <v>-9.8760249999999994E-2</v>
      </c>
      <c r="U2534">
        <v>-5.9906010000000003E-2</v>
      </c>
      <c r="V2534">
        <v>-1.9812380000000001E-2</v>
      </c>
      <c r="W2534">
        <v>9.8083680000000006E-2</v>
      </c>
      <c r="X2534">
        <v>0.99498089999999995</v>
      </c>
      <c r="Y2534">
        <v>-2.1584079999999999E-2</v>
      </c>
      <c r="Z2534">
        <v>-4.1045429999999998E-4</v>
      </c>
      <c r="AA2534">
        <v>0.99976690000000001</v>
      </c>
      <c r="AB2534">
        <v>43</v>
      </c>
      <c r="AC2534">
        <v>-33.5489999999999</v>
      </c>
      <c r="AD2534">
        <v>-1.106811567696</v>
      </c>
      <c r="AE2534">
        <v>-0.67129999999997303</v>
      </c>
      <c r="AF2534">
        <v>-0.72964980245772304</v>
      </c>
      <c r="AG2534">
        <v>-1.106811567696</v>
      </c>
      <c r="AH2534">
        <v>33.511305327321899</v>
      </c>
      <c r="AI2534">
        <v>91.891229747757095</v>
      </c>
      <c r="AJ2534">
        <v>91.247317862307796</v>
      </c>
      <c r="AK2534">
        <v>33.537516387198401</v>
      </c>
      <c r="AL2534">
        <v>84.371168900810304</v>
      </c>
      <c r="AM2534">
        <v>91.1407412549366</v>
      </c>
      <c r="AN2534">
        <v>0.99999996502420696</v>
      </c>
    </row>
    <row r="2535" spans="1:40" x14ac:dyDescent="0.3">
      <c r="A2535" t="str">
        <f>"20200111150005145"</f>
        <v>20200111150005145</v>
      </c>
      <c r="B2535" t="str">
        <f>"1578726005138471"</f>
        <v>1578726005138471</v>
      </c>
      <c r="C2535" t="s">
        <v>40</v>
      </c>
      <c r="D2535">
        <v>4.0001069999999999</v>
      </c>
      <c r="E2535">
        <v>0.49988060000000001</v>
      </c>
      <c r="F2535" t="s">
        <v>62</v>
      </c>
      <c r="G2535">
        <v>-327.31979999999999</v>
      </c>
      <c r="H2535" s="1">
        <v>2.4540769999999999E-6</v>
      </c>
      <c r="I2535">
        <v>282.42880000000002</v>
      </c>
      <c r="J2535">
        <v>-294.0376</v>
      </c>
      <c r="K2535">
        <v>1.1067910000000001</v>
      </c>
      <c r="L2535">
        <v>283.1533</v>
      </c>
      <c r="M2535">
        <v>-0.999942</v>
      </c>
      <c r="N2535">
        <v>0</v>
      </c>
      <c r="O2535">
        <v>2.1731070000000001E-4</v>
      </c>
      <c r="P2535">
        <v>-0.99601379999999995</v>
      </c>
      <c r="Q2535">
        <v>8.7089379999999994E-2</v>
      </c>
      <c r="R2535">
        <v>-1.9280450000000001E-2</v>
      </c>
      <c r="S2535">
        <v>-3.0196529999999999</v>
      </c>
      <c r="T2535">
        <v>-9.9512580000000003E-2</v>
      </c>
      <c r="U2535">
        <v>-6.5185549999999995E-2</v>
      </c>
      <c r="V2535">
        <v>-2.0139589999999999E-2</v>
      </c>
      <c r="W2535">
        <v>9.7683149999999996E-2</v>
      </c>
      <c r="X2535">
        <v>0.99501379999999995</v>
      </c>
      <c r="Y2535">
        <v>-2.1787399999999998E-2</v>
      </c>
      <c r="Z2535">
        <v>-3.6602150000000002E-4</v>
      </c>
      <c r="AA2535">
        <v>0.9997625</v>
      </c>
      <c r="AB2535">
        <v>43</v>
      </c>
      <c r="AC2535">
        <v>-33.282199999999897</v>
      </c>
      <c r="AD2535">
        <v>-1.106788545923</v>
      </c>
      <c r="AE2535">
        <v>-0.72449999999997705</v>
      </c>
      <c r="AF2535">
        <v>-0.73092505297000498</v>
      </c>
      <c r="AG2535">
        <v>-1.106788545923</v>
      </c>
      <c r="AH2535">
        <v>33.245294103116997</v>
      </c>
      <c r="AI2535">
        <v>91.906302765809002</v>
      </c>
      <c r="AJ2535">
        <v>91.259491786808496</v>
      </c>
      <c r="AK2535">
        <v>33.271741949005197</v>
      </c>
      <c r="AL2535">
        <v>84.394228688262999</v>
      </c>
      <c r="AM2535">
        <v>91.159537655700902</v>
      </c>
      <c r="AN2535">
        <v>1.0000000315348601</v>
      </c>
    </row>
    <row r="2536" spans="1:40" x14ac:dyDescent="0.3">
      <c r="A2536" t="str">
        <f>"20200111150005157"</f>
        <v>20200111150005157</v>
      </c>
      <c r="B2536" t="str">
        <f>"1578726005148232"</f>
        <v>1578726005148232</v>
      </c>
      <c r="C2536" t="s">
        <v>40</v>
      </c>
      <c r="D2536">
        <v>3.9068610000000001</v>
      </c>
      <c r="E2536">
        <v>0.49985039999999997</v>
      </c>
      <c r="F2536" t="s">
        <v>62</v>
      </c>
      <c r="G2536">
        <v>-326.38099999999997</v>
      </c>
      <c r="H2536" s="1">
        <v>1.9553039999999998E-6</v>
      </c>
      <c r="I2536">
        <v>282.41030000000001</v>
      </c>
      <c r="J2536">
        <v>-294.30459999999999</v>
      </c>
      <c r="K2536">
        <v>1.106765</v>
      </c>
      <c r="L2536">
        <v>283.15249999999997</v>
      </c>
      <c r="M2536">
        <v>-0.99993989999999999</v>
      </c>
      <c r="N2536">
        <v>0</v>
      </c>
      <c r="O2536">
        <v>-1.1087149999999999E-3</v>
      </c>
      <c r="P2536">
        <v>-0.9960213</v>
      </c>
      <c r="Q2536">
        <v>8.6761859999999996E-2</v>
      </c>
      <c r="R2536">
        <v>-2.0346300000000001E-2</v>
      </c>
      <c r="S2536">
        <v>-3.0197449999999999</v>
      </c>
      <c r="T2536">
        <v>-0.1033355</v>
      </c>
      <c r="U2536">
        <v>-6.9366460000000005E-2</v>
      </c>
      <c r="V2536">
        <v>-1.9873780000000001E-2</v>
      </c>
      <c r="W2536">
        <v>9.7496180000000002E-2</v>
      </c>
      <c r="X2536">
        <v>0.99503739999999996</v>
      </c>
      <c r="Y2536">
        <v>-2.1844269999999999E-2</v>
      </c>
      <c r="Z2536">
        <v>-3.3567010000000002E-4</v>
      </c>
      <c r="AA2536">
        <v>0.99976129999999996</v>
      </c>
      <c r="AB2536">
        <v>43</v>
      </c>
      <c r="AC2536">
        <v>-32.0763999999999</v>
      </c>
      <c r="AD2536">
        <v>-1.106763044696</v>
      </c>
      <c r="AE2536">
        <v>-0.742199999999968</v>
      </c>
      <c r="AF2536">
        <v>-0.70579402739573405</v>
      </c>
      <c r="AG2536">
        <v>-1.106763044696</v>
      </c>
      <c r="AH2536">
        <v>32.0390803450045</v>
      </c>
      <c r="AI2536">
        <v>91.9779682362324</v>
      </c>
      <c r="AJ2536">
        <v>91.261973782511703</v>
      </c>
      <c r="AK2536">
        <v>32.065959193510302</v>
      </c>
      <c r="AL2536">
        <v>84.404992200460995</v>
      </c>
      <c r="AM2536">
        <v>91.144210599430593</v>
      </c>
      <c r="AN2536">
        <v>0.99999994982241902</v>
      </c>
    </row>
    <row r="2537" spans="1:40" x14ac:dyDescent="0.3">
      <c r="A2537" t="str">
        <f>"20200111150005171"</f>
        <v>20200111150005171</v>
      </c>
      <c r="B2537" t="str">
        <f>"1578726005168728"</f>
        <v>1578726005168728</v>
      </c>
      <c r="C2537" t="s">
        <v>40</v>
      </c>
      <c r="D2537">
        <v>4.0044909999999998</v>
      </c>
      <c r="E2537">
        <v>0.49984139999999999</v>
      </c>
      <c r="F2537" t="s">
        <v>62</v>
      </c>
      <c r="G2537">
        <v>-327.1841</v>
      </c>
      <c r="H2537" s="1">
        <v>2.3849549999999999E-6</v>
      </c>
      <c r="I2537">
        <v>282.35750000000002</v>
      </c>
      <c r="J2537">
        <v>-294.55500000000001</v>
      </c>
      <c r="K2537">
        <v>1.106738</v>
      </c>
      <c r="L2537">
        <v>283.15129999999999</v>
      </c>
      <c r="M2537">
        <v>-0.99993639999999995</v>
      </c>
      <c r="N2537">
        <v>0</v>
      </c>
      <c r="O2537">
        <v>-2.3153480000000001E-3</v>
      </c>
      <c r="P2537">
        <v>-0.99606629999999996</v>
      </c>
      <c r="Q2537">
        <v>8.6018010000000006E-2</v>
      </c>
      <c r="R2537">
        <v>-2.128385E-2</v>
      </c>
      <c r="S2537">
        <v>-3.0193479999999999</v>
      </c>
      <c r="T2537">
        <v>-0.101635</v>
      </c>
      <c r="U2537">
        <v>-7.2998049999999995E-2</v>
      </c>
      <c r="V2537">
        <v>-1.959549E-2</v>
      </c>
      <c r="W2537">
        <v>9.6887769999999998E-2</v>
      </c>
      <c r="X2537">
        <v>0.99510240000000005</v>
      </c>
      <c r="Y2537">
        <v>-2.184376E-2</v>
      </c>
      <c r="Z2537">
        <v>-2.8957800000000003E-4</v>
      </c>
      <c r="AA2537">
        <v>0.99976129999999996</v>
      </c>
      <c r="AB2537">
        <v>43</v>
      </c>
      <c r="AC2537">
        <v>-32.629099999999902</v>
      </c>
      <c r="AD2537">
        <v>-1.1067356150450001</v>
      </c>
      <c r="AE2537">
        <v>-0.79379999999997597</v>
      </c>
      <c r="AF2537">
        <v>-0.71742066091388501</v>
      </c>
      <c r="AG2537">
        <v>-1.1067356150450001</v>
      </c>
      <c r="AH2537">
        <v>32.593374847699998</v>
      </c>
      <c r="AI2537">
        <v>91.944308863587906</v>
      </c>
      <c r="AJ2537">
        <v>91.260947653094405</v>
      </c>
      <c r="AK2537">
        <v>32.620049664109899</v>
      </c>
      <c r="AL2537">
        <v>84.440017656094994</v>
      </c>
      <c r="AM2537">
        <v>91.128118860858606</v>
      </c>
      <c r="AN2537">
        <v>1.0000000048448301</v>
      </c>
    </row>
    <row r="2538" spans="1:40" x14ac:dyDescent="0.3">
      <c r="A2538" t="str">
        <f>"20200111150005184"</f>
        <v>20200111150005184</v>
      </c>
      <c r="B2538" t="str">
        <f>"1578726005178488"</f>
        <v>1578726005178488</v>
      </c>
      <c r="C2538" t="s">
        <v>40</v>
      </c>
      <c r="D2538">
        <v>3.8881600000000001</v>
      </c>
      <c r="E2538">
        <v>0.49984800000000001</v>
      </c>
      <c r="F2538" t="s">
        <v>62</v>
      </c>
      <c r="G2538">
        <v>-326.31950000000001</v>
      </c>
      <c r="H2538" s="1">
        <v>1.9251960000000001E-6</v>
      </c>
      <c r="I2538">
        <v>282.3503</v>
      </c>
      <c r="J2538">
        <v>-294.8021</v>
      </c>
      <c r="K2538">
        <v>1.1067089999999999</v>
      </c>
      <c r="L2538">
        <v>283.14999999999998</v>
      </c>
      <c r="M2538">
        <v>-0.99993160000000003</v>
      </c>
      <c r="N2538">
        <v>0</v>
      </c>
      <c r="O2538">
        <v>-3.4858319999999999E-3</v>
      </c>
      <c r="P2538">
        <v>-0.99609899999999996</v>
      </c>
      <c r="Q2538">
        <v>8.5551210000000003E-2</v>
      </c>
      <c r="R2538">
        <v>-2.1630110000000001E-2</v>
      </c>
      <c r="S2538">
        <v>-3.0193180000000002</v>
      </c>
      <c r="T2538">
        <v>-0.10519870000000001</v>
      </c>
      <c r="U2538">
        <v>-7.6141360000000005E-2</v>
      </c>
      <c r="V2538">
        <v>-1.8763330000000002E-2</v>
      </c>
      <c r="W2538">
        <v>9.6559829999999999E-2</v>
      </c>
      <c r="X2538">
        <v>0.99515030000000004</v>
      </c>
      <c r="Y2538">
        <v>-2.1713909999999999E-2</v>
      </c>
      <c r="Z2538">
        <v>-2.5669899999999999E-4</v>
      </c>
      <c r="AA2538">
        <v>0.99976419999999999</v>
      </c>
      <c r="AB2538">
        <v>43</v>
      </c>
      <c r="AC2538">
        <v>-31.517399999999999</v>
      </c>
      <c r="AD2538">
        <v>-1.106707074804</v>
      </c>
      <c r="AE2538">
        <v>-0.79969999999997299</v>
      </c>
      <c r="AF2538">
        <v>-0.688974969130142</v>
      </c>
      <c r="AG2538">
        <v>-1.106707074804</v>
      </c>
      <c r="AH2538">
        <v>31.481204796737099</v>
      </c>
      <c r="AI2538">
        <v>92.012895680368999</v>
      </c>
      <c r="AJ2538">
        <v>91.253734015021294</v>
      </c>
      <c r="AK2538">
        <v>31.508185325588201</v>
      </c>
      <c r="AL2538">
        <v>84.4588956740497</v>
      </c>
      <c r="AM2538">
        <v>91.080170754478601</v>
      </c>
      <c r="AN2538">
        <v>0.999999991456203</v>
      </c>
    </row>
    <row r="2539" spans="1:40" x14ac:dyDescent="0.3">
      <c r="A2539" t="str">
        <f>"20200111150005199"</f>
        <v>20200111150005199</v>
      </c>
      <c r="B2539" t="str">
        <f>"1578726005188247"</f>
        <v>1578726005188247</v>
      </c>
      <c r="C2539" t="s">
        <v>40</v>
      </c>
      <c r="D2539">
        <v>3.9804270000000002</v>
      </c>
      <c r="E2539">
        <v>0.49974849999999998</v>
      </c>
      <c r="F2539" t="s">
        <v>62</v>
      </c>
      <c r="G2539">
        <v>-326.47030000000001</v>
      </c>
      <c r="H2539" s="1">
        <v>2.0058980000000001E-6</v>
      </c>
      <c r="I2539">
        <v>282.34010000000001</v>
      </c>
      <c r="J2539">
        <v>-295.10480000000001</v>
      </c>
      <c r="K2539">
        <v>1.106671</v>
      </c>
      <c r="L2539">
        <v>283.14789999999999</v>
      </c>
      <c r="M2539">
        <v>-0.99992389999999998</v>
      </c>
      <c r="N2539">
        <v>0</v>
      </c>
      <c r="O2539">
        <v>-4.8776840000000002E-3</v>
      </c>
      <c r="P2539">
        <v>-0.99615450000000005</v>
      </c>
      <c r="Q2539">
        <v>8.4768700000000002E-2</v>
      </c>
      <c r="R2539">
        <v>-2.2144520000000001E-2</v>
      </c>
      <c r="S2539">
        <v>-3.0191349999999999</v>
      </c>
      <c r="T2539">
        <v>-0.10550950000000001</v>
      </c>
      <c r="U2539">
        <v>-7.7209470000000002E-2</v>
      </c>
      <c r="V2539">
        <v>-1.7873219999999999E-2</v>
      </c>
      <c r="W2539">
        <v>9.5952789999999996E-2</v>
      </c>
      <c r="X2539">
        <v>0.99522540000000004</v>
      </c>
      <c r="Y2539">
        <v>-2.0678680000000001E-2</v>
      </c>
      <c r="Z2539">
        <v>-1.9077100000000001E-4</v>
      </c>
      <c r="AA2539">
        <v>0.99978610000000001</v>
      </c>
      <c r="AB2539">
        <v>43</v>
      </c>
      <c r="AC2539">
        <v>-31.365500000000001</v>
      </c>
      <c r="AD2539">
        <v>-1.106668994102</v>
      </c>
      <c r="AE2539">
        <v>-0.80779999999998597</v>
      </c>
      <c r="AF2539">
        <v>-0.65397597989049105</v>
      </c>
      <c r="AG2539">
        <v>-1.106668994102</v>
      </c>
      <c r="AH2539">
        <v>31.330090604602301</v>
      </c>
      <c r="AI2539">
        <v>92.022570566904193</v>
      </c>
      <c r="AJ2539">
        <v>91.1958032098903</v>
      </c>
      <c r="AK2539">
        <v>31.3564503433882</v>
      </c>
      <c r="AL2539">
        <v>84.493838770779206</v>
      </c>
      <c r="AM2539">
        <v>91.028862405230797</v>
      </c>
      <c r="AN2539">
        <v>0.99999999335355605</v>
      </c>
    </row>
    <row r="2540" spans="1:40" x14ac:dyDescent="0.3">
      <c r="A2540" t="str">
        <f>"20200111150005223"</f>
        <v>20200111150005223</v>
      </c>
      <c r="B2540" t="str">
        <f>"1578726005218504"</f>
        <v>1578726005218504</v>
      </c>
      <c r="C2540" t="s">
        <v>40</v>
      </c>
      <c r="D2540">
        <v>3.9817399999999998</v>
      </c>
      <c r="E2540">
        <v>0.49966379999999999</v>
      </c>
      <c r="F2540" t="s">
        <v>62</v>
      </c>
      <c r="G2540">
        <v>-326.24900000000002</v>
      </c>
      <c r="H2540" s="1">
        <v>1.8883880000000001E-6</v>
      </c>
      <c r="I2540">
        <v>282.3338</v>
      </c>
      <c r="J2540">
        <v>-295.53649999999999</v>
      </c>
      <c r="K2540">
        <v>1.106609</v>
      </c>
      <c r="L2540">
        <v>283.14429999999999</v>
      </c>
      <c r="M2540">
        <v>-0.99990999999999997</v>
      </c>
      <c r="N2540">
        <v>0</v>
      </c>
      <c r="O2540">
        <v>-6.772091E-3</v>
      </c>
      <c r="P2540">
        <v>-0.9961719</v>
      </c>
      <c r="Q2540">
        <v>8.4321389999999996E-2</v>
      </c>
      <c r="R2540">
        <v>-2.3051240000000001E-2</v>
      </c>
      <c r="S2540">
        <v>-3.0189509999999999</v>
      </c>
      <c r="T2540">
        <v>-0.1072747</v>
      </c>
      <c r="U2540">
        <v>-7.8918459999999996E-2</v>
      </c>
      <c r="V2540">
        <v>-1.6870779999999998E-2</v>
      </c>
      <c r="W2540">
        <v>9.5757220000000004E-2</v>
      </c>
      <c r="X2540">
        <v>0.99526170000000003</v>
      </c>
      <c r="Y2540">
        <v>-1.935332E-2</v>
      </c>
      <c r="Z2540">
        <v>-1.0315069999999999E-4</v>
      </c>
      <c r="AA2540">
        <v>0.9998127</v>
      </c>
      <c r="AB2540">
        <v>43</v>
      </c>
      <c r="AC2540">
        <v>-30.712499999999999</v>
      </c>
      <c r="AD2540">
        <v>-1.106607111612</v>
      </c>
      <c r="AE2540">
        <v>-0.81049999999999001</v>
      </c>
      <c r="AF2540">
        <v>-0.60169900807826004</v>
      </c>
      <c r="AG2540">
        <v>-1.106607111612</v>
      </c>
      <c r="AH2540">
        <v>30.6774856216323</v>
      </c>
      <c r="AI2540">
        <v>92.065497231602805</v>
      </c>
      <c r="AJ2540">
        <v>91.1236381741586</v>
      </c>
      <c r="AK2540">
        <v>30.7033344290363</v>
      </c>
      <c r="AL2540">
        <v>84.505095758135994</v>
      </c>
      <c r="AM2540">
        <v>90.971133445436806</v>
      </c>
      <c r="AN2540">
        <v>0.99999995994341195</v>
      </c>
    </row>
    <row r="2541" spans="1:40" x14ac:dyDescent="0.3">
      <c r="A2541" t="str">
        <f>"20200111150005235"</f>
        <v>20200111150005235</v>
      </c>
      <c r="B2541" t="str">
        <f>"1578726005228263"</f>
        <v>1578726005228263</v>
      </c>
      <c r="C2541" t="s">
        <v>40</v>
      </c>
      <c r="D2541">
        <v>4.003018</v>
      </c>
      <c r="E2541">
        <v>0.49966949999999999</v>
      </c>
      <c r="F2541" t="s">
        <v>62</v>
      </c>
      <c r="G2541">
        <v>-326.26940000000002</v>
      </c>
      <c r="H2541" s="1">
        <v>1.9002649999999999E-6</v>
      </c>
      <c r="I2541">
        <v>282.31099999999998</v>
      </c>
      <c r="J2541">
        <v>-295.77780000000001</v>
      </c>
      <c r="K2541">
        <v>1.1065689999999999</v>
      </c>
      <c r="L2541">
        <v>283.14190000000002</v>
      </c>
      <c r="M2541">
        <v>-0.99990129999999999</v>
      </c>
      <c r="N2541">
        <v>0</v>
      </c>
      <c r="O2541">
        <v>-7.7838880000000001E-3</v>
      </c>
      <c r="P2541">
        <v>-0.99616800000000005</v>
      </c>
      <c r="Q2541">
        <v>8.4234980000000001E-2</v>
      </c>
      <c r="R2541">
        <v>-2.3534449999999998E-2</v>
      </c>
      <c r="S2541">
        <v>-3.018799</v>
      </c>
      <c r="T2541">
        <v>-0.1086984</v>
      </c>
      <c r="U2541">
        <v>-8.184814E-2</v>
      </c>
      <c r="V2541">
        <v>-1.6333489999999999E-2</v>
      </c>
      <c r="W2541">
        <v>9.5803749999999993E-2</v>
      </c>
      <c r="X2541">
        <v>0.99526619999999999</v>
      </c>
      <c r="Y2541">
        <v>-1.9313009999999999E-2</v>
      </c>
      <c r="Z2541" s="1">
        <v>-6.738375E-5</v>
      </c>
      <c r="AA2541">
        <v>0.99981350000000002</v>
      </c>
      <c r="AB2541">
        <v>43</v>
      </c>
      <c r="AC2541">
        <v>-30.491599999999998</v>
      </c>
      <c r="AD2541">
        <v>-1.1065670997349999</v>
      </c>
      <c r="AE2541">
        <v>-0.83090000000004205</v>
      </c>
      <c r="AF2541">
        <v>-0.59273531918549005</v>
      </c>
      <c r="AG2541">
        <v>-1.1065670997349999</v>
      </c>
      <c r="AH2541">
        <v>30.457061163650099</v>
      </c>
      <c r="AI2541">
        <v>92.080363629440399</v>
      </c>
      <c r="AJ2541">
        <v>91.114912086002604</v>
      </c>
      <c r="AK2541">
        <v>30.4829198180087</v>
      </c>
      <c r="AL2541">
        <v>84.502417555714899</v>
      </c>
      <c r="AM2541">
        <v>90.9402067906165</v>
      </c>
      <c r="AN2541">
        <v>0.999999975136041</v>
      </c>
    </row>
    <row r="2542" spans="1:40" x14ac:dyDescent="0.3">
      <c r="A2542" t="str">
        <f>"20200111150005247"</f>
        <v>20200111150005247</v>
      </c>
      <c r="B2542" t="str">
        <f>"1578726005239000"</f>
        <v>1578726005239000</v>
      </c>
      <c r="C2542" t="s">
        <v>40</v>
      </c>
      <c r="D2542">
        <v>3.9583370000000002</v>
      </c>
      <c r="E2542">
        <v>0.49975409999999998</v>
      </c>
      <c r="F2542" t="s">
        <v>62</v>
      </c>
      <c r="G2542">
        <v>-326.32530000000003</v>
      </c>
      <c r="H2542" s="1">
        <v>1.9305699999999998E-6</v>
      </c>
      <c r="I2542">
        <v>282.29700000000003</v>
      </c>
      <c r="J2542">
        <v>-296.01749999999998</v>
      </c>
      <c r="K2542">
        <v>1.106525</v>
      </c>
      <c r="L2542">
        <v>283.13940000000002</v>
      </c>
      <c r="M2542">
        <v>-0.9998918</v>
      </c>
      <c r="N2542">
        <v>0</v>
      </c>
      <c r="O2542">
        <v>-8.7647479999999993E-3</v>
      </c>
      <c r="P2542">
        <v>-0.99615889999999996</v>
      </c>
      <c r="Q2542">
        <v>8.4272609999999998E-2</v>
      </c>
      <c r="R2542">
        <v>-2.3791860000000001E-2</v>
      </c>
      <c r="S2542">
        <v>-3.018799</v>
      </c>
      <c r="T2542">
        <v>-0.1093544</v>
      </c>
      <c r="U2542">
        <v>-8.3496089999999995E-2</v>
      </c>
      <c r="V2542">
        <v>-1.560191E-2</v>
      </c>
      <c r="W2542">
        <v>9.5968449999999997E-2</v>
      </c>
      <c r="X2542">
        <v>0.99526210000000004</v>
      </c>
      <c r="Y2542">
        <v>-1.887844E-2</v>
      </c>
      <c r="Z2542" s="1">
        <v>-2.441031E-5</v>
      </c>
      <c r="AA2542">
        <v>0.99982179999999998</v>
      </c>
      <c r="AB2542">
        <v>43</v>
      </c>
      <c r="AC2542">
        <v>-30.3078</v>
      </c>
      <c r="AD2542">
        <v>-1.1065230694299999</v>
      </c>
      <c r="AE2542">
        <v>-0.84239999999999704</v>
      </c>
      <c r="AF2542">
        <v>-0.57594176332290803</v>
      </c>
      <c r="AG2542">
        <v>-1.1065230694299999</v>
      </c>
      <c r="AH2542">
        <v>30.273697606519701</v>
      </c>
      <c r="AI2542">
        <v>92.092887295524704</v>
      </c>
      <c r="AJ2542">
        <v>91.089891708926899</v>
      </c>
      <c r="AK2542">
        <v>30.2993872708495</v>
      </c>
      <c r="AL2542">
        <v>84.492937425203493</v>
      </c>
      <c r="AM2542">
        <v>90.898105515195795</v>
      </c>
      <c r="AN2542">
        <v>1.0000000053437299</v>
      </c>
    </row>
    <row r="2543" spans="1:40" x14ac:dyDescent="0.3">
      <c r="A2543" t="str">
        <f>"20200111150005259"</f>
        <v>20200111150005259</v>
      </c>
      <c r="B2543" t="str">
        <f>"1578726005248761"</f>
        <v>1578726005248761</v>
      </c>
      <c r="C2543" t="s">
        <v>40</v>
      </c>
      <c r="D2543">
        <v>3.998008</v>
      </c>
      <c r="E2543">
        <v>0.49973869999999998</v>
      </c>
      <c r="F2543" t="s">
        <v>62</v>
      </c>
      <c r="G2543">
        <v>-326.2765</v>
      </c>
      <c r="H2543" s="1">
        <v>1.904517E-6</v>
      </c>
      <c r="I2543">
        <v>282.29969999999997</v>
      </c>
      <c r="J2543">
        <v>-296.25959999999998</v>
      </c>
      <c r="K2543">
        <v>1.106481</v>
      </c>
      <c r="L2543">
        <v>283.13670000000002</v>
      </c>
      <c r="M2543">
        <v>-0.99988129999999997</v>
      </c>
      <c r="N2543">
        <v>0</v>
      </c>
      <c r="O2543">
        <v>-9.7361370000000006E-3</v>
      </c>
      <c r="P2543">
        <v>-0.99613929999999995</v>
      </c>
      <c r="Q2543">
        <v>8.437712E-2</v>
      </c>
      <c r="R2543">
        <v>-2.4231039999999999E-2</v>
      </c>
      <c r="S2543">
        <v>-3.0189210000000002</v>
      </c>
      <c r="T2543">
        <v>-0.1103971</v>
      </c>
      <c r="U2543">
        <v>-8.3770750000000005E-2</v>
      </c>
      <c r="V2543">
        <v>-1.5061980000000001E-2</v>
      </c>
      <c r="W2543">
        <v>9.6192940000000005E-2</v>
      </c>
      <c r="X2543">
        <v>0.99524869999999999</v>
      </c>
      <c r="Y2543">
        <v>-1.799798E-2</v>
      </c>
      <c r="Z2543" s="1">
        <v>2.6951219999999998E-5</v>
      </c>
      <c r="AA2543">
        <v>0.999838</v>
      </c>
      <c r="AB2543">
        <v>43</v>
      </c>
      <c r="AC2543">
        <v>-30.0169</v>
      </c>
      <c r="AD2543">
        <v>-1.1064790954829999</v>
      </c>
      <c r="AE2543">
        <v>-0.83700000000004504</v>
      </c>
      <c r="AF2543">
        <v>-0.54395228668777695</v>
      </c>
      <c r="AG2543">
        <v>-1.1064790954829999</v>
      </c>
      <c r="AH2543">
        <v>29.9829177426668</v>
      </c>
      <c r="AI2543">
        <v>92.113116894617306</v>
      </c>
      <c r="AJ2543">
        <v>91.039350203861105</v>
      </c>
      <c r="AK2543">
        <v>30.008257804185401</v>
      </c>
      <c r="AL2543">
        <v>84.480015060535905</v>
      </c>
      <c r="AM2543">
        <v>90.867041584177102</v>
      </c>
      <c r="AN2543">
        <v>0.99999995989952595</v>
      </c>
    </row>
    <row r="2544" spans="1:40" x14ac:dyDescent="0.3">
      <c r="A2544" t="str">
        <f>"20200111150005272"</f>
        <v>20200111150005272</v>
      </c>
      <c r="B2544" t="str">
        <f>"1578726005268280"</f>
        <v>1578726005268280</v>
      </c>
      <c r="C2544" t="s">
        <v>40</v>
      </c>
      <c r="D2544">
        <v>4.0277589999999996</v>
      </c>
      <c r="E2544">
        <v>0.49982209999999999</v>
      </c>
      <c r="F2544" t="s">
        <v>62</v>
      </c>
      <c r="G2544">
        <v>-326.59809999999999</v>
      </c>
      <c r="H2544" s="1">
        <v>2.0765299999999999E-6</v>
      </c>
      <c r="I2544">
        <v>282.27949999999998</v>
      </c>
      <c r="J2544">
        <v>-296.47980000000001</v>
      </c>
      <c r="K2544">
        <v>1.1064350000000001</v>
      </c>
      <c r="L2544">
        <v>283.13380000000001</v>
      </c>
      <c r="M2544">
        <v>-0.99987179999999998</v>
      </c>
      <c r="N2544">
        <v>0</v>
      </c>
      <c r="O2544">
        <v>-1.0575009999999999E-2</v>
      </c>
      <c r="P2544">
        <v>-0.99614020000000003</v>
      </c>
      <c r="Q2544">
        <v>8.4214209999999998E-2</v>
      </c>
      <c r="R2544">
        <v>-2.475718E-2</v>
      </c>
      <c r="S2544">
        <v>-3.0189210000000002</v>
      </c>
      <c r="T2544">
        <v>-0.1101034</v>
      </c>
      <c r="U2544">
        <v>-8.5296629999999998E-2</v>
      </c>
      <c r="V2544">
        <v>-1.4739850000000001E-2</v>
      </c>
      <c r="W2544">
        <v>9.6121269999999995E-2</v>
      </c>
      <c r="X2544">
        <v>0.99526049999999999</v>
      </c>
      <c r="Y2544">
        <v>-1.7664900000000001E-2</v>
      </c>
      <c r="Z2544" s="1">
        <v>6.3527519999999999E-5</v>
      </c>
      <c r="AA2544">
        <v>0.99984399999999996</v>
      </c>
      <c r="AB2544">
        <v>43</v>
      </c>
      <c r="AC2544">
        <v>-30.118299999999898</v>
      </c>
      <c r="AD2544">
        <v>-1.1064329234700001</v>
      </c>
      <c r="AE2544">
        <v>-0.85430000000002304</v>
      </c>
      <c r="AF2544">
        <v>-0.53500643893747701</v>
      </c>
      <c r="AG2544">
        <v>-1.1064329234700001</v>
      </c>
      <c r="AH2544">
        <v>30.0850818068363</v>
      </c>
      <c r="AI2544">
        <v>92.105873326330695</v>
      </c>
      <c r="AJ2544">
        <v>91.018789993082194</v>
      </c>
      <c r="AK2544">
        <v>30.1101739122821</v>
      </c>
      <c r="AL2544">
        <v>84.484140856002199</v>
      </c>
      <c r="AM2544">
        <v>90.848490880564199</v>
      </c>
      <c r="AN2544">
        <v>1.00000001229234</v>
      </c>
    </row>
    <row r="2545" spans="1:40" x14ac:dyDescent="0.3">
      <c r="A2545" t="str">
        <f>"20200111150005284"</f>
        <v>20200111150005284</v>
      </c>
      <c r="B2545" t="str">
        <f>"1578726005279017"</f>
        <v>1578726005279017</v>
      </c>
      <c r="C2545" t="s">
        <v>40</v>
      </c>
      <c r="D2545">
        <v>3.9312879999999999</v>
      </c>
      <c r="E2545">
        <v>0.50895239999999997</v>
      </c>
      <c r="F2545" t="s">
        <v>62</v>
      </c>
      <c r="G2545">
        <v>-326.76139999999998</v>
      </c>
      <c r="H2545" s="1">
        <v>2.1637519999999999E-6</v>
      </c>
      <c r="I2545">
        <v>282.27179999999998</v>
      </c>
      <c r="J2545">
        <v>-296.73559999999998</v>
      </c>
      <c r="K2545">
        <v>1.1063769999999999</v>
      </c>
      <c r="L2545">
        <v>283.13040000000001</v>
      </c>
      <c r="M2545">
        <v>-0.99986010000000003</v>
      </c>
      <c r="N2545">
        <v>0</v>
      </c>
      <c r="O2545">
        <v>-1.1527300000000001E-2</v>
      </c>
      <c r="P2545">
        <v>-0.99613059999999998</v>
      </c>
      <c r="Q2545">
        <v>8.4051539999999994E-2</v>
      </c>
      <c r="R2545">
        <v>-2.5678340000000001E-2</v>
      </c>
      <c r="S2545">
        <v>-3.018799</v>
      </c>
      <c r="T2545">
        <v>-0.11030139999999999</v>
      </c>
      <c r="U2545">
        <v>-8.59375E-2</v>
      </c>
      <c r="V2545">
        <v>-1.469676E-2</v>
      </c>
      <c r="W2545">
        <v>9.6054349999999997E-2</v>
      </c>
      <c r="X2545">
        <v>0.99526760000000003</v>
      </c>
      <c r="Y2545">
        <v>-1.692695E-2</v>
      </c>
      <c r="Z2545">
        <v>1.118935E-4</v>
      </c>
      <c r="AA2545">
        <v>0.99985670000000004</v>
      </c>
      <c r="AB2545">
        <v>43</v>
      </c>
      <c r="AC2545">
        <v>-30.0258</v>
      </c>
      <c r="AD2545">
        <v>-1.1063748362479999</v>
      </c>
      <c r="AE2545">
        <v>-0.85860000000002401</v>
      </c>
      <c r="AF2545">
        <v>-0.511706919843123</v>
      </c>
      <c r="AG2545">
        <v>-1.1063748362479999</v>
      </c>
      <c r="AH2545">
        <v>29.9930134843984</v>
      </c>
      <c r="AI2545">
        <v>92.112247542252305</v>
      </c>
      <c r="AJ2545">
        <v>90.977421049787594</v>
      </c>
      <c r="AK2545">
        <v>30.0177741867282</v>
      </c>
      <c r="AL2545">
        <v>84.487992924399606</v>
      </c>
      <c r="AM2545">
        <v>90.8460047564961</v>
      </c>
      <c r="AN2545">
        <v>1.0000000142590899</v>
      </c>
    </row>
    <row r="2546" spans="1:40" x14ac:dyDescent="0.3">
      <c r="A2546" t="str">
        <f>"20200111150005301"</f>
        <v>20200111150005301</v>
      </c>
      <c r="B2546" t="str">
        <f>"1578726005298537"</f>
        <v>1578726005298537</v>
      </c>
      <c r="C2546" t="s">
        <v>40</v>
      </c>
      <c r="D2546">
        <v>4.0229730000000004</v>
      </c>
      <c r="E2546">
        <v>0.51082819999999995</v>
      </c>
      <c r="F2546" t="s">
        <v>41</v>
      </c>
      <c r="G2546">
        <v>-297.7543</v>
      </c>
      <c r="H2546">
        <v>1.02782</v>
      </c>
      <c r="I2546">
        <v>283.1241</v>
      </c>
      <c r="J2546">
        <v>-297.04270000000002</v>
      </c>
      <c r="K2546">
        <v>1.1062970000000001</v>
      </c>
      <c r="L2546">
        <v>283.12610000000001</v>
      </c>
      <c r="M2546">
        <v>-0.99984569999999995</v>
      </c>
      <c r="N2546">
        <v>0</v>
      </c>
      <c r="O2546">
        <v>-1.261866E-2</v>
      </c>
      <c r="P2546">
        <v>-0.99614230000000004</v>
      </c>
      <c r="Q2546">
        <v>8.3475720000000003E-2</v>
      </c>
      <c r="R2546">
        <v>-2.7065949999999998E-2</v>
      </c>
      <c r="S2546">
        <v>-3.0309140000000001</v>
      </c>
      <c r="T2546">
        <v>-0.23387579999999999</v>
      </c>
      <c r="U2546">
        <v>-1.9256590000000001E-2</v>
      </c>
      <c r="V2546">
        <v>-1.4975560000000001E-2</v>
      </c>
      <c r="W2546">
        <v>9.5570230000000006E-2</v>
      </c>
      <c r="X2546">
        <v>0.99531000000000003</v>
      </c>
      <c r="Y2546">
        <v>6.2106189999999997E-3</v>
      </c>
      <c r="Z2546">
        <v>1.211546E-3</v>
      </c>
      <c r="AA2546">
        <v>0.99997999999999998</v>
      </c>
      <c r="AB2546">
        <v>43</v>
      </c>
      <c r="AC2546">
        <v>-0.71159999999997503</v>
      </c>
      <c r="AD2546">
        <v>-7.8476999999999603E-2</v>
      </c>
      <c r="AE2546">
        <v>-2.0000000000095402E-3</v>
      </c>
      <c r="AF2546">
        <v>6.8963935092441597E-3</v>
      </c>
      <c r="AG2546">
        <v>-7.8476999999999603E-2</v>
      </c>
      <c r="AH2546">
        <v>0.70301837661536504</v>
      </c>
      <c r="AI2546">
        <v>96.369177946243596</v>
      </c>
      <c r="AJ2546">
        <v>89.437964097070704</v>
      </c>
      <c r="AK2546">
        <v>0.70741857314558598</v>
      </c>
      <c r="AL2546">
        <v>84.515858893417402</v>
      </c>
      <c r="AM2546">
        <v>90.862014491485496</v>
      </c>
      <c r="AN2546">
        <v>0.99999996617978204</v>
      </c>
    </row>
    <row r="2547" spans="1:40" x14ac:dyDescent="0.3">
      <c r="A2547" t="str">
        <f>"20200111150005313"</f>
        <v>20200111150005313</v>
      </c>
      <c r="B2547" t="str">
        <f>"1578726005308296"</f>
        <v>1578726005308296</v>
      </c>
      <c r="C2547" t="s">
        <v>40</v>
      </c>
      <c r="D2547">
        <v>4.0437019999999997</v>
      </c>
      <c r="E2547">
        <v>0.51088650000000002</v>
      </c>
      <c r="F2547" t="s">
        <v>41</v>
      </c>
      <c r="G2547">
        <v>-298.14109999999999</v>
      </c>
      <c r="H2547">
        <v>1.0318039999999999</v>
      </c>
      <c r="I2547">
        <v>283.12360000000001</v>
      </c>
      <c r="J2547">
        <v>-297.28559999999999</v>
      </c>
      <c r="K2547">
        <v>1.1062240000000001</v>
      </c>
      <c r="L2547">
        <v>283.12240000000003</v>
      </c>
      <c r="M2547">
        <v>-0.99983480000000002</v>
      </c>
      <c r="N2547">
        <v>0</v>
      </c>
      <c r="O2547">
        <v>-1.342407E-2</v>
      </c>
      <c r="P2547">
        <v>-0.99613700000000005</v>
      </c>
      <c r="Q2547">
        <v>8.3192119999999994E-2</v>
      </c>
      <c r="R2547">
        <v>-2.8115029999999999E-2</v>
      </c>
      <c r="S2547">
        <v>-3.0286249999999999</v>
      </c>
      <c r="T2547">
        <v>-0.20553270000000001</v>
      </c>
      <c r="U2547">
        <v>-7.4768069999999898E-3</v>
      </c>
      <c r="V2547">
        <v>-1.520466E-2</v>
      </c>
      <c r="W2547">
        <v>9.5338580000000006E-2</v>
      </c>
      <c r="X2547">
        <v>0.99532880000000001</v>
      </c>
      <c r="Y2547">
        <v>1.09006E-2</v>
      </c>
      <c r="Z2547">
        <v>1.279449E-3</v>
      </c>
      <c r="AA2547">
        <v>0.99993969999999999</v>
      </c>
      <c r="AB2547">
        <v>43</v>
      </c>
      <c r="AC2547">
        <v>-0.85550000000000603</v>
      </c>
      <c r="AD2547">
        <v>-7.4419999999999695E-2</v>
      </c>
      <c r="AE2547">
        <v>1.1999999999829901E-3</v>
      </c>
      <c r="AF2547">
        <v>1.2589776055359001E-2</v>
      </c>
      <c r="AG2547">
        <v>-7.4419999999999695E-2</v>
      </c>
      <c r="AH2547">
        <v>0.848982324957269</v>
      </c>
      <c r="AI2547">
        <v>95.009074287418699</v>
      </c>
      <c r="AJ2547">
        <v>89.150408503428494</v>
      </c>
      <c r="AK2547">
        <v>0.85233082013439698</v>
      </c>
      <c r="AL2547">
        <v>84.529192657920007</v>
      </c>
      <c r="AM2547">
        <v>90.875183248510794</v>
      </c>
      <c r="AN2547">
        <v>1.00000002331578</v>
      </c>
    </row>
    <row r="2548" spans="1:40" x14ac:dyDescent="0.3">
      <c r="A2548" t="str">
        <f>"20200111150005325"</f>
        <v>20200111150005325</v>
      </c>
      <c r="B2548" t="str">
        <f>"1578726005319032"</f>
        <v>1578726005319032</v>
      </c>
      <c r="C2548" t="s">
        <v>40</v>
      </c>
      <c r="D2548">
        <v>4.311458</v>
      </c>
      <c r="E2548">
        <v>0.51239670000000004</v>
      </c>
      <c r="F2548" t="s">
        <v>66</v>
      </c>
      <c r="G2548">
        <v>-314.03500000000003</v>
      </c>
      <c r="H2548" s="1">
        <v>4.141772E-6</v>
      </c>
      <c r="I2548">
        <v>283.06700000000001</v>
      </c>
      <c r="J2548">
        <v>-297.5274</v>
      </c>
      <c r="K2548">
        <v>1.1061510000000001</v>
      </c>
      <c r="L2548">
        <v>283.11860000000001</v>
      </c>
      <c r="M2548">
        <v>-0.99982329999999997</v>
      </c>
      <c r="N2548">
        <v>0</v>
      </c>
      <c r="O2548">
        <v>-1.4200910000000001E-2</v>
      </c>
      <c r="P2548">
        <v>-0.99612489999999998</v>
      </c>
      <c r="Q2548">
        <v>8.2895769999999994E-2</v>
      </c>
      <c r="R2548">
        <v>-2.9385689999999999E-2</v>
      </c>
      <c r="S2548">
        <v>-3.0280149999999999</v>
      </c>
      <c r="T2548">
        <v>-0.19998740000000001</v>
      </c>
      <c r="U2548">
        <v>-1.0009769999999999E-2</v>
      </c>
      <c r="V2548">
        <v>-1.568392E-2</v>
      </c>
      <c r="W2548">
        <v>9.5086050000000005E-2</v>
      </c>
      <c r="X2548">
        <v>0.99534549999999999</v>
      </c>
      <c r="Y2548">
        <v>1.0841979999999999E-2</v>
      </c>
      <c r="Z2548">
        <v>1.2945700000000001E-3</v>
      </c>
      <c r="AA2548">
        <v>0.99994039999999995</v>
      </c>
      <c r="AB2548">
        <v>43</v>
      </c>
      <c r="AC2548">
        <v>-16.5076</v>
      </c>
      <c r="AD2548">
        <v>-1.1061468582279901</v>
      </c>
      <c r="AE2548">
        <v>-5.1600000000007598E-2</v>
      </c>
      <c r="AF2548">
        <v>0.18202860744279301</v>
      </c>
      <c r="AG2548">
        <v>-1.1061468582279901</v>
      </c>
      <c r="AH2548">
        <v>16.432883121246</v>
      </c>
      <c r="AI2548">
        <v>93.850706716625893</v>
      </c>
      <c r="AJ2548">
        <v>89.365355163841997</v>
      </c>
      <c r="AK2548">
        <v>16.471075950357001</v>
      </c>
      <c r="AL2548">
        <v>84.543727483720104</v>
      </c>
      <c r="AM2548">
        <v>90.902749909371906</v>
      </c>
      <c r="AN2548">
        <v>1.0000000033106999</v>
      </c>
    </row>
    <row r="2549" spans="1:40" x14ac:dyDescent="0.3">
      <c r="A2549" t="str">
        <f>"20200111150005337"</f>
        <v>20200111150005337</v>
      </c>
      <c r="B2549" t="str">
        <f>"1578726005328792"</f>
        <v>1578726005328792</v>
      </c>
      <c r="C2549" t="s">
        <v>40</v>
      </c>
      <c r="D2549">
        <v>4.0458489999999996</v>
      </c>
      <c r="E2549">
        <v>0.51268170000000002</v>
      </c>
      <c r="F2549" t="s">
        <v>41</v>
      </c>
      <c r="G2549">
        <v>-298.53379999999999</v>
      </c>
      <c r="H2549">
        <v>1.0437430000000001</v>
      </c>
      <c r="I2549">
        <v>283.11810000000003</v>
      </c>
      <c r="J2549">
        <v>-297.76400000000001</v>
      </c>
      <c r="K2549">
        <v>1.1060760000000001</v>
      </c>
      <c r="L2549">
        <v>283.11470000000003</v>
      </c>
      <c r="M2549">
        <v>-0.99981240000000005</v>
      </c>
      <c r="N2549">
        <v>0</v>
      </c>
      <c r="O2549">
        <v>-1.493011E-2</v>
      </c>
      <c r="P2549">
        <v>-0.99610659999999895</v>
      </c>
      <c r="Q2549">
        <v>8.2845269999999999E-2</v>
      </c>
      <c r="R2549">
        <v>-3.0142160000000001E-2</v>
      </c>
      <c r="S2549">
        <v>-3.0272519999999998</v>
      </c>
      <c r="T2549">
        <v>-0.1877356</v>
      </c>
      <c r="U2549">
        <v>-1.4648440000000001E-3</v>
      </c>
      <c r="V2549">
        <v>-1.5697699999999998E-2</v>
      </c>
      <c r="W2549">
        <v>9.5071349999999999E-2</v>
      </c>
      <c r="X2549">
        <v>0.99534670000000003</v>
      </c>
      <c r="Y2549">
        <v>1.439109E-2</v>
      </c>
      <c r="Z2549">
        <v>1.37085299999999E-3</v>
      </c>
      <c r="AA2549">
        <v>0.99989550000000005</v>
      </c>
      <c r="AB2549">
        <v>43</v>
      </c>
      <c r="AC2549">
        <v>-0.76979999999997495</v>
      </c>
      <c r="AD2549">
        <v>-6.2332999999999902E-2</v>
      </c>
      <c r="AE2549">
        <v>3.3999999999991802E-3</v>
      </c>
      <c r="AF2549">
        <v>1.47966803435867E-2</v>
      </c>
      <c r="AG2549">
        <v>-6.2332999999999902E-2</v>
      </c>
      <c r="AH2549">
        <v>0.76464999423858804</v>
      </c>
      <c r="AI2549">
        <v>94.659483678593404</v>
      </c>
      <c r="AJ2549">
        <v>88.891412352873203</v>
      </c>
      <c r="AK2549">
        <v>0.76732910692040301</v>
      </c>
      <c r="AL2549">
        <v>84.544573635640802</v>
      </c>
      <c r="AM2549">
        <v>90.903541851077307</v>
      </c>
      <c r="AN2549">
        <v>1.0000000162885001</v>
      </c>
    </row>
    <row r="2550" spans="1:40" x14ac:dyDescent="0.3">
      <c r="A2550" t="str">
        <f>"20200111150005350"</f>
        <v>20200111150005350</v>
      </c>
      <c r="B2550" t="str">
        <f>"1578726005338552"</f>
        <v>1578726005338552</v>
      </c>
      <c r="C2550" t="s">
        <v>40</v>
      </c>
      <c r="D2550">
        <v>4.0179819999999999</v>
      </c>
      <c r="E2550">
        <v>0.51278290000000004</v>
      </c>
      <c r="F2550" t="s">
        <v>66</v>
      </c>
      <c r="G2550">
        <v>-317.07690000000002</v>
      </c>
      <c r="H2550" s="1">
        <v>5.4870799999999998E-6</v>
      </c>
      <c r="I2550">
        <v>283.10890000000001</v>
      </c>
      <c r="J2550">
        <v>-297.99520000000001</v>
      </c>
      <c r="K2550">
        <v>1.105993</v>
      </c>
      <c r="L2550">
        <v>283.11070000000001</v>
      </c>
      <c r="M2550">
        <v>-0.99980210000000003</v>
      </c>
      <c r="N2550">
        <v>0</v>
      </c>
      <c r="O2550">
        <v>-1.559087E-2</v>
      </c>
      <c r="P2550">
        <v>-0.99607900000000005</v>
      </c>
      <c r="Q2550">
        <v>8.2894709999999996E-2</v>
      </c>
      <c r="R2550">
        <v>-3.0910420000000001E-2</v>
      </c>
      <c r="S2550">
        <v>-3.0260929999999999</v>
      </c>
      <c r="T2550">
        <v>-0.1733075</v>
      </c>
      <c r="U2550">
        <v>-9.1552729999999996E-4</v>
      </c>
      <c r="V2550">
        <v>-1.5790619999999998E-2</v>
      </c>
      <c r="W2550">
        <v>9.5147770000000007E-2</v>
      </c>
      <c r="X2550">
        <v>0.9953379</v>
      </c>
      <c r="Y2550">
        <v>1.5239040000000001E-2</v>
      </c>
      <c r="Z2550">
        <v>1.328236E-3</v>
      </c>
      <c r="AA2550">
        <v>0.99988299999999997</v>
      </c>
      <c r="AB2550">
        <v>43</v>
      </c>
      <c r="AC2550">
        <v>-19.081700000000001</v>
      </c>
      <c r="AD2550">
        <v>-1.1059875129200001</v>
      </c>
      <c r="AE2550">
        <v>-1.8000000000029099E-3</v>
      </c>
      <c r="AF2550">
        <v>0.294733100640445</v>
      </c>
      <c r="AG2550">
        <v>-1.1059875129200001</v>
      </c>
      <c r="AH2550">
        <v>19.015526988555902</v>
      </c>
      <c r="AI2550">
        <v>93.328307506281405</v>
      </c>
      <c r="AJ2550">
        <v>89.112009324814693</v>
      </c>
      <c r="AK2550">
        <v>19.049943376079799</v>
      </c>
      <c r="AL2550">
        <v>84.540175000885995</v>
      </c>
      <c r="AM2550">
        <v>90.908897360933395</v>
      </c>
      <c r="AN2550">
        <v>0.99999998849618299</v>
      </c>
    </row>
    <row r="2551" spans="1:40" x14ac:dyDescent="0.3">
      <c r="A2551" t="str">
        <f>"20200111150005367"</f>
        <v>20200111150005367</v>
      </c>
      <c r="B2551" t="str">
        <f>"1578726005359051"</f>
        <v>1578726005359051</v>
      </c>
      <c r="C2551" t="s">
        <v>40</v>
      </c>
      <c r="D2551">
        <v>4.0552049999999999</v>
      </c>
      <c r="E2551">
        <v>0.51250150000000005</v>
      </c>
      <c r="F2551" t="s">
        <v>66</v>
      </c>
      <c r="G2551">
        <v>-318.5487</v>
      </c>
      <c r="H2551" s="1">
        <v>6.1408959999999998E-6</v>
      </c>
      <c r="I2551">
        <v>283.09620000000001</v>
      </c>
      <c r="J2551">
        <v>-298.3313</v>
      </c>
      <c r="K2551">
        <v>1.105874</v>
      </c>
      <c r="L2551">
        <v>283.10469999999998</v>
      </c>
      <c r="M2551">
        <v>-0.99978719999999999</v>
      </c>
      <c r="N2551">
        <v>0</v>
      </c>
      <c r="O2551">
        <v>-1.6490270000000001E-2</v>
      </c>
      <c r="P2551">
        <v>-0.99601390000000001</v>
      </c>
      <c r="Q2551">
        <v>8.3089579999999996E-2</v>
      </c>
      <c r="R2551">
        <v>-3.2452210000000002E-2</v>
      </c>
      <c r="S2551">
        <v>-3.025299</v>
      </c>
      <c r="T2551">
        <v>-0.162791299999999</v>
      </c>
      <c r="U2551">
        <v>-2.1362299999999998E-3</v>
      </c>
      <c r="V2551">
        <v>-1.6411990000000001E-2</v>
      </c>
      <c r="W2551">
        <v>9.537561E-2</v>
      </c>
      <c r="X2551">
        <v>0.99530609999999997</v>
      </c>
      <c r="Y2551">
        <v>1.573888E-2</v>
      </c>
      <c r="Z2551">
        <v>1.3098840000000001E-3</v>
      </c>
      <c r="AA2551">
        <v>0.99987530000000002</v>
      </c>
      <c r="AB2551">
        <v>43</v>
      </c>
      <c r="AC2551">
        <v>-20.217400000000001</v>
      </c>
      <c r="AD2551">
        <v>-1.1058678591040001</v>
      </c>
      <c r="AE2551">
        <v>-8.4999999999695302E-3</v>
      </c>
      <c r="AF2551">
        <v>0.32394791306257598</v>
      </c>
      <c r="AG2551">
        <v>-1.1058678591040001</v>
      </c>
      <c r="AH2551">
        <v>20.154489293581999</v>
      </c>
      <c r="AI2551">
        <v>93.140239838972505</v>
      </c>
      <c r="AJ2551">
        <v>89.0791505661211</v>
      </c>
      <c r="AK2551">
        <v>20.187405099647801</v>
      </c>
      <c r="AL2551">
        <v>84.5270614103908</v>
      </c>
      <c r="AM2551">
        <v>90.944686813811799</v>
      </c>
      <c r="AN2551">
        <v>1.00000004654792</v>
      </c>
    </row>
    <row r="2552" spans="1:40" x14ac:dyDescent="0.3">
      <c r="A2552" t="str">
        <f>"20200111150005381"</f>
        <v>20200111150005381</v>
      </c>
      <c r="B2552" t="str">
        <f>"1578726005378568"</f>
        <v>1578726005378568</v>
      </c>
      <c r="C2552" t="s">
        <v>40</v>
      </c>
      <c r="D2552">
        <v>4.0588739999999897</v>
      </c>
      <c r="E2552">
        <v>0.51215770000000005</v>
      </c>
      <c r="F2552" t="s">
        <v>66</v>
      </c>
      <c r="G2552">
        <v>-319.6619</v>
      </c>
      <c r="H2552" s="1">
        <v>6.6392379999999997E-6</v>
      </c>
      <c r="I2552">
        <v>283.04250000000002</v>
      </c>
      <c r="J2552">
        <v>-298.59280000000001</v>
      </c>
      <c r="K2552">
        <v>1.105774</v>
      </c>
      <c r="L2552">
        <v>283.10000000000002</v>
      </c>
      <c r="M2552">
        <v>-0.999776</v>
      </c>
      <c r="N2552">
        <v>0</v>
      </c>
      <c r="O2552">
        <v>-1.713611E-2</v>
      </c>
      <c r="P2552">
        <v>-0.99597809999999998</v>
      </c>
      <c r="Q2552">
        <v>8.313951E-2</v>
      </c>
      <c r="R2552">
        <v>-3.3401809999999997E-2</v>
      </c>
      <c r="S2552">
        <v>-3.0248110000000001</v>
      </c>
      <c r="T2552">
        <v>-0.1568186</v>
      </c>
      <c r="U2552">
        <v>-8.8195800000000005E-3</v>
      </c>
      <c r="V2552">
        <v>-1.669663E-2</v>
      </c>
      <c r="W2552">
        <v>9.5450129999999994E-2</v>
      </c>
      <c r="X2552">
        <v>0.99529420000000002</v>
      </c>
      <c r="Y2552">
        <v>1.417999E-2</v>
      </c>
      <c r="Z2552">
        <v>1.2551660000000001E-3</v>
      </c>
      <c r="AA2552">
        <v>0.99989870000000003</v>
      </c>
      <c r="AB2552">
        <v>43</v>
      </c>
      <c r="AC2552">
        <v>-21.069099999999899</v>
      </c>
      <c r="AD2552">
        <v>-1.105767360762</v>
      </c>
      <c r="AE2552">
        <v>-5.7500000000004499E-2</v>
      </c>
      <c r="AF2552">
        <v>0.302744827175841</v>
      </c>
      <c r="AG2552">
        <v>-1.105767360762</v>
      </c>
      <c r="AH2552">
        <v>21.009123029144199</v>
      </c>
      <c r="AI2552">
        <v>93.012540705275001</v>
      </c>
      <c r="AJ2552">
        <v>89.174415783845802</v>
      </c>
      <c r="AK2552">
        <v>21.040380850645899</v>
      </c>
      <c r="AL2552">
        <v>84.522772040381696</v>
      </c>
      <c r="AM2552">
        <v>90.961079353704406</v>
      </c>
      <c r="AN2552">
        <v>1.000000024662</v>
      </c>
    </row>
    <row r="2553" spans="1:40" x14ac:dyDescent="0.3">
      <c r="A2553" t="str">
        <f>"20200111150005394"</f>
        <v>20200111150005394</v>
      </c>
      <c r="B2553" t="str">
        <f>"1578726005388328"</f>
        <v>1578726005388328</v>
      </c>
      <c r="C2553" t="s">
        <v>40</v>
      </c>
      <c r="D2553">
        <v>4.1194050000000004</v>
      </c>
      <c r="E2553">
        <v>0.51236320000000002</v>
      </c>
      <c r="F2553" t="s">
        <v>41</v>
      </c>
      <c r="G2553">
        <v>-299.69110000000001</v>
      </c>
      <c r="H2553">
        <v>1.0467299999999999</v>
      </c>
      <c r="I2553">
        <v>283.0949</v>
      </c>
      <c r="J2553">
        <v>-298.84980000000002</v>
      </c>
      <c r="K2553">
        <v>1.1056790000000001</v>
      </c>
      <c r="L2553">
        <v>283.09519999999998</v>
      </c>
      <c r="M2553">
        <v>-0.99976609999999999</v>
      </c>
      <c r="N2553">
        <v>0</v>
      </c>
      <c r="O2553">
        <v>-1.7694069999999999E-2</v>
      </c>
      <c r="P2553">
        <v>-0.99596370000000001</v>
      </c>
      <c r="Q2553">
        <v>8.2919069999999998E-2</v>
      </c>
      <c r="R2553">
        <v>-3.4366580000000001E-2</v>
      </c>
      <c r="S2553">
        <v>-3.0252080000000001</v>
      </c>
      <c r="T2553">
        <v>-0.1627566</v>
      </c>
      <c r="U2553">
        <v>-1.4709470000000001E-2</v>
      </c>
      <c r="V2553">
        <v>-1.7082799999999999E-2</v>
      </c>
      <c r="W2553">
        <v>9.5255989999999999E-2</v>
      </c>
      <c r="X2553">
        <v>0.99530620000000003</v>
      </c>
      <c r="Y2553">
        <v>1.278966E-2</v>
      </c>
      <c r="Z2553">
        <v>1.2950679999999999E-3</v>
      </c>
      <c r="AA2553">
        <v>0.99991739999999996</v>
      </c>
      <c r="AB2553">
        <v>43</v>
      </c>
      <c r="AC2553">
        <v>-0.84129999999998895</v>
      </c>
      <c r="AD2553">
        <v>-5.8949000000000099E-2</v>
      </c>
      <c r="AE2553">
        <v>-2.9999999998153699E-4</v>
      </c>
      <c r="AF2553">
        <v>1.4515951047979999E-2</v>
      </c>
      <c r="AG2553">
        <v>-5.8949000000000099E-2</v>
      </c>
      <c r="AH2553">
        <v>0.83706388518961705</v>
      </c>
      <c r="AI2553">
        <v>94.027717231718</v>
      </c>
      <c r="AJ2553">
        <v>89.006504296339997</v>
      </c>
      <c r="AK2553">
        <v>0.83926256042108904</v>
      </c>
      <c r="AL2553">
        <v>84.533946106484507</v>
      </c>
      <c r="AM2553">
        <v>90.983291624238802</v>
      </c>
      <c r="AN2553">
        <v>0.99999997872257895</v>
      </c>
    </row>
    <row r="2554" spans="1:40" x14ac:dyDescent="0.3">
      <c r="A2554" t="str">
        <f>"20200111150005406"</f>
        <v>20200111150005406</v>
      </c>
      <c r="B2554" t="str">
        <f>"1578726005399065"</f>
        <v>1578726005399065</v>
      </c>
      <c r="C2554" t="s">
        <v>40</v>
      </c>
      <c r="D2554">
        <v>4.0430469999999996</v>
      </c>
      <c r="E2554">
        <v>0.51265479999999997</v>
      </c>
      <c r="F2554" t="s">
        <v>66</v>
      </c>
      <c r="G2554">
        <v>-319.6447</v>
      </c>
      <c r="H2554" s="1">
        <v>6.6363850000000003E-6</v>
      </c>
      <c r="I2554">
        <v>282.98750000000001</v>
      </c>
      <c r="J2554">
        <v>-299.07690000000002</v>
      </c>
      <c r="K2554">
        <v>1.105591</v>
      </c>
      <c r="L2554">
        <v>283.0908</v>
      </c>
      <c r="M2554">
        <v>-0.99975749999999997</v>
      </c>
      <c r="N2554">
        <v>0</v>
      </c>
      <c r="O2554">
        <v>-1.814671E-2</v>
      </c>
      <c r="P2554">
        <v>-0.99593189999999998</v>
      </c>
      <c r="Q2554">
        <v>8.2965440000000001E-2</v>
      </c>
      <c r="R2554">
        <v>-3.5163199999999901E-2</v>
      </c>
      <c r="S2554">
        <v>-3.025055</v>
      </c>
      <c r="T2554">
        <v>-0.16084370000000001</v>
      </c>
      <c r="U2554">
        <v>-1.5655519999999999E-2</v>
      </c>
      <c r="V2554">
        <v>-1.7408719999999999E-2</v>
      </c>
      <c r="W2554">
        <v>9.5326729999999998E-2</v>
      </c>
      <c r="X2554">
        <v>0.99529380000000001</v>
      </c>
      <c r="Y2554">
        <v>1.2929619999999999E-2</v>
      </c>
      <c r="Z2554">
        <v>1.3076989999999901E-3</v>
      </c>
      <c r="AA2554">
        <v>0.99991549999999996</v>
      </c>
      <c r="AB2554">
        <v>43</v>
      </c>
      <c r="AC2554">
        <v>-20.567799999999899</v>
      </c>
      <c r="AD2554">
        <v>-1.105584363615</v>
      </c>
      <c r="AE2554">
        <v>-0.10329999999999</v>
      </c>
      <c r="AF2554">
        <v>0.269206137546039</v>
      </c>
      <c r="AG2554">
        <v>-1.105584363615</v>
      </c>
      <c r="AH2554">
        <v>20.507035782263799</v>
      </c>
      <c r="AI2554">
        <v>93.085702468201703</v>
      </c>
      <c r="AJ2554">
        <v>89.247892785597998</v>
      </c>
      <c r="AK2554">
        <v>20.538580898022399</v>
      </c>
      <c r="AL2554">
        <v>84.529874584031901</v>
      </c>
      <c r="AM2554">
        <v>91.002060379602298</v>
      </c>
      <c r="AN2554">
        <v>0.99999999865148503</v>
      </c>
    </row>
    <row r="2555" spans="1:40" x14ac:dyDescent="0.3">
      <c r="A2555" t="str">
        <f>"20200111150005424"</f>
        <v>20200111150005424</v>
      </c>
      <c r="B2555" t="str">
        <f>"1578726005418583"</f>
        <v>1578726005418583</v>
      </c>
      <c r="C2555" t="s">
        <v>40</v>
      </c>
      <c r="D2555">
        <v>4.041785</v>
      </c>
      <c r="E2555">
        <v>0.51256740000000001</v>
      </c>
      <c r="F2555" t="s">
        <v>66</v>
      </c>
      <c r="G2555">
        <v>-319.95</v>
      </c>
      <c r="H2555" s="1">
        <v>6.7721610000000001E-6</v>
      </c>
      <c r="I2555">
        <v>282.98340000000002</v>
      </c>
      <c r="J2555">
        <v>-299.41379999999998</v>
      </c>
      <c r="K2555">
        <v>1.105464</v>
      </c>
      <c r="L2555">
        <v>283.08420000000001</v>
      </c>
      <c r="M2555">
        <v>-0.99974629999999998</v>
      </c>
      <c r="N2555">
        <v>0</v>
      </c>
      <c r="O2555">
        <v>-1.8736269999999999E-2</v>
      </c>
      <c r="P2555">
        <v>-0.99591540000000001</v>
      </c>
      <c r="Q2555">
        <v>8.2896819999999996E-2</v>
      </c>
      <c r="R2555">
        <v>-3.5790799999999998E-2</v>
      </c>
      <c r="S2555">
        <v>-3.025055</v>
      </c>
      <c r="T2555">
        <v>-0.160227799999999</v>
      </c>
      <c r="U2555">
        <v>-1.556396E-2</v>
      </c>
      <c r="V2555">
        <v>-1.7417789999999999E-2</v>
      </c>
      <c r="W2555">
        <v>9.5299190000000006E-2</v>
      </c>
      <c r="X2555">
        <v>0.99529630000000002</v>
      </c>
      <c r="Y2555">
        <v>1.354819E-2</v>
      </c>
      <c r="Z2555">
        <v>1.350272E-3</v>
      </c>
      <c r="AA2555">
        <v>0.99990730000000005</v>
      </c>
      <c r="AB2555">
        <v>43</v>
      </c>
      <c r="AC2555">
        <v>-20.536200000000001</v>
      </c>
      <c r="AD2555">
        <v>-1.105457227839</v>
      </c>
      <c r="AE2555">
        <v>-0.10079999999999199</v>
      </c>
      <c r="AF2555">
        <v>0.28319896865500199</v>
      </c>
      <c r="AG2555">
        <v>-1.105457227839</v>
      </c>
      <c r="AH2555">
        <v>20.475155187493101</v>
      </c>
      <c r="AI2555">
        <v>93.090113762051899</v>
      </c>
      <c r="AJ2555">
        <v>89.207572742739401</v>
      </c>
      <c r="AK2555">
        <v>20.5069309573704</v>
      </c>
      <c r="AL2555">
        <v>84.531459842988497</v>
      </c>
      <c r="AM2555">
        <v>91.002579832010497</v>
      </c>
      <c r="AN2555">
        <v>1.00000001990841</v>
      </c>
    </row>
    <row r="2556" spans="1:40" x14ac:dyDescent="0.3">
      <c r="A2556" t="str">
        <f>"20200111150005436"</f>
        <v>20200111150005436</v>
      </c>
      <c r="B2556" t="str">
        <f>"1578726005428343"</f>
        <v>1578726005428343</v>
      </c>
      <c r="C2556" t="s">
        <v>40</v>
      </c>
      <c r="D2556">
        <v>4.0476660000000004</v>
      </c>
      <c r="E2556">
        <v>0.51277539999999999</v>
      </c>
      <c r="F2556" t="s">
        <v>62</v>
      </c>
      <c r="G2556">
        <v>-321.04599999999999</v>
      </c>
      <c r="H2556" s="1">
        <v>-9.0746060000000001E-7</v>
      </c>
      <c r="I2556">
        <v>282.95280000000002</v>
      </c>
      <c r="J2556">
        <v>-299.65539999999999</v>
      </c>
      <c r="K2556">
        <v>1.10537</v>
      </c>
      <c r="L2556">
        <v>283.07940000000002</v>
      </c>
      <c r="M2556">
        <v>-0.99973920000000005</v>
      </c>
      <c r="N2556">
        <v>0</v>
      </c>
      <c r="O2556">
        <v>-1.9087219999999998E-2</v>
      </c>
      <c r="P2556">
        <v>-0.99590809999999996</v>
      </c>
      <c r="Q2556">
        <v>8.2864999999999994E-2</v>
      </c>
      <c r="R2556">
        <v>-3.6060910000000002E-2</v>
      </c>
      <c r="S2556">
        <v>-3.0245060000000001</v>
      </c>
      <c r="T2556">
        <v>-0.15456059999999999</v>
      </c>
      <c r="U2556">
        <v>-1.8371579999999998E-2</v>
      </c>
      <c r="V2556">
        <v>-1.7315279999999999E-2</v>
      </c>
      <c r="W2556">
        <v>9.5300609999999994E-2</v>
      </c>
      <c r="X2556">
        <v>0.99529789999999996</v>
      </c>
      <c r="Y2556">
        <v>1.2973510000000001E-2</v>
      </c>
      <c r="Z2556">
        <v>1.306055E-3</v>
      </c>
      <c r="AA2556">
        <v>0.999915</v>
      </c>
      <c r="AB2556">
        <v>43</v>
      </c>
      <c r="AC2556">
        <v>-21.390599999999999</v>
      </c>
      <c r="AD2556">
        <v>-1.1053709074606</v>
      </c>
      <c r="AE2556">
        <v>-0.12659999999999599</v>
      </c>
      <c r="AF2556">
        <v>0.28099192876943802</v>
      </c>
      <c r="AG2556">
        <v>-1.1053709074606</v>
      </c>
      <c r="AH2556">
        <v>21.3321565482286</v>
      </c>
      <c r="AI2556">
        <v>92.965992511346201</v>
      </c>
      <c r="AJ2556">
        <v>89.245330845023801</v>
      </c>
      <c r="AK2556">
        <v>21.362624003273201</v>
      </c>
      <c r="AL2556">
        <v>84.531377823327702</v>
      </c>
      <c r="AM2556">
        <v>90.996678878611306</v>
      </c>
      <c r="AN2556">
        <v>0.99999996746612896</v>
      </c>
    </row>
    <row r="2557" spans="1:40" x14ac:dyDescent="0.3">
      <c r="A2557" t="str">
        <f>"20200111150005457"</f>
        <v>20200111150005457</v>
      </c>
      <c r="B2557" t="str">
        <f>"1578726005448839"</f>
        <v>1578726005448839</v>
      </c>
      <c r="C2557" t="s">
        <v>40</v>
      </c>
      <c r="D2557">
        <v>4.0422989999999999</v>
      </c>
      <c r="E2557">
        <v>0.51343130000000003</v>
      </c>
      <c r="F2557" t="s">
        <v>62</v>
      </c>
      <c r="G2557">
        <v>-320.92270000000002</v>
      </c>
      <c r="H2557" s="1">
        <v>-9.732468E-7</v>
      </c>
      <c r="I2557">
        <v>282.95729999999998</v>
      </c>
      <c r="J2557">
        <v>-300.05180000000001</v>
      </c>
      <c r="K2557">
        <v>1.1052230000000001</v>
      </c>
      <c r="L2557">
        <v>283.07150000000001</v>
      </c>
      <c r="M2557">
        <v>-0.9997298</v>
      </c>
      <c r="N2557">
        <v>0</v>
      </c>
      <c r="O2557">
        <v>-1.95538E-2</v>
      </c>
      <c r="P2557">
        <v>-0.99592890000000001</v>
      </c>
      <c r="Q2557">
        <v>8.2705810000000005E-2</v>
      </c>
      <c r="R2557">
        <v>-3.5858849999999998E-2</v>
      </c>
      <c r="S2557">
        <v>-3.0248110000000001</v>
      </c>
      <c r="T2557">
        <v>-0.15721450000000001</v>
      </c>
      <c r="U2557">
        <v>-1.7364500000000001E-2</v>
      </c>
      <c r="V2557">
        <v>-1.6609700000000002E-2</v>
      </c>
      <c r="W2557">
        <v>9.5203300000000005E-2</v>
      </c>
      <c r="X2557">
        <v>0.99531919999999996</v>
      </c>
      <c r="Y2557">
        <v>1.3770549999999999E-2</v>
      </c>
      <c r="Z2557">
        <v>1.373251E-3</v>
      </c>
      <c r="AA2557">
        <v>0.99990420000000002</v>
      </c>
      <c r="AB2557">
        <v>43</v>
      </c>
      <c r="AC2557">
        <v>-20.870899999999999</v>
      </c>
      <c r="AD2557">
        <v>-1.1052239732468001</v>
      </c>
      <c r="AE2557">
        <v>-0.11420000000003901</v>
      </c>
      <c r="AF2557">
        <v>0.29313747242890398</v>
      </c>
      <c r="AG2557">
        <v>-1.1052239732468001</v>
      </c>
      <c r="AH2557">
        <v>20.810785102775402</v>
      </c>
      <c r="AI2557">
        <v>93.039720527368004</v>
      </c>
      <c r="AJ2557">
        <v>89.192993958183095</v>
      </c>
      <c r="AK2557">
        <v>20.8421742196605</v>
      </c>
      <c r="AL2557">
        <v>84.536978537766402</v>
      </c>
      <c r="AM2557">
        <v>90.956052473220495</v>
      </c>
      <c r="AN2557">
        <v>0.99999993017680699</v>
      </c>
    </row>
    <row r="2558" spans="1:40" x14ac:dyDescent="0.3">
      <c r="A2558" t="str">
        <f>"20200111150005471"</f>
        <v>20200111150005471</v>
      </c>
      <c r="B2558" t="str">
        <f>"1578726005458600"</f>
        <v>1578726005458600</v>
      </c>
      <c r="C2558" t="s">
        <v>40</v>
      </c>
      <c r="D2558">
        <v>4.009093</v>
      </c>
      <c r="E2558">
        <v>0.51368789999999998</v>
      </c>
      <c r="F2558" t="s">
        <v>62</v>
      </c>
      <c r="G2558">
        <v>-321.88580000000002</v>
      </c>
      <c r="H2558" s="1">
        <v>-4.6234320000000001E-7</v>
      </c>
      <c r="I2558">
        <v>282.9939</v>
      </c>
      <c r="J2558">
        <v>-300.30930000000001</v>
      </c>
      <c r="K2558">
        <v>1.1051260000000001</v>
      </c>
      <c r="L2558">
        <v>283.06619999999998</v>
      </c>
      <c r="M2558">
        <v>-0.99972470000000002</v>
      </c>
      <c r="N2558">
        <v>0</v>
      </c>
      <c r="O2558">
        <v>-1.9778830000000001E-2</v>
      </c>
      <c r="P2558">
        <v>-0.99596209999999996</v>
      </c>
      <c r="Q2558">
        <v>8.2464780000000001E-2</v>
      </c>
      <c r="R2558">
        <v>-3.5483140000000003E-2</v>
      </c>
      <c r="S2558">
        <v>-3.0246279999999999</v>
      </c>
      <c r="T2558">
        <v>-0.15310470000000001</v>
      </c>
      <c r="U2558">
        <v>-1.074219E-2</v>
      </c>
      <c r="V2558">
        <v>-1.5984950000000001E-2</v>
      </c>
      <c r="W2558">
        <v>9.5005829999999999E-2</v>
      </c>
      <c r="X2558">
        <v>0.99534840000000002</v>
      </c>
      <c r="Y2558">
        <v>1.6183380000000001E-2</v>
      </c>
      <c r="Z2558">
        <v>1.409902E-3</v>
      </c>
      <c r="AA2558">
        <v>0.99986799999999998</v>
      </c>
      <c r="AB2558">
        <v>43</v>
      </c>
      <c r="AC2558">
        <v>-21.576499999999999</v>
      </c>
      <c r="AD2558">
        <v>-1.1051264623432</v>
      </c>
      <c r="AE2558">
        <v>-7.2299999999984196E-2</v>
      </c>
      <c r="AF2558">
        <v>0.35357850914140299</v>
      </c>
      <c r="AG2558">
        <v>-1.1051264623432</v>
      </c>
      <c r="AH2558">
        <v>21.517261234144801</v>
      </c>
      <c r="AI2558">
        <v>92.939731476804994</v>
      </c>
      <c r="AJ2558">
        <v>89.058582179090095</v>
      </c>
      <c r="AK2558">
        <v>21.5485232273195</v>
      </c>
      <c r="AL2558">
        <v>84.548344809762398</v>
      </c>
      <c r="AM2558">
        <v>90.920071248219401</v>
      </c>
      <c r="AN2558">
        <v>1.0000000318715201</v>
      </c>
    </row>
    <row r="2559" spans="1:40" x14ac:dyDescent="0.3">
      <c r="A2559" t="str">
        <f>"20200111150005483"</f>
        <v>20200111150005483</v>
      </c>
      <c r="B2559" t="str">
        <f>"1578726005479096"</f>
        <v>1578726005479096</v>
      </c>
      <c r="C2559" t="s">
        <v>40</v>
      </c>
      <c r="D2559">
        <v>4.0963539999999998</v>
      </c>
      <c r="E2559">
        <v>0.51391560000000003</v>
      </c>
      <c r="F2559" t="s">
        <v>62</v>
      </c>
      <c r="G2559">
        <v>-322.22570000000002</v>
      </c>
      <c r="H2559" s="1">
        <v>-2.823106E-7</v>
      </c>
      <c r="I2559">
        <v>283.01319999999998</v>
      </c>
      <c r="J2559">
        <v>-300.54860000000002</v>
      </c>
      <c r="K2559">
        <v>1.105038</v>
      </c>
      <c r="L2559">
        <v>283.06139999999999</v>
      </c>
      <c r="M2559">
        <v>-0.99972079999999997</v>
      </c>
      <c r="N2559">
        <v>0</v>
      </c>
      <c r="O2559">
        <v>-1.995647E-2</v>
      </c>
      <c r="P2559">
        <v>-0.9959964</v>
      </c>
      <c r="Q2559">
        <v>8.2254430000000003E-2</v>
      </c>
      <c r="R2559">
        <v>-3.5009360000000003E-2</v>
      </c>
      <c r="S2559">
        <v>-3.0245060000000001</v>
      </c>
      <c r="T2559">
        <v>-0.1525098</v>
      </c>
      <c r="U2559">
        <v>-7.3242189999999999E-3</v>
      </c>
      <c r="V2559">
        <v>-1.531218E-2</v>
      </c>
      <c r="W2559">
        <v>9.4836829999999997E-2</v>
      </c>
      <c r="X2559">
        <v>0.99537500000000001</v>
      </c>
      <c r="Y2559">
        <v>1.7489299999999999E-2</v>
      </c>
      <c r="Z2559">
        <v>1.446349E-3</v>
      </c>
      <c r="AA2559">
        <v>0.99984600000000001</v>
      </c>
      <c r="AB2559">
        <v>43</v>
      </c>
      <c r="AC2559">
        <v>-21.677099999999999</v>
      </c>
      <c r="AD2559">
        <v>-1.1050382823106</v>
      </c>
      <c r="AE2559">
        <v>-4.8200000000008403E-2</v>
      </c>
      <c r="AF2559">
        <v>0.383446173924744</v>
      </c>
      <c r="AG2559">
        <v>-1.1050382823106</v>
      </c>
      <c r="AH2559">
        <v>21.617567493910599</v>
      </c>
      <c r="AI2559">
        <v>92.925816585780794</v>
      </c>
      <c r="AJ2559">
        <v>88.983810561510893</v>
      </c>
      <c r="AK2559">
        <v>21.6491885512471</v>
      </c>
      <c r="AL2559">
        <v>84.558071207893605</v>
      </c>
      <c r="AM2559">
        <v>90.881330246114601</v>
      </c>
      <c r="AN2559">
        <v>0.99999993890289796</v>
      </c>
    </row>
    <row r="2560" spans="1:40" x14ac:dyDescent="0.3">
      <c r="A2560" t="str">
        <f>"20200111150005495"</f>
        <v>20200111150005495</v>
      </c>
      <c r="B2560" t="str">
        <f>"1578726005488856"</f>
        <v>1578726005488856</v>
      </c>
      <c r="C2560" t="s">
        <v>40</v>
      </c>
      <c r="D2560">
        <v>4.0886509999999996</v>
      </c>
      <c r="E2560">
        <v>0.51414749999999998</v>
      </c>
      <c r="F2560" t="s">
        <v>62</v>
      </c>
      <c r="G2560">
        <v>-322.06670000000003</v>
      </c>
      <c r="H2560" s="1">
        <v>-3.6778160000000001E-7</v>
      </c>
      <c r="I2560">
        <v>283.03300000000002</v>
      </c>
      <c r="J2560">
        <v>-300.7953</v>
      </c>
      <c r="K2560">
        <v>1.1049549999999999</v>
      </c>
      <c r="L2560">
        <v>283.05630000000002</v>
      </c>
      <c r="M2560">
        <v>-0.99971759999999998</v>
      </c>
      <c r="N2560">
        <v>0</v>
      </c>
      <c r="O2560">
        <v>-2.0086759999999999E-2</v>
      </c>
      <c r="P2560">
        <v>-0.99604360000000003</v>
      </c>
      <c r="Q2560">
        <v>8.1981769999999995E-2</v>
      </c>
      <c r="R2560">
        <v>-3.4298240000000001E-2</v>
      </c>
      <c r="S2560">
        <v>-3.0247799999999998</v>
      </c>
      <c r="T2560">
        <v>-0.15533459999999999</v>
      </c>
      <c r="U2560">
        <v>-3.9978030000000003E-3</v>
      </c>
      <c r="V2560">
        <v>-1.444866E-2</v>
      </c>
      <c r="W2560">
        <v>9.4607579999999997E-2</v>
      </c>
      <c r="X2560">
        <v>0.99540980000000001</v>
      </c>
      <c r="Y2560">
        <v>1.8715820000000001E-2</v>
      </c>
      <c r="Z2560">
        <v>1.51113299999999E-3</v>
      </c>
      <c r="AA2560">
        <v>0.99982369999999998</v>
      </c>
      <c r="AB2560">
        <v>43</v>
      </c>
      <c r="AC2560">
        <v>-21.2714</v>
      </c>
      <c r="AD2560">
        <v>-1.1049553677816</v>
      </c>
      <c r="AE2560">
        <v>-2.3300000000006E-2</v>
      </c>
      <c r="AF2560">
        <v>0.402925429735496</v>
      </c>
      <c r="AG2560">
        <v>-1.1049553677816</v>
      </c>
      <c r="AH2560">
        <v>21.210342929945501</v>
      </c>
      <c r="AI2560">
        <v>92.981597770210598</v>
      </c>
      <c r="AJ2560">
        <v>88.911703114222405</v>
      </c>
      <c r="AK2560">
        <v>21.242926410280798</v>
      </c>
      <c r="AL2560">
        <v>84.571266000164698</v>
      </c>
      <c r="AM2560">
        <v>90.831606343705602</v>
      </c>
      <c r="AN2560">
        <v>1.0000000139526399</v>
      </c>
    </row>
    <row r="2561" spans="1:40" x14ac:dyDescent="0.3">
      <c r="A2561" t="str">
        <f>"20200111150005508"</f>
        <v>20200111150005508</v>
      </c>
      <c r="B2561" t="str">
        <f>"1578726005498616"</f>
        <v>1578726005498616</v>
      </c>
      <c r="C2561" t="s">
        <v>40</v>
      </c>
      <c r="D2561">
        <v>4.1048710000000002</v>
      </c>
      <c r="E2561">
        <v>0.51431170000000004</v>
      </c>
      <c r="F2561" t="s">
        <v>62</v>
      </c>
      <c r="G2561">
        <v>-321.83539999999999</v>
      </c>
      <c r="H2561" s="1">
        <v>-4.9189169999999997E-7</v>
      </c>
      <c r="I2561">
        <v>283.05630000000002</v>
      </c>
      <c r="J2561">
        <v>-301.03149999999999</v>
      </c>
      <c r="K2561">
        <v>1.1048789999999999</v>
      </c>
      <c r="L2561">
        <v>283.05149999999998</v>
      </c>
      <c r="M2561">
        <v>-0.99971540000000003</v>
      </c>
      <c r="N2561">
        <v>0</v>
      </c>
      <c r="O2561">
        <v>-2.0177029999999999E-2</v>
      </c>
      <c r="P2561">
        <v>-0.99609740000000002</v>
      </c>
      <c r="Q2561">
        <v>8.1557149999999995E-2</v>
      </c>
      <c r="R2561">
        <v>-3.3743479999999999E-2</v>
      </c>
      <c r="S2561">
        <v>-3.024994</v>
      </c>
      <c r="T2561">
        <v>-0.1588628</v>
      </c>
      <c r="U2561">
        <v>0</v>
      </c>
      <c r="V2561">
        <v>-1.3783709999999999E-2</v>
      </c>
      <c r="W2561">
        <v>9.422258E-2</v>
      </c>
      <c r="X2561">
        <v>0.99545570000000005</v>
      </c>
      <c r="Y2561">
        <v>2.0123129999999999E-2</v>
      </c>
      <c r="Z2561">
        <v>1.586971E-3</v>
      </c>
      <c r="AA2561">
        <v>0.99979629999999997</v>
      </c>
      <c r="AB2561">
        <v>43</v>
      </c>
      <c r="AC2561">
        <v>-20.803899999999999</v>
      </c>
      <c r="AD2561">
        <v>-1.1048794918917</v>
      </c>
      <c r="AE2561">
        <v>4.8000000000456497E-3</v>
      </c>
      <c r="AF2561">
        <v>0.42339970534303201</v>
      </c>
      <c r="AG2561">
        <v>-1.1048794918917</v>
      </c>
      <c r="AH2561">
        <v>20.741065175917701</v>
      </c>
      <c r="AI2561">
        <v>93.048638246609698</v>
      </c>
      <c r="AJ2561">
        <v>88.830549583531393</v>
      </c>
      <c r="AK2561">
        <v>20.7747878601384</v>
      </c>
      <c r="AL2561">
        <v>84.593423606604304</v>
      </c>
      <c r="AM2561">
        <v>90.793302948803898</v>
      </c>
      <c r="AN2561">
        <v>0.99999996795285395</v>
      </c>
    </row>
    <row r="2562" spans="1:40" x14ac:dyDescent="0.3">
      <c r="A2562" t="str">
        <f>"20200111150005524"</f>
        <v>20200111150005524</v>
      </c>
      <c r="B2562" t="str">
        <f>"1578726005518135"</f>
        <v>1578726005518135</v>
      </c>
      <c r="C2562" t="s">
        <v>40</v>
      </c>
      <c r="D2562">
        <v>4.1235179999999998</v>
      </c>
      <c r="E2562">
        <v>0.51453839999999995</v>
      </c>
      <c r="F2562" t="s">
        <v>62</v>
      </c>
      <c r="G2562">
        <v>-321.6336</v>
      </c>
      <c r="H2562" s="1">
        <v>-5.9998959999999899E-7</v>
      </c>
      <c r="I2562">
        <v>283.07229999999998</v>
      </c>
      <c r="J2562">
        <v>-301.35090000000002</v>
      </c>
      <c r="K2562">
        <v>1.1047800000000001</v>
      </c>
      <c r="L2562">
        <v>283.04500000000002</v>
      </c>
      <c r="M2562">
        <v>-0.99971319999999997</v>
      </c>
      <c r="N2562">
        <v>0</v>
      </c>
      <c r="O2562">
        <v>-2.0250649999999999E-2</v>
      </c>
      <c r="P2562">
        <v>-0.99620129999999996</v>
      </c>
      <c r="Q2562">
        <v>8.0621700000000004E-2</v>
      </c>
      <c r="R2562">
        <v>-3.2909019999999997E-2</v>
      </c>
      <c r="S2562">
        <v>-3.0251160000000001</v>
      </c>
      <c r="T2562">
        <v>-0.1622352</v>
      </c>
      <c r="U2562">
        <v>3.0517579999999999E-3</v>
      </c>
      <c r="V2562">
        <v>-1.28492E-2</v>
      </c>
      <c r="W2562">
        <v>9.3340049999999994E-2</v>
      </c>
      <c r="X2562">
        <v>0.99555130000000003</v>
      </c>
      <c r="Y2562">
        <v>2.1201319999999999E-2</v>
      </c>
      <c r="Z2562">
        <v>1.6533850000000001E-3</v>
      </c>
      <c r="AA2562">
        <v>0.99977389999999999</v>
      </c>
      <c r="AB2562">
        <v>43</v>
      </c>
      <c r="AC2562">
        <v>-20.282699999999899</v>
      </c>
      <c r="AD2562">
        <v>-1.1047805999896001</v>
      </c>
      <c r="AE2562">
        <v>2.7299999999968301E-2</v>
      </c>
      <c r="AF2562">
        <v>0.43676998342749901</v>
      </c>
      <c r="AG2562">
        <v>-1.1047805999896001</v>
      </c>
      <c r="AH2562">
        <v>20.218002794061999</v>
      </c>
      <c r="AI2562">
        <v>93.126998035595093</v>
      </c>
      <c r="AJ2562">
        <v>88.762430442633502</v>
      </c>
      <c r="AK2562">
        <v>20.252874985375101</v>
      </c>
      <c r="AL2562">
        <v>84.644212481071605</v>
      </c>
      <c r="AM2562">
        <v>90.739453662516098</v>
      </c>
      <c r="AN2562">
        <v>0.99999992890316303</v>
      </c>
    </row>
    <row r="2563" spans="1:40" x14ac:dyDescent="0.3">
      <c r="A2563" t="str">
        <f>"20200111150005536"</f>
        <v>20200111150005536</v>
      </c>
      <c r="B2563" t="str">
        <f>"1578726005528872"</f>
        <v>1578726005528872</v>
      </c>
      <c r="C2563" t="s">
        <v>40</v>
      </c>
      <c r="D2563">
        <v>4.1040020000000004</v>
      </c>
      <c r="E2563">
        <v>0.51462719999999995</v>
      </c>
      <c r="F2563" t="s">
        <v>41</v>
      </c>
      <c r="G2563">
        <v>-302.3843</v>
      </c>
      <c r="H2563">
        <v>1.0480499999999999</v>
      </c>
      <c r="I2563">
        <v>283.04750000000001</v>
      </c>
      <c r="J2563">
        <v>-301.58339999999998</v>
      </c>
      <c r="K2563">
        <v>1.104711</v>
      </c>
      <c r="L2563">
        <v>283.04020000000003</v>
      </c>
      <c r="M2563">
        <v>-0.99971259999999995</v>
      </c>
      <c r="N2563">
        <v>0</v>
      </c>
      <c r="O2563">
        <v>-2.0263440000000001E-2</v>
      </c>
      <c r="P2563">
        <v>-0.99627699999999997</v>
      </c>
      <c r="Q2563">
        <v>7.9869960000000004E-2</v>
      </c>
      <c r="R2563">
        <v>-3.2450119999999999E-2</v>
      </c>
      <c r="S2563">
        <v>-3.0251160000000001</v>
      </c>
      <c r="T2563">
        <v>-0.16602120000000001</v>
      </c>
      <c r="U2563">
        <v>7.4768069999999898E-3</v>
      </c>
      <c r="V2563">
        <v>-1.23587E-2</v>
      </c>
      <c r="W2563">
        <v>9.2623620000000004E-2</v>
      </c>
      <c r="X2563">
        <v>0.99562450000000002</v>
      </c>
      <c r="Y2563">
        <v>2.2671500000000001E-2</v>
      </c>
      <c r="Z2563">
        <v>1.7329279999999999E-3</v>
      </c>
      <c r="AA2563">
        <v>0.99974149999999995</v>
      </c>
      <c r="AB2563">
        <v>43</v>
      </c>
      <c r="AC2563">
        <v>-0.80090000000001205</v>
      </c>
      <c r="AD2563">
        <v>-5.6661000000000003E-2</v>
      </c>
      <c r="AE2563">
        <v>7.2999999999865299E-3</v>
      </c>
      <c r="AF2563">
        <v>2.3411654117898799E-2</v>
      </c>
      <c r="AG2563">
        <v>-5.6661000000000003E-2</v>
      </c>
      <c r="AH2563">
        <v>0.79660086556217302</v>
      </c>
      <c r="AI2563">
        <v>94.066759062083605</v>
      </c>
      <c r="AJ2563">
        <v>88.316593633095593</v>
      </c>
      <c r="AK2563">
        <v>0.798956515389879</v>
      </c>
      <c r="AL2563">
        <v>84.685439929165994</v>
      </c>
      <c r="AM2563">
        <v>90.711176738681601</v>
      </c>
      <c r="AN2563">
        <v>1.00000000872392</v>
      </c>
    </row>
    <row r="2564" spans="1:40" x14ac:dyDescent="0.3">
      <c r="A2564" t="str">
        <f>"20200111150005548"</f>
        <v>20200111150005548</v>
      </c>
      <c r="B2564" t="str">
        <f>"1578726005538632"</f>
        <v>1578726005538632</v>
      </c>
      <c r="C2564" t="s">
        <v>40</v>
      </c>
      <c r="D2564">
        <v>4.1210180000000003</v>
      </c>
      <c r="E2564">
        <v>0.51470179999999999</v>
      </c>
      <c r="F2564" t="s">
        <v>62</v>
      </c>
      <c r="G2564">
        <v>-321.3587</v>
      </c>
      <c r="H2564" s="1">
        <v>-7.4758539999999897E-7</v>
      </c>
      <c r="I2564">
        <v>283.10230000000001</v>
      </c>
      <c r="J2564">
        <v>-301.80180000000001</v>
      </c>
      <c r="K2564">
        <v>1.1046450000000001</v>
      </c>
      <c r="L2564">
        <v>283.03579999999999</v>
      </c>
      <c r="M2564">
        <v>-0.9997125</v>
      </c>
      <c r="N2564">
        <v>0</v>
      </c>
      <c r="O2564">
        <v>-2.0243420000000002E-2</v>
      </c>
      <c r="P2564">
        <v>-0.99635629999999997</v>
      </c>
      <c r="Q2564">
        <v>7.8911120000000001E-2</v>
      </c>
      <c r="R2564">
        <v>-3.2356530000000001E-2</v>
      </c>
      <c r="S2564">
        <v>-3.025055</v>
      </c>
      <c r="T2564">
        <v>-0.16898920000000001</v>
      </c>
      <c r="U2564">
        <v>9.4909669999999995E-3</v>
      </c>
      <c r="V2564">
        <v>-1.2267180000000001E-2</v>
      </c>
      <c r="W2564">
        <v>9.1695849999999995E-2</v>
      </c>
      <c r="X2564">
        <v>0.99571149999999997</v>
      </c>
      <c r="Y2564">
        <v>2.331387E-2</v>
      </c>
      <c r="Z2564">
        <v>1.7807070000000001E-3</v>
      </c>
      <c r="AA2564">
        <v>0.99972660000000002</v>
      </c>
      <c r="AB2564">
        <v>43</v>
      </c>
      <c r="AC2564">
        <v>-19.556899999999899</v>
      </c>
      <c r="AD2564">
        <v>-1.1046457475853999</v>
      </c>
      <c r="AE2564">
        <v>6.6500000000019099E-2</v>
      </c>
      <c r="AF2564">
        <v>0.460947009592654</v>
      </c>
      <c r="AG2564">
        <v>-1.1046457475853999</v>
      </c>
      <c r="AH2564">
        <v>19.489367174097399</v>
      </c>
      <c r="AI2564">
        <v>93.243114832596007</v>
      </c>
      <c r="AJ2564">
        <v>88.645138388447705</v>
      </c>
      <c r="AK2564">
        <v>19.526088886924999</v>
      </c>
      <c r="AL2564">
        <v>84.738824391979193</v>
      </c>
      <c r="AM2564">
        <v>90.705849117148105</v>
      </c>
      <c r="AN2564">
        <v>1.0000000019223101</v>
      </c>
    </row>
    <row r="2565" spans="1:40" x14ac:dyDescent="0.3">
      <c r="A2565" t="str">
        <f>"20200111150005561"</f>
        <v>20200111150005561</v>
      </c>
      <c r="B2565" t="str">
        <f>"1578726005559128"</f>
        <v>1578726005559128</v>
      </c>
      <c r="C2565" t="s">
        <v>40</v>
      </c>
      <c r="D2565">
        <v>4.1454940000000002</v>
      </c>
      <c r="E2565">
        <v>0.51484259999999904</v>
      </c>
      <c r="F2565" t="s">
        <v>41</v>
      </c>
      <c r="G2565">
        <v>-302.77449999999999</v>
      </c>
      <c r="H2565">
        <v>1.0486089999999999</v>
      </c>
      <c r="I2565">
        <v>283.03949999999998</v>
      </c>
      <c r="J2565">
        <v>-302.04509999999999</v>
      </c>
      <c r="K2565">
        <v>1.1045739999999999</v>
      </c>
      <c r="L2565">
        <v>283.0308</v>
      </c>
      <c r="M2565">
        <v>-0.99971290000000002</v>
      </c>
      <c r="N2565">
        <v>0</v>
      </c>
      <c r="O2565">
        <v>-2.020315E-2</v>
      </c>
      <c r="P2565">
        <v>-0.99645640000000002</v>
      </c>
      <c r="Q2565">
        <v>7.7789319999999995E-2</v>
      </c>
      <c r="R2565">
        <v>-3.1994920000000003E-2</v>
      </c>
      <c r="S2565">
        <v>-3.0251160000000001</v>
      </c>
      <c r="T2565">
        <v>-0.1744279</v>
      </c>
      <c r="U2565">
        <v>1.0528559999999999E-2</v>
      </c>
      <c r="V2565">
        <v>-1.1926040000000001E-2</v>
      </c>
      <c r="W2565">
        <v>9.0608439999999998E-2</v>
      </c>
      <c r="X2565">
        <v>0.99581520000000001</v>
      </c>
      <c r="Y2565">
        <v>2.361158E-2</v>
      </c>
      <c r="Z2565">
        <v>1.8441429999999999E-3</v>
      </c>
      <c r="AA2565">
        <v>0.99971949999999998</v>
      </c>
      <c r="AB2565">
        <v>43</v>
      </c>
      <c r="AC2565">
        <v>-0.72939999999999805</v>
      </c>
      <c r="AD2565">
        <v>-5.59649999999998E-2</v>
      </c>
      <c r="AE2565">
        <v>8.6999999999761695E-3</v>
      </c>
      <c r="AF2565">
        <v>2.32984834769072E-2</v>
      </c>
      <c r="AG2565">
        <v>-5.59649999999998E-2</v>
      </c>
      <c r="AH2565">
        <v>0.72480890314265001</v>
      </c>
      <c r="AI2565">
        <v>94.412974318784606</v>
      </c>
      <c r="AJ2565">
        <v>88.158900525577394</v>
      </c>
      <c r="AK2565">
        <v>0.72733956762448704</v>
      </c>
      <c r="AL2565">
        <v>84.801388930258</v>
      </c>
      <c r="AM2565">
        <v>90.686150494945693</v>
      </c>
      <c r="AN2565">
        <v>1.0000000161901701</v>
      </c>
    </row>
    <row r="2566" spans="1:40" x14ac:dyDescent="0.3">
      <c r="A2566" t="str">
        <f>"20200111150005573"</f>
        <v>20200111150005573</v>
      </c>
      <c r="B2566" t="str">
        <f>"1578726005568888"</f>
        <v>1578726005568888</v>
      </c>
      <c r="C2566" t="s">
        <v>40</v>
      </c>
      <c r="D2566">
        <v>4.1645500000000002</v>
      </c>
      <c r="E2566">
        <v>0.5149357</v>
      </c>
      <c r="F2566" t="s">
        <v>41</v>
      </c>
      <c r="G2566">
        <v>-303.14409999999998</v>
      </c>
      <c r="H2566">
        <v>1.037369</v>
      </c>
      <c r="I2566">
        <v>283.03530000000001</v>
      </c>
      <c r="J2566">
        <v>-302.29140000000001</v>
      </c>
      <c r="K2566">
        <v>1.104498</v>
      </c>
      <c r="L2566">
        <v>283.02589999999998</v>
      </c>
      <c r="M2566">
        <v>-0.99971449999999995</v>
      </c>
      <c r="N2566">
        <v>0</v>
      </c>
      <c r="O2566">
        <v>-2.0110980000000001E-2</v>
      </c>
      <c r="P2566">
        <v>-0.9965638</v>
      </c>
      <c r="Q2566">
        <v>7.6540699999999906E-2</v>
      </c>
      <c r="R2566">
        <v>-3.1654500000000002E-2</v>
      </c>
      <c r="S2566">
        <v>-3.0254819999999998</v>
      </c>
      <c r="T2566">
        <v>-0.18502940000000001</v>
      </c>
      <c r="U2566">
        <v>1.2390139999999999E-2</v>
      </c>
      <c r="V2566">
        <v>-1.1658099999999999E-2</v>
      </c>
      <c r="W2566">
        <v>8.9390800000000006E-2</v>
      </c>
      <c r="X2566">
        <v>0.99592840000000005</v>
      </c>
      <c r="Y2566">
        <v>2.4124240000000002E-2</v>
      </c>
      <c r="Z2566">
        <v>1.9658179999999998E-3</v>
      </c>
      <c r="AA2566">
        <v>0.99970700000000001</v>
      </c>
      <c r="AB2566">
        <v>43</v>
      </c>
      <c r="AC2566">
        <v>-0.85269999999997004</v>
      </c>
      <c r="AD2566">
        <v>-6.7128999999999994E-2</v>
      </c>
      <c r="AE2566">
        <v>9.4000000000278305E-3</v>
      </c>
      <c r="AF2566">
        <v>2.63846554488762E-2</v>
      </c>
      <c r="AG2566">
        <v>-6.7128999999999994E-2</v>
      </c>
      <c r="AH2566">
        <v>0.84708912354534704</v>
      </c>
      <c r="AI2566">
        <v>94.528843893899193</v>
      </c>
      <c r="AJ2566">
        <v>88.215960081500299</v>
      </c>
      <c r="AK2566">
        <v>0.850154360050561</v>
      </c>
      <c r="AL2566">
        <v>84.871438771035699</v>
      </c>
      <c r="AM2566">
        <v>90.670660080196896</v>
      </c>
      <c r="AN2566">
        <v>1.0000000021733999</v>
      </c>
    </row>
    <row r="2567" spans="1:40" x14ac:dyDescent="0.3">
      <c r="A2567" t="str">
        <f>"20200111150005591"</f>
        <v>20200111150005591</v>
      </c>
      <c r="B2567" t="str">
        <f>"1578726005588407"</f>
        <v>1578726005588407</v>
      </c>
      <c r="C2567" t="s">
        <v>40</v>
      </c>
      <c r="D2567">
        <v>4.1523620000000001</v>
      </c>
      <c r="E2567">
        <v>0.51515940000000005</v>
      </c>
      <c r="F2567" t="s">
        <v>66</v>
      </c>
      <c r="G2567">
        <v>-319.8426</v>
      </c>
      <c r="H2567" s="1">
        <v>6.7136609999999998E-6</v>
      </c>
      <c r="I2567">
        <v>283.1078</v>
      </c>
      <c r="J2567">
        <v>-302.6207</v>
      </c>
      <c r="K2567">
        <v>1.1043959999999999</v>
      </c>
      <c r="L2567">
        <v>283.01929999999999</v>
      </c>
      <c r="M2567">
        <v>-0.99971739999999998</v>
      </c>
      <c r="N2567">
        <v>0</v>
      </c>
      <c r="O2567">
        <v>-1.9948830000000001E-2</v>
      </c>
      <c r="P2567">
        <v>-0.99680040000000003</v>
      </c>
      <c r="Q2567">
        <v>7.3159390000000005E-2</v>
      </c>
      <c r="R2567">
        <v>-3.2200449999999999E-2</v>
      </c>
      <c r="S2567">
        <v>-3.025452</v>
      </c>
      <c r="T2567">
        <v>-0.19039020000000001</v>
      </c>
      <c r="U2567">
        <v>1.4129640000000001E-2</v>
      </c>
      <c r="V2567">
        <v>-1.2337040000000001E-2</v>
      </c>
      <c r="W2567">
        <v>8.6051069999999993E-2</v>
      </c>
      <c r="X2567">
        <v>0.9962143</v>
      </c>
      <c r="Y2567">
        <v>2.4531569999999999E-2</v>
      </c>
      <c r="Z2567">
        <v>2.0252930000000001E-3</v>
      </c>
      <c r="AA2567">
        <v>0.99969699999999995</v>
      </c>
      <c r="AB2567">
        <v>43</v>
      </c>
      <c r="AC2567">
        <v>-17.221900000000002</v>
      </c>
      <c r="AD2567">
        <v>-1.1043892863389999</v>
      </c>
      <c r="AE2567">
        <v>8.8500000000010404E-2</v>
      </c>
      <c r="AF2567">
        <v>0.43029840093805499</v>
      </c>
      <c r="AG2567">
        <v>-1.1043892863389999</v>
      </c>
      <c r="AH2567">
        <v>17.146198651876901</v>
      </c>
      <c r="AI2567">
        <v>93.684182387564704</v>
      </c>
      <c r="AJ2567">
        <v>88.562415553934997</v>
      </c>
      <c r="AK2567">
        <v>17.187116122818701</v>
      </c>
      <c r="AL2567">
        <v>85.063531590728303</v>
      </c>
      <c r="AM2567">
        <v>90.709510184657006</v>
      </c>
      <c r="AN2567">
        <v>0.99999996036429695</v>
      </c>
    </row>
    <row r="2568" spans="1:40" x14ac:dyDescent="0.3">
      <c r="A2568" t="str">
        <f>"20200111150005604"</f>
        <v>20200111150005604</v>
      </c>
      <c r="B2568" t="str">
        <f>"1578726005598167"</f>
        <v>1578726005598167</v>
      </c>
      <c r="C2568" t="s">
        <v>40</v>
      </c>
      <c r="D2568">
        <v>4.1443070000000004</v>
      </c>
      <c r="E2568">
        <v>0.51517250000000003</v>
      </c>
      <c r="F2568" t="s">
        <v>41</v>
      </c>
      <c r="G2568">
        <v>-303.53280000000001</v>
      </c>
      <c r="H2568">
        <v>1.043093</v>
      </c>
      <c r="I2568">
        <v>283.02390000000003</v>
      </c>
      <c r="J2568">
        <v>-302.85969999999998</v>
      </c>
      <c r="K2568">
        <v>1.10432</v>
      </c>
      <c r="L2568">
        <v>283.0145</v>
      </c>
      <c r="M2568">
        <v>-0.99971989999999999</v>
      </c>
      <c r="N2568">
        <v>0</v>
      </c>
      <c r="O2568">
        <v>-1.9801610000000001E-2</v>
      </c>
      <c r="P2568">
        <v>-0.9968861</v>
      </c>
      <c r="Q2568">
        <v>7.1551180000000006E-2</v>
      </c>
      <c r="R2568">
        <v>-3.3142650000000003E-2</v>
      </c>
      <c r="S2568">
        <v>-3.0250240000000002</v>
      </c>
      <c r="T2568">
        <v>-0.20341799999999999</v>
      </c>
      <c r="U2568">
        <v>1.461792E-2</v>
      </c>
      <c r="V2568">
        <v>-1.3408150000000001E-2</v>
      </c>
      <c r="W2568">
        <v>8.4469450000000001E-2</v>
      </c>
      <c r="X2568">
        <v>0.99633590000000005</v>
      </c>
      <c r="Y2568">
        <v>2.4534239999999999E-2</v>
      </c>
      <c r="Z2568">
        <v>2.1540819999999999E-3</v>
      </c>
      <c r="AA2568">
        <v>0.99969669999999999</v>
      </c>
      <c r="AB2568">
        <v>43</v>
      </c>
      <c r="AC2568">
        <v>-0.67310000000003301</v>
      </c>
      <c r="AD2568">
        <v>-6.12269999999999E-2</v>
      </c>
      <c r="AE2568">
        <v>9.4000000000278305E-3</v>
      </c>
      <c r="AF2568">
        <v>2.2541265265524999E-2</v>
      </c>
      <c r="AG2568">
        <v>-6.12269999999999E-2</v>
      </c>
      <c r="AH2568">
        <v>0.66726186032490797</v>
      </c>
      <c r="AI2568">
        <v>95.239726020151707</v>
      </c>
      <c r="AJ2568">
        <v>88.065184778237395</v>
      </c>
      <c r="AK2568">
        <v>0.67044406508897403</v>
      </c>
      <c r="AL2568">
        <v>85.154483350849205</v>
      </c>
      <c r="AM2568">
        <v>90.771009089188397</v>
      </c>
      <c r="AN2568">
        <v>1.00000004604926</v>
      </c>
    </row>
    <row r="2569" spans="1:40" x14ac:dyDescent="0.3">
      <c r="A2569" t="str">
        <f>"20200111150005616"</f>
        <v>20200111150005616</v>
      </c>
      <c r="B2569" t="str">
        <f>"1578726005608904"</f>
        <v>1578726005608904</v>
      </c>
      <c r="C2569" t="s">
        <v>40</v>
      </c>
      <c r="D2569">
        <v>4.2247669999999999</v>
      </c>
      <c r="E2569">
        <v>0.51521819999999996</v>
      </c>
      <c r="F2569" t="s">
        <v>41</v>
      </c>
      <c r="G2569">
        <v>-303.90890000000002</v>
      </c>
      <c r="H2569">
        <v>1.0307120000000001</v>
      </c>
      <c r="I2569">
        <v>283.01870000000002</v>
      </c>
      <c r="J2569">
        <v>-303.11270000000002</v>
      </c>
      <c r="K2569">
        <v>1.1042419999999999</v>
      </c>
      <c r="L2569">
        <v>283.00959999999998</v>
      </c>
      <c r="M2569">
        <v>-0.99972349999999999</v>
      </c>
      <c r="N2569">
        <v>0</v>
      </c>
      <c r="O2569">
        <v>-1.9606129999999999E-2</v>
      </c>
      <c r="P2569">
        <v>-0.99692539999999996</v>
      </c>
      <c r="Q2569">
        <v>7.0458930000000003E-2</v>
      </c>
      <c r="R2569">
        <v>-3.4283840000000003E-2</v>
      </c>
      <c r="S2569">
        <v>-3.0250240000000002</v>
      </c>
      <c r="T2569">
        <v>-0.21219470000000001</v>
      </c>
      <c r="U2569">
        <v>1.2512209999999999E-2</v>
      </c>
      <c r="V2569">
        <v>-1.4726410000000001E-2</v>
      </c>
      <c r="W2569">
        <v>8.3402249999999997E-2</v>
      </c>
      <c r="X2569">
        <v>0.99640720000000005</v>
      </c>
      <c r="Y2569">
        <v>2.363676E-2</v>
      </c>
      <c r="Z2569">
        <v>2.201667E-3</v>
      </c>
      <c r="AA2569">
        <v>0.9997182</v>
      </c>
      <c r="AB2569">
        <v>43</v>
      </c>
      <c r="AC2569">
        <v>-0.79619999999999802</v>
      </c>
      <c r="AD2569">
        <v>-7.3529999999999804E-2</v>
      </c>
      <c r="AE2569">
        <v>9.1000000000462898E-3</v>
      </c>
      <c r="AF2569">
        <v>2.4501031156912802E-2</v>
      </c>
      <c r="AG2569">
        <v>-7.3529999999999804E-2</v>
      </c>
      <c r="AH2569">
        <v>0.78913901784626705</v>
      </c>
      <c r="AI2569">
        <v>95.320758036518498</v>
      </c>
      <c r="AJ2569">
        <v>88.221663313607806</v>
      </c>
      <c r="AK2569">
        <v>0.79293590593132002</v>
      </c>
      <c r="AL2569">
        <v>85.215845990185997</v>
      </c>
      <c r="AM2569">
        <v>90.846741887334005</v>
      </c>
      <c r="AN2569">
        <v>1.0000000553341899</v>
      </c>
    </row>
    <row r="2570" spans="1:40" x14ac:dyDescent="0.3">
      <c r="A2570" t="str">
        <f>"20200111150005628"</f>
        <v>20200111150005628</v>
      </c>
      <c r="B2570" t="str">
        <f>"1578726005618663"</f>
        <v>1578726005618663</v>
      </c>
      <c r="C2570" t="s">
        <v>40</v>
      </c>
      <c r="D2570">
        <v>4.1687149999999997</v>
      </c>
      <c r="E2570">
        <v>0.5151888</v>
      </c>
      <c r="F2570" t="s">
        <v>41</v>
      </c>
      <c r="G2570">
        <v>-303.92149999999998</v>
      </c>
      <c r="H2570">
        <v>1.0466660000000001</v>
      </c>
      <c r="I2570">
        <v>283.01240000000001</v>
      </c>
      <c r="J2570">
        <v>-303.32769999999999</v>
      </c>
      <c r="K2570">
        <v>1.1041729999999901</v>
      </c>
      <c r="L2570">
        <v>283.00549999999998</v>
      </c>
      <c r="M2570">
        <v>-0.99972709999999998</v>
      </c>
      <c r="N2570">
        <v>0</v>
      </c>
      <c r="O2570">
        <v>-1.9410589999999998E-2</v>
      </c>
      <c r="P2570">
        <v>-0.99690319999999999</v>
      </c>
      <c r="Q2570">
        <v>6.9944660000000006E-2</v>
      </c>
      <c r="R2570">
        <v>-3.5944719999999999E-2</v>
      </c>
      <c r="S2570">
        <v>-3.0248110000000001</v>
      </c>
      <c r="T2570">
        <v>-0.21523539999999999</v>
      </c>
      <c r="U2570">
        <v>1.0467529999999999E-2</v>
      </c>
      <c r="V2570">
        <v>-1.656819E-2</v>
      </c>
      <c r="W2570">
        <v>8.2905229999999996E-2</v>
      </c>
      <c r="X2570">
        <v>0.99641970000000002</v>
      </c>
      <c r="Y2570">
        <v>2.2765359999999998E-2</v>
      </c>
      <c r="Z2570">
        <v>2.1884370000000001E-3</v>
      </c>
      <c r="AA2570">
        <v>0.99973849999999997</v>
      </c>
      <c r="AB2570">
        <v>43</v>
      </c>
      <c r="AC2570">
        <v>-0.593799999999987</v>
      </c>
      <c r="AD2570">
        <v>-5.7506999999999697E-2</v>
      </c>
      <c r="AE2570">
        <v>6.9000000000300999E-3</v>
      </c>
      <c r="AF2570">
        <v>1.8254494386131099E-2</v>
      </c>
      <c r="AG2570">
        <v>-5.7506999999999697E-2</v>
      </c>
      <c r="AH2570">
        <v>0.58803962663484199</v>
      </c>
      <c r="AI2570">
        <v>95.582775017025895</v>
      </c>
      <c r="AJ2570">
        <v>88.221940045423295</v>
      </c>
      <c r="AK2570">
        <v>0.59112679190435702</v>
      </c>
      <c r="AL2570">
        <v>85.244421841761294</v>
      </c>
      <c r="AM2570">
        <v>90.952610520441297</v>
      </c>
      <c r="AN2570">
        <v>1.0000000003146501</v>
      </c>
    </row>
    <row r="2571" spans="1:40" x14ac:dyDescent="0.3">
      <c r="A2571" t="str">
        <f>"20200111150005642"</f>
        <v>20200111150005642</v>
      </c>
      <c r="B2571" t="str">
        <f>"1578726005638183"</f>
        <v>1578726005638183</v>
      </c>
      <c r="C2571" t="s">
        <v>40</v>
      </c>
      <c r="D2571">
        <v>4.1866729999999999</v>
      </c>
      <c r="E2571">
        <v>0.51542529999999998</v>
      </c>
      <c r="F2571" t="s">
        <v>41</v>
      </c>
      <c r="G2571">
        <v>-304.29450000000003</v>
      </c>
      <c r="H2571">
        <v>1.033839</v>
      </c>
      <c r="I2571">
        <v>283.00790000000001</v>
      </c>
      <c r="J2571">
        <v>-303.58620000000002</v>
      </c>
      <c r="K2571">
        <v>1.1040909999999999</v>
      </c>
      <c r="L2571">
        <v>283.00060000000002</v>
      </c>
      <c r="M2571">
        <v>-0.99973199999999995</v>
      </c>
      <c r="N2571">
        <v>0</v>
      </c>
      <c r="O2571">
        <v>-1.9152860000000001E-2</v>
      </c>
      <c r="P2571">
        <v>-0.99686450000000004</v>
      </c>
      <c r="Q2571">
        <v>6.9642280000000001E-2</v>
      </c>
      <c r="R2571">
        <v>-3.7567839999999998E-2</v>
      </c>
      <c r="S2571">
        <v>-3.024994</v>
      </c>
      <c r="T2571">
        <v>-0.22008900000000001</v>
      </c>
      <c r="U2571">
        <v>6.8054200000000004E-3</v>
      </c>
      <c r="V2571">
        <v>-1.8432049999999998E-2</v>
      </c>
      <c r="W2571">
        <v>8.2622009999999996E-2</v>
      </c>
      <c r="X2571">
        <v>0.99641049999999998</v>
      </c>
      <c r="Y2571">
        <v>2.1296829999999999E-2</v>
      </c>
      <c r="Z2571">
        <v>2.165443E-3</v>
      </c>
      <c r="AA2571">
        <v>0.99977090000000002</v>
      </c>
      <c r="AB2571">
        <v>43</v>
      </c>
      <c r="AC2571">
        <v>-0.70830000000000803</v>
      </c>
      <c r="AD2571">
        <v>-7.0251999999999898E-2</v>
      </c>
      <c r="AE2571">
        <v>7.2999999999865299E-3</v>
      </c>
      <c r="AF2571">
        <v>2.06625333537599E-2</v>
      </c>
      <c r="AG2571">
        <v>-7.0251999999999898E-2</v>
      </c>
      <c r="AH2571">
        <v>0.70113358504531298</v>
      </c>
      <c r="AI2571">
        <v>95.719343767513294</v>
      </c>
      <c r="AJ2571">
        <v>88.311971598287897</v>
      </c>
      <c r="AK2571">
        <v>0.70494722346221705</v>
      </c>
      <c r="AL2571">
        <v>85.260705066299707</v>
      </c>
      <c r="AM2571">
        <v>91.059762253318993</v>
      </c>
      <c r="AN2571">
        <v>1.00000001075694</v>
      </c>
    </row>
    <row r="2572" spans="1:40" x14ac:dyDescent="0.3">
      <c r="A2572" t="str">
        <f>"20200111150005657"</f>
        <v>20200111150005657</v>
      </c>
      <c r="B2572" t="str">
        <f>"1578726005648919"</f>
        <v>1578726005648919</v>
      </c>
      <c r="C2572" t="s">
        <v>40</v>
      </c>
      <c r="D2572">
        <v>4.23665</v>
      </c>
      <c r="E2572">
        <v>0.51548830000000001</v>
      </c>
      <c r="F2572" t="s">
        <v>41</v>
      </c>
      <c r="G2572">
        <v>-304.6737</v>
      </c>
      <c r="H2572">
        <v>1.024281</v>
      </c>
      <c r="I2572">
        <v>283.0025</v>
      </c>
      <c r="J2572">
        <v>-303.91160000000002</v>
      </c>
      <c r="K2572">
        <v>1.1039890000000001</v>
      </c>
      <c r="L2572">
        <v>282.99459999999999</v>
      </c>
      <c r="M2572">
        <v>-0.9997393</v>
      </c>
      <c r="N2572">
        <v>0</v>
      </c>
      <c r="O2572">
        <v>-1.8756169999999999E-2</v>
      </c>
      <c r="P2572">
        <v>-0.99676629999999999</v>
      </c>
      <c r="Q2572">
        <v>6.9922899999999996E-2</v>
      </c>
      <c r="R2572">
        <v>-3.9596279999999998E-2</v>
      </c>
      <c r="S2572">
        <v>-3.0250849999999998</v>
      </c>
      <c r="T2572">
        <v>-0.22201170000000001</v>
      </c>
      <c r="U2572">
        <v>4.9743649999999997E-3</v>
      </c>
      <c r="V2572">
        <v>-2.0836090000000002E-2</v>
      </c>
      <c r="W2572">
        <v>8.2920419999999995E-2</v>
      </c>
      <c r="X2572">
        <v>0.99633830000000001</v>
      </c>
      <c r="Y2572">
        <v>2.0296789999999999E-2</v>
      </c>
      <c r="Z2572">
        <v>2.1185240000000001E-3</v>
      </c>
      <c r="AA2572">
        <v>0.99979169999999995</v>
      </c>
      <c r="AB2572">
        <v>43</v>
      </c>
      <c r="AC2572">
        <v>-0.76209999999997502</v>
      </c>
      <c r="AD2572">
        <v>-7.9707999999999807E-2</v>
      </c>
      <c r="AE2572">
        <v>7.9000000000064505E-3</v>
      </c>
      <c r="AF2572">
        <v>2.19537713015736E-2</v>
      </c>
      <c r="AG2572">
        <v>-7.9707999999999807E-2</v>
      </c>
      <c r="AH2572">
        <v>0.75357521131671401</v>
      </c>
      <c r="AI2572">
        <v>96.035361083293694</v>
      </c>
      <c r="AJ2572">
        <v>88.331284329495801</v>
      </c>
      <c r="AK2572">
        <v>0.75809691494517495</v>
      </c>
      <c r="AL2572">
        <v>85.243548383383498</v>
      </c>
      <c r="AM2572">
        <v>91.198032866232793</v>
      </c>
      <c r="AN2572">
        <v>0.99999997337317603</v>
      </c>
    </row>
    <row r="2573" spans="1:40" x14ac:dyDescent="0.3">
      <c r="A2573" t="str">
        <f>"20200111150005671"</f>
        <v>20200111150005671</v>
      </c>
      <c r="B2573" t="str">
        <f>"1578726005658680"</f>
        <v>1578726005658680</v>
      </c>
      <c r="C2573" t="s">
        <v>40</v>
      </c>
      <c r="D2573">
        <v>4.2843929999999997</v>
      </c>
      <c r="E2573">
        <v>0.51535959999999903</v>
      </c>
      <c r="F2573" t="s">
        <v>66</v>
      </c>
      <c r="G2573">
        <v>-319.04969999999997</v>
      </c>
      <c r="H2573" s="1">
        <v>6.371479E-6</v>
      </c>
      <c r="I2573">
        <v>283</v>
      </c>
      <c r="J2573">
        <v>-304.15940000000001</v>
      </c>
      <c r="K2573">
        <v>1.1039129999999999</v>
      </c>
      <c r="L2573">
        <v>282.99020000000002</v>
      </c>
      <c r="M2573">
        <v>-0.99974580000000002</v>
      </c>
      <c r="N2573">
        <v>0</v>
      </c>
      <c r="O2573">
        <v>-1.8406829999999999E-2</v>
      </c>
      <c r="P2573">
        <v>-0.99674200000000002</v>
      </c>
      <c r="Q2573">
        <v>7.0223019999999997E-2</v>
      </c>
      <c r="R2573">
        <v>-3.967938E-2</v>
      </c>
      <c r="S2573">
        <v>-3.0252690000000002</v>
      </c>
      <c r="T2573">
        <v>-0.2206243</v>
      </c>
      <c r="U2573">
        <v>1.0681149999999999E-3</v>
      </c>
      <c r="V2573">
        <v>-2.1252190000000001E-2</v>
      </c>
      <c r="W2573">
        <v>8.3229300000000006E-2</v>
      </c>
      <c r="X2573">
        <v>0.99630379999999996</v>
      </c>
      <c r="Y2573">
        <v>1.8662950000000001E-2</v>
      </c>
      <c r="Z2573">
        <v>2.0202509999999998E-3</v>
      </c>
      <c r="AA2573">
        <v>0.99982380000000004</v>
      </c>
      <c r="AB2573">
        <v>43</v>
      </c>
      <c r="AC2573">
        <v>-14.8902999999999</v>
      </c>
      <c r="AD2573">
        <v>-1.103906628521</v>
      </c>
      <c r="AE2573">
        <v>9.7999999999842605E-3</v>
      </c>
      <c r="AF2573">
        <v>0.282352944306625</v>
      </c>
      <c r="AG2573">
        <v>-1.103906628521</v>
      </c>
      <c r="AH2573">
        <v>14.806219435030901</v>
      </c>
      <c r="AI2573">
        <v>94.263137609302305</v>
      </c>
      <c r="AJ2573">
        <v>88.907508328867607</v>
      </c>
      <c r="AK2573">
        <v>14.8499988884827</v>
      </c>
      <c r="AL2573">
        <v>85.225789683826207</v>
      </c>
      <c r="AM2573">
        <v>91.221992889099795</v>
      </c>
      <c r="AN2573">
        <v>1.0000000169263601</v>
      </c>
    </row>
    <row r="2574" spans="1:40" x14ac:dyDescent="0.3">
      <c r="A2574" t="str">
        <f>"20200111150005684"</f>
        <v>20200111150005684</v>
      </c>
      <c r="B2574" t="str">
        <f>"1578726005678199"</f>
        <v>1578726005678199</v>
      </c>
      <c r="C2574" t="s">
        <v>40</v>
      </c>
      <c r="D2574">
        <v>4.2448600000000001</v>
      </c>
      <c r="E2574">
        <v>0.51527769999999995</v>
      </c>
      <c r="F2574" t="s">
        <v>41</v>
      </c>
      <c r="G2574">
        <v>-305.06560000000002</v>
      </c>
      <c r="H2574">
        <v>1.0386340000000001</v>
      </c>
      <c r="I2574">
        <v>282.9905</v>
      </c>
      <c r="J2574">
        <v>-304.40789999999998</v>
      </c>
      <c r="K2574">
        <v>1.103834</v>
      </c>
      <c r="L2574">
        <v>282.98590000000002</v>
      </c>
      <c r="M2574">
        <v>-0.99975259999999999</v>
      </c>
      <c r="N2574">
        <v>0</v>
      </c>
      <c r="O2574">
        <v>-1.8027689999999999E-2</v>
      </c>
      <c r="P2574">
        <v>-0.99673310000000004</v>
      </c>
      <c r="Q2574">
        <v>7.0476460000000005E-2</v>
      </c>
      <c r="R2574">
        <v>-3.9452439999999998E-2</v>
      </c>
      <c r="S2574">
        <v>-3.0251769999999998</v>
      </c>
      <c r="T2574">
        <v>-0.21812580000000001</v>
      </c>
      <c r="U2574" s="1">
        <v>3.0517579999999999E-5</v>
      </c>
      <c r="V2574">
        <v>-2.1387119999999999E-2</v>
      </c>
      <c r="W2574">
        <v>8.34897E-2</v>
      </c>
      <c r="X2574">
        <v>0.99627909999999997</v>
      </c>
      <c r="Y2574">
        <v>1.7945920000000001E-2</v>
      </c>
      <c r="Z2574">
        <v>1.944374E-3</v>
      </c>
      <c r="AA2574">
        <v>0.99983699999999998</v>
      </c>
      <c r="AB2574">
        <v>43</v>
      </c>
      <c r="AC2574">
        <v>-0.65770000000003304</v>
      </c>
      <c r="AD2574">
        <v>-6.5199999999999897E-2</v>
      </c>
      <c r="AE2574">
        <v>4.5999999999821696E-3</v>
      </c>
      <c r="AF2574">
        <v>1.6296921597809998E-2</v>
      </c>
      <c r="AG2574">
        <v>-6.5199999999999897E-2</v>
      </c>
      <c r="AH2574">
        <v>0.65111172800462003</v>
      </c>
      <c r="AI2574">
        <v>95.716553674889198</v>
      </c>
      <c r="AJ2574">
        <v>88.566221629740497</v>
      </c>
      <c r="AK2574">
        <v>0.65457093733126204</v>
      </c>
      <c r="AL2574">
        <v>85.210817634205497</v>
      </c>
      <c r="AM2574">
        <v>91.229779416988094</v>
      </c>
      <c r="AN2574">
        <v>0.99999999200239698</v>
      </c>
    </row>
    <row r="2575" spans="1:40" x14ac:dyDescent="0.3">
      <c r="A2575" t="str">
        <f>"20200111150005696"</f>
        <v>20200111150005696</v>
      </c>
      <c r="B2575" t="str">
        <f>"1578726005688935"</f>
        <v>1578726005688935</v>
      </c>
      <c r="C2575" t="s">
        <v>40</v>
      </c>
      <c r="D2575">
        <v>4.3000239999999996</v>
      </c>
      <c r="E2575">
        <v>0.51519799999999905</v>
      </c>
      <c r="F2575" t="s">
        <v>41</v>
      </c>
      <c r="G2575">
        <v>-305.44439999999997</v>
      </c>
      <c r="H2575">
        <v>1.029927</v>
      </c>
      <c r="I2575">
        <v>282.98610000000002</v>
      </c>
      <c r="J2575">
        <v>-304.65260000000001</v>
      </c>
      <c r="K2575">
        <v>1.103756</v>
      </c>
      <c r="L2575">
        <v>282.98180000000002</v>
      </c>
      <c r="M2575">
        <v>-0.99976010000000004</v>
      </c>
      <c r="N2575">
        <v>0</v>
      </c>
      <c r="O2575">
        <v>-1.7606119999999999E-2</v>
      </c>
      <c r="P2575">
        <v>-0.99672039999999995</v>
      </c>
      <c r="Q2575">
        <v>7.0932339999999997E-2</v>
      </c>
      <c r="R2575">
        <v>-3.8950779999999997E-2</v>
      </c>
      <c r="S2575">
        <v>-3.0250849999999998</v>
      </c>
      <c r="T2575">
        <v>-0.21567269999999999</v>
      </c>
      <c r="U2575">
        <v>5.1879879999999995E-4</v>
      </c>
      <c r="V2575">
        <v>-2.128938E-2</v>
      </c>
      <c r="W2575">
        <v>8.3950129999999998E-2</v>
      </c>
      <c r="X2575">
        <v>0.99624250000000003</v>
      </c>
      <c r="Y2575">
        <v>1.7689489999999999E-2</v>
      </c>
      <c r="Z2575">
        <v>1.8834749999999999E-3</v>
      </c>
      <c r="AA2575">
        <v>0.99984170000000006</v>
      </c>
      <c r="AB2575">
        <v>43</v>
      </c>
      <c r="AC2575">
        <v>-0.79179999999996598</v>
      </c>
      <c r="AD2575">
        <v>-7.3828999999999895E-2</v>
      </c>
      <c r="AE2575">
        <v>4.3000000000006297E-3</v>
      </c>
      <c r="AF2575">
        <v>1.80838253248168E-2</v>
      </c>
      <c r="AG2575">
        <v>-7.3828999999999895E-2</v>
      </c>
      <c r="AH2575">
        <v>0.784778819287551</v>
      </c>
      <c r="AI2575">
        <v>95.372932919400597</v>
      </c>
      <c r="AJ2575">
        <v>88.679954771171893</v>
      </c>
      <c r="AK2575">
        <v>0.78845135625588303</v>
      </c>
      <c r="AL2575">
        <v>85.184343990018803</v>
      </c>
      <c r="AM2575">
        <v>91.224205949231603</v>
      </c>
      <c r="AN2575">
        <v>0.99999999041702503</v>
      </c>
    </row>
    <row r="2576" spans="1:40" x14ac:dyDescent="0.3">
      <c r="A2576" t="str">
        <f>"20200111150005715"</f>
        <v>20200111150005715</v>
      </c>
      <c r="B2576" t="str">
        <f>"1578726005708456"</f>
        <v>1578726005708456</v>
      </c>
      <c r="C2576" t="s">
        <v>40</v>
      </c>
      <c r="D2576">
        <v>4.1721079999999997</v>
      </c>
      <c r="E2576">
        <v>0.51502049999999999</v>
      </c>
      <c r="F2576" t="s">
        <v>62</v>
      </c>
      <c r="G2576">
        <v>-320.3811</v>
      </c>
      <c r="H2576" s="1">
        <v>-1.262915E-6</v>
      </c>
      <c r="I2576">
        <v>282.99059999999997</v>
      </c>
      <c r="J2576">
        <v>-304.99340000000001</v>
      </c>
      <c r="K2576">
        <v>1.10365</v>
      </c>
      <c r="L2576">
        <v>282.97629999999998</v>
      </c>
      <c r="M2576">
        <v>-0.99977159999999998</v>
      </c>
      <c r="N2576">
        <v>0</v>
      </c>
      <c r="O2576">
        <v>-1.6947500000000001E-2</v>
      </c>
      <c r="P2576">
        <v>-0.99668659999999998</v>
      </c>
      <c r="Q2576">
        <v>7.1791369999999993E-2</v>
      </c>
      <c r="R2576">
        <v>-3.8236180000000002E-2</v>
      </c>
      <c r="S2576">
        <v>-3.0251160000000001</v>
      </c>
      <c r="T2576">
        <v>-0.2122899</v>
      </c>
      <c r="U2576">
        <v>1.708984E-3</v>
      </c>
      <c r="V2576">
        <v>-2.1208959999999999E-2</v>
      </c>
      <c r="W2576">
        <v>8.4812509999999994E-2</v>
      </c>
      <c r="X2576">
        <v>0.99617120000000003</v>
      </c>
      <c r="Y2576">
        <v>1.7429239999999999E-2</v>
      </c>
      <c r="Z2576">
        <v>1.798706E-3</v>
      </c>
      <c r="AA2576">
        <v>0.99984649999999997</v>
      </c>
      <c r="AB2576">
        <v>43</v>
      </c>
      <c r="AC2576">
        <v>-15.387699999999899</v>
      </c>
      <c r="AD2576">
        <v>-1.1036512629149999</v>
      </c>
      <c r="AE2576">
        <v>1.42999999999915E-2</v>
      </c>
      <c r="AF2576">
        <v>0.27369516328377402</v>
      </c>
      <c r="AG2576">
        <v>-1.1036512629149999</v>
      </c>
      <c r="AH2576">
        <v>15.306507895220401</v>
      </c>
      <c r="AI2576">
        <v>94.123426633328506</v>
      </c>
      <c r="AJ2576">
        <v>88.975605221503301</v>
      </c>
      <c r="AK2576">
        <v>15.348685256365799</v>
      </c>
      <c r="AL2576">
        <v>85.134756549355004</v>
      </c>
      <c r="AM2576">
        <v>91.219670211114106</v>
      </c>
      <c r="AN2576">
        <v>1.0000000207731099</v>
      </c>
    </row>
    <row r="2577" spans="1:40" x14ac:dyDescent="0.3">
      <c r="A2577" t="str">
        <f>"20200111150005727"</f>
        <v>20200111150005727</v>
      </c>
      <c r="B2577" t="str">
        <f>"1578726005718216"</f>
        <v>1578726005718216</v>
      </c>
      <c r="C2577" t="s">
        <v>40</v>
      </c>
      <c r="D2577">
        <v>4.3381540000000003</v>
      </c>
      <c r="E2577">
        <v>0.51490820000000004</v>
      </c>
      <c r="F2577" t="s">
        <v>41</v>
      </c>
      <c r="G2577">
        <v>-305.83929999999998</v>
      </c>
      <c r="H2577">
        <v>1.0451109999999999</v>
      </c>
      <c r="I2577">
        <v>282.97739999999999</v>
      </c>
      <c r="J2577">
        <v>-305.2285</v>
      </c>
      <c r="K2577">
        <v>1.1035740000000001</v>
      </c>
      <c r="L2577">
        <v>282.9726</v>
      </c>
      <c r="M2577">
        <v>-0.99977990000000005</v>
      </c>
      <c r="N2577">
        <v>0</v>
      </c>
      <c r="O2577">
        <v>-1.644671E-2</v>
      </c>
      <c r="P2577">
        <v>-0.99666909999999997</v>
      </c>
      <c r="Q2577">
        <v>7.2115730000000003E-2</v>
      </c>
      <c r="R2577">
        <v>-3.8086839999999997E-2</v>
      </c>
      <c r="S2577">
        <v>-3.0251769999999998</v>
      </c>
      <c r="T2577">
        <v>-0.20950079999999999</v>
      </c>
      <c r="U2577">
        <v>2.7770999999999998E-3</v>
      </c>
      <c r="V2577">
        <v>-2.154325E-2</v>
      </c>
      <c r="W2577">
        <v>8.5138420000000006E-2</v>
      </c>
      <c r="X2577">
        <v>0.99613620000000003</v>
      </c>
      <c r="Y2577">
        <v>1.7285180000000001E-2</v>
      </c>
      <c r="Z2577">
        <v>1.7354759999999999E-3</v>
      </c>
      <c r="AA2577">
        <v>0.99984910000000005</v>
      </c>
      <c r="AB2577">
        <v>43</v>
      </c>
      <c r="AC2577">
        <v>-0.61079999999998302</v>
      </c>
      <c r="AD2577">
        <v>-5.8462999999999897E-2</v>
      </c>
      <c r="AE2577">
        <v>4.7999999999888097E-3</v>
      </c>
      <c r="AF2577">
        <v>1.47110868553111E-2</v>
      </c>
      <c r="AG2577">
        <v>-5.8462999999999897E-2</v>
      </c>
      <c r="AH2577">
        <v>0.60509521431376501</v>
      </c>
      <c r="AI2577">
        <v>95.517045245260405</v>
      </c>
      <c r="AJ2577">
        <v>88.607298225255406</v>
      </c>
      <c r="AK2577">
        <v>0.60809091164963602</v>
      </c>
      <c r="AL2577">
        <v>85.116015373183799</v>
      </c>
      <c r="AM2577">
        <v>91.238931900061601</v>
      </c>
      <c r="AN2577">
        <v>0.99999999556554897</v>
      </c>
    </row>
    <row r="2578" spans="1:40" x14ac:dyDescent="0.3">
      <c r="A2578" t="str">
        <f>"20200111150005739"</f>
        <v>20200111150005739</v>
      </c>
      <c r="B2578" t="str">
        <f>"1578726005728952"</f>
        <v>1578726005728952</v>
      </c>
      <c r="C2578" t="s">
        <v>40</v>
      </c>
      <c r="D2578">
        <v>4.3181330000000004</v>
      </c>
      <c r="E2578">
        <v>0.51482890000000003</v>
      </c>
      <c r="F2578" t="s">
        <v>41</v>
      </c>
      <c r="G2578">
        <v>-306.21510000000001</v>
      </c>
      <c r="H2578">
        <v>1.0362769999999999</v>
      </c>
      <c r="I2578">
        <v>282.97359999999998</v>
      </c>
      <c r="J2578">
        <v>-305.48219999999998</v>
      </c>
      <c r="K2578">
        <v>1.103488</v>
      </c>
      <c r="L2578">
        <v>282.96879999999999</v>
      </c>
      <c r="M2578">
        <v>-0.99978929999999999</v>
      </c>
      <c r="N2578">
        <v>0</v>
      </c>
      <c r="O2578">
        <v>-1.5871819999999998E-2</v>
      </c>
      <c r="P2578">
        <v>-0.99666969999999999</v>
      </c>
      <c r="Q2578">
        <v>7.2341279999999994E-2</v>
      </c>
      <c r="R2578">
        <v>-3.7637469999999999E-2</v>
      </c>
      <c r="S2578">
        <v>-3.025055</v>
      </c>
      <c r="T2578">
        <v>-0.2063266</v>
      </c>
      <c r="U2578">
        <v>2.5634770000000002E-3</v>
      </c>
      <c r="V2578">
        <v>-2.164922E-2</v>
      </c>
      <c r="W2578">
        <v>8.5364099999999998E-2</v>
      </c>
      <c r="X2578">
        <v>0.99611459999999996</v>
      </c>
      <c r="Y2578">
        <v>1.6644920000000001E-2</v>
      </c>
      <c r="Z2578">
        <v>1.6483369999999999E-3</v>
      </c>
      <c r="AA2578">
        <v>0.99986010000000003</v>
      </c>
      <c r="AB2578">
        <v>43</v>
      </c>
      <c r="AC2578">
        <v>-0.73290000000002897</v>
      </c>
      <c r="AD2578">
        <v>-6.7210999999999896E-2</v>
      </c>
      <c r="AE2578">
        <v>4.7999999999888097E-3</v>
      </c>
      <c r="AF2578">
        <v>1.6295797486985002E-2</v>
      </c>
      <c r="AG2578">
        <v>-6.7210999999999896E-2</v>
      </c>
      <c r="AH2578">
        <v>0.72662091986870903</v>
      </c>
      <c r="AI2578">
        <v>95.283387907960204</v>
      </c>
      <c r="AJ2578">
        <v>88.715253158633701</v>
      </c>
      <c r="AK2578">
        <v>0.72990467372636103</v>
      </c>
      <c r="AL2578">
        <v>85.103037673526202</v>
      </c>
      <c r="AM2578">
        <v>91.245051209777301</v>
      </c>
      <c r="AN2578">
        <v>1.0000000073142801</v>
      </c>
    </row>
    <row r="2579" spans="1:40" x14ac:dyDescent="0.3">
      <c r="A2579" t="str">
        <f>"20200111150005752"</f>
        <v>20200111150005752</v>
      </c>
      <c r="B2579" t="str">
        <f>"1578726005748475"</f>
        <v>1578726005748475</v>
      </c>
      <c r="C2579" t="s">
        <v>40</v>
      </c>
      <c r="D2579">
        <v>4.2264670000000004</v>
      </c>
      <c r="E2579">
        <v>0.51485559999999997</v>
      </c>
      <c r="F2579" t="s">
        <v>62</v>
      </c>
      <c r="G2579">
        <v>-321.87240000000003</v>
      </c>
      <c r="H2579" s="1">
        <v>-4.6919840000000001E-7</v>
      </c>
      <c r="I2579">
        <v>282.98779999999999</v>
      </c>
      <c r="J2579">
        <v>-305.70839999999998</v>
      </c>
      <c r="K2579">
        <v>1.103416</v>
      </c>
      <c r="L2579">
        <v>282.96570000000003</v>
      </c>
      <c r="M2579">
        <v>-0.99979819999999997</v>
      </c>
      <c r="N2579">
        <v>0</v>
      </c>
      <c r="O2579">
        <v>-1.5300869999999999E-2</v>
      </c>
      <c r="P2579">
        <v>-0.99664209999999998</v>
      </c>
      <c r="Q2579">
        <v>7.2740260000000001E-2</v>
      </c>
      <c r="R2579">
        <v>-3.7604680000000001E-2</v>
      </c>
      <c r="S2579">
        <v>-3.0249329999999999</v>
      </c>
      <c r="T2579">
        <v>-0.20365649999999999</v>
      </c>
      <c r="U2579">
        <v>3.5095209999999998E-3</v>
      </c>
      <c r="V2579">
        <v>-2.2169520000000002E-2</v>
      </c>
      <c r="W2579">
        <v>8.5761749999999998E-2</v>
      </c>
      <c r="X2579">
        <v>0.99606899999999998</v>
      </c>
      <c r="Y2579">
        <v>1.6390479999999999E-2</v>
      </c>
      <c r="Z2579">
        <v>1.5801680000000001E-3</v>
      </c>
      <c r="AA2579">
        <v>0.99986439999999999</v>
      </c>
      <c r="AB2579">
        <v>43</v>
      </c>
      <c r="AC2579">
        <v>-16.164000000000001</v>
      </c>
      <c r="AD2579">
        <v>-1.1034164691984001</v>
      </c>
      <c r="AE2579">
        <v>2.2099999999966199E-2</v>
      </c>
      <c r="AF2579">
        <v>0.26819187298565</v>
      </c>
      <c r="AG2579">
        <v>-1.1034164691984001</v>
      </c>
      <c r="AH2579">
        <v>16.0868056929625</v>
      </c>
      <c r="AI2579">
        <v>93.923308135953704</v>
      </c>
      <c r="AJ2579">
        <v>89.044879429910296</v>
      </c>
      <c r="AK2579">
        <v>16.126833917057802</v>
      </c>
      <c r="AL2579">
        <v>85.080170154965003</v>
      </c>
      <c r="AM2579">
        <v>91.275022360152505</v>
      </c>
      <c r="AN2579">
        <v>1.0000000090705401</v>
      </c>
    </row>
    <row r="2580" spans="1:40" x14ac:dyDescent="0.3">
      <c r="A2580" t="str">
        <f>"20200111150005764"</f>
        <v>20200111150005764</v>
      </c>
      <c r="B2580" t="str">
        <f>"1578726005758232"</f>
        <v>1578726005758232</v>
      </c>
      <c r="C2580" t="s">
        <v>40</v>
      </c>
      <c r="D2580">
        <v>4.2102890000000004</v>
      </c>
      <c r="E2580">
        <v>0.51491540000000002</v>
      </c>
      <c r="F2580" t="s">
        <v>41</v>
      </c>
      <c r="G2580">
        <v>-306.6062</v>
      </c>
      <c r="H2580">
        <v>1.044224</v>
      </c>
      <c r="I2580">
        <v>282.96719999999999</v>
      </c>
      <c r="J2580">
        <v>-305.9425</v>
      </c>
      <c r="K2580">
        <v>1.10334</v>
      </c>
      <c r="L2580">
        <v>282.96249999999998</v>
      </c>
      <c r="M2580">
        <v>-0.99980740000000001</v>
      </c>
      <c r="N2580">
        <v>0</v>
      </c>
      <c r="O2580">
        <v>-1.468973E-2</v>
      </c>
      <c r="P2580">
        <v>-0.99661330000000004</v>
      </c>
      <c r="Q2580">
        <v>7.3267700000000005E-2</v>
      </c>
      <c r="R2580">
        <v>-3.7335050000000002E-2</v>
      </c>
      <c r="S2580">
        <v>-3.0248409999999999</v>
      </c>
      <c r="T2580">
        <v>-0.19949330000000001</v>
      </c>
      <c r="U2580">
        <v>4.0283200000000002E-3</v>
      </c>
      <c r="V2580">
        <v>-2.24929E-2</v>
      </c>
      <c r="W2580">
        <v>8.6286699999999994E-2</v>
      </c>
      <c r="X2580">
        <v>0.99601640000000002</v>
      </c>
      <c r="Y2580">
        <v>1.595599E-2</v>
      </c>
      <c r="Z2580">
        <v>1.4934099999999999E-3</v>
      </c>
      <c r="AA2580">
        <v>0.99987159999999997</v>
      </c>
      <c r="AB2580">
        <v>43</v>
      </c>
      <c r="AC2580">
        <v>-0.66370000000000495</v>
      </c>
      <c r="AD2580">
        <v>-5.9115999999999898E-2</v>
      </c>
      <c r="AE2580">
        <v>4.7000000000139101E-3</v>
      </c>
      <c r="AF2580">
        <v>1.4336161696580901E-2</v>
      </c>
      <c r="AG2580">
        <v>-5.9115999999999898E-2</v>
      </c>
      <c r="AH2580">
        <v>0.65833665569260902</v>
      </c>
      <c r="AI2580">
        <v>95.129960365776498</v>
      </c>
      <c r="AJ2580">
        <v>88.752504891206996</v>
      </c>
      <c r="AK2580">
        <v>0.66114096773435505</v>
      </c>
      <c r="AL2580">
        <v>85.049980765597098</v>
      </c>
      <c r="AM2580">
        <v>91.293682739562598</v>
      </c>
      <c r="AN2580">
        <v>0.99999999710813003</v>
      </c>
    </row>
    <row r="2581" spans="1:40" x14ac:dyDescent="0.3">
      <c r="A2581" t="str">
        <f>"20200111150005779"</f>
        <v>20200111150005779</v>
      </c>
      <c r="B2581" t="str">
        <f>"1578726005768968"</f>
        <v>1578726005768968</v>
      </c>
      <c r="C2581" t="s">
        <v>40</v>
      </c>
      <c r="D2581">
        <v>4.1848660000000004</v>
      </c>
      <c r="E2581">
        <v>0.51494839999999997</v>
      </c>
      <c r="F2581" t="s">
        <v>41</v>
      </c>
      <c r="G2581">
        <v>-306.98250000000002</v>
      </c>
      <c r="H2581">
        <v>1.0357730000000001</v>
      </c>
      <c r="I2581">
        <v>282.96460000000002</v>
      </c>
      <c r="J2581">
        <v>-306.25700000000001</v>
      </c>
      <c r="K2581">
        <v>1.10324</v>
      </c>
      <c r="L2581">
        <v>282.95850000000002</v>
      </c>
      <c r="M2581">
        <v>-0.99982020000000005</v>
      </c>
      <c r="N2581">
        <v>0</v>
      </c>
      <c r="O2581">
        <v>-1.3810289999999999E-2</v>
      </c>
      <c r="P2581">
        <v>-0.99654039999999999</v>
      </c>
      <c r="Q2581">
        <v>7.4277239999999994E-2</v>
      </c>
      <c r="R2581">
        <v>-3.7289490000000002E-2</v>
      </c>
      <c r="S2581">
        <v>-3.024902</v>
      </c>
      <c r="T2581">
        <v>-0.19653590000000001</v>
      </c>
      <c r="U2581">
        <v>5.7067869999999996E-3</v>
      </c>
      <c r="V2581">
        <v>-2.330109E-2</v>
      </c>
      <c r="W2581">
        <v>8.7290480000000004E-2</v>
      </c>
      <c r="X2581">
        <v>0.99591030000000003</v>
      </c>
      <c r="Y2581">
        <v>1.5635759999999999E-2</v>
      </c>
      <c r="Z2581">
        <v>1.403816E-3</v>
      </c>
      <c r="AA2581">
        <v>0.99987680000000001</v>
      </c>
      <c r="AB2581">
        <v>43</v>
      </c>
      <c r="AC2581">
        <v>-0.72550000000001003</v>
      </c>
      <c r="AD2581">
        <v>-6.7466999999999902E-2</v>
      </c>
      <c r="AE2581">
        <v>6.1000000000035401E-3</v>
      </c>
      <c r="AF2581">
        <v>1.5981434301594401E-2</v>
      </c>
      <c r="AG2581">
        <v>-6.7466999999999902E-2</v>
      </c>
      <c r="AH2581">
        <v>0.71912808042793697</v>
      </c>
      <c r="AI2581">
        <v>95.358359369324205</v>
      </c>
      <c r="AJ2581">
        <v>88.726905452633801</v>
      </c>
      <c r="AK2581">
        <v>0.722462731489525</v>
      </c>
      <c r="AL2581">
        <v>84.992250324317098</v>
      </c>
      <c r="AM2581">
        <v>91.340291980214602</v>
      </c>
      <c r="AN2581">
        <v>0.999999947169952</v>
      </c>
    </row>
    <row r="2582" spans="1:40" x14ac:dyDescent="0.3">
      <c r="A2582" t="str">
        <f>"20200111150005795"</f>
        <v>20200111150005795</v>
      </c>
      <c r="B2582" t="str">
        <f>"1578726005788487"</f>
        <v>1578726005788487</v>
      </c>
      <c r="C2582" t="s">
        <v>40</v>
      </c>
      <c r="D2582">
        <v>4.099736</v>
      </c>
      <c r="E2582">
        <v>0.51499410000000001</v>
      </c>
      <c r="F2582" t="s">
        <v>62</v>
      </c>
      <c r="G2582">
        <v>-323.63760000000002</v>
      </c>
      <c r="H2582" s="1">
        <v>4.698323E-7</v>
      </c>
      <c r="I2582">
        <v>282.99529999999999</v>
      </c>
      <c r="J2582">
        <v>-306.53410000000002</v>
      </c>
      <c r="K2582">
        <v>1.103156</v>
      </c>
      <c r="L2582">
        <v>282.9554</v>
      </c>
      <c r="M2582">
        <v>-0.99983169999999999</v>
      </c>
      <c r="N2582">
        <v>0</v>
      </c>
      <c r="O2582">
        <v>-1.297389E-2</v>
      </c>
      <c r="P2582">
        <v>-0.9965541</v>
      </c>
      <c r="Q2582">
        <v>7.4400720000000004E-2</v>
      </c>
      <c r="R2582">
        <v>-3.6671620000000002E-2</v>
      </c>
      <c r="S2582">
        <v>-3.024994</v>
      </c>
      <c r="T2582">
        <v>-0.19201170000000001</v>
      </c>
      <c r="U2582">
        <v>6.4086909999999898E-3</v>
      </c>
      <c r="V2582">
        <v>-2.3498870000000002E-2</v>
      </c>
      <c r="W2582">
        <v>8.740684E-2</v>
      </c>
      <c r="X2582">
        <v>0.99589550000000004</v>
      </c>
      <c r="Y2582">
        <v>1.503697E-2</v>
      </c>
      <c r="Z2582">
        <v>1.299501E-3</v>
      </c>
      <c r="AA2582">
        <v>0.9998861</v>
      </c>
      <c r="AB2582">
        <v>43</v>
      </c>
      <c r="AC2582">
        <v>-17.103499999999901</v>
      </c>
      <c r="AD2582">
        <v>-1.1031555301676901</v>
      </c>
      <c r="AE2582">
        <v>3.9899999999988701E-2</v>
      </c>
      <c r="AF2582">
        <v>0.26072958388870099</v>
      </c>
      <c r="AG2582">
        <v>-1.1031555301676901</v>
      </c>
      <c r="AH2582">
        <v>17.030693589073799</v>
      </c>
      <c r="AI2582">
        <v>93.705697823888002</v>
      </c>
      <c r="AJ2582">
        <v>89.122904904715398</v>
      </c>
      <c r="AK2582">
        <v>17.068375908813799</v>
      </c>
      <c r="AL2582">
        <v>84.985558071232603</v>
      </c>
      <c r="AM2582">
        <v>91.351684275494605</v>
      </c>
      <c r="AN2582">
        <v>0.99999999974515597</v>
      </c>
    </row>
    <row r="2583" spans="1:40" x14ac:dyDescent="0.3">
      <c r="A2583" t="str">
        <f>"20200111150005808"</f>
        <v>20200111150005808</v>
      </c>
      <c r="B2583" t="str">
        <f>"1578726005798248"</f>
        <v>1578726005798248</v>
      </c>
      <c r="C2583" t="s">
        <v>40</v>
      </c>
      <c r="D2583">
        <v>4.0696070000000004</v>
      </c>
      <c r="E2583">
        <v>0.51507720000000001</v>
      </c>
      <c r="F2583" t="s">
        <v>62</v>
      </c>
      <c r="G2583">
        <v>-324.26139999999998</v>
      </c>
      <c r="H2583" s="1">
        <v>8.0136349999999896E-7</v>
      </c>
      <c r="I2583">
        <v>283.0052</v>
      </c>
      <c r="J2583">
        <v>-306.78469999999999</v>
      </c>
      <c r="K2583">
        <v>1.103084</v>
      </c>
      <c r="L2583">
        <v>282.95269999999999</v>
      </c>
      <c r="M2583">
        <v>-0.9998416</v>
      </c>
      <c r="N2583">
        <v>0</v>
      </c>
      <c r="O2583">
        <v>-1.219143E-2</v>
      </c>
      <c r="P2583">
        <v>-0.99657640000000003</v>
      </c>
      <c r="Q2583">
        <v>7.4610979999999993E-2</v>
      </c>
      <c r="R2583">
        <v>-3.5621649999999998E-2</v>
      </c>
      <c r="S2583">
        <v>-3.02475</v>
      </c>
      <c r="T2583">
        <v>-0.18822739999999999</v>
      </c>
      <c r="U2583">
        <v>8.5144039999999997E-3</v>
      </c>
      <c r="V2583">
        <v>-2.3213060000000001E-2</v>
      </c>
      <c r="W2583">
        <v>8.7608249999999999E-2</v>
      </c>
      <c r="X2583">
        <v>0.99588449999999995</v>
      </c>
      <c r="Y2583">
        <v>1.495458E-2</v>
      </c>
      <c r="Z2583">
        <v>1.2228339999999999E-3</v>
      </c>
      <c r="AA2583">
        <v>0.99988739999999998</v>
      </c>
      <c r="AB2583">
        <v>43</v>
      </c>
      <c r="AC2583">
        <v>-17.476699999999902</v>
      </c>
      <c r="AD2583">
        <v>-1.1030831986365</v>
      </c>
      <c r="AE2583">
        <v>5.2500000000008998E-2</v>
      </c>
      <c r="AF2583">
        <v>0.26452616725348399</v>
      </c>
      <c r="AG2583">
        <v>-1.1030831986365</v>
      </c>
      <c r="AH2583">
        <v>17.405421722777501</v>
      </c>
      <c r="AI2583">
        <v>93.625900626692797</v>
      </c>
      <c r="AJ2583">
        <v>89.129290490903998</v>
      </c>
      <c r="AK2583">
        <v>17.4423470893115</v>
      </c>
      <c r="AL2583">
        <v>84.973973662384594</v>
      </c>
      <c r="AM2583">
        <v>91.335264859767804</v>
      </c>
      <c r="AN2583">
        <v>0.99999999448143795</v>
      </c>
    </row>
    <row r="2584" spans="1:40" x14ac:dyDescent="0.3">
      <c r="A2584" t="str">
        <f>"20200111150005819"</f>
        <v>20200111150005819</v>
      </c>
      <c r="B2584" t="str">
        <f>"1578726005808983"</f>
        <v>1578726005808983</v>
      </c>
      <c r="C2584" t="s">
        <v>40</v>
      </c>
      <c r="D2584">
        <v>4.272894</v>
      </c>
      <c r="E2584">
        <v>0.51519159999999997</v>
      </c>
      <c r="F2584" t="s">
        <v>41</v>
      </c>
      <c r="G2584">
        <v>-307.75689999999997</v>
      </c>
      <c r="H2584">
        <v>1.043229</v>
      </c>
      <c r="I2584">
        <v>282.95650000000001</v>
      </c>
      <c r="J2584">
        <v>-307.02190000000002</v>
      </c>
      <c r="K2584">
        <v>1.103019</v>
      </c>
      <c r="L2584">
        <v>282.95030000000003</v>
      </c>
      <c r="M2584">
        <v>-0.99985069999999998</v>
      </c>
      <c r="N2584">
        <v>0</v>
      </c>
      <c r="O2584">
        <v>-1.14316E-2</v>
      </c>
      <c r="P2584">
        <v>-0.99660179999999998</v>
      </c>
      <c r="Q2584">
        <v>7.4668849999999995E-2</v>
      </c>
      <c r="R2584">
        <v>-3.4781520000000003E-2</v>
      </c>
      <c r="S2584">
        <v>-3.0247190000000002</v>
      </c>
      <c r="T2584">
        <v>-0.18625559999999999</v>
      </c>
      <c r="U2584">
        <v>1.1871339999999999E-2</v>
      </c>
      <c r="V2584">
        <v>-2.3116080000000001E-2</v>
      </c>
      <c r="W2584">
        <v>8.7657659999999998E-2</v>
      </c>
      <c r="X2584">
        <v>0.99588239999999995</v>
      </c>
      <c r="Y2584">
        <v>1.530632E-2</v>
      </c>
      <c r="Z2584">
        <v>1.1741329999999999E-3</v>
      </c>
      <c r="AA2584">
        <v>0.99988220000000005</v>
      </c>
      <c r="AB2584">
        <v>43</v>
      </c>
      <c r="AC2584">
        <v>-0.73499999999995602</v>
      </c>
      <c r="AD2584">
        <v>-5.9789999999999698E-2</v>
      </c>
      <c r="AE2584">
        <v>6.1999999999784398E-3</v>
      </c>
      <c r="AF2584">
        <v>1.4506538603489201E-2</v>
      </c>
      <c r="AG2584">
        <v>-5.9789999999999698E-2</v>
      </c>
      <c r="AH2584">
        <v>0.73005044611277503</v>
      </c>
      <c r="AI2584">
        <v>94.681066339435006</v>
      </c>
      <c r="AJ2584">
        <v>88.861648430889801</v>
      </c>
      <c r="AK2584">
        <v>0.73263834026872798</v>
      </c>
      <c r="AL2584">
        <v>84.971131704682705</v>
      </c>
      <c r="AM2584">
        <v>91.329691172609799</v>
      </c>
      <c r="AN2584">
        <v>0.99999998657050004</v>
      </c>
    </row>
    <row r="2585" spans="1:40" x14ac:dyDescent="0.3">
      <c r="A2585" t="str">
        <f>"20200111150005838"</f>
        <v>20200111150005838</v>
      </c>
      <c r="B2585" t="str">
        <f>"1578726005828503"</f>
        <v>1578726005828503</v>
      </c>
      <c r="C2585" t="s">
        <v>40</v>
      </c>
      <c r="D2585">
        <v>4.1099459999999999</v>
      </c>
      <c r="E2585">
        <v>0.51534040000000003</v>
      </c>
      <c r="F2585" t="s">
        <v>62</v>
      </c>
      <c r="G2585">
        <v>-325.21010000000001</v>
      </c>
      <c r="H2585" s="1">
        <v>1.3046960000000001E-6</v>
      </c>
      <c r="I2585">
        <v>283.04000000000002</v>
      </c>
      <c r="J2585">
        <v>-307.35160000000002</v>
      </c>
      <c r="K2585">
        <v>1.10294</v>
      </c>
      <c r="L2585">
        <v>282.94740000000002</v>
      </c>
      <c r="M2585">
        <v>-0.99986280000000005</v>
      </c>
      <c r="N2585">
        <v>0</v>
      </c>
      <c r="O2585">
        <v>-1.033034E-2</v>
      </c>
      <c r="P2585">
        <v>-0.9966218</v>
      </c>
      <c r="Q2585">
        <v>7.495309E-2</v>
      </c>
      <c r="R2585">
        <v>-3.3576130000000003E-2</v>
      </c>
      <c r="S2585">
        <v>-3.0245060000000001</v>
      </c>
      <c r="T2585">
        <v>-0.18341950000000001</v>
      </c>
      <c r="U2585">
        <v>1.49231E-2</v>
      </c>
      <c r="V2585">
        <v>-2.299064E-2</v>
      </c>
      <c r="W2585">
        <v>8.7929820000000006E-2</v>
      </c>
      <c r="X2585">
        <v>0.99586140000000001</v>
      </c>
      <c r="Y2585">
        <v>1.521788E-2</v>
      </c>
      <c r="Z2585">
        <v>1.086961E-3</v>
      </c>
      <c r="AA2585">
        <v>0.99988359999999998</v>
      </c>
      <c r="AB2585">
        <v>43</v>
      </c>
      <c r="AC2585">
        <v>-17.8584999999999</v>
      </c>
      <c r="AD2585">
        <v>-1.1029386953039999</v>
      </c>
      <c r="AE2585">
        <v>9.2600000000004401E-2</v>
      </c>
      <c r="AF2585">
        <v>0.27604202892052998</v>
      </c>
      <c r="AG2585">
        <v>-1.1029386953039999</v>
      </c>
      <c r="AH2585">
        <v>17.788740803430901</v>
      </c>
      <c r="AI2585">
        <v>93.547489029659005</v>
      </c>
      <c r="AJ2585">
        <v>89.110967208294994</v>
      </c>
      <c r="AK2585">
        <v>17.825037793479702</v>
      </c>
      <c r="AL2585">
        <v>84.955478088852502</v>
      </c>
      <c r="AM2585">
        <v>91.322506016471394</v>
      </c>
      <c r="AN2585">
        <v>1.00000007539139</v>
      </c>
    </row>
    <row r="2586" spans="1:40" x14ac:dyDescent="0.3">
      <c r="A2586" t="str">
        <f>"20200111150005853"</f>
        <v>20200111150005853</v>
      </c>
      <c r="B2586" t="str">
        <f>"1578726005849000"</f>
        <v>1578726005849000</v>
      </c>
      <c r="C2586" t="s">
        <v>40</v>
      </c>
      <c r="D2586">
        <v>4.105461</v>
      </c>
      <c r="E2586">
        <v>0.51550490000000004</v>
      </c>
      <c r="F2586" t="s">
        <v>62</v>
      </c>
      <c r="G2586">
        <v>-326.19099999999997</v>
      </c>
      <c r="H2586" s="1">
        <v>1.8252779999999999E-6</v>
      </c>
      <c r="I2586">
        <v>283.07209999999998</v>
      </c>
      <c r="J2586">
        <v>-307.64049999999997</v>
      </c>
      <c r="K2586">
        <v>1.102876</v>
      </c>
      <c r="L2586">
        <v>282.9452</v>
      </c>
      <c r="M2586">
        <v>-0.99987269999999995</v>
      </c>
      <c r="N2586">
        <v>0</v>
      </c>
      <c r="O2586">
        <v>-9.3422230000000002E-3</v>
      </c>
      <c r="P2586">
        <v>-0.99665990000000004</v>
      </c>
      <c r="Q2586">
        <v>7.4915709999999996E-2</v>
      </c>
      <c r="R2586">
        <v>-3.2508259999999997E-2</v>
      </c>
      <c r="S2586">
        <v>-3.0242</v>
      </c>
      <c r="T2586">
        <v>-0.1770487</v>
      </c>
      <c r="U2586">
        <v>2.0019530000000001E-2</v>
      </c>
      <c r="V2586">
        <v>-2.2895760000000001E-2</v>
      </c>
      <c r="W2586">
        <v>8.788232E-2</v>
      </c>
      <c r="X2586">
        <v>0.99586770000000002</v>
      </c>
      <c r="Y2586">
        <v>1.5918890000000002E-2</v>
      </c>
      <c r="Z2586">
        <v>1.0120750000000001E-3</v>
      </c>
      <c r="AA2586">
        <v>0.99987280000000001</v>
      </c>
      <c r="AB2586">
        <v>43</v>
      </c>
      <c r="AC2586">
        <v>-18.5505</v>
      </c>
      <c r="AD2586">
        <v>-1.1028741747219999</v>
      </c>
      <c r="AE2586">
        <v>0.126899999999977</v>
      </c>
      <c r="AF2586">
        <v>0.29915452503397699</v>
      </c>
      <c r="AG2586">
        <v>-1.1028741747219999</v>
      </c>
      <c r="AH2586">
        <v>18.483177058408799</v>
      </c>
      <c r="AI2586">
        <v>93.4142915756414</v>
      </c>
      <c r="AJ2586">
        <v>89.072735429229297</v>
      </c>
      <c r="AK2586">
        <v>18.5184680534759</v>
      </c>
      <c r="AL2586">
        <v>84.958209818351406</v>
      </c>
      <c r="AM2586">
        <v>91.317041768015002</v>
      </c>
      <c r="AN2586">
        <v>0.99999999694892405</v>
      </c>
    </row>
    <row r="2587" spans="1:40" x14ac:dyDescent="0.3">
      <c r="A2587" t="str">
        <f>"20200111150005870"</f>
        <v>20200111150005870</v>
      </c>
      <c r="B2587" t="str">
        <f>"1578726005858759"</f>
        <v>1578726005858759</v>
      </c>
      <c r="C2587" t="s">
        <v>40</v>
      </c>
      <c r="D2587">
        <v>4.0173940000000004</v>
      </c>
      <c r="E2587">
        <v>0.51561899999999905</v>
      </c>
      <c r="F2587" t="s">
        <v>62</v>
      </c>
      <c r="G2587">
        <v>-326.97390000000001</v>
      </c>
      <c r="H2587" s="1">
        <v>2.2404199999999999E-6</v>
      </c>
      <c r="I2587">
        <v>283.10520000000002</v>
      </c>
      <c r="J2587">
        <v>-307.98559999999998</v>
      </c>
      <c r="K2587">
        <v>1.102816</v>
      </c>
      <c r="L2587">
        <v>282.94290000000001</v>
      </c>
      <c r="M2587">
        <v>-0.99988339999999998</v>
      </c>
      <c r="N2587">
        <v>0</v>
      </c>
      <c r="O2587">
        <v>-8.1438250000000004E-3</v>
      </c>
      <c r="P2587">
        <v>-0.99672000000000005</v>
      </c>
      <c r="Q2587">
        <v>7.4437589999999998E-2</v>
      </c>
      <c r="R2587">
        <v>-3.1758330000000001E-2</v>
      </c>
      <c r="S2587">
        <v>-3.0238649999999998</v>
      </c>
      <c r="T2587">
        <v>-0.17249629999999999</v>
      </c>
      <c r="U2587">
        <v>2.502441E-2</v>
      </c>
      <c r="V2587">
        <v>-2.3329369999999999E-2</v>
      </c>
      <c r="W2587">
        <v>8.7394009999999994E-2</v>
      </c>
      <c r="X2587">
        <v>0.99590060000000002</v>
      </c>
      <c r="Y2587">
        <v>1.6379439999999999E-2</v>
      </c>
      <c r="Z2587">
        <v>9.3101329999999995E-4</v>
      </c>
      <c r="AA2587">
        <v>0.99986540000000002</v>
      </c>
      <c r="AB2587">
        <v>43</v>
      </c>
      <c r="AC2587">
        <v>-18.988299999999999</v>
      </c>
      <c r="AD2587">
        <v>-1.1028137595799901</v>
      </c>
      <c r="AE2587">
        <v>0.16230000000001599</v>
      </c>
      <c r="AF2587">
        <v>0.31587949005256899</v>
      </c>
      <c r="AG2587">
        <v>-1.1028137595799901</v>
      </c>
      <c r="AH2587">
        <v>18.922525019127701</v>
      </c>
      <c r="AI2587">
        <v>93.334988692301295</v>
      </c>
      <c r="AJ2587">
        <v>89.043632880731096</v>
      </c>
      <c r="AK2587">
        <v>18.957265919432299</v>
      </c>
      <c r="AL2587">
        <v>84.986295944850099</v>
      </c>
      <c r="AM2587">
        <v>91.341931132903397</v>
      </c>
      <c r="AN2587">
        <v>0.99999998878441798</v>
      </c>
    </row>
    <row r="2588" spans="1:40" x14ac:dyDescent="0.3">
      <c r="A2588" t="str">
        <f>"20200111150005893"</f>
        <v>20200111150005893</v>
      </c>
      <c r="B2588" t="str">
        <f>"1578726005889016"</f>
        <v>1578726005889016</v>
      </c>
      <c r="C2588" t="s">
        <v>40</v>
      </c>
      <c r="D2588">
        <v>4.0230769999999998</v>
      </c>
      <c r="E2588">
        <v>0.51586160000000003</v>
      </c>
      <c r="F2588" t="s">
        <v>62</v>
      </c>
      <c r="G2588">
        <v>-327.32929999999999</v>
      </c>
      <c r="H2588" s="1">
        <v>2.4287940000000002E-6</v>
      </c>
      <c r="I2588">
        <v>283.12189999999998</v>
      </c>
      <c r="J2588">
        <v>-308.42840000000001</v>
      </c>
      <c r="K2588">
        <v>1.1027530000000001</v>
      </c>
      <c r="L2588">
        <v>282.94049999999999</v>
      </c>
      <c r="M2588">
        <v>-0.99989510000000004</v>
      </c>
      <c r="N2588">
        <v>0</v>
      </c>
      <c r="O2588">
        <v>-6.5913990000000004E-3</v>
      </c>
      <c r="P2588">
        <v>-0.9967492</v>
      </c>
      <c r="Q2588">
        <v>7.4351089999999995E-2</v>
      </c>
      <c r="R2588">
        <v>-3.1033089999999999E-2</v>
      </c>
      <c r="S2588">
        <v>-3.023682</v>
      </c>
      <c r="T2588">
        <v>-0.17238529999999999</v>
      </c>
      <c r="U2588">
        <v>2.7984620000000002E-2</v>
      </c>
      <c r="V2588">
        <v>-2.4139250000000001E-2</v>
      </c>
      <c r="W2588">
        <v>8.7294739999999996E-2</v>
      </c>
      <c r="X2588">
        <v>0.99589000000000005</v>
      </c>
      <c r="Y2588">
        <v>1.580985E-2</v>
      </c>
      <c r="Z2588">
        <v>8.258044E-4</v>
      </c>
      <c r="AA2588">
        <v>0.99987470000000001</v>
      </c>
      <c r="AB2588">
        <v>43</v>
      </c>
      <c r="AC2588">
        <v>-18.900899999999901</v>
      </c>
      <c r="AD2588">
        <v>-1.102750571206</v>
      </c>
      <c r="AE2588">
        <v>0.18139999999999601</v>
      </c>
      <c r="AF2588">
        <v>0.304951834517111</v>
      </c>
      <c r="AG2588">
        <v>-1.102750571206</v>
      </c>
      <c r="AH2588">
        <v>18.8351844865125</v>
      </c>
      <c r="AI2588">
        <v>93.350254292953593</v>
      </c>
      <c r="AJ2588">
        <v>89.072431352114904</v>
      </c>
      <c r="AK2588">
        <v>18.869902731191502</v>
      </c>
      <c r="AL2588">
        <v>84.992005491702102</v>
      </c>
      <c r="AM2588">
        <v>91.388513167003296</v>
      </c>
      <c r="AN2588">
        <v>0.99999998356111497</v>
      </c>
    </row>
    <row r="2589" spans="1:40" x14ac:dyDescent="0.3">
      <c r="A2589" t="str">
        <f>"20200111150005916"</f>
        <v>20200111150005916</v>
      </c>
      <c r="B2589" t="str">
        <f>"1578726005908700"</f>
        <v>1578726005908700</v>
      </c>
      <c r="C2589" t="s">
        <v>40</v>
      </c>
      <c r="D2589">
        <v>4.0307219999999999</v>
      </c>
      <c r="E2589">
        <v>0.51599139999999999</v>
      </c>
      <c r="F2589" t="s">
        <v>62</v>
      </c>
      <c r="G2589">
        <v>-328.16489999999999</v>
      </c>
      <c r="H2589" s="1">
        <v>2.872217E-6</v>
      </c>
      <c r="I2589">
        <v>283.15069999999997</v>
      </c>
      <c r="J2589">
        <v>-308.85820000000001</v>
      </c>
      <c r="K2589">
        <v>1.1027169999999999</v>
      </c>
      <c r="L2589">
        <v>282.93880000000001</v>
      </c>
      <c r="M2589">
        <v>-0.99990400000000002</v>
      </c>
      <c r="N2589">
        <v>0</v>
      </c>
      <c r="O2589">
        <v>-5.0866449999999999E-3</v>
      </c>
      <c r="P2589">
        <v>-0.99670650000000005</v>
      </c>
      <c r="Q2589">
        <v>7.4725669999999994E-2</v>
      </c>
      <c r="R2589">
        <v>-3.1499430000000002E-2</v>
      </c>
      <c r="S2589">
        <v>-3.0233759999999998</v>
      </c>
      <c r="T2589">
        <v>-0.16892760000000001</v>
      </c>
      <c r="U2589">
        <v>3.2196040000000002E-2</v>
      </c>
      <c r="V2589">
        <v>-2.6096749999999998E-2</v>
      </c>
      <c r="W2589">
        <v>8.7661439999999993E-2</v>
      </c>
      <c r="X2589">
        <v>0.99580840000000004</v>
      </c>
      <c r="Y2589">
        <v>1.5702649999999999E-2</v>
      </c>
      <c r="Z2589">
        <v>7.2233460000000003E-4</v>
      </c>
      <c r="AA2589">
        <v>0.9998764</v>
      </c>
      <c r="AB2589">
        <v>43</v>
      </c>
      <c r="AC2589">
        <v>-19.3066999999999</v>
      </c>
      <c r="AD2589">
        <v>-1.1027141277829999</v>
      </c>
      <c r="AE2589">
        <v>0.21189999999995701</v>
      </c>
      <c r="AF2589">
        <v>0.30910351092343602</v>
      </c>
      <c r="AG2589">
        <v>-1.1027141277829999</v>
      </c>
      <c r="AH2589">
        <v>19.242606682176799</v>
      </c>
      <c r="AI2589">
        <v>93.279374678024297</v>
      </c>
      <c r="AJ2589">
        <v>89.079708698666806</v>
      </c>
      <c r="AK2589">
        <v>19.276655191008501</v>
      </c>
      <c r="AL2589">
        <v>84.970914200934899</v>
      </c>
      <c r="AM2589">
        <v>91.501183835435398</v>
      </c>
      <c r="AN2589">
        <v>0.99999996896699705</v>
      </c>
    </row>
    <row r="2590" spans="1:40" x14ac:dyDescent="0.3">
      <c r="A2590" t="str">
        <f>"20200111150005930"</f>
        <v>20200111150005930</v>
      </c>
      <c r="B2590" t="str">
        <f>"1578726005918461"</f>
        <v>1578726005918461</v>
      </c>
      <c r="C2590" t="s">
        <v>40</v>
      </c>
      <c r="D2590">
        <v>4.0689869999999999</v>
      </c>
      <c r="E2590">
        <v>0.51603069999999995</v>
      </c>
      <c r="F2590" t="s">
        <v>62</v>
      </c>
      <c r="G2590">
        <v>-328.98719999999997</v>
      </c>
      <c r="H2590" s="1">
        <v>3.3096419999999999E-6</v>
      </c>
      <c r="I2590">
        <v>283.15460000000002</v>
      </c>
      <c r="J2590">
        <v>-309.12279999999998</v>
      </c>
      <c r="K2590">
        <v>1.1027039999999999</v>
      </c>
      <c r="L2590">
        <v>282.93810000000002</v>
      </c>
      <c r="M2590">
        <v>-0.99990849999999998</v>
      </c>
      <c r="N2590">
        <v>0</v>
      </c>
      <c r="O2590">
        <v>-4.1721350000000004E-3</v>
      </c>
      <c r="P2590">
        <v>-0.99668880000000004</v>
      </c>
      <c r="Q2590">
        <v>7.4874739999999995E-2</v>
      </c>
      <c r="R2590">
        <v>-3.170626E-2</v>
      </c>
      <c r="S2590">
        <v>-3.0233460000000001</v>
      </c>
      <c r="T2590">
        <v>-0.16562650000000001</v>
      </c>
      <c r="U2590">
        <v>3.2409670000000002E-2</v>
      </c>
      <c r="V2590">
        <v>-2.7211300000000001E-2</v>
      </c>
      <c r="W2590">
        <v>8.7806309999999999E-2</v>
      </c>
      <c r="X2590">
        <v>0.99576580000000003</v>
      </c>
      <c r="Y2590">
        <v>1.4862800000000001E-2</v>
      </c>
      <c r="Z2590">
        <v>6.3519589999999995E-4</v>
      </c>
      <c r="AA2590">
        <v>0.99988929999999998</v>
      </c>
      <c r="AB2590">
        <v>43</v>
      </c>
      <c r="AC2590">
        <v>-19.8643999999999</v>
      </c>
      <c r="AD2590">
        <v>-1.1027006903579999</v>
      </c>
      <c r="AE2590">
        <v>0.216499999999996</v>
      </c>
      <c r="AF2590">
        <v>0.29846232921014498</v>
      </c>
      <c r="AG2590">
        <v>-1.1027006903579999</v>
      </c>
      <c r="AH2590">
        <v>19.802309859885401</v>
      </c>
      <c r="AI2590">
        <v>93.186888803650902</v>
      </c>
      <c r="AJ2590">
        <v>89.136497853086993</v>
      </c>
      <c r="AK2590">
        <v>19.835233912444501</v>
      </c>
      <c r="AL2590">
        <v>84.962581613704998</v>
      </c>
      <c r="AM2590">
        <v>91.565332658271004</v>
      </c>
      <c r="AN2590">
        <v>0.99999996568657201</v>
      </c>
    </row>
    <row r="2591" spans="1:40" x14ac:dyDescent="0.3">
      <c r="A2591" t="str">
        <f>"20200111150005949"</f>
        <v>20200111150005949</v>
      </c>
      <c r="B2591" t="str">
        <f>"1578726005938956"</f>
        <v>1578726005938956</v>
      </c>
      <c r="C2591" t="s">
        <v>40</v>
      </c>
      <c r="D2591">
        <v>4.1346910000000001</v>
      </c>
      <c r="E2591">
        <v>0.51617230000000003</v>
      </c>
      <c r="F2591" t="s">
        <v>62</v>
      </c>
      <c r="G2591">
        <v>-329.43639999999999</v>
      </c>
      <c r="H2591" s="1">
        <v>3.5486709999999998E-6</v>
      </c>
      <c r="I2591">
        <v>283.1551</v>
      </c>
      <c r="J2591">
        <v>-309.49599999999998</v>
      </c>
      <c r="K2591">
        <v>1.1026990000000001</v>
      </c>
      <c r="L2591">
        <v>282.93759999999997</v>
      </c>
      <c r="M2591">
        <v>-0.99991319999999995</v>
      </c>
      <c r="N2591">
        <v>0</v>
      </c>
      <c r="O2591">
        <v>-2.9017069999999999E-3</v>
      </c>
      <c r="P2591">
        <v>-0.99659260000000005</v>
      </c>
      <c r="Q2591">
        <v>7.5474340000000001E-2</v>
      </c>
      <c r="R2591">
        <v>-3.3265910000000003E-2</v>
      </c>
      <c r="S2591">
        <v>-3.023285</v>
      </c>
      <c r="T2591">
        <v>-0.16411529999999999</v>
      </c>
      <c r="U2591">
        <v>3.22876E-2</v>
      </c>
      <c r="V2591">
        <v>-3.0033339999999999E-2</v>
      </c>
      <c r="W2591">
        <v>8.840336E-2</v>
      </c>
      <c r="X2591">
        <v>0.99563190000000001</v>
      </c>
      <c r="Y2591">
        <v>1.3556540000000001E-2</v>
      </c>
      <c r="Z2591">
        <v>5.2507759999999998E-4</v>
      </c>
      <c r="AA2591">
        <v>0.99990800000000002</v>
      </c>
      <c r="AB2591">
        <v>43</v>
      </c>
      <c r="AC2591">
        <v>-19.9404</v>
      </c>
      <c r="AD2591">
        <v>-1.1026954513289999</v>
      </c>
      <c r="AE2591">
        <v>0.217500000000029</v>
      </c>
      <c r="AF2591">
        <v>0.27452565049904798</v>
      </c>
      <c r="AG2591">
        <v>-1.1026954513289999</v>
      </c>
      <c r="AH2591">
        <v>19.878901581697502</v>
      </c>
      <c r="AI2591">
        <v>93.174677838203095</v>
      </c>
      <c r="AJ2591">
        <v>89.208801287580499</v>
      </c>
      <c r="AK2591">
        <v>19.911354290604599</v>
      </c>
      <c r="AL2591">
        <v>84.928239883631804</v>
      </c>
      <c r="AM2591">
        <v>91.727809222017896</v>
      </c>
      <c r="AN2591">
        <v>1.0000000179342201</v>
      </c>
    </row>
    <row r="2592" spans="1:40" x14ac:dyDescent="0.3">
      <c r="A2592" t="str">
        <f>"20200111150005963"</f>
        <v>20200111150005963</v>
      </c>
      <c r="B2592" t="str">
        <f>"1578726005958479"</f>
        <v>1578726005958479</v>
      </c>
      <c r="C2592" t="s">
        <v>40</v>
      </c>
      <c r="D2592">
        <v>4.0659229999999997</v>
      </c>
      <c r="E2592">
        <v>0.51617780000000002</v>
      </c>
      <c r="F2592" t="s">
        <v>62</v>
      </c>
      <c r="G2592">
        <v>-330.20240000000001</v>
      </c>
      <c r="H2592" s="1">
        <v>-1.3644260000000001E-6</v>
      </c>
      <c r="I2592">
        <v>283.13650000000001</v>
      </c>
      <c r="J2592">
        <v>-309.76280000000003</v>
      </c>
      <c r="K2592">
        <v>1.1027009999999999</v>
      </c>
      <c r="L2592">
        <v>282.93740000000003</v>
      </c>
      <c r="M2592">
        <v>-0.99991549999999996</v>
      </c>
      <c r="N2592">
        <v>0</v>
      </c>
      <c r="O2592">
        <v>-2.0101149999999998E-3</v>
      </c>
      <c r="P2592">
        <v>-0.99655649999999996</v>
      </c>
      <c r="Q2592">
        <v>7.5876369999999999E-2</v>
      </c>
      <c r="R2592">
        <v>-3.344652E-2</v>
      </c>
      <c r="S2592">
        <v>-3.0234380000000001</v>
      </c>
      <c r="T2592">
        <v>-0.1610106</v>
      </c>
      <c r="U2592">
        <v>2.9052729999999999E-2</v>
      </c>
      <c r="V2592">
        <v>-3.110042E-2</v>
      </c>
      <c r="W2592">
        <v>8.8800420000000005E-2</v>
      </c>
      <c r="X2592">
        <v>0.9955638</v>
      </c>
      <c r="Y2592">
        <v>1.159961E-2</v>
      </c>
      <c r="Z2592">
        <v>4.1561570000000001E-4</v>
      </c>
      <c r="AA2592">
        <v>0.99993259999999995</v>
      </c>
      <c r="AB2592">
        <v>43</v>
      </c>
      <c r="AC2592">
        <v>-20.439599999999899</v>
      </c>
      <c r="AD2592">
        <v>-1.1027023644259999</v>
      </c>
      <c r="AE2592">
        <v>0.19909999999998701</v>
      </c>
      <c r="AF2592">
        <v>0.239491951310037</v>
      </c>
      <c r="AG2592">
        <v>-1.1027023644259999</v>
      </c>
      <c r="AH2592">
        <v>20.379847955919999</v>
      </c>
      <c r="AI2592">
        <v>93.096897220024005</v>
      </c>
      <c r="AJ2592">
        <v>89.326724788350404</v>
      </c>
      <c r="AK2592">
        <v>20.411063460919198</v>
      </c>
      <c r="AL2592">
        <v>84.905400182406595</v>
      </c>
      <c r="AM2592">
        <v>91.789281110302895</v>
      </c>
      <c r="AN2592">
        <v>1.0000000152933901</v>
      </c>
    </row>
    <row r="2593" spans="1:40" x14ac:dyDescent="0.3">
      <c r="A2593" t="str">
        <f>"20200111150005982"</f>
        <v>20200111150005982</v>
      </c>
      <c r="B2593" t="str">
        <f>"1578726005978973"</f>
        <v>1578726005978973</v>
      </c>
      <c r="C2593" t="s">
        <v>40</v>
      </c>
      <c r="D2593">
        <v>4.1112149999999996</v>
      </c>
      <c r="E2593">
        <v>0.51612060000000004</v>
      </c>
      <c r="F2593" t="s">
        <v>62</v>
      </c>
      <c r="G2593">
        <v>-330.7679</v>
      </c>
      <c r="H2593" s="1">
        <v>-1.06345E-6</v>
      </c>
      <c r="I2593">
        <v>283.13670000000002</v>
      </c>
      <c r="J2593">
        <v>-310.13720000000001</v>
      </c>
      <c r="K2593">
        <v>1.102714</v>
      </c>
      <c r="L2593">
        <v>282.9375</v>
      </c>
      <c r="M2593">
        <v>-0.99991739999999996</v>
      </c>
      <c r="N2593">
        <v>0</v>
      </c>
      <c r="O2593">
        <v>-7.9042809999999995E-4</v>
      </c>
      <c r="P2593">
        <v>-0.99646409999999996</v>
      </c>
      <c r="Q2593">
        <v>7.6957769999999995E-2</v>
      </c>
      <c r="R2593">
        <v>-3.37253E-2</v>
      </c>
      <c r="S2593">
        <v>-3.0234380000000001</v>
      </c>
      <c r="T2593">
        <v>-0.15872059999999999</v>
      </c>
      <c r="U2593">
        <v>2.868652E-2</v>
      </c>
      <c r="V2593">
        <v>-3.2592129999999997E-2</v>
      </c>
      <c r="W2593">
        <v>8.9874259999999997E-2</v>
      </c>
      <c r="X2593">
        <v>0.99541970000000002</v>
      </c>
      <c r="Y2593">
        <v>1.026286E-2</v>
      </c>
      <c r="Z2593">
        <v>3.1066060000000003E-4</v>
      </c>
      <c r="AA2593">
        <v>0.99994729999999998</v>
      </c>
      <c r="AB2593">
        <v>43</v>
      </c>
      <c r="AC2593">
        <v>-20.630699999999901</v>
      </c>
      <c r="AD2593">
        <v>-1.10271506345</v>
      </c>
      <c r="AE2593">
        <v>0.199200000000018</v>
      </c>
      <c r="AF2593">
        <v>0.214894484767093</v>
      </c>
      <c r="AG2593">
        <v>-1.10271506345</v>
      </c>
      <c r="AH2593">
        <v>20.571769584494</v>
      </c>
      <c r="AI2593">
        <v>93.068140204034407</v>
      </c>
      <c r="AJ2593">
        <v>89.401505099247899</v>
      </c>
      <c r="AK2593">
        <v>20.602423740624701</v>
      </c>
      <c r="AL2593">
        <v>84.843626617869901</v>
      </c>
      <c r="AM2593">
        <v>91.875314115234104</v>
      </c>
      <c r="AN2593">
        <v>1.00000000434828</v>
      </c>
    </row>
    <row r="2594" spans="1:40" x14ac:dyDescent="0.3">
      <c r="A2594" t="str">
        <f>"20200111150005997"</f>
        <v>20200111150005997</v>
      </c>
      <c r="B2594" t="str">
        <f>"1578726005988733"</f>
        <v>1578726005988733</v>
      </c>
      <c r="C2594" t="s">
        <v>40</v>
      </c>
      <c r="D2594">
        <v>4.1275500000000003</v>
      </c>
      <c r="E2594">
        <v>0.51613140000000002</v>
      </c>
      <c r="F2594" t="s">
        <v>62</v>
      </c>
      <c r="G2594">
        <v>-331.79989999999998</v>
      </c>
      <c r="H2594" s="1">
        <v>-5.1420609999999998E-7</v>
      </c>
      <c r="I2594">
        <v>283.13459999999998</v>
      </c>
      <c r="J2594">
        <v>-310.43270000000001</v>
      </c>
      <c r="K2594">
        <v>1.1027279999999999</v>
      </c>
      <c r="L2594">
        <v>282.93799999999999</v>
      </c>
      <c r="M2594">
        <v>-0.99991770000000002</v>
      </c>
      <c r="N2594">
        <v>0</v>
      </c>
      <c r="O2594">
        <v>1.4591340000000001E-4</v>
      </c>
      <c r="P2594">
        <v>-0.99644829999999995</v>
      </c>
      <c r="Q2594">
        <v>7.7429520000000002E-2</v>
      </c>
      <c r="R2594">
        <v>-3.310548E-2</v>
      </c>
      <c r="S2594">
        <v>-3.0234679999999998</v>
      </c>
      <c r="T2594">
        <v>-0.15390619999999999</v>
      </c>
      <c r="U2594">
        <v>2.7496340000000001E-2</v>
      </c>
      <c r="V2594">
        <v>-3.2905909999999997E-2</v>
      </c>
      <c r="W2594">
        <v>9.0338230000000005E-2</v>
      </c>
      <c r="X2594">
        <v>0.99536729999999995</v>
      </c>
      <c r="Y2594">
        <v>8.9366280000000003E-3</v>
      </c>
      <c r="Z2594">
        <v>2.198794E-4</v>
      </c>
      <c r="AA2594">
        <v>0.99996010000000002</v>
      </c>
      <c r="AB2594">
        <v>43</v>
      </c>
      <c r="AC2594">
        <v>-21.367199999999901</v>
      </c>
      <c r="AD2594">
        <v>-1.1027285142061001</v>
      </c>
      <c r="AE2594">
        <v>0.19659999999998901</v>
      </c>
      <c r="AF2594">
        <v>0.19296806627836099</v>
      </c>
      <c r="AG2594">
        <v>-1.1027285142061001</v>
      </c>
      <c r="AH2594">
        <v>21.310474219398099</v>
      </c>
      <c r="AI2594">
        <v>92.962055369559707</v>
      </c>
      <c r="AJ2594">
        <v>89.481196265480506</v>
      </c>
      <c r="AK2594">
        <v>21.339858441570701</v>
      </c>
      <c r="AL2594">
        <v>84.816934120496697</v>
      </c>
      <c r="AM2594">
        <v>91.893455182672596</v>
      </c>
      <c r="AN2594">
        <v>0.99999992831087203</v>
      </c>
    </row>
    <row r="2595" spans="1:40" x14ac:dyDescent="0.3">
      <c r="A2595" t="str">
        <f>"20200111150006012"</f>
        <v>20200111150006012</v>
      </c>
      <c r="B2595" t="str">
        <f>"1578726006008253"</f>
        <v>1578726006008253</v>
      </c>
      <c r="C2595" t="s">
        <v>40</v>
      </c>
      <c r="D2595">
        <v>4.1450209999999998</v>
      </c>
      <c r="E2595">
        <v>0.51613759999999997</v>
      </c>
      <c r="F2595" t="s">
        <v>62</v>
      </c>
      <c r="G2595">
        <v>-332.38229999999999</v>
      </c>
      <c r="H2595" s="1">
        <v>-2.0508089999999999E-7</v>
      </c>
      <c r="I2595">
        <v>283.15289999999999</v>
      </c>
      <c r="J2595">
        <v>-310.69670000000002</v>
      </c>
      <c r="K2595">
        <v>1.1027439999999999</v>
      </c>
      <c r="L2595">
        <v>282.93860000000001</v>
      </c>
      <c r="M2595">
        <v>-0.99991730000000001</v>
      </c>
      <c r="N2595">
        <v>0</v>
      </c>
      <c r="O2595">
        <v>9.6135359999999996E-4</v>
      </c>
      <c r="P2595">
        <v>-0.99641519999999995</v>
      </c>
      <c r="Q2595">
        <v>7.7990320000000002E-2</v>
      </c>
      <c r="R2595">
        <v>-3.2779280000000001E-2</v>
      </c>
      <c r="S2595">
        <v>-3.0234380000000001</v>
      </c>
      <c r="T2595">
        <v>-0.151894899999999</v>
      </c>
      <c r="U2595">
        <v>2.9602050000000001E-2</v>
      </c>
      <c r="V2595">
        <v>-3.3392610000000003E-2</v>
      </c>
      <c r="W2595">
        <v>9.0892890000000004E-2</v>
      </c>
      <c r="X2595">
        <v>0.99530070000000004</v>
      </c>
      <c r="Y2595">
        <v>8.8190890000000004E-3</v>
      </c>
      <c r="Z2595">
        <v>1.73117E-4</v>
      </c>
      <c r="AA2595">
        <v>0.99996110000000005</v>
      </c>
      <c r="AB2595">
        <v>43</v>
      </c>
      <c r="AC2595">
        <v>-21.685599999999901</v>
      </c>
      <c r="AD2595">
        <v>-1.1027442050809</v>
      </c>
      <c r="AE2595">
        <v>0.21429999999998001</v>
      </c>
      <c r="AF2595">
        <v>0.19295175729578401</v>
      </c>
      <c r="AG2595">
        <v>-1.1027442050809</v>
      </c>
      <c r="AH2595">
        <v>21.629869444156999</v>
      </c>
      <c r="AI2595">
        <v>92.918437638618997</v>
      </c>
      <c r="AJ2595">
        <v>89.488899915275695</v>
      </c>
      <c r="AK2595">
        <v>21.658821005164601</v>
      </c>
      <c r="AL2595">
        <v>84.785023708133295</v>
      </c>
      <c r="AM2595">
        <v>91.921568263327302</v>
      </c>
      <c r="AN2595">
        <v>1.0000000336378201</v>
      </c>
    </row>
    <row r="2596" spans="1:40" x14ac:dyDescent="0.3">
      <c r="A2596" t="str">
        <f>"20200111150006027"</f>
        <v>20200111150006027</v>
      </c>
      <c r="B2596" t="str">
        <f>"1578726006018989"</f>
        <v>1578726006018989</v>
      </c>
      <c r="C2596" t="s">
        <v>40</v>
      </c>
      <c r="D2596">
        <v>4.147939</v>
      </c>
      <c r="E2596">
        <v>0.51611390000000001</v>
      </c>
      <c r="F2596" t="s">
        <v>62</v>
      </c>
      <c r="G2596">
        <v>-333.08199999999999</v>
      </c>
      <c r="H2596" s="1">
        <v>1.6669250000000001E-7</v>
      </c>
      <c r="I2596">
        <v>283.16590000000002</v>
      </c>
      <c r="J2596">
        <v>-310.99579999999997</v>
      </c>
      <c r="K2596">
        <v>1.102765</v>
      </c>
      <c r="L2596">
        <v>282.93959999999998</v>
      </c>
      <c r="M2596">
        <v>-0.99991609999999997</v>
      </c>
      <c r="N2596">
        <v>0</v>
      </c>
      <c r="O2596">
        <v>1.864482E-3</v>
      </c>
      <c r="P2596">
        <v>-0.99635320000000005</v>
      </c>
      <c r="Q2596">
        <v>7.9019619999999999E-2</v>
      </c>
      <c r="R2596">
        <v>-3.2194689999999998E-2</v>
      </c>
      <c r="S2596">
        <v>-3.0234679999999998</v>
      </c>
      <c r="T2596">
        <v>-0.148942299999999</v>
      </c>
      <c r="U2596">
        <v>3.0700680000000001E-2</v>
      </c>
      <c r="V2596">
        <v>-3.370741E-2</v>
      </c>
      <c r="W2596">
        <v>9.1914259999999998E-2</v>
      </c>
      <c r="X2596">
        <v>0.99519619999999998</v>
      </c>
      <c r="Y2596">
        <v>8.2812679999999996E-3</v>
      </c>
      <c r="Z2596">
        <v>1.120498E-4</v>
      </c>
      <c r="AA2596">
        <v>0.99996569999999996</v>
      </c>
      <c r="AB2596">
        <v>43</v>
      </c>
      <c r="AC2596">
        <v>-22.086200000000002</v>
      </c>
      <c r="AD2596">
        <v>-1.1027648333075</v>
      </c>
      <c r="AE2596">
        <v>0.226300000000037</v>
      </c>
      <c r="AF2596">
        <v>0.18465659839864301</v>
      </c>
      <c r="AG2596">
        <v>-1.1027648333075</v>
      </c>
      <c r="AH2596">
        <v>22.031664204047601</v>
      </c>
      <c r="AI2596">
        <v>92.865370022275599</v>
      </c>
      <c r="AJ2596">
        <v>89.519791336822493</v>
      </c>
      <c r="AK2596">
        <v>22.060018493573899</v>
      </c>
      <c r="AL2596">
        <v>84.726257068072997</v>
      </c>
      <c r="AM2596">
        <v>91.939873085213506</v>
      </c>
      <c r="AN2596">
        <v>0.99999994858734598</v>
      </c>
    </row>
    <row r="2597" spans="1:40" x14ac:dyDescent="0.3">
      <c r="A2597" t="str">
        <f>"20200111150006042"</f>
        <v>20200111150006042</v>
      </c>
      <c r="B2597" t="str">
        <f>"1578726006038511"</f>
        <v>1578726006038511</v>
      </c>
      <c r="C2597" t="s">
        <v>40</v>
      </c>
      <c r="D2597">
        <v>4.1778069999999996</v>
      </c>
      <c r="E2597">
        <v>0.51607950000000002</v>
      </c>
      <c r="F2597" t="s">
        <v>62</v>
      </c>
      <c r="G2597">
        <v>-333.91230000000002</v>
      </c>
      <c r="H2597" s="1">
        <v>6.0772099999999997E-7</v>
      </c>
      <c r="I2597">
        <v>283.18450000000001</v>
      </c>
      <c r="J2597">
        <v>-311.2783</v>
      </c>
      <c r="K2597">
        <v>1.102786</v>
      </c>
      <c r="L2597">
        <v>282.94060000000002</v>
      </c>
      <c r="M2597">
        <v>-0.99991439999999998</v>
      </c>
      <c r="N2597">
        <v>0</v>
      </c>
      <c r="O2597">
        <v>2.6960019999999999E-3</v>
      </c>
      <c r="P2597">
        <v>-0.9963495</v>
      </c>
      <c r="Q2597">
        <v>7.9429659999999999E-2</v>
      </c>
      <c r="R2597">
        <v>-3.12879E-2</v>
      </c>
      <c r="S2597">
        <v>-3.0235599999999998</v>
      </c>
      <c r="T2597">
        <v>-0.14549670000000001</v>
      </c>
      <c r="U2597">
        <v>3.2318119999999999E-2</v>
      </c>
      <c r="V2597">
        <v>-3.3632130000000003E-2</v>
      </c>
      <c r="W2597">
        <v>9.231644E-2</v>
      </c>
      <c r="X2597">
        <v>0.99516159999999998</v>
      </c>
      <c r="Y2597">
        <v>7.9859270000000003E-3</v>
      </c>
      <c r="Z2597" s="1">
        <v>6.2363179999999998E-5</v>
      </c>
      <c r="AA2597">
        <v>0.99996810000000003</v>
      </c>
      <c r="AB2597">
        <v>43</v>
      </c>
      <c r="AC2597">
        <v>-22.634</v>
      </c>
      <c r="AD2597">
        <v>-1.1027853922790001</v>
      </c>
      <c r="AE2597">
        <v>0.24389999999999601</v>
      </c>
      <c r="AF2597">
        <v>0.18243976170873599</v>
      </c>
      <c r="AG2597">
        <v>-1.1027853922790001</v>
      </c>
      <c r="AH2597">
        <v>22.58097695543</v>
      </c>
      <c r="AI2597">
        <v>92.795836972469203</v>
      </c>
      <c r="AJ2597">
        <v>89.537097046471402</v>
      </c>
      <c r="AK2597">
        <v>22.608625348519901</v>
      </c>
      <c r="AL2597">
        <v>84.703115880117196</v>
      </c>
      <c r="AM2597">
        <v>91.935611238459799</v>
      </c>
      <c r="AN2597">
        <v>1.0000000276885801</v>
      </c>
    </row>
    <row r="2598" spans="1:40" x14ac:dyDescent="0.3">
      <c r="A2598" t="str">
        <f>"20200111150006056"</f>
        <v>20200111150006056</v>
      </c>
      <c r="B2598" t="str">
        <f>"1578726006048270"</f>
        <v>1578726006048270</v>
      </c>
      <c r="C2598" t="s">
        <v>40</v>
      </c>
      <c r="D2598">
        <v>4.1915060000000004</v>
      </c>
      <c r="E2598">
        <v>0.51602950000000003</v>
      </c>
      <c r="F2598" t="s">
        <v>62</v>
      </c>
      <c r="G2598">
        <v>-334.43419999999998</v>
      </c>
      <c r="H2598" s="1">
        <v>8.8449629999999998E-7</v>
      </c>
      <c r="I2598">
        <v>283.20639999999997</v>
      </c>
      <c r="J2598">
        <v>-311.54969999999997</v>
      </c>
      <c r="K2598">
        <v>1.1028020000000001</v>
      </c>
      <c r="L2598">
        <v>282.94200000000001</v>
      </c>
      <c r="M2598">
        <v>-0.99991200000000002</v>
      </c>
      <c r="N2598">
        <v>0</v>
      </c>
      <c r="O2598">
        <v>3.4692030000000001E-3</v>
      </c>
      <c r="P2598">
        <v>-0.99633689999999997</v>
      </c>
      <c r="Q2598">
        <v>7.9959150000000007E-2</v>
      </c>
      <c r="R2598">
        <v>-3.0328569999999999E-2</v>
      </c>
      <c r="S2598">
        <v>-3.02359</v>
      </c>
      <c r="T2598">
        <v>-0.1439964</v>
      </c>
      <c r="U2598">
        <v>3.4698489999999999E-2</v>
      </c>
      <c r="V2598">
        <v>-3.3445429999999998E-2</v>
      </c>
      <c r="W2598">
        <v>9.2837749999999997E-2</v>
      </c>
      <c r="X2598">
        <v>0.99511939999999999</v>
      </c>
      <c r="Y2598">
        <v>8.0007050000000003E-3</v>
      </c>
      <c r="Z2598" s="1">
        <v>2.5267970000000001E-5</v>
      </c>
      <c r="AA2598">
        <v>0.99996799999999997</v>
      </c>
      <c r="AB2598">
        <v>43</v>
      </c>
      <c r="AC2598">
        <v>-22.884499999999999</v>
      </c>
      <c r="AD2598">
        <v>-1.1028011155036901</v>
      </c>
      <c r="AE2598">
        <v>0.264399999999966</v>
      </c>
      <c r="AF2598">
        <v>0.18457235498063199</v>
      </c>
      <c r="AG2598">
        <v>-1.1028011155036901</v>
      </c>
      <c r="AH2598">
        <v>22.8322641360167</v>
      </c>
      <c r="AI2598">
        <v>92.7651538518558</v>
      </c>
      <c r="AJ2598">
        <v>89.536840212465407</v>
      </c>
      <c r="AK2598">
        <v>22.859626480575098</v>
      </c>
      <c r="AL2598">
        <v>84.673118218655901</v>
      </c>
      <c r="AM2598">
        <v>91.924955869706295</v>
      </c>
      <c r="AN2598">
        <v>1.0000000324346501</v>
      </c>
    </row>
    <row r="2599" spans="1:40" x14ac:dyDescent="0.3">
      <c r="A2599" t="str">
        <f>"20200111150006071"</f>
        <v>20200111150006071</v>
      </c>
      <c r="B2599" t="str">
        <f>"1578726006068765"</f>
        <v>1578726006068765</v>
      </c>
      <c r="C2599" t="s">
        <v>40</v>
      </c>
      <c r="D2599">
        <v>4.22133</v>
      </c>
      <c r="E2599">
        <v>0.51586690000000002</v>
      </c>
      <c r="F2599" t="s">
        <v>62</v>
      </c>
      <c r="G2599">
        <v>-334.98869999999999</v>
      </c>
      <c r="H2599" s="1">
        <v>1.178638E-6</v>
      </c>
      <c r="I2599">
        <v>283.22820000000002</v>
      </c>
      <c r="J2599">
        <v>-311.8329</v>
      </c>
      <c r="K2599">
        <v>1.1028279999999999</v>
      </c>
      <c r="L2599">
        <v>282.9436</v>
      </c>
      <c r="M2599">
        <v>-0.99990889999999999</v>
      </c>
      <c r="N2599">
        <v>0</v>
      </c>
      <c r="O2599">
        <v>4.2575779999999997E-3</v>
      </c>
      <c r="P2599">
        <v>-0.99636100000000005</v>
      </c>
      <c r="Q2599">
        <v>8.0309430000000001E-2</v>
      </c>
      <c r="R2599">
        <v>-2.8556270000000002E-2</v>
      </c>
      <c r="S2599">
        <v>-3.0235599999999998</v>
      </c>
      <c r="T2599">
        <v>-0.14225769999999999</v>
      </c>
      <c r="U2599">
        <v>3.6926269999999997E-2</v>
      </c>
      <c r="V2599">
        <v>-3.2462619999999998E-2</v>
      </c>
      <c r="W2599">
        <v>9.3177679999999999E-2</v>
      </c>
      <c r="X2599">
        <v>0.99512020000000001</v>
      </c>
      <c r="Y2599">
        <v>7.9501320000000004E-3</v>
      </c>
      <c r="Z2599" s="1">
        <v>-1.3298950000000001E-5</v>
      </c>
      <c r="AA2599">
        <v>0.99996839999999998</v>
      </c>
      <c r="AB2599">
        <v>43</v>
      </c>
      <c r="AC2599">
        <v>-23.155799999999999</v>
      </c>
      <c r="AD2599">
        <v>-1.1028268213620001</v>
      </c>
      <c r="AE2599">
        <v>0.28460000000001101</v>
      </c>
      <c r="AF2599">
        <v>0.185580822937505</v>
      </c>
      <c r="AG2599">
        <v>-1.1028268213620001</v>
      </c>
      <c r="AH2599">
        <v>23.104402752721299</v>
      </c>
      <c r="AI2599">
        <v>92.732698474300904</v>
      </c>
      <c r="AJ2599">
        <v>89.539794671842799</v>
      </c>
      <c r="AK2599">
        <v>23.1314524792481</v>
      </c>
      <c r="AL2599">
        <v>84.653557006271697</v>
      </c>
      <c r="AM2599">
        <v>91.868429317465797</v>
      </c>
      <c r="AN2599">
        <v>1.0000000570977401</v>
      </c>
    </row>
    <row r="2600" spans="1:40" x14ac:dyDescent="0.3">
      <c r="A2600" t="str">
        <f>"20200111150006085"</f>
        <v>20200111150006085</v>
      </c>
      <c r="B2600" t="str">
        <f>"1578726006078525"</f>
        <v>1578726006078525</v>
      </c>
      <c r="C2600" t="s">
        <v>40</v>
      </c>
      <c r="D2600">
        <v>4.3099860000000003</v>
      </c>
      <c r="E2600">
        <v>0.51584739999999996</v>
      </c>
      <c r="F2600" t="s">
        <v>62</v>
      </c>
      <c r="G2600">
        <v>-335.50020000000001</v>
      </c>
      <c r="H2600" s="1">
        <v>1.4493560000000001E-6</v>
      </c>
      <c r="I2600">
        <v>283.26220000000001</v>
      </c>
      <c r="J2600">
        <v>-312.09890000000001</v>
      </c>
      <c r="K2600">
        <v>1.102851</v>
      </c>
      <c r="L2600">
        <v>282.9452</v>
      </c>
      <c r="M2600">
        <v>-0.99990559999999995</v>
      </c>
      <c r="N2600">
        <v>0</v>
      </c>
      <c r="O2600">
        <v>4.9839680000000001E-3</v>
      </c>
      <c r="P2600">
        <v>-0.99638070000000001</v>
      </c>
      <c r="Q2600">
        <v>8.0482339999999999E-2</v>
      </c>
      <c r="R2600">
        <v>-2.7352959999999999E-2</v>
      </c>
      <c r="S2600">
        <v>-3.0234679999999998</v>
      </c>
      <c r="T2600">
        <v>-0.14088419999999999</v>
      </c>
      <c r="U2600">
        <v>4.0710450000000002E-2</v>
      </c>
      <c r="V2600">
        <v>-3.1987599999999998E-2</v>
      </c>
      <c r="W2600">
        <v>9.3342910000000001E-2</v>
      </c>
      <c r="X2600">
        <v>0.99512</v>
      </c>
      <c r="Y2600">
        <v>8.4757219999999998E-3</v>
      </c>
      <c r="Z2600" s="1">
        <v>-3.4762209999999998E-5</v>
      </c>
      <c r="AA2600">
        <v>0.99996410000000002</v>
      </c>
      <c r="AB2600">
        <v>43</v>
      </c>
      <c r="AC2600">
        <v>-23.4012999999999</v>
      </c>
      <c r="AD2600">
        <v>-1.1028495506439999</v>
      </c>
      <c r="AE2600">
        <v>0.317000000000007</v>
      </c>
      <c r="AF2600">
        <v>0.19991124422870299</v>
      </c>
      <c r="AG2600">
        <v>-1.1028495506439999</v>
      </c>
      <c r="AH2600">
        <v>23.3507364046677</v>
      </c>
      <c r="AI2600">
        <v>92.703957257009904</v>
      </c>
      <c r="AJ2600">
        <v>89.509489099445105</v>
      </c>
      <c r="AK2600">
        <v>23.3776203296486</v>
      </c>
      <c r="AL2600">
        <v>84.644048063085407</v>
      </c>
      <c r="AM2600">
        <v>91.841108234646498</v>
      </c>
      <c r="AN2600">
        <v>0.99999995990051305</v>
      </c>
    </row>
    <row r="2601" spans="1:40" x14ac:dyDescent="0.3">
      <c r="A2601" t="str">
        <f>"20200111150006097"</f>
        <v>20200111150006097</v>
      </c>
      <c r="B2601" t="str">
        <f>"1578726006088285"</f>
        <v>1578726006088285</v>
      </c>
      <c r="C2601" t="s">
        <v>40</v>
      </c>
      <c r="D2601">
        <v>4.3140419999999997</v>
      </c>
      <c r="E2601">
        <v>0.51582320000000004</v>
      </c>
      <c r="F2601" t="s">
        <v>62</v>
      </c>
      <c r="G2601">
        <v>-335.8202</v>
      </c>
      <c r="H2601" s="1">
        <v>1.618261E-6</v>
      </c>
      <c r="I2601">
        <v>283.29309999999998</v>
      </c>
      <c r="J2601">
        <v>-312.33909999999997</v>
      </c>
      <c r="K2601">
        <v>1.1028739999999999</v>
      </c>
      <c r="L2601">
        <v>282.94690000000003</v>
      </c>
      <c r="M2601">
        <v>-0.99990230000000002</v>
      </c>
      <c r="N2601">
        <v>0</v>
      </c>
      <c r="O2601">
        <v>5.6253179999999998E-3</v>
      </c>
      <c r="P2601">
        <v>-0.99639639999999996</v>
      </c>
      <c r="Q2601">
        <v>8.0630439999999998E-2</v>
      </c>
      <c r="R2601">
        <v>-2.6321020000000001E-2</v>
      </c>
      <c r="S2601">
        <v>-3.0234679999999998</v>
      </c>
      <c r="T2601">
        <v>-0.1405671</v>
      </c>
      <c r="U2601">
        <v>4.4342039999999999E-2</v>
      </c>
      <c r="V2601">
        <v>-3.159903E-2</v>
      </c>
      <c r="W2601">
        <v>9.3484849999999994E-2</v>
      </c>
      <c r="X2601">
        <v>0.99511919999999998</v>
      </c>
      <c r="Y2601">
        <v>9.0352910000000008E-3</v>
      </c>
      <c r="Z2601" s="1">
        <v>-5.1485079999999998E-5</v>
      </c>
      <c r="AA2601">
        <v>0.99995919999999905</v>
      </c>
      <c r="AB2601">
        <v>43</v>
      </c>
      <c r="AC2601">
        <v>-23.481100000000001</v>
      </c>
      <c r="AD2601">
        <v>-1.10287238173899</v>
      </c>
      <c r="AE2601">
        <v>0.34619999999995299</v>
      </c>
      <c r="AF2601">
        <v>0.21362389040622901</v>
      </c>
      <c r="AG2601">
        <v>-1.10287238173899</v>
      </c>
      <c r="AH2601">
        <v>23.4309975450705</v>
      </c>
      <c r="AI2601">
        <v>92.694751210707906</v>
      </c>
      <c r="AJ2601">
        <v>89.477640327330704</v>
      </c>
      <c r="AK2601">
        <v>23.457911429069199</v>
      </c>
      <c r="AL2601">
        <v>84.635880370052902</v>
      </c>
      <c r="AM2601">
        <v>91.818759910373601</v>
      </c>
      <c r="AN2601">
        <v>1.0000000690425399</v>
      </c>
    </row>
    <row r="2602" spans="1:40" x14ac:dyDescent="0.3">
      <c r="A2602" t="str">
        <f>"20200111150006109"</f>
        <v>20200111150006109</v>
      </c>
      <c r="B2602" t="str">
        <f>"1578726006099021"</f>
        <v>1578726006099021</v>
      </c>
      <c r="C2602" t="s">
        <v>40</v>
      </c>
      <c r="D2602">
        <v>4.2250350000000001</v>
      </c>
      <c r="E2602">
        <v>0.51573150000000001</v>
      </c>
      <c r="F2602" t="s">
        <v>62</v>
      </c>
      <c r="G2602">
        <v>-336.13510000000002</v>
      </c>
      <c r="H2602" s="1">
        <v>1.7847940000000001E-6</v>
      </c>
      <c r="I2602">
        <v>283.31700000000001</v>
      </c>
      <c r="J2602">
        <v>-312.57440000000003</v>
      </c>
      <c r="K2602">
        <v>1.102894</v>
      </c>
      <c r="L2602">
        <v>282.94869999999997</v>
      </c>
      <c r="M2602">
        <v>-0.99989879999999998</v>
      </c>
      <c r="N2602">
        <v>0</v>
      </c>
      <c r="O2602">
        <v>6.2404469999999997E-3</v>
      </c>
      <c r="P2602">
        <v>-0.9964269</v>
      </c>
      <c r="Q2602">
        <v>8.0622349999999995E-2</v>
      </c>
      <c r="R2602">
        <v>-2.517053E-2</v>
      </c>
      <c r="S2602">
        <v>-3.0234070000000002</v>
      </c>
      <c r="T2602">
        <v>-0.14012559999999999</v>
      </c>
      <c r="U2602">
        <v>4.7027590000000001E-2</v>
      </c>
      <c r="V2602">
        <v>-3.1065720000000002E-2</v>
      </c>
      <c r="W2602">
        <v>9.3470139999999993E-2</v>
      </c>
      <c r="X2602">
        <v>0.9951373</v>
      </c>
      <c r="Y2602">
        <v>9.3088230000000008E-3</v>
      </c>
      <c r="Z2602" s="1">
        <v>-7.3482719999999995E-5</v>
      </c>
      <c r="AA2602">
        <v>0.99995670000000003</v>
      </c>
      <c r="AB2602">
        <v>43</v>
      </c>
      <c r="AC2602">
        <v>-23.560700000000001</v>
      </c>
      <c r="AD2602">
        <v>-1.1028922152059999</v>
      </c>
      <c r="AE2602">
        <v>0.36830000000003299</v>
      </c>
      <c r="AF2602">
        <v>0.22076787353721899</v>
      </c>
      <c r="AG2602">
        <v>-1.1028922152059999</v>
      </c>
      <c r="AH2602">
        <v>23.511033990231901</v>
      </c>
      <c r="AI2602">
        <v>92.685632626857398</v>
      </c>
      <c r="AJ2602">
        <v>89.462010234504604</v>
      </c>
      <c r="AK2602">
        <v>23.537923208774899</v>
      </c>
      <c r="AL2602">
        <v>84.636726504309394</v>
      </c>
      <c r="AM2602">
        <v>91.788051537532596</v>
      </c>
      <c r="AN2602">
        <v>0.99999999594101296</v>
      </c>
    </row>
    <row r="2603" spans="1:40" x14ac:dyDescent="0.3">
      <c r="A2603" t="str">
        <f>"20200111150006124"</f>
        <v>20200111150006124</v>
      </c>
      <c r="B2603" t="str">
        <f>"1578726006118541"</f>
        <v>1578726006118541</v>
      </c>
      <c r="C2603" t="s">
        <v>40</v>
      </c>
      <c r="D2603">
        <v>4.1374120000000003</v>
      </c>
      <c r="E2603">
        <v>0.51573899999999995</v>
      </c>
      <c r="F2603" t="s">
        <v>62</v>
      </c>
      <c r="G2603">
        <v>-336.35629999999998</v>
      </c>
      <c r="H2603" s="1">
        <v>1.9014769999999999E-6</v>
      </c>
      <c r="I2603">
        <v>283.34089999999998</v>
      </c>
      <c r="J2603">
        <v>-312.85199999999998</v>
      </c>
      <c r="K2603">
        <v>1.1029139999999999</v>
      </c>
      <c r="L2603">
        <v>282.95089999999999</v>
      </c>
      <c r="M2603">
        <v>-0.99989410000000001</v>
      </c>
      <c r="N2603">
        <v>0</v>
      </c>
      <c r="O2603">
        <v>6.9561469999999898E-3</v>
      </c>
      <c r="P2603">
        <v>-0.99645799999999995</v>
      </c>
      <c r="Q2603">
        <v>8.0638210000000002E-2</v>
      </c>
      <c r="R2603">
        <v>-2.3864059999999999E-2</v>
      </c>
      <c r="S2603">
        <v>-3.0233759999999998</v>
      </c>
      <c r="T2603">
        <v>-0.14020959999999999</v>
      </c>
      <c r="U2603">
        <v>4.9865720000000002E-2</v>
      </c>
      <c r="V2603">
        <v>-3.0477279999999999E-2</v>
      </c>
      <c r="W2603">
        <v>9.3479149999999997E-2</v>
      </c>
      <c r="X2603">
        <v>0.99515469999999895</v>
      </c>
      <c r="Y2603">
        <v>9.5322110000000005E-3</v>
      </c>
      <c r="Z2603">
        <v>-1.015219E-4</v>
      </c>
      <c r="AA2603">
        <v>0.99995460000000003</v>
      </c>
      <c r="AB2603">
        <v>43</v>
      </c>
      <c r="AC2603">
        <v>-23.504299999999901</v>
      </c>
      <c r="AD2603">
        <v>-1.1029120985230001</v>
      </c>
      <c r="AE2603">
        <v>0.38999999999998602</v>
      </c>
      <c r="AF2603">
        <v>0.22598039981875601</v>
      </c>
      <c r="AG2603">
        <v>-1.1029120985230001</v>
      </c>
      <c r="AH2603">
        <v>23.454814655240099</v>
      </c>
      <c r="AI2603">
        <v>92.692102621567201</v>
      </c>
      <c r="AJ2603">
        <v>89.447988707684004</v>
      </c>
      <c r="AK2603">
        <v>23.4818187700577</v>
      </c>
      <c r="AL2603">
        <v>84.6362082711601</v>
      </c>
      <c r="AM2603">
        <v>91.754173373436601</v>
      </c>
      <c r="AN2603">
        <v>1.0000000465065</v>
      </c>
    </row>
    <row r="2604" spans="1:40" x14ac:dyDescent="0.3">
      <c r="A2604" t="str">
        <f>"20200111150006137"</f>
        <v>20200111150006137</v>
      </c>
      <c r="B2604" t="str">
        <f>"1578726006128301"</f>
        <v>1578726006128301</v>
      </c>
      <c r="C2604" t="s">
        <v>40</v>
      </c>
      <c r="D2604">
        <v>4.2315659999999999</v>
      </c>
      <c r="E2604">
        <v>0.53998639999999998</v>
      </c>
      <c r="F2604" t="s">
        <v>62</v>
      </c>
      <c r="G2604">
        <v>-336.67239999999998</v>
      </c>
      <c r="H2604" s="1">
        <v>2.0682689999999999E-6</v>
      </c>
      <c r="I2604">
        <v>283.3732</v>
      </c>
      <c r="J2604">
        <v>-313.11090000000002</v>
      </c>
      <c r="K2604">
        <v>1.1029310000000001</v>
      </c>
      <c r="L2604">
        <v>282.95319999999998</v>
      </c>
      <c r="M2604">
        <v>-0.99988920000000003</v>
      </c>
      <c r="N2604">
        <v>0</v>
      </c>
      <c r="O2604">
        <v>7.6111310000000001E-3</v>
      </c>
      <c r="P2604">
        <v>-0.99653619999999998</v>
      </c>
      <c r="Q2604">
        <v>8.0120549999999999E-2</v>
      </c>
      <c r="R2604">
        <v>-2.2283359999999999E-2</v>
      </c>
      <c r="S2604">
        <v>-3.023285</v>
      </c>
      <c r="T2604">
        <v>-0.13998150000000001</v>
      </c>
      <c r="U2604">
        <v>5.3588869999999997E-2</v>
      </c>
      <c r="V2604">
        <v>-2.955673E-2</v>
      </c>
      <c r="W2604">
        <v>9.2955019999999999E-2</v>
      </c>
      <c r="X2604">
        <v>0.99523150000000005</v>
      </c>
      <c r="Y2604">
        <v>1.0108850000000001E-2</v>
      </c>
      <c r="Z2604">
        <v>-1.183261E-4</v>
      </c>
      <c r="AA2604">
        <v>0.99994890000000003</v>
      </c>
      <c r="AB2604">
        <v>43</v>
      </c>
      <c r="AC2604">
        <v>-23.561499999999899</v>
      </c>
      <c r="AD2604">
        <v>-1.10292893173099</v>
      </c>
      <c r="AE2604">
        <v>0.42000000000001497</v>
      </c>
      <c r="AF2604">
        <v>0.240117506385923</v>
      </c>
      <c r="AG2604">
        <v>-1.10292893173099</v>
      </c>
      <c r="AH2604">
        <v>23.512509269615698</v>
      </c>
      <c r="AI2604">
        <v>92.685532024325099</v>
      </c>
      <c r="AJ2604">
        <v>89.414896925574197</v>
      </c>
      <c r="AK2604">
        <v>23.539587948795699</v>
      </c>
      <c r="AL2604">
        <v>84.666369720504903</v>
      </c>
      <c r="AM2604">
        <v>91.701089918517397</v>
      </c>
      <c r="AN2604">
        <v>0.99999998731187101</v>
      </c>
    </row>
    <row r="2605" spans="1:40" x14ac:dyDescent="0.3">
      <c r="A2605" t="str">
        <f>"20200111150006154"</f>
        <v>20200111150006154</v>
      </c>
      <c r="B2605" t="str">
        <f>"1578726006148797"</f>
        <v>1578726006148797</v>
      </c>
      <c r="C2605" t="s">
        <v>40</v>
      </c>
      <c r="D2605">
        <v>4.3152949999999999</v>
      </c>
      <c r="E2605">
        <v>0.54455259999999905</v>
      </c>
      <c r="F2605" t="s">
        <v>62</v>
      </c>
      <c r="G2605">
        <v>-343.35230000000001</v>
      </c>
      <c r="H2605" s="1">
        <v>2.4712520000000002E-7</v>
      </c>
      <c r="I2605">
        <v>285.46940000000001</v>
      </c>
      <c r="J2605">
        <v>-313.3972</v>
      </c>
      <c r="K2605">
        <v>1.102951</v>
      </c>
      <c r="L2605">
        <v>282.95600000000002</v>
      </c>
      <c r="M2605">
        <v>-0.99988370000000004</v>
      </c>
      <c r="N2605">
        <v>0</v>
      </c>
      <c r="O2605">
        <v>8.3208080000000007E-3</v>
      </c>
      <c r="P2605">
        <v>-0.9965927</v>
      </c>
      <c r="Q2605">
        <v>7.9711599999999994E-2</v>
      </c>
      <c r="R2605">
        <v>-2.1199280000000001E-2</v>
      </c>
      <c r="S2605">
        <v>-3.024902</v>
      </c>
      <c r="T2605">
        <v>-0.1103209</v>
      </c>
      <c r="U2605">
        <v>0.25167850000000003</v>
      </c>
      <c r="V2605">
        <v>-2.9186750000000001E-2</v>
      </c>
      <c r="W2605">
        <v>9.2540549999999999E-2</v>
      </c>
      <c r="X2605">
        <v>0.99528099999999997</v>
      </c>
      <c r="Y2605">
        <v>7.4576249999999997E-2</v>
      </c>
      <c r="Z2605">
        <v>1.054298E-3</v>
      </c>
      <c r="AA2605">
        <v>0.99721470000000001</v>
      </c>
      <c r="AB2605">
        <v>43</v>
      </c>
      <c r="AC2605">
        <v>-29.955100000000002</v>
      </c>
      <c r="AD2605">
        <v>-1.1029507528747999</v>
      </c>
      <c r="AE2605">
        <v>2.5134000000000398</v>
      </c>
      <c r="AF2605">
        <v>2.2609981236791201</v>
      </c>
      <c r="AG2605">
        <v>-1.1029507528747999</v>
      </c>
      <c r="AH2605">
        <v>29.9346786627885</v>
      </c>
      <c r="AI2605">
        <v>92.104134811880002</v>
      </c>
      <c r="AJ2605">
        <v>85.6805903569322</v>
      </c>
      <c r="AK2605">
        <v>30.0401997250843</v>
      </c>
      <c r="AL2605">
        <v>84.690219677042293</v>
      </c>
      <c r="AM2605">
        <v>91.6797250966939</v>
      </c>
      <c r="AN2605">
        <v>0.99999994436543005</v>
      </c>
    </row>
    <row r="2606" spans="1:40" x14ac:dyDescent="0.3">
      <c r="A2606" t="str">
        <f>"20200111150006166"</f>
        <v>20200111150006166</v>
      </c>
      <c r="B2606" t="str">
        <f>"1578726006158558"</f>
        <v>1578726006158558</v>
      </c>
      <c r="C2606" t="s">
        <v>40</v>
      </c>
      <c r="D2606">
        <v>4.2226860000000004</v>
      </c>
      <c r="E2606">
        <v>0.54529439999999996</v>
      </c>
      <c r="F2606" t="s">
        <v>62</v>
      </c>
      <c r="G2606">
        <v>-335.0908</v>
      </c>
      <c r="H2606" s="1">
        <v>1.153735E-6</v>
      </c>
      <c r="I2606">
        <v>285.04039999999998</v>
      </c>
      <c r="J2606">
        <v>-313.66469999999998</v>
      </c>
      <c r="K2606">
        <v>1.1029679999999999</v>
      </c>
      <c r="L2606">
        <v>282.95870000000002</v>
      </c>
      <c r="M2606">
        <v>-0.99987820000000005</v>
      </c>
      <c r="N2606">
        <v>0</v>
      </c>
      <c r="O2606">
        <v>8.9745390000000001E-3</v>
      </c>
      <c r="P2606">
        <v>-0.99664909999999995</v>
      </c>
      <c r="Q2606">
        <v>7.9198640000000001E-2</v>
      </c>
      <c r="R2606">
        <v>-2.045951E-2</v>
      </c>
      <c r="S2606">
        <v>-3.028778</v>
      </c>
      <c r="T2606">
        <v>-0.15398970000000001</v>
      </c>
      <c r="U2606">
        <v>0.29101559999999999</v>
      </c>
      <c r="V2606">
        <v>-2.9105559999999999E-2</v>
      </c>
      <c r="W2606">
        <v>9.2023480000000005E-2</v>
      </c>
      <c r="X2606">
        <v>0.99533130000000003</v>
      </c>
      <c r="Y2606">
        <v>8.6605730000000006E-2</v>
      </c>
      <c r="Z2606">
        <v>1.7402170000000001E-3</v>
      </c>
      <c r="AA2606">
        <v>0.99624120000000005</v>
      </c>
      <c r="AB2606">
        <v>43</v>
      </c>
      <c r="AC2606">
        <v>-21.426100000000002</v>
      </c>
      <c r="AD2606">
        <v>-1.102966846265</v>
      </c>
      <c r="AE2606">
        <v>2.0816999999999499</v>
      </c>
      <c r="AF2606">
        <v>1.88436431724696</v>
      </c>
      <c r="AG2606">
        <v>-1.102966846265</v>
      </c>
      <c r="AH2606">
        <v>21.3877741461603</v>
      </c>
      <c r="AI2606">
        <v>92.940754846499004</v>
      </c>
      <c r="AJ2606">
        <v>84.964971330471798</v>
      </c>
      <c r="AK2606">
        <v>21.498935966024799</v>
      </c>
      <c r="AL2606">
        <v>84.719972466768496</v>
      </c>
      <c r="AM2606">
        <v>91.674970598735598</v>
      </c>
      <c r="AN2606">
        <v>0.99999992562695394</v>
      </c>
    </row>
    <row r="2607" spans="1:40" x14ac:dyDescent="0.3">
      <c r="A2607" t="str">
        <f>"20200111150006182"</f>
        <v>20200111150006182</v>
      </c>
      <c r="B2607" t="str">
        <f>"1578726006179053"</f>
        <v>1578726006179053</v>
      </c>
      <c r="C2607" t="s">
        <v>40</v>
      </c>
      <c r="D2607">
        <v>4.1730019999999897</v>
      </c>
      <c r="E2607">
        <v>0.54509410000000003</v>
      </c>
      <c r="F2607" t="s">
        <v>41</v>
      </c>
      <c r="G2607">
        <v>-314.65839999999997</v>
      </c>
      <c r="H2607">
        <v>1.0484169999999999</v>
      </c>
      <c r="I2607">
        <v>283.05700000000002</v>
      </c>
      <c r="J2607">
        <v>-313.97480000000002</v>
      </c>
      <c r="K2607">
        <v>1.1029850000000001</v>
      </c>
      <c r="L2607">
        <v>282.96210000000002</v>
      </c>
      <c r="M2607">
        <v>-0.99987119999999996</v>
      </c>
      <c r="N2607">
        <v>0</v>
      </c>
      <c r="O2607">
        <v>9.7199049999999992E-3</v>
      </c>
      <c r="P2607">
        <v>-0.99673540000000005</v>
      </c>
      <c r="Q2607">
        <v>7.8336310000000006E-2</v>
      </c>
      <c r="R2607">
        <v>-1.9555570000000001E-2</v>
      </c>
      <c r="S2607">
        <v>-3.02948</v>
      </c>
      <c r="T2607">
        <v>-0.16640769999999999</v>
      </c>
      <c r="U2607">
        <v>0.29919430000000002</v>
      </c>
      <c r="V2607">
        <v>-2.895269E-2</v>
      </c>
      <c r="W2607">
        <v>9.1157379999999996E-2</v>
      </c>
      <c r="X2607">
        <v>0.99541550000000001</v>
      </c>
      <c r="Y2607">
        <v>8.8486960000000003E-2</v>
      </c>
      <c r="Z2607">
        <v>1.890372E-3</v>
      </c>
      <c r="AA2607">
        <v>0.99607559999999995</v>
      </c>
      <c r="AB2607">
        <v>43</v>
      </c>
      <c r="AC2607">
        <v>-0.68359999999995502</v>
      </c>
      <c r="AD2607">
        <v>-5.4568000000000103E-2</v>
      </c>
      <c r="AE2607">
        <v>9.4899999999995502E-2</v>
      </c>
      <c r="AF2607">
        <v>8.7702180084939393E-2</v>
      </c>
      <c r="AG2607">
        <v>-5.4568000000000103E-2</v>
      </c>
      <c r="AH2607">
        <v>0.68023771347440998</v>
      </c>
      <c r="AI2607">
        <v>94.548898435330997</v>
      </c>
      <c r="AJ2607">
        <v>82.653455661605307</v>
      </c>
      <c r="AK2607">
        <v>0.68803538124760999</v>
      </c>
      <c r="AL2607">
        <v>84.769806050838397</v>
      </c>
      <c r="AM2607">
        <v>91.666037328940305</v>
      </c>
      <c r="AN2607">
        <v>0.99999997191347401</v>
      </c>
    </row>
    <row r="2608" spans="1:40" x14ac:dyDescent="0.3">
      <c r="A2608" t="str">
        <f>"20200111150006196"</f>
        <v>20200111150006196</v>
      </c>
      <c r="B2608" t="str">
        <f>"1578726006188813"</f>
        <v>1578726006188813</v>
      </c>
      <c r="C2608" t="s">
        <v>40</v>
      </c>
      <c r="D2608">
        <v>4.2348809999999997</v>
      </c>
      <c r="E2608">
        <v>0.54553119999999999</v>
      </c>
      <c r="F2608" t="s">
        <v>41</v>
      </c>
      <c r="G2608">
        <v>-315.03550000000001</v>
      </c>
      <c r="H2608">
        <v>1.041771</v>
      </c>
      <c r="I2608">
        <v>283.06740000000002</v>
      </c>
      <c r="J2608">
        <v>-314.24869999999999</v>
      </c>
      <c r="K2608">
        <v>1.1030059999999999</v>
      </c>
      <c r="L2608">
        <v>282.96519999999998</v>
      </c>
      <c r="M2608">
        <v>-0.9998648</v>
      </c>
      <c r="N2608">
        <v>0</v>
      </c>
      <c r="O2608">
        <v>1.0367319999999999E-2</v>
      </c>
      <c r="P2608">
        <v>-0.9967608</v>
      </c>
      <c r="Q2608">
        <v>7.8078850000000005E-2</v>
      </c>
      <c r="R2608">
        <v>-1.9283970000000001E-2</v>
      </c>
      <c r="S2608">
        <v>-3.0294490000000001</v>
      </c>
      <c r="T2608">
        <v>-0.17495329999999901</v>
      </c>
      <c r="U2608">
        <v>0.29980469999999998</v>
      </c>
      <c r="V2608">
        <v>-2.9332159999999999E-2</v>
      </c>
      <c r="W2608">
        <v>9.0897629999999993E-2</v>
      </c>
      <c r="X2608">
        <v>0.99542810000000004</v>
      </c>
      <c r="Y2608">
        <v>8.8031170000000006E-2</v>
      </c>
      <c r="Z2608">
        <v>1.9369159999999999E-3</v>
      </c>
      <c r="AA2608">
        <v>0.99611590000000005</v>
      </c>
      <c r="AB2608">
        <v>43</v>
      </c>
      <c r="AC2608">
        <v>-0.78680000000002703</v>
      </c>
      <c r="AD2608">
        <v>-6.1234999999999901E-2</v>
      </c>
      <c r="AE2608">
        <v>0.102200000000038</v>
      </c>
      <c r="AF2608">
        <v>9.3480004247347898E-2</v>
      </c>
      <c r="AG2608">
        <v>-6.1234999999999901E-2</v>
      </c>
      <c r="AH2608">
        <v>0.78315234651376298</v>
      </c>
      <c r="AI2608">
        <v>94.439496658227995</v>
      </c>
      <c r="AJ2608">
        <v>83.193165993996004</v>
      </c>
      <c r="AK2608">
        <v>0.79108522566730899</v>
      </c>
      <c r="AL2608">
        <v>84.784750447461093</v>
      </c>
      <c r="AM2608">
        <v>91.687839435804094</v>
      </c>
      <c r="AN2608">
        <v>0.99999992850974295</v>
      </c>
    </row>
    <row r="2609" spans="1:40" x14ac:dyDescent="0.3">
      <c r="A2609" t="str">
        <f>"20200111150006208"</f>
        <v>20200111150006208</v>
      </c>
      <c r="B2609" t="str">
        <f>"1578726006198573"</f>
        <v>1578726006198573</v>
      </c>
      <c r="C2609" t="s">
        <v>40</v>
      </c>
      <c r="D2609">
        <v>4.1681629999999998</v>
      </c>
      <c r="E2609">
        <v>0.54564419999999902</v>
      </c>
      <c r="F2609" t="s">
        <v>62</v>
      </c>
      <c r="G2609">
        <v>-332.98020000000002</v>
      </c>
      <c r="H2609" s="1">
        <v>3.9142549999999997E-8</v>
      </c>
      <c r="I2609">
        <v>284.84460000000001</v>
      </c>
      <c r="J2609">
        <v>-314.47590000000002</v>
      </c>
      <c r="K2609">
        <v>1.10302099999999</v>
      </c>
      <c r="L2609">
        <v>282.96800000000002</v>
      </c>
      <c r="M2609">
        <v>-0.99985900000000005</v>
      </c>
      <c r="N2609">
        <v>0</v>
      </c>
      <c r="O2609">
        <v>1.089765E-2</v>
      </c>
      <c r="P2609">
        <v>-0.99680880000000005</v>
      </c>
      <c r="Q2609">
        <v>7.7543269999999997E-2</v>
      </c>
      <c r="R2609">
        <v>-1.8956239999999999E-2</v>
      </c>
      <c r="S2609">
        <v>-3.0295719999999999</v>
      </c>
      <c r="T2609">
        <v>-0.1783962</v>
      </c>
      <c r="U2609">
        <v>0.30395509999999998</v>
      </c>
      <c r="V2609">
        <v>-2.9538660000000001E-2</v>
      </c>
      <c r="W2609">
        <v>9.0359610000000007E-2</v>
      </c>
      <c r="X2609">
        <v>0.99547110000000005</v>
      </c>
      <c r="Y2609">
        <v>8.8844560000000003E-2</v>
      </c>
      <c r="Z2609">
        <v>1.9675069999999998E-3</v>
      </c>
      <c r="AA2609">
        <v>0.99604360000000003</v>
      </c>
      <c r="AB2609">
        <v>43</v>
      </c>
      <c r="AC2609">
        <v>-18.504300000000001</v>
      </c>
      <c r="AD2609">
        <v>-1.1030209608574399</v>
      </c>
      <c r="AE2609">
        <v>1.8765999999999901</v>
      </c>
      <c r="AF2609">
        <v>1.6689489286980601</v>
      </c>
      <c r="AG2609">
        <v>-1.1030209608574399</v>
      </c>
      <c r="AH2609">
        <v>18.458732952594801</v>
      </c>
      <c r="AI2609">
        <v>93.405842996178805</v>
      </c>
      <c r="AJ2609">
        <v>84.833641650615505</v>
      </c>
      <c r="AK2609">
        <v>18.5668216984465</v>
      </c>
      <c r="AL2609">
        <v>84.815704745165704</v>
      </c>
      <c r="AM2609">
        <v>91.699641594062896</v>
      </c>
      <c r="AN2609">
        <v>1.0000000512445699</v>
      </c>
    </row>
    <row r="2610" spans="1:40" x14ac:dyDescent="0.3">
      <c r="A2610" t="str">
        <f>"20200111150006228"</f>
        <v>20200111150006228</v>
      </c>
      <c r="B2610" t="str">
        <f>"1578726006218665"</f>
        <v>1578726006218665</v>
      </c>
      <c r="C2610" t="s">
        <v>40</v>
      </c>
      <c r="D2610">
        <v>4.3486500000000001</v>
      </c>
      <c r="E2610">
        <v>0.5454618</v>
      </c>
      <c r="F2610" t="s">
        <v>41</v>
      </c>
      <c r="G2610">
        <v>-315.42169999999999</v>
      </c>
      <c r="H2610">
        <v>1.046227</v>
      </c>
      <c r="I2610">
        <v>283.06349999999998</v>
      </c>
      <c r="J2610">
        <v>-314.83780000000002</v>
      </c>
      <c r="K2610">
        <v>1.1030420000000001</v>
      </c>
      <c r="L2610">
        <v>282.97269999999997</v>
      </c>
      <c r="M2610">
        <v>-0.99984960000000001</v>
      </c>
      <c r="N2610">
        <v>0</v>
      </c>
      <c r="O2610">
        <v>1.173078E-2</v>
      </c>
      <c r="P2610">
        <v>-0.99686129999999995</v>
      </c>
      <c r="Q2610">
        <v>7.6821639999999997E-2</v>
      </c>
      <c r="R2610">
        <v>-1.9127470000000001E-2</v>
      </c>
      <c r="S2610">
        <v>-3.029541</v>
      </c>
      <c r="T2610">
        <v>-0.18195430000000001</v>
      </c>
      <c r="U2610">
        <v>0.30575560000000002</v>
      </c>
      <c r="V2610">
        <v>-3.0549340000000001E-2</v>
      </c>
      <c r="W2610">
        <v>8.9637289999999994E-2</v>
      </c>
      <c r="X2610">
        <v>0.99550590000000005</v>
      </c>
      <c r="Y2610">
        <v>8.8598209999999997E-2</v>
      </c>
      <c r="Z2610">
        <v>1.9494130000000001E-3</v>
      </c>
      <c r="AA2610">
        <v>0.9960656</v>
      </c>
      <c r="AB2610">
        <v>43</v>
      </c>
      <c r="AC2610">
        <v>-0.583899999999971</v>
      </c>
      <c r="AD2610">
        <v>-5.6814999999999997E-2</v>
      </c>
      <c r="AE2610">
        <v>9.0800000000001505E-2</v>
      </c>
      <c r="AF2610">
        <v>8.3174701819399899E-2</v>
      </c>
      <c r="AG2610">
        <v>-5.6814999999999997E-2</v>
      </c>
      <c r="AH2610">
        <v>0.57956739000317603</v>
      </c>
      <c r="AI2610">
        <v>95.542392585150694</v>
      </c>
      <c r="AJ2610">
        <v>81.833147683826894</v>
      </c>
      <c r="AK2610">
        <v>0.58825533129997198</v>
      </c>
      <c r="AL2610">
        <v>84.857259264556404</v>
      </c>
      <c r="AM2610">
        <v>91.757698392856796</v>
      </c>
      <c r="AN2610">
        <v>1.00000005143389</v>
      </c>
    </row>
    <row r="2611" spans="1:40" x14ac:dyDescent="0.3">
      <c r="A2611" t="str">
        <f>"20200111150006242"</f>
        <v>20200111150006242</v>
      </c>
      <c r="B2611" t="str">
        <f>"1578726006238185"</f>
        <v>1578726006238185</v>
      </c>
      <c r="C2611" t="s">
        <v>40</v>
      </c>
      <c r="D2611">
        <v>4.2031900000000002</v>
      </c>
      <c r="E2611">
        <v>0.54531130000000005</v>
      </c>
      <c r="F2611" t="s">
        <v>41</v>
      </c>
      <c r="G2611">
        <v>-315.80349999999999</v>
      </c>
      <c r="H2611">
        <v>1.0452920000000001</v>
      </c>
      <c r="I2611">
        <v>283.06979999999999</v>
      </c>
      <c r="J2611">
        <v>-315.10430000000002</v>
      </c>
      <c r="K2611">
        <v>1.103059</v>
      </c>
      <c r="L2611">
        <v>282.97629999999998</v>
      </c>
      <c r="M2611">
        <v>-0.99984249999999997</v>
      </c>
      <c r="N2611">
        <v>0</v>
      </c>
      <c r="O2611">
        <v>1.2335469999999999E-2</v>
      </c>
      <c r="P2611">
        <v>-0.99689150000000004</v>
      </c>
      <c r="Q2611">
        <v>7.6442129999999997E-2</v>
      </c>
      <c r="R2611">
        <v>-1.908607E-2</v>
      </c>
      <c r="S2611">
        <v>-3.029236</v>
      </c>
      <c r="T2611">
        <v>-0.1813332</v>
      </c>
      <c r="U2611">
        <v>0.30352780000000001</v>
      </c>
      <c r="V2611">
        <v>-3.111624E-2</v>
      </c>
      <c r="W2611">
        <v>8.9256379999999996E-2</v>
      </c>
      <c r="X2611">
        <v>0.99552249999999998</v>
      </c>
      <c r="Y2611">
        <v>8.7284860000000006E-2</v>
      </c>
      <c r="Z2611">
        <v>1.867795E-3</v>
      </c>
      <c r="AA2611">
        <v>0.99618169999999995</v>
      </c>
      <c r="AB2611">
        <v>43</v>
      </c>
      <c r="AC2611">
        <v>-0.69919999999996196</v>
      </c>
      <c r="AD2611">
        <v>-5.7766999999999902E-2</v>
      </c>
      <c r="AE2611">
        <v>9.3500000000005898E-2</v>
      </c>
      <c r="AF2611">
        <v>8.4301899104879202E-2</v>
      </c>
      <c r="AG2611">
        <v>-5.7766999999999902E-2</v>
      </c>
      <c r="AH2611">
        <v>0.69563536827650196</v>
      </c>
      <c r="AI2611">
        <v>94.7127449726583</v>
      </c>
      <c r="AJ2611">
        <v>83.090196600544601</v>
      </c>
      <c r="AK2611">
        <v>0.70310198554610404</v>
      </c>
      <c r="AL2611">
        <v>84.879171290811101</v>
      </c>
      <c r="AM2611">
        <v>91.790264899509907</v>
      </c>
      <c r="AN2611">
        <v>0.99999998488434505</v>
      </c>
    </row>
    <row r="2612" spans="1:40" x14ac:dyDescent="0.3">
      <c r="A2612" t="str">
        <f>"20200111150006254"</f>
        <v>20200111150006254</v>
      </c>
      <c r="B2612" t="str">
        <f>"1578726006248922"</f>
        <v>1578726006248922</v>
      </c>
      <c r="C2612" t="s">
        <v>40</v>
      </c>
      <c r="D2612">
        <v>4.160406</v>
      </c>
      <c r="E2612">
        <v>0.54510219999999998</v>
      </c>
      <c r="F2612" t="s">
        <v>41</v>
      </c>
      <c r="G2612">
        <v>-316.18200000000002</v>
      </c>
      <c r="H2612">
        <v>1.039059</v>
      </c>
      <c r="I2612">
        <v>283.08390000000003</v>
      </c>
      <c r="J2612">
        <v>-315.35489999999999</v>
      </c>
      <c r="K2612">
        <v>1.1030740000000001</v>
      </c>
      <c r="L2612">
        <v>282.97980000000001</v>
      </c>
      <c r="M2612">
        <v>-0.99983549999999999</v>
      </c>
      <c r="N2612">
        <v>0</v>
      </c>
      <c r="O2612">
        <v>1.289392E-2</v>
      </c>
      <c r="P2612">
        <v>-0.99690319999999999</v>
      </c>
      <c r="Q2612">
        <v>7.6319189999999995E-2</v>
      </c>
      <c r="R2612">
        <v>-1.8965180000000002E-2</v>
      </c>
      <c r="S2612">
        <v>-3.028931</v>
      </c>
      <c r="T2612">
        <v>-0.17988029999999999</v>
      </c>
      <c r="U2612">
        <v>0.30236819999999998</v>
      </c>
      <c r="V2612">
        <v>-3.155616E-2</v>
      </c>
      <c r="W2612">
        <v>8.9131479999999999E-2</v>
      </c>
      <c r="X2612">
        <v>0.99551990000000001</v>
      </c>
      <c r="Y2612">
        <v>8.636539E-2</v>
      </c>
      <c r="Z2612">
        <v>1.7928200000000001E-3</v>
      </c>
      <c r="AA2612">
        <v>0.99626190000000003</v>
      </c>
      <c r="AB2612">
        <v>43</v>
      </c>
      <c r="AC2612">
        <v>-0.82710000000002903</v>
      </c>
      <c r="AD2612">
        <v>-6.4014999999999905E-2</v>
      </c>
      <c r="AE2612">
        <v>0.104100000000016</v>
      </c>
      <c r="AF2612">
        <v>9.2878224776264603E-2</v>
      </c>
      <c r="AG2612">
        <v>-6.4014999999999905E-2</v>
      </c>
      <c r="AH2612">
        <v>0.82351742168818498</v>
      </c>
      <c r="AI2612">
        <v>94.416979628678604</v>
      </c>
      <c r="AJ2612">
        <v>83.565238859646698</v>
      </c>
      <c r="AK2612">
        <v>0.83120709133557402</v>
      </c>
      <c r="AL2612">
        <v>84.886356461659105</v>
      </c>
      <c r="AM2612">
        <v>91.815563501012505</v>
      </c>
      <c r="AN2612">
        <v>1.00000004162847</v>
      </c>
    </row>
    <row r="2613" spans="1:40" x14ac:dyDescent="0.3">
      <c r="A2613" t="str">
        <f>"20200111150006268"</f>
        <v>20200111150006268</v>
      </c>
      <c r="B2613" t="str">
        <f>"1578726006258681"</f>
        <v>1578726006258681</v>
      </c>
      <c r="C2613" t="s">
        <v>40</v>
      </c>
      <c r="D2613">
        <v>4.182048</v>
      </c>
      <c r="E2613">
        <v>0.54503040000000003</v>
      </c>
      <c r="F2613" t="s">
        <v>41</v>
      </c>
      <c r="G2613">
        <v>-316.19670000000002</v>
      </c>
      <c r="H2613">
        <v>1.052913</v>
      </c>
      <c r="I2613">
        <v>283.06349999999998</v>
      </c>
      <c r="J2613">
        <v>-315.61160000000001</v>
      </c>
      <c r="K2613">
        <v>1.103092</v>
      </c>
      <c r="L2613">
        <v>282.98360000000002</v>
      </c>
      <c r="M2613">
        <v>-0.9998281</v>
      </c>
      <c r="N2613">
        <v>0</v>
      </c>
      <c r="O2613">
        <v>1.345826E-2</v>
      </c>
      <c r="P2613">
        <v>-0.99690179999999995</v>
      </c>
      <c r="Q2613">
        <v>7.6343159999999993E-2</v>
      </c>
      <c r="R2613">
        <v>-1.895548E-2</v>
      </c>
      <c r="S2613">
        <v>-3.0289000000000001</v>
      </c>
      <c r="T2613">
        <v>-0.18052460000000001</v>
      </c>
      <c r="U2613">
        <v>0.30096440000000002</v>
      </c>
      <c r="V2613">
        <v>-3.2112920000000003E-2</v>
      </c>
      <c r="W2613">
        <v>8.9153800000000005E-2</v>
      </c>
      <c r="X2613">
        <v>0.99550000000000005</v>
      </c>
      <c r="Y2613">
        <v>8.5348679999999996E-2</v>
      </c>
      <c r="Z2613">
        <v>1.7355789999999999E-3</v>
      </c>
      <c r="AA2613">
        <v>0.99634959999999995</v>
      </c>
      <c r="AB2613">
        <v>43</v>
      </c>
      <c r="AC2613">
        <v>-0.58510000000001094</v>
      </c>
      <c r="AD2613">
        <v>-5.0178999999999897E-2</v>
      </c>
      <c r="AE2613">
        <v>7.9899999999952301E-2</v>
      </c>
      <c r="AF2613">
        <v>7.1501427190607897E-2</v>
      </c>
      <c r="AG2613">
        <v>-5.0178999999999897E-2</v>
      </c>
      <c r="AH2613">
        <v>0.58192071854890504</v>
      </c>
      <c r="AI2613">
        <v>94.891813663295295</v>
      </c>
      <c r="AJ2613">
        <v>82.995097094903997</v>
      </c>
      <c r="AK2613">
        <v>0.58844040378594697</v>
      </c>
      <c r="AL2613">
        <v>84.885072011957405</v>
      </c>
      <c r="AM2613">
        <v>91.847611230425898</v>
      </c>
      <c r="AN2613">
        <v>0.99999994484268095</v>
      </c>
    </row>
    <row r="2614" spans="1:40" x14ac:dyDescent="0.3">
      <c r="A2614" t="str">
        <f>"20200111150006284"</f>
        <v>20200111150006284</v>
      </c>
      <c r="B2614" t="str">
        <f>"1578726006278203"</f>
        <v>1578726006278203</v>
      </c>
      <c r="C2614" t="s">
        <v>40</v>
      </c>
      <c r="D2614">
        <v>4.1508390000000004</v>
      </c>
      <c r="E2614">
        <v>0.54502530000000005</v>
      </c>
      <c r="F2614" t="s">
        <v>41</v>
      </c>
      <c r="G2614">
        <v>-316.56939999999997</v>
      </c>
      <c r="H2614">
        <v>1.046235</v>
      </c>
      <c r="I2614">
        <v>283.07889999999998</v>
      </c>
      <c r="J2614">
        <v>-315.89749999999998</v>
      </c>
      <c r="K2614">
        <v>1.1031120000000001</v>
      </c>
      <c r="L2614">
        <v>282.98790000000002</v>
      </c>
      <c r="M2614">
        <v>-0.99981949999999997</v>
      </c>
      <c r="N2614">
        <v>0</v>
      </c>
      <c r="O2614">
        <v>1.407627E-2</v>
      </c>
      <c r="P2614">
        <v>-0.99688339999999998</v>
      </c>
      <c r="Q2614">
        <v>7.6505719999999999E-2</v>
      </c>
      <c r="R2614">
        <v>-1.9253559999999999E-2</v>
      </c>
      <c r="S2614">
        <v>-3.028778</v>
      </c>
      <c r="T2614">
        <v>-0.18001600000000001</v>
      </c>
      <c r="U2614">
        <v>0.30035400000000001</v>
      </c>
      <c r="V2614">
        <v>-3.3030469999999999E-2</v>
      </c>
      <c r="W2614">
        <v>8.9315270000000002E-2</v>
      </c>
      <c r="X2614">
        <v>0.9954556</v>
      </c>
      <c r="Y2614">
        <v>8.4541110000000003E-2</v>
      </c>
      <c r="Z2614">
        <v>1.6702679999999999E-3</v>
      </c>
      <c r="AA2614">
        <v>0.99641860000000004</v>
      </c>
      <c r="AB2614">
        <v>43</v>
      </c>
      <c r="AC2614">
        <v>-0.67189999999999295</v>
      </c>
      <c r="AD2614">
        <v>-5.6876999999999997E-2</v>
      </c>
      <c r="AE2614">
        <v>9.09999999999513E-2</v>
      </c>
      <c r="AF2614">
        <v>8.0962655646536999E-2</v>
      </c>
      <c r="AG2614">
        <v>-5.6876999999999997E-2</v>
      </c>
      <c r="AH2614">
        <v>0.66841104730902801</v>
      </c>
      <c r="AI2614">
        <v>94.8286200433582</v>
      </c>
      <c r="AJ2614">
        <v>83.093576802447203</v>
      </c>
      <c r="AK2614">
        <v>0.67569465951943997</v>
      </c>
      <c r="AL2614">
        <v>84.875783897751404</v>
      </c>
      <c r="AM2614">
        <v>91.900448837148801</v>
      </c>
      <c r="AN2614">
        <v>1.00000004048747</v>
      </c>
    </row>
    <row r="2615" spans="1:40" x14ac:dyDescent="0.3">
      <c r="A2615" t="str">
        <f>"20200111150006297"</f>
        <v>20200111150006297</v>
      </c>
      <c r="B2615" t="str">
        <f>"1578726006288937"</f>
        <v>1578726006288937</v>
      </c>
      <c r="C2615" t="s">
        <v>40</v>
      </c>
      <c r="D2615">
        <v>4.1006460000000002</v>
      </c>
      <c r="E2615">
        <v>0.54495199999999999</v>
      </c>
      <c r="F2615" t="s">
        <v>41</v>
      </c>
      <c r="G2615">
        <v>-316.94830000000002</v>
      </c>
      <c r="H2615">
        <v>1.041507</v>
      </c>
      <c r="I2615">
        <v>283.09190000000001</v>
      </c>
      <c r="J2615">
        <v>-316.18169999999998</v>
      </c>
      <c r="K2615">
        <v>1.103135</v>
      </c>
      <c r="L2615">
        <v>282.99239999999998</v>
      </c>
      <c r="M2615">
        <v>-0.99981089999999995</v>
      </c>
      <c r="N2615">
        <v>0</v>
      </c>
      <c r="O2615">
        <v>1.467398E-2</v>
      </c>
      <c r="P2615">
        <v>-0.99689749999999999</v>
      </c>
      <c r="Q2615">
        <v>7.6376269999999996E-2</v>
      </c>
      <c r="R2615">
        <v>-1.9027490000000001E-2</v>
      </c>
      <c r="S2615">
        <v>-3.0288390000000001</v>
      </c>
      <c r="T2615">
        <v>-0.1776807</v>
      </c>
      <c r="U2615">
        <v>0.29922490000000002</v>
      </c>
      <c r="V2615">
        <v>-3.3405860000000002E-2</v>
      </c>
      <c r="W2615">
        <v>8.9183250000000006E-2</v>
      </c>
      <c r="X2615">
        <v>0.99545479999999997</v>
      </c>
      <c r="Y2615">
        <v>8.3581390000000005E-2</v>
      </c>
      <c r="Z2615">
        <v>1.5856399999999999E-3</v>
      </c>
      <c r="AA2615">
        <v>0.99649969999999999</v>
      </c>
      <c r="AB2615">
        <v>43</v>
      </c>
      <c r="AC2615">
        <v>-0.76660000000003903</v>
      </c>
      <c r="AD2615">
        <v>-6.1628000000000002E-2</v>
      </c>
      <c r="AE2615">
        <v>9.9500000000034505E-2</v>
      </c>
      <c r="AF2615">
        <v>8.7682015887345297E-2</v>
      </c>
      <c r="AG2615">
        <v>-6.1628000000000002E-2</v>
      </c>
      <c r="AH2615">
        <v>0.76312742152403401</v>
      </c>
      <c r="AI2615">
        <v>94.586976191884304</v>
      </c>
      <c r="AJ2615">
        <v>83.445556630552204</v>
      </c>
      <c r="AK2615">
        <v>0.77061638172049596</v>
      </c>
      <c r="AL2615">
        <v>84.883377832787602</v>
      </c>
      <c r="AM2615">
        <v>91.922032798431204</v>
      </c>
      <c r="AN2615">
        <v>0.99999993120296804</v>
      </c>
    </row>
    <row r="2616" spans="1:40" x14ac:dyDescent="0.3">
      <c r="A2616" t="str">
        <f>"20200111150006311"</f>
        <v>20200111150006311</v>
      </c>
      <c r="B2616" t="str">
        <f>"1578726006308126"</f>
        <v>1578726006308126</v>
      </c>
      <c r="C2616" t="s">
        <v>40</v>
      </c>
      <c r="D2616">
        <v>4.1680599999999997</v>
      </c>
      <c r="E2616">
        <v>0.54509940000000001</v>
      </c>
      <c r="F2616" t="s">
        <v>62</v>
      </c>
      <c r="G2616">
        <v>-335.00670000000002</v>
      </c>
      <c r="H2616" s="1">
        <v>1.117142E-6</v>
      </c>
      <c r="I2616">
        <v>284.85320000000002</v>
      </c>
      <c r="J2616">
        <v>-316.4228</v>
      </c>
      <c r="K2616">
        <v>1.103159</v>
      </c>
      <c r="L2616">
        <v>282.99630000000002</v>
      </c>
      <c r="M2616">
        <v>-0.99980369999999996</v>
      </c>
      <c r="N2616">
        <v>0</v>
      </c>
      <c r="O2616">
        <v>1.516376E-2</v>
      </c>
      <c r="P2616">
        <v>-0.996915</v>
      </c>
      <c r="Q2616">
        <v>7.6206709999999997E-2</v>
      </c>
      <c r="R2616">
        <v>-1.8798100000000002E-2</v>
      </c>
      <c r="S2616">
        <v>-3.0286559999999998</v>
      </c>
      <c r="T2616">
        <v>-0.17747779999999999</v>
      </c>
      <c r="U2616">
        <v>0.29937740000000002</v>
      </c>
      <c r="V2616">
        <v>-3.3670289999999999E-2</v>
      </c>
      <c r="W2616">
        <v>8.9011309999999996E-2</v>
      </c>
      <c r="X2616">
        <v>0.99546129999999999</v>
      </c>
      <c r="Y2616">
        <v>8.3150669999999996E-2</v>
      </c>
      <c r="Z2616">
        <v>1.5427489999999999E-3</v>
      </c>
      <c r="AA2616">
        <v>0.99653579999999997</v>
      </c>
      <c r="AB2616">
        <v>43</v>
      </c>
      <c r="AC2616">
        <v>-18.5839</v>
      </c>
      <c r="AD2616">
        <v>-1.103157882858</v>
      </c>
      <c r="AE2616">
        <v>1.85689999999999</v>
      </c>
      <c r="AF2616">
        <v>1.56938633511911</v>
      </c>
      <c r="AG2616">
        <v>-1.103157882858</v>
      </c>
      <c r="AH2616">
        <v>18.545220602982099</v>
      </c>
      <c r="AI2616">
        <v>93.392117961649504</v>
      </c>
      <c r="AJ2616">
        <v>85.162878625236203</v>
      </c>
      <c r="AK2616">
        <v>18.6441716897437</v>
      </c>
      <c r="AL2616">
        <v>84.893268706296894</v>
      </c>
      <c r="AM2616">
        <v>91.937222802522896</v>
      </c>
      <c r="AN2616">
        <v>0.99999995076714399</v>
      </c>
    </row>
    <row r="2617" spans="1:40" x14ac:dyDescent="0.3">
      <c r="A2617" t="str">
        <f>"20200111150006324"</f>
        <v>20200111150006324</v>
      </c>
      <c r="B2617" t="str">
        <f>"1578726006318862"</f>
        <v>1578726006318862</v>
      </c>
      <c r="C2617" t="s">
        <v>40</v>
      </c>
      <c r="D2617">
        <v>4.1485789999999998</v>
      </c>
      <c r="E2617">
        <v>0.54501549999999999</v>
      </c>
      <c r="F2617" t="s">
        <v>41</v>
      </c>
      <c r="G2617">
        <v>-317.3381</v>
      </c>
      <c r="H2617">
        <v>1.0506329999999999</v>
      </c>
      <c r="I2617">
        <v>283.08749999999998</v>
      </c>
      <c r="J2617">
        <v>-316.69310000000002</v>
      </c>
      <c r="K2617">
        <v>1.1031879999999901</v>
      </c>
      <c r="L2617">
        <v>283.00080000000003</v>
      </c>
      <c r="M2617">
        <v>-0.9997954</v>
      </c>
      <c r="N2617">
        <v>0</v>
      </c>
      <c r="O2617">
        <v>1.5697329999999999E-2</v>
      </c>
      <c r="P2617">
        <v>-0.99690690000000004</v>
      </c>
      <c r="Q2617">
        <v>7.6433409999999993E-2</v>
      </c>
      <c r="R2617">
        <v>-1.8295820000000001E-2</v>
      </c>
      <c r="S2617">
        <v>-3.0282589999999998</v>
      </c>
      <c r="T2617">
        <v>-0.17383709999999999</v>
      </c>
      <c r="U2617">
        <v>0.30105589999999999</v>
      </c>
      <c r="V2617">
        <v>-3.3705699999999998E-2</v>
      </c>
      <c r="W2617">
        <v>8.9234060000000004E-2</v>
      </c>
      <c r="X2617">
        <v>0.9954402</v>
      </c>
      <c r="Y2617">
        <v>8.3184079999999994E-2</v>
      </c>
      <c r="Z2617">
        <v>1.481748E-3</v>
      </c>
      <c r="AA2617">
        <v>0.99653309999999995</v>
      </c>
      <c r="AB2617">
        <v>43</v>
      </c>
      <c r="AC2617">
        <v>-0.64499999999998103</v>
      </c>
      <c r="AD2617">
        <v>-5.25549999999999E-2</v>
      </c>
      <c r="AE2617">
        <v>8.6699999999950705E-2</v>
      </c>
      <c r="AF2617">
        <v>7.6067656840662495E-2</v>
      </c>
      <c r="AG2617">
        <v>-5.25549999999999E-2</v>
      </c>
      <c r="AH2617">
        <v>0.64209431957010699</v>
      </c>
      <c r="AI2617">
        <v>94.646840503145498</v>
      </c>
      <c r="AJ2617">
        <v>83.243770917966998</v>
      </c>
      <c r="AK2617">
        <v>0.648716757658092</v>
      </c>
      <c r="AL2617">
        <v>84.880455291177597</v>
      </c>
      <c r="AM2617">
        <v>91.939299639310903</v>
      </c>
      <c r="AN2617">
        <v>0.99999999172630605</v>
      </c>
    </row>
    <row r="2618" spans="1:40" x14ac:dyDescent="0.3">
      <c r="A2618" t="str">
        <f>"20200111150006338"</f>
        <v>20200111150006338</v>
      </c>
      <c r="B2618" t="str">
        <f>"1578726006328622"</f>
        <v>1578726006328622</v>
      </c>
      <c r="C2618" t="s">
        <v>40</v>
      </c>
      <c r="D2618">
        <v>4.1437999999999997</v>
      </c>
      <c r="E2618">
        <v>0.54495769999999899</v>
      </c>
      <c r="F2618" t="s">
        <v>41</v>
      </c>
      <c r="G2618">
        <v>-317.71609999999998</v>
      </c>
      <c r="H2618">
        <v>1.0453140000000001</v>
      </c>
      <c r="I2618">
        <v>283.10289999999998</v>
      </c>
      <c r="J2618">
        <v>-316.95859999999999</v>
      </c>
      <c r="K2618">
        <v>1.103218</v>
      </c>
      <c r="L2618">
        <v>283.00540000000001</v>
      </c>
      <c r="M2618">
        <v>-0.9997876</v>
      </c>
      <c r="N2618">
        <v>0</v>
      </c>
      <c r="O2618">
        <v>1.619609E-2</v>
      </c>
      <c r="P2618">
        <v>-0.99693779999999999</v>
      </c>
      <c r="Q2618">
        <v>7.6107919999999996E-2</v>
      </c>
      <c r="R2618">
        <v>-1.796764E-2</v>
      </c>
      <c r="S2618">
        <v>-3.0280149999999999</v>
      </c>
      <c r="T2618">
        <v>-0.17135690000000001</v>
      </c>
      <c r="U2618">
        <v>0.3018188</v>
      </c>
      <c r="V2618">
        <v>-3.388327E-2</v>
      </c>
      <c r="W2618">
        <v>8.8904919999999998E-2</v>
      </c>
      <c r="X2618">
        <v>0.9954636</v>
      </c>
      <c r="Y2618">
        <v>8.2947729999999997E-2</v>
      </c>
      <c r="Z2618">
        <v>1.4259539999999999E-3</v>
      </c>
      <c r="AA2618">
        <v>0.99655289999999996</v>
      </c>
      <c r="AB2618">
        <v>43</v>
      </c>
      <c r="AC2618">
        <v>-0.75749999999999296</v>
      </c>
      <c r="AD2618">
        <v>-5.7904000000000101E-2</v>
      </c>
      <c r="AE2618">
        <v>9.7499999999968098E-2</v>
      </c>
      <c r="AF2618">
        <v>8.4730643832847105E-2</v>
      </c>
      <c r="AG2618">
        <v>-5.7904000000000101E-2</v>
      </c>
      <c r="AH2618">
        <v>0.75464219895443796</v>
      </c>
      <c r="AI2618">
        <v>94.360438266586002</v>
      </c>
      <c r="AJ2618">
        <v>83.593704764024395</v>
      </c>
      <c r="AK2618">
        <v>0.76158847395632101</v>
      </c>
      <c r="AL2618">
        <v>84.899388765602794</v>
      </c>
      <c r="AM2618">
        <v>91.949462697538493</v>
      </c>
      <c r="AN2618">
        <v>0.99999996985552897</v>
      </c>
    </row>
    <row r="2619" spans="1:40" x14ac:dyDescent="0.3">
      <c r="A2619" t="str">
        <f>"20200111150006361"</f>
        <v>20200111150006361</v>
      </c>
      <c r="B2619" t="str">
        <f>"1578726006358878"</f>
        <v>1578726006358878</v>
      </c>
      <c r="C2619" t="s">
        <v>40</v>
      </c>
      <c r="D2619">
        <v>4.0420780000000001</v>
      </c>
      <c r="E2619">
        <v>0.54493159999999996</v>
      </c>
      <c r="F2619" t="s">
        <v>62</v>
      </c>
      <c r="G2619">
        <v>-336.65539999999999</v>
      </c>
      <c r="H2619" s="1">
        <v>1.9894329999999998E-6</v>
      </c>
      <c r="I2619">
        <v>284.9699</v>
      </c>
      <c r="J2619">
        <v>-317.38470000000001</v>
      </c>
      <c r="K2619">
        <v>1.1032789999999999</v>
      </c>
      <c r="L2619">
        <v>283.0129</v>
      </c>
      <c r="M2619">
        <v>-0.99977539999999998</v>
      </c>
      <c r="N2619">
        <v>0</v>
      </c>
      <c r="O2619">
        <v>1.6932030000000001E-2</v>
      </c>
      <c r="P2619">
        <v>-0.9969633</v>
      </c>
      <c r="Q2619">
        <v>7.6001319999999997E-2</v>
      </c>
      <c r="R2619">
        <v>-1.697429E-2</v>
      </c>
      <c r="S2619">
        <v>-3.0276489999999998</v>
      </c>
      <c r="T2619">
        <v>-0.16957820000000001</v>
      </c>
      <c r="U2619">
        <v>0.3019714</v>
      </c>
      <c r="V2619">
        <v>-3.3638210000000002E-2</v>
      </c>
      <c r="W2619">
        <v>8.8790480000000005E-2</v>
      </c>
      <c r="X2619">
        <v>0.99548210000000004</v>
      </c>
      <c r="Y2619">
        <v>8.2280110000000004E-2</v>
      </c>
      <c r="Z2619">
        <v>1.3516369999999999E-3</v>
      </c>
      <c r="AA2619">
        <v>0.9966083</v>
      </c>
      <c r="AB2619">
        <v>43</v>
      </c>
      <c r="AC2619">
        <v>-19.270699999999898</v>
      </c>
      <c r="AD2619">
        <v>-1.103277010567</v>
      </c>
      <c r="AE2619">
        <v>1.9569999999999901</v>
      </c>
      <c r="AF2619">
        <v>1.62512845662773</v>
      </c>
      <c r="AG2619">
        <v>-1.103277010567</v>
      </c>
      <c r="AH2619">
        <v>19.238660052904802</v>
      </c>
      <c r="AI2619">
        <v>93.270516775667801</v>
      </c>
      <c r="AJ2619">
        <v>85.171572505822397</v>
      </c>
      <c r="AK2619">
        <v>19.3386737728786</v>
      </c>
      <c r="AL2619">
        <v>84.905971601839894</v>
      </c>
      <c r="AM2619">
        <v>91.935338073696897</v>
      </c>
      <c r="AN2619">
        <v>0.99999994496552003</v>
      </c>
    </row>
    <row r="2620" spans="1:40" x14ac:dyDescent="0.3">
      <c r="A2620" t="str">
        <f>"20200111150006375"</f>
        <v>20200111150006375</v>
      </c>
      <c r="B2620" t="str">
        <f>"1578726006368638"</f>
        <v>1578726006368638</v>
      </c>
      <c r="C2620" t="s">
        <v>40</v>
      </c>
      <c r="D2620">
        <v>4.0916160000000001</v>
      </c>
      <c r="E2620">
        <v>0.54500879999999996</v>
      </c>
      <c r="F2620" t="s">
        <v>41</v>
      </c>
      <c r="G2620">
        <v>-318.47840000000002</v>
      </c>
      <c r="H2620">
        <v>1.042719</v>
      </c>
      <c r="I2620">
        <v>283.12310000000002</v>
      </c>
      <c r="J2620">
        <v>-317.66520000000003</v>
      </c>
      <c r="K2620">
        <v>1.1033329999999999</v>
      </c>
      <c r="L2620">
        <v>283.0181</v>
      </c>
      <c r="M2620">
        <v>-0.99976810000000005</v>
      </c>
      <c r="N2620">
        <v>0</v>
      </c>
      <c r="O2620">
        <v>1.7350499999999901E-2</v>
      </c>
      <c r="P2620">
        <v>-0.99697800000000003</v>
      </c>
      <c r="Q2620">
        <v>7.5906199999999993E-2</v>
      </c>
      <c r="R2620">
        <v>-1.6519519999999999E-2</v>
      </c>
      <c r="S2620">
        <v>-3.0271300000000001</v>
      </c>
      <c r="T2620">
        <v>-0.16765579999999999</v>
      </c>
      <c r="U2620">
        <v>0.30459589999999998</v>
      </c>
      <c r="V2620">
        <v>-3.361335E-2</v>
      </c>
      <c r="W2620">
        <v>8.8689290000000004E-2</v>
      </c>
      <c r="X2620">
        <v>0.99549200000000004</v>
      </c>
      <c r="Y2620">
        <v>8.273751E-2</v>
      </c>
      <c r="Z2620">
        <v>1.326044E-3</v>
      </c>
      <c r="AA2620">
        <v>0.99657050000000003</v>
      </c>
      <c r="AB2620">
        <v>43</v>
      </c>
      <c r="AC2620">
        <v>-0.81319999999999404</v>
      </c>
      <c r="AD2620">
        <v>-6.0613999999999897E-2</v>
      </c>
      <c r="AE2620">
        <v>0.105000000000018</v>
      </c>
      <c r="AF2620">
        <v>9.0379714456760296E-2</v>
      </c>
      <c r="AG2620">
        <v>-6.0613999999999897E-2</v>
      </c>
      <c r="AH2620">
        <v>0.81047049960889195</v>
      </c>
      <c r="AI2620">
        <v>94.250859897772202</v>
      </c>
      <c r="AJ2620">
        <v>83.6369435970485</v>
      </c>
      <c r="AK2620">
        <v>0.81774383551181395</v>
      </c>
      <c r="AL2620">
        <v>84.911792528838006</v>
      </c>
      <c r="AM2620">
        <v>91.933889649139502</v>
      </c>
      <c r="AN2620">
        <v>0.99999998476146301</v>
      </c>
    </row>
    <row r="2621" spans="1:40" x14ac:dyDescent="0.3">
      <c r="A2621" t="str">
        <f>"20200111150006388"</f>
        <v>20200111150006388</v>
      </c>
      <c r="B2621" t="str">
        <f>"1578726006378398"</f>
        <v>1578726006378398</v>
      </c>
      <c r="C2621" t="s">
        <v>40</v>
      </c>
      <c r="D2621">
        <v>4.2102579999999996</v>
      </c>
      <c r="E2621">
        <v>0.5452399</v>
      </c>
      <c r="F2621" t="s">
        <v>62</v>
      </c>
      <c r="G2621">
        <v>-337.63290000000001</v>
      </c>
      <c r="H2621" s="1">
        <v>2.5064930000000001E-6</v>
      </c>
      <c r="I2621">
        <v>285.04109999999997</v>
      </c>
      <c r="J2621">
        <v>-317.89089999999999</v>
      </c>
      <c r="K2621">
        <v>1.1033790000000001</v>
      </c>
      <c r="L2621">
        <v>283.0222</v>
      </c>
      <c r="M2621">
        <v>-0.99976290000000001</v>
      </c>
      <c r="N2621">
        <v>0</v>
      </c>
      <c r="O2621">
        <v>1.7654960000000001E-2</v>
      </c>
      <c r="P2621">
        <v>-0.99700960000000005</v>
      </c>
      <c r="Q2621">
        <v>7.552586E-2</v>
      </c>
      <c r="R2621">
        <v>-1.637986E-2</v>
      </c>
      <c r="S2621">
        <v>-3.0269469999999998</v>
      </c>
      <c r="T2621">
        <v>-0.1672565</v>
      </c>
      <c r="U2621">
        <v>0.30667109999999997</v>
      </c>
      <c r="V2621">
        <v>-3.3789199999999998E-2</v>
      </c>
      <c r="W2621">
        <v>8.8304099999999996E-2</v>
      </c>
      <c r="X2621">
        <v>0.99552030000000002</v>
      </c>
      <c r="Y2621">
        <v>8.3116699999999905E-2</v>
      </c>
      <c r="Z2621">
        <v>1.3166089999999901E-3</v>
      </c>
      <c r="AA2621">
        <v>0.99653890000000001</v>
      </c>
      <c r="AB2621">
        <v>43</v>
      </c>
      <c r="AC2621">
        <v>-19.742000000000001</v>
      </c>
      <c r="AD2621">
        <v>-1.1033764935070001</v>
      </c>
      <c r="AE2621">
        <v>2.0188999999999702</v>
      </c>
      <c r="AF2621">
        <v>1.6648660789031</v>
      </c>
      <c r="AG2621">
        <v>-1.1033764935070001</v>
      </c>
      <c r="AH2621">
        <v>19.713627443517101</v>
      </c>
      <c r="AI2621">
        <v>93.192176414122599</v>
      </c>
      <c r="AJ2621">
        <v>85.172680175399705</v>
      </c>
      <c r="AK2621">
        <v>19.814548335223201</v>
      </c>
      <c r="AL2621">
        <v>84.933949279713801</v>
      </c>
      <c r="AM2621">
        <v>91.943943931115896</v>
      </c>
      <c r="AN2621">
        <v>0.99999999591277</v>
      </c>
    </row>
    <row r="2622" spans="1:40" x14ac:dyDescent="0.3">
      <c r="A2622" t="str">
        <f>"20200111150006399"</f>
        <v>20200111150006399</v>
      </c>
      <c r="B2622" t="str">
        <f>"1578726006388159"</f>
        <v>1578726006388159</v>
      </c>
      <c r="C2622" t="s">
        <v>40</v>
      </c>
      <c r="D2622">
        <v>4.0280389999999997</v>
      </c>
      <c r="E2622">
        <v>0.54528889999999997</v>
      </c>
      <c r="F2622" t="s">
        <v>41</v>
      </c>
      <c r="G2622">
        <v>-318.86610000000002</v>
      </c>
      <c r="H2622">
        <v>1.04918</v>
      </c>
      <c r="I2622">
        <v>283.12209999999999</v>
      </c>
      <c r="J2622">
        <v>-318.13139999999999</v>
      </c>
      <c r="K2622">
        <v>1.103434</v>
      </c>
      <c r="L2622">
        <v>283.02670000000001</v>
      </c>
      <c r="M2622">
        <v>-0.99975740000000002</v>
      </c>
      <c r="N2622">
        <v>0</v>
      </c>
      <c r="O2622">
        <v>1.7956949999999999E-2</v>
      </c>
      <c r="P2622">
        <v>-0.99704219999999999</v>
      </c>
      <c r="Q2622">
        <v>7.5122419999999995E-2</v>
      </c>
      <c r="R2622">
        <v>-1.6229170000000001E-2</v>
      </c>
      <c r="S2622">
        <v>-3.0267940000000002</v>
      </c>
      <c r="T2622">
        <v>-0.16844729999999999</v>
      </c>
      <c r="U2622">
        <v>0.30892940000000002</v>
      </c>
      <c r="V2622">
        <v>-3.3953730000000001E-2</v>
      </c>
      <c r="W2622">
        <v>8.7895619999999994E-2</v>
      </c>
      <c r="X2622">
        <v>0.99555090000000002</v>
      </c>
      <c r="Y2622">
        <v>8.3555009999999999E-2</v>
      </c>
      <c r="Z2622">
        <v>1.3213999999999999E-3</v>
      </c>
      <c r="AA2622">
        <v>0.99650229999999995</v>
      </c>
      <c r="AB2622">
        <v>43</v>
      </c>
      <c r="AC2622">
        <v>-0.73470000000003199</v>
      </c>
      <c r="AD2622">
        <v>-5.4253999999999997E-2</v>
      </c>
      <c r="AE2622">
        <v>9.5399999999983706E-2</v>
      </c>
      <c r="AF2622">
        <v>8.1752160063931503E-2</v>
      </c>
      <c r="AG2622">
        <v>-5.4253999999999997E-2</v>
      </c>
      <c r="AH2622">
        <v>0.73236729859172101</v>
      </c>
      <c r="AI2622">
        <v>94.210692591346501</v>
      </c>
      <c r="AJ2622">
        <v>83.630597004234801</v>
      </c>
      <c r="AK2622">
        <v>0.73891053060411405</v>
      </c>
      <c r="AL2622">
        <v>84.957445067818995</v>
      </c>
      <c r="AM2622">
        <v>91.953342281356797</v>
      </c>
      <c r="AN2622">
        <v>1.0000000451434501</v>
      </c>
    </row>
    <row r="2623" spans="1:40" x14ac:dyDescent="0.3">
      <c r="A2623" t="str">
        <f>"20200111150006412"</f>
        <v>20200111150006412</v>
      </c>
      <c r="B2623" t="str">
        <f>"1578726006408488"</f>
        <v>1578726006408488</v>
      </c>
      <c r="C2623" t="s">
        <v>40</v>
      </c>
      <c r="D2623">
        <v>3.9712420000000002</v>
      </c>
      <c r="E2623">
        <v>0.54526289999999999</v>
      </c>
      <c r="F2623" t="s">
        <v>62</v>
      </c>
      <c r="G2623">
        <v>-337.88529999999997</v>
      </c>
      <c r="H2623" s="1">
        <v>2.6403669999999999E-6</v>
      </c>
      <c r="I2623">
        <v>285.05059999999997</v>
      </c>
      <c r="J2623">
        <v>-318.35140000000001</v>
      </c>
      <c r="K2623">
        <v>1.1034949999999999</v>
      </c>
      <c r="L2623">
        <v>283.03089999999997</v>
      </c>
      <c r="M2623">
        <v>-0.99975369999999997</v>
      </c>
      <c r="N2623">
        <v>0</v>
      </c>
      <c r="O2623">
        <v>1.8168139999999999E-2</v>
      </c>
      <c r="P2623">
        <v>-0.99706939999999999</v>
      </c>
      <c r="Q2623">
        <v>7.4835269999999995E-2</v>
      </c>
      <c r="R2623">
        <v>-1.5904709999999999E-2</v>
      </c>
      <c r="S2623">
        <v>-3.026672</v>
      </c>
      <c r="T2623">
        <v>-0.1690671</v>
      </c>
      <c r="U2623">
        <v>0.31008909999999901</v>
      </c>
      <c r="V2623">
        <v>-3.3853969999999997E-2</v>
      </c>
      <c r="W2623">
        <v>8.7602550000000001E-2</v>
      </c>
      <c r="X2623">
        <v>0.99558009999999997</v>
      </c>
      <c r="Y2623">
        <v>8.3725750000000002E-2</v>
      </c>
      <c r="Z2623">
        <v>1.3192849999999999E-3</v>
      </c>
      <c r="AA2623">
        <v>0.99648800000000004</v>
      </c>
      <c r="AB2623">
        <v>43</v>
      </c>
      <c r="AC2623">
        <v>-19.5338999999999</v>
      </c>
      <c r="AD2623">
        <v>-1.103492359633</v>
      </c>
      <c r="AE2623">
        <v>2.0196999999999998</v>
      </c>
      <c r="AF2623">
        <v>1.65920419664824</v>
      </c>
      <c r="AG2623">
        <v>-1.103492359633</v>
      </c>
      <c r="AH2623">
        <v>19.505783095982899</v>
      </c>
      <c r="AI2623">
        <v>93.226292151471</v>
      </c>
      <c r="AJ2623">
        <v>85.138000692020896</v>
      </c>
      <c r="AK2623">
        <v>19.607300378723099</v>
      </c>
      <c r="AL2623">
        <v>84.974301621187706</v>
      </c>
      <c r="AM2623">
        <v>91.947550482781494</v>
      </c>
      <c r="AN2623">
        <v>1.00000001678363</v>
      </c>
    </row>
    <row r="2624" spans="1:40" x14ac:dyDescent="0.3">
      <c r="A2624" t="str">
        <f>"20200111150006428"</f>
        <v>20200111150006428</v>
      </c>
      <c r="B2624" t="str">
        <f>"1578726006419224"</f>
        <v>1578726006419224</v>
      </c>
      <c r="C2624" t="s">
        <v>40</v>
      </c>
      <c r="D2624">
        <v>4.0460929999999999</v>
      </c>
      <c r="E2624">
        <v>0.54528900000000002</v>
      </c>
      <c r="F2624" t="s">
        <v>41</v>
      </c>
      <c r="G2624">
        <v>-319.25729999999999</v>
      </c>
      <c r="H2624">
        <v>1.0529569999999999</v>
      </c>
      <c r="I2624">
        <v>283.12400000000002</v>
      </c>
      <c r="J2624">
        <v>-318.68009999999998</v>
      </c>
      <c r="K2624">
        <v>1.1035919999999999</v>
      </c>
      <c r="L2624">
        <v>283.03710000000001</v>
      </c>
      <c r="M2624">
        <v>-0.99974879999999999</v>
      </c>
      <c r="N2624">
        <v>0</v>
      </c>
      <c r="O2624">
        <v>1.8432239999999999E-2</v>
      </c>
      <c r="P2624">
        <v>-0.99710829999999995</v>
      </c>
      <c r="Q2624">
        <v>7.4469629999999995E-2</v>
      </c>
      <c r="R2624">
        <v>-1.5146130000000001E-2</v>
      </c>
      <c r="S2624">
        <v>-3.0264280000000001</v>
      </c>
      <c r="T2624">
        <v>-0.16896079999999999</v>
      </c>
      <c r="U2624">
        <v>0.31060789999999999</v>
      </c>
      <c r="V2624">
        <v>-3.3381290000000001E-2</v>
      </c>
      <c r="W2624">
        <v>8.7226789999999998E-2</v>
      </c>
      <c r="X2624">
        <v>0.99562899999999999</v>
      </c>
      <c r="Y2624">
        <v>8.3640359999999997E-2</v>
      </c>
      <c r="Z2624">
        <v>1.3014890000000001E-3</v>
      </c>
      <c r="AA2624">
        <v>0.99649509999999997</v>
      </c>
      <c r="AB2624">
        <v>43</v>
      </c>
      <c r="AC2624">
        <v>-0.57720000000000404</v>
      </c>
      <c r="AD2624">
        <v>-5.0634999999999902E-2</v>
      </c>
      <c r="AE2624">
        <v>8.6900000000014105E-2</v>
      </c>
      <c r="AF2624">
        <v>7.5675808911490394E-2</v>
      </c>
      <c r="AG2624">
        <v>-5.0634999999999902E-2</v>
      </c>
      <c r="AH2624">
        <v>0.57438151205518095</v>
      </c>
      <c r="AI2624">
        <v>94.994980374355293</v>
      </c>
      <c r="AJ2624">
        <v>82.494406337045007</v>
      </c>
      <c r="AK2624">
        <v>0.58155382611603901</v>
      </c>
      <c r="AL2624">
        <v>84.995913552145097</v>
      </c>
      <c r="AM2624">
        <v>91.920284413756605</v>
      </c>
      <c r="AN2624">
        <v>0.99999996452838302</v>
      </c>
    </row>
    <row r="2625" spans="1:40" x14ac:dyDescent="0.3">
      <c r="A2625" t="str">
        <f>"20200111150006442"</f>
        <v>20200111150006442</v>
      </c>
      <c r="B2625" t="str">
        <f>"1578726006438744"</f>
        <v>1578726006438744</v>
      </c>
      <c r="C2625" t="s">
        <v>40</v>
      </c>
      <c r="D2625">
        <v>4.0076780000000003</v>
      </c>
      <c r="E2625">
        <v>0.54530199999999995</v>
      </c>
      <c r="F2625" t="s">
        <v>41</v>
      </c>
      <c r="G2625">
        <v>-319.63099999999997</v>
      </c>
      <c r="H2625">
        <v>1.050162</v>
      </c>
      <c r="I2625">
        <v>283.13549999999998</v>
      </c>
      <c r="J2625">
        <v>-318.92689999999999</v>
      </c>
      <c r="K2625">
        <v>1.1036699999999999</v>
      </c>
      <c r="L2625">
        <v>283.04180000000002</v>
      </c>
      <c r="M2625">
        <v>-0.99974609999999997</v>
      </c>
      <c r="N2625">
        <v>0</v>
      </c>
      <c r="O2625">
        <v>1.8584E-2</v>
      </c>
      <c r="P2625">
        <v>-0.99713359999999995</v>
      </c>
      <c r="Q2625">
        <v>7.4236499999999997E-2</v>
      </c>
      <c r="R2625">
        <v>-1.4624969999999999E-2</v>
      </c>
      <c r="S2625">
        <v>-3.026154</v>
      </c>
      <c r="T2625">
        <v>-0.17017599999999999</v>
      </c>
      <c r="U2625">
        <v>0.31213380000000002</v>
      </c>
      <c r="V2625">
        <v>-3.3028290000000002E-2</v>
      </c>
      <c r="W2625">
        <v>8.6985980000000004E-2</v>
      </c>
      <c r="X2625">
        <v>0.99566189999999999</v>
      </c>
      <c r="Y2625">
        <v>8.3993700000000004E-2</v>
      </c>
      <c r="Z2625">
        <v>1.312321E-3</v>
      </c>
      <c r="AA2625">
        <v>0.99646539999999995</v>
      </c>
      <c r="AB2625">
        <v>43</v>
      </c>
      <c r="AC2625">
        <v>-0.70409999999998196</v>
      </c>
      <c r="AD2625">
        <v>-5.3508000000000097E-2</v>
      </c>
      <c r="AE2625">
        <v>9.3699999999955694E-2</v>
      </c>
      <c r="AF2625">
        <v>8.01429694440077E-2</v>
      </c>
      <c r="AG2625">
        <v>-5.3508000000000097E-2</v>
      </c>
      <c r="AH2625">
        <v>0.701737677586042</v>
      </c>
      <c r="AI2625">
        <v>94.332352641292601</v>
      </c>
      <c r="AJ2625">
        <v>83.484681207836701</v>
      </c>
      <c r="AK2625">
        <v>0.70832320995372899</v>
      </c>
      <c r="AL2625">
        <v>85.009763890084798</v>
      </c>
      <c r="AM2625">
        <v>91.899930043889199</v>
      </c>
      <c r="AN2625">
        <v>1.0000000238842399</v>
      </c>
    </row>
    <row r="2626" spans="1:40" x14ac:dyDescent="0.3">
      <c r="A2626" t="str">
        <f>"20200111150006455"</f>
        <v>20200111150006455</v>
      </c>
      <c r="B2626" t="str">
        <f>"1578726006448503"</f>
        <v>1578726006448503</v>
      </c>
      <c r="C2626" t="s">
        <v>40</v>
      </c>
      <c r="D2626">
        <v>4.0327440000000001</v>
      </c>
      <c r="E2626">
        <v>0.54539629999999995</v>
      </c>
      <c r="F2626" t="s">
        <v>41</v>
      </c>
      <c r="G2626">
        <v>-320.00709999999998</v>
      </c>
      <c r="H2626">
        <v>1.043617</v>
      </c>
      <c r="I2626">
        <v>283.154</v>
      </c>
      <c r="J2626">
        <v>-319.19639999999998</v>
      </c>
      <c r="K2626">
        <v>1.1037619999999999</v>
      </c>
      <c r="L2626">
        <v>283.04689999999999</v>
      </c>
      <c r="M2626">
        <v>-0.99974450000000004</v>
      </c>
      <c r="N2626">
        <v>0</v>
      </c>
      <c r="O2626">
        <v>1.8676109999999999E-2</v>
      </c>
      <c r="P2626">
        <v>-0.99711950000000005</v>
      </c>
      <c r="Q2626">
        <v>7.4518200000000007E-2</v>
      </c>
      <c r="R2626">
        <v>-1.415493E-2</v>
      </c>
      <c r="S2626">
        <v>-3.025757</v>
      </c>
      <c r="T2626">
        <v>-0.1683713</v>
      </c>
      <c r="U2626">
        <v>0.31359860000000001</v>
      </c>
      <c r="V2626">
        <v>-3.2668580000000003E-2</v>
      </c>
      <c r="W2626">
        <v>8.7258639999999998E-2</v>
      </c>
      <c r="X2626">
        <v>0.99564989999999998</v>
      </c>
      <c r="Y2626">
        <v>8.4394209999999997E-2</v>
      </c>
      <c r="Z2626">
        <v>1.304564E-3</v>
      </c>
      <c r="AA2626">
        <v>0.99643159999999997</v>
      </c>
      <c r="AB2626">
        <v>43</v>
      </c>
      <c r="AC2626">
        <v>-0.81069999999999698</v>
      </c>
      <c r="AD2626">
        <v>-6.0145000000000101E-2</v>
      </c>
      <c r="AE2626">
        <v>0.107100000000002</v>
      </c>
      <c r="AF2626">
        <v>9.14446887865E-2</v>
      </c>
      <c r="AG2626">
        <v>-6.0145000000000101E-2</v>
      </c>
      <c r="AH2626">
        <v>0.808186991093227</v>
      </c>
      <c r="AI2626">
        <v>94.229199659003697</v>
      </c>
      <c r="AJ2626">
        <v>83.544555974647906</v>
      </c>
      <c r="AK2626">
        <v>0.81556469069264104</v>
      </c>
      <c r="AL2626">
        <v>84.994081949452806</v>
      </c>
      <c r="AM2626">
        <v>91.879275521282594</v>
      </c>
      <c r="AN2626">
        <v>1.0000000148719299</v>
      </c>
    </row>
    <row r="2627" spans="1:40" x14ac:dyDescent="0.3">
      <c r="A2627" t="str">
        <f>"20200111150006469"</f>
        <v>20200111150006469</v>
      </c>
      <c r="B2627" t="str">
        <f>"1578726006458264"</f>
        <v>1578726006458264</v>
      </c>
      <c r="C2627" t="s">
        <v>40</v>
      </c>
      <c r="D2627">
        <v>4.0660860000000003</v>
      </c>
      <c r="E2627">
        <v>0.54550940000000003</v>
      </c>
      <c r="F2627" t="s">
        <v>62</v>
      </c>
      <c r="G2627">
        <v>-339.2953</v>
      </c>
      <c r="H2627" s="1">
        <v>3.386664E-6</v>
      </c>
      <c r="I2627">
        <v>285.14409999999998</v>
      </c>
      <c r="J2627">
        <v>-319.44639999999998</v>
      </c>
      <c r="K2627">
        <v>1.103845</v>
      </c>
      <c r="L2627">
        <v>283.05149999999998</v>
      </c>
      <c r="M2627">
        <v>-0.99974379999999996</v>
      </c>
      <c r="N2627">
        <v>0</v>
      </c>
      <c r="O2627">
        <v>1.8709690000000001E-2</v>
      </c>
      <c r="P2627">
        <v>-0.99710790000000005</v>
      </c>
      <c r="Q2627">
        <v>7.4750239999999996E-2</v>
      </c>
      <c r="R2627">
        <v>-1.3731520000000001E-2</v>
      </c>
      <c r="S2627">
        <v>-3.0255740000000002</v>
      </c>
      <c r="T2627">
        <v>-0.16615339999999901</v>
      </c>
      <c r="U2627">
        <v>0.31570429999999999</v>
      </c>
      <c r="V2627">
        <v>-3.2296199999999997E-2</v>
      </c>
      <c r="W2627">
        <v>8.7482850000000001E-2</v>
      </c>
      <c r="X2627">
        <v>0.99564240000000004</v>
      </c>
      <c r="Y2627">
        <v>8.5054669999999999E-2</v>
      </c>
      <c r="Z2627">
        <v>1.303673E-3</v>
      </c>
      <c r="AA2627">
        <v>0.99637540000000002</v>
      </c>
      <c r="AB2627">
        <v>43</v>
      </c>
      <c r="AC2627">
        <v>-19.8489</v>
      </c>
      <c r="AD2627">
        <v>-1.1038416133360001</v>
      </c>
      <c r="AE2627">
        <v>2.0926</v>
      </c>
      <c r="AF2627">
        <v>1.7155892332195599</v>
      </c>
      <c r="AG2627">
        <v>-1.1038416133360001</v>
      </c>
      <c r="AH2627">
        <v>19.823944167772101</v>
      </c>
      <c r="AI2627">
        <v>93.175222567600002</v>
      </c>
      <c r="AJ2627">
        <v>85.053873941071004</v>
      </c>
      <c r="AK2627">
        <v>19.928634551604802</v>
      </c>
      <c r="AL2627">
        <v>84.981186480479593</v>
      </c>
      <c r="AM2627">
        <v>91.8578832696017</v>
      </c>
      <c r="AN2627">
        <v>1.00000004112816</v>
      </c>
    </row>
    <row r="2628" spans="1:40" x14ac:dyDescent="0.3">
      <c r="A2628" t="str">
        <f>"20200111150006484"</f>
        <v>20200111150006484</v>
      </c>
      <c r="B2628" t="str">
        <f>"1578726006478760"</f>
        <v>1578726006478760</v>
      </c>
      <c r="C2628" t="s">
        <v>40</v>
      </c>
      <c r="D2628">
        <v>3.9775140000000002</v>
      </c>
      <c r="E2628">
        <v>0.54562600000000006</v>
      </c>
      <c r="F2628" t="s">
        <v>41</v>
      </c>
      <c r="G2628">
        <v>-320.39670000000001</v>
      </c>
      <c r="H2628">
        <v>1.0523640000000001</v>
      </c>
      <c r="I2628">
        <v>283.15170000000001</v>
      </c>
      <c r="J2628">
        <v>-319.74310000000003</v>
      </c>
      <c r="K2628">
        <v>1.1039490000000001</v>
      </c>
      <c r="L2628">
        <v>283.05709999999999</v>
      </c>
      <c r="M2628">
        <v>-0.99974419999999997</v>
      </c>
      <c r="N2628">
        <v>0</v>
      </c>
      <c r="O2628">
        <v>1.8687840000000001E-2</v>
      </c>
      <c r="P2628">
        <v>-0.99711070000000002</v>
      </c>
      <c r="Q2628">
        <v>7.4843770000000004E-2</v>
      </c>
      <c r="R2628">
        <v>-1.298566E-2</v>
      </c>
      <c r="S2628">
        <v>-3.0253909999999999</v>
      </c>
      <c r="T2628">
        <v>-0.1640847</v>
      </c>
      <c r="U2628">
        <v>0.3182373</v>
      </c>
      <c r="V2628">
        <v>-3.1550109999999999E-2</v>
      </c>
      <c r="W2628">
        <v>8.7566909999999998E-2</v>
      </c>
      <c r="X2628">
        <v>0.99565890000000001</v>
      </c>
      <c r="Y2628">
        <v>8.590892E-2</v>
      </c>
      <c r="Z2628">
        <v>1.311754E-3</v>
      </c>
      <c r="AA2628">
        <v>0.99630209999999997</v>
      </c>
      <c r="AB2628">
        <v>43</v>
      </c>
      <c r="AC2628">
        <v>-0.65359999999998297</v>
      </c>
      <c r="AD2628">
        <v>-5.15850000000002E-2</v>
      </c>
      <c r="AE2628">
        <v>9.4600000000014006E-2</v>
      </c>
      <c r="AF2628">
        <v>8.1868612612456301E-2</v>
      </c>
      <c r="AG2628">
        <v>-5.15850000000002E-2</v>
      </c>
      <c r="AH2628">
        <v>0.65128023084995401</v>
      </c>
      <c r="AI2628">
        <v>94.493472285219994</v>
      </c>
      <c r="AJ2628">
        <v>82.835264284275894</v>
      </c>
      <c r="AK2628">
        <v>0.65842951107317305</v>
      </c>
      <c r="AL2628">
        <v>84.976351481942899</v>
      </c>
      <c r="AM2628">
        <v>91.814962405447901</v>
      </c>
      <c r="AN2628">
        <v>1.0000000091585799</v>
      </c>
    </row>
    <row r="2629" spans="1:40" x14ac:dyDescent="0.3">
      <c r="A2629" t="str">
        <f>"20200111150006499"</f>
        <v>20200111150006499</v>
      </c>
      <c r="B2629" t="str">
        <f>"1578726006488519"</f>
        <v>1578726006488519</v>
      </c>
      <c r="C2629" t="s">
        <v>40</v>
      </c>
      <c r="D2629">
        <v>3.8081339999999999</v>
      </c>
      <c r="E2629">
        <v>0.54571800000000004</v>
      </c>
      <c r="F2629" t="s">
        <v>41</v>
      </c>
      <c r="G2629">
        <v>-320.77480000000003</v>
      </c>
      <c r="H2629">
        <v>1.0483439999999999</v>
      </c>
      <c r="I2629">
        <v>283.16680000000002</v>
      </c>
      <c r="J2629">
        <v>-320.02699999999999</v>
      </c>
      <c r="K2629">
        <v>1.10405</v>
      </c>
      <c r="L2629">
        <v>283.06240000000003</v>
      </c>
      <c r="M2629">
        <v>-0.99974600000000002</v>
      </c>
      <c r="N2629">
        <v>0</v>
      </c>
      <c r="O2629">
        <v>1.858947E-2</v>
      </c>
      <c r="P2629">
        <v>-0.99713180000000001</v>
      </c>
      <c r="Q2629">
        <v>7.4632939999999995E-2</v>
      </c>
      <c r="R2629">
        <v>-1.256901E-2</v>
      </c>
      <c r="S2629">
        <v>-3.0251160000000001</v>
      </c>
      <c r="T2629">
        <v>-0.16298869999999999</v>
      </c>
      <c r="U2629">
        <v>0.32168580000000002</v>
      </c>
      <c r="V2629">
        <v>-3.1058369999999998E-2</v>
      </c>
      <c r="W2629">
        <v>8.7347949999999994E-2</v>
      </c>
      <c r="X2629">
        <v>0.99569359999999996</v>
      </c>
      <c r="Y2629">
        <v>8.7138869999999993E-2</v>
      </c>
      <c r="Z2629">
        <v>1.3413429999999901E-3</v>
      </c>
      <c r="AA2629">
        <v>0.99619530000000001</v>
      </c>
      <c r="AB2629">
        <v>43</v>
      </c>
      <c r="AC2629">
        <v>-0.74780000000003999</v>
      </c>
      <c r="AD2629">
        <v>-5.5705999999999999E-2</v>
      </c>
      <c r="AE2629">
        <v>0.10439999999999799</v>
      </c>
      <c r="AF2629">
        <v>8.9989795204196907E-2</v>
      </c>
      <c r="AG2629">
        <v>-5.5705999999999999E-2</v>
      </c>
      <c r="AH2629">
        <v>0.74555350405948195</v>
      </c>
      <c r="AI2629">
        <v>94.242387352320804</v>
      </c>
      <c r="AJ2629">
        <v>83.117579509653297</v>
      </c>
      <c r="AK2629">
        <v>0.75302811972214301</v>
      </c>
      <c r="AL2629">
        <v>84.988945255559699</v>
      </c>
      <c r="AM2629">
        <v>91.786630656200401</v>
      </c>
      <c r="AN2629">
        <v>1.0000000158986</v>
      </c>
    </row>
    <row r="2630" spans="1:40" x14ac:dyDescent="0.3">
      <c r="A2630" t="str">
        <f>"20200111150006511"</f>
        <v>20200111150006511</v>
      </c>
      <c r="B2630" t="str">
        <f>"1578726006509016"</f>
        <v>1578726006509016</v>
      </c>
      <c r="C2630" t="s">
        <v>40</v>
      </c>
      <c r="D2630">
        <v>4.1438009999999998</v>
      </c>
      <c r="E2630">
        <v>0.54599779999999998</v>
      </c>
      <c r="F2630" t="s">
        <v>62</v>
      </c>
      <c r="G2630">
        <v>-340.6832</v>
      </c>
      <c r="H2630" s="1">
        <v>-1.1732400000000001E-6</v>
      </c>
      <c r="I2630">
        <v>285.27140000000003</v>
      </c>
      <c r="J2630">
        <v>-320.26830000000001</v>
      </c>
      <c r="K2630">
        <v>1.104141</v>
      </c>
      <c r="L2630">
        <v>283.06670000000003</v>
      </c>
      <c r="M2630">
        <v>-0.99974909999999995</v>
      </c>
      <c r="N2630">
        <v>0</v>
      </c>
      <c r="O2630">
        <v>1.842676E-2</v>
      </c>
      <c r="P2630">
        <v>-0.99716269999999996</v>
      </c>
      <c r="Q2630">
        <v>7.4263480000000007E-2</v>
      </c>
      <c r="R2630">
        <v>-1.2325829999999999E-2</v>
      </c>
      <c r="S2630">
        <v>-3.0248409999999999</v>
      </c>
      <c r="T2630">
        <v>-0.1616747</v>
      </c>
      <c r="U2630">
        <v>0.3234863</v>
      </c>
      <c r="V2630">
        <v>-3.0672439999999999E-2</v>
      </c>
      <c r="W2630">
        <v>8.6971740000000006E-2</v>
      </c>
      <c r="X2630">
        <v>0.99573849999999997</v>
      </c>
      <c r="Y2630">
        <v>8.7897080000000002E-2</v>
      </c>
      <c r="Z2630">
        <v>1.3594760000000001E-3</v>
      </c>
      <c r="AA2630">
        <v>0.99612860000000003</v>
      </c>
      <c r="AB2630">
        <v>43</v>
      </c>
      <c r="AC2630">
        <v>-20.4148999999999</v>
      </c>
      <c r="AD2630">
        <v>-1.1041421732400001</v>
      </c>
      <c r="AE2630">
        <v>2.2046999999999999</v>
      </c>
      <c r="AF2630">
        <v>1.8228439258785101</v>
      </c>
      <c r="AG2630">
        <v>-1.1041421732400001</v>
      </c>
      <c r="AH2630">
        <v>20.3930958630013</v>
      </c>
      <c r="AI2630">
        <v>93.086852908972205</v>
      </c>
      <c r="AJ2630">
        <v>84.8921714793414</v>
      </c>
      <c r="AK2630">
        <v>20.504151989155702</v>
      </c>
      <c r="AL2630">
        <v>85.010582872694798</v>
      </c>
      <c r="AM2630">
        <v>91.764364668015702</v>
      </c>
      <c r="AN2630">
        <v>1.0000000212582101</v>
      </c>
    </row>
    <row r="2631" spans="1:40" x14ac:dyDescent="0.3">
      <c r="A2631" t="str">
        <f>"20200111150006525"</f>
        <v>20200111150006525</v>
      </c>
      <c r="B2631" t="str">
        <f>"1578726006518776"</f>
        <v>1578726006518776</v>
      </c>
      <c r="C2631" t="s">
        <v>40</v>
      </c>
      <c r="D2631">
        <v>4.0409059999999997</v>
      </c>
      <c r="E2631">
        <v>0.54599779999999998</v>
      </c>
      <c r="F2631" t="s">
        <v>62</v>
      </c>
      <c r="G2631">
        <v>-341.01769999999999</v>
      </c>
      <c r="H2631" s="1">
        <v>-9.9522570000000007E-7</v>
      </c>
      <c r="I2631">
        <v>285.30579999999998</v>
      </c>
      <c r="J2631">
        <v>-320.52870000000001</v>
      </c>
      <c r="K2631">
        <v>1.104236</v>
      </c>
      <c r="L2631">
        <v>283.07139999999998</v>
      </c>
      <c r="M2631">
        <v>-0.99975309999999995</v>
      </c>
      <c r="N2631">
        <v>0</v>
      </c>
      <c r="O2631">
        <v>1.8206759999999999E-2</v>
      </c>
      <c r="P2631">
        <v>-0.99719310000000005</v>
      </c>
      <c r="Q2631">
        <v>7.3876709999999998E-2</v>
      </c>
      <c r="R2631">
        <v>-1.218677E-2</v>
      </c>
      <c r="S2631">
        <v>-3.024597</v>
      </c>
      <c r="T2631">
        <v>-0.1609487</v>
      </c>
      <c r="U2631">
        <v>0.3263855</v>
      </c>
      <c r="V2631">
        <v>-3.0336370000000001E-2</v>
      </c>
      <c r="W2631">
        <v>8.6577440000000006E-2</v>
      </c>
      <c r="X2631">
        <v>0.99578319999999998</v>
      </c>
      <c r="Y2631">
        <v>8.9067560000000004E-2</v>
      </c>
      <c r="Z2631">
        <v>1.396111E-3</v>
      </c>
      <c r="AA2631">
        <v>0.99602460000000004</v>
      </c>
      <c r="AB2631">
        <v>43</v>
      </c>
      <c r="AC2631">
        <v>-20.488999999999901</v>
      </c>
      <c r="AD2631">
        <v>-1.1042369952257001</v>
      </c>
      <c r="AE2631">
        <v>2.2343999999999902</v>
      </c>
      <c r="AF2631">
        <v>1.85563451122848</v>
      </c>
      <c r="AG2631">
        <v>-1.1042369952257001</v>
      </c>
      <c r="AH2631">
        <v>20.467536889397898</v>
      </c>
      <c r="AI2631">
        <v>93.075561087549005</v>
      </c>
      <c r="AJ2631">
        <v>84.819594075799699</v>
      </c>
      <c r="AK2631">
        <v>20.581126915204401</v>
      </c>
      <c r="AL2631">
        <v>85.033260354981707</v>
      </c>
      <c r="AM2631">
        <v>91.744966713659906</v>
      </c>
      <c r="AN2631">
        <v>1.00000006493198</v>
      </c>
    </row>
    <row r="2632" spans="1:40" x14ac:dyDescent="0.3">
      <c r="A2632" t="str">
        <f>"20200111150006539"</f>
        <v>20200111150006539</v>
      </c>
      <c r="B2632" t="str">
        <f>"1578726006528535"</f>
        <v>1578726006528535</v>
      </c>
      <c r="C2632" t="s">
        <v>40</v>
      </c>
      <c r="D2632">
        <v>4.0198679999999998</v>
      </c>
      <c r="E2632">
        <v>0.51734650000000004</v>
      </c>
      <c r="F2632" t="s">
        <v>41</v>
      </c>
      <c r="G2632">
        <v>-321.53949999999998</v>
      </c>
      <c r="H2632">
        <v>1.050103</v>
      </c>
      <c r="I2632">
        <v>283.18079999999998</v>
      </c>
      <c r="J2632">
        <v>-320.79660000000001</v>
      </c>
      <c r="K2632">
        <v>1.104344</v>
      </c>
      <c r="L2632">
        <v>283.07600000000002</v>
      </c>
      <c r="M2632">
        <v>-0.99975829999999999</v>
      </c>
      <c r="N2632">
        <v>0</v>
      </c>
      <c r="O2632">
        <v>1.7919210000000001E-2</v>
      </c>
      <c r="P2632">
        <v>-0.99721919999999997</v>
      </c>
      <c r="Q2632">
        <v>7.3473170000000004E-2</v>
      </c>
      <c r="R2632">
        <v>-1.2487460000000001E-2</v>
      </c>
      <c r="S2632">
        <v>-3.0244749999999998</v>
      </c>
      <c r="T2632">
        <v>-0.1621156</v>
      </c>
      <c r="U2632">
        <v>0.32678220000000002</v>
      </c>
      <c r="V2632">
        <v>-3.0373540000000001E-2</v>
      </c>
      <c r="W2632">
        <v>8.6166060000000003E-2</v>
      </c>
      <c r="X2632">
        <v>0.99581770000000003</v>
      </c>
      <c r="Y2632">
        <v>8.9485019999999998E-2</v>
      </c>
      <c r="Z2632">
        <v>1.4327630000000001E-3</v>
      </c>
      <c r="AA2632">
        <v>0.99598710000000001</v>
      </c>
      <c r="AB2632">
        <v>43</v>
      </c>
      <c r="AC2632">
        <v>-0.74289999999996303</v>
      </c>
      <c r="AD2632">
        <v>-5.42409999999999E-2</v>
      </c>
      <c r="AE2632">
        <v>0.104800000000011</v>
      </c>
      <c r="AF2632">
        <v>9.0994299118508398E-2</v>
      </c>
      <c r="AG2632">
        <v>-5.42409999999999E-2</v>
      </c>
      <c r="AH2632">
        <v>0.74078683110697596</v>
      </c>
      <c r="AI2632">
        <v>94.156638916736696</v>
      </c>
      <c r="AJ2632">
        <v>82.997172138157197</v>
      </c>
      <c r="AK2632">
        <v>0.74832291004257201</v>
      </c>
      <c r="AL2632">
        <v>85.056918865805599</v>
      </c>
      <c r="AM2632">
        <v>91.7470429400298</v>
      </c>
      <c r="AN2632">
        <v>1.00000001673067</v>
      </c>
    </row>
    <row r="2633" spans="1:40" x14ac:dyDescent="0.3">
      <c r="A2633" t="str">
        <f>"20200111150006554"</f>
        <v>20200111150006554</v>
      </c>
      <c r="B2633" t="str">
        <f>"1578726006549031"</f>
        <v>1578726006549031</v>
      </c>
      <c r="C2633" t="s">
        <v>40</v>
      </c>
      <c r="D2633">
        <v>4.0720109999999998</v>
      </c>
      <c r="E2633">
        <v>0.5089378</v>
      </c>
      <c r="F2633" t="s">
        <v>62</v>
      </c>
      <c r="G2633">
        <v>-344.02940000000001</v>
      </c>
      <c r="H2633" s="1">
        <v>6.0745240000000003E-7</v>
      </c>
      <c r="I2633">
        <v>283.82940000000002</v>
      </c>
      <c r="J2633">
        <v>-321.06900000000002</v>
      </c>
      <c r="K2633">
        <v>1.1044579999999999</v>
      </c>
      <c r="L2633">
        <v>283.08069999999998</v>
      </c>
      <c r="M2633">
        <v>-0.99976489999999996</v>
      </c>
      <c r="N2633">
        <v>0</v>
      </c>
      <c r="O2633">
        <v>1.7541350000000001E-2</v>
      </c>
      <c r="P2633">
        <v>-0.99719740000000001</v>
      </c>
      <c r="Q2633">
        <v>7.3596389999999998E-2</v>
      </c>
      <c r="R2633">
        <v>-1.3454529999999999E-2</v>
      </c>
      <c r="S2633">
        <v>-3.0201720000000001</v>
      </c>
      <c r="T2633">
        <v>-0.1435601</v>
      </c>
      <c r="U2633">
        <v>9.7930909999999996E-2</v>
      </c>
      <c r="V2633">
        <v>-3.0986719999999999E-2</v>
      </c>
      <c r="W2633">
        <v>8.6281010000000005E-2</v>
      </c>
      <c r="X2633">
        <v>0.99578880000000003</v>
      </c>
      <c r="Y2633">
        <v>1.4873040000000001E-2</v>
      </c>
      <c r="Z2633">
        <v>-4.798998E-4</v>
      </c>
      <c r="AA2633">
        <v>0.99988929999999998</v>
      </c>
      <c r="AB2633">
        <v>43</v>
      </c>
      <c r="AC2633">
        <v>-22.9604</v>
      </c>
      <c r="AD2633">
        <v>-1.1044573925476</v>
      </c>
      <c r="AE2633">
        <v>0.748700000000042</v>
      </c>
      <c r="AF2633">
        <v>0.34499822248349199</v>
      </c>
      <c r="AG2633">
        <v>-1.1044573925476</v>
      </c>
      <c r="AH2633">
        <v>22.917030269739499</v>
      </c>
      <c r="AI2633">
        <v>92.758850911999701</v>
      </c>
      <c r="AJ2633">
        <v>89.137521362989105</v>
      </c>
      <c r="AK2633">
        <v>22.946222484095902</v>
      </c>
      <c r="AL2633">
        <v>85.0503078240382</v>
      </c>
      <c r="AM2633">
        <v>91.782341353973905</v>
      </c>
      <c r="AN2633">
        <v>0.99999996185420803</v>
      </c>
    </row>
    <row r="2634" spans="1:40" x14ac:dyDescent="0.3">
      <c r="A2634" t="str">
        <f>"20200111150006567"</f>
        <v>20200111150006567</v>
      </c>
      <c r="B2634" t="str">
        <f>"1578726006558791"</f>
        <v>1578726006558791</v>
      </c>
      <c r="C2634" t="s">
        <v>40</v>
      </c>
      <c r="D2634">
        <v>4.0389470000000003</v>
      </c>
      <c r="E2634">
        <v>0.50759540000000003</v>
      </c>
      <c r="F2634" t="s">
        <v>62</v>
      </c>
      <c r="G2634">
        <v>-350.32659999999998</v>
      </c>
      <c r="H2634" s="1">
        <v>-1.3629929999999999E-6</v>
      </c>
      <c r="I2634">
        <v>283.35469999999998</v>
      </c>
      <c r="J2634">
        <v>-321.33010000000002</v>
      </c>
      <c r="K2634">
        <v>1.1045640000000001</v>
      </c>
      <c r="L2634">
        <v>283.08499999999998</v>
      </c>
      <c r="M2634">
        <v>-0.99977210000000005</v>
      </c>
      <c r="N2634">
        <v>0</v>
      </c>
      <c r="O2634">
        <v>1.713429E-2</v>
      </c>
      <c r="P2634">
        <v>-0.99717860000000003</v>
      </c>
      <c r="Q2634">
        <v>7.3688229999999993E-2</v>
      </c>
      <c r="R2634">
        <v>-1.432143E-2</v>
      </c>
      <c r="S2634">
        <v>-3.0172119999999998</v>
      </c>
      <c r="T2634">
        <v>-0.1138981</v>
      </c>
      <c r="U2634">
        <v>2.8259280000000001E-2</v>
      </c>
      <c r="V2634">
        <v>-3.1469869999999997E-2</v>
      </c>
      <c r="W2634">
        <v>8.6364140000000006E-2</v>
      </c>
      <c r="X2634">
        <v>0.9957665</v>
      </c>
      <c r="Y2634">
        <v>-7.75296699999999E-3</v>
      </c>
      <c r="Z2634">
        <v>-7.9286119999999905E-4</v>
      </c>
      <c r="AA2634">
        <v>0.99996960000000001</v>
      </c>
      <c r="AB2634">
        <v>43</v>
      </c>
      <c r="AC2634">
        <v>-28.996499999999902</v>
      </c>
      <c r="AD2634">
        <v>-1.1045653629929999</v>
      </c>
      <c r="AE2634">
        <v>0.2697</v>
      </c>
      <c r="AF2634">
        <v>-0.22688512813459399</v>
      </c>
      <c r="AG2634">
        <v>-1.1045653629929999</v>
      </c>
      <c r="AH2634">
        <v>28.954851833836798</v>
      </c>
      <c r="AI2634">
        <v>92.184584504857995</v>
      </c>
      <c r="AJ2634">
        <v>90.4489504661436</v>
      </c>
      <c r="AK2634">
        <v>28.976800827937002</v>
      </c>
      <c r="AL2634">
        <v>85.045527268556398</v>
      </c>
      <c r="AM2634">
        <v>91.810154075644704</v>
      </c>
      <c r="AN2634">
        <v>1.000000019959</v>
      </c>
    </row>
    <row r="2635" spans="1:40" x14ac:dyDescent="0.3">
      <c r="A2635" t="str">
        <f>"20200111150006586"</f>
        <v>20200111150006586</v>
      </c>
      <c r="B2635" t="str">
        <f>"1578726006578329"</f>
        <v>1578726006578329</v>
      </c>
      <c r="C2635" t="s">
        <v>40</v>
      </c>
      <c r="D2635">
        <v>4.1736089999999999</v>
      </c>
      <c r="E2635">
        <v>0.50529550000000001</v>
      </c>
      <c r="F2635" t="s">
        <v>62</v>
      </c>
      <c r="G2635">
        <v>-352.28649999999999</v>
      </c>
      <c r="H2635" s="1">
        <v>-3.2000990000000003E-7</v>
      </c>
      <c r="I2635">
        <v>283.23719999999997</v>
      </c>
      <c r="J2635">
        <v>-321.67899999999997</v>
      </c>
      <c r="K2635">
        <v>1.1047</v>
      </c>
      <c r="L2635">
        <v>283.09050000000002</v>
      </c>
      <c r="M2635">
        <v>-0.99978239999999996</v>
      </c>
      <c r="N2635">
        <v>0</v>
      </c>
      <c r="O2635">
        <v>1.651793E-2</v>
      </c>
      <c r="P2635">
        <v>-0.99712500000000004</v>
      </c>
      <c r="Q2635">
        <v>7.4095090000000002E-2</v>
      </c>
      <c r="R2635">
        <v>-1.58756E-2</v>
      </c>
      <c r="S2635">
        <v>-3.0166930000000001</v>
      </c>
      <c r="T2635">
        <v>-0.1076394</v>
      </c>
      <c r="U2635">
        <v>1.4831540000000001E-2</v>
      </c>
      <c r="V2635">
        <v>-3.2436899999999998E-2</v>
      </c>
      <c r="W2635">
        <v>8.67589E-2</v>
      </c>
      <c r="X2635">
        <v>0.99570110000000001</v>
      </c>
      <c r="Y2635">
        <v>-1.1585430000000001E-2</v>
      </c>
      <c r="Z2635">
        <v>-7.9583569999999997E-4</v>
      </c>
      <c r="AA2635">
        <v>0.99993259999999995</v>
      </c>
      <c r="AB2635">
        <v>43</v>
      </c>
      <c r="AC2635">
        <v>-30.607499999999899</v>
      </c>
      <c r="AD2635">
        <v>-1.1047003200098999</v>
      </c>
      <c r="AE2635">
        <v>0.14669999999995201</v>
      </c>
      <c r="AF2635">
        <v>-0.35846664318875598</v>
      </c>
      <c r="AG2635">
        <v>-1.1047003200098999</v>
      </c>
      <c r="AH2635">
        <v>30.5659306092519</v>
      </c>
      <c r="AI2635">
        <v>92.069715560656604</v>
      </c>
      <c r="AJ2635">
        <v>90.671914245907601</v>
      </c>
      <c r="AK2635">
        <v>30.587987432011801</v>
      </c>
      <c r="AL2635">
        <v>85.022823720373594</v>
      </c>
      <c r="AM2635">
        <v>91.865861593174699</v>
      </c>
      <c r="AN2635">
        <v>0.99999996987601403</v>
      </c>
    </row>
    <row r="2636" spans="1:40" x14ac:dyDescent="0.3">
      <c r="A2636" t="str">
        <f>"20200111150006599"</f>
        <v>20200111150006599</v>
      </c>
      <c r="B2636" t="str">
        <f>"1578726006589049"</f>
        <v>1578726006589049</v>
      </c>
      <c r="C2636" t="s">
        <v>40</v>
      </c>
      <c r="D2636">
        <v>4.0571929999999998</v>
      </c>
      <c r="E2636">
        <v>0.50503900000000002</v>
      </c>
      <c r="F2636" t="s">
        <v>62</v>
      </c>
      <c r="G2636">
        <v>-355.70749999999998</v>
      </c>
      <c r="H2636" s="1">
        <v>1.5004719999999999E-6</v>
      </c>
      <c r="I2636">
        <v>283.00229999999999</v>
      </c>
      <c r="J2636">
        <v>-321.94659999999999</v>
      </c>
      <c r="K2636">
        <v>1.1047979999999999</v>
      </c>
      <c r="L2636">
        <v>283.09449999999998</v>
      </c>
      <c r="M2636">
        <v>-0.99979079999999998</v>
      </c>
      <c r="N2636">
        <v>0</v>
      </c>
      <c r="O2636">
        <v>1.600147E-2</v>
      </c>
      <c r="P2636">
        <v>-0.99709020000000004</v>
      </c>
      <c r="Q2636">
        <v>7.4341939999999995E-2</v>
      </c>
      <c r="R2636">
        <v>-1.6867940000000001E-2</v>
      </c>
      <c r="S2636">
        <v>-3.0158079999999998</v>
      </c>
      <c r="T2636">
        <v>-9.7905039999999999E-2</v>
      </c>
      <c r="U2636">
        <v>-7.8125E-3</v>
      </c>
      <c r="V2636">
        <v>-3.2933780000000003E-2</v>
      </c>
      <c r="W2636">
        <v>8.6997370000000004E-2</v>
      </c>
      <c r="X2636">
        <v>0.99566399999999999</v>
      </c>
      <c r="Y2636">
        <v>-1.857468E-2</v>
      </c>
      <c r="Z2636">
        <v>-8.2078539999999903E-4</v>
      </c>
      <c r="AA2636">
        <v>0.99982709999999997</v>
      </c>
      <c r="AB2636">
        <v>43</v>
      </c>
      <c r="AC2636">
        <v>-33.7608999999999</v>
      </c>
      <c r="AD2636">
        <v>-1.104796499528</v>
      </c>
      <c r="AE2636">
        <v>-9.2199999999991095E-2</v>
      </c>
      <c r="AF2636">
        <v>-0.63177952071157195</v>
      </c>
      <c r="AG2636">
        <v>-1.104796499528</v>
      </c>
      <c r="AH2636">
        <v>33.718993005226899</v>
      </c>
      <c r="AI2636">
        <v>91.876285076040901</v>
      </c>
      <c r="AJ2636">
        <v>91.073402906058305</v>
      </c>
      <c r="AK2636">
        <v>33.743002385008701</v>
      </c>
      <c r="AL2636">
        <v>85.009108631103501</v>
      </c>
      <c r="AM2636">
        <v>91.894493394618095</v>
      </c>
      <c r="AN2636">
        <v>0.99999998857400196</v>
      </c>
    </row>
    <row r="2637" spans="1:40" x14ac:dyDescent="0.3">
      <c r="A2637" t="str">
        <f>"20200111150006612"</f>
        <v>20200111150006612</v>
      </c>
      <c r="B2637" t="str">
        <f>"1578726006608568"</f>
        <v>1578726006608568</v>
      </c>
      <c r="C2637" t="s">
        <v>40</v>
      </c>
      <c r="D2637">
        <v>4.0591030000000003</v>
      </c>
      <c r="E2637">
        <v>0.50426850000000001</v>
      </c>
      <c r="F2637" t="s">
        <v>62</v>
      </c>
      <c r="G2637">
        <v>-356.73439999999999</v>
      </c>
      <c r="H2637" s="1">
        <v>2.0469240000000001E-6</v>
      </c>
      <c r="I2637">
        <v>282.94420000000002</v>
      </c>
      <c r="J2637">
        <v>-322.1728</v>
      </c>
      <c r="K2637">
        <v>1.10487</v>
      </c>
      <c r="L2637">
        <v>283.09780000000001</v>
      </c>
      <c r="M2637">
        <v>-0.99979830000000003</v>
      </c>
      <c r="N2637">
        <v>0</v>
      </c>
      <c r="O2637">
        <v>1.5525489999999999E-2</v>
      </c>
      <c r="P2637">
        <v>-0.99704269999999995</v>
      </c>
      <c r="Q2637">
        <v>7.4702809999999994E-2</v>
      </c>
      <c r="R2637">
        <v>-1.804337E-2</v>
      </c>
      <c r="S2637">
        <v>-3.0156860000000001</v>
      </c>
      <c r="T2637">
        <v>-9.5772499999999997E-2</v>
      </c>
      <c r="U2637">
        <v>-1.3031010000000001E-2</v>
      </c>
      <c r="V2637">
        <v>-3.3649159999999997E-2</v>
      </c>
      <c r="W2637">
        <v>8.735031E-2</v>
      </c>
      <c r="X2637">
        <v>0.99560919999999997</v>
      </c>
      <c r="Y2637">
        <v>-1.9829289999999999E-2</v>
      </c>
      <c r="Z2637">
        <v>-8.0775259999999903E-4</v>
      </c>
      <c r="AA2637">
        <v>0.99980309999999994</v>
      </c>
      <c r="AB2637">
        <v>43</v>
      </c>
      <c r="AC2637">
        <v>-34.561599999999999</v>
      </c>
      <c r="AD2637">
        <v>-1.1048679530759999</v>
      </c>
      <c r="AE2637">
        <v>-0.153599999999983</v>
      </c>
      <c r="AF2637">
        <v>-0.68950618083736803</v>
      </c>
      <c r="AG2637">
        <v>-1.1048679530759999</v>
      </c>
      <c r="AH2637">
        <v>34.519771722978803</v>
      </c>
      <c r="AI2637">
        <v>91.8328642433666</v>
      </c>
      <c r="AJ2637">
        <v>91.144287447953701</v>
      </c>
      <c r="AK2637">
        <v>34.544330819596397</v>
      </c>
      <c r="AL2637">
        <v>84.988809493465794</v>
      </c>
      <c r="AM2637">
        <v>91.935720632175006</v>
      </c>
      <c r="AN2637">
        <v>1.0000000108752201</v>
      </c>
    </row>
    <row r="2638" spans="1:40" x14ac:dyDescent="0.3">
      <c r="A2638" t="str">
        <f>"20200111150006625"</f>
        <v>20200111150006625</v>
      </c>
      <c r="B2638" t="str">
        <f>"1578726006618329"</f>
        <v>1578726006618329</v>
      </c>
      <c r="C2638" t="s">
        <v>40</v>
      </c>
      <c r="D2638">
        <v>4.0313919999999897</v>
      </c>
      <c r="E2638">
        <v>0.50402230000000003</v>
      </c>
      <c r="F2638" t="s">
        <v>62</v>
      </c>
      <c r="G2638">
        <v>-357.60399999999998</v>
      </c>
      <c r="H2638" s="1">
        <v>2.5096909999999998E-6</v>
      </c>
      <c r="I2638">
        <v>282.83280000000002</v>
      </c>
      <c r="J2638">
        <v>-322.42450000000002</v>
      </c>
      <c r="K2638">
        <v>1.1049420000000001</v>
      </c>
      <c r="L2638">
        <v>283.10129999999998</v>
      </c>
      <c r="M2638">
        <v>-0.99980659999999999</v>
      </c>
      <c r="N2638">
        <v>0</v>
      </c>
      <c r="O2638">
        <v>1.498239E-2</v>
      </c>
      <c r="P2638">
        <v>-0.99699539999999998</v>
      </c>
      <c r="Q2638">
        <v>7.5074509999999997E-2</v>
      </c>
      <c r="R2638">
        <v>-1.9075519999999999E-2</v>
      </c>
      <c r="S2638">
        <v>-3.0155029999999998</v>
      </c>
      <c r="T2638">
        <v>-9.4033720000000001E-2</v>
      </c>
      <c r="U2638">
        <v>-2.2552490000000001E-2</v>
      </c>
      <c r="V2638">
        <v>-3.4155079999999997E-2</v>
      </c>
      <c r="W2638">
        <v>8.7714639999999997E-2</v>
      </c>
      <c r="X2638">
        <v>0.99555990000000005</v>
      </c>
      <c r="Y2638">
        <v>-2.2442799999999999E-2</v>
      </c>
      <c r="Z2638">
        <v>-8.1694530000000001E-4</v>
      </c>
      <c r="AA2638">
        <v>0.99974779999999996</v>
      </c>
      <c r="AB2638">
        <v>43</v>
      </c>
      <c r="AC2638">
        <v>-35.179499999999997</v>
      </c>
      <c r="AD2638">
        <v>-1.104939490309</v>
      </c>
      <c r="AE2638">
        <v>-0.26849999999995999</v>
      </c>
      <c r="AF2638">
        <v>-0.794801594610832</v>
      </c>
      <c r="AG2638">
        <v>-1.104939490309</v>
      </c>
      <c r="AH2638">
        <v>35.136867086389003</v>
      </c>
      <c r="AI2638">
        <v>91.800710883083596</v>
      </c>
      <c r="AJ2638">
        <v>91.295818782747503</v>
      </c>
      <c r="AK2638">
        <v>35.163219839750298</v>
      </c>
      <c r="AL2638">
        <v>84.967854288879593</v>
      </c>
      <c r="AM2638">
        <v>91.964899050530093</v>
      </c>
      <c r="AN2638">
        <v>0.99999997102407201</v>
      </c>
    </row>
    <row r="2639" spans="1:40" x14ac:dyDescent="0.3">
      <c r="A2639" t="str">
        <f>"20200111150006639"</f>
        <v>20200111150006639</v>
      </c>
      <c r="B2639" t="str">
        <f>"1578726006629064"</f>
        <v>1578726006629064</v>
      </c>
      <c r="C2639" t="s">
        <v>40</v>
      </c>
      <c r="D2639">
        <v>4.079815</v>
      </c>
      <c r="E2639">
        <v>0.50350629999999996</v>
      </c>
      <c r="F2639" t="s">
        <v>62</v>
      </c>
      <c r="G2639">
        <v>-358.75920000000002</v>
      </c>
      <c r="H2639" s="1">
        <v>3.1244039999999998E-6</v>
      </c>
      <c r="I2639">
        <v>282.77260000000001</v>
      </c>
      <c r="J2639">
        <v>-322.71010000000001</v>
      </c>
      <c r="K2639">
        <v>1.1050169999999999</v>
      </c>
      <c r="L2639">
        <v>283.10520000000002</v>
      </c>
      <c r="M2639">
        <v>-0.99981589999999998</v>
      </c>
      <c r="N2639">
        <v>0</v>
      </c>
      <c r="O2639">
        <v>1.4341410000000001E-2</v>
      </c>
      <c r="P2639">
        <v>-0.99693500000000002</v>
      </c>
      <c r="Q2639">
        <v>7.5397820000000004E-2</v>
      </c>
      <c r="R2639">
        <v>-2.0882729999999999E-2</v>
      </c>
      <c r="S2639">
        <v>-3.0154109999999998</v>
      </c>
      <c r="T2639">
        <v>-9.1698879999999997E-2</v>
      </c>
      <c r="U2639">
        <v>-2.7282710000000002E-2</v>
      </c>
      <c r="V2639">
        <v>-3.5338969999999997E-2</v>
      </c>
      <c r="W2639">
        <v>8.8028609999999993E-2</v>
      </c>
      <c r="X2639">
        <v>0.99549089999999996</v>
      </c>
      <c r="Y2639">
        <v>-2.3371010000000001E-2</v>
      </c>
      <c r="Z2639">
        <v>-7.9131250000000002E-4</v>
      </c>
      <c r="AA2639">
        <v>0.99972649999999996</v>
      </c>
      <c r="AB2639">
        <v>43</v>
      </c>
      <c r="AC2639">
        <v>-36.049100000000003</v>
      </c>
      <c r="AD2639">
        <v>-1.105013875596</v>
      </c>
      <c r="AE2639">
        <v>-0.332600000000013</v>
      </c>
      <c r="AF2639">
        <v>-0.84880524423992598</v>
      </c>
      <c r="AG2639">
        <v>-1.105013875596</v>
      </c>
      <c r="AH2639">
        <v>36.006792265318602</v>
      </c>
      <c r="AI2639">
        <v>91.757312842626604</v>
      </c>
      <c r="AJ2639">
        <v>91.350410560896293</v>
      </c>
      <c r="AK2639">
        <v>36.033742731580297</v>
      </c>
      <c r="AL2639">
        <v>84.949795451111697</v>
      </c>
      <c r="AM2639">
        <v>92.033091360428699</v>
      </c>
      <c r="AN2639">
        <v>1.0000000054810001</v>
      </c>
    </row>
    <row r="2640" spans="1:40" x14ac:dyDescent="0.3">
      <c r="A2640" t="str">
        <f>"20200111150006654"</f>
        <v>20200111150006654</v>
      </c>
      <c r="B2640" t="str">
        <f>"1578726006648583"</f>
        <v>1578726006648583</v>
      </c>
      <c r="C2640" t="s">
        <v>40</v>
      </c>
      <c r="D2640">
        <v>4.0031239999999997</v>
      </c>
      <c r="E2640">
        <v>0.50284890000000004</v>
      </c>
      <c r="F2640" t="s">
        <v>62</v>
      </c>
      <c r="G2640">
        <v>-359.32150000000001</v>
      </c>
      <c r="H2640" s="1">
        <v>3.4236480000000002E-6</v>
      </c>
      <c r="I2640">
        <v>282.65870000000001</v>
      </c>
      <c r="J2640">
        <v>-322.97309999999999</v>
      </c>
      <c r="K2640">
        <v>1.105078</v>
      </c>
      <c r="L2640">
        <v>283.10840000000002</v>
      </c>
      <c r="M2640">
        <v>-0.99982459999999995</v>
      </c>
      <c r="N2640">
        <v>0</v>
      </c>
      <c r="O2640">
        <v>1.3727319999999999E-2</v>
      </c>
      <c r="P2640">
        <v>-0.99688730000000003</v>
      </c>
      <c r="Q2640">
        <v>7.5802939999999999E-2</v>
      </c>
      <c r="R2640">
        <v>-2.1672520000000001E-2</v>
      </c>
      <c r="S2640">
        <v>-3.0153500000000002</v>
      </c>
      <c r="T2640">
        <v>-9.1009969999999996E-2</v>
      </c>
      <c r="U2640">
        <v>-3.6773680000000003E-2</v>
      </c>
      <c r="V2640">
        <v>-3.552806E-2</v>
      </c>
      <c r="W2640">
        <v>8.8427599999999995E-2</v>
      </c>
      <c r="X2640">
        <v>0.99544880000000002</v>
      </c>
      <c r="Y2640">
        <v>-2.5902809999999998E-2</v>
      </c>
      <c r="Z2640">
        <v>-8.0504250000000002E-4</v>
      </c>
      <c r="AA2640">
        <v>0.99966410000000006</v>
      </c>
      <c r="AB2640">
        <v>43</v>
      </c>
      <c r="AC2640">
        <v>-36.348399999999998</v>
      </c>
      <c r="AD2640">
        <v>-1.105074576352</v>
      </c>
      <c r="AE2640">
        <v>-0.44970000000000698</v>
      </c>
      <c r="AF2640">
        <v>-0.94778833639652404</v>
      </c>
      <c r="AG2640">
        <v>-1.105074576352</v>
      </c>
      <c r="AH2640">
        <v>36.305249094721603</v>
      </c>
      <c r="AI2640">
        <v>91.742861507747406</v>
      </c>
      <c r="AJ2640">
        <v>91.495429485021205</v>
      </c>
      <c r="AK2640">
        <v>36.334427260928301</v>
      </c>
      <c r="AL2640">
        <v>84.926845474321397</v>
      </c>
      <c r="AM2640">
        <v>92.044047092559794</v>
      </c>
      <c r="AN2640">
        <v>0.99999999845528098</v>
      </c>
    </row>
    <row r="2641" spans="1:40" x14ac:dyDescent="0.3">
      <c r="A2641" t="str">
        <f>"20200111150006667"</f>
        <v>20200111150006667</v>
      </c>
      <c r="B2641" t="str">
        <f>"1578726006658343"</f>
        <v>1578726006658343</v>
      </c>
      <c r="C2641" t="s">
        <v>40</v>
      </c>
      <c r="D2641">
        <v>4.0768700000000004</v>
      </c>
      <c r="E2641">
        <v>0.50252629999999998</v>
      </c>
      <c r="F2641" t="s">
        <v>62</v>
      </c>
      <c r="G2641">
        <v>-360.16640000000001</v>
      </c>
      <c r="H2641" s="1">
        <v>-1.448254E-6</v>
      </c>
      <c r="I2641">
        <v>282.55880000000002</v>
      </c>
      <c r="J2641">
        <v>-323.22519999999997</v>
      </c>
      <c r="K2641">
        <v>1.1051260000000001</v>
      </c>
      <c r="L2641">
        <v>283.11149999999998</v>
      </c>
      <c r="M2641">
        <v>-0.99983259999999996</v>
      </c>
      <c r="N2641">
        <v>0</v>
      </c>
      <c r="O2641">
        <v>1.313394E-2</v>
      </c>
      <c r="P2641">
        <v>-0.99682649999999995</v>
      </c>
      <c r="Q2641">
        <v>7.6409099999999994E-2</v>
      </c>
      <c r="R2641">
        <v>-2.2343539999999999E-2</v>
      </c>
      <c r="S2641">
        <v>-3.0151979999999998</v>
      </c>
      <c r="T2641">
        <v>-8.9587089999999994E-2</v>
      </c>
      <c r="U2641">
        <v>-4.4555659999999997E-2</v>
      </c>
      <c r="V2641">
        <v>-3.5617759999999998E-2</v>
      </c>
      <c r="W2641">
        <v>8.9027930000000005E-2</v>
      </c>
      <c r="X2641">
        <v>0.9953921</v>
      </c>
      <c r="Y2641">
        <v>-2.788962E-2</v>
      </c>
      <c r="Z2641">
        <v>-8.0437110000000005E-4</v>
      </c>
      <c r="AA2641">
        <v>0.99961069999999996</v>
      </c>
      <c r="AB2641">
        <v>43</v>
      </c>
      <c r="AC2641">
        <v>-36.941200000000002</v>
      </c>
      <c r="AD2641">
        <v>-1.1051274482539899</v>
      </c>
      <c r="AE2641">
        <v>-0.552699999999958</v>
      </c>
      <c r="AF2641">
        <v>-1.0369473777690399</v>
      </c>
      <c r="AG2641">
        <v>-1.1051274482539899</v>
      </c>
      <c r="AH2641">
        <v>36.897738899918402</v>
      </c>
      <c r="AI2641">
        <v>91.714881439215603</v>
      </c>
      <c r="AJ2641">
        <v>91.609775455939996</v>
      </c>
      <c r="AK2641">
        <v>36.928846481682797</v>
      </c>
      <c r="AL2641">
        <v>84.892312983419103</v>
      </c>
      <c r="AM2641">
        <v>92.049320064876298</v>
      </c>
      <c r="AN2641">
        <v>1.0000000149449499</v>
      </c>
    </row>
    <row r="2642" spans="1:40" x14ac:dyDescent="0.3">
      <c r="A2642" t="str">
        <f>"20200111150006679"</f>
        <v>20200111150006679</v>
      </c>
      <c r="B2642" t="str">
        <f>"1578726006669079"</f>
        <v>1578726006669079</v>
      </c>
      <c r="C2642" t="s">
        <v>40</v>
      </c>
      <c r="D2642">
        <v>4.0476779999999897</v>
      </c>
      <c r="E2642">
        <v>0.50234699999999999</v>
      </c>
      <c r="F2642" t="s">
        <v>62</v>
      </c>
      <c r="G2642">
        <v>-361.0659</v>
      </c>
      <c r="H2642" s="1">
        <v>-9.6954119999999994E-7</v>
      </c>
      <c r="I2642">
        <v>282.49180000000001</v>
      </c>
      <c r="J2642">
        <v>-323.46780000000001</v>
      </c>
      <c r="K2642">
        <v>1.105167</v>
      </c>
      <c r="L2642">
        <v>283.11430000000001</v>
      </c>
      <c r="M2642">
        <v>-0.9998399</v>
      </c>
      <c r="N2642">
        <v>0</v>
      </c>
      <c r="O2642">
        <v>1.255858E-2</v>
      </c>
      <c r="P2642">
        <v>-0.9967821</v>
      </c>
      <c r="Q2642">
        <v>7.6931540000000007E-2</v>
      </c>
      <c r="R2642">
        <v>-2.2521360000000001E-2</v>
      </c>
      <c r="S2642">
        <v>-3.0151979999999998</v>
      </c>
      <c r="T2642">
        <v>-8.8057880000000005E-2</v>
      </c>
      <c r="U2642">
        <v>-4.9377440000000002E-2</v>
      </c>
      <c r="V2642">
        <v>-3.5231169999999999E-2</v>
      </c>
      <c r="W2642">
        <v>8.9547050000000003E-2</v>
      </c>
      <c r="X2642">
        <v>0.99535929999999995</v>
      </c>
      <c r="Y2642">
        <v>-2.8912940000000002E-2</v>
      </c>
      <c r="Z2642">
        <v>-7.8877660000000003E-4</v>
      </c>
      <c r="AA2642">
        <v>0.99958159999999896</v>
      </c>
      <c r="AB2642">
        <v>43</v>
      </c>
      <c r="AC2642">
        <v>-37.598099999999903</v>
      </c>
      <c r="AD2642">
        <v>-1.1051679695412</v>
      </c>
      <c r="AE2642">
        <v>-0.62250000000000205</v>
      </c>
      <c r="AF2642">
        <v>-1.0937232640469301</v>
      </c>
      <c r="AG2642">
        <v>-1.1051679695412</v>
      </c>
      <c r="AH2642">
        <v>37.554876756960098</v>
      </c>
      <c r="AI2642">
        <v>91.6849044081263</v>
      </c>
      <c r="AJ2642">
        <v>91.668172668126999</v>
      </c>
      <c r="AK2642">
        <v>37.587050895882697</v>
      </c>
      <c r="AL2642">
        <v>84.862450364346103</v>
      </c>
      <c r="AM2642">
        <v>92.027162443402005</v>
      </c>
      <c r="AN2642">
        <v>1.00000002279988</v>
      </c>
    </row>
    <row r="2643" spans="1:40" x14ac:dyDescent="0.3">
      <c r="A2643" t="str">
        <f>"20200111150006697"</f>
        <v>20200111150006697</v>
      </c>
      <c r="B2643" t="str">
        <f>"1578726006688599"</f>
        <v>1578726006688599</v>
      </c>
      <c r="C2643" t="s">
        <v>40</v>
      </c>
      <c r="D2643">
        <v>4.0564609999999997</v>
      </c>
      <c r="E2643">
        <v>0.50223370000000001</v>
      </c>
      <c r="F2643" t="s">
        <v>62</v>
      </c>
      <c r="G2643">
        <v>-361.78879999999998</v>
      </c>
      <c r="H2643" s="1">
        <v>-5.8489829999999998E-7</v>
      </c>
      <c r="I2643">
        <v>282.45769999999999</v>
      </c>
      <c r="J2643">
        <v>-323.78660000000002</v>
      </c>
      <c r="K2643">
        <v>1.1052040000000001</v>
      </c>
      <c r="L2643">
        <v>283.11770000000001</v>
      </c>
      <c r="M2643">
        <v>-0.99984919999999999</v>
      </c>
      <c r="N2643">
        <v>0</v>
      </c>
      <c r="O2643">
        <v>1.180198E-2</v>
      </c>
      <c r="P2643">
        <v>-0.9967241</v>
      </c>
      <c r="Q2643">
        <v>7.7716190000000004E-2</v>
      </c>
      <c r="R2643">
        <v>-2.2389349999999999E-2</v>
      </c>
      <c r="S2643">
        <v>-3.015228</v>
      </c>
      <c r="T2643">
        <v>-8.6958530000000006E-2</v>
      </c>
      <c r="U2643">
        <v>-5.1666259999999999E-2</v>
      </c>
      <c r="V2643">
        <v>-3.4353990000000001E-2</v>
      </c>
      <c r="W2643">
        <v>9.0329199999999998E-2</v>
      </c>
      <c r="X2643">
        <v>0.99531919999999996</v>
      </c>
      <c r="Y2643">
        <v>-2.8915670000000001E-2</v>
      </c>
      <c r="Z2643">
        <v>-7.5714459999999995E-4</v>
      </c>
      <c r="AA2643">
        <v>0.99958159999999896</v>
      </c>
      <c r="AB2643">
        <v>43</v>
      </c>
      <c r="AC2643">
        <v>-38.002199999999903</v>
      </c>
      <c r="AD2643">
        <v>-1.1052045848983001</v>
      </c>
      <c r="AE2643">
        <v>-0.66000000000002501</v>
      </c>
      <c r="AF2643">
        <v>-1.10755514075967</v>
      </c>
      <c r="AG2643">
        <v>-1.1052045848983001</v>
      </c>
      <c r="AH2643">
        <v>37.959666319064802</v>
      </c>
      <c r="AI2643">
        <v>91.666999910909993</v>
      </c>
      <c r="AJ2643">
        <v>91.671253807491098</v>
      </c>
      <c r="AK2643">
        <v>37.991899434208896</v>
      </c>
      <c r="AL2643">
        <v>84.817453662466306</v>
      </c>
      <c r="AM2643">
        <v>91.976810607256795</v>
      </c>
      <c r="AN2643">
        <v>0.99999993544509702</v>
      </c>
    </row>
    <row r="2644" spans="1:40" x14ac:dyDescent="0.3">
      <c r="A2644" t="str">
        <f>"20200111150006711"</f>
        <v>20200111150006711</v>
      </c>
      <c r="B2644" t="str">
        <f>"1578726006698360"</f>
        <v>1578726006698360</v>
      </c>
      <c r="C2644" t="s">
        <v>40</v>
      </c>
      <c r="D2644">
        <v>4.0628580000000003</v>
      </c>
      <c r="E2644">
        <v>0.50214250000000005</v>
      </c>
      <c r="F2644" t="s">
        <v>62</v>
      </c>
      <c r="G2644">
        <v>-363.54770000000002</v>
      </c>
      <c r="H2644" s="1">
        <v>3.5112069999999998E-7</v>
      </c>
      <c r="I2644">
        <v>282.42309999999998</v>
      </c>
      <c r="J2644">
        <v>-324.04640000000001</v>
      </c>
      <c r="K2644">
        <v>1.105229</v>
      </c>
      <c r="L2644">
        <v>283.12029999999999</v>
      </c>
      <c r="M2644">
        <v>-0.99985619999999997</v>
      </c>
      <c r="N2644">
        <v>0</v>
      </c>
      <c r="O2644">
        <v>1.119129E-2</v>
      </c>
      <c r="P2644">
        <v>-0.99668610000000002</v>
      </c>
      <c r="Q2644">
        <v>7.812993E-2</v>
      </c>
      <c r="R2644">
        <v>-2.2641540000000002E-2</v>
      </c>
      <c r="S2644">
        <v>-3.0151669999999999</v>
      </c>
      <c r="T2644">
        <v>-8.3809969999999998E-2</v>
      </c>
      <c r="U2644">
        <v>-5.2673339999999999E-2</v>
      </c>
      <c r="V2644">
        <v>-3.4003409999999998E-2</v>
      </c>
      <c r="W2644">
        <v>9.0740929999999997E-2</v>
      </c>
      <c r="X2644">
        <v>0.99529389999999995</v>
      </c>
      <c r="Y2644">
        <v>-2.8640809999999999E-2</v>
      </c>
      <c r="Z2644">
        <v>-7.0896329999999995E-4</v>
      </c>
      <c r="AA2644">
        <v>0.99958950000000002</v>
      </c>
      <c r="AB2644">
        <v>43</v>
      </c>
      <c r="AC2644">
        <v>-39.501300000000001</v>
      </c>
      <c r="AD2644">
        <v>-1.1052286488792999</v>
      </c>
      <c r="AE2644">
        <v>-0.69720000000000903</v>
      </c>
      <c r="AF2644">
        <v>-1.1383718179451701</v>
      </c>
      <c r="AG2644">
        <v>-1.1052286488792999</v>
      </c>
      <c r="AH2644">
        <v>39.460140691118397</v>
      </c>
      <c r="AI2644">
        <v>91.603696047847293</v>
      </c>
      <c r="AJ2644">
        <v>91.6524476216224</v>
      </c>
      <c r="AK2644">
        <v>39.492026082806298</v>
      </c>
      <c r="AL2644">
        <v>84.793766577230002</v>
      </c>
      <c r="AM2644">
        <v>91.956702857166505</v>
      </c>
      <c r="AN2644">
        <v>1.00000004782305</v>
      </c>
    </row>
    <row r="2645" spans="1:40" x14ac:dyDescent="0.3">
      <c r="A2645" t="str">
        <f>"20200111150006722"</f>
        <v>20200111150006722</v>
      </c>
      <c r="B2645" t="str">
        <f>"1578726006718855"</f>
        <v>1578726006718855</v>
      </c>
      <c r="C2645" t="s">
        <v>40</v>
      </c>
      <c r="D2645">
        <v>4.0444990000000001</v>
      </c>
      <c r="E2645">
        <v>0.5019998</v>
      </c>
      <c r="F2645" t="s">
        <v>62</v>
      </c>
      <c r="G2645">
        <v>-364.25869999999998</v>
      </c>
      <c r="H2645" s="1">
        <v>7.2947199999999898E-7</v>
      </c>
      <c r="I2645">
        <v>282.39909999999998</v>
      </c>
      <c r="J2645">
        <v>-324.28730000000002</v>
      </c>
      <c r="K2645">
        <v>1.105246</v>
      </c>
      <c r="L2645">
        <v>283.12259999999998</v>
      </c>
      <c r="M2645">
        <v>-0.99986240000000004</v>
      </c>
      <c r="N2645">
        <v>0</v>
      </c>
      <c r="O2645">
        <v>1.062886E-2</v>
      </c>
      <c r="P2645">
        <v>-0.99666730000000003</v>
      </c>
      <c r="Q2645">
        <v>7.8274440000000001E-2</v>
      </c>
      <c r="R2645">
        <v>-2.2971200000000001E-2</v>
      </c>
      <c r="S2645">
        <v>-3.0152589999999999</v>
      </c>
      <c r="T2645">
        <v>-8.2873820000000001E-2</v>
      </c>
      <c r="U2645">
        <v>-5.4077149999999997E-2</v>
      </c>
      <c r="V2645">
        <v>-3.377658E-2</v>
      </c>
      <c r="W2645">
        <v>9.0883870000000005E-2</v>
      </c>
      <c r="X2645">
        <v>0.99528859999999997</v>
      </c>
      <c r="Y2645">
        <v>-2.8543820000000001E-2</v>
      </c>
      <c r="Z2645">
        <v>-6.8423520000000001E-4</v>
      </c>
      <c r="AA2645">
        <v>0.99959229999999999</v>
      </c>
      <c r="AB2645">
        <v>43</v>
      </c>
      <c r="AC2645">
        <v>-39.971399999999903</v>
      </c>
      <c r="AD2645">
        <v>-1.105245270528</v>
      </c>
      <c r="AE2645">
        <v>-0.72350000000000103</v>
      </c>
      <c r="AF2645">
        <v>-1.1474669660817001</v>
      </c>
      <c r="AG2645">
        <v>-1.105245270528</v>
      </c>
      <c r="AH2645">
        <v>39.930931039930499</v>
      </c>
      <c r="AI2645">
        <v>91.584826925573495</v>
      </c>
      <c r="AJ2645">
        <v>91.646015374112395</v>
      </c>
      <c r="AK2645">
        <v>39.962701375932497</v>
      </c>
      <c r="AL2645">
        <v>84.785542834414898</v>
      </c>
      <c r="AM2645">
        <v>91.943670468203507</v>
      </c>
      <c r="AN2645">
        <v>1.00000006623631</v>
      </c>
    </row>
    <row r="2646" spans="1:40" x14ac:dyDescent="0.3">
      <c r="A2646" t="str">
        <f>"20200111150006735"</f>
        <v>20200111150006735</v>
      </c>
      <c r="B2646" t="str">
        <f>"1578726006728615"</f>
        <v>1578726006728615</v>
      </c>
      <c r="C2646" t="s">
        <v>40</v>
      </c>
      <c r="D2646">
        <v>4.0506609999999998</v>
      </c>
      <c r="E2646">
        <v>0.50188390000000005</v>
      </c>
      <c r="F2646" t="s">
        <v>62</v>
      </c>
      <c r="G2646">
        <v>-364.93110000000001</v>
      </c>
      <c r="H2646" s="1">
        <v>1.0872900000000001E-6</v>
      </c>
      <c r="I2646">
        <v>282.36279999999999</v>
      </c>
      <c r="J2646">
        <v>-324.5292</v>
      </c>
      <c r="K2646">
        <v>1.105259</v>
      </c>
      <c r="L2646">
        <v>283.12479999999999</v>
      </c>
      <c r="M2646">
        <v>-0.99986819999999998</v>
      </c>
      <c r="N2646">
        <v>0</v>
      </c>
      <c r="O2646">
        <v>1.0072660000000001E-2</v>
      </c>
      <c r="P2646">
        <v>-0.9966564</v>
      </c>
      <c r="Q2646">
        <v>7.8379850000000001E-2</v>
      </c>
      <c r="R2646">
        <v>-2.308286E-2</v>
      </c>
      <c r="S2646">
        <v>-3.0151669999999999</v>
      </c>
      <c r="T2646">
        <v>-8.1992750000000003E-2</v>
      </c>
      <c r="U2646">
        <v>-5.6365970000000001E-2</v>
      </c>
      <c r="V2646">
        <v>-3.3336780000000003E-2</v>
      </c>
      <c r="W2646">
        <v>9.0988330000000006E-2</v>
      </c>
      <c r="X2646">
        <v>0.99529380000000001</v>
      </c>
      <c r="Y2646">
        <v>-2.87473E-2</v>
      </c>
      <c r="Z2646">
        <v>-6.6462330000000003E-4</v>
      </c>
      <c r="AA2646">
        <v>0.99958650000000004</v>
      </c>
      <c r="AB2646">
        <v>43</v>
      </c>
      <c r="AC2646">
        <v>-40.401899999999998</v>
      </c>
      <c r="AD2646">
        <v>-1.10525791271</v>
      </c>
      <c r="AE2646">
        <v>-0.76200000000000001</v>
      </c>
      <c r="AF2646">
        <v>-1.1680750754946601</v>
      </c>
      <c r="AG2646">
        <v>-1.10525791271</v>
      </c>
      <c r="AH2646">
        <v>40.361978607035098</v>
      </c>
      <c r="AI2646">
        <v>91.567918916550795</v>
      </c>
      <c r="AJ2646">
        <v>91.657676350868996</v>
      </c>
      <c r="AK2646">
        <v>40.394000934672903</v>
      </c>
      <c r="AL2646">
        <v>84.779532379285101</v>
      </c>
      <c r="AM2646">
        <v>91.918371233637203</v>
      </c>
      <c r="AN2646">
        <v>0.99999998270769797</v>
      </c>
    </row>
    <row r="2647" spans="1:40" x14ac:dyDescent="0.3">
      <c r="A2647" t="str">
        <f>"20200111150006747"</f>
        <v>20200111150006747</v>
      </c>
      <c r="B2647" t="str">
        <f>"1578726006738376"</f>
        <v>1578726006738376</v>
      </c>
      <c r="C2647" t="s">
        <v>40</v>
      </c>
      <c r="D2647">
        <v>4.0115639999999999</v>
      </c>
      <c r="E2647">
        <v>0.50179390000000001</v>
      </c>
      <c r="F2647" t="s">
        <v>62</v>
      </c>
      <c r="G2647">
        <v>-365.39190000000002</v>
      </c>
      <c r="H2647" s="1">
        <v>1.332493E-6</v>
      </c>
      <c r="I2647">
        <v>282.34190000000001</v>
      </c>
      <c r="J2647">
        <v>-324.75740000000002</v>
      </c>
      <c r="K2647">
        <v>1.10527</v>
      </c>
      <c r="L2647">
        <v>283.12670000000003</v>
      </c>
      <c r="M2647">
        <v>-0.99987329999999996</v>
      </c>
      <c r="N2647">
        <v>0</v>
      </c>
      <c r="O2647">
        <v>9.5548500000000001E-3</v>
      </c>
      <c r="P2647">
        <v>-0.99664589999999997</v>
      </c>
      <c r="Q2647">
        <v>7.8385410000000003E-2</v>
      </c>
      <c r="R2647">
        <v>-2.3514110000000001E-2</v>
      </c>
      <c r="S2647">
        <v>-3.0151370000000002</v>
      </c>
      <c r="T2647">
        <v>-8.1553699999999896E-2</v>
      </c>
      <c r="U2647">
        <v>-5.776978E-2</v>
      </c>
      <c r="V2647">
        <v>-3.3254190000000003E-2</v>
      </c>
      <c r="W2647">
        <v>9.0992610000000002E-2</v>
      </c>
      <c r="X2647">
        <v>0.99529619999999996</v>
      </c>
      <c r="Y2647">
        <v>-2.8695419999999999E-2</v>
      </c>
      <c r="Z2647">
        <v>-6.4636499999999998E-4</v>
      </c>
      <c r="AA2647">
        <v>0.99958800000000003</v>
      </c>
      <c r="AB2647">
        <v>43</v>
      </c>
      <c r="AC2647">
        <v>-40.634500000000003</v>
      </c>
      <c r="AD2647">
        <v>-1.105268667507</v>
      </c>
      <c r="AE2647">
        <v>-0.78480000000001804</v>
      </c>
      <c r="AF2647">
        <v>-1.1721852690363499</v>
      </c>
      <c r="AG2647">
        <v>-1.105268667507</v>
      </c>
      <c r="AH2647">
        <v>40.595122282199704</v>
      </c>
      <c r="AI2647">
        <v>91.558936672202293</v>
      </c>
      <c r="AJ2647">
        <v>91.653957634796001</v>
      </c>
      <c r="AK2647">
        <v>40.627079518949699</v>
      </c>
      <c r="AL2647">
        <v>84.779286279867506</v>
      </c>
      <c r="AM2647">
        <v>91.913617503655601</v>
      </c>
      <c r="AN2647">
        <v>1.0000000109808</v>
      </c>
    </row>
    <row r="2648" spans="1:40" x14ac:dyDescent="0.3">
      <c r="A2648" t="str">
        <f>"20200111150006759"</f>
        <v>20200111150006759</v>
      </c>
      <c r="B2648" t="str">
        <f>"1578726006749111"</f>
        <v>1578726006749111</v>
      </c>
      <c r="C2648" t="s">
        <v>40</v>
      </c>
      <c r="D2648">
        <v>4.0330389999999996</v>
      </c>
      <c r="E2648">
        <v>0.50167399999999995</v>
      </c>
      <c r="F2648" t="s">
        <v>62</v>
      </c>
      <c r="G2648">
        <v>-365.3691</v>
      </c>
      <c r="H2648" s="1">
        <v>1.3203610000000001E-6</v>
      </c>
      <c r="I2648">
        <v>282.31979999999999</v>
      </c>
      <c r="J2648">
        <v>-324.99310000000003</v>
      </c>
      <c r="K2648">
        <v>1.105283</v>
      </c>
      <c r="L2648">
        <v>283.12869999999998</v>
      </c>
      <c r="M2648">
        <v>-0.99987820000000005</v>
      </c>
      <c r="N2648">
        <v>0</v>
      </c>
      <c r="O2648">
        <v>9.0251480000000002E-3</v>
      </c>
      <c r="P2648">
        <v>-0.99662300000000004</v>
      </c>
      <c r="Q2648">
        <v>7.8619259999999996E-2</v>
      </c>
      <c r="R2648">
        <v>-2.3701150000000001E-2</v>
      </c>
      <c r="S2648">
        <v>-3.0150760000000001</v>
      </c>
      <c r="T2648">
        <v>-8.2057000000000005E-2</v>
      </c>
      <c r="U2648">
        <v>-5.9906010000000003E-2</v>
      </c>
      <c r="V2648">
        <v>-3.291558E-2</v>
      </c>
      <c r="W2648">
        <v>9.1225760000000003E-2</v>
      </c>
      <c r="X2648">
        <v>0.99528609999999995</v>
      </c>
      <c r="Y2648">
        <v>-2.8874170000000001E-2</v>
      </c>
      <c r="Z2648">
        <v>-6.3837970000000003E-4</v>
      </c>
      <c r="AA2648">
        <v>0.99958279999999999</v>
      </c>
      <c r="AB2648">
        <v>43</v>
      </c>
      <c r="AC2648">
        <v>-40.375999999999898</v>
      </c>
      <c r="AD2648">
        <v>-1.1052816796389999</v>
      </c>
      <c r="AE2648">
        <v>-0.80889999999999396</v>
      </c>
      <c r="AF2648">
        <v>-1.17241774144349</v>
      </c>
      <c r="AG2648">
        <v>-1.1052816796389999</v>
      </c>
      <c r="AH2648">
        <v>40.336838984272198</v>
      </c>
      <c r="AI2648">
        <v>91.568923629599993</v>
      </c>
      <c r="AJ2648">
        <v>91.664872186566996</v>
      </c>
      <c r="AK2648">
        <v>40.369007793044602</v>
      </c>
      <c r="AL2648">
        <v>84.765871908369405</v>
      </c>
      <c r="AM2648">
        <v>91.894165613253506</v>
      </c>
      <c r="AN2648">
        <v>0.99999999777376103</v>
      </c>
    </row>
    <row r="2649" spans="1:40" x14ac:dyDescent="0.3">
      <c r="A2649" t="str">
        <f>"20200111150006775"</f>
        <v>20200111150006775</v>
      </c>
      <c r="B2649" t="str">
        <f>"1578726006768631"</f>
        <v>1578726006768631</v>
      </c>
      <c r="C2649" t="s">
        <v>40</v>
      </c>
      <c r="D2649">
        <v>4.0139209999999999</v>
      </c>
      <c r="E2649">
        <v>0.50163749999999996</v>
      </c>
      <c r="F2649" t="s">
        <v>62</v>
      </c>
      <c r="G2649">
        <v>-365.67399999999998</v>
      </c>
      <c r="H2649" s="1">
        <v>1.4826180000000001E-6</v>
      </c>
      <c r="I2649">
        <v>282.30020000000002</v>
      </c>
      <c r="J2649">
        <v>-325.27620000000002</v>
      </c>
      <c r="K2649">
        <v>1.1052930000000001</v>
      </c>
      <c r="L2649">
        <v>283.13069999999999</v>
      </c>
      <c r="M2649">
        <v>-0.99988359999999998</v>
      </c>
      <c r="N2649">
        <v>0</v>
      </c>
      <c r="O2649">
        <v>8.4044229999999994E-3</v>
      </c>
      <c r="P2649">
        <v>-0.99656809999999996</v>
      </c>
      <c r="Q2649">
        <v>7.9056009999999996E-2</v>
      </c>
      <c r="R2649">
        <v>-2.454812E-2</v>
      </c>
      <c r="S2649">
        <v>-3.0151669999999999</v>
      </c>
      <c r="T2649">
        <v>-8.1920859999999998E-2</v>
      </c>
      <c r="U2649">
        <v>-6.1401369999999997E-2</v>
      </c>
      <c r="V2649">
        <v>-3.314537E-2</v>
      </c>
      <c r="W2649">
        <v>9.1660229999999995E-2</v>
      </c>
      <c r="X2649">
        <v>0.99523850000000003</v>
      </c>
      <c r="Y2649">
        <v>-2.8748889999999999E-2</v>
      </c>
      <c r="Z2649">
        <v>-6.1873560000000002E-4</v>
      </c>
      <c r="AA2649">
        <v>0.99958650000000004</v>
      </c>
      <c r="AB2649">
        <v>43</v>
      </c>
      <c r="AC2649">
        <v>-40.397799999999997</v>
      </c>
      <c r="AD2649">
        <v>-1.1052915173819999</v>
      </c>
      <c r="AE2649">
        <v>-0.83049999999997204</v>
      </c>
      <c r="AF2649">
        <v>-1.1691435657907501</v>
      </c>
      <c r="AG2649">
        <v>-1.1052915173819999</v>
      </c>
      <c r="AH2649">
        <v>40.359193245097401</v>
      </c>
      <c r="AI2649">
        <v>91.568073431491698</v>
      </c>
      <c r="AJ2649">
        <v>91.6593062980307</v>
      </c>
      <c r="AK2649">
        <v>40.391249614377401</v>
      </c>
      <c r="AL2649">
        <v>84.740873585860399</v>
      </c>
      <c r="AM2649">
        <v>91.907470572449299</v>
      </c>
      <c r="AN2649">
        <v>0.99999994259916802</v>
      </c>
    </row>
    <row r="2650" spans="1:40" x14ac:dyDescent="0.3">
      <c r="A2650" t="str">
        <f>"20200111150006788"</f>
        <v>20200111150006788</v>
      </c>
      <c r="B2650" t="str">
        <f>"1578726006778391"</f>
        <v>1578726006778391</v>
      </c>
      <c r="C2650" t="s">
        <v>40</v>
      </c>
      <c r="D2650">
        <v>4.030411</v>
      </c>
      <c r="E2650">
        <v>0.50162640000000003</v>
      </c>
      <c r="F2650" t="s">
        <v>62</v>
      </c>
      <c r="G2650">
        <v>-366.06790000000001</v>
      </c>
      <c r="H2650" s="1">
        <v>1.692235E-6</v>
      </c>
      <c r="I2650">
        <v>282.25920000000002</v>
      </c>
      <c r="J2650">
        <v>-325.51499999999999</v>
      </c>
      <c r="K2650">
        <v>1.105299</v>
      </c>
      <c r="L2650">
        <v>283.13240000000002</v>
      </c>
      <c r="M2650">
        <v>-0.99988770000000005</v>
      </c>
      <c r="N2650">
        <v>0</v>
      </c>
      <c r="O2650">
        <v>7.8891229999999996E-3</v>
      </c>
      <c r="P2650">
        <v>-0.99652850000000004</v>
      </c>
      <c r="Q2650">
        <v>7.9388749999999994E-2</v>
      </c>
      <c r="R2650">
        <v>-2.5062859999999999E-2</v>
      </c>
      <c r="S2650">
        <v>-3.0151979999999998</v>
      </c>
      <c r="T2650">
        <v>-8.1699729999999998E-2</v>
      </c>
      <c r="U2650">
        <v>-6.4422610000000005E-2</v>
      </c>
      <c r="V2650">
        <v>-3.3148150000000001E-2</v>
      </c>
      <c r="W2650">
        <v>9.1991660000000003E-2</v>
      </c>
      <c r="X2650">
        <v>0.99520790000000003</v>
      </c>
      <c r="Y2650">
        <v>-2.923477E-2</v>
      </c>
      <c r="Z2650">
        <v>-6.096745E-4</v>
      </c>
      <c r="AA2650">
        <v>0.99957240000000003</v>
      </c>
      <c r="AB2650">
        <v>43</v>
      </c>
      <c r="AC2650">
        <v>-40.552900000000001</v>
      </c>
      <c r="AD2650">
        <v>-1.1052973077649999</v>
      </c>
      <c r="AE2650">
        <v>-0.87319999999999698</v>
      </c>
      <c r="AF2650">
        <v>-1.1922403387950899</v>
      </c>
      <c r="AG2650">
        <v>-1.1052973077649999</v>
      </c>
      <c r="AH2650">
        <v>40.514665172709599</v>
      </c>
      <c r="AI2650">
        <v>91.562046333310093</v>
      </c>
      <c r="AJ2650">
        <v>91.685578080897201</v>
      </c>
      <c r="AK2650">
        <v>40.5472713412478</v>
      </c>
      <c r="AL2650">
        <v>84.721803856757603</v>
      </c>
      <c r="AM2650">
        <v>91.907689050666804</v>
      </c>
      <c r="AN2650">
        <v>1.00000001479019</v>
      </c>
    </row>
    <row r="2651" spans="1:40" x14ac:dyDescent="0.3">
      <c r="A2651" t="str">
        <f>"20200111150006799"</f>
        <v>20200111150006799</v>
      </c>
      <c r="B2651" t="str">
        <f>"1578726006789128"</f>
        <v>1578726006789128</v>
      </c>
      <c r="C2651" t="s">
        <v>40</v>
      </c>
      <c r="D2651">
        <v>4.0453599999999996</v>
      </c>
      <c r="E2651">
        <v>0.50154270000000001</v>
      </c>
      <c r="F2651" t="s">
        <v>62</v>
      </c>
      <c r="G2651">
        <v>-366.70740000000001</v>
      </c>
      <c r="H2651" s="1">
        <v>2.0325649999999999E-6</v>
      </c>
      <c r="I2651">
        <v>282.2285</v>
      </c>
      <c r="J2651">
        <v>-325.75850000000003</v>
      </c>
      <c r="K2651">
        <v>1.1052979999999999</v>
      </c>
      <c r="L2651">
        <v>283.13400000000001</v>
      </c>
      <c r="M2651">
        <v>-0.9998918</v>
      </c>
      <c r="N2651">
        <v>0</v>
      </c>
      <c r="O2651">
        <v>7.3703900000000001E-3</v>
      </c>
      <c r="P2651">
        <v>-0.99648950000000003</v>
      </c>
      <c r="Q2651">
        <v>7.9580189999999995E-2</v>
      </c>
      <c r="R2651">
        <v>-2.599549E-2</v>
      </c>
      <c r="S2651">
        <v>-3.015228</v>
      </c>
      <c r="T2651">
        <v>-8.0906149999999996E-2</v>
      </c>
      <c r="U2651">
        <v>-6.6162109999999996E-2</v>
      </c>
      <c r="V2651">
        <v>-3.3564209999999997E-2</v>
      </c>
      <c r="W2651">
        <v>9.2181120000000005E-2</v>
      </c>
      <c r="X2651">
        <v>0.99517639999999996</v>
      </c>
      <c r="Y2651">
        <v>-2.9292800000000001E-2</v>
      </c>
      <c r="Z2651">
        <v>-5.9060720000000001E-4</v>
      </c>
      <c r="AA2651">
        <v>0.99957070000000003</v>
      </c>
      <c r="AB2651">
        <v>43</v>
      </c>
      <c r="AC2651">
        <v>-40.948899999999902</v>
      </c>
      <c r="AD2651">
        <v>-1.10529596743499</v>
      </c>
      <c r="AE2651">
        <v>-0.90550000000001696</v>
      </c>
      <c r="AF2651">
        <v>-1.2064306811510701</v>
      </c>
      <c r="AG2651">
        <v>-1.10529596743499</v>
      </c>
      <c r="AH2651">
        <v>40.911320859527699</v>
      </c>
      <c r="AI2651">
        <v>91.546904232998401</v>
      </c>
      <c r="AJ2651">
        <v>91.689101178299595</v>
      </c>
      <c r="AK2651">
        <v>40.944026776017999</v>
      </c>
      <c r="AL2651">
        <v>84.710902152269995</v>
      </c>
      <c r="AM2651">
        <v>91.931676534965604</v>
      </c>
      <c r="AN2651">
        <v>0.99999999109716897</v>
      </c>
    </row>
    <row r="2652" spans="1:40" x14ac:dyDescent="0.3">
      <c r="A2652" t="str">
        <f>"20200111150006812"</f>
        <v>20200111150006812</v>
      </c>
      <c r="B2652" t="str">
        <f>"1578726006808648"</f>
        <v>1578726006808648</v>
      </c>
      <c r="C2652" t="s">
        <v>40</v>
      </c>
      <c r="D2652">
        <v>4.1171730000000002</v>
      </c>
      <c r="E2652">
        <v>0.50114829999999999</v>
      </c>
      <c r="F2652" t="s">
        <v>62</v>
      </c>
      <c r="G2652">
        <v>-367.10199999999998</v>
      </c>
      <c r="H2652" s="1">
        <v>2.242517E-6</v>
      </c>
      <c r="I2652">
        <v>282.1782</v>
      </c>
      <c r="J2652">
        <v>-325.98719999999997</v>
      </c>
      <c r="K2652">
        <v>1.105299</v>
      </c>
      <c r="L2652">
        <v>283.13529999999997</v>
      </c>
      <c r="M2652">
        <v>-0.99989519999999998</v>
      </c>
      <c r="N2652">
        <v>0</v>
      </c>
      <c r="O2652">
        <v>6.8946750000000003E-3</v>
      </c>
      <c r="P2652">
        <v>-0.99647540000000001</v>
      </c>
      <c r="Q2652">
        <v>7.9625059999999998E-2</v>
      </c>
      <c r="R2652">
        <v>-2.6392990000000002E-2</v>
      </c>
      <c r="S2652">
        <v>-3.0151979999999998</v>
      </c>
      <c r="T2652">
        <v>-8.0609680000000003E-2</v>
      </c>
      <c r="U2652">
        <v>-6.9702150000000004E-2</v>
      </c>
      <c r="V2652">
        <v>-3.3487199999999898E-2</v>
      </c>
      <c r="W2652">
        <v>9.2225730000000006E-2</v>
      </c>
      <c r="X2652">
        <v>0.99517489999999997</v>
      </c>
      <c r="Y2652">
        <v>-2.999044E-2</v>
      </c>
      <c r="Z2652">
        <v>-5.8504930000000002E-4</v>
      </c>
      <c r="AA2652">
        <v>0.99955000000000005</v>
      </c>
      <c r="AB2652">
        <v>43</v>
      </c>
      <c r="AC2652">
        <v>-41.114800000000002</v>
      </c>
      <c r="AD2652">
        <v>-1.1052967574829999</v>
      </c>
      <c r="AE2652">
        <v>-0.95709999999996798</v>
      </c>
      <c r="AF2652">
        <v>-1.23967796568874</v>
      </c>
      <c r="AG2652">
        <v>-1.1052967574829999</v>
      </c>
      <c r="AH2652">
        <v>41.0775522750844</v>
      </c>
      <c r="AI2652">
        <v>91.540616717765204</v>
      </c>
      <c r="AJ2652">
        <v>91.728602600437995</v>
      </c>
      <c r="AK2652">
        <v>41.111115082091999</v>
      </c>
      <c r="AL2652">
        <v>84.708335457952799</v>
      </c>
      <c r="AM2652">
        <v>91.927250729242303</v>
      </c>
      <c r="AN2652">
        <v>1.00000002971394</v>
      </c>
    </row>
    <row r="2653" spans="1:40" x14ac:dyDescent="0.3">
      <c r="A2653" t="str">
        <f>"20200111150006826"</f>
        <v>20200111150006826</v>
      </c>
      <c r="B2653" t="str">
        <f>"1578726006818408"</f>
        <v>1578726006818408</v>
      </c>
      <c r="C2653" t="s">
        <v>40</v>
      </c>
      <c r="D2653">
        <v>4.0358299999999998</v>
      </c>
      <c r="E2653">
        <v>0.50119170000000002</v>
      </c>
      <c r="F2653" t="s">
        <v>62</v>
      </c>
      <c r="G2653">
        <v>-368.3073</v>
      </c>
      <c r="H2653" s="1">
        <v>2.8839539999999998E-6</v>
      </c>
      <c r="I2653">
        <v>282.09690000000001</v>
      </c>
      <c r="J2653">
        <v>-326.2457</v>
      </c>
      <c r="K2653">
        <v>1.1052949999999999</v>
      </c>
      <c r="L2653">
        <v>283.13670000000002</v>
      </c>
      <c r="M2653">
        <v>-0.99989870000000003</v>
      </c>
      <c r="N2653">
        <v>0</v>
      </c>
      <c r="O2653">
        <v>6.3631440000000003E-3</v>
      </c>
      <c r="P2653">
        <v>-0.99644540000000004</v>
      </c>
      <c r="Q2653">
        <v>7.9742830000000001E-2</v>
      </c>
      <c r="R2653">
        <v>-2.7168629999999999E-2</v>
      </c>
      <c r="S2653">
        <v>-3.0149539999999999</v>
      </c>
      <c r="T2653">
        <v>-7.8743099999999996E-2</v>
      </c>
      <c r="U2653">
        <v>-7.3974609999999996E-2</v>
      </c>
      <c r="V2653">
        <v>-3.3732169999999999E-2</v>
      </c>
      <c r="W2653">
        <v>9.2341590000000001E-2</v>
      </c>
      <c r="X2653">
        <v>0.99515589999999998</v>
      </c>
      <c r="Y2653">
        <v>-3.0877080000000001E-2</v>
      </c>
      <c r="Z2653">
        <v>-5.6923900000000003E-4</v>
      </c>
      <c r="AA2653">
        <v>0.99952300000000005</v>
      </c>
      <c r="AB2653">
        <v>43</v>
      </c>
      <c r="AC2653">
        <v>-42.061599999999999</v>
      </c>
      <c r="AD2653">
        <v>-1.1052921160460001</v>
      </c>
      <c r="AE2653">
        <v>-1.03980000000001</v>
      </c>
      <c r="AF2653">
        <v>-1.3065430025547999</v>
      </c>
      <c r="AG2653">
        <v>-1.1052921160460001</v>
      </c>
      <c r="AH2653">
        <v>42.0251295011537</v>
      </c>
      <c r="AI2653">
        <v>91.505847000310098</v>
      </c>
      <c r="AJ2653">
        <v>91.7807272919257</v>
      </c>
      <c r="AK2653">
        <v>42.059959996034898</v>
      </c>
      <c r="AL2653">
        <v>84.701668811982202</v>
      </c>
      <c r="AM2653">
        <v>91.941375496792503</v>
      </c>
      <c r="AN2653">
        <v>1.00000004692072</v>
      </c>
    </row>
    <row r="2654" spans="1:40" x14ac:dyDescent="0.3">
      <c r="A2654" t="str">
        <f>"20200111150006841"</f>
        <v>20200111150006841</v>
      </c>
      <c r="B2654" t="str">
        <f>"1578726006838903"</f>
        <v>1578726006838903</v>
      </c>
      <c r="C2654" t="s">
        <v>40</v>
      </c>
      <c r="D2654">
        <v>4.0193279999999998</v>
      </c>
      <c r="E2654">
        <v>0.501193</v>
      </c>
      <c r="F2654" t="s">
        <v>62</v>
      </c>
      <c r="G2654">
        <v>-368.39299999999997</v>
      </c>
      <c r="H2654" s="1">
        <v>2.92956E-6</v>
      </c>
      <c r="I2654">
        <v>282.07479999999998</v>
      </c>
      <c r="J2654">
        <v>-326.53609999999998</v>
      </c>
      <c r="K2654">
        <v>1.105294</v>
      </c>
      <c r="L2654">
        <v>283.13810000000001</v>
      </c>
      <c r="M2654">
        <v>-0.99990239999999997</v>
      </c>
      <c r="N2654">
        <v>0</v>
      </c>
      <c r="O2654">
        <v>5.7758810000000001E-3</v>
      </c>
      <c r="P2654">
        <v>-0.99644770000000005</v>
      </c>
      <c r="Q2654">
        <v>7.9631569999999999E-2</v>
      </c>
      <c r="R2654">
        <v>-2.7405929999999998E-2</v>
      </c>
      <c r="S2654">
        <v>-3.0149539999999999</v>
      </c>
      <c r="T2654">
        <v>-7.9065679999999999E-2</v>
      </c>
      <c r="U2654">
        <v>-7.5958250000000005E-2</v>
      </c>
      <c r="V2654">
        <v>-3.338327E-2</v>
      </c>
      <c r="W2654">
        <v>9.2228580000000004E-2</v>
      </c>
      <c r="X2654">
        <v>0.99517809999999995</v>
      </c>
      <c r="Y2654">
        <v>-3.0947329999999999E-2</v>
      </c>
      <c r="Z2654">
        <v>-5.5708910000000001E-4</v>
      </c>
      <c r="AA2654">
        <v>0.99952079999999999</v>
      </c>
      <c r="AB2654">
        <v>43</v>
      </c>
      <c r="AC2654">
        <v>-41.856900000000003</v>
      </c>
      <c r="AD2654">
        <v>-1.1052910704400001</v>
      </c>
      <c r="AE2654">
        <v>-1.0633000000000199</v>
      </c>
      <c r="AF2654">
        <v>-1.3041534997283399</v>
      </c>
      <c r="AG2654">
        <v>-1.1052910704400001</v>
      </c>
      <c r="AH2654">
        <v>41.820916812459103</v>
      </c>
      <c r="AI2654">
        <v>91.513190797137895</v>
      </c>
      <c r="AJ2654">
        <v>91.786146496121106</v>
      </c>
      <c r="AK2654">
        <v>41.855842695325997</v>
      </c>
      <c r="AL2654">
        <v>84.708171320048606</v>
      </c>
      <c r="AM2654">
        <v>91.921267680660407</v>
      </c>
      <c r="AN2654">
        <v>1.00000000220215</v>
      </c>
    </row>
    <row r="2655" spans="1:40" x14ac:dyDescent="0.3">
      <c r="A2655" t="str">
        <f>"20200111150006853"</f>
        <v>20200111150006853</v>
      </c>
      <c r="B2655" t="str">
        <f>"1578726006848663"</f>
        <v>1578726006848663</v>
      </c>
      <c r="C2655" t="s">
        <v>40</v>
      </c>
      <c r="D2655">
        <v>4.0494409999999998</v>
      </c>
      <c r="E2655">
        <v>0.5014189</v>
      </c>
      <c r="F2655" t="s">
        <v>62</v>
      </c>
      <c r="G2655">
        <v>-368.2296</v>
      </c>
      <c r="H2655" s="1">
        <v>2.8426219999999999E-6</v>
      </c>
      <c r="I2655">
        <v>282.08</v>
      </c>
      <c r="J2655">
        <v>-326.7792</v>
      </c>
      <c r="K2655">
        <v>1.1052879999999901</v>
      </c>
      <c r="L2655">
        <v>283.13909999999998</v>
      </c>
      <c r="M2655">
        <v>-0.99990500000000004</v>
      </c>
      <c r="N2655">
        <v>0</v>
      </c>
      <c r="O2655">
        <v>5.2965950000000003E-3</v>
      </c>
      <c r="P2655">
        <v>-0.99642319999999995</v>
      </c>
      <c r="Q2655">
        <v>7.9778180000000004E-2</v>
      </c>
      <c r="R2655">
        <v>-2.7865959999999999E-2</v>
      </c>
      <c r="S2655">
        <v>-3.0149840000000001</v>
      </c>
      <c r="T2655">
        <v>-7.9926849999999994E-2</v>
      </c>
      <c r="U2655">
        <v>-7.6507569999999997E-2</v>
      </c>
      <c r="V2655">
        <v>-3.3364320000000003E-2</v>
      </c>
      <c r="W2655">
        <v>9.2371510000000004E-2</v>
      </c>
      <c r="X2655">
        <v>0.99516550000000004</v>
      </c>
      <c r="Y2655">
        <v>-3.0649949999999999E-2</v>
      </c>
      <c r="Z2655">
        <v>-5.4650459999999897E-4</v>
      </c>
      <c r="AA2655">
        <v>0.99953000000000003</v>
      </c>
      <c r="AB2655">
        <v>43</v>
      </c>
      <c r="AC2655">
        <v>-41.450400000000002</v>
      </c>
      <c r="AD2655">
        <v>-1.10528515737799</v>
      </c>
      <c r="AE2655">
        <v>-1.0590999999999999</v>
      </c>
      <c r="AF2655">
        <v>-1.2777409750758699</v>
      </c>
      <c r="AG2655">
        <v>-1.10528515737799</v>
      </c>
      <c r="AH2655">
        <v>41.414780238068701</v>
      </c>
      <c r="AI2655">
        <v>91.528030534036503</v>
      </c>
      <c r="AJ2655">
        <v>91.767145681530806</v>
      </c>
      <c r="AK2655">
        <v>41.449225559062398</v>
      </c>
      <c r="AL2655">
        <v>84.699947037136496</v>
      </c>
      <c r="AM2655">
        <v>91.920202184056706</v>
      </c>
      <c r="AN2655">
        <v>1.0000000230494901</v>
      </c>
    </row>
    <row r="2656" spans="1:40" x14ac:dyDescent="0.3">
      <c r="A2656" t="str">
        <f>"20200111150006866"</f>
        <v>20200111150006866</v>
      </c>
      <c r="B2656" t="str">
        <f>"1578726006858423"</f>
        <v>1578726006858423</v>
      </c>
      <c r="C2656" t="s">
        <v>40</v>
      </c>
      <c r="D2656">
        <v>4.0418580000000004</v>
      </c>
      <c r="E2656">
        <v>0.5014189</v>
      </c>
      <c r="F2656" t="s">
        <v>62</v>
      </c>
      <c r="G2656">
        <v>-368.65379999999999</v>
      </c>
      <c r="H2656" s="1">
        <v>3.0683290000000001E-6</v>
      </c>
      <c r="I2656">
        <v>282.08409999999998</v>
      </c>
      <c r="J2656">
        <v>-327.00420000000003</v>
      </c>
      <c r="K2656">
        <v>1.1052820000000001</v>
      </c>
      <c r="L2656">
        <v>283.14</v>
      </c>
      <c r="M2656">
        <v>-0.99990730000000005</v>
      </c>
      <c r="N2656">
        <v>0</v>
      </c>
      <c r="O2656">
        <v>4.8573690000000003E-3</v>
      </c>
      <c r="P2656">
        <v>-0.99641650000000004</v>
      </c>
      <c r="Q2656">
        <v>7.9800270000000006E-2</v>
      </c>
      <c r="R2656">
        <v>-2.803947E-2</v>
      </c>
      <c r="S2656">
        <v>-3.015015</v>
      </c>
      <c r="T2656">
        <v>-7.9581620000000006E-2</v>
      </c>
      <c r="U2656">
        <v>-7.5958250000000005E-2</v>
      </c>
      <c r="V2656">
        <v>-3.3098519999999999E-2</v>
      </c>
      <c r="W2656">
        <v>9.2390509999999995E-2</v>
      </c>
      <c r="X2656">
        <v>0.99517259999999996</v>
      </c>
      <c r="Y2656">
        <v>-3.0029110000000001E-2</v>
      </c>
      <c r="Z2656">
        <v>-5.2435899999999996E-4</v>
      </c>
      <c r="AA2656">
        <v>0.99954889999999996</v>
      </c>
      <c r="AB2656">
        <v>43</v>
      </c>
      <c r="AC2656">
        <v>-41.6495999999999</v>
      </c>
      <c r="AD2656">
        <v>-1.1052789316710001</v>
      </c>
      <c r="AE2656">
        <v>-1.0559000000000001</v>
      </c>
      <c r="AF2656">
        <v>-1.2573264919660001</v>
      </c>
      <c r="AG2656">
        <v>-1.1052789316710001</v>
      </c>
      <c r="AH2656">
        <v>41.614691263396999</v>
      </c>
      <c r="AI2656">
        <v>91.520714604800304</v>
      </c>
      <c r="AJ2656">
        <v>91.730580972307195</v>
      </c>
      <c r="AK2656">
        <v>41.648349791702998</v>
      </c>
      <c r="AL2656">
        <v>84.698853678480802</v>
      </c>
      <c r="AM2656">
        <v>91.904902447458895</v>
      </c>
      <c r="AN2656">
        <v>1.0000000110775</v>
      </c>
    </row>
    <row r="2657" spans="1:40" x14ac:dyDescent="0.3">
      <c r="A2657" t="str">
        <f>"20200111150006877"</f>
        <v>20200111150006877</v>
      </c>
      <c r="B2657" t="str">
        <f>"1578726006869160"</f>
        <v>1578726006869160</v>
      </c>
      <c r="C2657" t="s">
        <v>40</v>
      </c>
      <c r="D2657">
        <v>3.9537770000000001</v>
      </c>
      <c r="E2657">
        <v>0.51693459999999902</v>
      </c>
      <c r="F2657" t="s">
        <v>62</v>
      </c>
      <c r="G2657">
        <v>-368.91550000000001</v>
      </c>
      <c r="H2657" s="1">
        <v>3.2075990000000002E-6</v>
      </c>
      <c r="I2657">
        <v>282.07729999999998</v>
      </c>
      <c r="J2657">
        <v>-327.25420000000003</v>
      </c>
      <c r="K2657">
        <v>1.1052729999999999</v>
      </c>
      <c r="L2657">
        <v>283.14080000000001</v>
      </c>
      <c r="M2657">
        <v>-0.99990959999999995</v>
      </c>
      <c r="N2657">
        <v>0</v>
      </c>
      <c r="O2657">
        <v>4.3759300000000001E-3</v>
      </c>
      <c r="P2657">
        <v>-0.99638859999999996</v>
      </c>
      <c r="Q2657">
        <v>7.9944210000000002E-2</v>
      </c>
      <c r="R2657">
        <v>-2.8610670000000001E-2</v>
      </c>
      <c r="S2657">
        <v>-3.0150450000000002</v>
      </c>
      <c r="T2657">
        <v>-7.9512239999999998E-2</v>
      </c>
      <c r="U2657">
        <v>-7.6446529999999999E-2</v>
      </c>
      <c r="V2657">
        <v>-3.3188250000000002E-2</v>
      </c>
      <c r="W2657">
        <v>9.2529620000000007E-2</v>
      </c>
      <c r="X2657">
        <v>0.99515670000000001</v>
      </c>
      <c r="Y2657">
        <v>-2.9709670000000001E-2</v>
      </c>
      <c r="Z2657">
        <v>-5.0699139999999996E-4</v>
      </c>
      <c r="AA2657">
        <v>0.99955839999999996</v>
      </c>
      <c r="AB2657">
        <v>43</v>
      </c>
      <c r="AC2657">
        <v>-41.661299999999898</v>
      </c>
      <c r="AD2657">
        <v>-1.105269792401</v>
      </c>
      <c r="AE2657">
        <v>-1.0635000000000301</v>
      </c>
      <c r="AF2657">
        <v>-1.24493582556556</v>
      </c>
      <c r="AG2657">
        <v>-1.105269792401</v>
      </c>
      <c r="AH2657">
        <v>41.6269674305873</v>
      </c>
      <c r="AI2657">
        <v>91.520267768922295</v>
      </c>
      <c r="AJ2657">
        <v>91.713031672441502</v>
      </c>
      <c r="AK2657">
        <v>41.660243686168499</v>
      </c>
      <c r="AL2657">
        <v>84.690849042661597</v>
      </c>
      <c r="AM2657">
        <v>91.910093308022596</v>
      </c>
      <c r="AN2657">
        <v>1.0000000240351401</v>
      </c>
    </row>
    <row r="2658" spans="1:40" x14ac:dyDescent="0.3">
      <c r="A2658" t="str">
        <f>"20200111150006892"</f>
        <v>20200111150006892</v>
      </c>
      <c r="B2658" t="str">
        <f>"1578726006888681"</f>
        <v>1578726006888681</v>
      </c>
      <c r="C2658" t="s">
        <v>40</v>
      </c>
      <c r="D2658">
        <v>3.95777</v>
      </c>
      <c r="E2658">
        <v>0.51743220000000001</v>
      </c>
      <c r="F2658" t="s">
        <v>62</v>
      </c>
      <c r="G2658">
        <v>-376.64510000000001</v>
      </c>
      <c r="H2658" s="1">
        <v>1.9994019999999999E-6</v>
      </c>
      <c r="I2658">
        <v>283.89010000000002</v>
      </c>
      <c r="J2658">
        <v>-327.505</v>
      </c>
      <c r="K2658">
        <v>1.105261</v>
      </c>
      <c r="L2658">
        <v>283.14150000000001</v>
      </c>
      <c r="M2658">
        <v>-0.99991160000000001</v>
      </c>
      <c r="N2658">
        <v>0</v>
      </c>
      <c r="O2658">
        <v>3.9071790000000002E-3</v>
      </c>
      <c r="P2658">
        <v>-0.99635359999999995</v>
      </c>
      <c r="Q2658">
        <v>8.0229919999999996E-2</v>
      </c>
      <c r="R2658">
        <v>-2.903002E-2</v>
      </c>
      <c r="S2658">
        <v>-3.0175779999999999</v>
      </c>
      <c r="T2658">
        <v>-6.7527409999999996E-2</v>
      </c>
      <c r="U2658">
        <v>4.5776369999999997E-2</v>
      </c>
      <c r="V2658">
        <v>-3.3138510000000003E-2</v>
      </c>
      <c r="W2658">
        <v>9.2810210000000004E-2</v>
      </c>
      <c r="X2658">
        <v>0.99513220000000002</v>
      </c>
      <c r="Y2658">
        <v>1.1259160000000001E-2</v>
      </c>
      <c r="Z2658" s="1">
        <v>3.85306E-5</v>
      </c>
      <c r="AA2658">
        <v>0.99993659999999995</v>
      </c>
      <c r="AB2658">
        <v>43</v>
      </c>
      <c r="AC2658">
        <v>-49.140099999999997</v>
      </c>
      <c r="AD2658">
        <v>-1.1052590005980001</v>
      </c>
      <c r="AE2658">
        <v>0.74860000000001004</v>
      </c>
      <c r="AF2658">
        <v>0.55629824947985695</v>
      </c>
      <c r="AG2658">
        <v>-1.1052590005980001</v>
      </c>
      <c r="AH2658">
        <v>49.117807561139102</v>
      </c>
      <c r="AI2658">
        <v>91.2889812228034</v>
      </c>
      <c r="AJ2658">
        <v>89.351107455971501</v>
      </c>
      <c r="AK2658">
        <v>49.133390731903198</v>
      </c>
      <c r="AL2658">
        <v>84.674702790370901</v>
      </c>
      <c r="AM2658">
        <v>91.907279643781607</v>
      </c>
      <c r="AN2658">
        <v>0.99999999570105202</v>
      </c>
    </row>
    <row r="2659" spans="1:40" x14ac:dyDescent="0.3">
      <c r="A2659" t="str">
        <f>"20200111150006906"</f>
        <v>20200111150006906</v>
      </c>
      <c r="B2659" t="str">
        <f>"1578726006898440"</f>
        <v>1578726006898440</v>
      </c>
      <c r="C2659" t="s">
        <v>40</v>
      </c>
      <c r="D2659">
        <v>3.9594860000000001</v>
      </c>
      <c r="E2659">
        <v>0.51759639999999996</v>
      </c>
      <c r="F2659" t="s">
        <v>62</v>
      </c>
      <c r="G2659">
        <v>-377.1078</v>
      </c>
      <c r="H2659" s="1">
        <v>2.2456409999999998E-6</v>
      </c>
      <c r="I2659">
        <v>283.93860000000001</v>
      </c>
      <c r="J2659">
        <v>-327.78390000000002</v>
      </c>
      <c r="K2659">
        <v>1.1052420000000001</v>
      </c>
      <c r="L2659">
        <v>283.1422</v>
      </c>
      <c r="M2659">
        <v>-0.99991359999999996</v>
      </c>
      <c r="N2659">
        <v>0</v>
      </c>
      <c r="O2659">
        <v>3.3974980000000001E-3</v>
      </c>
      <c r="P2659">
        <v>-0.99630759999999996</v>
      </c>
      <c r="Q2659">
        <v>8.0616279999999998E-2</v>
      </c>
      <c r="R2659">
        <v>-2.9535949999999998E-2</v>
      </c>
      <c r="S2659">
        <v>-3.017792</v>
      </c>
      <c r="T2659">
        <v>-6.7242979999999994E-2</v>
      </c>
      <c r="U2659">
        <v>4.8492430000000003E-2</v>
      </c>
      <c r="V2659">
        <v>-3.3133999999999997E-2</v>
      </c>
      <c r="W2659">
        <v>9.3191460000000004E-2</v>
      </c>
      <c r="X2659">
        <v>0.99509669999999895</v>
      </c>
      <c r="Y2659">
        <v>1.2667049999999999E-2</v>
      </c>
      <c r="Z2659" s="1">
        <v>6.540323E-5</v>
      </c>
      <c r="AA2659">
        <v>0.99991980000000003</v>
      </c>
      <c r="AB2659">
        <v>43</v>
      </c>
      <c r="AC2659">
        <v>-49.323899999999902</v>
      </c>
      <c r="AD2659">
        <v>-1.105239754359</v>
      </c>
      <c r="AE2659">
        <v>0.79640000000000499</v>
      </c>
      <c r="AF2659">
        <v>0.62848855102930201</v>
      </c>
      <c r="AG2659">
        <v>-1.105239754359</v>
      </c>
      <c r="AH2659">
        <v>49.301572944824102</v>
      </c>
      <c r="AI2659">
        <v>91.284133995697502</v>
      </c>
      <c r="AJ2659">
        <v>89.269642145899894</v>
      </c>
      <c r="AK2659">
        <v>49.317964755322201</v>
      </c>
      <c r="AL2659">
        <v>84.652763586567403</v>
      </c>
      <c r="AM2659">
        <v>91.907088245967998</v>
      </c>
      <c r="AN2659">
        <v>0.99999997626190995</v>
      </c>
    </row>
    <row r="2660" spans="1:40" x14ac:dyDescent="0.3">
      <c r="A2660" t="str">
        <f>"20200111150006919"</f>
        <v>20200111150006919</v>
      </c>
      <c r="B2660" t="str">
        <f>"1578726006908199"</f>
        <v>1578726006908199</v>
      </c>
      <c r="C2660" t="s">
        <v>40</v>
      </c>
      <c r="D2660">
        <v>3.9957029999999998</v>
      </c>
      <c r="E2660">
        <v>0.51721139999999999</v>
      </c>
      <c r="F2660" t="s">
        <v>62</v>
      </c>
      <c r="G2660">
        <v>-379.99470000000002</v>
      </c>
      <c r="H2660" s="1">
        <v>-1.539597E-6</v>
      </c>
      <c r="I2660">
        <v>283.97809999999998</v>
      </c>
      <c r="J2660">
        <v>-328.0385</v>
      </c>
      <c r="K2660">
        <v>1.105218</v>
      </c>
      <c r="L2660">
        <v>283.14280000000002</v>
      </c>
      <c r="M2660">
        <v>-0.9999152</v>
      </c>
      <c r="N2660">
        <v>0</v>
      </c>
      <c r="O2660">
        <v>2.9439240000000001E-3</v>
      </c>
      <c r="P2660">
        <v>-0.99625900000000001</v>
      </c>
      <c r="Q2660">
        <v>8.1004930000000003E-2</v>
      </c>
      <c r="R2660">
        <v>-3.0111209999999999E-2</v>
      </c>
      <c r="S2660">
        <v>-3.0177309999999999</v>
      </c>
      <c r="T2660">
        <v>-6.3881869999999993E-2</v>
      </c>
      <c r="U2660">
        <v>4.8309329999999998E-2</v>
      </c>
      <c r="V2660">
        <v>-3.32538E-2</v>
      </c>
      <c r="W2660">
        <v>9.3575539999999999E-2</v>
      </c>
      <c r="X2660">
        <v>0.99505670000000002</v>
      </c>
      <c r="Y2660">
        <v>1.306033E-2</v>
      </c>
      <c r="Z2660" s="1">
        <v>7.5898609999999999E-5</v>
      </c>
      <c r="AA2660">
        <v>0.99991470000000005</v>
      </c>
      <c r="AB2660">
        <v>43</v>
      </c>
      <c r="AC2660">
        <v>-51.956200000000003</v>
      </c>
      <c r="AD2660">
        <v>-1.1052195395969999</v>
      </c>
      <c r="AE2660">
        <v>0.83529999999996096</v>
      </c>
      <c r="AF2660">
        <v>0.68202042974431198</v>
      </c>
      <c r="AG2660">
        <v>-1.1052195395969999</v>
      </c>
      <c r="AH2660">
        <v>51.934939385625903</v>
      </c>
      <c r="AI2660">
        <v>91.219013672443197</v>
      </c>
      <c r="AJ2660">
        <v>89.247623150676603</v>
      </c>
      <c r="AK2660">
        <v>51.951175069346903</v>
      </c>
      <c r="AL2660">
        <v>84.630661055612094</v>
      </c>
      <c r="AM2660">
        <v>91.914055317995505</v>
      </c>
      <c r="AN2660">
        <v>1.00000001655781</v>
      </c>
    </row>
    <row r="2661" spans="1:40" x14ac:dyDescent="0.3">
      <c r="A2661" t="str">
        <f>"20200111150006933"</f>
        <v>20200111150006933</v>
      </c>
      <c r="B2661" t="str">
        <f>"1578726006928696"</f>
        <v>1578726006928696</v>
      </c>
      <c r="C2661" t="s">
        <v>40</v>
      </c>
      <c r="D2661">
        <v>3.9530569999999998</v>
      </c>
      <c r="E2661">
        <v>0.51742279999999996</v>
      </c>
      <c r="F2661" t="s">
        <v>62</v>
      </c>
      <c r="G2661">
        <v>-379.55250000000001</v>
      </c>
      <c r="H2661" s="1">
        <v>3.5465599999999998E-6</v>
      </c>
      <c r="I2661">
        <v>283.88720000000001</v>
      </c>
      <c r="J2661">
        <v>-328.29930000000002</v>
      </c>
      <c r="K2661">
        <v>1.1051979999999999</v>
      </c>
      <c r="L2661">
        <v>283.14319999999998</v>
      </c>
      <c r="M2661">
        <v>-0.99991640000000004</v>
      </c>
      <c r="N2661">
        <v>0</v>
      </c>
      <c r="O2661">
        <v>2.5005399999999999E-3</v>
      </c>
      <c r="P2661">
        <v>-0.99623410000000001</v>
      </c>
      <c r="Q2661">
        <v>8.1074889999999997E-2</v>
      </c>
      <c r="R2661">
        <v>-3.0741000000000001E-2</v>
      </c>
      <c r="S2661">
        <v>-3.0178219999999998</v>
      </c>
      <c r="T2661">
        <v>-6.4746380000000006E-2</v>
      </c>
      <c r="U2661">
        <v>4.3609620000000002E-2</v>
      </c>
      <c r="V2661">
        <v>-3.3437679999999997E-2</v>
      </c>
      <c r="W2661">
        <v>9.3641050000000003E-2</v>
      </c>
      <c r="X2661">
        <v>0.99504440000000005</v>
      </c>
      <c r="Y2661">
        <v>1.1946490000000001E-2</v>
      </c>
      <c r="Z2661" s="1">
        <v>7.4489189999999998E-5</v>
      </c>
      <c r="AA2661">
        <v>0.9999287</v>
      </c>
      <c r="AB2661">
        <v>43</v>
      </c>
      <c r="AC2661">
        <v>-51.2531999999999</v>
      </c>
      <c r="AD2661">
        <v>-1.10519445344</v>
      </c>
      <c r="AE2661">
        <v>0.74400000000002797</v>
      </c>
      <c r="AF2661">
        <v>0.61554052804140802</v>
      </c>
      <c r="AG2661">
        <v>-1.10519445344</v>
      </c>
      <c r="AH2661">
        <v>51.231083816223197</v>
      </c>
      <c r="AI2661">
        <v>91.235745656412703</v>
      </c>
      <c r="AJ2661">
        <v>89.311625388173297</v>
      </c>
      <c r="AK2661">
        <v>51.246700322132597</v>
      </c>
      <c r="AL2661">
        <v>84.626891188974</v>
      </c>
      <c r="AM2661">
        <v>91.924655100970597</v>
      </c>
      <c r="AN2661">
        <v>1.00000004133012</v>
      </c>
    </row>
    <row r="2662" spans="1:40" x14ac:dyDescent="0.3">
      <c r="A2662" t="str">
        <f>"20200111150006946"</f>
        <v>20200111150006946</v>
      </c>
      <c r="B2662" t="str">
        <f>"1578726006938457"</f>
        <v>1578726006938457</v>
      </c>
      <c r="C2662" t="s">
        <v>40</v>
      </c>
      <c r="D2662">
        <v>4.0894409999999999</v>
      </c>
      <c r="E2662">
        <v>0.51742279999999996</v>
      </c>
      <c r="F2662" t="s">
        <v>62</v>
      </c>
      <c r="G2662">
        <v>-380.88369999999998</v>
      </c>
      <c r="H2662" s="1">
        <v>-1.066511E-6</v>
      </c>
      <c r="I2662">
        <v>283.8972</v>
      </c>
      <c r="J2662">
        <v>-328.53410000000002</v>
      </c>
      <c r="K2662">
        <v>1.105178</v>
      </c>
      <c r="L2662">
        <v>283.14350000000002</v>
      </c>
      <c r="M2662">
        <v>-0.99991730000000001</v>
      </c>
      <c r="N2662">
        <v>0</v>
      </c>
      <c r="O2662">
        <v>2.1116759999999998E-3</v>
      </c>
      <c r="P2662">
        <v>-0.99621409999999999</v>
      </c>
      <c r="Q2662">
        <v>8.1188010000000005E-2</v>
      </c>
      <c r="R2662">
        <v>-3.108211E-2</v>
      </c>
      <c r="S2662">
        <v>-3.0178219999999998</v>
      </c>
      <c r="T2662">
        <v>-6.3427330000000004E-2</v>
      </c>
      <c r="U2662">
        <v>4.3273930000000002E-2</v>
      </c>
      <c r="V2662">
        <v>-3.338704E-2</v>
      </c>
      <c r="W2662">
        <v>9.3751189999999998E-2</v>
      </c>
      <c r="X2662">
        <v>0.99503569999999997</v>
      </c>
      <c r="Y2662">
        <v>1.222409E-2</v>
      </c>
      <c r="Z2662" s="1">
        <v>8.406109E-5</v>
      </c>
      <c r="AA2662">
        <v>0.99992530000000002</v>
      </c>
      <c r="AB2662">
        <v>43</v>
      </c>
      <c r="AC2662">
        <v>-52.349599999999903</v>
      </c>
      <c r="AD2662">
        <v>-1.105179066511</v>
      </c>
      <c r="AE2662">
        <v>0.75369999999998005</v>
      </c>
      <c r="AF2662">
        <v>0.64285756947327299</v>
      </c>
      <c r="AG2662">
        <v>-1.105179066511</v>
      </c>
      <c r="AH2662">
        <v>52.327757531692797</v>
      </c>
      <c r="AI2662">
        <v>91.209834139375502</v>
      </c>
      <c r="AJ2662">
        <v>89.296144638364296</v>
      </c>
      <c r="AK2662">
        <v>52.343374890422503</v>
      </c>
      <c r="AL2662">
        <v>84.620552590952201</v>
      </c>
      <c r="AM2662">
        <v>91.921759266675707</v>
      </c>
      <c r="AN2662">
        <v>1.00000001217043</v>
      </c>
    </row>
    <row r="2663" spans="1:40" x14ac:dyDescent="0.3">
      <c r="A2663" t="str">
        <f>"20200111150006957"</f>
        <v>20200111150006957</v>
      </c>
      <c r="B2663" t="str">
        <f>"1578726006948215"</f>
        <v>1578726006948215</v>
      </c>
      <c r="C2663" t="s">
        <v>40</v>
      </c>
      <c r="D2663">
        <v>3.9709379999999999</v>
      </c>
      <c r="E2663">
        <v>0.51782039999999996</v>
      </c>
      <c r="F2663" t="s">
        <v>62</v>
      </c>
      <c r="G2663">
        <v>-381.38600000000002</v>
      </c>
      <c r="H2663" s="1">
        <v>-7.9922939999999898E-7</v>
      </c>
      <c r="I2663">
        <v>283.88470000000001</v>
      </c>
      <c r="J2663">
        <v>-328.77080000000001</v>
      </c>
      <c r="K2663">
        <v>1.1051599999999999</v>
      </c>
      <c r="L2663">
        <v>283.14370000000002</v>
      </c>
      <c r="M2663">
        <v>-0.99991819999999998</v>
      </c>
      <c r="N2663">
        <v>0</v>
      </c>
      <c r="O2663">
        <v>1.7321439999999999E-3</v>
      </c>
      <c r="P2663">
        <v>-0.99618770000000001</v>
      </c>
      <c r="Q2663">
        <v>8.1413630000000001E-2</v>
      </c>
      <c r="R2663">
        <v>-3.1344469999999999E-2</v>
      </c>
      <c r="S2663">
        <v>-3.0178829999999999</v>
      </c>
      <c r="T2663">
        <v>-6.3106540000000003E-2</v>
      </c>
      <c r="U2663">
        <v>4.2327879999999998E-2</v>
      </c>
      <c r="V2663">
        <v>-3.3266299999999999E-2</v>
      </c>
      <c r="W2663">
        <v>9.3974310000000005E-2</v>
      </c>
      <c r="X2663">
        <v>0.99501870000000003</v>
      </c>
      <c r="Y2663">
        <v>1.228987E-2</v>
      </c>
      <c r="Z2663" s="1">
        <v>9.2257829999999998E-5</v>
      </c>
      <c r="AA2663">
        <v>0.99992449999999999</v>
      </c>
      <c r="AB2663">
        <v>43</v>
      </c>
      <c r="AC2663">
        <v>-52.615199999999902</v>
      </c>
      <c r="AD2663">
        <v>-1.1051607992293999</v>
      </c>
      <c r="AE2663">
        <v>0.740999999999985</v>
      </c>
      <c r="AF2663">
        <v>0.64956793842359195</v>
      </c>
      <c r="AG2663">
        <v>-1.1051607992293999</v>
      </c>
      <c r="AH2663">
        <v>52.593205531431501</v>
      </c>
      <c r="AI2663">
        <v>91.203708813166202</v>
      </c>
      <c r="AJ2663">
        <v>89.292387509694393</v>
      </c>
      <c r="AK2663">
        <v>52.608826131840097</v>
      </c>
      <c r="AL2663">
        <v>84.607712085751004</v>
      </c>
      <c r="AM2663">
        <v>91.914847341202702</v>
      </c>
      <c r="AN2663">
        <v>1.00000001550267</v>
      </c>
    </row>
    <row r="2664" spans="1:40" x14ac:dyDescent="0.3">
      <c r="A2664" t="str">
        <f>"20200111150006976"</f>
        <v>20200111150006976</v>
      </c>
      <c r="B2664" t="str">
        <f>"1578726006968711"</f>
        <v>1578726006968711</v>
      </c>
      <c r="C2664" t="s">
        <v>40</v>
      </c>
      <c r="D2664">
        <v>4.0433059999999896</v>
      </c>
      <c r="E2664">
        <v>0.51776949999999999</v>
      </c>
      <c r="F2664" t="s">
        <v>62</v>
      </c>
      <c r="G2664">
        <v>-381.90699999999998</v>
      </c>
      <c r="H2664" s="1">
        <v>-5.2195549999999998E-7</v>
      </c>
      <c r="I2664">
        <v>283.92439999999999</v>
      </c>
      <c r="J2664">
        <v>-329.11529999999999</v>
      </c>
      <c r="K2664">
        <v>1.1051299999999999</v>
      </c>
      <c r="L2664">
        <v>283.14389999999997</v>
      </c>
      <c r="M2664">
        <v>-0.99991890000000005</v>
      </c>
      <c r="N2664">
        <v>0</v>
      </c>
      <c r="O2664">
        <v>1.2080649999999999E-3</v>
      </c>
      <c r="P2664">
        <v>-0.99617299999999998</v>
      </c>
      <c r="Q2664">
        <v>8.1678899999999999E-2</v>
      </c>
      <c r="R2664">
        <v>-3.111906E-2</v>
      </c>
      <c r="S2664">
        <v>-3.0179749999999999</v>
      </c>
      <c r="T2664">
        <v>-6.2769649999999996E-2</v>
      </c>
      <c r="U2664">
        <v>4.4342039999999999E-2</v>
      </c>
      <c r="V2664">
        <v>-3.251155E-2</v>
      </c>
      <c r="W2664">
        <v>9.4237790000000002E-2</v>
      </c>
      <c r="X2664">
        <v>0.99501870000000003</v>
      </c>
      <c r="Y2664">
        <v>1.348037E-2</v>
      </c>
      <c r="Z2664">
        <v>1.150397E-4</v>
      </c>
      <c r="AA2664">
        <v>0.9999091</v>
      </c>
      <c r="AB2664">
        <v>43</v>
      </c>
      <c r="AC2664">
        <v>-52.791699999999899</v>
      </c>
      <c r="AD2664">
        <v>-1.1051305219555001</v>
      </c>
      <c r="AE2664">
        <v>0.78050000000001696</v>
      </c>
      <c r="AF2664">
        <v>0.71640462235055602</v>
      </c>
      <c r="AG2664">
        <v>-1.1051305219555001</v>
      </c>
      <c r="AH2664">
        <v>52.769484656885901</v>
      </c>
      <c r="AI2664">
        <v>91.199637036046497</v>
      </c>
      <c r="AJ2664">
        <v>89.222193659288394</v>
      </c>
      <c r="AK2664">
        <v>52.785917250785801</v>
      </c>
      <c r="AL2664">
        <v>84.592548349604201</v>
      </c>
      <c r="AM2664">
        <v>91.871434294440405</v>
      </c>
      <c r="AN2664">
        <v>0.999999987648588</v>
      </c>
    </row>
    <row r="2665" spans="1:40" x14ac:dyDescent="0.3">
      <c r="A2665" t="str">
        <f>"20200111150006992"</f>
        <v>20200111150006992</v>
      </c>
      <c r="B2665" t="str">
        <f>"1578726006988231"</f>
        <v>1578726006988231</v>
      </c>
      <c r="C2665" t="s">
        <v>40</v>
      </c>
      <c r="D2665">
        <v>3.9671959999999999</v>
      </c>
      <c r="E2665">
        <v>0.51826359999999905</v>
      </c>
      <c r="F2665" t="s">
        <v>62</v>
      </c>
      <c r="G2665">
        <v>-381.76929999999999</v>
      </c>
      <c r="H2665" s="1">
        <v>-5.9524909999999995E-7</v>
      </c>
      <c r="I2665">
        <v>283.92059999999998</v>
      </c>
      <c r="J2665">
        <v>-329.40100000000001</v>
      </c>
      <c r="K2665">
        <v>1.1051040000000001</v>
      </c>
      <c r="L2665">
        <v>283.14389999999997</v>
      </c>
      <c r="M2665">
        <v>-0.99991940000000001</v>
      </c>
      <c r="N2665">
        <v>0</v>
      </c>
      <c r="O2665">
        <v>7.9701350000000002E-4</v>
      </c>
      <c r="P2665">
        <v>-0.99615350000000003</v>
      </c>
      <c r="Q2665">
        <v>8.1924410000000003E-2</v>
      </c>
      <c r="R2665">
        <v>-3.1086579999999999E-2</v>
      </c>
      <c r="S2665">
        <v>-3.0181580000000001</v>
      </c>
      <c r="T2665">
        <v>-6.3346739999999999E-2</v>
      </c>
      <c r="U2665">
        <v>4.4525149999999999E-2</v>
      </c>
      <c r="V2665">
        <v>-3.2063389999999997E-2</v>
      </c>
      <c r="W2665">
        <v>9.4481770000000007E-2</v>
      </c>
      <c r="X2665">
        <v>0.99501010000000001</v>
      </c>
      <c r="Y2665">
        <v>1.395093E-2</v>
      </c>
      <c r="Z2665">
        <v>1.2965399999999999E-4</v>
      </c>
      <c r="AA2665">
        <v>0.99990270000000003</v>
      </c>
      <c r="AB2665">
        <v>43</v>
      </c>
      <c r="AC2665">
        <v>-52.368299999999898</v>
      </c>
      <c r="AD2665">
        <v>-1.1051045952491001</v>
      </c>
      <c r="AE2665">
        <v>0.77670000000000505</v>
      </c>
      <c r="AF2665">
        <v>0.73463108790873199</v>
      </c>
      <c r="AG2665">
        <v>-1.1051045952491001</v>
      </c>
      <c r="AH2665">
        <v>52.345597167533001</v>
      </c>
      <c r="AI2665">
        <v>91.209312651335196</v>
      </c>
      <c r="AJ2665">
        <v>89.1959496116758</v>
      </c>
      <c r="AK2665">
        <v>52.362414782240499</v>
      </c>
      <c r="AL2665">
        <v>84.578506645270906</v>
      </c>
      <c r="AM2665">
        <v>91.845671154925796</v>
      </c>
      <c r="AN2665">
        <v>0.99999998247131705</v>
      </c>
    </row>
    <row r="2666" spans="1:40" x14ac:dyDescent="0.3">
      <c r="A2666" t="str">
        <f>"20200111150007004"</f>
        <v>20200111150007004</v>
      </c>
      <c r="B2666" t="str">
        <f>"1578726006998967"</f>
        <v>1578726006998967</v>
      </c>
      <c r="C2666" t="s">
        <v>40</v>
      </c>
      <c r="D2666">
        <v>4.0034409999999996</v>
      </c>
      <c r="E2666">
        <v>0.51812780000000003</v>
      </c>
      <c r="F2666" t="s">
        <v>62</v>
      </c>
      <c r="G2666">
        <v>-384.18520000000001</v>
      </c>
      <c r="H2666" s="1">
        <v>6.9033649999999898E-7</v>
      </c>
      <c r="I2666">
        <v>284.02350000000001</v>
      </c>
      <c r="J2666">
        <v>-329.65629999999999</v>
      </c>
      <c r="K2666">
        <v>1.1050799999999901</v>
      </c>
      <c r="L2666">
        <v>283.1438</v>
      </c>
      <c r="M2666">
        <v>-0.99991969999999997</v>
      </c>
      <c r="N2666">
        <v>0</v>
      </c>
      <c r="O2666">
        <v>4.4413159999999999E-4</v>
      </c>
      <c r="P2666">
        <v>-0.99615710000000002</v>
      </c>
      <c r="Q2666">
        <v>8.1873680000000004E-2</v>
      </c>
      <c r="R2666">
        <v>-3.110769E-2</v>
      </c>
      <c r="S2666">
        <v>-3.018097</v>
      </c>
      <c r="T2666">
        <v>-6.0880900000000002E-2</v>
      </c>
      <c r="U2666">
        <v>4.8461909999999997E-2</v>
      </c>
      <c r="V2666">
        <v>-3.1726690000000002E-2</v>
      </c>
      <c r="W2666">
        <v>9.4429570000000004E-2</v>
      </c>
      <c r="X2666">
        <v>0.99502590000000002</v>
      </c>
      <c r="Y2666">
        <v>1.560784E-2</v>
      </c>
      <c r="Z2666">
        <v>1.4843589999999999E-4</v>
      </c>
      <c r="AA2666">
        <v>0.99987820000000005</v>
      </c>
      <c r="AB2666">
        <v>43</v>
      </c>
      <c r="AC2666">
        <v>-54.5289</v>
      </c>
      <c r="AD2666">
        <v>-1.1050793096635001</v>
      </c>
      <c r="AE2666">
        <v>0.87970000000001303</v>
      </c>
      <c r="AF2666">
        <v>0.85512884606371098</v>
      </c>
      <c r="AG2666">
        <v>-1.1050793096635001</v>
      </c>
      <c r="AH2666">
        <v>54.506904744736502</v>
      </c>
      <c r="AI2666">
        <v>91.161319293604194</v>
      </c>
      <c r="AJ2666">
        <v>89.101191767388599</v>
      </c>
      <c r="AK2666">
        <v>54.5248118793251</v>
      </c>
      <c r="AL2666">
        <v>84.581511197546703</v>
      </c>
      <c r="AM2666">
        <v>91.826273842000106</v>
      </c>
      <c r="AN2666">
        <v>1.0000000341097699</v>
      </c>
    </row>
    <row r="2667" spans="1:40" x14ac:dyDescent="0.3">
      <c r="A2667" t="str">
        <f>"20200111150007020"</f>
        <v>20200111150007020</v>
      </c>
      <c r="B2667" t="str">
        <f>"1578726007008728"</f>
        <v>1578726007008728</v>
      </c>
      <c r="C2667" t="s">
        <v>40</v>
      </c>
      <c r="D2667">
        <v>4.0396739999999998</v>
      </c>
      <c r="E2667">
        <v>0.51800409999999997</v>
      </c>
      <c r="F2667" t="s">
        <v>62</v>
      </c>
      <c r="G2667">
        <v>-383.86739999999998</v>
      </c>
      <c r="H2667" s="1">
        <v>5.2123569999999999E-7</v>
      </c>
      <c r="I2667">
        <v>283.9907</v>
      </c>
      <c r="J2667">
        <v>-329.95049999999998</v>
      </c>
      <c r="K2667">
        <v>1.1050469999999999</v>
      </c>
      <c r="L2667">
        <v>283.14359999999999</v>
      </c>
      <c r="M2667">
        <v>-0.99991989999999997</v>
      </c>
      <c r="N2667">
        <v>0</v>
      </c>
      <c r="O2667" s="1">
        <v>5.6148759999999997E-5</v>
      </c>
      <c r="P2667">
        <v>-0.99609979999999998</v>
      </c>
      <c r="Q2667">
        <v>8.2677360000000005E-2</v>
      </c>
      <c r="R2667">
        <v>-3.0822249999999999E-2</v>
      </c>
      <c r="S2667">
        <v>-3.018097</v>
      </c>
      <c r="T2667">
        <v>-6.15232E-2</v>
      </c>
      <c r="U2667">
        <v>4.7149660000000003E-2</v>
      </c>
      <c r="V2667">
        <v>-3.1049130000000001E-2</v>
      </c>
      <c r="W2667">
        <v>9.5231789999999997E-2</v>
      </c>
      <c r="X2667">
        <v>0.99497080000000004</v>
      </c>
      <c r="Y2667">
        <v>1.556104E-2</v>
      </c>
      <c r="Z2667">
        <v>1.5743349999999999E-4</v>
      </c>
      <c r="AA2667">
        <v>0.99987890000000001</v>
      </c>
      <c r="AB2667">
        <v>43</v>
      </c>
      <c r="AC2667">
        <v>-53.916899999999998</v>
      </c>
      <c r="AD2667">
        <v>-1.1050464787643</v>
      </c>
      <c r="AE2667">
        <v>0.84710000000001096</v>
      </c>
      <c r="AF2667">
        <v>0.84371806438586505</v>
      </c>
      <c r="AG2667">
        <v>-1.1050464787643</v>
      </c>
      <c r="AH2667">
        <v>53.894314227078802</v>
      </c>
      <c r="AI2667">
        <v>91.174481500086699</v>
      </c>
      <c r="AJ2667">
        <v>89.103105099735899</v>
      </c>
      <c r="AK2667">
        <v>53.912244378244097</v>
      </c>
      <c r="AL2667">
        <v>84.535339209471502</v>
      </c>
      <c r="AM2667">
        <v>91.787396146980797</v>
      </c>
      <c r="AN2667">
        <v>1.0000000175765</v>
      </c>
    </row>
    <row r="2668" spans="1:40" x14ac:dyDescent="0.3">
      <c r="A2668" t="str">
        <f>"20200111150007033"</f>
        <v>20200111150007033</v>
      </c>
      <c r="B2668" t="str">
        <f>"1578726007028248"</f>
        <v>1578726007028248</v>
      </c>
      <c r="C2668" t="s">
        <v>40</v>
      </c>
      <c r="D2668">
        <v>3.9905680000000001</v>
      </c>
      <c r="E2668">
        <v>0.51791030000000005</v>
      </c>
      <c r="F2668" t="s">
        <v>62</v>
      </c>
      <c r="G2668">
        <v>-384.90940000000001</v>
      </c>
      <c r="H2668" s="1">
        <v>1.0757619999999999E-6</v>
      </c>
      <c r="I2668">
        <v>283.99880000000002</v>
      </c>
      <c r="J2668">
        <v>-330.1823</v>
      </c>
      <c r="K2668">
        <v>1.1050279999999999</v>
      </c>
      <c r="L2668">
        <v>283.14339999999999</v>
      </c>
      <c r="M2668">
        <v>-0.99991989999999997</v>
      </c>
      <c r="N2668">
        <v>0</v>
      </c>
      <c r="O2668">
        <v>-2.3172660000000001E-4</v>
      </c>
      <c r="P2668">
        <v>-0.99610719999999997</v>
      </c>
      <c r="Q2668">
        <v>8.2545610000000005E-2</v>
      </c>
      <c r="R2668">
        <v>-3.0937280000000001E-2</v>
      </c>
      <c r="S2668">
        <v>-3.0182500000000001</v>
      </c>
      <c r="T2668">
        <v>-6.068718E-2</v>
      </c>
      <c r="U2668">
        <v>4.6966550000000003E-2</v>
      </c>
      <c r="V2668">
        <v>-3.0871599999999999E-2</v>
      </c>
      <c r="W2668">
        <v>9.5099820000000002E-2</v>
      </c>
      <c r="X2668">
        <v>0.99498889999999995</v>
      </c>
      <c r="Y2668">
        <v>1.578746E-2</v>
      </c>
      <c r="Z2668">
        <v>1.6335039999999999E-4</v>
      </c>
      <c r="AA2668">
        <v>0.99987539999999997</v>
      </c>
      <c r="AB2668">
        <v>43</v>
      </c>
      <c r="AC2668">
        <v>-54.7271</v>
      </c>
      <c r="AD2668">
        <v>-1.105026924238</v>
      </c>
      <c r="AE2668">
        <v>0.85540000000003102</v>
      </c>
      <c r="AF2668">
        <v>0.86772903055788797</v>
      </c>
      <c r="AG2668">
        <v>-1.105026924238</v>
      </c>
      <c r="AH2668">
        <v>54.704602669483201</v>
      </c>
      <c r="AI2668">
        <v>91.157065519218705</v>
      </c>
      <c r="AJ2668">
        <v>89.091245714185902</v>
      </c>
      <c r="AK2668">
        <v>54.722642401475703</v>
      </c>
      <c r="AL2668">
        <v>84.542934754012194</v>
      </c>
      <c r="AM2668">
        <v>91.777150593867105</v>
      </c>
      <c r="AN2668">
        <v>0.99999997128689999</v>
      </c>
    </row>
    <row r="2669" spans="1:40" x14ac:dyDescent="0.3">
      <c r="A2669" t="str">
        <f>"20200111150007045"</f>
        <v>20200111150007045</v>
      </c>
      <c r="B2669" t="str">
        <f>"1578726007038984"</f>
        <v>1578726007038984</v>
      </c>
      <c r="C2669" t="s">
        <v>40</v>
      </c>
      <c r="D2669">
        <v>4.0748769999999999</v>
      </c>
      <c r="E2669">
        <v>0.51793040000000001</v>
      </c>
      <c r="F2669" t="s">
        <v>62</v>
      </c>
      <c r="G2669">
        <v>-381.82159999999999</v>
      </c>
      <c r="H2669" s="1">
        <v>-5.6741969999999995E-7</v>
      </c>
      <c r="I2669">
        <v>283.92970000000003</v>
      </c>
      <c r="J2669">
        <v>-330.42559999999997</v>
      </c>
      <c r="K2669">
        <v>1.1050070000000001</v>
      </c>
      <c r="L2669">
        <v>283.1431</v>
      </c>
      <c r="M2669">
        <v>-0.99991980000000003</v>
      </c>
      <c r="N2669">
        <v>0</v>
      </c>
      <c r="O2669">
        <v>-5.2705129999999897E-4</v>
      </c>
      <c r="P2669">
        <v>-0.99610100000000001</v>
      </c>
      <c r="Q2669">
        <v>8.2614930000000003E-2</v>
      </c>
      <c r="R2669">
        <v>-3.0948460000000001E-2</v>
      </c>
      <c r="S2669">
        <v>-3.018494</v>
      </c>
      <c r="T2669">
        <v>-6.4592720000000006E-2</v>
      </c>
      <c r="U2669">
        <v>4.5959470000000002E-2</v>
      </c>
      <c r="V2669">
        <v>-3.0583409999999998E-2</v>
      </c>
      <c r="W2669">
        <v>9.516819E-2</v>
      </c>
      <c r="X2669">
        <v>0.99499130000000002</v>
      </c>
      <c r="Y2669">
        <v>1.5747500000000001E-2</v>
      </c>
      <c r="Z2669">
        <v>1.7973859999999999E-4</v>
      </c>
      <c r="AA2669">
        <v>0.99987599999999999</v>
      </c>
      <c r="AB2669">
        <v>43</v>
      </c>
      <c r="AC2669">
        <v>-51.396000000000001</v>
      </c>
      <c r="AD2669">
        <v>-1.1050075674197</v>
      </c>
      <c r="AE2669">
        <v>0.78660000000002095</v>
      </c>
      <c r="AF2669">
        <v>0.81331452601716403</v>
      </c>
      <c r="AG2669">
        <v>-1.1050075674197</v>
      </c>
      <c r="AH2669">
        <v>51.371837454139403</v>
      </c>
      <c r="AI2669">
        <v>91.232087110832197</v>
      </c>
      <c r="AJ2669">
        <v>89.092973908033997</v>
      </c>
      <c r="AK2669">
        <v>51.3901567000608</v>
      </c>
      <c r="AL2669">
        <v>84.538999795713096</v>
      </c>
      <c r="AM2669">
        <v>91.760566930976694</v>
      </c>
      <c r="AN2669">
        <v>1.0000000082153899</v>
      </c>
    </row>
    <row r="2670" spans="1:40" x14ac:dyDescent="0.3">
      <c r="A2670" t="str">
        <f>"20200111150007057"</f>
        <v>20200111150007057</v>
      </c>
      <c r="B2670" t="str">
        <f>"1578726007048743"</f>
        <v>1578726007048743</v>
      </c>
      <c r="C2670" t="s">
        <v>40</v>
      </c>
      <c r="D2670">
        <v>4.0041630000000001</v>
      </c>
      <c r="E2670">
        <v>0.51786109999999996</v>
      </c>
      <c r="F2670" t="s">
        <v>62</v>
      </c>
      <c r="G2670">
        <v>-380.43099999999998</v>
      </c>
      <c r="H2670" s="1">
        <v>-1.3074109999999899E-6</v>
      </c>
      <c r="I2670">
        <v>283.90339999999998</v>
      </c>
      <c r="J2670">
        <v>-330.66419999999999</v>
      </c>
      <c r="K2670">
        <v>1.1049869999999999</v>
      </c>
      <c r="L2670">
        <v>283.14280000000002</v>
      </c>
      <c r="M2670">
        <v>-0.99991960000000002</v>
      </c>
      <c r="N2670">
        <v>0</v>
      </c>
      <c r="O2670">
        <v>-8.0644159999999996E-4</v>
      </c>
      <c r="P2670">
        <v>-0.99610330000000002</v>
      </c>
      <c r="Q2670">
        <v>8.2720500000000002E-2</v>
      </c>
      <c r="R2670">
        <v>-3.0589109999999999E-2</v>
      </c>
      <c r="S2670">
        <v>-3.018707</v>
      </c>
      <c r="T2670">
        <v>-6.6706660000000001E-2</v>
      </c>
      <c r="U2670">
        <v>4.5898439999999999E-2</v>
      </c>
      <c r="V2670">
        <v>-2.994117E-2</v>
      </c>
      <c r="W2670">
        <v>9.5273559999999993E-2</v>
      </c>
      <c r="X2670">
        <v>0.99500069999999996</v>
      </c>
      <c r="Y2670">
        <v>1.6005209999999999E-2</v>
      </c>
      <c r="Z2670">
        <v>1.9462670000000001E-4</v>
      </c>
      <c r="AA2670">
        <v>0.99987190000000004</v>
      </c>
      <c r="AB2670">
        <v>43</v>
      </c>
      <c r="AC2670">
        <v>-49.766799999999897</v>
      </c>
      <c r="AD2670">
        <v>-1.1049883074110001</v>
      </c>
      <c r="AE2670">
        <v>0.76059999999995398</v>
      </c>
      <c r="AF2670">
        <v>0.80034251769264497</v>
      </c>
      <c r="AG2670">
        <v>-1.1049883074110001</v>
      </c>
      <c r="AH2670">
        <v>49.741654097345801</v>
      </c>
      <c r="AI2670">
        <v>91.272425830140605</v>
      </c>
      <c r="AJ2670">
        <v>89.078191252987907</v>
      </c>
      <c r="AK2670">
        <v>49.760362736269798</v>
      </c>
      <c r="AL2670">
        <v>84.532934711818996</v>
      </c>
      <c r="AM2670">
        <v>91.7236019604631</v>
      </c>
      <c r="AN2670">
        <v>0.99999995894826499</v>
      </c>
    </row>
    <row r="2671" spans="1:40" x14ac:dyDescent="0.3">
      <c r="A2671" t="str">
        <f>"20200111150007071"</f>
        <v>20200111150007071</v>
      </c>
      <c r="B2671" t="str">
        <f>"1578726007058503"</f>
        <v>1578726007058503</v>
      </c>
      <c r="C2671" t="s">
        <v>40</v>
      </c>
      <c r="D2671">
        <v>4.1198629999999996</v>
      </c>
      <c r="E2671">
        <v>0.51817349999999995</v>
      </c>
      <c r="F2671" t="s">
        <v>62</v>
      </c>
      <c r="G2671">
        <v>-380.17230000000001</v>
      </c>
      <c r="H2671" s="1">
        <v>-1.445118E-6</v>
      </c>
      <c r="I2671">
        <v>283.89550000000003</v>
      </c>
      <c r="J2671">
        <v>-330.90519999999998</v>
      </c>
      <c r="K2671">
        <v>1.10497</v>
      </c>
      <c r="L2671">
        <v>283.14240000000001</v>
      </c>
      <c r="M2671">
        <v>-0.99991949999999996</v>
      </c>
      <c r="N2671">
        <v>0</v>
      </c>
      <c r="O2671">
        <v>-1.0790699999999999E-3</v>
      </c>
      <c r="P2671">
        <v>-0.99611819999999895</v>
      </c>
      <c r="Q2671">
        <v>8.2738220000000001E-2</v>
      </c>
      <c r="R2671">
        <v>-3.005379E-2</v>
      </c>
      <c r="S2671">
        <v>-3.0187379999999999</v>
      </c>
      <c r="T2671">
        <v>-6.737638E-2</v>
      </c>
      <c r="U2671">
        <v>4.5898439999999999E-2</v>
      </c>
      <c r="V2671">
        <v>-2.9129789999999999E-2</v>
      </c>
      <c r="W2671">
        <v>9.5292059999999998E-2</v>
      </c>
      <c r="X2671">
        <v>0.99502310000000005</v>
      </c>
      <c r="Y2671">
        <v>1.6277460000000001E-2</v>
      </c>
      <c r="Z2671">
        <v>2.0570009999999999E-4</v>
      </c>
      <c r="AA2671">
        <v>0.99986750000000002</v>
      </c>
      <c r="AB2671">
        <v>43</v>
      </c>
      <c r="AC2671">
        <v>-49.267099999999999</v>
      </c>
      <c r="AD2671">
        <v>-1.1049714451179999</v>
      </c>
      <c r="AE2671">
        <v>0.75310000000001698</v>
      </c>
      <c r="AF2671">
        <v>0.80586118778869198</v>
      </c>
      <c r="AG2671">
        <v>-1.1049714451179999</v>
      </c>
      <c r="AH2671">
        <v>49.241494766395903</v>
      </c>
      <c r="AI2671">
        <v>91.285320542329202</v>
      </c>
      <c r="AJ2671">
        <v>89.062410194808294</v>
      </c>
      <c r="AK2671">
        <v>49.260482955179299</v>
      </c>
      <c r="AL2671">
        <v>84.531870369635897</v>
      </c>
      <c r="AM2671">
        <v>91.676883137904298</v>
      </c>
      <c r="AN2671">
        <v>1.0000000454490401</v>
      </c>
    </row>
    <row r="2672" spans="1:40" x14ac:dyDescent="0.3">
      <c r="A2672" t="str">
        <f>"20200111150007083"</f>
        <v>20200111150007083</v>
      </c>
      <c r="B2672" t="str">
        <f>"1578726007078999"</f>
        <v>1578726007078999</v>
      </c>
      <c r="C2672" t="s">
        <v>40</v>
      </c>
      <c r="D2672">
        <v>3.9271560000000001</v>
      </c>
      <c r="E2672">
        <v>0.51842549999999998</v>
      </c>
      <c r="F2672" t="s">
        <v>62</v>
      </c>
      <c r="G2672">
        <v>-378.60219999999998</v>
      </c>
      <c r="H2672" s="1">
        <v>3.0408679999999999E-6</v>
      </c>
      <c r="I2672">
        <v>283.92439999999999</v>
      </c>
      <c r="J2672">
        <v>-331.14440000000002</v>
      </c>
      <c r="K2672">
        <v>1.104954</v>
      </c>
      <c r="L2672">
        <v>283.14190000000002</v>
      </c>
      <c r="M2672">
        <v>-0.99991909999999895</v>
      </c>
      <c r="N2672">
        <v>0</v>
      </c>
      <c r="O2672">
        <v>-1.3452850000000001E-3</v>
      </c>
      <c r="P2672">
        <v>-0.99613700000000005</v>
      </c>
      <c r="Q2672">
        <v>8.2669229999999996E-2</v>
      </c>
      <c r="R2672">
        <v>-2.9614109999999999E-2</v>
      </c>
      <c r="S2672">
        <v>-3.0189819999999998</v>
      </c>
      <c r="T2672">
        <v>-6.9938899999999901E-2</v>
      </c>
      <c r="U2672">
        <v>4.9499509999999997E-2</v>
      </c>
      <c r="V2672">
        <v>-2.8420649999999999E-2</v>
      </c>
      <c r="W2672">
        <v>9.5223249999999995E-2</v>
      </c>
      <c r="X2672">
        <v>0.99505010000000005</v>
      </c>
      <c r="Y2672">
        <v>1.7733970000000002E-2</v>
      </c>
      <c r="Z2672">
        <v>2.365364E-4</v>
      </c>
      <c r="AA2672">
        <v>0.99984269999999997</v>
      </c>
      <c r="AB2672">
        <v>43</v>
      </c>
      <c r="AC2672">
        <v>-47.457799999999899</v>
      </c>
      <c r="AD2672">
        <v>-1.1049509591319999</v>
      </c>
      <c r="AE2672">
        <v>0.78249999999997</v>
      </c>
      <c r="AF2672">
        <v>0.84589024252485301</v>
      </c>
      <c r="AG2672">
        <v>-1.1049509591319999</v>
      </c>
      <c r="AH2672">
        <v>47.430999431888097</v>
      </c>
      <c r="AI2672">
        <v>91.334307063345406</v>
      </c>
      <c r="AJ2672">
        <v>88.978288374782693</v>
      </c>
      <c r="AK2672">
        <v>47.451408346141299</v>
      </c>
      <c r="AL2672">
        <v>84.535830384853298</v>
      </c>
      <c r="AM2672">
        <v>91.636038935757796</v>
      </c>
      <c r="AN2672">
        <v>0.99999995109849604</v>
      </c>
    </row>
    <row r="2673" spans="1:40" x14ac:dyDescent="0.3">
      <c r="A2673" t="str">
        <f>"20200111150007098"</f>
        <v>20200111150007098</v>
      </c>
      <c r="B2673" t="str">
        <f>"1578726007088759"</f>
        <v>1578726007088759</v>
      </c>
      <c r="C2673" t="s">
        <v>40</v>
      </c>
      <c r="D2673">
        <v>4.0646420000000001</v>
      </c>
      <c r="E2673">
        <v>0.51856210000000003</v>
      </c>
      <c r="F2673" t="s">
        <v>62</v>
      </c>
      <c r="G2673">
        <v>-378.48309999999998</v>
      </c>
      <c r="H2673" s="1">
        <v>2.9774819999999998E-6</v>
      </c>
      <c r="I2673">
        <v>283.96640000000002</v>
      </c>
      <c r="J2673">
        <v>-331.43029999999999</v>
      </c>
      <c r="K2673">
        <v>1.104938</v>
      </c>
      <c r="L2673">
        <v>283.1413</v>
      </c>
      <c r="M2673">
        <v>-0.9999188</v>
      </c>
      <c r="N2673">
        <v>0</v>
      </c>
      <c r="O2673">
        <v>-1.6540459999999999E-3</v>
      </c>
      <c r="P2673">
        <v>-0.99619270000000004</v>
      </c>
      <c r="Q2673">
        <v>8.2403180000000006E-2</v>
      </c>
      <c r="R2673">
        <v>-2.8467599999999999E-2</v>
      </c>
      <c r="S2673">
        <v>-3.0190429999999999</v>
      </c>
      <c r="T2673">
        <v>-7.0468779999999995E-2</v>
      </c>
      <c r="U2673">
        <v>5.2581790000000003E-2</v>
      </c>
      <c r="V2673">
        <v>-2.6961809999999999E-2</v>
      </c>
      <c r="W2673">
        <v>9.4959329999999995E-2</v>
      </c>
      <c r="X2673">
        <v>0.995116</v>
      </c>
      <c r="Y2673">
        <v>1.9062320000000001E-2</v>
      </c>
      <c r="Z2673">
        <v>2.6102660000000002E-4</v>
      </c>
      <c r="AA2673">
        <v>0.99981830000000005</v>
      </c>
      <c r="AB2673">
        <v>43</v>
      </c>
      <c r="AC2673">
        <v>-47.052799999999898</v>
      </c>
      <c r="AD2673">
        <v>-1.1049350225179999</v>
      </c>
      <c r="AE2673">
        <v>0.82510000000002004</v>
      </c>
      <c r="AF2673">
        <v>0.90243508966299002</v>
      </c>
      <c r="AG2673">
        <v>-1.1049350225179999</v>
      </c>
      <c r="AH2673">
        <v>47.0254467665684</v>
      </c>
      <c r="AI2673">
        <v>91.345756893759699</v>
      </c>
      <c r="AJ2673">
        <v>88.900608507504202</v>
      </c>
      <c r="AK2673">
        <v>47.047081887088403</v>
      </c>
      <c r="AL2673">
        <v>84.551021172317405</v>
      </c>
      <c r="AM2673">
        <v>91.552000047587399</v>
      </c>
      <c r="AN2673">
        <v>1.00000003350426</v>
      </c>
    </row>
    <row r="2674" spans="1:40" x14ac:dyDescent="0.3">
      <c r="A2674" t="str">
        <f>"20200111150007110"</f>
        <v>20200111150007110</v>
      </c>
      <c r="B2674" t="str">
        <f>"1578726007098520"</f>
        <v>1578726007098520</v>
      </c>
      <c r="C2674" t="s">
        <v>40</v>
      </c>
      <c r="D2674">
        <v>4.0097199999999997</v>
      </c>
      <c r="E2674">
        <v>0.51864330000000003</v>
      </c>
      <c r="F2674" t="s">
        <v>62</v>
      </c>
      <c r="G2674">
        <v>-379.52719999999999</v>
      </c>
      <c r="H2674" s="1">
        <v>3.5330969999999998E-6</v>
      </c>
      <c r="I2674">
        <v>284.05689999999998</v>
      </c>
      <c r="J2674">
        <v>-331.66059999999999</v>
      </c>
      <c r="K2674">
        <v>1.104924</v>
      </c>
      <c r="L2674">
        <v>283.14069999999998</v>
      </c>
      <c r="M2674">
        <v>-0.99991819999999998</v>
      </c>
      <c r="N2674">
        <v>0</v>
      </c>
      <c r="O2674">
        <v>-1.8980570000000001E-3</v>
      </c>
      <c r="P2674">
        <v>-0.99618700000000004</v>
      </c>
      <c r="Q2674">
        <v>8.2471269999999999E-2</v>
      </c>
      <c r="R2674">
        <v>-2.845694E-2</v>
      </c>
      <c r="S2674">
        <v>-3.018799</v>
      </c>
      <c r="T2674">
        <v>-6.9351199999999905E-2</v>
      </c>
      <c r="U2674">
        <v>5.7464599999999998E-2</v>
      </c>
      <c r="V2674">
        <v>-2.6705409999999999E-2</v>
      </c>
      <c r="W2674">
        <v>9.5026730000000004E-2</v>
      </c>
      <c r="X2674">
        <v>0.99511649999999996</v>
      </c>
      <c r="Y2674">
        <v>2.092395E-2</v>
      </c>
      <c r="Z2674">
        <v>2.8388890000000003E-4</v>
      </c>
      <c r="AA2674">
        <v>0.99978100000000003</v>
      </c>
      <c r="AB2674">
        <v>43</v>
      </c>
      <c r="AC2674">
        <v>-47.866599999999998</v>
      </c>
      <c r="AD2674">
        <v>-1.1049204669029999</v>
      </c>
      <c r="AE2674">
        <v>0.91620000000000301</v>
      </c>
      <c r="AF2674">
        <v>1.0065230339154201</v>
      </c>
      <c r="AG2674">
        <v>-1.1049204669029999</v>
      </c>
      <c r="AH2674">
        <v>47.839293267759899</v>
      </c>
      <c r="AI2674">
        <v>91.322804367326199</v>
      </c>
      <c r="AJ2674">
        <v>88.794693427372707</v>
      </c>
      <c r="AK2674">
        <v>47.862635930490903</v>
      </c>
      <c r="AL2674">
        <v>84.547142003690197</v>
      </c>
      <c r="AM2674">
        <v>91.537247263157894</v>
      </c>
      <c r="AN2674">
        <v>1.000000053455</v>
      </c>
    </row>
    <row r="2675" spans="1:40" x14ac:dyDescent="0.3">
      <c r="A2675" t="str">
        <f>"20200111150007124"</f>
        <v>20200111150007124</v>
      </c>
      <c r="B2675" t="str">
        <f>"1578726007119016"</f>
        <v>1578726007119016</v>
      </c>
      <c r="C2675" t="s">
        <v>40</v>
      </c>
      <c r="D2675">
        <v>4.0675140000000001</v>
      </c>
      <c r="E2675">
        <v>0.51860980000000001</v>
      </c>
      <c r="F2675" t="s">
        <v>62</v>
      </c>
      <c r="G2675">
        <v>-380.72590000000002</v>
      </c>
      <c r="H2675" s="1">
        <v>-1.1505269999999999E-6</v>
      </c>
      <c r="I2675">
        <v>284.08710000000002</v>
      </c>
      <c r="J2675">
        <v>-331.93299999999999</v>
      </c>
      <c r="K2675">
        <v>1.104908</v>
      </c>
      <c r="L2675">
        <v>283.14</v>
      </c>
      <c r="M2675">
        <v>-0.99991759999999996</v>
      </c>
      <c r="N2675">
        <v>0</v>
      </c>
      <c r="O2675">
        <v>-2.1842440000000001E-3</v>
      </c>
      <c r="P2675">
        <v>-0.99620540000000002</v>
      </c>
      <c r="Q2675">
        <v>8.2256270000000006E-2</v>
      </c>
      <c r="R2675">
        <v>-2.8437980000000002E-2</v>
      </c>
      <c r="S2675">
        <v>-3.0187680000000001</v>
      </c>
      <c r="T2675">
        <v>-6.7981239999999998E-2</v>
      </c>
      <c r="U2675">
        <v>5.8227540000000001E-2</v>
      </c>
      <c r="V2675">
        <v>-2.639704E-2</v>
      </c>
      <c r="W2675">
        <v>9.4811210000000007E-2</v>
      </c>
      <c r="X2675">
        <v>0.99514519999999995</v>
      </c>
      <c r="Y2675">
        <v>2.14629E-2</v>
      </c>
      <c r="Z2675">
        <v>2.9079559999999998E-4</v>
      </c>
      <c r="AA2675">
        <v>0.99976960000000004</v>
      </c>
      <c r="AB2675">
        <v>43</v>
      </c>
      <c r="AC2675">
        <v>-48.792899999999896</v>
      </c>
      <c r="AD2675">
        <v>-1.1049091505269999</v>
      </c>
      <c r="AE2675">
        <v>0.94710000000003403</v>
      </c>
      <c r="AF2675">
        <v>1.0531420299749801</v>
      </c>
      <c r="AG2675">
        <v>-1.1049091505269999</v>
      </c>
      <c r="AH2675">
        <v>48.765717551513902</v>
      </c>
      <c r="AI2675">
        <v>91.297654471291196</v>
      </c>
      <c r="AJ2675">
        <v>88.762835480584201</v>
      </c>
      <c r="AK2675">
        <v>48.789600743193702</v>
      </c>
      <c r="AL2675">
        <v>84.559545935336203</v>
      </c>
      <c r="AM2675">
        <v>91.519461086065803</v>
      </c>
      <c r="AN2675">
        <v>0.99999996917273204</v>
      </c>
    </row>
    <row r="2676" spans="1:40" x14ac:dyDescent="0.3">
      <c r="A2676" t="str">
        <f>"20200111150007138"</f>
        <v>20200111150007138</v>
      </c>
      <c r="B2676" t="str">
        <f>"1578726007128775"</f>
        <v>1578726007128775</v>
      </c>
      <c r="C2676" t="s">
        <v>40</v>
      </c>
      <c r="D2676">
        <v>4.0928139999999997</v>
      </c>
      <c r="E2676">
        <v>0.51843879999999998</v>
      </c>
      <c r="F2676" t="s">
        <v>62</v>
      </c>
      <c r="G2676">
        <v>-379.62569999999999</v>
      </c>
      <c r="H2676" s="1">
        <v>3.5855159999999998E-6</v>
      </c>
      <c r="I2676">
        <v>284.05599999999998</v>
      </c>
      <c r="J2676">
        <v>-332.21379999999999</v>
      </c>
      <c r="K2676">
        <v>1.104897</v>
      </c>
      <c r="L2676">
        <v>283.13909999999998</v>
      </c>
      <c r="M2676">
        <v>-0.99991699999999994</v>
      </c>
      <c r="N2676">
        <v>0</v>
      </c>
      <c r="O2676">
        <v>-2.475583E-3</v>
      </c>
      <c r="P2676">
        <v>-0.99621349999999997</v>
      </c>
      <c r="Q2676">
        <v>8.2127539999999999E-2</v>
      </c>
      <c r="R2676">
        <v>-2.853149E-2</v>
      </c>
      <c r="S2676">
        <v>-3.0188600000000001</v>
      </c>
      <c r="T2676">
        <v>-6.9938539999999993E-2</v>
      </c>
      <c r="U2676">
        <v>5.7983399999999997E-2</v>
      </c>
      <c r="V2676">
        <v>-2.6197120000000001E-2</v>
      </c>
      <c r="W2676">
        <v>9.4681630000000003E-2</v>
      </c>
      <c r="X2676">
        <v>0.99516280000000001</v>
      </c>
      <c r="Y2676">
        <v>2.1672299999999999E-2</v>
      </c>
      <c r="Z2676">
        <v>3.0833070000000002E-4</v>
      </c>
      <c r="AA2676">
        <v>0.99976509999999996</v>
      </c>
      <c r="AB2676">
        <v>43</v>
      </c>
      <c r="AC2676">
        <v>-47.411900000000003</v>
      </c>
      <c r="AD2676">
        <v>-1.1048934144839999</v>
      </c>
      <c r="AE2676">
        <v>0.91689999999999805</v>
      </c>
      <c r="AF2676">
        <v>1.0337174822089099</v>
      </c>
      <c r="AG2676">
        <v>-1.1048934144839999</v>
      </c>
      <c r="AH2676">
        <v>47.383760965754298</v>
      </c>
      <c r="AI2676">
        <v>91.335461921302496</v>
      </c>
      <c r="AJ2676">
        <v>88.750241553037995</v>
      </c>
      <c r="AK2676">
        <v>47.407912467753</v>
      </c>
      <c r="AL2676">
        <v>84.567003764533794</v>
      </c>
      <c r="AM2676">
        <v>91.507932008295896</v>
      </c>
      <c r="AN2676">
        <v>0.99999994932979397</v>
      </c>
    </row>
    <row r="2677" spans="1:40" x14ac:dyDescent="0.3">
      <c r="A2677" t="str">
        <f>"20200111150007155"</f>
        <v>20200111150007155</v>
      </c>
      <c r="B2677" t="str">
        <f>"1578726007148295"</f>
        <v>1578726007148295</v>
      </c>
      <c r="C2677" t="s">
        <v>40</v>
      </c>
      <c r="D2677">
        <v>3.9940929999999999</v>
      </c>
      <c r="E2677">
        <v>0.51827369999999995</v>
      </c>
      <c r="F2677" t="s">
        <v>62</v>
      </c>
      <c r="G2677">
        <v>-380.00319999999999</v>
      </c>
      <c r="H2677" s="1">
        <v>-1.5350799999999901E-6</v>
      </c>
      <c r="I2677">
        <v>284.03140000000002</v>
      </c>
      <c r="J2677">
        <v>-332.50470000000001</v>
      </c>
      <c r="K2677">
        <v>1.1048789999999999</v>
      </c>
      <c r="L2677">
        <v>283.13810000000001</v>
      </c>
      <c r="M2677">
        <v>-0.99991629999999998</v>
      </c>
      <c r="N2677">
        <v>0</v>
      </c>
      <c r="O2677">
        <v>-2.7756399999999998E-3</v>
      </c>
      <c r="P2677">
        <v>-0.9962377</v>
      </c>
      <c r="Q2677">
        <v>8.1864660000000006E-2</v>
      </c>
      <c r="R2677">
        <v>-2.8439269999999999E-2</v>
      </c>
      <c r="S2677">
        <v>-3.018799</v>
      </c>
      <c r="T2677">
        <v>-6.9795129999999997E-2</v>
      </c>
      <c r="U2677">
        <v>5.6365970000000001E-2</v>
      </c>
      <c r="V2677">
        <v>-2.580296E-2</v>
      </c>
      <c r="W2677">
        <v>9.4418639999999998E-2</v>
      </c>
      <c r="X2677">
        <v>0.99519809999999997</v>
      </c>
      <c r="Y2677">
        <v>2.143724E-2</v>
      </c>
      <c r="Z2677">
        <v>3.119261E-4</v>
      </c>
      <c r="AA2677">
        <v>0.99977020000000005</v>
      </c>
      <c r="AB2677">
        <v>43</v>
      </c>
      <c r="AC2677">
        <v>-47.4984999999999</v>
      </c>
      <c r="AD2677">
        <v>-1.1048805350799999</v>
      </c>
      <c r="AE2677">
        <v>0.89330000000000997</v>
      </c>
      <c r="AF2677">
        <v>1.02459162078038</v>
      </c>
      <c r="AG2677">
        <v>-1.1048805350799999</v>
      </c>
      <c r="AH2677">
        <v>47.470160697637603</v>
      </c>
      <c r="AI2677">
        <v>91.333023315589401</v>
      </c>
      <c r="AJ2677">
        <v>88.763525104807897</v>
      </c>
      <c r="AK2677">
        <v>47.4940702156144</v>
      </c>
      <c r="AL2677">
        <v>84.582139876962003</v>
      </c>
      <c r="AM2677">
        <v>91.485201352172794</v>
      </c>
      <c r="AN2677">
        <v>0.99999996528391</v>
      </c>
    </row>
    <row r="2678" spans="1:40" x14ac:dyDescent="0.3">
      <c r="A2678" t="str">
        <f>"20200111150007167"</f>
        <v>20200111150007167</v>
      </c>
      <c r="B2678" t="str">
        <f>"1578726007159031"</f>
        <v>1578726007159031</v>
      </c>
      <c r="C2678" t="s">
        <v>40</v>
      </c>
      <c r="D2678">
        <v>3.998399</v>
      </c>
      <c r="E2678">
        <v>0.51817829999999998</v>
      </c>
      <c r="F2678" t="s">
        <v>62</v>
      </c>
      <c r="G2678">
        <v>-378.899</v>
      </c>
      <c r="H2678" s="1">
        <v>3.1988429999999999E-6</v>
      </c>
      <c r="I2678">
        <v>283.98689999999999</v>
      </c>
      <c r="J2678">
        <v>-332.75790000000001</v>
      </c>
      <c r="K2678">
        <v>1.1048690000000001</v>
      </c>
      <c r="L2678">
        <v>283.13709999999998</v>
      </c>
      <c r="M2678">
        <v>-0.99991560000000002</v>
      </c>
      <c r="N2678">
        <v>0</v>
      </c>
      <c r="O2678">
        <v>-3.0359300000000001E-3</v>
      </c>
      <c r="P2678">
        <v>-0.99623320000000004</v>
      </c>
      <c r="Q2678">
        <v>8.1851110000000005E-2</v>
      </c>
      <c r="R2678">
        <v>-2.8635290000000001E-2</v>
      </c>
      <c r="S2678">
        <v>-3.0188600000000001</v>
      </c>
      <c r="T2678">
        <v>-7.1893810000000002E-2</v>
      </c>
      <c r="U2678">
        <v>5.5236819999999999E-2</v>
      </c>
      <c r="V2678">
        <v>-2.5737510000000002E-2</v>
      </c>
      <c r="W2678">
        <v>9.4403940000000006E-2</v>
      </c>
      <c r="X2678">
        <v>0.99520120000000001</v>
      </c>
      <c r="Y2678">
        <v>2.1322859999999999E-2</v>
      </c>
      <c r="Z2678">
        <v>3.2613379999999999E-4</v>
      </c>
      <c r="AA2678">
        <v>0.99977260000000001</v>
      </c>
      <c r="AB2678">
        <v>43</v>
      </c>
      <c r="AC2678">
        <v>-46.141100000000002</v>
      </c>
      <c r="AD2678">
        <v>-1.1048658011570001</v>
      </c>
      <c r="AE2678">
        <v>0.84980000000001599</v>
      </c>
      <c r="AF2678">
        <v>0.98932134542150996</v>
      </c>
      <c r="AG2678">
        <v>-1.1048658011570001</v>
      </c>
      <c r="AH2678">
        <v>46.111876487084302</v>
      </c>
      <c r="AI2678">
        <v>91.372259936404902</v>
      </c>
      <c r="AJ2678">
        <v>88.770918751865096</v>
      </c>
      <c r="AK2678">
        <v>46.135719765959998</v>
      </c>
      <c r="AL2678">
        <v>84.582985961569506</v>
      </c>
      <c r="AM2678">
        <v>91.481431161742904</v>
      </c>
      <c r="AN2678">
        <v>0.99999997589498102</v>
      </c>
    </row>
    <row r="2679" spans="1:40" x14ac:dyDescent="0.3">
      <c r="A2679" t="str">
        <f>"20200111150007182"</f>
        <v>20200111150007182</v>
      </c>
      <c r="B2679" t="str">
        <f>"1578726007178551"</f>
        <v>1578726007178551</v>
      </c>
      <c r="C2679" t="s">
        <v>40</v>
      </c>
      <c r="D2679">
        <v>3.981814</v>
      </c>
      <c r="E2679">
        <v>0.51803650000000001</v>
      </c>
      <c r="F2679" t="s">
        <v>62</v>
      </c>
      <c r="G2679">
        <v>-378.91399999999999</v>
      </c>
      <c r="H2679" s="1">
        <v>3.2068010000000002E-6</v>
      </c>
      <c r="I2679">
        <v>283.96019999999999</v>
      </c>
      <c r="J2679">
        <v>-333.01240000000001</v>
      </c>
      <c r="K2679">
        <v>1.10486</v>
      </c>
      <c r="L2679">
        <v>283.13619999999997</v>
      </c>
      <c r="M2679">
        <v>-0.99991459999999999</v>
      </c>
      <c r="N2679">
        <v>0</v>
      </c>
      <c r="O2679">
        <v>-3.2968300000000002E-3</v>
      </c>
      <c r="P2679">
        <v>-0.99620019999999998</v>
      </c>
      <c r="Q2679">
        <v>8.2035579999999997E-2</v>
      </c>
      <c r="R2679">
        <v>-2.9252219999999999E-2</v>
      </c>
      <c r="S2679">
        <v>-3.0188290000000002</v>
      </c>
      <c r="T2679">
        <v>-7.2263480000000005E-2</v>
      </c>
      <c r="U2679">
        <v>5.3833010000000001E-2</v>
      </c>
      <c r="V2679">
        <v>-2.6092480000000001E-2</v>
      </c>
      <c r="W2679">
        <v>9.4587149999999995E-2</v>
      </c>
      <c r="X2679">
        <v>0.99517460000000002</v>
      </c>
      <c r="Y2679">
        <v>2.1119059999999999E-2</v>
      </c>
      <c r="Z2679">
        <v>3.3162079999999997E-4</v>
      </c>
      <c r="AA2679">
        <v>0.99977689999999997</v>
      </c>
      <c r="AB2679">
        <v>43</v>
      </c>
      <c r="AC2679">
        <v>-45.901599999999902</v>
      </c>
      <c r="AD2679">
        <v>-1.1048567931990001</v>
      </c>
      <c r="AE2679">
        <v>0.82400000000001195</v>
      </c>
      <c r="AF2679">
        <v>0.97477282256733599</v>
      </c>
      <c r="AG2679">
        <v>-1.1048567931990001</v>
      </c>
      <c r="AH2679">
        <v>45.8720653431306</v>
      </c>
      <c r="AI2679">
        <v>91.379425897564403</v>
      </c>
      <c r="AJ2679">
        <v>88.782658594505705</v>
      </c>
      <c r="AK2679">
        <v>45.895721689864899</v>
      </c>
      <c r="AL2679">
        <v>84.572441834047098</v>
      </c>
      <c r="AM2679">
        <v>91.501893790901093</v>
      </c>
      <c r="AN2679">
        <v>1.0000000154714099</v>
      </c>
    </row>
    <row r="2680" spans="1:40" x14ac:dyDescent="0.3">
      <c r="A2680" t="str">
        <f>"20200111150007195"</f>
        <v>20200111150007195</v>
      </c>
      <c r="B2680" t="str">
        <f>"1578726007188311"</f>
        <v>1578726007188311</v>
      </c>
      <c r="C2680" t="s">
        <v>40</v>
      </c>
      <c r="D2680">
        <v>3.9693040000000002</v>
      </c>
      <c r="E2680">
        <v>0.51798919999999904</v>
      </c>
      <c r="F2680" t="s">
        <v>62</v>
      </c>
      <c r="G2680">
        <v>-379.10570000000001</v>
      </c>
      <c r="H2680" s="1">
        <v>3.3087959999999999E-6</v>
      </c>
      <c r="I2680">
        <v>283.91570000000002</v>
      </c>
      <c r="J2680">
        <v>-333.28730000000002</v>
      </c>
      <c r="K2680">
        <v>1.1048519999999999</v>
      </c>
      <c r="L2680">
        <v>283.13499999999999</v>
      </c>
      <c r="M2680">
        <v>-0.99991379999999996</v>
      </c>
      <c r="N2680">
        <v>0</v>
      </c>
      <c r="O2680">
        <v>-3.5783619999999999E-3</v>
      </c>
      <c r="P2680">
        <v>-0.99617990000000001</v>
      </c>
      <c r="Q2680">
        <v>8.2076670000000004E-2</v>
      </c>
      <c r="R2680">
        <v>-2.9820269999999999E-2</v>
      </c>
      <c r="S2680">
        <v>-3.0188899999999999</v>
      </c>
      <c r="T2680">
        <v>-7.2362899999999994E-2</v>
      </c>
      <c r="U2680">
        <v>5.1055910000000003E-2</v>
      </c>
      <c r="V2680">
        <v>-2.6378530000000001E-2</v>
      </c>
      <c r="W2680">
        <v>9.4627030000000001E-2</v>
      </c>
      <c r="X2680">
        <v>0.99516329999999997</v>
      </c>
      <c r="Y2680">
        <v>2.0480849999999998E-2</v>
      </c>
      <c r="Z2680">
        <v>3.311729E-4</v>
      </c>
      <c r="AA2680">
        <v>0.99979019999999996</v>
      </c>
      <c r="AB2680">
        <v>43</v>
      </c>
      <c r="AC2680">
        <v>-45.818399999999997</v>
      </c>
      <c r="AD2680">
        <v>-1.1048486912040001</v>
      </c>
      <c r="AE2680">
        <v>0.78070000000002404</v>
      </c>
      <c r="AF2680">
        <v>0.94411409377153299</v>
      </c>
      <c r="AG2680">
        <v>-1.1048486912040001</v>
      </c>
      <c r="AH2680">
        <v>45.788695826346199</v>
      </c>
      <c r="AI2680">
        <v>91.381944612964205</v>
      </c>
      <c r="AJ2680">
        <v>88.818789482496399</v>
      </c>
      <c r="AK2680">
        <v>45.811752941032097</v>
      </c>
      <c r="AL2680">
        <v>84.570146758786194</v>
      </c>
      <c r="AM2680">
        <v>91.518368512528795</v>
      </c>
      <c r="AN2680">
        <v>1.0000000476592299</v>
      </c>
    </row>
    <row r="2681" spans="1:40" x14ac:dyDescent="0.3">
      <c r="A2681" t="str">
        <f>"20200111150007210"</f>
        <v>20200111150007210</v>
      </c>
      <c r="B2681" t="str">
        <f>"1578726007199049"</f>
        <v>1578726007199049</v>
      </c>
      <c r="C2681" t="s">
        <v>40</v>
      </c>
      <c r="D2681">
        <v>4.0039009999999999</v>
      </c>
      <c r="E2681">
        <v>0.51792669999999996</v>
      </c>
      <c r="F2681" t="s">
        <v>62</v>
      </c>
      <c r="G2681">
        <v>-379.1823</v>
      </c>
      <c r="H2681" s="1">
        <v>3.3495790000000001E-6</v>
      </c>
      <c r="I2681">
        <v>283.8768</v>
      </c>
      <c r="J2681">
        <v>-333.56</v>
      </c>
      <c r="K2681">
        <v>1.1048450000000001</v>
      </c>
      <c r="L2681">
        <v>283.13380000000001</v>
      </c>
      <c r="M2681">
        <v>-0.99991280000000005</v>
      </c>
      <c r="N2681">
        <v>0</v>
      </c>
      <c r="O2681">
        <v>-3.8578800000000002E-3</v>
      </c>
      <c r="P2681">
        <v>-0.99614749999999996</v>
      </c>
      <c r="Q2681">
        <v>8.217207E-2</v>
      </c>
      <c r="R2681">
        <v>-3.0628140000000002E-2</v>
      </c>
      <c r="S2681">
        <v>-3.0189509999999999</v>
      </c>
      <c r="T2681">
        <v>-7.2676420000000005E-2</v>
      </c>
      <c r="U2681">
        <v>4.8797609999999998E-2</v>
      </c>
      <c r="V2681">
        <v>-2.690644E-2</v>
      </c>
      <c r="W2681">
        <v>9.4720070000000003E-2</v>
      </c>
      <c r="X2681">
        <v>0.99514029999999998</v>
      </c>
      <c r="Y2681">
        <v>2.00123E-2</v>
      </c>
      <c r="Z2681">
        <v>3.3369219999999998E-4</v>
      </c>
      <c r="AA2681">
        <v>0.99979969999999996</v>
      </c>
      <c r="AB2681">
        <v>43</v>
      </c>
      <c r="AC2681">
        <v>-45.622300000000003</v>
      </c>
      <c r="AD2681">
        <v>-1.1048416504209999</v>
      </c>
      <c r="AE2681">
        <v>0.742999999999994</v>
      </c>
      <c r="AF2681">
        <v>0.91847535229796196</v>
      </c>
      <c r="AG2681">
        <v>-1.1048416504209999</v>
      </c>
      <c r="AH2681">
        <v>45.592362349334401</v>
      </c>
      <c r="AI2681">
        <v>91.387897874919005</v>
      </c>
      <c r="AJ2681">
        <v>88.845910997293501</v>
      </c>
      <c r="AK2681">
        <v>45.6149950853696</v>
      </c>
      <c r="AL2681">
        <v>84.564791824688498</v>
      </c>
      <c r="AM2681">
        <v>91.548776542139294</v>
      </c>
      <c r="AN2681">
        <v>1.00000003242918</v>
      </c>
    </row>
    <row r="2682" spans="1:40" x14ac:dyDescent="0.3">
      <c r="A2682" t="str">
        <f>"20200111150007224"</f>
        <v>20200111150007224</v>
      </c>
      <c r="B2682" t="str">
        <f>"1578726007218568"</f>
        <v>1578726007218568</v>
      </c>
      <c r="C2682" t="s">
        <v>40</v>
      </c>
      <c r="D2682">
        <v>4.0083669999999998</v>
      </c>
      <c r="E2682">
        <v>0.51775179999999998</v>
      </c>
      <c r="F2682" t="s">
        <v>62</v>
      </c>
      <c r="G2682">
        <v>-379.28989999999999</v>
      </c>
      <c r="H2682" s="1">
        <v>3.4068269999999998E-6</v>
      </c>
      <c r="I2682">
        <v>283.82900000000001</v>
      </c>
      <c r="J2682">
        <v>-333.8202</v>
      </c>
      <c r="K2682">
        <v>1.1048389999999999</v>
      </c>
      <c r="L2682">
        <v>283.13260000000002</v>
      </c>
      <c r="M2682">
        <v>-0.99991180000000002</v>
      </c>
      <c r="N2682">
        <v>0</v>
      </c>
      <c r="O2682">
        <v>-4.1245400000000003E-3</v>
      </c>
      <c r="P2682">
        <v>-0.99613479999999999</v>
      </c>
      <c r="Q2682">
        <v>8.2205970000000003E-2</v>
      </c>
      <c r="R2682">
        <v>-3.0947860000000001E-2</v>
      </c>
      <c r="S2682">
        <v>-3.0190429999999999</v>
      </c>
      <c r="T2682">
        <v>-7.294059E-2</v>
      </c>
      <c r="U2682">
        <v>4.5898439999999999E-2</v>
      </c>
      <c r="V2682">
        <v>-2.695902E-2</v>
      </c>
      <c r="W2682">
        <v>9.4753779999999996E-2</v>
      </c>
      <c r="X2682">
        <v>0.99513560000000001</v>
      </c>
      <c r="Y2682">
        <v>1.9318640000000002E-2</v>
      </c>
      <c r="Z2682">
        <v>3.3296109999999998E-4</v>
      </c>
      <c r="AA2682">
        <v>0.99981330000000002</v>
      </c>
      <c r="AB2682">
        <v>43</v>
      </c>
      <c r="AC2682">
        <v>-45.469699999999897</v>
      </c>
      <c r="AD2682">
        <v>-1.1048355931729901</v>
      </c>
      <c r="AE2682">
        <v>0.69639999999998203</v>
      </c>
      <c r="AF2682">
        <v>0.88342915895649099</v>
      </c>
      <c r="AG2682">
        <v>-1.1048355931729901</v>
      </c>
      <c r="AH2682">
        <v>45.439619061431998</v>
      </c>
      <c r="AI2682">
        <v>91.392573144508106</v>
      </c>
      <c r="AJ2682">
        <v>88.886205752903294</v>
      </c>
      <c r="AK2682">
        <v>45.461633156045899</v>
      </c>
      <c r="AL2682">
        <v>84.562851290013199</v>
      </c>
      <c r="AM2682">
        <v>91.551808975835002</v>
      </c>
      <c r="AN2682">
        <v>0.99999996498550303</v>
      </c>
    </row>
    <row r="2683" spans="1:40" x14ac:dyDescent="0.3">
      <c r="A2683" t="str">
        <f>"20200111150007243"</f>
        <v>20200111150007243</v>
      </c>
      <c r="B2683" t="str">
        <f>"1578726007239064"</f>
        <v>1578726007239064</v>
      </c>
      <c r="C2683" t="s">
        <v>40</v>
      </c>
      <c r="D2683">
        <v>4.0252210000000002</v>
      </c>
      <c r="E2683">
        <v>0.51759330000000003</v>
      </c>
      <c r="F2683" t="s">
        <v>62</v>
      </c>
      <c r="G2683">
        <v>-378.95499999999998</v>
      </c>
      <c r="H2683" s="1">
        <v>3.2286450000000001E-6</v>
      </c>
      <c r="I2683">
        <v>283.78089999999997</v>
      </c>
      <c r="J2683">
        <v>-334.20330000000001</v>
      </c>
      <c r="K2683">
        <v>1.104832</v>
      </c>
      <c r="L2683">
        <v>283.13060000000002</v>
      </c>
      <c r="M2683">
        <v>-0.99990990000000002</v>
      </c>
      <c r="N2683">
        <v>0</v>
      </c>
      <c r="O2683">
        <v>-4.516099E-3</v>
      </c>
      <c r="P2683">
        <v>-0.99612089999999998</v>
      </c>
      <c r="Q2683">
        <v>8.2173780000000002E-2</v>
      </c>
      <c r="R2683">
        <v>-3.1475200000000002E-2</v>
      </c>
      <c r="S2683">
        <v>-3.0190429999999999</v>
      </c>
      <c r="T2683">
        <v>-7.3901770000000006E-2</v>
      </c>
      <c r="U2683">
        <v>4.3365479999999998E-2</v>
      </c>
      <c r="V2683">
        <v>-2.709435E-2</v>
      </c>
      <c r="W2683">
        <v>9.4720070000000003E-2</v>
      </c>
      <c r="X2683">
        <v>0.9951352</v>
      </c>
      <c r="Y2683">
        <v>1.887134E-2</v>
      </c>
      <c r="Z2683">
        <v>3.4145980000000001E-4</v>
      </c>
      <c r="AA2683">
        <v>0.99982179999999998</v>
      </c>
      <c r="AB2683">
        <v>43</v>
      </c>
      <c r="AC2683">
        <v>-44.7516999999999</v>
      </c>
      <c r="AD2683">
        <v>-1.104828771355</v>
      </c>
      <c r="AE2683">
        <v>0.65029999999995802</v>
      </c>
      <c r="AF2683">
        <v>0.85189350859619595</v>
      </c>
      <c r="AG2683">
        <v>-1.104828771355</v>
      </c>
      <c r="AH2683">
        <v>44.721054961358902</v>
      </c>
      <c r="AI2683">
        <v>91.414941509906001</v>
      </c>
      <c r="AJ2683">
        <v>88.9087019493887</v>
      </c>
      <c r="AK2683">
        <v>44.742810886452901</v>
      </c>
      <c r="AL2683">
        <v>84.564791816193306</v>
      </c>
      <c r="AM2683">
        <v>91.5595955994295</v>
      </c>
      <c r="AN2683">
        <v>1.0000000308708801</v>
      </c>
    </row>
    <row r="2684" spans="1:40" x14ac:dyDescent="0.3">
      <c r="A2684" t="str">
        <f>"20200111150007256"</f>
        <v>20200111150007256</v>
      </c>
      <c r="B2684" t="str">
        <f>"1578726007248824"</f>
        <v>1578726007248824</v>
      </c>
      <c r="C2684" t="s">
        <v>40</v>
      </c>
      <c r="D2684">
        <v>4.0591629999999999</v>
      </c>
      <c r="E2684">
        <v>0.51759330000000003</v>
      </c>
      <c r="F2684" t="s">
        <v>62</v>
      </c>
      <c r="G2684">
        <v>-378.48419999999999</v>
      </c>
      <c r="H2684" s="1">
        <v>2.9780909999999999E-6</v>
      </c>
      <c r="I2684">
        <v>283.72550000000001</v>
      </c>
      <c r="J2684">
        <v>-334.44740000000002</v>
      </c>
      <c r="K2684">
        <v>1.104827</v>
      </c>
      <c r="L2684">
        <v>283.1293</v>
      </c>
      <c r="M2684">
        <v>-0.99990889999999999</v>
      </c>
      <c r="N2684">
        <v>0</v>
      </c>
      <c r="O2684">
        <v>-4.7659879999999996E-3</v>
      </c>
      <c r="P2684">
        <v>-0.99608110000000005</v>
      </c>
      <c r="Q2684">
        <v>8.2501370000000004E-2</v>
      </c>
      <c r="R2684">
        <v>-3.1881380000000001E-2</v>
      </c>
      <c r="S2684">
        <v>-3.0191650000000001</v>
      </c>
      <c r="T2684">
        <v>-7.532954E-2</v>
      </c>
      <c r="U2684">
        <v>4.0557860000000001E-2</v>
      </c>
      <c r="V2684">
        <v>-2.7251040000000001E-2</v>
      </c>
      <c r="W2684">
        <v>9.5046179999999994E-2</v>
      </c>
      <c r="X2684">
        <v>0.99509979999999998</v>
      </c>
      <c r="Y2684">
        <v>1.8190899999999999E-2</v>
      </c>
      <c r="Z2684">
        <v>3.4578989999999997E-4</v>
      </c>
      <c r="AA2684">
        <v>0.99983449999999996</v>
      </c>
      <c r="AB2684">
        <v>43</v>
      </c>
      <c r="AC2684">
        <v>-44.0367999999999</v>
      </c>
      <c r="AD2684">
        <v>-1.104824021909</v>
      </c>
      <c r="AE2684">
        <v>0.59620000000001006</v>
      </c>
      <c r="AF2684">
        <v>0.80558185248813796</v>
      </c>
      <c r="AG2684">
        <v>-1.104824021909</v>
      </c>
      <c r="AH2684">
        <v>44.005764132885098</v>
      </c>
      <c r="AI2684">
        <v>91.437944824640496</v>
      </c>
      <c r="AJ2684">
        <v>88.951244543407896</v>
      </c>
      <c r="AK2684">
        <v>44.027001659885499</v>
      </c>
      <c r="AL2684">
        <v>84.546022261902905</v>
      </c>
      <c r="AM2684">
        <v>91.568666216183004</v>
      </c>
      <c r="AN2684">
        <v>1.0000000037368499</v>
      </c>
    </row>
    <row r="2685" spans="1:40" x14ac:dyDescent="0.3">
      <c r="A2685" t="str">
        <f>"20200111150007269"</f>
        <v>20200111150007269</v>
      </c>
      <c r="B2685" t="str">
        <f>"1578726007258583"</f>
        <v>1578726007258583</v>
      </c>
      <c r="C2685" t="s">
        <v>40</v>
      </c>
      <c r="D2685">
        <v>4.0151620000000001</v>
      </c>
      <c r="E2685">
        <v>0.49694820000000001</v>
      </c>
      <c r="F2685" t="s">
        <v>62</v>
      </c>
      <c r="G2685">
        <v>-379.33240000000001</v>
      </c>
      <c r="H2685" s="1">
        <v>3.4294440000000001E-6</v>
      </c>
      <c r="I2685">
        <v>283.71370000000002</v>
      </c>
      <c r="J2685">
        <v>-334.68380000000002</v>
      </c>
      <c r="K2685">
        <v>1.1048249999999999</v>
      </c>
      <c r="L2685">
        <v>283.12799999999999</v>
      </c>
      <c r="M2685">
        <v>-0.99990780000000001</v>
      </c>
      <c r="N2685">
        <v>0</v>
      </c>
      <c r="O2685">
        <v>-5.0076640000000002E-3</v>
      </c>
      <c r="P2685">
        <v>-0.99608129999999995</v>
      </c>
      <c r="Q2685">
        <v>8.2362119999999997E-2</v>
      </c>
      <c r="R2685">
        <v>-3.2226900000000003E-2</v>
      </c>
      <c r="S2685">
        <v>-3.0192570000000001</v>
      </c>
      <c r="T2685">
        <v>-7.4317569999999999E-2</v>
      </c>
      <c r="U2685">
        <v>3.9306639999999997E-2</v>
      </c>
      <c r="V2685">
        <v>-2.7354839999999998E-2</v>
      </c>
      <c r="W2685">
        <v>9.4906149999999995E-2</v>
      </c>
      <c r="X2685">
        <v>0.9951103</v>
      </c>
      <c r="Y2685">
        <v>1.8018050000000001E-2</v>
      </c>
      <c r="Z2685">
        <v>3.4495780000000001E-4</v>
      </c>
      <c r="AA2685">
        <v>0.99983759999999999</v>
      </c>
      <c r="AB2685">
        <v>43</v>
      </c>
      <c r="AC2685">
        <v>-44.648599999999902</v>
      </c>
      <c r="AD2685">
        <v>-1.1048215705560001</v>
      </c>
      <c r="AE2685">
        <v>0.58570000000003097</v>
      </c>
      <c r="AF2685">
        <v>0.80880050599465303</v>
      </c>
      <c r="AG2685">
        <v>-1.1048215705560001</v>
      </c>
      <c r="AH2685">
        <v>44.617791818630003</v>
      </c>
      <c r="AI2685">
        <v>91.418229947034106</v>
      </c>
      <c r="AJ2685">
        <v>88.961495432308993</v>
      </c>
      <c r="AK2685">
        <v>44.638796306933202</v>
      </c>
      <c r="AL2685">
        <v>84.554081730633797</v>
      </c>
      <c r="AM2685">
        <v>91.574621702137094</v>
      </c>
      <c r="AN2685">
        <v>0.999999986872669</v>
      </c>
    </row>
    <row r="2686" spans="1:40" x14ac:dyDescent="0.3">
      <c r="A2686" t="str">
        <f>"20200111150007282"</f>
        <v>20200111150007282</v>
      </c>
      <c r="B2686" t="str">
        <f>"1578726007279079"</f>
        <v>1578726007279079</v>
      </c>
      <c r="C2686" t="s">
        <v>40</v>
      </c>
      <c r="D2686">
        <v>4.0479399999999996</v>
      </c>
      <c r="E2686">
        <v>0.49282870000000001</v>
      </c>
      <c r="F2686" t="s">
        <v>65</v>
      </c>
      <c r="G2686">
        <v>-511.95920000000001</v>
      </c>
      <c r="H2686">
        <v>1.64501699999999</v>
      </c>
      <c r="I2686">
        <v>275.76760000000002</v>
      </c>
      <c r="J2686">
        <v>-334.94420000000002</v>
      </c>
      <c r="K2686">
        <v>1.1048209999999901</v>
      </c>
      <c r="L2686">
        <v>283.12639999999999</v>
      </c>
      <c r="M2686">
        <v>-0.99990639999999997</v>
      </c>
      <c r="N2686">
        <v>0</v>
      </c>
      <c r="O2686">
        <v>-5.2736559999999998E-3</v>
      </c>
      <c r="P2686">
        <v>-0.99604630000000005</v>
      </c>
      <c r="Q2686">
        <v>8.2590590000000005E-2</v>
      </c>
      <c r="R2686">
        <v>-3.2719419999999999E-2</v>
      </c>
      <c r="S2686">
        <v>-3.0069889999999999</v>
      </c>
      <c r="T2686">
        <v>9.1642140000000004E-3</v>
      </c>
      <c r="U2686">
        <v>-0.1248474</v>
      </c>
      <c r="V2686">
        <v>-2.7581999999999999E-2</v>
      </c>
      <c r="W2686">
        <v>9.5133540000000003E-2</v>
      </c>
      <c r="X2686">
        <v>0.99508229999999998</v>
      </c>
      <c r="Y2686">
        <v>-3.6213099999999998E-2</v>
      </c>
      <c r="Z2686" s="1">
        <v>3.9092299999999998E-5</v>
      </c>
      <c r="AA2686">
        <v>0.99934409999999896</v>
      </c>
      <c r="AB2686">
        <v>43</v>
      </c>
      <c r="AC2686">
        <v>-177.01499999999999</v>
      </c>
      <c r="AD2686">
        <v>0.54019599999999901</v>
      </c>
      <c r="AE2686">
        <v>-7.3587999999999703</v>
      </c>
      <c r="AF2686">
        <v>-6.4250473037225904</v>
      </c>
      <c r="AG2686">
        <v>0.54019599999999901</v>
      </c>
      <c r="AH2686">
        <v>177.04970294888</v>
      </c>
      <c r="AI2686">
        <v>89.825300497252002</v>
      </c>
      <c r="AJ2686">
        <v>92.078323858411807</v>
      </c>
      <c r="AK2686">
        <v>177.167069058728</v>
      </c>
      <c r="AL2686">
        <v>84.540993936377902</v>
      </c>
      <c r="AM2686">
        <v>91.587735659085197</v>
      </c>
      <c r="AN2686">
        <v>0.99999997046511002</v>
      </c>
    </row>
    <row r="2687" spans="1:40" x14ac:dyDescent="0.3">
      <c r="A2687" t="str">
        <f>"20200111150007296"</f>
        <v>20200111150007296</v>
      </c>
      <c r="B2687" t="str">
        <f>"1578726007288840"</f>
        <v>1578726007288840</v>
      </c>
      <c r="C2687" t="s">
        <v>40</v>
      </c>
      <c r="D2687">
        <v>4.0239050000000001</v>
      </c>
      <c r="E2687">
        <v>0.49268050000000002</v>
      </c>
      <c r="F2687" t="s">
        <v>65</v>
      </c>
      <c r="G2687">
        <v>-512.82650000000001</v>
      </c>
      <c r="H2687">
        <v>4.1196089999999996</v>
      </c>
      <c r="I2687">
        <v>273.7355</v>
      </c>
      <c r="J2687">
        <v>-335.21159999999998</v>
      </c>
      <c r="K2687">
        <v>1.1048180000000001</v>
      </c>
      <c r="L2687">
        <v>283.12479999999999</v>
      </c>
      <c r="M2687">
        <v>-0.99990480000000004</v>
      </c>
      <c r="N2687">
        <v>0</v>
      </c>
      <c r="O2687">
        <v>-5.5470479999999997E-3</v>
      </c>
      <c r="P2687">
        <v>-0.99601580000000001</v>
      </c>
      <c r="Q2687">
        <v>8.289444E-2</v>
      </c>
      <c r="R2687">
        <v>-3.2877679999999999E-2</v>
      </c>
      <c r="S2687">
        <v>-3.002472</v>
      </c>
      <c r="T2687">
        <v>5.088782E-2</v>
      </c>
      <c r="U2687">
        <v>-0.15850829999999999</v>
      </c>
      <c r="V2687">
        <v>-2.746732E-2</v>
      </c>
      <c r="W2687">
        <v>9.5436359999999998E-2</v>
      </c>
      <c r="X2687">
        <v>0.99505650000000001</v>
      </c>
      <c r="Y2687">
        <v>-4.7172640000000002E-2</v>
      </c>
      <c r="Z2687">
        <v>3.0550279999999998E-4</v>
      </c>
      <c r="AA2687">
        <v>0.99888670000000002</v>
      </c>
      <c r="AB2687">
        <v>43</v>
      </c>
      <c r="AC2687">
        <v>-177.61490000000001</v>
      </c>
      <c r="AD2687">
        <v>3.0147910000000002</v>
      </c>
      <c r="AE2687">
        <v>-9.3892999999999898</v>
      </c>
      <c r="AF2687">
        <v>-8.4014247309015602</v>
      </c>
      <c r="AG2687">
        <v>3.0147910000000002</v>
      </c>
      <c r="AH2687">
        <v>177.61322479018099</v>
      </c>
      <c r="AI2687">
        <v>89.028645811825697</v>
      </c>
      <c r="AJ2687">
        <v>92.708174733140694</v>
      </c>
      <c r="AK2687">
        <v>177.83737099566599</v>
      </c>
      <c r="AL2687">
        <v>84.523564460381493</v>
      </c>
      <c r="AM2687">
        <v>91.581178530276503</v>
      </c>
      <c r="AN2687">
        <v>0.99999999533514095</v>
      </c>
    </row>
    <row r="2688" spans="1:40" x14ac:dyDescent="0.3">
      <c r="A2688" t="str">
        <f>"20200111150007310"</f>
        <v>20200111150007310</v>
      </c>
      <c r="B2688" t="str">
        <f>"1578726007298600"</f>
        <v>1578726007298600</v>
      </c>
      <c r="C2688" t="s">
        <v>40</v>
      </c>
      <c r="D2688">
        <v>4.053407</v>
      </c>
      <c r="E2688">
        <v>0.4920756</v>
      </c>
      <c r="F2688" t="s">
        <v>65</v>
      </c>
      <c r="G2688">
        <v>-512.82669999999996</v>
      </c>
      <c r="H2688">
        <v>4.496588</v>
      </c>
      <c r="I2688">
        <v>273.65249999999997</v>
      </c>
      <c r="J2688">
        <v>-335.47059999999999</v>
      </c>
      <c r="K2688">
        <v>1.1048180000000001</v>
      </c>
      <c r="L2688">
        <v>283.12310000000002</v>
      </c>
      <c r="M2688">
        <v>-0.9999034</v>
      </c>
      <c r="N2688">
        <v>0</v>
      </c>
      <c r="O2688">
        <v>-5.8113919999999899E-3</v>
      </c>
      <c r="P2688">
        <v>-0.99600310000000003</v>
      </c>
      <c r="Q2688">
        <v>8.3010920000000002E-2</v>
      </c>
      <c r="R2688">
        <v>-3.2976030000000003E-2</v>
      </c>
      <c r="S2688">
        <v>-3.0019529999999999</v>
      </c>
      <c r="T2688">
        <v>5.732715E-2</v>
      </c>
      <c r="U2688">
        <v>-0.16009519999999999</v>
      </c>
      <c r="V2688">
        <v>-2.73019E-2</v>
      </c>
      <c r="W2688">
        <v>9.5552659999999998E-2</v>
      </c>
      <c r="X2688">
        <v>0.99504990000000004</v>
      </c>
      <c r="Y2688">
        <v>-4.7442600000000001E-2</v>
      </c>
      <c r="Z2688">
        <v>3.4174059999999998E-4</v>
      </c>
      <c r="AA2688">
        <v>0.99887389999999998</v>
      </c>
      <c r="AB2688">
        <v>43</v>
      </c>
      <c r="AC2688">
        <v>-177.356099999999</v>
      </c>
      <c r="AD2688">
        <v>3.39176999999999</v>
      </c>
      <c r="AE2688">
        <v>-9.4706000000000401</v>
      </c>
      <c r="AF2688">
        <v>-8.4365953231504101</v>
      </c>
      <c r="AG2688">
        <v>3.39176999999999</v>
      </c>
      <c r="AH2688">
        <v>177.34347099241401</v>
      </c>
      <c r="AI2688">
        <v>88.905564612187604</v>
      </c>
      <c r="AJ2688">
        <v>92.723625234878199</v>
      </c>
      <c r="AK2688">
        <v>177.57642565390401</v>
      </c>
      <c r="AL2688">
        <v>84.516870416740005</v>
      </c>
      <c r="AM2688">
        <v>91.571671203787702</v>
      </c>
      <c r="AN2688">
        <v>1.0000000040333401</v>
      </c>
    </row>
    <row r="2689" spans="1:40" x14ac:dyDescent="0.3">
      <c r="A2689" t="str">
        <f>"20200111150007323"</f>
        <v>20200111150007323</v>
      </c>
      <c r="B2689" t="str">
        <f>"1578726007319096"</f>
        <v>1578726007319096</v>
      </c>
      <c r="C2689" t="s">
        <v>40</v>
      </c>
      <c r="D2689">
        <v>4.0063610000000001</v>
      </c>
      <c r="E2689">
        <v>0.49215059999999999</v>
      </c>
      <c r="F2689" t="s">
        <v>65</v>
      </c>
      <c r="G2689">
        <v>-512.82680000000005</v>
      </c>
      <c r="H2689">
        <v>4.890066</v>
      </c>
      <c r="I2689">
        <v>273.35210000000001</v>
      </c>
      <c r="J2689">
        <v>-335.7124</v>
      </c>
      <c r="K2689">
        <v>1.1048169999999999</v>
      </c>
      <c r="L2689">
        <v>283.1216</v>
      </c>
      <c r="M2689">
        <v>-0.99990199999999996</v>
      </c>
      <c r="N2689">
        <v>0</v>
      </c>
      <c r="O2689">
        <v>-6.0581029999999996E-3</v>
      </c>
      <c r="P2689">
        <v>-0.9959905</v>
      </c>
      <c r="Q2689">
        <v>8.3140190000000003E-2</v>
      </c>
      <c r="R2689">
        <v>-3.3027630000000002E-2</v>
      </c>
      <c r="S2689">
        <v>-3.0012210000000001</v>
      </c>
      <c r="T2689">
        <v>6.4055200000000007E-2</v>
      </c>
      <c r="U2689">
        <v>-0.1653442</v>
      </c>
      <c r="V2689">
        <v>-2.7107969999999999E-2</v>
      </c>
      <c r="W2689">
        <v>9.5681290000000002E-2</v>
      </c>
      <c r="X2689">
        <v>0.99504289999999995</v>
      </c>
      <c r="Y2689">
        <v>-4.8948749999999999E-2</v>
      </c>
      <c r="Z2689">
        <v>3.927127E-4</v>
      </c>
      <c r="AA2689">
        <v>0.99880119999999895</v>
      </c>
      <c r="AB2689">
        <v>43</v>
      </c>
      <c r="AC2689">
        <v>-177.11439999999999</v>
      </c>
      <c r="AD2689">
        <v>3.7852489999999999</v>
      </c>
      <c r="AE2689">
        <v>-9.7694999999999901</v>
      </c>
      <c r="AF2689">
        <v>-8.6922997623487301</v>
      </c>
      <c r="AG2689">
        <v>3.7852489999999999</v>
      </c>
      <c r="AH2689">
        <v>177.08969784899</v>
      </c>
      <c r="AI2689">
        <v>88.776975134684506</v>
      </c>
      <c r="AJ2689">
        <v>92.810060165760802</v>
      </c>
      <c r="AK2689">
        <v>177.34329778538901</v>
      </c>
      <c r="AL2689">
        <v>84.509466857171404</v>
      </c>
      <c r="AM2689">
        <v>91.5605238705934</v>
      </c>
      <c r="AN2689">
        <v>1.00000006206699</v>
      </c>
    </row>
    <row r="2690" spans="1:40" x14ac:dyDescent="0.3">
      <c r="A2690" t="str">
        <f>"20200111150007334"</f>
        <v>20200111150007334</v>
      </c>
      <c r="B2690" t="str">
        <f>"1578726007328857"</f>
        <v>1578726007328857</v>
      </c>
      <c r="C2690" t="s">
        <v>40</v>
      </c>
      <c r="D2690">
        <v>4.0481669999999896</v>
      </c>
      <c r="E2690">
        <v>0.492261</v>
      </c>
      <c r="F2690" t="s">
        <v>65</v>
      </c>
      <c r="G2690">
        <v>-512.82680000000005</v>
      </c>
      <c r="H2690">
        <v>4.9120269999999904</v>
      </c>
      <c r="I2690">
        <v>273.39080000000001</v>
      </c>
      <c r="J2690">
        <v>-335.93880000000001</v>
      </c>
      <c r="K2690">
        <v>1.1048129999999901</v>
      </c>
      <c r="L2690">
        <v>283.12</v>
      </c>
      <c r="M2690">
        <v>-0.99990049999999997</v>
      </c>
      <c r="N2690">
        <v>0</v>
      </c>
      <c r="O2690">
        <v>-6.288376E-3</v>
      </c>
      <c r="P2690">
        <v>-0.9959633</v>
      </c>
      <c r="Q2690">
        <v>8.344538E-2</v>
      </c>
      <c r="R2690">
        <v>-3.307537E-2</v>
      </c>
      <c r="S2690">
        <v>-3.0011899999999998</v>
      </c>
      <c r="T2690">
        <v>6.4514160000000001E-2</v>
      </c>
      <c r="U2690">
        <v>-0.16488649999999999</v>
      </c>
      <c r="V2690">
        <v>-2.6925939999999999E-2</v>
      </c>
      <c r="W2690">
        <v>9.5985550000000003E-2</v>
      </c>
      <c r="X2690">
        <v>0.99501850000000003</v>
      </c>
      <c r="Y2690">
        <v>-4.8567409999999998E-2</v>
      </c>
      <c r="Z2690">
        <v>3.8649080000000002E-4</v>
      </c>
      <c r="AA2690">
        <v>0.99881980000000004</v>
      </c>
      <c r="AB2690">
        <v>43</v>
      </c>
      <c r="AC2690">
        <v>-176.88800000000001</v>
      </c>
      <c r="AD2690">
        <v>3.8072139999999899</v>
      </c>
      <c r="AE2690">
        <v>-9.7291999999999899</v>
      </c>
      <c r="AF2690">
        <v>-8.61260288286838</v>
      </c>
      <c r="AG2690">
        <v>3.8072139999999899</v>
      </c>
      <c r="AH2690">
        <v>176.864002167172</v>
      </c>
      <c r="AI2690">
        <v>88.768287784893005</v>
      </c>
      <c r="AJ2690">
        <v>92.787883847965603</v>
      </c>
      <c r="AK2690">
        <v>177.11450270784999</v>
      </c>
      <c r="AL2690">
        <v>84.491953224809507</v>
      </c>
      <c r="AM2690">
        <v>91.550088075363206</v>
      </c>
      <c r="AN2690">
        <v>1.00000002369796</v>
      </c>
    </row>
    <row r="2691" spans="1:40" x14ac:dyDescent="0.3">
      <c r="A2691" t="str">
        <f>"20200111150007346"</f>
        <v>20200111150007346</v>
      </c>
      <c r="B2691" t="str">
        <f>"1578726007338615"</f>
        <v>1578726007338615</v>
      </c>
      <c r="C2691" t="s">
        <v>40</v>
      </c>
      <c r="D2691">
        <v>4.0040100000000001</v>
      </c>
      <c r="E2691">
        <v>0.49210890000000002</v>
      </c>
      <c r="F2691" t="s">
        <v>65</v>
      </c>
      <c r="G2691">
        <v>-512.82680000000005</v>
      </c>
      <c r="H2691">
        <v>5.0193539999999999</v>
      </c>
      <c r="I2691">
        <v>273.44639999999998</v>
      </c>
      <c r="J2691">
        <v>-336.16030000000001</v>
      </c>
      <c r="K2691">
        <v>1.104811</v>
      </c>
      <c r="L2691">
        <v>283.11840000000001</v>
      </c>
      <c r="M2691">
        <v>-0.99989910000000004</v>
      </c>
      <c r="N2691">
        <v>0</v>
      </c>
      <c r="O2691">
        <v>-6.5138840000000002E-3</v>
      </c>
      <c r="P2691">
        <v>-0.99596600000000002</v>
      </c>
      <c r="Q2691">
        <v>8.3373530000000001E-2</v>
      </c>
      <c r="R2691">
        <v>-3.3176810000000001E-2</v>
      </c>
      <c r="S2691">
        <v>-3.0011290000000002</v>
      </c>
      <c r="T2691">
        <v>6.6416379999999997E-2</v>
      </c>
      <c r="U2691">
        <v>-0.16412349999999901</v>
      </c>
      <c r="V2691">
        <v>-2.6802759999999998E-2</v>
      </c>
      <c r="W2691">
        <v>9.5913860000000004E-2</v>
      </c>
      <c r="X2691">
        <v>0.99502869999999999</v>
      </c>
      <c r="Y2691">
        <v>-4.8089680000000003E-2</v>
      </c>
      <c r="Z2691">
        <v>3.876269E-4</v>
      </c>
      <c r="AA2691">
        <v>0.99884300000000004</v>
      </c>
      <c r="AB2691">
        <v>43</v>
      </c>
      <c r="AC2691">
        <v>-176.66650000000001</v>
      </c>
      <c r="AD2691">
        <v>3.9145430000000001</v>
      </c>
      <c r="AE2691">
        <v>-9.6720000000000201</v>
      </c>
      <c r="AF2691">
        <v>-8.51674901665554</v>
      </c>
      <c r="AG2691">
        <v>3.9145430000000001</v>
      </c>
      <c r="AH2691">
        <v>176.639293439494</v>
      </c>
      <c r="AI2691">
        <v>88.7319358016248</v>
      </c>
      <c r="AJ2691">
        <v>92.760405992743003</v>
      </c>
      <c r="AK2691">
        <v>176.887813733776</v>
      </c>
      <c r="AL2691">
        <v>84.496079585599702</v>
      </c>
      <c r="AM2691">
        <v>91.542984404353504</v>
      </c>
      <c r="AN2691">
        <v>0.99999998515370303</v>
      </c>
    </row>
    <row r="2692" spans="1:40" x14ac:dyDescent="0.3">
      <c r="A2692" t="str">
        <f>"20200111150007358"</f>
        <v>20200111150007358</v>
      </c>
      <c r="B2692" t="str">
        <f>"1578726007348375"</f>
        <v>1578726007348375</v>
      </c>
      <c r="C2692" t="s">
        <v>40</v>
      </c>
      <c r="D2692">
        <v>4.0338789999999998</v>
      </c>
      <c r="E2692">
        <v>0.4915775</v>
      </c>
      <c r="F2692" t="s">
        <v>65</v>
      </c>
      <c r="G2692">
        <v>-512.82680000000005</v>
      </c>
      <c r="H2692">
        <v>5.1715080000000002</v>
      </c>
      <c r="I2692">
        <v>273.36810000000003</v>
      </c>
      <c r="J2692">
        <v>-336.39120000000003</v>
      </c>
      <c r="K2692">
        <v>1.1048100000000001</v>
      </c>
      <c r="L2692">
        <v>283.11669999999998</v>
      </c>
      <c r="M2692">
        <v>-0.99989740000000005</v>
      </c>
      <c r="N2692">
        <v>0</v>
      </c>
      <c r="O2692">
        <v>-6.7488089999999997E-3</v>
      </c>
      <c r="P2692">
        <v>-0.99596209999999996</v>
      </c>
      <c r="Q2692">
        <v>8.3420739999999993E-2</v>
      </c>
      <c r="R2692">
        <v>-3.3172510000000002E-2</v>
      </c>
      <c r="S2692">
        <v>-3.0008539999999999</v>
      </c>
      <c r="T2692">
        <v>6.9078089999999995E-2</v>
      </c>
      <c r="U2692">
        <v>-0.16561890000000001</v>
      </c>
      <c r="V2692">
        <v>-2.6563980000000001E-2</v>
      </c>
      <c r="W2692">
        <v>9.5960859999999995E-2</v>
      </c>
      <c r="X2692">
        <v>0.99503059999999999</v>
      </c>
      <c r="Y2692">
        <v>-4.8355380000000003E-2</v>
      </c>
      <c r="Z2692">
        <v>4.0084129999999997E-4</v>
      </c>
      <c r="AA2692">
        <v>0.99883010000000005</v>
      </c>
      <c r="AB2692">
        <v>43</v>
      </c>
      <c r="AC2692">
        <v>-176.43559999999999</v>
      </c>
      <c r="AD2692">
        <v>4.0666979999999997</v>
      </c>
      <c r="AE2692">
        <v>-9.74859999999995</v>
      </c>
      <c r="AF2692">
        <v>-8.5530226388399608</v>
      </c>
      <c r="AG2692">
        <v>4.0666979999999997</v>
      </c>
      <c r="AH2692">
        <v>176.403945951585</v>
      </c>
      <c r="AI2692">
        <v>88.680924536158003</v>
      </c>
      <c r="AJ2692">
        <v>92.775837163940295</v>
      </c>
      <c r="AK2692">
        <v>176.657987014947</v>
      </c>
      <c r="AL2692">
        <v>84.493374360541395</v>
      </c>
      <c r="AM2692">
        <v>91.529241927502994</v>
      </c>
      <c r="AN2692">
        <v>1.00000001331087</v>
      </c>
    </row>
    <row r="2693" spans="1:40" x14ac:dyDescent="0.3">
      <c r="A2693" t="str">
        <f>"20200111150007371"</f>
        <v>20200111150007371</v>
      </c>
      <c r="B2693" t="str">
        <f>"1578726007368872"</f>
        <v>1578726007368872</v>
      </c>
      <c r="C2693" t="s">
        <v>40</v>
      </c>
      <c r="D2693">
        <v>4.0276969999999999</v>
      </c>
      <c r="E2693">
        <v>0.49109180000000002</v>
      </c>
      <c r="F2693" t="s">
        <v>65</v>
      </c>
      <c r="G2693">
        <v>-512.82690000000002</v>
      </c>
      <c r="H2693">
        <v>5.19339</v>
      </c>
      <c r="I2693">
        <v>273.12720000000002</v>
      </c>
      <c r="J2693">
        <v>-336.63929999999999</v>
      </c>
      <c r="K2693">
        <v>1.1048070000000001</v>
      </c>
      <c r="L2693">
        <v>283.1148</v>
      </c>
      <c r="M2693">
        <v>-0.99989589999999995</v>
      </c>
      <c r="N2693">
        <v>0</v>
      </c>
      <c r="O2693">
        <v>-7.0011439999999999E-3</v>
      </c>
      <c r="P2693">
        <v>-0.99595429999999996</v>
      </c>
      <c r="Q2693">
        <v>8.3456710000000003E-2</v>
      </c>
      <c r="R2693">
        <v>-3.332769E-2</v>
      </c>
      <c r="S2693">
        <v>-3.0006409999999999</v>
      </c>
      <c r="T2693">
        <v>6.9535730000000004E-2</v>
      </c>
      <c r="U2693">
        <v>-0.1698914</v>
      </c>
      <c r="V2693">
        <v>-2.6467569999999999E-2</v>
      </c>
      <c r="W2693">
        <v>9.5996449999999997E-2</v>
      </c>
      <c r="X2693">
        <v>0.99502970000000002</v>
      </c>
      <c r="Y2693">
        <v>-4.9524560000000002E-2</v>
      </c>
      <c r="Z2693">
        <v>4.112017E-4</v>
      </c>
      <c r="AA2693">
        <v>0.99877280000000002</v>
      </c>
      <c r="AB2693">
        <v>43</v>
      </c>
      <c r="AC2693">
        <v>-176.1876</v>
      </c>
      <c r="AD2693">
        <v>4.0885829999999999</v>
      </c>
      <c r="AE2693">
        <v>-9.9875999999999792</v>
      </c>
      <c r="AF2693">
        <v>-8.7490458702989695</v>
      </c>
      <c r="AG2693">
        <v>4.0885829999999999</v>
      </c>
      <c r="AH2693">
        <v>176.158651852026</v>
      </c>
      <c r="AI2693">
        <v>88.672059165253103</v>
      </c>
      <c r="AJ2693">
        <v>92.843299705361105</v>
      </c>
      <c r="AK2693">
        <v>176.42316440000701</v>
      </c>
      <c r="AL2693">
        <v>84.491325547020693</v>
      </c>
      <c r="AM2693">
        <v>91.523695770888295</v>
      </c>
      <c r="AN2693">
        <v>0.999999977278198</v>
      </c>
    </row>
    <row r="2694" spans="1:40" x14ac:dyDescent="0.3">
      <c r="A2694" t="str">
        <f>"20200111150007384"</f>
        <v>20200111150007384</v>
      </c>
      <c r="B2694" t="str">
        <f>"1578726007378631"</f>
        <v>1578726007378631</v>
      </c>
      <c r="C2694" t="s">
        <v>40</v>
      </c>
      <c r="D2694">
        <v>4.029007</v>
      </c>
      <c r="E2694">
        <v>0.49080580000000001</v>
      </c>
      <c r="F2694" t="s">
        <v>65</v>
      </c>
      <c r="G2694">
        <v>-511.07549999999998</v>
      </c>
      <c r="H2694">
        <v>5.538754</v>
      </c>
      <c r="I2694">
        <v>272.99689999999998</v>
      </c>
      <c r="J2694">
        <v>-336.8775</v>
      </c>
      <c r="K2694">
        <v>1.104808</v>
      </c>
      <c r="L2694">
        <v>283.11290000000002</v>
      </c>
      <c r="M2694">
        <v>-0.99989410000000001</v>
      </c>
      <c r="N2694">
        <v>0</v>
      </c>
      <c r="O2694">
        <v>-7.2432269999999997E-3</v>
      </c>
      <c r="P2694">
        <v>-0.99593739999999997</v>
      </c>
      <c r="Q2694">
        <v>8.3610550000000006E-2</v>
      </c>
      <c r="R2694">
        <v>-3.3436970000000003E-2</v>
      </c>
      <c r="S2694">
        <v>-3.0000309999999999</v>
      </c>
      <c r="T2694">
        <v>7.6258179999999995E-2</v>
      </c>
      <c r="U2694">
        <v>-0.1740112</v>
      </c>
      <c r="V2694">
        <v>-2.633576E-2</v>
      </c>
      <c r="W2694">
        <v>9.6150230000000003E-2</v>
      </c>
      <c r="X2694">
        <v>0.99501839999999997</v>
      </c>
      <c r="Y2694">
        <v>-5.0658679999999998E-2</v>
      </c>
      <c r="Z2694">
        <v>4.592695E-4</v>
      </c>
      <c r="AA2694">
        <v>0.99871589999999999</v>
      </c>
      <c r="AB2694">
        <v>43</v>
      </c>
      <c r="AC2694">
        <v>-174.19799999999901</v>
      </c>
      <c r="AD2694">
        <v>4.4339459999999997</v>
      </c>
      <c r="AE2694">
        <v>-10.116</v>
      </c>
      <c r="AF2694">
        <v>-8.8481651256580296</v>
      </c>
      <c r="AG2694">
        <v>4.4339459999999997</v>
      </c>
      <c r="AH2694">
        <v>174.154256135677</v>
      </c>
      <c r="AI2694">
        <v>88.543449420806894</v>
      </c>
      <c r="AJ2694">
        <v>92.908496160245406</v>
      </c>
      <c r="AK2694">
        <v>174.43524538748699</v>
      </c>
      <c r="AL2694">
        <v>84.482473934119994</v>
      </c>
      <c r="AM2694">
        <v>91.516128439747504</v>
      </c>
      <c r="AN2694">
        <v>1.00000002766119</v>
      </c>
    </row>
    <row r="2695" spans="1:40" x14ac:dyDescent="0.3">
      <c r="A2695" t="str">
        <f>"20200111150007396"</f>
        <v>20200111150007396</v>
      </c>
      <c r="B2695" t="str">
        <f>"1578726007388392"</f>
        <v>1578726007388392</v>
      </c>
      <c r="C2695" t="s">
        <v>40</v>
      </c>
      <c r="D2695">
        <v>4.0571260000000002</v>
      </c>
      <c r="E2695">
        <v>0.49058190000000002</v>
      </c>
      <c r="F2695" t="s">
        <v>65</v>
      </c>
      <c r="G2695">
        <v>-511.07560000000001</v>
      </c>
      <c r="H2695">
        <v>5.58019</v>
      </c>
      <c r="I2695">
        <v>272.86660000000001</v>
      </c>
      <c r="J2695">
        <v>-337.11169999999998</v>
      </c>
      <c r="K2695">
        <v>1.1048070000000001</v>
      </c>
      <c r="L2695">
        <v>283.11099999999999</v>
      </c>
      <c r="M2695">
        <v>-0.99989240000000001</v>
      </c>
      <c r="N2695">
        <v>0</v>
      </c>
      <c r="O2695">
        <v>-7.4814950000000003E-3</v>
      </c>
      <c r="P2695">
        <v>-0.99593759999999998</v>
      </c>
      <c r="Q2695">
        <v>8.3620920000000001E-2</v>
      </c>
      <c r="R2695">
        <v>-3.3411990000000003E-2</v>
      </c>
      <c r="S2695">
        <v>-2.9998779999999998</v>
      </c>
      <c r="T2695">
        <v>7.7072139999999997E-2</v>
      </c>
      <c r="U2695">
        <v>-0.17645259999999999</v>
      </c>
      <c r="V2695">
        <v>-2.6073349999999999E-2</v>
      </c>
      <c r="W2695">
        <v>9.6160200000000001E-2</v>
      </c>
      <c r="X2695">
        <v>0.99502429999999997</v>
      </c>
      <c r="Y2695">
        <v>-5.1233239999999999E-2</v>
      </c>
      <c r="Z2695">
        <v>4.6544099999999998E-4</v>
      </c>
      <c r="AA2695">
        <v>0.99868659999999998</v>
      </c>
      <c r="AB2695">
        <v>43</v>
      </c>
      <c r="AC2695">
        <v>-173.9639</v>
      </c>
      <c r="AD2695">
        <v>4.4753829999999999</v>
      </c>
      <c r="AE2695">
        <v>-10.244399999999899</v>
      </c>
      <c r="AF2695">
        <v>-8.9366055600936498</v>
      </c>
      <c r="AG2695">
        <v>4.4753829999999999</v>
      </c>
      <c r="AH2695">
        <v>173.92097287124699</v>
      </c>
      <c r="AI2695">
        <v>88.527915481456304</v>
      </c>
      <c r="AJ2695">
        <v>92.941450136105104</v>
      </c>
      <c r="AK2695">
        <v>174.207912496576</v>
      </c>
      <c r="AL2695">
        <v>84.481899775574107</v>
      </c>
      <c r="AM2695">
        <v>91.501019757568898</v>
      </c>
      <c r="AN2695">
        <v>0.99999998061737605</v>
      </c>
    </row>
    <row r="2696" spans="1:40" x14ac:dyDescent="0.3">
      <c r="A2696" t="str">
        <f>"20200111150007410"</f>
        <v>20200111150007410</v>
      </c>
      <c r="B2696" t="str">
        <f>"1578726007399127"</f>
        <v>1578726007399127</v>
      </c>
      <c r="C2696" t="s">
        <v>40</v>
      </c>
      <c r="D2696">
        <v>3.9979689999999999</v>
      </c>
      <c r="E2696">
        <v>0.49036079999999999</v>
      </c>
      <c r="F2696" t="s">
        <v>65</v>
      </c>
      <c r="G2696">
        <v>-511.07549999999998</v>
      </c>
      <c r="H2696">
        <v>5.5259410000000004</v>
      </c>
      <c r="I2696">
        <v>272.76330000000002</v>
      </c>
      <c r="J2696">
        <v>-337.3775</v>
      </c>
      <c r="K2696">
        <v>1.104805</v>
      </c>
      <c r="L2696">
        <v>283.10879999999997</v>
      </c>
      <c r="M2696">
        <v>-0.99989030000000001</v>
      </c>
      <c r="N2696">
        <v>0</v>
      </c>
      <c r="O2696">
        <v>-7.7520660000000002E-3</v>
      </c>
      <c r="P2696">
        <v>-0.99592639999999999</v>
      </c>
      <c r="Q2696">
        <v>8.3760119999999993E-2</v>
      </c>
      <c r="R2696">
        <v>-3.3392810000000002E-2</v>
      </c>
      <c r="S2696">
        <v>-2.9998469999999999</v>
      </c>
      <c r="T2696">
        <v>7.6239710000000002E-2</v>
      </c>
      <c r="U2696">
        <v>-0.17843629999999999</v>
      </c>
      <c r="V2696">
        <v>-2.578453E-2</v>
      </c>
      <c r="W2696">
        <v>9.6299270000000006E-2</v>
      </c>
      <c r="X2696">
        <v>0.99501839999999997</v>
      </c>
      <c r="Y2696">
        <v>-5.1621930000000003E-2</v>
      </c>
      <c r="Z2696">
        <v>4.5847640000000001E-4</v>
      </c>
      <c r="AA2696">
        <v>0.99866659999999996</v>
      </c>
      <c r="AB2696">
        <v>43</v>
      </c>
      <c r="AC2696">
        <v>-173.69799999999901</v>
      </c>
      <c r="AD2696">
        <v>4.4211359999999997</v>
      </c>
      <c r="AE2696">
        <v>-10.3454999999999</v>
      </c>
      <c r="AF2696">
        <v>-8.9927580601808508</v>
      </c>
      <c r="AG2696">
        <v>4.4211359999999997</v>
      </c>
      <c r="AH2696">
        <v>173.66087588349299</v>
      </c>
      <c r="AI2696">
        <v>88.543604045897794</v>
      </c>
      <c r="AJ2696">
        <v>92.964324984972393</v>
      </c>
      <c r="AK2696">
        <v>173.949751232019</v>
      </c>
      <c r="AL2696">
        <v>84.473894628938595</v>
      </c>
      <c r="AM2696">
        <v>91.484408923631193</v>
      </c>
      <c r="AN2696">
        <v>1.0000000038642001</v>
      </c>
    </row>
    <row r="2697" spans="1:40" x14ac:dyDescent="0.3">
      <c r="A2697" t="str">
        <f>"20200111150007423"</f>
        <v>20200111150007423</v>
      </c>
      <c r="B2697" t="str">
        <f>"1578726007418648"</f>
        <v>1578726007418648</v>
      </c>
      <c r="C2697" t="s">
        <v>40</v>
      </c>
      <c r="D2697">
        <v>4.0539899999999998</v>
      </c>
      <c r="E2697">
        <v>0.4899944</v>
      </c>
      <c r="F2697" t="s">
        <v>65</v>
      </c>
      <c r="G2697">
        <v>-511.8922</v>
      </c>
      <c r="H2697">
        <v>5.5253750000000004</v>
      </c>
      <c r="I2697">
        <v>272.6343</v>
      </c>
      <c r="J2697">
        <v>-337.62270000000001</v>
      </c>
      <c r="K2697">
        <v>1.1048039999999999</v>
      </c>
      <c r="L2697">
        <v>283.10669999999999</v>
      </c>
      <c r="M2697">
        <v>-0.99988840000000001</v>
      </c>
      <c r="N2697">
        <v>0</v>
      </c>
      <c r="O2697">
        <v>-8.0016619999999997E-3</v>
      </c>
      <c r="P2697">
        <v>-0.99590630000000002</v>
      </c>
      <c r="Q2697">
        <v>8.3915470000000006E-2</v>
      </c>
      <c r="R2697">
        <v>-3.3602390000000003E-2</v>
      </c>
      <c r="S2697">
        <v>-2.9998469999999999</v>
      </c>
      <c r="T2697">
        <v>7.5989370000000001E-2</v>
      </c>
      <c r="U2697">
        <v>-0.18005370000000001</v>
      </c>
      <c r="V2697">
        <v>-2.5745230000000001E-2</v>
      </c>
      <c r="W2697">
        <v>9.6453990000000003E-2</v>
      </c>
      <c r="X2697">
        <v>0.99500440000000001</v>
      </c>
      <c r="Y2697">
        <v>-5.1909259999999999E-2</v>
      </c>
      <c r="Z2697">
        <v>4.5428409999999998E-4</v>
      </c>
      <c r="AA2697">
        <v>0.99865170000000003</v>
      </c>
      <c r="AB2697">
        <v>43</v>
      </c>
      <c r="AC2697">
        <v>-174.26949999999999</v>
      </c>
      <c r="AD2697">
        <v>4.4205709999999998</v>
      </c>
      <c r="AE2697">
        <v>-10.472399999999899</v>
      </c>
      <c r="AF2697">
        <v>-9.0716918997207792</v>
      </c>
      <c r="AG2697">
        <v>4.4205709999999998</v>
      </c>
      <c r="AH2697">
        <v>174.23601480773499</v>
      </c>
      <c r="AI2697">
        <v>88.548616050547096</v>
      </c>
      <c r="AJ2697">
        <v>92.980444396225494</v>
      </c>
      <c r="AK2697">
        <v>174.528008921121</v>
      </c>
      <c r="AL2697">
        <v>84.464988192815397</v>
      </c>
      <c r="AM2697">
        <v>91.482168287396206</v>
      </c>
      <c r="AN2697">
        <v>0.999999972537016</v>
      </c>
    </row>
    <row r="2698" spans="1:40" x14ac:dyDescent="0.3">
      <c r="A2698" t="str">
        <f>"20200111150007435"</f>
        <v>20200111150007435</v>
      </c>
      <c r="B2698" t="str">
        <f>"1578726007428407"</f>
        <v>1578726007428407</v>
      </c>
      <c r="C2698" t="s">
        <v>40</v>
      </c>
      <c r="D2698">
        <v>4.0705309999999999</v>
      </c>
      <c r="E2698">
        <v>0.4897975</v>
      </c>
      <c r="F2698" t="s">
        <v>65</v>
      </c>
      <c r="G2698">
        <v>-511.48009999999999</v>
      </c>
      <c r="H2698">
        <v>5.525512</v>
      </c>
      <c r="I2698">
        <v>272.45350000000002</v>
      </c>
      <c r="J2698">
        <v>-337.85559999999998</v>
      </c>
      <c r="K2698">
        <v>1.104803</v>
      </c>
      <c r="L2698">
        <v>283.10469999999998</v>
      </c>
      <c r="M2698">
        <v>-0.99988639999999995</v>
      </c>
      <c r="N2698">
        <v>0</v>
      </c>
      <c r="O2698">
        <v>-8.2380319999999993E-3</v>
      </c>
      <c r="P2698">
        <v>-0.9958977</v>
      </c>
      <c r="Q2698">
        <v>8.3966520000000003E-2</v>
      </c>
      <c r="R2698">
        <v>-3.3729120000000001E-2</v>
      </c>
      <c r="S2698">
        <v>-2.999695</v>
      </c>
      <c r="T2698">
        <v>7.6275109999999993E-2</v>
      </c>
      <c r="U2698">
        <v>-0.18380740000000001</v>
      </c>
      <c r="V2698">
        <v>-2.563646E-2</v>
      </c>
      <c r="W2698">
        <v>9.6504770000000004E-2</v>
      </c>
      <c r="X2698">
        <v>0.99500230000000001</v>
      </c>
      <c r="Y2698">
        <v>-5.2920920000000003E-2</v>
      </c>
      <c r="Z2698">
        <v>4.6284270000000001E-4</v>
      </c>
      <c r="AA2698">
        <v>0.9985986</v>
      </c>
      <c r="AB2698">
        <v>43</v>
      </c>
      <c r="AC2698">
        <v>-173.62450000000001</v>
      </c>
      <c r="AD2698">
        <v>4.4207089999999898</v>
      </c>
      <c r="AE2698">
        <v>-10.6511999999999</v>
      </c>
      <c r="AF2698">
        <v>-9.2144492357829098</v>
      </c>
      <c r="AG2698">
        <v>4.4207089999999898</v>
      </c>
      <c r="AH2698">
        <v>173.59424380739301</v>
      </c>
      <c r="AI2698">
        <v>88.543284668325697</v>
      </c>
      <c r="AJ2698">
        <v>93.038430536477094</v>
      </c>
      <c r="AK2698">
        <v>173.89482518419601</v>
      </c>
      <c r="AL2698">
        <v>84.462065161786697</v>
      </c>
      <c r="AM2698">
        <v>91.475912222633596</v>
      </c>
      <c r="AN2698">
        <v>0.99999998785968702</v>
      </c>
    </row>
    <row r="2699" spans="1:40" x14ac:dyDescent="0.3">
      <c r="A2699" t="str">
        <f>"20200111150007447"</f>
        <v>20200111150007447</v>
      </c>
      <c r="B2699" t="str">
        <f>"1578726007439143"</f>
        <v>1578726007439143</v>
      </c>
      <c r="C2699" t="s">
        <v>40</v>
      </c>
      <c r="D2699">
        <v>4.0478630000000004</v>
      </c>
      <c r="E2699">
        <v>0.48968339999999999</v>
      </c>
      <c r="F2699" t="s">
        <v>65</v>
      </c>
      <c r="G2699">
        <v>-511.2998</v>
      </c>
      <c r="H2699">
        <v>5.5255710000000002</v>
      </c>
      <c r="I2699">
        <v>272.36720000000003</v>
      </c>
      <c r="J2699">
        <v>-338.07760000000002</v>
      </c>
      <c r="K2699">
        <v>1.104805</v>
      </c>
      <c r="L2699">
        <v>283.10270000000003</v>
      </c>
      <c r="M2699">
        <v>-0.99988460000000001</v>
      </c>
      <c r="N2699">
        <v>0</v>
      </c>
      <c r="O2699">
        <v>-8.4639150000000007E-3</v>
      </c>
      <c r="P2699">
        <v>-0.99590800000000002</v>
      </c>
      <c r="Q2699">
        <v>8.3766709999999994E-2</v>
      </c>
      <c r="R2699">
        <v>-3.3926909999999998E-2</v>
      </c>
      <c r="S2699">
        <v>-2.9996339999999999</v>
      </c>
      <c r="T2699">
        <v>7.645631E-2</v>
      </c>
      <c r="U2699">
        <v>-0.18569949999999999</v>
      </c>
      <c r="V2699">
        <v>-2.560896E-2</v>
      </c>
      <c r="W2699">
        <v>9.6304979999999998E-2</v>
      </c>
      <c r="X2699">
        <v>0.99502239999999997</v>
      </c>
      <c r="Y2699">
        <v>-5.3323959999999997E-2</v>
      </c>
      <c r="Z2699">
        <v>4.6332259999999999E-4</v>
      </c>
      <c r="AA2699">
        <v>0.99857720000000005</v>
      </c>
      <c r="AB2699">
        <v>43</v>
      </c>
      <c r="AC2699">
        <v>-173.22219999999999</v>
      </c>
      <c r="AD2699">
        <v>4.4207660000000004</v>
      </c>
      <c r="AE2699">
        <v>-10.7355</v>
      </c>
      <c r="AF2699">
        <v>-9.2628508332995292</v>
      </c>
      <c r="AG2699">
        <v>4.4207660000000004</v>
      </c>
      <c r="AH2699">
        <v>173.19449411137299</v>
      </c>
      <c r="AI2699">
        <v>88.539936233786506</v>
      </c>
      <c r="AJ2699">
        <v>93.061397008774605</v>
      </c>
      <c r="AK2699">
        <v>173.49834687420301</v>
      </c>
      <c r="AL2699">
        <v>84.473566044295694</v>
      </c>
      <c r="AM2699">
        <v>91.474299954881999</v>
      </c>
      <c r="AN2699">
        <v>1.00000002225342</v>
      </c>
    </row>
    <row r="2700" spans="1:40" x14ac:dyDescent="0.3">
      <c r="A2700" t="str">
        <f>"20200111150007459"</f>
        <v>20200111150007459</v>
      </c>
      <c r="B2700" t="str">
        <f>"1578726007448903"</f>
        <v>1578726007448903</v>
      </c>
      <c r="C2700" t="s">
        <v>40</v>
      </c>
      <c r="D2700">
        <v>4.0567970000000004</v>
      </c>
      <c r="E2700">
        <v>0.489591</v>
      </c>
      <c r="F2700" t="s">
        <v>65</v>
      </c>
      <c r="G2700">
        <v>-512.827</v>
      </c>
      <c r="H2700">
        <v>5.4848059999999998</v>
      </c>
      <c r="I2700">
        <v>272.18669999999997</v>
      </c>
      <c r="J2700">
        <v>-338.31819999999999</v>
      </c>
      <c r="K2700">
        <v>1.1048039999999999</v>
      </c>
      <c r="L2700">
        <v>283.10039999999998</v>
      </c>
      <c r="M2700">
        <v>-0.9998823</v>
      </c>
      <c r="N2700">
        <v>0</v>
      </c>
      <c r="O2700">
        <v>-8.7086290000000007E-3</v>
      </c>
      <c r="P2700">
        <v>-0.99592349999999996</v>
      </c>
      <c r="Q2700">
        <v>8.3579230000000004E-2</v>
      </c>
      <c r="R2700">
        <v>-3.3928340000000001E-2</v>
      </c>
      <c r="S2700">
        <v>-2.9996640000000001</v>
      </c>
      <c r="T2700">
        <v>7.5186249999999996E-2</v>
      </c>
      <c r="U2700">
        <v>-0.18737789999999999</v>
      </c>
      <c r="V2700">
        <v>-2.5365550000000001E-2</v>
      </c>
      <c r="W2700">
        <v>9.6117480000000005E-2</v>
      </c>
      <c r="X2700">
        <v>0.99504669999999895</v>
      </c>
      <c r="Y2700">
        <v>-5.3635990000000001E-2</v>
      </c>
      <c r="Z2700">
        <v>4.5339579999999999E-4</v>
      </c>
      <c r="AA2700">
        <v>0.99856040000000001</v>
      </c>
      <c r="AB2700">
        <v>43</v>
      </c>
      <c r="AC2700">
        <v>-174.50880000000001</v>
      </c>
      <c r="AD2700">
        <v>4.3800019999999904</v>
      </c>
      <c r="AE2700">
        <v>-10.9137</v>
      </c>
      <c r="AF2700">
        <v>-9.3875416836838408</v>
      </c>
      <c r="AG2700">
        <v>4.3800019999999904</v>
      </c>
      <c r="AH2700">
        <v>174.48774007393601</v>
      </c>
      <c r="AI2700">
        <v>88.564135468217799</v>
      </c>
      <c r="AJ2700">
        <v>93.079577199355896</v>
      </c>
      <c r="AK2700">
        <v>174.79497072997401</v>
      </c>
      <c r="AL2700">
        <v>84.484358717489897</v>
      </c>
      <c r="AM2700">
        <v>91.460257366411398</v>
      </c>
      <c r="AN2700">
        <v>0.99999995813461995</v>
      </c>
    </row>
    <row r="2701" spans="1:40" x14ac:dyDescent="0.3">
      <c r="A2701" t="str">
        <f>"20200111150007473"</f>
        <v>20200111150007473</v>
      </c>
      <c r="B2701" t="str">
        <f>"1578726007468423"</f>
        <v>1578726007468423</v>
      </c>
      <c r="C2701" t="s">
        <v>40</v>
      </c>
      <c r="D2701">
        <v>3.9904999999999999</v>
      </c>
      <c r="E2701">
        <v>0.48930970000000001</v>
      </c>
      <c r="F2701" t="s">
        <v>65</v>
      </c>
      <c r="G2701">
        <v>-512.827</v>
      </c>
      <c r="H2701">
        <v>5.4238499999999998</v>
      </c>
      <c r="I2701">
        <v>272.16910000000001</v>
      </c>
      <c r="J2701">
        <v>-338.55829999999997</v>
      </c>
      <c r="K2701">
        <v>1.1048009999999999</v>
      </c>
      <c r="L2701">
        <v>283.09809999999999</v>
      </c>
      <c r="M2701">
        <v>-0.9998804</v>
      </c>
      <c r="N2701">
        <v>0</v>
      </c>
      <c r="O2701">
        <v>-8.9526350000000005E-3</v>
      </c>
      <c r="P2701">
        <v>-0.99592270000000005</v>
      </c>
      <c r="Q2701">
        <v>8.3633600000000002E-2</v>
      </c>
      <c r="R2701">
        <v>-3.3816659999999998E-2</v>
      </c>
      <c r="S2701">
        <v>-2.999603</v>
      </c>
      <c r="T2701">
        <v>7.4240680000000003E-2</v>
      </c>
      <c r="U2701">
        <v>-0.1878967</v>
      </c>
      <c r="V2701">
        <v>-2.5011450000000001E-2</v>
      </c>
      <c r="W2701">
        <v>9.6172060000000004E-2</v>
      </c>
      <c r="X2701">
        <v>0.9950504</v>
      </c>
      <c r="Y2701">
        <v>-5.3566049999999997E-2</v>
      </c>
      <c r="Z2701">
        <v>4.4080589999999999E-4</v>
      </c>
      <c r="AA2701">
        <v>0.99856420000000001</v>
      </c>
      <c r="AB2701">
        <v>43</v>
      </c>
      <c r="AC2701">
        <v>-174.2687</v>
      </c>
      <c r="AD2701">
        <v>4.3190489999999997</v>
      </c>
      <c r="AE2701">
        <v>-10.928999999999901</v>
      </c>
      <c r="AF2701">
        <v>-9.3625454922583007</v>
      </c>
      <c r="AG2701">
        <v>4.3190489999999997</v>
      </c>
      <c r="AH2701">
        <v>174.25295241654101</v>
      </c>
      <c r="AI2701">
        <v>88.582196681992301</v>
      </c>
      <c r="AJ2701">
        <v>93.075523376965705</v>
      </c>
      <c r="AK2701">
        <v>174.55773505702999</v>
      </c>
      <c r="AL2701">
        <v>84.481217014511699</v>
      </c>
      <c r="AM2701">
        <v>91.439875641363102</v>
      </c>
      <c r="AN2701">
        <v>0.999999968147952</v>
      </c>
    </row>
    <row r="2702" spans="1:40" x14ac:dyDescent="0.3">
      <c r="A2702" t="str">
        <f>"20200111150007485"</f>
        <v>20200111150007485</v>
      </c>
      <c r="B2702" t="str">
        <f>"1578726007478184"</f>
        <v>1578726007478184</v>
      </c>
      <c r="C2702" t="s">
        <v>40</v>
      </c>
      <c r="D2702">
        <v>4.0377890000000001</v>
      </c>
      <c r="E2702">
        <v>0.48917450000000001</v>
      </c>
      <c r="F2702" t="s">
        <v>65</v>
      </c>
      <c r="G2702">
        <v>-512.827</v>
      </c>
      <c r="H2702">
        <v>5.4165710000000002</v>
      </c>
      <c r="I2702">
        <v>272.06650000000002</v>
      </c>
      <c r="J2702">
        <v>-338.81490000000002</v>
      </c>
      <c r="K2702">
        <v>1.1047979999999999</v>
      </c>
      <c r="L2702">
        <v>283.09559999999999</v>
      </c>
      <c r="M2702">
        <v>-0.99987800000000004</v>
      </c>
      <c r="N2702">
        <v>0</v>
      </c>
      <c r="O2702">
        <v>-9.2134480000000008E-3</v>
      </c>
      <c r="P2702">
        <v>-0.9959247</v>
      </c>
      <c r="Q2702">
        <v>8.3568409999999996E-2</v>
      </c>
      <c r="R2702">
        <v>-3.3922550000000003E-2</v>
      </c>
      <c r="S2702">
        <v>-2.999603</v>
      </c>
      <c r="T2702">
        <v>7.4217679999999994E-2</v>
      </c>
      <c r="U2702">
        <v>-0.1898804</v>
      </c>
      <c r="V2702">
        <v>-2.4856929999999999E-2</v>
      </c>
      <c r="W2702">
        <v>9.6106570000000002E-2</v>
      </c>
      <c r="X2702">
        <v>0.99506059999999996</v>
      </c>
      <c r="Y2702">
        <v>-5.3963280000000002E-2</v>
      </c>
      <c r="Z2702">
        <v>4.3912399999999999E-4</v>
      </c>
      <c r="AA2702">
        <v>0.99854279999999995</v>
      </c>
      <c r="AB2702">
        <v>43</v>
      </c>
      <c r="AC2702">
        <v>-174.01209999999901</v>
      </c>
      <c r="AD2702">
        <v>4.3117729999999996</v>
      </c>
      <c r="AE2702">
        <v>-11.0290999999999</v>
      </c>
      <c r="AF2702">
        <v>-9.4194925896234896</v>
      </c>
      <c r="AG2702">
        <v>4.3117729999999996</v>
      </c>
      <c r="AH2702">
        <v>173.999932353655</v>
      </c>
      <c r="AI2702">
        <v>88.582557701675398</v>
      </c>
      <c r="AJ2702">
        <v>93.098684440760806</v>
      </c>
      <c r="AK2702">
        <v>174.308045385535</v>
      </c>
      <c r="AL2702">
        <v>84.484986780357502</v>
      </c>
      <c r="AM2702">
        <v>91.430969179944995</v>
      </c>
      <c r="AN2702">
        <v>0.99999996871927399</v>
      </c>
    </row>
    <row r="2703" spans="1:40" x14ac:dyDescent="0.3">
      <c r="A2703" t="str">
        <f>"20200111150007499"</f>
        <v>20200111150007499</v>
      </c>
      <c r="B2703" t="str">
        <f>"1578726007488919"</f>
        <v>1578726007488919</v>
      </c>
      <c r="C2703" t="s">
        <v>40</v>
      </c>
      <c r="D2703">
        <v>4.0600930000000002</v>
      </c>
      <c r="E2703">
        <v>0.48904779999999998</v>
      </c>
      <c r="F2703" t="s">
        <v>65</v>
      </c>
      <c r="G2703">
        <v>-512.827</v>
      </c>
      <c r="H2703">
        <v>5.3983249999999998</v>
      </c>
      <c r="I2703">
        <v>271.99860000000001</v>
      </c>
      <c r="J2703">
        <v>-339.07889999999998</v>
      </c>
      <c r="K2703">
        <v>1.104795</v>
      </c>
      <c r="L2703">
        <v>283.09289999999999</v>
      </c>
      <c r="M2703">
        <v>-0.99987550000000003</v>
      </c>
      <c r="N2703">
        <v>0</v>
      </c>
      <c r="O2703">
        <v>-9.4814099999999991E-3</v>
      </c>
      <c r="P2703">
        <v>-0.99594150000000004</v>
      </c>
      <c r="Q2703">
        <v>8.3470310000000006E-2</v>
      </c>
      <c r="R2703">
        <v>-3.3664760000000002E-2</v>
      </c>
      <c r="S2703">
        <v>-2.9995419999999999</v>
      </c>
      <c r="T2703">
        <v>7.4011209999999994E-2</v>
      </c>
      <c r="U2703">
        <v>-0.19128419999999999</v>
      </c>
      <c r="V2703">
        <v>-2.4332380000000001E-2</v>
      </c>
      <c r="W2703">
        <v>9.6008789999999997E-2</v>
      </c>
      <c r="X2703">
        <v>0.99508300000000005</v>
      </c>
      <c r="Y2703">
        <v>-5.4162509999999997E-2</v>
      </c>
      <c r="Z2703">
        <v>4.3375679999999999E-4</v>
      </c>
      <c r="AA2703">
        <v>0.99853210000000003</v>
      </c>
      <c r="AB2703">
        <v>43</v>
      </c>
      <c r="AC2703">
        <v>-173.74809999999999</v>
      </c>
      <c r="AD2703">
        <v>4.2935299999999996</v>
      </c>
      <c r="AE2703">
        <v>-11.094299999999899</v>
      </c>
      <c r="AF2703">
        <v>-9.4405517917661808</v>
      </c>
      <c r="AG2703">
        <v>4.2935299999999996</v>
      </c>
      <c r="AH2703">
        <v>173.73982426171199</v>
      </c>
      <c r="AI2703">
        <v>88.5864556473568</v>
      </c>
      <c r="AJ2703">
        <v>93.110238947137404</v>
      </c>
      <c r="AK2703">
        <v>174.04908776688401</v>
      </c>
      <c r="AL2703">
        <v>84.490615166601899</v>
      </c>
      <c r="AM2703">
        <v>91.400752412042806</v>
      </c>
      <c r="AN2703">
        <v>0.99999996468136298</v>
      </c>
    </row>
    <row r="2704" spans="1:40" x14ac:dyDescent="0.3">
      <c r="A2704" t="str">
        <f>"20200111150007512"</f>
        <v>20200111150007512</v>
      </c>
      <c r="B2704" t="str">
        <f>"1578726007508439"</f>
        <v>1578726007508439</v>
      </c>
      <c r="C2704" t="s">
        <v>40</v>
      </c>
      <c r="D2704">
        <v>4.0179929999999997</v>
      </c>
      <c r="E2704">
        <v>0.48883799999999999</v>
      </c>
      <c r="F2704" t="s">
        <v>65</v>
      </c>
      <c r="G2704">
        <v>-512.827</v>
      </c>
      <c r="H2704">
        <v>5.3761939999999999</v>
      </c>
      <c r="I2704">
        <v>271.99869999999999</v>
      </c>
      <c r="J2704">
        <v>-339.30840000000001</v>
      </c>
      <c r="K2704">
        <v>1.1047990000000001</v>
      </c>
      <c r="L2704">
        <v>283.09050000000002</v>
      </c>
      <c r="M2704">
        <v>-0.99987329999999996</v>
      </c>
      <c r="N2704">
        <v>0</v>
      </c>
      <c r="O2704">
        <v>-9.7148040000000005E-3</v>
      </c>
      <c r="P2704">
        <v>-0.99594309999999997</v>
      </c>
      <c r="Q2704">
        <v>8.3407919999999997E-2</v>
      </c>
      <c r="R2704">
        <v>-3.377844E-2</v>
      </c>
      <c r="S2704">
        <v>-2.9995729999999998</v>
      </c>
      <c r="T2704">
        <v>7.3742390000000005E-2</v>
      </c>
      <c r="U2704">
        <v>-0.19152830000000001</v>
      </c>
      <c r="V2704">
        <v>-2.4212959999999999E-2</v>
      </c>
      <c r="W2704">
        <v>9.5946149999999994E-2</v>
      </c>
      <c r="X2704">
        <v>0.99509199999999998</v>
      </c>
      <c r="Y2704">
        <v>-5.4009939999999999E-2</v>
      </c>
      <c r="Z2704">
        <v>4.2457269999999998E-4</v>
      </c>
      <c r="AA2704">
        <v>0.99854030000000005</v>
      </c>
      <c r="AB2704">
        <v>43</v>
      </c>
      <c r="AC2704">
        <v>-173.51859999999999</v>
      </c>
      <c r="AD2704">
        <v>4.2713950000000001</v>
      </c>
      <c r="AE2704">
        <v>-11.091799999999999</v>
      </c>
      <c r="AF2704">
        <v>-9.3997705222481098</v>
      </c>
      <c r="AG2704">
        <v>4.2713950000000001</v>
      </c>
      <c r="AH2704">
        <v>173.51345844761201</v>
      </c>
      <c r="AI2704">
        <v>88.591893776677793</v>
      </c>
      <c r="AJ2704">
        <v>93.100861801221299</v>
      </c>
      <c r="AK2704">
        <v>173.820369242411</v>
      </c>
      <c r="AL2704">
        <v>84.494221069002506</v>
      </c>
      <c r="AM2704">
        <v>91.393867827418106</v>
      </c>
      <c r="AN2704">
        <v>1.0000000097978901</v>
      </c>
    </row>
    <row r="2705" spans="1:40" x14ac:dyDescent="0.3">
      <c r="A2705" t="str">
        <f>"20200111150007524"</f>
        <v>20200111150007524</v>
      </c>
      <c r="B2705" t="str">
        <f>"1578726007519176"</f>
        <v>1578726007519176</v>
      </c>
      <c r="C2705" t="s">
        <v>40</v>
      </c>
      <c r="D2705">
        <v>4.0289799999999998</v>
      </c>
      <c r="E2705">
        <v>0.48876540000000002</v>
      </c>
      <c r="F2705" t="s">
        <v>65</v>
      </c>
      <c r="G2705">
        <v>-512.827</v>
      </c>
      <c r="H2705">
        <v>5.3753869999999999</v>
      </c>
      <c r="I2705">
        <v>271.88529999999997</v>
      </c>
      <c r="J2705">
        <v>-339.53719999999998</v>
      </c>
      <c r="K2705">
        <v>1.104797</v>
      </c>
      <c r="L2705">
        <v>283.0881</v>
      </c>
      <c r="M2705">
        <v>-0.99987099999999995</v>
      </c>
      <c r="N2705">
        <v>0</v>
      </c>
      <c r="O2705">
        <v>-9.947483E-3</v>
      </c>
      <c r="P2705">
        <v>-0.99592849999999999</v>
      </c>
      <c r="Q2705">
        <v>8.3499770000000001E-2</v>
      </c>
      <c r="R2705">
        <v>-3.3973110000000001E-2</v>
      </c>
      <c r="S2705">
        <v>-2.9994510000000001</v>
      </c>
      <c r="T2705">
        <v>7.3822860000000004E-2</v>
      </c>
      <c r="U2705">
        <v>-0.19369510000000001</v>
      </c>
      <c r="V2705">
        <v>-2.417621E-2</v>
      </c>
      <c r="W2705">
        <v>9.6037280000000003E-2</v>
      </c>
      <c r="X2705">
        <v>0.99508410000000003</v>
      </c>
      <c r="Y2705">
        <v>-5.4498400000000002E-2</v>
      </c>
      <c r="Z2705">
        <v>4.2532810000000002E-4</v>
      </c>
      <c r="AA2705">
        <v>0.99851380000000001</v>
      </c>
      <c r="AB2705">
        <v>43</v>
      </c>
      <c r="AC2705">
        <v>-173.28980000000001</v>
      </c>
      <c r="AD2705">
        <v>4.2705900000000003</v>
      </c>
      <c r="AE2705">
        <v>-11.2028</v>
      </c>
      <c r="AF2705">
        <v>-9.4725820956063398</v>
      </c>
      <c r="AG2705">
        <v>4.2705900000000003</v>
      </c>
      <c r="AH2705">
        <v>173.28786710900201</v>
      </c>
      <c r="AI2705">
        <v>88.590364531343397</v>
      </c>
      <c r="AJ2705">
        <v>93.128893895706398</v>
      </c>
      <c r="AK2705">
        <v>173.599114737642</v>
      </c>
      <c r="AL2705">
        <v>84.488975466746098</v>
      </c>
      <c r="AM2705">
        <v>91.391764117160093</v>
      </c>
      <c r="AN2705">
        <v>1.00000000717628</v>
      </c>
    </row>
    <row r="2706" spans="1:40" x14ac:dyDescent="0.3">
      <c r="A2706" t="str">
        <f>"20200111150007536"</f>
        <v>20200111150007536</v>
      </c>
      <c r="B2706" t="str">
        <f>"1578726007528936"</f>
        <v>1578726007528936</v>
      </c>
      <c r="C2706" t="s">
        <v>40</v>
      </c>
      <c r="D2706">
        <v>4.0555240000000001</v>
      </c>
      <c r="E2706">
        <v>0.48866949999999998</v>
      </c>
      <c r="F2706" t="s">
        <v>65</v>
      </c>
      <c r="G2706">
        <v>-512.827</v>
      </c>
      <c r="H2706">
        <v>5.3792600000000004</v>
      </c>
      <c r="I2706">
        <v>271.84629999999999</v>
      </c>
      <c r="J2706">
        <v>-339.77780000000001</v>
      </c>
      <c r="K2706">
        <v>1.1047959999999999</v>
      </c>
      <c r="L2706">
        <v>283.0856</v>
      </c>
      <c r="M2706">
        <v>-0.99986850000000005</v>
      </c>
      <c r="N2706">
        <v>0</v>
      </c>
      <c r="O2706">
        <v>-1.0191489999999999E-2</v>
      </c>
      <c r="P2706">
        <v>-0.99593379999999998</v>
      </c>
      <c r="Q2706">
        <v>8.3325999999999997E-2</v>
      </c>
      <c r="R2706">
        <v>-3.4245589999999999E-2</v>
      </c>
      <c r="S2706">
        <v>-2.99939</v>
      </c>
      <c r="T2706">
        <v>7.3985930000000005E-2</v>
      </c>
      <c r="U2706">
        <v>-0.19458010000000001</v>
      </c>
      <c r="V2706">
        <v>-2.4205089999999999E-2</v>
      </c>
      <c r="W2706">
        <v>9.5863089999999998E-2</v>
      </c>
      <c r="X2706">
        <v>0.99510019999999999</v>
      </c>
      <c r="Y2706">
        <v>-5.4549430000000003E-2</v>
      </c>
      <c r="Z2706">
        <v>4.2088949999999998E-4</v>
      </c>
      <c r="AA2706">
        <v>0.99851100000000004</v>
      </c>
      <c r="AB2706">
        <v>43</v>
      </c>
      <c r="AC2706">
        <v>-173.04919999999899</v>
      </c>
      <c r="AD2706">
        <v>4.274464</v>
      </c>
      <c r="AE2706">
        <v>-11.2393</v>
      </c>
      <c r="AF2706">
        <v>-9.4691934860913793</v>
      </c>
      <c r="AG2706">
        <v>4.274464</v>
      </c>
      <c r="AH2706">
        <v>173.04962597679099</v>
      </c>
      <c r="AI2706">
        <v>88.587148958043798</v>
      </c>
      <c r="AJ2706">
        <v>93.132074334973595</v>
      </c>
      <c r="AK2706">
        <v>173.36121168955799</v>
      </c>
      <c r="AL2706">
        <v>84.499002113304897</v>
      </c>
      <c r="AM2706">
        <v>91.393403475920294</v>
      </c>
      <c r="AN2706">
        <v>1.0000000132231399</v>
      </c>
    </row>
    <row r="2707" spans="1:40" x14ac:dyDescent="0.3">
      <c r="A2707" t="str">
        <f>"20200111150007548"</f>
        <v>20200111150007548</v>
      </c>
      <c r="B2707" t="str">
        <f>"1578726007538695"</f>
        <v>1578726007538695</v>
      </c>
      <c r="C2707" t="s">
        <v>40</v>
      </c>
      <c r="D2707">
        <v>4.0479089999999998</v>
      </c>
      <c r="E2707">
        <v>0.48860789999999998</v>
      </c>
      <c r="F2707" t="s">
        <v>65</v>
      </c>
      <c r="G2707">
        <v>-512.82690000000002</v>
      </c>
      <c r="H2707">
        <v>5.3538119999999996</v>
      </c>
      <c r="I2707">
        <v>271.77269999999999</v>
      </c>
      <c r="J2707">
        <v>-339.99610000000001</v>
      </c>
      <c r="K2707">
        <v>1.104797</v>
      </c>
      <c r="L2707">
        <v>283.0831</v>
      </c>
      <c r="M2707">
        <v>-0.99986620000000004</v>
      </c>
      <c r="N2707">
        <v>0</v>
      </c>
      <c r="O2707">
        <v>-1.041333E-2</v>
      </c>
      <c r="P2707">
        <v>-0.99593739999999997</v>
      </c>
      <c r="Q2707">
        <v>8.3297120000000002E-2</v>
      </c>
      <c r="R2707">
        <v>-3.4214999999999898E-2</v>
      </c>
      <c r="S2707">
        <v>-2.999298</v>
      </c>
      <c r="T2707">
        <v>7.3645470000000005E-2</v>
      </c>
      <c r="U2707">
        <v>-0.19607540000000001</v>
      </c>
      <c r="V2707">
        <v>-2.3953189999999999E-2</v>
      </c>
      <c r="W2707">
        <v>9.5834600000000006E-2</v>
      </c>
      <c r="X2707">
        <v>0.99510900000000002</v>
      </c>
      <c r="Y2707">
        <v>-5.4825699999999998E-2</v>
      </c>
      <c r="Z2707">
        <v>4.1690750000000001E-4</v>
      </c>
      <c r="AA2707">
        <v>0.99849589999999999</v>
      </c>
      <c r="AB2707">
        <v>43</v>
      </c>
      <c r="AC2707">
        <v>-172.83080000000001</v>
      </c>
      <c r="AD2707">
        <v>4.249015</v>
      </c>
      <c r="AE2707">
        <v>-11.3104</v>
      </c>
      <c r="AF2707">
        <v>-9.5041793099921108</v>
      </c>
      <c r="AG2707">
        <v>4.249015</v>
      </c>
      <c r="AH2707">
        <v>172.835197417215</v>
      </c>
      <c r="AI2707">
        <v>88.593836363361305</v>
      </c>
      <c r="AJ2707">
        <v>93.147515550487796</v>
      </c>
      <c r="AK2707">
        <v>173.14845947646899</v>
      </c>
      <c r="AL2707">
        <v>84.5006418032781</v>
      </c>
      <c r="AM2707">
        <v>91.378895901203904</v>
      </c>
      <c r="AN2707">
        <v>0.99999997387466699</v>
      </c>
    </row>
    <row r="2708" spans="1:40" x14ac:dyDescent="0.3">
      <c r="A2708" t="str">
        <f>"20200111150007560"</f>
        <v>20200111150007560</v>
      </c>
      <c r="B2708" t="str">
        <f>"1578726007548456"</f>
        <v>1578726007548456</v>
      </c>
      <c r="C2708" t="s">
        <v>40</v>
      </c>
      <c r="D2708">
        <v>4.0387309999999896</v>
      </c>
      <c r="E2708">
        <v>0.48856129999999998</v>
      </c>
      <c r="F2708" t="s">
        <v>65</v>
      </c>
      <c r="G2708">
        <v>-512.82690000000002</v>
      </c>
      <c r="H2708">
        <v>5.3236980000000003</v>
      </c>
      <c r="I2708">
        <v>271.74779999999998</v>
      </c>
      <c r="J2708">
        <v>-340.2183</v>
      </c>
      <c r="K2708">
        <v>1.104797</v>
      </c>
      <c r="L2708">
        <v>283.08069999999998</v>
      </c>
      <c r="M2708">
        <v>-0.99986390000000003</v>
      </c>
      <c r="N2708">
        <v>0</v>
      </c>
      <c r="O2708">
        <v>-1.0638979999999999E-2</v>
      </c>
      <c r="P2708">
        <v>-0.99596180000000001</v>
      </c>
      <c r="Q2708">
        <v>8.2841529999999997E-2</v>
      </c>
      <c r="R2708">
        <v>-3.4609590000000003E-2</v>
      </c>
      <c r="S2708">
        <v>-2.9993590000000001</v>
      </c>
      <c r="T2708">
        <v>7.3217389999999993E-2</v>
      </c>
      <c r="U2708">
        <v>-0.19671630000000001</v>
      </c>
      <c r="V2708">
        <v>-2.41227E-2</v>
      </c>
      <c r="W2708">
        <v>9.5379400000000003E-2</v>
      </c>
      <c r="X2708">
        <v>0.9951487</v>
      </c>
      <c r="Y2708">
        <v>-5.4811690000000003E-2</v>
      </c>
      <c r="Z2708">
        <v>4.0880179999999998E-4</v>
      </c>
      <c r="AA2708">
        <v>0.99849670000000001</v>
      </c>
      <c r="AB2708">
        <v>43</v>
      </c>
      <c r="AC2708">
        <v>-172.6086</v>
      </c>
      <c r="AD2708">
        <v>4.2189009999999998</v>
      </c>
      <c r="AE2708">
        <v>-11.332899999999899</v>
      </c>
      <c r="AF2708">
        <v>-9.4900879038385995</v>
      </c>
      <c r="AG2708">
        <v>4.2189009999999998</v>
      </c>
      <c r="AH2708">
        <v>172.61672901192699</v>
      </c>
      <c r="AI2708">
        <v>88.602031001473605</v>
      </c>
      <c r="AJ2708">
        <v>93.146827934572002</v>
      </c>
      <c r="AK2708">
        <v>172.92887563633599</v>
      </c>
      <c r="AL2708">
        <v>84.526843200720606</v>
      </c>
      <c r="AM2708">
        <v>91.388594776405597</v>
      </c>
      <c r="AN2708">
        <v>1.0000000348556599</v>
      </c>
    </row>
    <row r="2709" spans="1:40" x14ac:dyDescent="0.3">
      <c r="A2709" t="str">
        <f>"20200111150007572"</f>
        <v>20200111150007572</v>
      </c>
      <c r="B2709" t="str">
        <f>"1578726007568951"</f>
        <v>1578726007568951</v>
      </c>
      <c r="C2709" t="s">
        <v>40</v>
      </c>
      <c r="D2709">
        <v>4.155869</v>
      </c>
      <c r="E2709">
        <v>0.48832320000000001</v>
      </c>
      <c r="F2709" t="s">
        <v>65</v>
      </c>
      <c r="G2709">
        <v>-512.82690000000002</v>
      </c>
      <c r="H2709">
        <v>5.2341800000000003</v>
      </c>
      <c r="I2709">
        <v>271.67020000000002</v>
      </c>
      <c r="J2709">
        <v>-340.45769999999999</v>
      </c>
      <c r="K2709">
        <v>1.1047959999999999</v>
      </c>
      <c r="L2709">
        <v>283.0779</v>
      </c>
      <c r="M2709">
        <v>-0.99986129999999995</v>
      </c>
      <c r="N2709">
        <v>0</v>
      </c>
      <c r="O2709">
        <v>-1.088216E-2</v>
      </c>
      <c r="P2709">
        <v>-0.99595809999999996</v>
      </c>
      <c r="Q2709">
        <v>8.28179E-2</v>
      </c>
      <c r="R2709">
        <v>-3.4770509999999998E-2</v>
      </c>
      <c r="S2709">
        <v>-2.9993289999999999</v>
      </c>
      <c r="T2709">
        <v>7.1755410000000006E-2</v>
      </c>
      <c r="U2709">
        <v>-0.1982727</v>
      </c>
      <c r="V2709">
        <v>-2.4041139999999999E-2</v>
      </c>
      <c r="W2709">
        <v>9.5355679999999998E-2</v>
      </c>
      <c r="X2709">
        <v>0.99515290000000001</v>
      </c>
      <c r="Y2709">
        <v>-5.5085929999999998E-2</v>
      </c>
      <c r="Z2709">
        <v>3.9810550000000001E-4</v>
      </c>
      <c r="AA2709">
        <v>0.99848150000000002</v>
      </c>
      <c r="AB2709">
        <v>43</v>
      </c>
      <c r="AC2709">
        <v>-172.36920000000001</v>
      </c>
      <c r="AD2709">
        <v>4.1293839999999999</v>
      </c>
      <c r="AE2709">
        <v>-11.407699999999901</v>
      </c>
      <c r="AF2709">
        <v>-9.5256829624897108</v>
      </c>
      <c r="AG2709">
        <v>4.1293839999999999</v>
      </c>
      <c r="AH2709">
        <v>172.38463874840801</v>
      </c>
      <c r="AI2709">
        <v>88.629861403950599</v>
      </c>
      <c r="AJ2709">
        <v>93.162851047945395</v>
      </c>
      <c r="AK2709">
        <v>172.697000913567</v>
      </c>
      <c r="AL2709">
        <v>84.528208223529603</v>
      </c>
      <c r="AM2709">
        <v>91.383895861649194</v>
      </c>
      <c r="AN2709">
        <v>0.99999998824958503</v>
      </c>
    </row>
    <row r="2710" spans="1:40" x14ac:dyDescent="0.3">
      <c r="A2710" t="str">
        <f>"20200111150007585"</f>
        <v>20200111150007585</v>
      </c>
      <c r="B2710" t="str">
        <f>"1578726007578711"</f>
        <v>1578726007578711</v>
      </c>
      <c r="C2710" t="s">
        <v>40</v>
      </c>
      <c r="D2710">
        <v>4.150347</v>
      </c>
      <c r="E2710">
        <v>0.46845130000000001</v>
      </c>
      <c r="F2710" t="s">
        <v>65</v>
      </c>
      <c r="G2710">
        <v>-512.82690000000002</v>
      </c>
      <c r="H2710">
        <v>5.2081010000000001</v>
      </c>
      <c r="I2710">
        <v>271.54790000000003</v>
      </c>
      <c r="J2710">
        <v>-340.69880000000001</v>
      </c>
      <c r="K2710">
        <v>1.104795</v>
      </c>
      <c r="L2710">
        <v>283.07510000000002</v>
      </c>
      <c r="M2710">
        <v>-0.99985860000000004</v>
      </c>
      <c r="N2710">
        <v>0</v>
      </c>
      <c r="O2710">
        <v>-1.1127120000000001E-2</v>
      </c>
      <c r="P2710">
        <v>-0.99595579999999995</v>
      </c>
      <c r="Q2710">
        <v>8.2783090000000004E-2</v>
      </c>
      <c r="R2710">
        <v>-3.4918970000000001E-2</v>
      </c>
      <c r="S2710">
        <v>-2.9992369999999999</v>
      </c>
      <c r="T2710">
        <v>7.1399089999999998E-2</v>
      </c>
      <c r="U2710">
        <v>-0.20062260000000001</v>
      </c>
      <c r="V2710">
        <v>-2.394489E-2</v>
      </c>
      <c r="W2710">
        <v>9.5321030000000001E-2</v>
      </c>
      <c r="X2710">
        <v>0.9951586</v>
      </c>
      <c r="Y2710">
        <v>-5.562218E-2</v>
      </c>
      <c r="Z2710">
        <v>3.9668279999999998E-4</v>
      </c>
      <c r="AA2710">
        <v>0.9984518</v>
      </c>
      <c r="AB2710">
        <v>43</v>
      </c>
      <c r="AC2710">
        <v>-172.12809999999999</v>
      </c>
      <c r="AD2710">
        <v>4.1033059999999999</v>
      </c>
      <c r="AE2710">
        <v>-11.527199999999899</v>
      </c>
      <c r="AF2710">
        <v>-9.6056096529516903</v>
      </c>
      <c r="AG2710">
        <v>4.1033059999999999</v>
      </c>
      <c r="AH2710">
        <v>172.14832478826301</v>
      </c>
      <c r="AI2710">
        <v>88.636683365576303</v>
      </c>
      <c r="AJ2710">
        <v>93.193703925101801</v>
      </c>
      <c r="AK2710">
        <v>172.46492566414699</v>
      </c>
      <c r="AL2710">
        <v>84.530202933797298</v>
      </c>
      <c r="AM2710">
        <v>91.378349609844093</v>
      </c>
      <c r="AN2710">
        <v>1.0000000478356601</v>
      </c>
    </row>
    <row r="2711" spans="1:40" x14ac:dyDescent="0.3">
      <c r="A2711" t="str">
        <f>"20200111150007596"</f>
        <v>20200111150007596</v>
      </c>
      <c r="B2711" t="str">
        <f>"1578726007588471"</f>
        <v>1578726007588471</v>
      </c>
      <c r="C2711" t="s">
        <v>40</v>
      </c>
      <c r="D2711">
        <v>4.1052900000000001</v>
      </c>
      <c r="E2711">
        <v>0.46756819999999999</v>
      </c>
      <c r="F2711" t="s">
        <v>64</v>
      </c>
      <c r="G2711">
        <v>-448.28190000000001</v>
      </c>
      <c r="H2711">
        <v>0.45108989999999999</v>
      </c>
      <c r="I2711">
        <v>270.1318</v>
      </c>
      <c r="J2711">
        <v>-340.92599999999999</v>
      </c>
      <c r="K2711">
        <v>1.104795</v>
      </c>
      <c r="L2711">
        <v>283.07240000000002</v>
      </c>
      <c r="M2711">
        <v>-0.99985590000000002</v>
      </c>
      <c r="N2711">
        <v>0</v>
      </c>
      <c r="O2711">
        <v>-1.1357890000000001E-2</v>
      </c>
      <c r="P2711">
        <v>-0.99595769999999995</v>
      </c>
      <c r="Q2711">
        <v>8.2697899999999894E-2</v>
      </c>
      <c r="R2711">
        <v>-3.5064850000000002E-2</v>
      </c>
      <c r="S2711">
        <v>-3.0010379999999999</v>
      </c>
      <c r="T2711">
        <v>-1.8234730000000001E-2</v>
      </c>
      <c r="U2711">
        <v>-0.36105350000000003</v>
      </c>
      <c r="V2711">
        <v>-2.3861090000000001E-2</v>
      </c>
      <c r="W2711">
        <v>9.5235589999999995E-2</v>
      </c>
      <c r="X2711">
        <v>0.99516870000000002</v>
      </c>
      <c r="Y2711">
        <v>-0.1081613</v>
      </c>
      <c r="Z2711">
        <v>-2.5866179999999998E-4</v>
      </c>
      <c r="AA2711">
        <v>0.99413339999999994</v>
      </c>
      <c r="AB2711">
        <v>43</v>
      </c>
      <c r="AC2711">
        <v>-107.35590000000001</v>
      </c>
      <c r="AD2711">
        <v>-0.65370509999999904</v>
      </c>
      <c r="AE2711">
        <v>-12.9406</v>
      </c>
      <c r="AF2711">
        <v>-11.7199032777871</v>
      </c>
      <c r="AG2711">
        <v>-0.65370509999999904</v>
      </c>
      <c r="AH2711">
        <v>107.49203526989299</v>
      </c>
      <c r="AI2711">
        <v>90.346383171305902</v>
      </c>
      <c r="AJ2711">
        <v>96.222404836575393</v>
      </c>
      <c r="AK2711">
        <v>108.131036754774</v>
      </c>
      <c r="AL2711">
        <v>84.535120150272604</v>
      </c>
      <c r="AM2711">
        <v>91.373513712280797</v>
      </c>
      <c r="AN2711">
        <v>0.99999995533916197</v>
      </c>
    </row>
    <row r="2712" spans="1:40" x14ac:dyDescent="0.3">
      <c r="A2712" t="str">
        <f>"20200111150007611"</f>
        <v>20200111150007611</v>
      </c>
      <c r="B2712" t="str">
        <f>"1578726007608968"</f>
        <v>1578726007608968</v>
      </c>
      <c r="C2712" t="s">
        <v>40</v>
      </c>
      <c r="D2712">
        <v>4.110493</v>
      </c>
      <c r="E2712">
        <v>0.46723730000000002</v>
      </c>
      <c r="F2712" t="s">
        <v>43</v>
      </c>
      <c r="G2712">
        <v>-450.05579999999998</v>
      </c>
      <c r="H2712">
        <v>-0.05</v>
      </c>
      <c r="I2712">
        <v>269.66370000000001</v>
      </c>
      <c r="J2712">
        <v>-341.19779999999997</v>
      </c>
      <c r="K2712">
        <v>1.104795</v>
      </c>
      <c r="L2712">
        <v>283.06900000000002</v>
      </c>
      <c r="M2712">
        <v>-0.99985279999999999</v>
      </c>
      <c r="N2712">
        <v>0</v>
      </c>
      <c r="O2712">
        <v>-1.163432E-2</v>
      </c>
      <c r="P2712">
        <v>-0.99594280000000002</v>
      </c>
      <c r="Q2712">
        <v>8.2907930000000005E-2</v>
      </c>
      <c r="R2712">
        <v>-3.4998080000000001E-2</v>
      </c>
      <c r="S2712">
        <v>-3.001862</v>
      </c>
      <c r="T2712">
        <v>-3.1765219999999997E-2</v>
      </c>
      <c r="U2712">
        <v>-0.36883539999999998</v>
      </c>
      <c r="V2712">
        <v>-2.351895E-2</v>
      </c>
      <c r="W2712">
        <v>9.5445870000000002E-2</v>
      </c>
      <c r="X2712">
        <v>0.99515679999999995</v>
      </c>
      <c r="Y2712">
        <v>-0.11038969999999999</v>
      </c>
      <c r="Z2712">
        <v>-4.5922539999999998E-4</v>
      </c>
      <c r="AA2712">
        <v>0.99388829999999995</v>
      </c>
      <c r="AB2712">
        <v>43</v>
      </c>
      <c r="AC2712">
        <v>-108.857999999999</v>
      </c>
      <c r="AD2712">
        <v>-1.154795</v>
      </c>
      <c r="AE2712">
        <v>-13.4053</v>
      </c>
      <c r="AF2712">
        <v>-12.136457675317899</v>
      </c>
      <c r="AG2712">
        <v>-1.154795</v>
      </c>
      <c r="AH2712">
        <v>108.994522649651</v>
      </c>
      <c r="AI2712">
        <v>90.603296802267707</v>
      </c>
      <c r="AJ2712">
        <v>96.353669001197702</v>
      </c>
      <c r="AK2712">
        <v>109.674213578316</v>
      </c>
      <c r="AL2712">
        <v>84.523017411200598</v>
      </c>
      <c r="AM2712">
        <v>91.353842705091793</v>
      </c>
      <c r="AN2712">
        <v>1.00000005584769</v>
      </c>
    </row>
    <row r="2713" spans="1:40" x14ac:dyDescent="0.3">
      <c r="A2713" t="str">
        <f>"20200111150007624"</f>
        <v>20200111150007624</v>
      </c>
      <c r="B2713" t="str">
        <f>"1578726007618727"</f>
        <v>1578726007618727</v>
      </c>
      <c r="C2713" t="s">
        <v>40</v>
      </c>
      <c r="D2713">
        <v>4.0681339999999997</v>
      </c>
      <c r="E2713">
        <v>0.46756639999999999</v>
      </c>
      <c r="F2713" t="s">
        <v>66</v>
      </c>
      <c r="G2713">
        <v>-427.75349999999997</v>
      </c>
      <c r="H2713" s="1">
        <v>5.04514599999999E-6</v>
      </c>
      <c r="I2713">
        <v>272.36180000000002</v>
      </c>
      <c r="J2713">
        <v>-341.4332</v>
      </c>
      <c r="K2713">
        <v>1.104795</v>
      </c>
      <c r="L2713">
        <v>283.06610000000001</v>
      </c>
      <c r="M2713">
        <v>-0.99984989999999996</v>
      </c>
      <c r="N2713">
        <v>0</v>
      </c>
      <c r="O2713">
        <v>-1.187356E-2</v>
      </c>
      <c r="P2713">
        <v>-0.99594210000000005</v>
      </c>
      <c r="Q2713">
        <v>8.2976179999999997E-2</v>
      </c>
      <c r="R2713">
        <v>-3.48445E-2</v>
      </c>
      <c r="S2713">
        <v>-3.0023499999999999</v>
      </c>
      <c r="T2713">
        <v>-3.8321729999999998E-2</v>
      </c>
      <c r="U2713">
        <v>-0.37139889999999998</v>
      </c>
      <c r="V2713">
        <v>-2.3127310000000002E-2</v>
      </c>
      <c r="W2713">
        <v>9.5514210000000002E-2</v>
      </c>
      <c r="X2713">
        <v>0.99515940000000003</v>
      </c>
      <c r="Y2713">
        <v>-0.1109657</v>
      </c>
      <c r="Z2713">
        <v>-5.5450819999999996E-4</v>
      </c>
      <c r="AA2713">
        <v>0.99382409999999999</v>
      </c>
      <c r="AB2713">
        <v>43</v>
      </c>
      <c r="AC2713">
        <v>-86.320299999999904</v>
      </c>
      <c r="AD2713">
        <v>-1.1047899548539999</v>
      </c>
      <c r="AE2713">
        <v>-10.7042999999999</v>
      </c>
      <c r="AF2713">
        <v>-9.6769732931004899</v>
      </c>
      <c r="AG2713">
        <v>-1.1047899548539999</v>
      </c>
      <c r="AH2713">
        <v>86.427379269393597</v>
      </c>
      <c r="AI2713">
        <v>90.727817175952097</v>
      </c>
      <c r="AJ2713">
        <v>96.388601073757002</v>
      </c>
      <c r="AK2713">
        <v>86.974457516763707</v>
      </c>
      <c r="AL2713">
        <v>84.5190837271535</v>
      </c>
      <c r="AM2713">
        <v>91.331303080854994</v>
      </c>
      <c r="AN2713">
        <v>1.00000003409405</v>
      </c>
    </row>
    <row r="2714" spans="1:40" x14ac:dyDescent="0.3">
      <c r="A2714" t="str">
        <f>"20200111150007636"</f>
        <v>20200111150007636</v>
      </c>
      <c r="B2714" t="str">
        <f>"1578726007628487"</f>
        <v>1578726007628487</v>
      </c>
      <c r="C2714" t="s">
        <v>40</v>
      </c>
      <c r="D2714">
        <v>4.1371719999999996</v>
      </c>
      <c r="E2714">
        <v>0.46756910000000002</v>
      </c>
      <c r="F2714" t="s">
        <v>66</v>
      </c>
      <c r="G2714">
        <v>-419.43990000000002</v>
      </c>
      <c r="H2714" s="1">
        <v>6.4591469999999999E-6</v>
      </c>
      <c r="I2714">
        <v>273.49250000000001</v>
      </c>
      <c r="J2714">
        <v>-341.67489999999998</v>
      </c>
      <c r="K2714">
        <v>1.1047940000000001</v>
      </c>
      <c r="L2714">
        <v>283.06299999999999</v>
      </c>
      <c r="M2714">
        <v>-0.99984700000000004</v>
      </c>
      <c r="N2714">
        <v>0</v>
      </c>
      <c r="O2714">
        <v>-1.2119E-2</v>
      </c>
      <c r="P2714">
        <v>-0.99593419999999999</v>
      </c>
      <c r="Q2714">
        <v>8.3006339999999998E-2</v>
      </c>
      <c r="R2714">
        <v>-3.5001329999999997E-2</v>
      </c>
      <c r="S2714">
        <v>-3.0028380000000001</v>
      </c>
      <c r="T2714">
        <v>-4.2528389999999999E-2</v>
      </c>
      <c r="U2714">
        <v>-0.36853029999999998</v>
      </c>
      <c r="V2714">
        <v>-2.303993E-2</v>
      </c>
      <c r="W2714">
        <v>9.5544110000000002E-2</v>
      </c>
      <c r="X2714">
        <v>0.99515849999999995</v>
      </c>
      <c r="Y2714">
        <v>-0.1097651</v>
      </c>
      <c r="Z2714">
        <v>-6.0337620000000005E-4</v>
      </c>
      <c r="AA2714">
        <v>0.99395739999999999</v>
      </c>
      <c r="AB2714">
        <v>43</v>
      </c>
      <c r="AC2714">
        <v>-77.765000000000001</v>
      </c>
      <c r="AD2714">
        <v>-1.1047875408529999</v>
      </c>
      <c r="AE2714">
        <v>-9.5704999999999796</v>
      </c>
      <c r="AF2714">
        <v>-8.62557309564008</v>
      </c>
      <c r="AG2714">
        <v>-1.1047875408529999</v>
      </c>
      <c r="AH2714">
        <v>77.859802214117295</v>
      </c>
      <c r="AI2714">
        <v>90.807998389068302</v>
      </c>
      <c r="AJ2714">
        <v>96.321643221293698</v>
      </c>
      <c r="AK2714">
        <v>78.343920425008804</v>
      </c>
      <c r="AL2714">
        <v>84.517362402580403</v>
      </c>
      <c r="AM2714">
        <v>91.326276127697994</v>
      </c>
      <c r="AN2714">
        <v>0.99999997772617299</v>
      </c>
    </row>
    <row r="2715" spans="1:40" x14ac:dyDescent="0.3">
      <c r="A2715" t="str">
        <f>"20200111150007648"</f>
        <v>20200111150007648</v>
      </c>
      <c r="B2715" t="str">
        <f>"1578726007638247"</f>
        <v>1578726007638247</v>
      </c>
      <c r="C2715" t="s">
        <v>40</v>
      </c>
      <c r="D2715">
        <v>4.2441300000000002</v>
      </c>
      <c r="E2715">
        <v>0.46673229999999999</v>
      </c>
      <c r="F2715" t="s">
        <v>66</v>
      </c>
      <c r="G2715">
        <v>-407.37259999999998</v>
      </c>
      <c r="H2715">
        <v>8.0001530000000001E-2</v>
      </c>
      <c r="I2715">
        <v>274.99160000000001</v>
      </c>
      <c r="J2715">
        <v>-341.89359999999999</v>
      </c>
      <c r="K2715">
        <v>1.1047929999999999</v>
      </c>
      <c r="L2715">
        <v>283.06020000000001</v>
      </c>
      <c r="M2715">
        <v>-0.99984419999999996</v>
      </c>
      <c r="N2715">
        <v>0</v>
      </c>
      <c r="O2715">
        <v>-1.234096E-2</v>
      </c>
      <c r="P2715">
        <v>-0.99593620000000005</v>
      </c>
      <c r="Q2715">
        <v>8.2895259999999998E-2</v>
      </c>
      <c r="R2715">
        <v>-3.5211560000000003E-2</v>
      </c>
      <c r="S2715">
        <v>-3.003174</v>
      </c>
      <c r="T2715">
        <v>-4.6845320000000003E-2</v>
      </c>
      <c r="U2715">
        <v>-0.36895749999999999</v>
      </c>
      <c r="V2715">
        <v>-2.3028320000000001E-2</v>
      </c>
      <c r="W2715">
        <v>9.543256E-2</v>
      </c>
      <c r="X2715">
        <v>0.99516950000000004</v>
      </c>
      <c r="Y2715">
        <v>-0.1096683</v>
      </c>
      <c r="Z2715">
        <v>-6.6033679999999895E-4</v>
      </c>
      <c r="AA2715">
        <v>0.99396799999999996</v>
      </c>
      <c r="AB2715">
        <v>43</v>
      </c>
      <c r="AC2715">
        <v>-65.4789999999999</v>
      </c>
      <c r="AD2715">
        <v>-1.02479147</v>
      </c>
      <c r="AE2715">
        <v>-8.0686</v>
      </c>
      <c r="AF2715">
        <v>-7.2580961401488002</v>
      </c>
      <c r="AG2715">
        <v>-1.02479147</v>
      </c>
      <c r="AH2715">
        <v>65.557777206050901</v>
      </c>
      <c r="AI2715">
        <v>90.8901301269551</v>
      </c>
      <c r="AJ2715">
        <v>96.317657079900698</v>
      </c>
      <c r="AK2715">
        <v>65.966296768386499</v>
      </c>
      <c r="AL2715">
        <v>84.523783237832504</v>
      </c>
      <c r="AM2715">
        <v>91.325593398127793</v>
      </c>
      <c r="AN2715">
        <v>1.0000000053802101</v>
      </c>
    </row>
    <row r="2716" spans="1:40" x14ac:dyDescent="0.3">
      <c r="A2716" t="str">
        <f>"20200111150007661"</f>
        <v>20200111150007661</v>
      </c>
      <c r="B2716" t="str">
        <f>"1578726007658743"</f>
        <v>1578726007658743</v>
      </c>
      <c r="C2716" t="s">
        <v>40</v>
      </c>
      <c r="D2716">
        <v>4.178769</v>
      </c>
      <c r="E2716">
        <v>0.46683960000000002</v>
      </c>
      <c r="F2716" t="s">
        <v>62</v>
      </c>
      <c r="G2716">
        <v>-397.54719999999998</v>
      </c>
      <c r="H2716">
        <v>8.0000710000000003E-2</v>
      </c>
      <c r="I2716">
        <v>276.08960000000002</v>
      </c>
      <c r="J2716">
        <v>-342.14150000000001</v>
      </c>
      <c r="K2716">
        <v>1.1047910000000001</v>
      </c>
      <c r="L2716">
        <v>283.05689999999998</v>
      </c>
      <c r="M2716">
        <v>-0.99984119999999999</v>
      </c>
      <c r="N2716">
        <v>0</v>
      </c>
      <c r="O2716">
        <v>-1.259272E-2</v>
      </c>
      <c r="P2716">
        <v>-0.99594959999999999</v>
      </c>
      <c r="Q2716">
        <v>8.265343E-2</v>
      </c>
      <c r="R2716">
        <v>-3.5402160000000002E-2</v>
      </c>
      <c r="S2716">
        <v>-3.0035400000000001</v>
      </c>
      <c r="T2716">
        <v>-5.5306429999999997E-2</v>
      </c>
      <c r="U2716">
        <v>-0.37619019999999997</v>
      </c>
      <c r="V2716">
        <v>-2.296811E-2</v>
      </c>
      <c r="W2716">
        <v>9.5190960000000005E-2</v>
      </c>
      <c r="X2716">
        <v>0.99519400000000002</v>
      </c>
      <c r="Y2716">
        <v>-0.11175549999999999</v>
      </c>
      <c r="Z2716">
        <v>-7.9390299999999999E-4</v>
      </c>
      <c r="AA2716">
        <v>0.99373540000000005</v>
      </c>
      <c r="AB2716">
        <v>43</v>
      </c>
      <c r="AC2716">
        <v>-55.405699999999896</v>
      </c>
      <c r="AD2716">
        <v>-1.0247902900000001</v>
      </c>
      <c r="AE2716">
        <v>-6.9672999999999599</v>
      </c>
      <c r="AF2716">
        <v>-6.2668729624244701</v>
      </c>
      <c r="AG2716">
        <v>-1.0247902900000001</v>
      </c>
      <c r="AH2716">
        <v>55.470368985216901</v>
      </c>
      <c r="AI2716">
        <v>91.051704462911403</v>
      </c>
      <c r="AJ2716">
        <v>96.445770839215896</v>
      </c>
      <c r="AK2716">
        <v>55.832658249646002</v>
      </c>
      <c r="AL2716">
        <v>84.537689040571706</v>
      </c>
      <c r="AM2716">
        <v>91.322096187531898</v>
      </c>
      <c r="AN2716">
        <v>0.99999997528934603</v>
      </c>
    </row>
    <row r="2717" spans="1:40" x14ac:dyDescent="0.3">
      <c r="A2717" t="str">
        <f>"20200111150007681"</f>
        <v>20200111150007681</v>
      </c>
      <c r="B2717" t="str">
        <f>"1578726007668503"</f>
        <v>1578726007668503</v>
      </c>
      <c r="C2717" t="s">
        <v>40</v>
      </c>
      <c r="D2717">
        <v>4.190741</v>
      </c>
      <c r="E2717">
        <v>0.46680389999999999</v>
      </c>
      <c r="F2717" t="s">
        <v>62</v>
      </c>
      <c r="G2717">
        <v>-392.59620000000001</v>
      </c>
      <c r="H2717">
        <v>8.0000710000000003E-2</v>
      </c>
      <c r="I2717">
        <v>276.74349999999998</v>
      </c>
      <c r="J2717">
        <v>-342.3954</v>
      </c>
      <c r="K2717">
        <v>1.1047910000000001</v>
      </c>
      <c r="L2717">
        <v>283.05349999999999</v>
      </c>
      <c r="M2717">
        <v>-0.99983789999999995</v>
      </c>
      <c r="N2717">
        <v>0</v>
      </c>
      <c r="O2717">
        <v>-1.2850439999999999E-2</v>
      </c>
      <c r="P2717">
        <v>-0.99595829999999996</v>
      </c>
      <c r="Q2717">
        <v>8.2498210000000002E-2</v>
      </c>
      <c r="R2717">
        <v>-3.5516569999999997E-2</v>
      </c>
      <c r="S2717">
        <v>-3.0039370000000001</v>
      </c>
      <c r="T2717">
        <v>-6.1013339999999999E-2</v>
      </c>
      <c r="U2717">
        <v>-0.37588500000000002</v>
      </c>
      <c r="V2717">
        <v>-2.2825129999999999E-2</v>
      </c>
      <c r="W2717">
        <v>9.5036220000000005E-2</v>
      </c>
      <c r="X2717">
        <v>0.99521210000000004</v>
      </c>
      <c r="Y2717">
        <v>-0.1113803</v>
      </c>
      <c r="Z2717">
        <v>-8.6669149999999903E-4</v>
      </c>
      <c r="AA2717">
        <v>0.99377749999999998</v>
      </c>
      <c r="AB2717">
        <v>43</v>
      </c>
      <c r="AC2717">
        <v>-50.200800000000001</v>
      </c>
      <c r="AD2717">
        <v>-1.0247902900000001</v>
      </c>
      <c r="AE2717">
        <v>-6.31</v>
      </c>
      <c r="AF2717">
        <v>-5.6620024304964902</v>
      </c>
      <c r="AG2717">
        <v>-1.0247902900000001</v>
      </c>
      <c r="AH2717">
        <v>50.257129351346997</v>
      </c>
      <c r="AI2717">
        <v>91.160811621238594</v>
      </c>
      <c r="AJ2717">
        <v>96.427877863756606</v>
      </c>
      <c r="AK2717">
        <v>50.585447683098103</v>
      </c>
      <c r="AL2717">
        <v>84.546595485036093</v>
      </c>
      <c r="AM2717">
        <v>91.313844943318003</v>
      </c>
      <c r="AN2717">
        <v>0.99999999682890695</v>
      </c>
    </row>
    <row r="2718" spans="1:40" x14ac:dyDescent="0.3">
      <c r="A2718" t="str">
        <f>"20200111150007693"</f>
        <v>20200111150007693</v>
      </c>
      <c r="B2718" t="str">
        <f>"1578726007688999"</f>
        <v>1578726007688999</v>
      </c>
      <c r="C2718" t="s">
        <v>40</v>
      </c>
      <c r="D2718">
        <v>4.2122289999999998</v>
      </c>
      <c r="E2718">
        <v>0.46665499999999999</v>
      </c>
      <c r="F2718" t="s">
        <v>62</v>
      </c>
      <c r="G2718">
        <v>-390.73970000000003</v>
      </c>
      <c r="H2718">
        <v>8.0001249999999996E-2</v>
      </c>
      <c r="I2718">
        <v>276.98849999999999</v>
      </c>
      <c r="J2718">
        <v>-342.7593</v>
      </c>
      <c r="K2718">
        <v>1.1047929999999999</v>
      </c>
      <c r="L2718">
        <v>283.04849999999999</v>
      </c>
      <c r="M2718">
        <v>-0.99983299999999997</v>
      </c>
      <c r="N2718">
        <v>0</v>
      </c>
      <c r="O2718">
        <v>-1.321985E-2</v>
      </c>
      <c r="P2718">
        <v>-0.99598690000000001</v>
      </c>
      <c r="Q2718">
        <v>8.2237160000000004E-2</v>
      </c>
      <c r="R2718">
        <v>-3.5318130000000003E-2</v>
      </c>
      <c r="S2718">
        <v>-3.0039669999999998</v>
      </c>
      <c r="T2718">
        <v>-6.3677310000000001E-2</v>
      </c>
      <c r="U2718">
        <v>-0.37686160000000002</v>
      </c>
      <c r="V2718">
        <v>-2.2258119999999999E-2</v>
      </c>
      <c r="W2718">
        <v>9.4775620000000005E-2</v>
      </c>
      <c r="X2718">
        <v>0.99524979999999996</v>
      </c>
      <c r="Y2718">
        <v>-0.1113282</v>
      </c>
      <c r="Z2718">
        <v>-8.9615199999999999E-4</v>
      </c>
      <c r="AA2718">
        <v>0.99378330000000004</v>
      </c>
      <c r="AB2718">
        <v>43</v>
      </c>
      <c r="AC2718">
        <v>-47.980400000000003</v>
      </c>
      <c r="AD2718">
        <v>-1.0247917499999999</v>
      </c>
      <c r="AE2718">
        <v>-6.06</v>
      </c>
      <c r="AF2718">
        <v>-5.4226912445045201</v>
      </c>
      <c r="AG2718">
        <v>-1.0247917499999999</v>
      </c>
      <c r="AH2718">
        <v>48.034756389654099</v>
      </c>
      <c r="AI2718">
        <v>91.214472517895004</v>
      </c>
      <c r="AJ2718">
        <v>96.440907910955303</v>
      </c>
      <c r="AK2718">
        <v>48.350735256844899</v>
      </c>
      <c r="AL2718">
        <v>84.561594501876499</v>
      </c>
      <c r="AM2718">
        <v>91.281169592208798</v>
      </c>
      <c r="AN2718">
        <v>1.00000000322617</v>
      </c>
    </row>
    <row r="2719" spans="1:40" x14ac:dyDescent="0.3">
      <c r="A2719" t="str">
        <f>"20200111150007705"</f>
        <v>20200111150007705</v>
      </c>
      <c r="B2719" t="str">
        <f>"1578726007698760"</f>
        <v>1578726007698760</v>
      </c>
      <c r="C2719" t="s">
        <v>40</v>
      </c>
      <c r="D2719">
        <v>4.0976559999999997</v>
      </c>
      <c r="E2719">
        <v>0.46672449999999999</v>
      </c>
      <c r="F2719" t="s">
        <v>62</v>
      </c>
      <c r="G2719">
        <v>-388.43790000000001</v>
      </c>
      <c r="H2719">
        <v>8.0000459999999995E-2</v>
      </c>
      <c r="I2719">
        <v>277.30689999999998</v>
      </c>
      <c r="J2719">
        <v>-342.98719999999997</v>
      </c>
      <c r="K2719">
        <v>1.104795</v>
      </c>
      <c r="L2719">
        <v>283.0453</v>
      </c>
      <c r="M2719">
        <v>-0.99982990000000005</v>
      </c>
      <c r="N2719">
        <v>0</v>
      </c>
      <c r="O2719">
        <v>-1.345146E-2</v>
      </c>
      <c r="P2719">
        <v>-0.99601729999999999</v>
      </c>
      <c r="Q2719">
        <v>8.2389580000000004E-2</v>
      </c>
      <c r="R2719">
        <v>-3.408713E-2</v>
      </c>
      <c r="S2719">
        <v>-3.0042420000000001</v>
      </c>
      <c r="T2719">
        <v>-6.739974E-2</v>
      </c>
      <c r="U2719">
        <v>-0.37762449999999997</v>
      </c>
      <c r="V2719">
        <v>-2.0795629999999999E-2</v>
      </c>
      <c r="W2719">
        <v>9.4930840000000002E-2</v>
      </c>
      <c r="X2719">
        <v>0.9952666</v>
      </c>
      <c r="Y2719">
        <v>-0.11133270000000001</v>
      </c>
      <c r="Z2719">
        <v>-9.4330230000000002E-4</v>
      </c>
      <c r="AA2719">
        <v>0.99378279999999997</v>
      </c>
      <c r="AB2719">
        <v>43</v>
      </c>
      <c r="AC2719">
        <v>-45.450699999999998</v>
      </c>
      <c r="AD2719">
        <v>-1.02479454</v>
      </c>
      <c r="AE2719">
        <v>-5.7384000000000102</v>
      </c>
      <c r="AF2719">
        <v>-5.1238897470100202</v>
      </c>
      <c r="AG2719">
        <v>-1.02479454</v>
      </c>
      <c r="AH2719">
        <v>45.5010141288287</v>
      </c>
      <c r="AI2719">
        <v>91.282122451836997</v>
      </c>
      <c r="AJ2719">
        <v>96.425035968273093</v>
      </c>
      <c r="AK2719">
        <v>45.800073545144002</v>
      </c>
      <c r="AL2719">
        <v>84.5526605560203</v>
      </c>
      <c r="AM2719">
        <v>91.196994333826396</v>
      </c>
      <c r="AN2719">
        <v>0.99999996384288004</v>
      </c>
    </row>
    <row r="2720" spans="1:40" x14ac:dyDescent="0.3">
      <c r="A2720" t="str">
        <f>"20200111150007717"</f>
        <v>20200111150007717</v>
      </c>
      <c r="B2720" t="str">
        <f>"1578726007708519"</f>
        <v>1578726007708519</v>
      </c>
      <c r="C2720" t="s">
        <v>40</v>
      </c>
      <c r="D2720">
        <v>4.0948880000000001</v>
      </c>
      <c r="E2720">
        <v>0.46695609999999999</v>
      </c>
      <c r="F2720" t="s">
        <v>62</v>
      </c>
      <c r="G2720">
        <v>-388.70909999999998</v>
      </c>
      <c r="H2720">
        <v>8.0000370000000001E-2</v>
      </c>
      <c r="I2720">
        <v>277.35629999999998</v>
      </c>
      <c r="J2720">
        <v>-343.21370000000002</v>
      </c>
      <c r="K2720">
        <v>1.104795</v>
      </c>
      <c r="L2720">
        <v>283.0421</v>
      </c>
      <c r="M2720">
        <v>-0.99982680000000002</v>
      </c>
      <c r="N2720">
        <v>0</v>
      </c>
      <c r="O2720">
        <v>-1.3681779999999999E-2</v>
      </c>
      <c r="P2720">
        <v>-0.99601320000000004</v>
      </c>
      <c r="Q2720">
        <v>8.2616129999999996E-2</v>
      </c>
      <c r="R2720">
        <v>-3.3652990000000001E-2</v>
      </c>
      <c r="S2720">
        <v>-3.0047609999999998</v>
      </c>
      <c r="T2720">
        <v>-6.7347530000000003E-2</v>
      </c>
      <c r="U2720">
        <v>-0.3738708</v>
      </c>
      <c r="V2720">
        <v>-2.0132669999999998E-2</v>
      </c>
      <c r="W2720">
        <v>9.5159610000000006E-2</v>
      </c>
      <c r="X2720">
        <v>0.99525839999999999</v>
      </c>
      <c r="Y2720">
        <v>-0.1098605</v>
      </c>
      <c r="Z2720">
        <v>-9.2090970000000005E-4</v>
      </c>
      <c r="AA2720">
        <v>0.99394660000000001</v>
      </c>
      <c r="AB2720">
        <v>43</v>
      </c>
      <c r="AC2720">
        <v>-45.495399999999897</v>
      </c>
      <c r="AD2720">
        <v>-1.0247946299999999</v>
      </c>
      <c r="AE2720">
        <v>-5.6858000000000199</v>
      </c>
      <c r="AF2720">
        <v>-5.0602321161747401</v>
      </c>
      <c r="AG2720">
        <v>-1.0247946299999999</v>
      </c>
      <c r="AH2720">
        <v>45.5461848963078</v>
      </c>
      <c r="AI2720">
        <v>91.281064951018905</v>
      </c>
      <c r="AJ2720">
        <v>96.339626231231094</v>
      </c>
      <c r="AK2720">
        <v>45.837878569060102</v>
      </c>
      <c r="AL2720">
        <v>84.539493476210495</v>
      </c>
      <c r="AM2720">
        <v>91.158854546602797</v>
      </c>
      <c r="AN2720">
        <v>0.99999997927362005</v>
      </c>
    </row>
    <row r="2721" spans="1:40" x14ac:dyDescent="0.3">
      <c r="A2721" t="str">
        <f>"20200111150007729"</f>
        <v>20200111150007729</v>
      </c>
      <c r="B2721" t="str">
        <f>"1578726007718280"</f>
        <v>1578726007718280</v>
      </c>
      <c r="C2721" t="s">
        <v>40</v>
      </c>
      <c r="D2721">
        <v>4.1473389999999997</v>
      </c>
      <c r="E2721">
        <v>0.4669218</v>
      </c>
      <c r="F2721" t="s">
        <v>62</v>
      </c>
      <c r="G2721">
        <v>-389.31599999999997</v>
      </c>
      <c r="H2721">
        <v>8.0000199999999994E-2</v>
      </c>
      <c r="I2721">
        <v>277.35860000000002</v>
      </c>
      <c r="J2721">
        <v>-343.43759999999997</v>
      </c>
      <c r="K2721">
        <v>1.104797</v>
      </c>
      <c r="L2721">
        <v>283.03879999999998</v>
      </c>
      <c r="M2721">
        <v>-0.99982369999999998</v>
      </c>
      <c r="N2721">
        <v>0</v>
      </c>
      <c r="O2721">
        <v>-1.390972E-2</v>
      </c>
      <c r="P2721">
        <v>-0.99600860000000002</v>
      </c>
      <c r="Q2721">
        <v>8.2771700000000004E-2</v>
      </c>
      <c r="R2721">
        <v>-3.3406690000000003E-2</v>
      </c>
      <c r="S2721">
        <v>-3.0050050000000001</v>
      </c>
      <c r="T2721">
        <v>-6.6797259999999997E-2</v>
      </c>
      <c r="U2721">
        <v>-0.37045289999999997</v>
      </c>
      <c r="V2721">
        <v>-1.9659220000000002E-2</v>
      </c>
      <c r="W2721">
        <v>9.5318650000000005E-2</v>
      </c>
      <c r="X2721">
        <v>0.99525269999999999</v>
      </c>
      <c r="Y2721">
        <v>-0.1085112</v>
      </c>
      <c r="Z2721">
        <v>-8.9339330000000002E-4</v>
      </c>
      <c r="AA2721">
        <v>0.99409479999999995</v>
      </c>
      <c r="AB2721">
        <v>43</v>
      </c>
      <c r="AC2721">
        <v>-45.878399999999999</v>
      </c>
      <c r="AD2721">
        <v>-1.0247968000000001</v>
      </c>
      <c r="AE2721">
        <v>-5.6801999999999504</v>
      </c>
      <c r="AF2721">
        <v>-5.0389676705895798</v>
      </c>
      <c r="AG2721">
        <v>-1.0247968000000001</v>
      </c>
      <c r="AH2721">
        <v>45.9304059824928</v>
      </c>
      <c r="AI2721">
        <v>91.270547572466</v>
      </c>
      <c r="AJ2721">
        <v>96.2608103756764</v>
      </c>
      <c r="AK2721">
        <v>46.217351691579601</v>
      </c>
      <c r="AL2721">
        <v>84.530339842365095</v>
      </c>
      <c r="AM2721">
        <v>91.131615990791602</v>
      </c>
      <c r="AN2721">
        <v>1.0000000334130501</v>
      </c>
    </row>
    <row r="2722" spans="1:40" x14ac:dyDescent="0.3">
      <c r="A2722" t="str">
        <f>"20200111150007741"</f>
        <v>20200111150007741</v>
      </c>
      <c r="B2722" t="str">
        <f>"1578726007738776"</f>
        <v>1578726007738776</v>
      </c>
      <c r="C2722" t="s">
        <v>40</v>
      </c>
      <c r="D2722">
        <v>4.4903919999999999</v>
      </c>
      <c r="E2722">
        <v>0.46687849999999997</v>
      </c>
      <c r="F2722" t="s">
        <v>62</v>
      </c>
      <c r="G2722">
        <v>-388.83870000000002</v>
      </c>
      <c r="H2722">
        <v>8.0000329999999995E-2</v>
      </c>
      <c r="I2722">
        <v>277.44869999999997</v>
      </c>
      <c r="J2722">
        <v>-343.6764</v>
      </c>
      <c r="K2722">
        <v>1.1047990000000001</v>
      </c>
      <c r="L2722">
        <v>283.03530000000001</v>
      </c>
      <c r="M2722">
        <v>-0.99982009999999999</v>
      </c>
      <c r="N2722">
        <v>0</v>
      </c>
      <c r="O2722">
        <v>-1.415257E-2</v>
      </c>
      <c r="P2722">
        <v>-0.99600169999999999</v>
      </c>
      <c r="Q2722">
        <v>8.2901740000000002E-2</v>
      </c>
      <c r="R2722">
        <v>-3.328623E-2</v>
      </c>
      <c r="S2722">
        <v>-3.0052490000000001</v>
      </c>
      <c r="T2722">
        <v>-6.7834619999999998E-2</v>
      </c>
      <c r="U2722">
        <v>-0.37002560000000001</v>
      </c>
      <c r="V2722">
        <v>-1.9296859999999999E-2</v>
      </c>
      <c r="W2722">
        <v>9.5452960000000003E-2</v>
      </c>
      <c r="X2722">
        <v>0.99524690000000005</v>
      </c>
      <c r="Y2722">
        <v>-0.1081202</v>
      </c>
      <c r="Z2722">
        <v>-8.9734509999999995E-4</v>
      </c>
      <c r="AA2722">
        <v>0.99413739999999995</v>
      </c>
      <c r="AB2722">
        <v>43</v>
      </c>
      <c r="AC2722">
        <v>-45.162300000000002</v>
      </c>
      <c r="AD2722">
        <v>-1.02479867</v>
      </c>
      <c r="AE2722">
        <v>-5.58660000000003</v>
      </c>
      <c r="AF2722">
        <v>-4.9443193419409299</v>
      </c>
      <c r="AG2722">
        <v>-1.02479867</v>
      </c>
      <c r="AH2722">
        <v>45.213917317662002</v>
      </c>
      <c r="AI2722">
        <v>91.290726630877998</v>
      </c>
      <c r="AJ2722">
        <v>96.240721134000196</v>
      </c>
      <c r="AK2722">
        <v>45.494997805006001</v>
      </c>
      <c r="AL2722">
        <v>84.522609091933603</v>
      </c>
      <c r="AM2722">
        <v>91.110769718843201</v>
      </c>
      <c r="AN2722">
        <v>1.0000000141691101</v>
      </c>
    </row>
    <row r="2723" spans="1:40" x14ac:dyDescent="0.3">
      <c r="A2723" t="str">
        <f>"20200111150007757"</f>
        <v>20200111150007757</v>
      </c>
      <c r="B2723" t="str">
        <f>"1578726007748535"</f>
        <v>1578726007748535</v>
      </c>
      <c r="C2723" t="s">
        <v>40</v>
      </c>
      <c r="D2723">
        <v>4.0619430000000003</v>
      </c>
      <c r="E2723">
        <v>0.46712809999999999</v>
      </c>
      <c r="F2723" t="s">
        <v>62</v>
      </c>
      <c r="G2723">
        <v>-389.88139999999999</v>
      </c>
      <c r="H2723">
        <v>8.000003E-2</v>
      </c>
      <c r="I2723">
        <v>277.34710000000001</v>
      </c>
      <c r="J2723">
        <v>-343.96499999999997</v>
      </c>
      <c r="K2723">
        <v>1.1047959999999999</v>
      </c>
      <c r="L2723">
        <v>283.03100000000001</v>
      </c>
      <c r="M2723">
        <v>-0.99981600000000004</v>
      </c>
      <c r="N2723">
        <v>0</v>
      </c>
      <c r="O2723">
        <v>-1.4445380000000001E-2</v>
      </c>
      <c r="P2723">
        <v>-0.99603109999999995</v>
      </c>
      <c r="Q2723">
        <v>8.2969050000000003E-2</v>
      </c>
      <c r="R2723">
        <v>-3.2220760000000001E-2</v>
      </c>
      <c r="S2723">
        <v>-3.0052189999999999</v>
      </c>
      <c r="T2723">
        <v>-6.6653850000000001E-2</v>
      </c>
      <c r="U2723">
        <v>-0.36996459999999998</v>
      </c>
      <c r="V2723">
        <v>-1.7939920000000002E-2</v>
      </c>
      <c r="W2723">
        <v>9.5527039999999994E-2</v>
      </c>
      <c r="X2723">
        <v>0.99526519999999996</v>
      </c>
      <c r="Y2723">
        <v>-0.1078113</v>
      </c>
      <c r="Z2723">
        <v>-8.7186060000000001E-4</v>
      </c>
      <c r="AA2723">
        <v>0.99417100000000003</v>
      </c>
      <c r="AB2723">
        <v>43</v>
      </c>
      <c r="AC2723">
        <v>-45.916400000000003</v>
      </c>
      <c r="AD2723">
        <v>-1.02479597</v>
      </c>
      <c r="AE2723">
        <v>-5.6838999999999897</v>
      </c>
      <c r="AF2723">
        <v>-5.0175125334765402</v>
      </c>
      <c r="AG2723">
        <v>-1.02479597</v>
      </c>
      <c r="AH2723">
        <v>45.971167130012702</v>
      </c>
      <c r="AI2723">
        <v>91.269497752220005</v>
      </c>
      <c r="AJ2723">
        <v>96.228878842190397</v>
      </c>
      <c r="AK2723">
        <v>46.255527735604502</v>
      </c>
      <c r="AL2723">
        <v>84.518345262749705</v>
      </c>
      <c r="AM2723">
        <v>91.0326598372082</v>
      </c>
      <c r="AN2723">
        <v>1.0000000372158999</v>
      </c>
    </row>
    <row r="2724" spans="1:40" x14ac:dyDescent="0.3">
      <c r="A2724" t="str">
        <f>"20200111150007769"</f>
        <v>20200111150007769</v>
      </c>
      <c r="B2724" t="str">
        <f>"1578726007758295"</f>
        <v>1578726007758295</v>
      </c>
      <c r="C2724" t="s">
        <v>40</v>
      </c>
      <c r="D2724">
        <v>4.2527839999999903</v>
      </c>
      <c r="E2724">
        <v>0.46690300000000001</v>
      </c>
      <c r="F2724" t="s">
        <v>62</v>
      </c>
      <c r="G2724">
        <v>-386.16090000000003</v>
      </c>
      <c r="H2724">
        <v>8.0001119999999995E-2</v>
      </c>
      <c r="I2724">
        <v>277.90660000000003</v>
      </c>
      <c r="J2724">
        <v>-344.18959999999998</v>
      </c>
      <c r="K2724">
        <v>1.1047959999999999</v>
      </c>
      <c r="L2724">
        <v>283.02749999999997</v>
      </c>
      <c r="M2724">
        <v>-0.99981249999999999</v>
      </c>
      <c r="N2724">
        <v>0</v>
      </c>
      <c r="O2724">
        <v>-1.467334E-2</v>
      </c>
      <c r="P2724">
        <v>-0.99605670000000002</v>
      </c>
      <c r="Q2724">
        <v>8.2706489999999994E-2</v>
      </c>
      <c r="R2724">
        <v>-3.2108680000000001E-2</v>
      </c>
      <c r="S2724">
        <v>-3.006195</v>
      </c>
      <c r="T2724">
        <v>-7.3010329999999998E-2</v>
      </c>
      <c r="U2724">
        <v>-0.36508180000000001</v>
      </c>
      <c r="V2724">
        <v>-1.7600080000000001E-2</v>
      </c>
      <c r="W2724">
        <v>9.5269270000000003E-2</v>
      </c>
      <c r="X2724">
        <v>0.99529590000000001</v>
      </c>
      <c r="Y2724">
        <v>-0.1059504</v>
      </c>
      <c r="Z2724">
        <v>-9.2674309999999998E-4</v>
      </c>
      <c r="AA2724">
        <v>0.994371</v>
      </c>
      <c r="AB2724">
        <v>43</v>
      </c>
      <c r="AC2724">
        <v>-41.971299999999999</v>
      </c>
      <c r="AD2724">
        <v>-1.02479488</v>
      </c>
      <c r="AE2724">
        <v>-5.1208999999999403</v>
      </c>
      <c r="AF2724">
        <v>-4.5017958126155397</v>
      </c>
      <c r="AG2724">
        <v>-1.02479488</v>
      </c>
      <c r="AH2724">
        <v>42.0172454495385</v>
      </c>
      <c r="AI2724">
        <v>91.389211531486893</v>
      </c>
      <c r="AJ2724">
        <v>96.115433578300397</v>
      </c>
      <c r="AK2724">
        <v>42.270146501417798</v>
      </c>
      <c r="AL2724">
        <v>84.533181653856403</v>
      </c>
      <c r="AM2724">
        <v>91.013070799923995</v>
      </c>
      <c r="AN2724">
        <v>0.99999996258957302</v>
      </c>
    </row>
    <row r="2725" spans="1:40" x14ac:dyDescent="0.3">
      <c r="A2725" t="str">
        <f>"20200111150007780"</f>
        <v>20200111150007780</v>
      </c>
      <c r="B2725" t="str">
        <f>"1578726007769031"</f>
        <v>1578726007769031</v>
      </c>
      <c r="C2725" t="s">
        <v>40</v>
      </c>
      <c r="D2725">
        <v>4.1412300000000002</v>
      </c>
      <c r="E2725">
        <v>0.46695379999999997</v>
      </c>
      <c r="F2725" t="s">
        <v>62</v>
      </c>
      <c r="G2725">
        <v>-385.41750000000002</v>
      </c>
      <c r="H2725">
        <v>8.0001340000000004E-2</v>
      </c>
      <c r="I2725">
        <v>278.00200000000001</v>
      </c>
      <c r="J2725">
        <v>-344.41359999999997</v>
      </c>
      <c r="K2725">
        <v>1.104797</v>
      </c>
      <c r="L2725">
        <v>283.02409999999998</v>
      </c>
      <c r="M2725">
        <v>-0.99980919999999895</v>
      </c>
      <c r="N2725">
        <v>0</v>
      </c>
      <c r="O2725">
        <v>-1.490094E-2</v>
      </c>
      <c r="P2725">
        <v>-0.99606189999999994</v>
      </c>
      <c r="Q2725">
        <v>8.2637399999999903E-2</v>
      </c>
      <c r="R2725">
        <v>-3.2124359999999998E-2</v>
      </c>
      <c r="S2725">
        <v>-3.006256</v>
      </c>
      <c r="T2725">
        <v>-7.4726100000000004E-2</v>
      </c>
      <c r="U2725">
        <v>-0.36645509999999998</v>
      </c>
      <c r="V2725">
        <v>-1.7388999999999901E-2</v>
      </c>
      <c r="W2725">
        <v>9.5205200000000004E-2</v>
      </c>
      <c r="X2725">
        <v>0.99530580000000002</v>
      </c>
      <c r="Y2725">
        <v>-0.106168</v>
      </c>
      <c r="Z2725">
        <v>-9.4553149999999995E-4</v>
      </c>
      <c r="AA2725">
        <v>0.9943478</v>
      </c>
      <c r="AB2725">
        <v>43</v>
      </c>
      <c r="AC2725">
        <v>-41.003900000000002</v>
      </c>
      <c r="AD2725">
        <v>-1.0247956600000001</v>
      </c>
      <c r="AE2725">
        <v>-5.02209999999996</v>
      </c>
      <c r="AF2725">
        <v>-4.4077843851027803</v>
      </c>
      <c r="AG2725">
        <v>-1.0247956600000001</v>
      </c>
      <c r="AH2725">
        <v>41.0489252654314</v>
      </c>
      <c r="AI2725">
        <v>91.421934254342702</v>
      </c>
      <c r="AJ2725">
        <v>96.128868403357004</v>
      </c>
      <c r="AK2725">
        <v>41.297615364295297</v>
      </c>
      <c r="AL2725">
        <v>84.536869679312204</v>
      </c>
      <c r="AM2725">
        <v>91.000913445784803</v>
      </c>
      <c r="AN2725">
        <v>1.00000002147083</v>
      </c>
    </row>
    <row r="2726" spans="1:40" x14ac:dyDescent="0.3">
      <c r="A2726" t="str">
        <f>"20200111150007793"</f>
        <v>20200111150007793</v>
      </c>
      <c r="B2726" t="str">
        <f>"1578726007788551"</f>
        <v>1578726007788551</v>
      </c>
      <c r="C2726" t="s">
        <v>40</v>
      </c>
      <c r="D2726">
        <v>4.2253629999999998</v>
      </c>
      <c r="E2726">
        <v>0.46752009999999999</v>
      </c>
      <c r="F2726" t="s">
        <v>62</v>
      </c>
      <c r="G2726">
        <v>-385.5299</v>
      </c>
      <c r="H2726">
        <v>8.0001310000000006E-2</v>
      </c>
      <c r="I2726">
        <v>278.0172</v>
      </c>
      <c r="J2726">
        <v>-344.65410000000003</v>
      </c>
      <c r="K2726">
        <v>1.104797</v>
      </c>
      <c r="L2726">
        <v>283.02030000000002</v>
      </c>
      <c r="M2726">
        <v>-0.99980530000000001</v>
      </c>
      <c r="N2726">
        <v>0</v>
      </c>
      <c r="O2726">
        <v>-1.51445E-2</v>
      </c>
      <c r="P2726">
        <v>-0.99605730000000003</v>
      </c>
      <c r="Q2726">
        <v>8.2663059999999997E-2</v>
      </c>
      <c r="R2726">
        <v>-3.2197839999999998E-2</v>
      </c>
      <c r="S2726">
        <v>-3.0062869999999999</v>
      </c>
      <c r="T2726">
        <v>-7.4929590000000004E-2</v>
      </c>
      <c r="U2726">
        <v>-0.36608889999999999</v>
      </c>
      <c r="V2726">
        <v>-1.7219990000000001E-2</v>
      </c>
      <c r="W2726">
        <v>9.5235589999999995E-2</v>
      </c>
      <c r="X2726">
        <v>0.99530580000000002</v>
      </c>
      <c r="Y2726">
        <v>-0.1058052</v>
      </c>
      <c r="Z2726">
        <v>-9.3755439999999998E-4</v>
      </c>
      <c r="AA2726">
        <v>0.9943864</v>
      </c>
      <c r="AB2726">
        <v>43</v>
      </c>
      <c r="AC2726">
        <v>-40.875799999999899</v>
      </c>
      <c r="AD2726">
        <v>-1.0247956899999999</v>
      </c>
      <c r="AE2726">
        <v>-5.0031000000000097</v>
      </c>
      <c r="AF2726">
        <v>-4.3807201719181803</v>
      </c>
      <c r="AG2726">
        <v>-1.0247956899999999</v>
      </c>
      <c r="AH2726">
        <v>40.921545218927598</v>
      </c>
      <c r="AI2726">
        <v>91.426408086279096</v>
      </c>
      <c r="AJ2726">
        <v>96.110338751586994</v>
      </c>
      <c r="AK2726">
        <v>41.168116043069404</v>
      </c>
      <c r="AL2726">
        <v>84.535120343478198</v>
      </c>
      <c r="AM2726">
        <v>90.991187155190005</v>
      </c>
      <c r="AN2726">
        <v>0.99999999058594402</v>
      </c>
    </row>
    <row r="2727" spans="1:40" x14ac:dyDescent="0.3">
      <c r="A2727" t="str">
        <f>"20200111150007806"</f>
        <v>20200111150007806</v>
      </c>
      <c r="B2727" t="str">
        <f>"1578726007798312"</f>
        <v>1578726007798312</v>
      </c>
      <c r="C2727" t="s">
        <v>40</v>
      </c>
      <c r="D2727">
        <v>4.165108</v>
      </c>
      <c r="E2727">
        <v>0.46752009999999999</v>
      </c>
      <c r="F2727" t="s">
        <v>62</v>
      </c>
      <c r="G2727">
        <v>-386.65870000000001</v>
      </c>
      <c r="H2727">
        <v>8.0000970000000005E-2</v>
      </c>
      <c r="I2727">
        <v>277.96519999999998</v>
      </c>
      <c r="J2727">
        <v>-344.89339999999999</v>
      </c>
      <c r="K2727">
        <v>1.1047959999999999</v>
      </c>
      <c r="L2727">
        <v>283.01639999999998</v>
      </c>
      <c r="M2727">
        <v>-0.99980179999999996</v>
      </c>
      <c r="N2727">
        <v>0</v>
      </c>
      <c r="O2727">
        <v>-1.538759E-2</v>
      </c>
      <c r="P2727">
        <v>-0.99604470000000001</v>
      </c>
      <c r="Q2727">
        <v>8.2677539999999994E-2</v>
      </c>
      <c r="R2727">
        <v>-3.2554E-2</v>
      </c>
      <c r="S2727">
        <v>-3.0062259999999998</v>
      </c>
      <c r="T2727">
        <v>-7.3343519999999995E-2</v>
      </c>
      <c r="U2727">
        <v>-0.36178589999999999</v>
      </c>
      <c r="V2727">
        <v>-1.733386E-2</v>
      </c>
      <c r="W2727">
        <v>9.5254080000000005E-2</v>
      </c>
      <c r="X2727">
        <v>0.99530209999999997</v>
      </c>
      <c r="Y2727">
        <v>-0.1041647</v>
      </c>
      <c r="Z2727">
        <v>-8.9196729999999904E-4</v>
      </c>
      <c r="AA2727">
        <v>0.99455959999999999</v>
      </c>
      <c r="AB2727">
        <v>43</v>
      </c>
      <c r="AC2727">
        <v>-41.765300000000003</v>
      </c>
      <c r="AD2727">
        <v>-1.0247950299999999</v>
      </c>
      <c r="AE2727">
        <v>-5.0511999999999899</v>
      </c>
      <c r="AF2727">
        <v>-4.4052692452746598</v>
      </c>
      <c r="AG2727">
        <v>-1.0247950299999999</v>
      </c>
      <c r="AH2727">
        <v>41.8132750062478</v>
      </c>
      <c r="AI2727">
        <v>91.396247656424194</v>
      </c>
      <c r="AJ2727">
        <v>96.014253307814698</v>
      </c>
      <c r="AK2727">
        <v>42.057182130106902</v>
      </c>
      <c r="AL2727">
        <v>84.5340563573221</v>
      </c>
      <c r="AM2727">
        <v>90.997743930050703</v>
      </c>
      <c r="AN2727">
        <v>1.00000003636177</v>
      </c>
    </row>
    <row r="2728" spans="1:40" x14ac:dyDescent="0.3">
      <c r="A2728" t="str">
        <f>"20200111150007818"</f>
        <v>20200111150007818</v>
      </c>
      <c r="B2728" t="str">
        <f>"1578726007808323"</f>
        <v>1578726007808323</v>
      </c>
      <c r="C2728" t="s">
        <v>40</v>
      </c>
      <c r="D2728">
        <v>4.2212880000000004</v>
      </c>
      <c r="E2728">
        <v>0.51821209999999995</v>
      </c>
      <c r="F2728" t="s">
        <v>62</v>
      </c>
      <c r="G2728">
        <v>-386.9187</v>
      </c>
      <c r="H2728">
        <v>8.0000899999999903E-2</v>
      </c>
      <c r="I2728">
        <v>277.94119999999998</v>
      </c>
      <c r="J2728">
        <v>-345.13400000000001</v>
      </c>
      <c r="K2728">
        <v>1.104795</v>
      </c>
      <c r="L2728">
        <v>283.01249999999999</v>
      </c>
      <c r="M2728">
        <v>-0.99979779999999996</v>
      </c>
      <c r="N2728">
        <v>0</v>
      </c>
      <c r="O2728">
        <v>-1.5631389999999998E-2</v>
      </c>
      <c r="P2728">
        <v>-0.99603070000000005</v>
      </c>
      <c r="Q2728">
        <v>8.2593529999999998E-2</v>
      </c>
      <c r="R2728">
        <v>-3.3181769999999999E-2</v>
      </c>
      <c r="S2728">
        <v>-3.0061040000000001</v>
      </c>
      <c r="T2728">
        <v>-7.330441E-2</v>
      </c>
      <c r="U2728">
        <v>-0.3630371</v>
      </c>
      <c r="V2728">
        <v>-1.7718890000000001E-2</v>
      </c>
      <c r="W2728">
        <v>9.5173389999999997E-2</v>
      </c>
      <c r="X2728">
        <v>0.99530300000000005</v>
      </c>
      <c r="Y2728">
        <v>-0.104335</v>
      </c>
      <c r="Z2728">
        <v>-8.87655E-4</v>
      </c>
      <c r="AA2728">
        <v>0.99454180000000003</v>
      </c>
      <c r="AB2728">
        <v>43</v>
      </c>
      <c r="AC2728">
        <v>-41.784700000000001</v>
      </c>
      <c r="AD2728">
        <v>-1.02479409999999</v>
      </c>
      <c r="AE2728">
        <v>-5.0712999999999999</v>
      </c>
      <c r="AF2728">
        <v>-4.4148580879896704</v>
      </c>
      <c r="AG2728">
        <v>-1.02479409999999</v>
      </c>
      <c r="AH2728">
        <v>41.83407374459</v>
      </c>
      <c r="AI2728">
        <v>91.395526764842799</v>
      </c>
      <c r="AJ2728">
        <v>96.024273587822705</v>
      </c>
      <c r="AK2728">
        <v>42.078865252669097</v>
      </c>
      <c r="AL2728">
        <v>84.538700440543195</v>
      </c>
      <c r="AM2728">
        <v>91.019900858641904</v>
      </c>
      <c r="AN2728">
        <v>0.99999999751796198</v>
      </c>
    </row>
    <row r="2729" spans="1:40" x14ac:dyDescent="0.3">
      <c r="A2729" t="str">
        <f>"20200111150007831"</f>
        <v>20200111150007831</v>
      </c>
      <c r="B2729" t="str">
        <f>"1578726007828797"</f>
        <v>1578726007828797</v>
      </c>
      <c r="C2729" t="s">
        <v>40</v>
      </c>
      <c r="D2729">
        <v>4.1204130000000001</v>
      </c>
      <c r="E2729">
        <v>0.52717019999999903</v>
      </c>
      <c r="F2729" t="s">
        <v>66</v>
      </c>
      <c r="G2729">
        <v>-431.66120000000001</v>
      </c>
      <c r="H2729" s="1">
        <v>2.9936719999999999E-6</v>
      </c>
      <c r="I2729">
        <v>284.15839999999997</v>
      </c>
      <c r="J2729">
        <v>-345.36919999999998</v>
      </c>
      <c r="K2729">
        <v>1.104795</v>
      </c>
      <c r="L2729">
        <v>283.0086</v>
      </c>
      <c r="M2729">
        <v>-0.99979390000000001</v>
      </c>
      <c r="N2729">
        <v>0</v>
      </c>
      <c r="O2729">
        <v>-1.5870530000000001E-2</v>
      </c>
      <c r="P2729">
        <v>-0.99601240000000002</v>
      </c>
      <c r="Q2729">
        <v>8.2670199999999999E-2</v>
      </c>
      <c r="R2729">
        <v>-3.3537619999999997E-2</v>
      </c>
      <c r="S2729">
        <v>-3.0164490000000002</v>
      </c>
      <c r="T2729">
        <v>-3.8514489999999998E-2</v>
      </c>
      <c r="U2729">
        <v>3.9947509999999999E-2</v>
      </c>
      <c r="V2729">
        <v>-1.783645E-2</v>
      </c>
      <c r="W2729">
        <v>9.5253610000000002E-2</v>
      </c>
      <c r="X2729">
        <v>0.99529319999999999</v>
      </c>
      <c r="Y2729">
        <v>2.9107149999999998E-2</v>
      </c>
      <c r="Z2729">
        <v>3.884421E-4</v>
      </c>
      <c r="AA2729">
        <v>0.99957620000000003</v>
      </c>
      <c r="AB2729">
        <v>43</v>
      </c>
      <c r="AC2729">
        <v>-86.292000000000002</v>
      </c>
      <c r="AD2729">
        <v>-1.1047920063279999</v>
      </c>
      <c r="AE2729">
        <v>1.14979999999997</v>
      </c>
      <c r="AF2729">
        <v>2.51885190219692</v>
      </c>
      <c r="AG2729">
        <v>-1.1047920063279999</v>
      </c>
      <c r="AH2729">
        <v>86.248745836396694</v>
      </c>
      <c r="AI2729">
        <v>90.733569910822297</v>
      </c>
      <c r="AJ2729">
        <v>88.327180614709405</v>
      </c>
      <c r="AK2729">
        <v>86.292591446970704</v>
      </c>
      <c r="AL2729">
        <v>84.534083054098403</v>
      </c>
      <c r="AM2729">
        <v>91.026676285688893</v>
      </c>
      <c r="AN2729">
        <v>0.99999997156643605</v>
      </c>
    </row>
    <row r="2730" spans="1:40" x14ac:dyDescent="0.3">
      <c r="A2730" t="str">
        <f>"20200111150007846"</f>
        <v>20200111150007846</v>
      </c>
      <c r="B2730" t="str">
        <f>"1578726007838560"</f>
        <v>1578726007838560</v>
      </c>
      <c r="C2730" t="s">
        <v>40</v>
      </c>
      <c r="D2730">
        <v>4.1745479999999997</v>
      </c>
      <c r="E2730">
        <v>0.52825180000000005</v>
      </c>
      <c r="F2730" t="s">
        <v>66</v>
      </c>
      <c r="G2730">
        <v>-404.48200000000003</v>
      </c>
      <c r="H2730" s="1">
        <v>6.3022109999999997E-6</v>
      </c>
      <c r="I2730">
        <v>285.16059999999999</v>
      </c>
      <c r="J2730">
        <v>-345.65890000000002</v>
      </c>
      <c r="K2730">
        <v>1.1047979999999999</v>
      </c>
      <c r="L2730">
        <v>283.00380000000001</v>
      </c>
      <c r="M2730">
        <v>-0.99978940000000005</v>
      </c>
      <c r="N2730">
        <v>0</v>
      </c>
      <c r="O2730">
        <v>-1.6165700000000002E-2</v>
      </c>
      <c r="P2730">
        <v>-0.99598140000000002</v>
      </c>
      <c r="Q2730">
        <v>8.2741800000000004E-2</v>
      </c>
      <c r="R2730">
        <v>-3.4283069999999999E-2</v>
      </c>
      <c r="S2730">
        <v>-3.0203549999999999</v>
      </c>
      <c r="T2730">
        <v>-5.6448940000000003E-2</v>
      </c>
      <c r="U2730">
        <v>0.10995480000000001</v>
      </c>
      <c r="V2730">
        <v>-1.8288140000000001E-2</v>
      </c>
      <c r="W2730">
        <v>9.5329090000000005E-2</v>
      </c>
      <c r="X2730">
        <v>0.99527779999999999</v>
      </c>
      <c r="Y2730">
        <v>5.2520070000000002E-2</v>
      </c>
      <c r="Z2730">
        <v>7.9262080000000001E-4</v>
      </c>
      <c r="AA2730">
        <v>0.99861960000000005</v>
      </c>
      <c r="AB2730">
        <v>42</v>
      </c>
      <c r="AC2730">
        <v>-58.823099999999897</v>
      </c>
      <c r="AD2730">
        <v>-1.104791697789</v>
      </c>
      <c r="AE2730">
        <v>2.1567999999999699</v>
      </c>
      <c r="AF2730">
        <v>3.1064163936210698</v>
      </c>
      <c r="AG2730">
        <v>-1.104791697789</v>
      </c>
      <c r="AH2730">
        <v>58.759843575057197</v>
      </c>
      <c r="AI2730">
        <v>91.075636005942201</v>
      </c>
      <c r="AJ2730">
        <v>86.973800435184003</v>
      </c>
      <c r="AK2730">
        <v>58.852269323036801</v>
      </c>
      <c r="AL2730">
        <v>84.529738729095897</v>
      </c>
      <c r="AM2730">
        <v>91.052686327202096</v>
      </c>
      <c r="AN2730">
        <v>0.99999999531886297</v>
      </c>
    </row>
    <row r="2731" spans="1:40" x14ac:dyDescent="0.3">
      <c r="A2731" t="str">
        <f>"20200111150007859"</f>
        <v>20200111150007859</v>
      </c>
      <c r="B2731" t="str">
        <f>"1578726007848317"</f>
        <v>1578726007848317</v>
      </c>
      <c r="C2731" t="s">
        <v>40</v>
      </c>
      <c r="D2731">
        <v>4.1338670000000004</v>
      </c>
      <c r="E2731">
        <v>0.52918580000000004</v>
      </c>
      <c r="F2731" t="s">
        <v>62</v>
      </c>
      <c r="G2731">
        <v>-396.44619999999998</v>
      </c>
      <c r="H2731" s="1">
        <v>1.8935669999999999E-6</v>
      </c>
      <c r="I2731">
        <v>284.95499999999998</v>
      </c>
      <c r="J2731">
        <v>-345.9</v>
      </c>
      <c r="K2731">
        <v>1.1047979999999999</v>
      </c>
      <c r="L2731">
        <v>282.99970000000002</v>
      </c>
      <c r="M2731">
        <v>-0.99978520000000004</v>
      </c>
      <c r="N2731">
        <v>0</v>
      </c>
      <c r="O2731">
        <v>-1.6411039999999998E-2</v>
      </c>
      <c r="P2731">
        <v>-0.9959578</v>
      </c>
      <c r="Q2731">
        <v>8.2930290000000004E-2</v>
      </c>
      <c r="R2731">
        <v>-3.451013E-2</v>
      </c>
      <c r="S2731">
        <v>-3.0216370000000001</v>
      </c>
      <c r="T2731">
        <v>-6.5730810000000001E-2</v>
      </c>
      <c r="U2731">
        <v>0.11608889999999999</v>
      </c>
      <c r="V2731">
        <v>-1.827119E-2</v>
      </c>
      <c r="W2731">
        <v>9.5520380000000002E-2</v>
      </c>
      <c r="X2731">
        <v>0.99525980000000003</v>
      </c>
      <c r="Y2731">
        <v>5.4769150000000003E-2</v>
      </c>
      <c r="Z2731">
        <v>9.5228360000000005E-4</v>
      </c>
      <c r="AA2731">
        <v>0.99849860000000001</v>
      </c>
      <c r="AB2731">
        <v>42</v>
      </c>
      <c r="AC2731">
        <v>-50.546199999999999</v>
      </c>
      <c r="AD2731">
        <v>-1.1047961064330001</v>
      </c>
      <c r="AE2731">
        <v>1.9552999999999601</v>
      </c>
      <c r="AF2731">
        <v>2.78329112315271</v>
      </c>
      <c r="AG2731">
        <v>-1.1047961064330001</v>
      </c>
      <c r="AH2731">
        <v>50.483219190046</v>
      </c>
      <c r="AI2731">
        <v>91.251784498108194</v>
      </c>
      <c r="AJ2731">
        <v>86.844306826030106</v>
      </c>
      <c r="AK2731">
        <v>50.571955703761702</v>
      </c>
      <c r="AL2731">
        <v>84.518728535339093</v>
      </c>
      <c r="AM2731">
        <v>91.051729901679593</v>
      </c>
      <c r="AN2731">
        <v>1.0000000244376901</v>
      </c>
    </row>
    <row r="2732" spans="1:40" x14ac:dyDescent="0.3">
      <c r="A2732" t="str">
        <f>"20200111150007879"</f>
        <v>20200111150007879</v>
      </c>
      <c r="B2732" t="str">
        <f>"1578726007868812"</f>
        <v>1578726007868812</v>
      </c>
      <c r="C2732" t="s">
        <v>40</v>
      </c>
      <c r="D2732">
        <v>4.1238519999999896</v>
      </c>
      <c r="E2732">
        <v>0.53018949999999998</v>
      </c>
      <c r="F2732" t="s">
        <v>62</v>
      </c>
      <c r="G2732">
        <v>-388.8922</v>
      </c>
      <c r="H2732" s="1">
        <v>3.195172E-6</v>
      </c>
      <c r="I2732">
        <v>284.74489999999997</v>
      </c>
      <c r="J2732">
        <v>-346.286</v>
      </c>
      <c r="K2732">
        <v>1.1047990000000001</v>
      </c>
      <c r="L2732">
        <v>282.99299999999999</v>
      </c>
      <c r="M2732">
        <v>-0.99977870000000002</v>
      </c>
      <c r="N2732">
        <v>0</v>
      </c>
      <c r="O2732">
        <v>-1.6803849999999999E-2</v>
      </c>
      <c r="P2732">
        <v>-0.99593410000000004</v>
      </c>
      <c r="Q2732">
        <v>8.3008860000000004E-2</v>
      </c>
      <c r="R2732">
        <v>-3.5001659999999997E-2</v>
      </c>
      <c r="S2732">
        <v>-3.022888</v>
      </c>
      <c r="T2732">
        <v>-7.7680949999999999E-2</v>
      </c>
      <c r="U2732">
        <v>0.12271120000000001</v>
      </c>
      <c r="V2732">
        <v>-1.837165E-2</v>
      </c>
      <c r="W2732">
        <v>9.5603450000000006E-2</v>
      </c>
      <c r="X2732">
        <v>0.99524990000000002</v>
      </c>
      <c r="Y2732">
        <v>5.7321820000000002E-2</v>
      </c>
      <c r="Z2732">
        <v>1.1677180000000001E-3</v>
      </c>
      <c r="AA2732">
        <v>0.99835510000000005</v>
      </c>
      <c r="AB2732">
        <v>42</v>
      </c>
      <c r="AC2732">
        <v>-42.606200000000001</v>
      </c>
      <c r="AD2732">
        <v>-1.104795804828</v>
      </c>
      <c r="AE2732">
        <v>1.75189999999997</v>
      </c>
      <c r="AF2732">
        <v>2.4660028368663101</v>
      </c>
      <c r="AG2732">
        <v>-1.104795804828</v>
      </c>
      <c r="AH2732">
        <v>42.5421857719248</v>
      </c>
      <c r="AI2732">
        <v>91.485111865355805</v>
      </c>
      <c r="AJ2732">
        <v>86.682501827805794</v>
      </c>
      <c r="AK2732">
        <v>42.627917073377603</v>
      </c>
      <c r="AL2732">
        <v>84.513946684820894</v>
      </c>
      <c r="AM2732">
        <v>91.057521807658304</v>
      </c>
      <c r="AN2732">
        <v>0.99999995031281597</v>
      </c>
    </row>
    <row r="2733" spans="1:40" x14ac:dyDescent="0.3">
      <c r="A2733" t="str">
        <f>"20200111150007892"</f>
        <v>20200111150007892</v>
      </c>
      <c r="B2733" t="str">
        <f>"1578726007888332"</f>
        <v>1578726007888332</v>
      </c>
      <c r="C2733" t="s">
        <v>40</v>
      </c>
      <c r="D2733">
        <v>4.2461880000000001</v>
      </c>
      <c r="E2733">
        <v>0.53041549999999904</v>
      </c>
      <c r="F2733" t="s">
        <v>62</v>
      </c>
      <c r="G2733">
        <v>-383.47949999999997</v>
      </c>
      <c r="H2733" s="1">
        <v>3.1482989999999998E-7</v>
      </c>
      <c r="I2733">
        <v>284.57870000000003</v>
      </c>
      <c r="J2733">
        <v>-346.52460000000002</v>
      </c>
      <c r="K2733">
        <v>1.1048</v>
      </c>
      <c r="L2733">
        <v>282.98880000000003</v>
      </c>
      <c r="M2733">
        <v>-0.99977450000000001</v>
      </c>
      <c r="N2733">
        <v>0</v>
      </c>
      <c r="O2733">
        <v>-1.70467999999999E-2</v>
      </c>
      <c r="P2733">
        <v>-0.99590489999999998</v>
      </c>
      <c r="Q2733">
        <v>8.3222389999999993E-2</v>
      </c>
      <c r="R2733">
        <v>-3.5323939999999998E-2</v>
      </c>
      <c r="S2733">
        <v>-3.0242610000000001</v>
      </c>
      <c r="T2733">
        <v>-8.9832899999999993E-2</v>
      </c>
      <c r="U2733">
        <v>0.12893679999999999</v>
      </c>
      <c r="V2733">
        <v>-1.8452420000000001E-2</v>
      </c>
      <c r="W2733">
        <v>9.5819409999999994E-2</v>
      </c>
      <c r="X2733">
        <v>0.99522770000000005</v>
      </c>
      <c r="Y2733">
        <v>5.9588210000000003E-2</v>
      </c>
      <c r="Z2733">
        <v>1.390496E-3</v>
      </c>
      <c r="AA2733">
        <v>0.9982221</v>
      </c>
      <c r="AB2733">
        <v>42</v>
      </c>
      <c r="AC2733">
        <v>-36.954899999999903</v>
      </c>
      <c r="AD2733">
        <v>-1.1047996851701001</v>
      </c>
      <c r="AE2733">
        <v>1.5899000000000001</v>
      </c>
      <c r="AF2733">
        <v>2.2177038008624899</v>
      </c>
      <c r="AG2733">
        <v>-1.1047996851701001</v>
      </c>
      <c r="AH2733">
        <v>36.889514824594599</v>
      </c>
      <c r="AI2733">
        <v>91.712342062109997</v>
      </c>
      <c r="AJ2733">
        <v>86.559664066135994</v>
      </c>
      <c r="AK2733">
        <v>36.972626313080603</v>
      </c>
      <c r="AL2733">
        <v>84.5015163656807</v>
      </c>
      <c r="AM2733">
        <v>91.062193772063793</v>
      </c>
      <c r="AN2733">
        <v>1.00000001299194</v>
      </c>
    </row>
    <row r="2734" spans="1:40" x14ac:dyDescent="0.3">
      <c r="A2734" t="str">
        <f>"20200111150007905"</f>
        <v>20200111150007905</v>
      </c>
      <c r="B2734" t="str">
        <f>"1578726007899069"</f>
        <v>1578726007899069</v>
      </c>
      <c r="C2734" t="s">
        <v>40</v>
      </c>
      <c r="D2734">
        <v>4.2049099999999999</v>
      </c>
      <c r="E2734">
        <v>0.53033619999999904</v>
      </c>
      <c r="F2734" t="s">
        <v>62</v>
      </c>
      <c r="G2734">
        <v>-376.41039999999998</v>
      </c>
      <c r="H2734" s="1">
        <v>1.8745110000000001E-6</v>
      </c>
      <c r="I2734">
        <v>284.26690000000002</v>
      </c>
      <c r="J2734">
        <v>-346.7747</v>
      </c>
      <c r="K2734">
        <v>1.1048009999999999</v>
      </c>
      <c r="L2734">
        <v>282.98430000000002</v>
      </c>
      <c r="M2734">
        <v>-0.99977000000000005</v>
      </c>
      <c r="N2734">
        <v>0</v>
      </c>
      <c r="O2734">
        <v>-1.730131E-2</v>
      </c>
      <c r="P2734">
        <v>-0.99586160000000001</v>
      </c>
      <c r="Q2734">
        <v>8.3510979999999999E-2</v>
      </c>
      <c r="R2734">
        <v>-3.5855409999999997E-2</v>
      </c>
      <c r="S2734">
        <v>-3.0262449999999999</v>
      </c>
      <c r="T2734">
        <v>-0.111872</v>
      </c>
      <c r="U2734">
        <v>0.12942500000000001</v>
      </c>
      <c r="V2734">
        <v>-1.873093E-2</v>
      </c>
      <c r="W2734">
        <v>9.6109410000000006E-2</v>
      </c>
      <c r="X2734">
        <v>0.99519449999999998</v>
      </c>
      <c r="Y2734">
        <v>5.9956299999999997E-2</v>
      </c>
      <c r="Z2734">
        <v>1.7464850000000001E-3</v>
      </c>
      <c r="AA2734">
        <v>0.99819950000000002</v>
      </c>
      <c r="AB2734">
        <v>42</v>
      </c>
      <c r="AC2734">
        <v>-29.6356999999999</v>
      </c>
      <c r="AD2734">
        <v>-1.1047991254889999</v>
      </c>
      <c r="AE2734">
        <v>1.2826</v>
      </c>
      <c r="AF2734">
        <v>1.7926988615092401</v>
      </c>
      <c r="AG2734">
        <v>-1.1047991254889999</v>
      </c>
      <c r="AH2734">
        <v>29.568055665484799</v>
      </c>
      <c r="AI2734">
        <v>92.135920982855595</v>
      </c>
      <c r="AJ2734">
        <v>86.530427986913793</v>
      </c>
      <c r="AK2734">
        <v>29.642946313633299</v>
      </c>
      <c r="AL2734">
        <v>84.484823363949999</v>
      </c>
      <c r="AM2734">
        <v>91.0782581062726</v>
      </c>
      <c r="AN2734">
        <v>0.99999997962973097</v>
      </c>
    </row>
    <row r="2735" spans="1:40" x14ac:dyDescent="0.3">
      <c r="A2735" t="str">
        <f>"20200111150007917"</f>
        <v>20200111150007917</v>
      </c>
      <c r="B2735" t="str">
        <f>"1578726007908511"</f>
        <v>1578726007908511</v>
      </c>
      <c r="C2735" t="s">
        <v>40</v>
      </c>
      <c r="D2735">
        <v>4.0554769999999998</v>
      </c>
      <c r="E2735">
        <v>0.53051879999999996</v>
      </c>
      <c r="F2735" t="s">
        <v>62</v>
      </c>
      <c r="G2735">
        <v>-373.3639</v>
      </c>
      <c r="H2735" s="1">
        <v>2.5331840000000001E-7</v>
      </c>
      <c r="I2735">
        <v>284.09820000000002</v>
      </c>
      <c r="J2735">
        <v>-347.00779999999997</v>
      </c>
      <c r="K2735">
        <v>1.1048039999999999</v>
      </c>
      <c r="L2735">
        <v>282.98</v>
      </c>
      <c r="M2735">
        <v>-0.99976600000000004</v>
      </c>
      <c r="N2735">
        <v>0</v>
      </c>
      <c r="O2735">
        <v>-1.7538169999999999E-2</v>
      </c>
      <c r="P2735">
        <v>-0.99584030000000001</v>
      </c>
      <c r="Q2735">
        <v>8.3702830000000006E-2</v>
      </c>
      <c r="R2735">
        <v>-3.6006139999999999E-2</v>
      </c>
      <c r="S2735">
        <v>-3.0275569999999998</v>
      </c>
      <c r="T2735">
        <v>-0.1257973</v>
      </c>
      <c r="U2735">
        <v>0.1268311</v>
      </c>
      <c r="V2735">
        <v>-1.864611E-2</v>
      </c>
      <c r="W2735">
        <v>9.6303529999999998E-2</v>
      </c>
      <c r="X2735">
        <v>0.99517730000000004</v>
      </c>
      <c r="Y2735">
        <v>5.9307070000000003E-2</v>
      </c>
      <c r="Z2735">
        <v>1.9592440000000002E-3</v>
      </c>
      <c r="AA2735">
        <v>0.99823779999999995</v>
      </c>
      <c r="AB2735">
        <v>42</v>
      </c>
      <c r="AC2735">
        <v>-26.356100000000001</v>
      </c>
      <c r="AD2735">
        <v>-1.1048037466816001</v>
      </c>
      <c r="AE2735">
        <v>1.1182000000000001</v>
      </c>
      <c r="AF2735">
        <v>1.5775358345569801</v>
      </c>
      <c r="AG2735">
        <v>-1.1048037466816001</v>
      </c>
      <c r="AH2735">
        <v>26.2863269444052</v>
      </c>
      <c r="AI2735">
        <v>92.402384814233699</v>
      </c>
      <c r="AJ2735">
        <v>86.5655959823427</v>
      </c>
      <c r="AK2735">
        <v>26.3567865047346</v>
      </c>
      <c r="AL2735">
        <v>84.473649126512896</v>
      </c>
      <c r="AM2735">
        <v>91.073395080236295</v>
      </c>
      <c r="AN2735">
        <v>0.99999995287193999</v>
      </c>
    </row>
    <row r="2736" spans="1:40" x14ac:dyDescent="0.3">
      <c r="A2736" t="str">
        <f>"20200111150007929"</f>
        <v>20200111150007929</v>
      </c>
      <c r="B2736" t="str">
        <f>"1578726007919198"</f>
        <v>1578726007919198</v>
      </c>
      <c r="C2736" t="s">
        <v>40</v>
      </c>
      <c r="D2736">
        <v>4.1747069999999997</v>
      </c>
      <c r="E2736">
        <v>0.53060439999999998</v>
      </c>
      <c r="F2736" t="s">
        <v>62</v>
      </c>
      <c r="G2736">
        <v>-373.50720000000001</v>
      </c>
      <c r="H2736" s="1">
        <v>3.2958459999999997E-7</v>
      </c>
      <c r="I2736">
        <v>284.0976</v>
      </c>
      <c r="J2736">
        <v>-347.22379999999998</v>
      </c>
      <c r="K2736">
        <v>1.1048039999999999</v>
      </c>
      <c r="L2736">
        <v>282.97609999999997</v>
      </c>
      <c r="M2736">
        <v>-0.99976209999999999</v>
      </c>
      <c r="N2736">
        <v>0</v>
      </c>
      <c r="O2736">
        <v>-1.7756560000000001E-2</v>
      </c>
      <c r="P2736">
        <v>-0.99579870000000004</v>
      </c>
      <c r="Q2736">
        <v>8.4062250000000005E-2</v>
      </c>
      <c r="R2736">
        <v>-3.631798E-2</v>
      </c>
      <c r="S2736">
        <v>-3.027771</v>
      </c>
      <c r="T2736">
        <v>-0.12623289999999901</v>
      </c>
      <c r="U2736">
        <v>0.12768550000000001</v>
      </c>
      <c r="V2736">
        <v>-1.8741310000000001E-2</v>
      </c>
      <c r="W2736">
        <v>9.6664230000000004E-2</v>
      </c>
      <c r="X2736">
        <v>0.99514060000000004</v>
      </c>
      <c r="Y2736">
        <v>5.9802319999999999E-2</v>
      </c>
      <c r="Z2736">
        <v>1.9852860000000002E-3</v>
      </c>
      <c r="AA2736">
        <v>0.99820830000000005</v>
      </c>
      <c r="AB2736">
        <v>42</v>
      </c>
      <c r="AC2736">
        <v>-26.2834</v>
      </c>
      <c r="AD2736">
        <v>-1.1048036704154001</v>
      </c>
      <c r="AE2736">
        <v>1.1215000000000199</v>
      </c>
      <c r="AF2736">
        <v>1.58526748270276</v>
      </c>
      <c r="AG2736">
        <v>-1.1048036704154001</v>
      </c>
      <c r="AH2736">
        <v>26.213108658106599</v>
      </c>
      <c r="AI2736">
        <v>92.409020264395394</v>
      </c>
      <c r="AJ2736">
        <v>86.539187778230996</v>
      </c>
      <c r="AK2736">
        <v>26.284229676054501</v>
      </c>
      <c r="AL2736">
        <v>84.452885995349206</v>
      </c>
      <c r="AM2736">
        <v>91.0789139169555</v>
      </c>
      <c r="AN2736">
        <v>1.00000001191518</v>
      </c>
    </row>
    <row r="2737" spans="1:40" x14ac:dyDescent="0.3">
      <c r="A2737" t="str">
        <f>"20200111150007943"</f>
        <v>20200111150007943</v>
      </c>
      <c r="B2737" t="str">
        <f>"1578726007938719"</f>
        <v>1578726007938719</v>
      </c>
      <c r="C2737" t="s">
        <v>40</v>
      </c>
      <c r="D2737">
        <v>4.1390120000000001</v>
      </c>
      <c r="E2737">
        <v>0.53082079999999998</v>
      </c>
      <c r="F2737" t="s">
        <v>62</v>
      </c>
      <c r="G2737">
        <v>-371.27699999999999</v>
      </c>
      <c r="H2737" s="1">
        <v>-8.5725199999999998E-7</v>
      </c>
      <c r="I2737">
        <v>283.98469999999998</v>
      </c>
      <c r="J2737">
        <v>-347.49270000000001</v>
      </c>
      <c r="K2737">
        <v>1.104805</v>
      </c>
      <c r="L2737">
        <v>282.97109999999998</v>
      </c>
      <c r="M2737">
        <v>-0.99975709999999995</v>
      </c>
      <c r="N2737">
        <v>0</v>
      </c>
      <c r="O2737">
        <v>-1.8027390000000001E-2</v>
      </c>
      <c r="P2737">
        <v>-0.99576569999999998</v>
      </c>
      <c r="Q2737">
        <v>8.4329550000000003E-2</v>
      </c>
      <c r="R2737">
        <v>-3.659167E-2</v>
      </c>
      <c r="S2737">
        <v>-3.0290219999999999</v>
      </c>
      <c r="T2737">
        <v>-0.13912869999999999</v>
      </c>
      <c r="U2737">
        <v>0.12701419999999999</v>
      </c>
      <c r="V2737">
        <v>-1.874557E-2</v>
      </c>
      <c r="W2737">
        <v>9.6933809999999995E-2</v>
      </c>
      <c r="X2737">
        <v>0.99511430000000001</v>
      </c>
      <c r="Y2737">
        <v>5.9819839999999999E-2</v>
      </c>
      <c r="Z2737">
        <v>2.1998370000000001E-3</v>
      </c>
      <c r="AA2737">
        <v>0.99820679999999995</v>
      </c>
      <c r="AB2737">
        <v>42</v>
      </c>
      <c r="AC2737">
        <v>-23.784299999999899</v>
      </c>
      <c r="AD2737">
        <v>-1.1048058572519901</v>
      </c>
      <c r="AE2737">
        <v>1.0135999999999901</v>
      </c>
      <c r="AF2737">
        <v>1.4391389744408201</v>
      </c>
      <c r="AG2737">
        <v>-1.1048058572519901</v>
      </c>
      <c r="AH2737">
        <v>23.711091552875502</v>
      </c>
      <c r="AI2737">
        <v>92.662844094466607</v>
      </c>
      <c r="AJ2737">
        <v>86.526707354375006</v>
      </c>
      <c r="AK2737">
        <v>23.780403268212599</v>
      </c>
      <c r="AL2737">
        <v>84.437367339916904</v>
      </c>
      <c r="AM2737">
        <v>91.0791876163551</v>
      </c>
      <c r="AN2737">
        <v>1.00000001499011</v>
      </c>
    </row>
    <row r="2738" spans="1:40" x14ac:dyDescent="0.3">
      <c r="A2738" t="str">
        <f>"20200111150007957"</f>
        <v>20200111150007957</v>
      </c>
      <c r="B2738" t="str">
        <f>"1578726007948477"</f>
        <v>1578726007948477</v>
      </c>
      <c r="C2738" t="s">
        <v>40</v>
      </c>
      <c r="D2738">
        <v>4.1250939999999998</v>
      </c>
      <c r="E2738">
        <v>0.53123809999999905</v>
      </c>
      <c r="F2738" t="s">
        <v>41</v>
      </c>
      <c r="G2738">
        <v>-348.55939999999998</v>
      </c>
      <c r="H2738">
        <v>1.0534269999999999</v>
      </c>
      <c r="I2738">
        <v>283.01609999999999</v>
      </c>
      <c r="J2738">
        <v>-347.77569999999997</v>
      </c>
      <c r="K2738">
        <v>1.104806</v>
      </c>
      <c r="L2738">
        <v>282.96570000000003</v>
      </c>
      <c r="M2738">
        <v>-0.99975199999999997</v>
      </c>
      <c r="N2738">
        <v>0</v>
      </c>
      <c r="O2738">
        <v>-1.8309889999999999E-2</v>
      </c>
      <c r="P2738">
        <v>-0.99567830000000002</v>
      </c>
      <c r="Q2738">
        <v>8.5141579999999994E-2</v>
      </c>
      <c r="R2738">
        <v>-3.7089780000000003E-2</v>
      </c>
      <c r="S2738">
        <v>-3.029846</v>
      </c>
      <c r="T2738">
        <v>-0.1460292</v>
      </c>
      <c r="U2738">
        <v>0.12759400000000001</v>
      </c>
      <c r="V2738">
        <v>-1.896422E-2</v>
      </c>
      <c r="W2738">
        <v>9.7746280000000005E-2</v>
      </c>
      <c r="X2738">
        <v>0.99503059999999999</v>
      </c>
      <c r="Y2738">
        <v>6.027209E-2</v>
      </c>
      <c r="Z2738">
        <v>2.3326760000000001E-3</v>
      </c>
      <c r="AA2738">
        <v>0.99817929999999999</v>
      </c>
      <c r="AB2738">
        <v>42</v>
      </c>
      <c r="AC2738">
        <v>-0.78370000000001006</v>
      </c>
      <c r="AD2738">
        <v>-5.13789999999998E-2</v>
      </c>
      <c r="AE2738">
        <v>5.0399999999967797E-2</v>
      </c>
      <c r="AF2738">
        <v>6.4466225476049605E-2</v>
      </c>
      <c r="AG2738">
        <v>-5.13789999999998E-2</v>
      </c>
      <c r="AH2738">
        <v>0.77930998830718001</v>
      </c>
      <c r="AI2738">
        <v>93.759182189557293</v>
      </c>
      <c r="AJ2738">
        <v>85.2711347599747</v>
      </c>
      <c r="AK2738">
        <v>0.78365793158971198</v>
      </c>
      <c r="AL2738">
        <v>84.390593674823805</v>
      </c>
      <c r="AM2738">
        <v>91.091864143190605</v>
      </c>
      <c r="AN2738">
        <v>0.99999993591520098</v>
      </c>
    </row>
    <row r="2739" spans="1:40" x14ac:dyDescent="0.3">
      <c r="A2739" t="str">
        <f>"20200111150007981"</f>
        <v>20200111150007981</v>
      </c>
      <c r="B2739" t="str">
        <f>"1578726007978733"</f>
        <v>1578726007978733</v>
      </c>
      <c r="C2739" t="s">
        <v>40</v>
      </c>
      <c r="D2739">
        <v>4.0134730000000003</v>
      </c>
      <c r="E2739">
        <v>0.53170719999999905</v>
      </c>
      <c r="F2739" t="s">
        <v>62</v>
      </c>
      <c r="G2739">
        <v>-371.07389999999998</v>
      </c>
      <c r="H2739" s="1">
        <v>-9.653446000000001E-7</v>
      </c>
      <c r="I2739">
        <v>283.96179999999998</v>
      </c>
      <c r="J2739">
        <v>-348.20569999999998</v>
      </c>
      <c r="K2739">
        <v>1.104803</v>
      </c>
      <c r="L2739">
        <v>282.95749999999998</v>
      </c>
      <c r="M2739">
        <v>-0.99974410000000002</v>
      </c>
      <c r="N2739">
        <v>0</v>
      </c>
      <c r="O2739">
        <v>-1.8733590000000001E-2</v>
      </c>
      <c r="P2739">
        <v>-0.99559330000000001</v>
      </c>
      <c r="Q2739">
        <v>8.5972530000000005E-2</v>
      </c>
      <c r="R2739">
        <v>-3.7457699999999997E-2</v>
      </c>
      <c r="S2739">
        <v>-3.03009</v>
      </c>
      <c r="T2739">
        <v>-0.14368810000000001</v>
      </c>
      <c r="U2739">
        <v>0.1295471</v>
      </c>
      <c r="V2739">
        <v>-1.8911420000000002E-2</v>
      </c>
      <c r="W2739">
        <v>9.8579559999999997E-2</v>
      </c>
      <c r="X2739">
        <v>0.99494950000000004</v>
      </c>
      <c r="Y2739">
        <v>6.1335199999999999E-2</v>
      </c>
      <c r="Z2739">
        <v>2.3403619999999999E-3</v>
      </c>
      <c r="AA2739">
        <v>0.99811450000000002</v>
      </c>
      <c r="AB2739">
        <v>42</v>
      </c>
      <c r="AC2739">
        <v>-22.868200000000002</v>
      </c>
      <c r="AD2739">
        <v>-1.1048039653446</v>
      </c>
      <c r="AE2739">
        <v>1.0043</v>
      </c>
      <c r="AF2739">
        <v>1.4292322060748801</v>
      </c>
      <c r="AG2739">
        <v>-1.1048039653446</v>
      </c>
      <c r="AH2739">
        <v>22.7922751223185</v>
      </c>
      <c r="AI2739">
        <v>92.769679596700499</v>
      </c>
      <c r="AJ2739">
        <v>86.411859186746</v>
      </c>
      <c r="AK2739">
        <v>22.863750824223501</v>
      </c>
      <c r="AL2739">
        <v>84.342619128363793</v>
      </c>
      <c r="AM2739">
        <v>91.088913648917199</v>
      </c>
      <c r="AN2739">
        <v>1.00000003950322</v>
      </c>
    </row>
    <row r="2740" spans="1:40" x14ac:dyDescent="0.3">
      <c r="A2740" t="str">
        <f>"20200111150007994"</f>
        <v>20200111150007994</v>
      </c>
      <c r="B2740" t="str">
        <f>"1578726007988493"</f>
        <v>1578726007988493</v>
      </c>
      <c r="C2740" t="s">
        <v>40</v>
      </c>
      <c r="D2740">
        <v>4.0301140000000002</v>
      </c>
      <c r="E2740">
        <v>0.53180669999999897</v>
      </c>
      <c r="F2740" t="s">
        <v>41</v>
      </c>
      <c r="G2740">
        <v>-349.31819999999999</v>
      </c>
      <c r="H2740">
        <v>1.0530139999999999</v>
      </c>
      <c r="I2740">
        <v>283.00639999999999</v>
      </c>
      <c r="J2740">
        <v>-348.47</v>
      </c>
      <c r="K2740">
        <v>1.1048009999999999</v>
      </c>
      <c r="L2740">
        <v>282.95229999999998</v>
      </c>
      <c r="M2740">
        <v>-0.9997393</v>
      </c>
      <c r="N2740">
        <v>0</v>
      </c>
      <c r="O2740">
        <v>-1.8986340000000001E-2</v>
      </c>
      <c r="P2740">
        <v>-0.99555249999999995</v>
      </c>
      <c r="Q2740">
        <v>8.6364120000000003E-2</v>
      </c>
      <c r="R2740">
        <v>-3.7636570000000001E-2</v>
      </c>
      <c r="S2740">
        <v>-3.0304869999999999</v>
      </c>
      <c r="T2740">
        <v>-0.1412852</v>
      </c>
      <c r="U2740">
        <v>0.13220209999999999</v>
      </c>
      <c r="V2740">
        <v>-1.8838569999999999E-2</v>
      </c>
      <c r="W2740">
        <v>9.8972450000000003E-2</v>
      </c>
      <c r="X2740">
        <v>0.99491180000000001</v>
      </c>
      <c r="Y2740">
        <v>6.2456280000000003E-2</v>
      </c>
      <c r="Z2740">
        <v>2.3388060000000001E-3</v>
      </c>
      <c r="AA2740">
        <v>0.99804499999999996</v>
      </c>
      <c r="AB2740">
        <v>42</v>
      </c>
      <c r="AC2740">
        <v>-0.84819999999996298</v>
      </c>
      <c r="AD2740">
        <v>-5.1787E-2</v>
      </c>
      <c r="AE2740">
        <v>5.4100000000005297E-2</v>
      </c>
      <c r="AF2740">
        <v>6.9936108513774506E-2</v>
      </c>
      <c r="AG2740">
        <v>-5.1787E-2</v>
      </c>
      <c r="AH2740">
        <v>0.84388679776777298</v>
      </c>
      <c r="AI2740">
        <v>93.499712174855603</v>
      </c>
      <c r="AJ2740">
        <v>85.262506851246997</v>
      </c>
      <c r="AK2740">
        <v>0.84836188038465998</v>
      </c>
      <c r="AL2740">
        <v>84.319997131801799</v>
      </c>
      <c r="AM2740">
        <v>91.084761066128905</v>
      </c>
      <c r="AN2740">
        <v>0.99999996367894295</v>
      </c>
    </row>
    <row r="2741" spans="1:40" x14ac:dyDescent="0.3">
      <c r="A2741" t="str">
        <f>"20200111150008008"</f>
        <v>20200111150008008</v>
      </c>
      <c r="B2741" t="str">
        <f>"1578726007999230"</f>
        <v>1578726007999230</v>
      </c>
      <c r="C2741" t="s">
        <v>40</v>
      </c>
      <c r="D2741">
        <v>3.9920849999999999</v>
      </c>
      <c r="E2741">
        <v>0.53201189999999998</v>
      </c>
      <c r="F2741" t="s">
        <v>62</v>
      </c>
      <c r="G2741">
        <v>-372.54149999999998</v>
      </c>
      <c r="H2741" s="1">
        <v>-1.8430589999999999E-7</v>
      </c>
      <c r="I2741">
        <v>284.00650000000002</v>
      </c>
      <c r="J2741">
        <v>-348.7201</v>
      </c>
      <c r="K2741">
        <v>1.1047979999999999</v>
      </c>
      <c r="L2741">
        <v>282.94729999999998</v>
      </c>
      <c r="M2741">
        <v>-0.99973480000000003</v>
      </c>
      <c r="N2741">
        <v>0</v>
      </c>
      <c r="O2741">
        <v>-1.9222159999999999E-2</v>
      </c>
      <c r="P2741">
        <v>-0.99549699999999997</v>
      </c>
      <c r="Q2741">
        <v>8.6963940000000003E-2</v>
      </c>
      <c r="R2741">
        <v>-3.7724769999999998E-2</v>
      </c>
      <c r="S2741">
        <v>-3.0305179999999998</v>
      </c>
      <c r="T2741">
        <v>-0.13909050000000001</v>
      </c>
      <c r="U2741">
        <v>0.132720899999999</v>
      </c>
      <c r="V2741">
        <v>-1.869227E-2</v>
      </c>
      <c r="W2741">
        <v>9.9572670000000002E-2</v>
      </c>
      <c r="X2741">
        <v>0.99485469999999998</v>
      </c>
      <c r="Y2741">
        <v>6.2863829999999996E-2</v>
      </c>
      <c r="Z2741">
        <v>2.322639E-3</v>
      </c>
      <c r="AA2741">
        <v>0.9980194</v>
      </c>
      <c r="AB2741">
        <v>42</v>
      </c>
      <c r="AC2741">
        <v>-23.821399999999901</v>
      </c>
      <c r="AD2741">
        <v>-1.1047981843058901</v>
      </c>
      <c r="AE2741">
        <v>1.0592000000000299</v>
      </c>
      <c r="AF2741">
        <v>1.51369040258771</v>
      </c>
      <c r="AG2741">
        <v>-1.1047981843058901</v>
      </c>
      <c r="AH2741">
        <v>23.745661164949599</v>
      </c>
      <c r="AI2741">
        <v>92.658452496953998</v>
      </c>
      <c r="AJ2741">
        <v>86.352559655661494</v>
      </c>
      <c r="AK2741">
        <v>23.8194933158438</v>
      </c>
      <c r="AL2741">
        <v>84.285436520938006</v>
      </c>
      <c r="AM2741">
        <v>91.076400582789503</v>
      </c>
      <c r="AN2741">
        <v>0.99999999584038501</v>
      </c>
    </row>
    <row r="2742" spans="1:40" x14ac:dyDescent="0.3">
      <c r="A2742" t="str">
        <f>"20200111150008022"</f>
        <v>20200111150008022</v>
      </c>
      <c r="B2742" t="str">
        <f>"1578726008018526"</f>
        <v>1578726008018526</v>
      </c>
      <c r="C2742" t="s">
        <v>40</v>
      </c>
      <c r="D2742">
        <v>4.0271410000000003</v>
      </c>
      <c r="E2742">
        <v>0.53221160000000001</v>
      </c>
      <c r="F2742" t="s">
        <v>62</v>
      </c>
      <c r="G2742">
        <v>-372.99790000000002</v>
      </c>
      <c r="H2742" s="1">
        <v>5.8529790000000001E-8</v>
      </c>
      <c r="I2742">
        <v>284.02199999999999</v>
      </c>
      <c r="J2742">
        <v>-348.98820000000001</v>
      </c>
      <c r="K2742">
        <v>1.1048</v>
      </c>
      <c r="L2742">
        <v>282.94200000000001</v>
      </c>
      <c r="M2742">
        <v>-0.99973009999999995</v>
      </c>
      <c r="N2742">
        <v>0</v>
      </c>
      <c r="O2742">
        <v>-1.9471080000000002E-2</v>
      </c>
      <c r="P2742">
        <v>-0.99545640000000002</v>
      </c>
      <c r="Q2742">
        <v>8.7454619999999997E-2</v>
      </c>
      <c r="R2742">
        <v>-3.7665690000000002E-2</v>
      </c>
      <c r="S2742">
        <v>-3.0307010000000001</v>
      </c>
      <c r="T2742">
        <v>-0.13791689999999901</v>
      </c>
      <c r="U2742">
        <v>0.13415529999999901</v>
      </c>
      <c r="V2742">
        <v>-1.838443E-2</v>
      </c>
      <c r="W2742">
        <v>0.10006470000000001</v>
      </c>
      <c r="X2742">
        <v>0.99481109999999995</v>
      </c>
      <c r="Y2742">
        <v>6.3581529999999997E-2</v>
      </c>
      <c r="Z2742">
        <v>2.3305309999999998E-3</v>
      </c>
      <c r="AA2742">
        <v>0.99797389999999997</v>
      </c>
      <c r="AB2742">
        <v>42</v>
      </c>
      <c r="AC2742">
        <v>-24.009699999999999</v>
      </c>
      <c r="AD2742">
        <v>-1.1047999414702001</v>
      </c>
      <c r="AE2742">
        <v>1.0799999999999801</v>
      </c>
      <c r="AF2742">
        <v>1.54406482339059</v>
      </c>
      <c r="AG2742">
        <v>-1.1047999414702001</v>
      </c>
      <c r="AH2742">
        <v>23.933543572059499</v>
      </c>
      <c r="AI2742">
        <v>92.637487660383201</v>
      </c>
      <c r="AJ2742">
        <v>86.308696886974701</v>
      </c>
      <c r="AK2742">
        <v>24.008732307332998</v>
      </c>
      <c r="AL2742">
        <v>84.257103959987106</v>
      </c>
      <c r="AM2742">
        <v>91.058723970925101</v>
      </c>
      <c r="AN2742">
        <v>1.00000002806786</v>
      </c>
    </row>
    <row r="2743" spans="1:40" x14ac:dyDescent="0.3">
      <c r="A2743" t="str">
        <f>"20200111150008036"</f>
        <v>20200111150008036</v>
      </c>
      <c r="B2743" t="str">
        <f>"1578726008028286"</f>
        <v>1578726008028286</v>
      </c>
      <c r="C2743" t="s">
        <v>40</v>
      </c>
      <c r="D2743">
        <v>4.3633160000000002</v>
      </c>
      <c r="E2743">
        <v>0.53244179999999997</v>
      </c>
      <c r="F2743" t="s">
        <v>62</v>
      </c>
      <c r="G2743">
        <v>-373.42970000000003</v>
      </c>
      <c r="H2743" s="1">
        <v>2.8830270000000001E-7</v>
      </c>
      <c r="I2743">
        <v>284.03620000000001</v>
      </c>
      <c r="J2743">
        <v>-349.27300000000002</v>
      </c>
      <c r="K2743">
        <v>1.104789</v>
      </c>
      <c r="L2743">
        <v>282.93619999999999</v>
      </c>
      <c r="M2743">
        <v>-0.99972490000000003</v>
      </c>
      <c r="N2743">
        <v>0</v>
      </c>
      <c r="O2743">
        <v>-1.9726270000000001E-2</v>
      </c>
      <c r="P2743">
        <v>-0.99544759999999999</v>
      </c>
      <c r="Q2743">
        <v>8.7610439999999998E-2</v>
      </c>
      <c r="R2743">
        <v>-3.752846E-2</v>
      </c>
      <c r="S2743">
        <v>-3.0308229999999998</v>
      </c>
      <c r="T2743">
        <v>-0.13699900000000001</v>
      </c>
      <c r="U2743">
        <v>0.1356812</v>
      </c>
      <c r="V2743">
        <v>-1.799137E-2</v>
      </c>
      <c r="W2743">
        <v>0.1002222</v>
      </c>
      <c r="X2743">
        <v>0.99480239999999998</v>
      </c>
      <c r="Y2743">
        <v>6.4336050000000006E-2</v>
      </c>
      <c r="Z2743">
        <v>2.3434789999999999E-3</v>
      </c>
      <c r="AA2743">
        <v>0.99792550000000002</v>
      </c>
      <c r="AB2743">
        <v>42</v>
      </c>
      <c r="AC2743">
        <v>-24.156700000000001</v>
      </c>
      <c r="AD2743">
        <v>-1.1047887116973001</v>
      </c>
      <c r="AE2743">
        <v>1.1000000000000201</v>
      </c>
      <c r="AF2743">
        <v>1.5730624323476601</v>
      </c>
      <c r="AG2743">
        <v>-1.1047887116973001</v>
      </c>
      <c r="AH2743">
        <v>24.0800360268567</v>
      </c>
      <c r="AI2743">
        <v>92.621300805776897</v>
      </c>
      <c r="AJ2743">
        <v>86.262382890085306</v>
      </c>
      <c r="AK2743">
        <v>24.156639223374501</v>
      </c>
      <c r="AL2743">
        <v>84.248034101929306</v>
      </c>
      <c r="AM2743">
        <v>91.036102448669098</v>
      </c>
      <c r="AN2743">
        <v>0.99999999690653796</v>
      </c>
    </row>
    <row r="2744" spans="1:40" x14ac:dyDescent="0.3">
      <c r="A2744" t="str">
        <f>"20200111150008049"</f>
        <v>20200111150008049</v>
      </c>
      <c r="B2744" t="str">
        <f>"1578726008039023"</f>
        <v>1578726008039023</v>
      </c>
      <c r="C2744" t="s">
        <v>40</v>
      </c>
      <c r="D2744">
        <v>4.0122749999999998</v>
      </c>
      <c r="E2744">
        <v>0.53258090000000002</v>
      </c>
      <c r="F2744" t="s">
        <v>62</v>
      </c>
      <c r="G2744">
        <v>-374.37360000000001</v>
      </c>
      <c r="H2744" s="1">
        <v>7.9062509999999999E-7</v>
      </c>
      <c r="I2744">
        <v>284.0797</v>
      </c>
      <c r="J2744">
        <v>-349.50360000000001</v>
      </c>
      <c r="K2744">
        <v>1.1047800000000001</v>
      </c>
      <c r="L2744">
        <v>282.93150000000003</v>
      </c>
      <c r="M2744">
        <v>-0.99972110000000003</v>
      </c>
      <c r="N2744">
        <v>0</v>
      </c>
      <c r="O2744">
        <v>-1.992592E-2</v>
      </c>
      <c r="P2744">
        <v>-0.99544319999999997</v>
      </c>
      <c r="Q2744">
        <v>8.7677089999999999E-2</v>
      </c>
      <c r="R2744">
        <v>-3.7496160000000001E-2</v>
      </c>
      <c r="S2744">
        <v>-3.03064</v>
      </c>
      <c r="T2744">
        <v>-0.1333917</v>
      </c>
      <c r="U2744">
        <v>0.1380615</v>
      </c>
      <c r="V2744">
        <v>-1.7758329999999999E-2</v>
      </c>
      <c r="W2744">
        <v>0.10029</v>
      </c>
      <c r="X2744">
        <v>0.99479969999999995</v>
      </c>
      <c r="Y2744">
        <v>6.5323489999999998E-2</v>
      </c>
      <c r="Z2744">
        <v>2.3124220000000002E-3</v>
      </c>
      <c r="AA2744">
        <v>0.99786140000000001</v>
      </c>
      <c r="AB2744">
        <v>42</v>
      </c>
      <c r="AC2744">
        <v>-24.87</v>
      </c>
      <c r="AD2744">
        <v>-1.10477920937489</v>
      </c>
      <c r="AE2744">
        <v>1.1481999999999699</v>
      </c>
      <c r="AF2744">
        <v>1.64033940315087</v>
      </c>
      <c r="AG2744">
        <v>-1.10477920937489</v>
      </c>
      <c r="AH2744">
        <v>24.7933593324809</v>
      </c>
      <c r="AI2744">
        <v>92.545824063812603</v>
      </c>
      <c r="AJ2744">
        <v>86.214802812501603</v>
      </c>
      <c r="AK2744">
        <v>24.872111238262701</v>
      </c>
      <c r="AL2744">
        <v>84.244129464008495</v>
      </c>
      <c r="AM2744">
        <v>91.022687585320696</v>
      </c>
      <c r="AN2744">
        <v>0.99999994275223703</v>
      </c>
    </row>
    <row r="2745" spans="1:40" x14ac:dyDescent="0.3">
      <c r="A2745" t="str">
        <f>"20200111150008062"</f>
        <v>20200111150008062</v>
      </c>
      <c r="B2745" t="str">
        <f>"1578726008058543"</f>
        <v>1578726008058543</v>
      </c>
      <c r="C2745" t="s">
        <v>40</v>
      </c>
      <c r="D2745">
        <v>4.0305879999999998</v>
      </c>
      <c r="E2745">
        <v>0.53290079999999995</v>
      </c>
      <c r="F2745" t="s">
        <v>62</v>
      </c>
      <c r="G2745">
        <v>-375.18119999999999</v>
      </c>
      <c r="H2745" s="1">
        <v>1.2203899999999999E-6</v>
      </c>
      <c r="I2745">
        <v>284.11040000000003</v>
      </c>
      <c r="J2745">
        <v>-349.76060000000001</v>
      </c>
      <c r="K2745">
        <v>1.1047689999999999</v>
      </c>
      <c r="L2745">
        <v>282.92619999999999</v>
      </c>
      <c r="M2745">
        <v>-0.99971659999999996</v>
      </c>
      <c r="N2745">
        <v>0</v>
      </c>
      <c r="O2745">
        <v>-2.0143189999999998E-2</v>
      </c>
      <c r="P2745">
        <v>-0.99546190000000001</v>
      </c>
      <c r="Q2745">
        <v>8.7467249999999996E-2</v>
      </c>
      <c r="R2745">
        <v>-3.7484360000000001E-2</v>
      </c>
      <c r="S2745">
        <v>-3.0304570000000002</v>
      </c>
      <c r="T2745">
        <v>-0.13038540000000001</v>
      </c>
      <c r="U2745">
        <v>0.13912959999999999</v>
      </c>
      <c r="V2745">
        <v>-1.7526739999999999E-2</v>
      </c>
      <c r="W2745">
        <v>0.1000822</v>
      </c>
      <c r="X2745">
        <v>0.99482479999999995</v>
      </c>
      <c r="Y2745">
        <v>6.5897010000000006E-2</v>
      </c>
      <c r="Z2745">
        <v>2.2821400000000002E-3</v>
      </c>
      <c r="AA2745">
        <v>0.99782380000000004</v>
      </c>
      <c r="AB2745">
        <v>42</v>
      </c>
      <c r="AC2745">
        <v>-25.420599999999901</v>
      </c>
      <c r="AD2745">
        <v>-1.1047677796099999</v>
      </c>
      <c r="AE2745">
        <v>1.1842000000000299</v>
      </c>
      <c r="AF2745">
        <v>1.6928624466734501</v>
      </c>
      <c r="AG2745">
        <v>-1.1047677796099999</v>
      </c>
      <c r="AH2745">
        <v>25.343821938068299</v>
      </c>
      <c r="AI2745">
        <v>92.490469343890297</v>
      </c>
      <c r="AJ2745">
        <v>86.178555603972299</v>
      </c>
      <c r="AK2745">
        <v>25.4243113090352</v>
      </c>
      <c r="AL2745">
        <v>84.256096109634896</v>
      </c>
      <c r="AM2745">
        <v>91.009327824268098</v>
      </c>
      <c r="AN2745">
        <v>1.0000000080334499</v>
      </c>
    </row>
    <row r="2746" spans="1:40" x14ac:dyDescent="0.3">
      <c r="A2746" t="str">
        <f>"20200111150008081"</f>
        <v>20200111150008081</v>
      </c>
      <c r="B2746" t="str">
        <f>"1578726008079038"</f>
        <v>1578726008079038</v>
      </c>
      <c r="C2746" t="s">
        <v>40</v>
      </c>
      <c r="D2746">
        <v>4.2298549999999997</v>
      </c>
      <c r="E2746">
        <v>0.53318390000000004</v>
      </c>
      <c r="F2746" t="s">
        <v>62</v>
      </c>
      <c r="G2746">
        <v>-376.49119999999999</v>
      </c>
      <c r="H2746" s="1">
        <v>1.9175260000000001E-6</v>
      </c>
      <c r="I2746">
        <v>284.17809999999997</v>
      </c>
      <c r="J2746">
        <v>-350.11700000000002</v>
      </c>
      <c r="K2746">
        <v>1.1047530000000001</v>
      </c>
      <c r="L2746">
        <v>282.91879999999998</v>
      </c>
      <c r="M2746">
        <v>-0.99971080000000001</v>
      </c>
      <c r="N2746">
        <v>0</v>
      </c>
      <c r="O2746">
        <v>-2.04301E-2</v>
      </c>
      <c r="P2746">
        <v>-0.99551849999999997</v>
      </c>
      <c r="Q2746">
        <v>8.6827230000000005E-2</v>
      </c>
      <c r="R2746">
        <v>-3.7473640000000003E-2</v>
      </c>
      <c r="S2746">
        <v>-3.0300600000000002</v>
      </c>
      <c r="T2746">
        <v>-0.12523099999999901</v>
      </c>
      <c r="U2746">
        <v>0.1419067</v>
      </c>
      <c r="V2746">
        <v>-1.72252E-2</v>
      </c>
      <c r="W2746">
        <v>9.9445039999999998E-2</v>
      </c>
      <c r="X2746">
        <v>0.99489399999999995</v>
      </c>
      <c r="Y2746">
        <v>6.7106739999999998E-2</v>
      </c>
      <c r="Z2746">
        <v>2.229066E-3</v>
      </c>
      <c r="AA2746">
        <v>0.9977433</v>
      </c>
      <c r="AB2746">
        <v>42</v>
      </c>
      <c r="AC2746">
        <v>-26.374199999999998</v>
      </c>
      <c r="AD2746">
        <v>-1.1047510824739999</v>
      </c>
      <c r="AE2746">
        <v>1.2592999999999901</v>
      </c>
      <c r="AF2746">
        <v>1.7947661490845399</v>
      </c>
      <c r="AG2746">
        <v>-1.1047510824739999</v>
      </c>
      <c r="AH2746">
        <v>26.296929884892201</v>
      </c>
      <c r="AI2746">
        <v>92.400041577686295</v>
      </c>
      <c r="AJ2746">
        <v>86.095616337340005</v>
      </c>
      <c r="AK2746">
        <v>26.381246783559401</v>
      </c>
      <c r="AL2746">
        <v>84.292785952497596</v>
      </c>
      <c r="AM2746">
        <v>90.991897292121095</v>
      </c>
      <c r="AN2746">
        <v>1.0000000473658099</v>
      </c>
    </row>
    <row r="2747" spans="1:40" x14ac:dyDescent="0.3">
      <c r="A2747" t="str">
        <f>"20200111150008094"</f>
        <v>20200111150008094</v>
      </c>
      <c r="B2747" t="str">
        <f>"1578726008088799"</f>
        <v>1578726008088799</v>
      </c>
      <c r="C2747" t="s">
        <v>40</v>
      </c>
      <c r="D2747">
        <v>3.960718</v>
      </c>
      <c r="E2747">
        <v>0.53320059999999903</v>
      </c>
      <c r="F2747" t="s">
        <v>62</v>
      </c>
      <c r="G2747">
        <v>-376.55669999999998</v>
      </c>
      <c r="H2747" s="1">
        <v>1.9523840000000001E-6</v>
      </c>
      <c r="I2747">
        <v>284.17489999999998</v>
      </c>
      <c r="J2747">
        <v>-350.375</v>
      </c>
      <c r="K2747">
        <v>1.1047389999999999</v>
      </c>
      <c r="L2747">
        <v>282.91329999999999</v>
      </c>
      <c r="M2747">
        <v>-0.99970680000000001</v>
      </c>
      <c r="N2747">
        <v>0</v>
      </c>
      <c r="O2747">
        <v>-2.0625870000000001E-2</v>
      </c>
      <c r="P2747">
        <v>-0.99554869999999995</v>
      </c>
      <c r="Q2747">
        <v>8.6371299999999998E-2</v>
      </c>
      <c r="R2747">
        <v>-3.7721119999999997E-2</v>
      </c>
      <c r="S2747">
        <v>-3.0299990000000001</v>
      </c>
      <c r="T2747">
        <v>-0.12660460000000001</v>
      </c>
      <c r="U2747">
        <v>0.14395139999999901</v>
      </c>
      <c r="V2747">
        <v>-1.7273429999999999E-2</v>
      </c>
      <c r="W2747">
        <v>9.8990960000000003E-2</v>
      </c>
      <c r="X2747">
        <v>0.9949384</v>
      </c>
      <c r="Y2747">
        <v>6.7972260000000007E-2</v>
      </c>
      <c r="Z2747">
        <v>2.279742E-3</v>
      </c>
      <c r="AA2747">
        <v>0.99768460000000003</v>
      </c>
      <c r="AB2747">
        <v>42</v>
      </c>
      <c r="AC2747">
        <v>-26.1816999999999</v>
      </c>
      <c r="AD2747">
        <v>-1.1047370476159999</v>
      </c>
      <c r="AE2747">
        <v>1.2615999999999801</v>
      </c>
      <c r="AF2747">
        <v>1.7982012217160901</v>
      </c>
      <c r="AG2747">
        <v>-1.1047370476159999</v>
      </c>
      <c r="AH2747">
        <v>26.1037377048075</v>
      </c>
      <c r="AI2747">
        <v>92.417647525606597</v>
      </c>
      <c r="AJ2747">
        <v>86.059306405175406</v>
      </c>
      <c r="AK2747">
        <v>26.188911656262999</v>
      </c>
      <c r="AL2747">
        <v>84.318931563955701</v>
      </c>
      <c r="AM2747">
        <v>90.994629635806604</v>
      </c>
      <c r="AN2747">
        <v>1.00000000067012</v>
      </c>
    </row>
    <row r="2748" spans="1:40" x14ac:dyDescent="0.3">
      <c r="A2748" t="str">
        <f>"20200111150008109"</f>
        <v>20200111150008109</v>
      </c>
      <c r="B2748" t="str">
        <f>"1578726008098558"</f>
        <v>1578726008098558</v>
      </c>
      <c r="C2748" t="s">
        <v>40</v>
      </c>
      <c r="D2748">
        <v>4.0630930000000003</v>
      </c>
      <c r="E2748">
        <v>0.53339029999999998</v>
      </c>
      <c r="F2748" t="s">
        <v>62</v>
      </c>
      <c r="G2748">
        <v>-376.44560000000001</v>
      </c>
      <c r="H2748" s="1">
        <v>1.8932309999999999E-6</v>
      </c>
      <c r="I2748">
        <v>284.14580000000001</v>
      </c>
      <c r="J2748">
        <v>-350.64139999999998</v>
      </c>
      <c r="K2748">
        <v>1.104724</v>
      </c>
      <c r="L2748">
        <v>282.9076</v>
      </c>
      <c r="M2748">
        <v>-0.9997028</v>
      </c>
      <c r="N2748">
        <v>0</v>
      </c>
      <c r="O2748">
        <v>-2.082117E-2</v>
      </c>
      <c r="P2748">
        <v>-0.99557519999999999</v>
      </c>
      <c r="Q2748">
        <v>8.6044250000000003E-2</v>
      </c>
      <c r="R2748">
        <v>-3.7773719999999997E-2</v>
      </c>
      <c r="S2748">
        <v>-3.0299680000000002</v>
      </c>
      <c r="T2748">
        <v>-0.1283946</v>
      </c>
      <c r="U2748">
        <v>0.1432495</v>
      </c>
      <c r="V2748">
        <v>-1.7127389999999999E-2</v>
      </c>
      <c r="W2748">
        <v>9.8665450000000002E-2</v>
      </c>
      <c r="X2748">
        <v>0.9949732</v>
      </c>
      <c r="Y2748">
        <v>6.7934690000000006E-2</v>
      </c>
      <c r="Z2748">
        <v>2.3194550000000002E-3</v>
      </c>
      <c r="AA2748">
        <v>0.99768710000000005</v>
      </c>
      <c r="AB2748">
        <v>42</v>
      </c>
      <c r="AC2748">
        <v>-25.804200000000002</v>
      </c>
      <c r="AD2748">
        <v>-1.1047221067690001</v>
      </c>
      <c r="AE2748">
        <v>1.2382</v>
      </c>
      <c r="AF2748">
        <v>1.7720080174401001</v>
      </c>
      <c r="AG2748">
        <v>-1.1047221067690001</v>
      </c>
      <c r="AH2748">
        <v>25.725779314982599</v>
      </c>
      <c r="AI2748">
        <v>92.453091965061603</v>
      </c>
      <c r="AJ2748">
        <v>86.059654166135999</v>
      </c>
      <c r="AK2748">
        <v>25.810388309946902</v>
      </c>
      <c r="AL2748">
        <v>84.337673340865294</v>
      </c>
      <c r="AM2748">
        <v>90.986187617568106</v>
      </c>
      <c r="AN2748">
        <v>0.99999994361507505</v>
      </c>
    </row>
    <row r="2749" spans="1:40" x14ac:dyDescent="0.3">
      <c r="A2749" t="str">
        <f>"20200111150008123"</f>
        <v>20200111150008123</v>
      </c>
      <c r="B2749" t="str">
        <f>"1578726008119054"</f>
        <v>1578726008119054</v>
      </c>
      <c r="C2749" t="s">
        <v>40</v>
      </c>
      <c r="D2749">
        <v>4.0050540000000003</v>
      </c>
      <c r="E2749">
        <v>0.53414619999999902</v>
      </c>
      <c r="F2749" t="s">
        <v>62</v>
      </c>
      <c r="G2749">
        <v>-376.33780000000002</v>
      </c>
      <c r="H2749" s="1">
        <v>1.8358489999999999E-6</v>
      </c>
      <c r="I2749">
        <v>284.13260000000002</v>
      </c>
      <c r="J2749">
        <v>-350.91559999999998</v>
      </c>
      <c r="K2749">
        <v>1.1047089999999999</v>
      </c>
      <c r="L2749">
        <v>282.90170000000001</v>
      </c>
      <c r="M2749">
        <v>-0.99969859999999999</v>
      </c>
      <c r="N2749">
        <v>0</v>
      </c>
      <c r="O2749">
        <v>-2.1015499999999999E-2</v>
      </c>
      <c r="P2749">
        <v>-0.99559710000000001</v>
      </c>
      <c r="Q2749">
        <v>8.5766960000000003E-2</v>
      </c>
      <c r="R2749">
        <v>-3.7821970000000003E-2</v>
      </c>
      <c r="S2749">
        <v>-3.0300289999999999</v>
      </c>
      <c r="T2749">
        <v>-0.13026499999999999</v>
      </c>
      <c r="U2749">
        <v>0.1444397</v>
      </c>
      <c r="V2749">
        <v>-1.6978409999999999E-2</v>
      </c>
      <c r="W2749">
        <v>9.8389279999999996E-2</v>
      </c>
      <c r="X2749">
        <v>0.99500319999999998</v>
      </c>
      <c r="Y2749">
        <v>6.8515660000000006E-2</v>
      </c>
      <c r="Z2749">
        <v>2.3739669999999998E-3</v>
      </c>
      <c r="AA2749">
        <v>0.99764719999999996</v>
      </c>
      <c r="AB2749">
        <v>42</v>
      </c>
      <c r="AC2749">
        <v>-25.4222</v>
      </c>
      <c r="AD2749">
        <v>-1.104707164151</v>
      </c>
      <c r="AE2749">
        <v>1.2309000000000101</v>
      </c>
      <c r="AF2749">
        <v>1.7616127336697101</v>
      </c>
      <c r="AG2749">
        <v>-1.104707164151</v>
      </c>
      <c r="AH2749">
        <v>25.3429716530887</v>
      </c>
      <c r="AI2749">
        <v>92.4899582463146</v>
      </c>
      <c r="AJ2749">
        <v>86.023714805923404</v>
      </c>
      <c r="AK2749">
        <v>25.428131460082</v>
      </c>
      <c r="AL2749">
        <v>84.353574644525395</v>
      </c>
      <c r="AM2749">
        <v>90.9775816166174</v>
      </c>
      <c r="AN2749">
        <v>1.0000000424176401</v>
      </c>
    </row>
    <row r="2750" spans="1:40" x14ac:dyDescent="0.3">
      <c r="A2750" t="str">
        <f>"20200111150008136"</f>
        <v>20200111150008136</v>
      </c>
      <c r="B2750" t="str">
        <f>"1578726008128815"</f>
        <v>1578726008128815</v>
      </c>
      <c r="C2750" t="s">
        <v>40</v>
      </c>
      <c r="D2750">
        <v>3.909265</v>
      </c>
      <c r="E2750">
        <v>0.53483919999999996</v>
      </c>
      <c r="F2750" t="s">
        <v>62</v>
      </c>
      <c r="G2750">
        <v>-376.5822</v>
      </c>
      <c r="H2750" s="1">
        <v>1.9658989999999999E-6</v>
      </c>
      <c r="I2750">
        <v>284.17680000000001</v>
      </c>
      <c r="J2750">
        <v>-351.17619999999999</v>
      </c>
      <c r="K2750">
        <v>1.104697</v>
      </c>
      <c r="L2750">
        <v>282.89609999999999</v>
      </c>
      <c r="M2750">
        <v>-0.999695</v>
      </c>
      <c r="N2750">
        <v>0</v>
      </c>
      <c r="O2750">
        <v>-2.1191729999999999E-2</v>
      </c>
      <c r="P2750">
        <v>-0.99559219999999904</v>
      </c>
      <c r="Q2750">
        <v>8.5717749999999995E-2</v>
      </c>
      <c r="R2750">
        <v>-3.8061850000000001E-2</v>
      </c>
      <c r="S2750">
        <v>-3.030243</v>
      </c>
      <c r="T2750">
        <v>-0.13042390000000001</v>
      </c>
      <c r="U2750">
        <v>0.15054319999999999</v>
      </c>
      <c r="V2750">
        <v>-1.703969E-2</v>
      </c>
      <c r="W2750">
        <v>9.8340880000000006E-2</v>
      </c>
      <c r="X2750">
        <v>0.99500690000000003</v>
      </c>
      <c r="Y2750">
        <v>7.0690370000000002E-2</v>
      </c>
      <c r="Z2750">
        <v>2.4309100000000001E-3</v>
      </c>
      <c r="AA2750">
        <v>0.99749540000000003</v>
      </c>
      <c r="AB2750">
        <v>42</v>
      </c>
      <c r="AC2750">
        <v>-25.405999999999999</v>
      </c>
      <c r="AD2750">
        <v>-1.104695034101</v>
      </c>
      <c r="AE2750">
        <v>1.2807000000000199</v>
      </c>
      <c r="AF2750">
        <v>1.81542908681638</v>
      </c>
      <c r="AG2750">
        <v>-1.104695034101</v>
      </c>
      <c r="AH2750">
        <v>25.3253910218091</v>
      </c>
      <c r="AI2750">
        <v>92.491277366945496</v>
      </c>
      <c r="AJ2750">
        <v>85.899814338871593</v>
      </c>
      <c r="AK2750">
        <v>25.414396791880701</v>
      </c>
      <c r="AL2750">
        <v>84.356361064485299</v>
      </c>
      <c r="AM2750">
        <v>90.981105655809998</v>
      </c>
      <c r="AN2750">
        <v>1.0000000053810401</v>
      </c>
    </row>
    <row r="2751" spans="1:40" x14ac:dyDescent="0.3">
      <c r="A2751" t="str">
        <f>"20200111150008149"</f>
        <v>20200111150008149</v>
      </c>
      <c r="B2751" t="str">
        <f>"1578726008138575"</f>
        <v>1578726008138575</v>
      </c>
      <c r="C2751" t="s">
        <v>40</v>
      </c>
      <c r="D2751">
        <v>3.8875989999999998</v>
      </c>
      <c r="E2751">
        <v>0.53567369999999903</v>
      </c>
      <c r="F2751" t="s">
        <v>62</v>
      </c>
      <c r="G2751">
        <v>-377.07819999999998</v>
      </c>
      <c r="H2751" s="1">
        <v>2.2298860000000001E-6</v>
      </c>
      <c r="I2751">
        <v>284.22230000000002</v>
      </c>
      <c r="J2751">
        <v>-351.40660000000003</v>
      </c>
      <c r="K2751">
        <v>1.1046899999999999</v>
      </c>
      <c r="L2751">
        <v>282.89109999999999</v>
      </c>
      <c r="M2751">
        <v>-0.99969169999999996</v>
      </c>
      <c r="N2751">
        <v>0</v>
      </c>
      <c r="O2751">
        <v>-2.1342010000000002E-2</v>
      </c>
      <c r="P2751">
        <v>-0.99556829999999996</v>
      </c>
      <c r="Q2751">
        <v>8.5863239999999993E-2</v>
      </c>
      <c r="R2751">
        <v>-3.835794E-2</v>
      </c>
      <c r="S2751">
        <v>-3.0303339999999999</v>
      </c>
      <c r="T2751">
        <v>-0.12924089999999999</v>
      </c>
      <c r="U2751">
        <v>0.15515139999999999</v>
      </c>
      <c r="V2751">
        <v>-1.7184149999999999E-2</v>
      </c>
      <c r="W2751">
        <v>9.8487500000000006E-2</v>
      </c>
      <c r="X2751">
        <v>0.99498989999999998</v>
      </c>
      <c r="Y2751">
        <v>7.2351650000000003E-2</v>
      </c>
      <c r="Z2751">
        <v>2.450509E-3</v>
      </c>
      <c r="AA2751">
        <v>0.99737620000000005</v>
      </c>
      <c r="AB2751">
        <v>42</v>
      </c>
      <c r="AC2751">
        <v>-25.671599999999899</v>
      </c>
      <c r="AD2751">
        <v>-1.1046877701140001</v>
      </c>
      <c r="AE2751">
        <v>1.3312000000000199</v>
      </c>
      <c r="AF2751">
        <v>1.8753610943237899</v>
      </c>
      <c r="AG2751">
        <v>-1.1046877701140001</v>
      </c>
      <c r="AH2751">
        <v>25.590080792403398</v>
      </c>
      <c r="AI2751">
        <v>92.465240558604094</v>
      </c>
      <c r="AJ2751">
        <v>85.808589468287494</v>
      </c>
      <c r="AK2751">
        <v>25.6824755283691</v>
      </c>
      <c r="AL2751">
        <v>84.347919300974596</v>
      </c>
      <c r="AM2751">
        <v>90.989438581045604</v>
      </c>
      <c r="AN2751">
        <v>0.99999999188474098</v>
      </c>
    </row>
    <row r="2752" spans="1:40" x14ac:dyDescent="0.3">
      <c r="A2752" t="str">
        <f>"20200111150008162"</f>
        <v>20200111150008162</v>
      </c>
      <c r="B2752" t="str">
        <f>"1578726008159070"</f>
        <v>1578726008159070</v>
      </c>
      <c r="C2752" t="s">
        <v>40</v>
      </c>
      <c r="D2752">
        <v>3.972728</v>
      </c>
      <c r="E2752">
        <v>0.53713120000000003</v>
      </c>
      <c r="F2752" t="s">
        <v>62</v>
      </c>
      <c r="G2752">
        <v>-377.49450000000002</v>
      </c>
      <c r="H2752" s="1">
        <v>2.4514119999999998E-6</v>
      </c>
      <c r="I2752">
        <v>284.27760000000001</v>
      </c>
      <c r="J2752">
        <v>-351.65679999999998</v>
      </c>
      <c r="K2752">
        <v>1.1046800000000001</v>
      </c>
      <c r="L2752">
        <v>282.88560000000001</v>
      </c>
      <c r="M2752">
        <v>-0.99968809999999997</v>
      </c>
      <c r="N2752">
        <v>0</v>
      </c>
      <c r="O2752">
        <v>-2.1502170000000001E-2</v>
      </c>
      <c r="P2752">
        <v>-0.995533</v>
      </c>
      <c r="Q2752">
        <v>8.6153400000000005E-2</v>
      </c>
      <c r="R2752">
        <v>-3.8620040000000001E-2</v>
      </c>
      <c r="S2752">
        <v>-3.03064</v>
      </c>
      <c r="T2752">
        <v>-0.1283318</v>
      </c>
      <c r="U2752">
        <v>0.16107179999999999</v>
      </c>
      <c r="V2752">
        <v>-1.7285180000000001E-2</v>
      </c>
      <c r="W2752">
        <v>9.8777909999999997E-2</v>
      </c>
      <c r="X2752">
        <v>0.99495940000000005</v>
      </c>
      <c r="Y2752">
        <v>7.4448459999999994E-2</v>
      </c>
      <c r="Z2752">
        <v>2.4840439999999999E-3</v>
      </c>
      <c r="AA2752">
        <v>0.99722180000000005</v>
      </c>
      <c r="AB2752">
        <v>42</v>
      </c>
      <c r="AC2752">
        <v>-25.837700000000002</v>
      </c>
      <c r="AD2752">
        <v>-1.1046775485879901</v>
      </c>
      <c r="AE2752">
        <v>1.3919999999999899</v>
      </c>
      <c r="AF2752">
        <v>1.94374678489486</v>
      </c>
      <c r="AG2752">
        <v>-1.1046775485879901</v>
      </c>
      <c r="AH2752">
        <v>25.754849741419399</v>
      </c>
      <c r="AI2752">
        <v>92.449069969819504</v>
      </c>
      <c r="AJ2752">
        <v>85.684006678009297</v>
      </c>
      <c r="AK2752">
        <v>25.851706892451698</v>
      </c>
      <c r="AL2752">
        <v>84.331198719749906</v>
      </c>
      <c r="AM2752">
        <v>90.995285079028093</v>
      </c>
      <c r="AN2752">
        <v>1.0000000302999701</v>
      </c>
    </row>
    <row r="2753" spans="1:40" x14ac:dyDescent="0.3">
      <c r="A2753" t="str">
        <f>"20200111150008175"</f>
        <v>20200111150008175</v>
      </c>
      <c r="B2753" t="str">
        <f>"1578726008168830"</f>
        <v>1578726008168830</v>
      </c>
      <c r="C2753" t="s">
        <v>40</v>
      </c>
      <c r="D2753">
        <v>3.9557150000000001</v>
      </c>
      <c r="E2753">
        <v>0.53784829999999995</v>
      </c>
      <c r="F2753" t="s">
        <v>62</v>
      </c>
      <c r="G2753">
        <v>-379.85329999999999</v>
      </c>
      <c r="H2753" s="1">
        <v>3.7066580000000001E-6</v>
      </c>
      <c r="I2753">
        <v>284.48540000000003</v>
      </c>
      <c r="J2753">
        <v>-351.90410000000003</v>
      </c>
      <c r="K2753">
        <v>1.1046720000000001</v>
      </c>
      <c r="L2753">
        <v>282.88010000000003</v>
      </c>
      <c r="M2753">
        <v>-0.99968500000000005</v>
      </c>
      <c r="N2753">
        <v>0</v>
      </c>
      <c r="O2753">
        <v>-2.1655210000000001E-2</v>
      </c>
      <c r="P2753">
        <v>-0.995533</v>
      </c>
      <c r="Q2753">
        <v>8.5982959999999997E-2</v>
      </c>
      <c r="R2753">
        <v>-3.9003820000000002E-2</v>
      </c>
      <c r="S2753">
        <v>-3.0303960000000001</v>
      </c>
      <c r="T2753">
        <v>-0.118724</v>
      </c>
      <c r="U2753">
        <v>0.17193599999999901</v>
      </c>
      <c r="V2753">
        <v>-1.7514160000000001E-2</v>
      </c>
      <c r="W2753">
        <v>9.8607570000000005E-2</v>
      </c>
      <c r="X2753">
        <v>0.99497230000000003</v>
      </c>
      <c r="Y2753">
        <v>7.8178579999999998E-2</v>
      </c>
      <c r="Z2753">
        <v>2.3771579999999999E-3</v>
      </c>
      <c r="AA2753">
        <v>0.99693659999999995</v>
      </c>
      <c r="AB2753">
        <v>42</v>
      </c>
      <c r="AC2753">
        <v>-27.949199999999902</v>
      </c>
      <c r="AD2753">
        <v>-1.10466829334199</v>
      </c>
      <c r="AE2753">
        <v>1.60529999999999</v>
      </c>
      <c r="AF2753">
        <v>2.2067819957731198</v>
      </c>
      <c r="AG2753">
        <v>-1.10466829334199</v>
      </c>
      <c r="AH2753">
        <v>27.864493286789202</v>
      </c>
      <c r="AI2753">
        <v>92.263183107718802</v>
      </c>
      <c r="AJ2753">
        <v>85.471802234761796</v>
      </c>
      <c r="AK2753">
        <v>27.9735618923423</v>
      </c>
      <c r="AL2753">
        <v>84.341006408846994</v>
      </c>
      <c r="AM2753">
        <v>91.008454028544094</v>
      </c>
      <c r="AN2753">
        <v>1.00000003821454</v>
      </c>
    </row>
    <row r="2754" spans="1:40" x14ac:dyDescent="0.3">
      <c r="A2754" t="str">
        <f>"20200111150008187"</f>
        <v>20200111150008187</v>
      </c>
      <c r="B2754" t="str">
        <f>"1578726008178590"</f>
        <v>1578726008178590</v>
      </c>
      <c r="C2754" t="s">
        <v>40</v>
      </c>
      <c r="D2754">
        <v>4.0106010000000003</v>
      </c>
      <c r="E2754">
        <v>0.53854169999999901</v>
      </c>
      <c r="F2754" t="s">
        <v>62</v>
      </c>
      <c r="G2754">
        <v>-380.43529999999998</v>
      </c>
      <c r="H2754" s="1">
        <v>-1.305146E-6</v>
      </c>
      <c r="I2754">
        <v>284.54390000000001</v>
      </c>
      <c r="J2754">
        <v>-352.13560000000001</v>
      </c>
      <c r="K2754">
        <v>1.1046640000000001</v>
      </c>
      <c r="L2754">
        <v>282.875</v>
      </c>
      <c r="M2754">
        <v>-0.99968190000000001</v>
      </c>
      <c r="N2754">
        <v>0</v>
      </c>
      <c r="O2754">
        <v>-2.1796220000000002E-2</v>
      </c>
      <c r="P2754">
        <v>-0.9955252</v>
      </c>
      <c r="Q2754">
        <v>8.5887969999999994E-2</v>
      </c>
      <c r="R2754">
        <v>-3.940958E-2</v>
      </c>
      <c r="S2754">
        <v>-3.030548</v>
      </c>
      <c r="T2754">
        <v>-0.1173371</v>
      </c>
      <c r="U2754">
        <v>0.1767273</v>
      </c>
      <c r="V2754">
        <v>-1.7777169999999998E-2</v>
      </c>
      <c r="W2754">
        <v>9.8512669999999997E-2</v>
      </c>
      <c r="X2754">
        <v>0.994977</v>
      </c>
      <c r="Y2754">
        <v>7.9887630000000001E-2</v>
      </c>
      <c r="Z2754">
        <v>2.3876890000000001E-3</v>
      </c>
      <c r="AA2754">
        <v>0.99680100000000005</v>
      </c>
      <c r="AB2754">
        <v>42</v>
      </c>
      <c r="AC2754">
        <v>-28.299699999999898</v>
      </c>
      <c r="AD2754">
        <v>-1.10466530514599</v>
      </c>
      <c r="AE2754">
        <v>1.6689000000000001</v>
      </c>
      <c r="AF2754">
        <v>2.2819147276287799</v>
      </c>
      <c r="AG2754">
        <v>-1.10466530514599</v>
      </c>
      <c r="AH2754">
        <v>28.213757088762701</v>
      </c>
      <c r="AI2754">
        <v>92.2348904846598</v>
      </c>
      <c r="AJ2754">
        <v>85.376010745520105</v>
      </c>
      <c r="AK2754">
        <v>28.327433864087801</v>
      </c>
      <c r="AL2754">
        <v>84.346470177538606</v>
      </c>
      <c r="AM2754">
        <v>91.023589942221093</v>
      </c>
      <c r="AN2754">
        <v>1.00000000222636</v>
      </c>
    </row>
    <row r="2755" spans="1:40" x14ac:dyDescent="0.3">
      <c r="A2755" t="str">
        <f>"20200111150008199"</f>
        <v>20200111150008199</v>
      </c>
      <c r="B2755" t="str">
        <f>"1578726008188351"</f>
        <v>1578726008188351</v>
      </c>
      <c r="C2755" t="s">
        <v>40</v>
      </c>
      <c r="D2755">
        <v>3.9854069999999999</v>
      </c>
      <c r="E2755">
        <v>0.53922550000000002</v>
      </c>
      <c r="F2755" t="s">
        <v>62</v>
      </c>
      <c r="G2755">
        <v>-381.18740000000003</v>
      </c>
      <c r="H2755" s="1">
        <v>-9.0492140000000003E-7</v>
      </c>
      <c r="I2755">
        <v>284.61160000000001</v>
      </c>
      <c r="J2755">
        <v>-352.35820000000001</v>
      </c>
      <c r="K2755">
        <v>1.1046579999999999</v>
      </c>
      <c r="L2755">
        <v>282.87009999999998</v>
      </c>
      <c r="M2755">
        <v>-0.99967899999999998</v>
      </c>
      <c r="N2755">
        <v>0</v>
      </c>
      <c r="O2755">
        <v>-2.1930100000000001E-2</v>
      </c>
      <c r="P2755">
        <v>-0.99553910000000001</v>
      </c>
      <c r="Q2755">
        <v>8.5640209999999994E-2</v>
      </c>
      <c r="R2755">
        <v>-3.9593499999999997E-2</v>
      </c>
      <c r="S2755">
        <v>-3.03064</v>
      </c>
      <c r="T2755">
        <v>-0.11523700000000001</v>
      </c>
      <c r="U2755">
        <v>0.18115229999999999</v>
      </c>
      <c r="V2755">
        <v>-1.7826470000000001E-2</v>
      </c>
      <c r="W2755">
        <v>9.8265900000000003E-2</v>
      </c>
      <c r="X2755">
        <v>0.99500049999999995</v>
      </c>
      <c r="Y2755">
        <v>8.1471109999999999E-2</v>
      </c>
      <c r="Z2755">
        <v>2.379969E-3</v>
      </c>
      <c r="AA2755">
        <v>0.99667289999999997</v>
      </c>
      <c r="AB2755">
        <v>42</v>
      </c>
      <c r="AC2755">
        <v>-28.8292</v>
      </c>
      <c r="AD2755">
        <v>-1.1046589049214</v>
      </c>
      <c r="AE2755">
        <v>1.74150000000003</v>
      </c>
      <c r="AF2755">
        <v>2.3698923690168798</v>
      </c>
      <c r="AG2755">
        <v>-1.1046589049214</v>
      </c>
      <c r="AH2755">
        <v>28.742025109052399</v>
      </c>
      <c r="AI2755">
        <v>92.193561904315999</v>
      </c>
      <c r="AJ2755">
        <v>85.286401651295094</v>
      </c>
      <c r="AK2755">
        <v>28.860711503813398</v>
      </c>
      <c r="AL2755">
        <v>84.360677882108902</v>
      </c>
      <c r="AM2755">
        <v>91.026403738595306</v>
      </c>
      <c r="AN2755">
        <v>0.99999998256786005</v>
      </c>
    </row>
    <row r="2756" spans="1:40" x14ac:dyDescent="0.3">
      <c r="A2756" t="str">
        <f>"20200111150008215"</f>
        <v>20200111150008215</v>
      </c>
      <c r="B2756" t="str">
        <f>"1578726008208849"</f>
        <v>1578726008208849</v>
      </c>
      <c r="C2756" t="s">
        <v>40</v>
      </c>
      <c r="D2756">
        <v>4.0858309999999998</v>
      </c>
      <c r="E2756">
        <v>0.54025190000000001</v>
      </c>
      <c r="F2756" t="s">
        <v>62</v>
      </c>
      <c r="G2756">
        <v>-381.36500000000001</v>
      </c>
      <c r="H2756" s="1">
        <v>-8.1039180000000001E-7</v>
      </c>
      <c r="I2756">
        <v>284.65140000000002</v>
      </c>
      <c r="J2756">
        <v>-352.65929999999997</v>
      </c>
      <c r="K2756">
        <v>1.1046469999999999</v>
      </c>
      <c r="L2756">
        <v>282.86329999999998</v>
      </c>
      <c r="M2756">
        <v>-0.99967499999999998</v>
      </c>
      <c r="N2756">
        <v>0</v>
      </c>
      <c r="O2756">
        <v>-2.210807E-2</v>
      </c>
      <c r="P2756">
        <v>-0.99552609999999997</v>
      </c>
      <c r="Q2756">
        <v>8.5544029999999993E-2</v>
      </c>
      <c r="R2756">
        <v>-4.0125939999999999E-2</v>
      </c>
      <c r="S2756">
        <v>-3.0307919999999999</v>
      </c>
      <c r="T2756">
        <v>-0.1154208</v>
      </c>
      <c r="U2756">
        <v>0.18612670000000001</v>
      </c>
      <c r="V2756">
        <v>-1.817916E-2</v>
      </c>
      <c r="W2756">
        <v>9.8170049999999995E-2</v>
      </c>
      <c r="X2756">
        <v>0.99500359999999999</v>
      </c>
      <c r="Y2756">
        <v>8.3273570000000005E-2</v>
      </c>
      <c r="Z2756">
        <v>2.4245759999999999E-3</v>
      </c>
      <c r="AA2756">
        <v>0.99652379999999996</v>
      </c>
      <c r="AB2756">
        <v>42</v>
      </c>
      <c r="AC2756">
        <v>-28.7057</v>
      </c>
      <c r="AD2756">
        <v>-1.1046478103918</v>
      </c>
      <c r="AE2756">
        <v>1.78810000000004</v>
      </c>
      <c r="AF2756">
        <v>2.4187736541673499</v>
      </c>
      <c r="AG2756">
        <v>-1.1046478103918</v>
      </c>
      <c r="AH2756">
        <v>28.616934566734699</v>
      </c>
      <c r="AI2756">
        <v>92.202741445545996</v>
      </c>
      <c r="AJ2756">
        <v>85.168703040361393</v>
      </c>
      <c r="AK2756">
        <v>28.7402097551822</v>
      </c>
      <c r="AL2756">
        <v>84.366196476442099</v>
      </c>
      <c r="AM2756">
        <v>91.046703015897705</v>
      </c>
      <c r="AN2756">
        <v>1.00000000229413</v>
      </c>
    </row>
    <row r="2757" spans="1:40" x14ac:dyDescent="0.3">
      <c r="A2757" t="str">
        <f>"20200111150008229"</f>
        <v>20200111150008229</v>
      </c>
      <c r="B2757" t="str">
        <f>"1578726008218606"</f>
        <v>1578726008218606</v>
      </c>
      <c r="C2757" t="s">
        <v>40</v>
      </c>
      <c r="D2757">
        <v>4.1351579999999997</v>
      </c>
      <c r="E2757">
        <v>0.54098059999999903</v>
      </c>
      <c r="F2757" t="s">
        <v>62</v>
      </c>
      <c r="G2757">
        <v>-381.0104</v>
      </c>
      <c r="H2757" s="1">
        <v>-9.991230000000001E-7</v>
      </c>
      <c r="I2757">
        <v>284.66419999999999</v>
      </c>
      <c r="J2757">
        <v>-352.90789999999998</v>
      </c>
      <c r="K2757">
        <v>1.1046400000000001</v>
      </c>
      <c r="L2757">
        <v>282.85759999999999</v>
      </c>
      <c r="M2757">
        <v>-0.99967189999999995</v>
      </c>
      <c r="N2757">
        <v>0</v>
      </c>
      <c r="O2757">
        <v>-2.2254119999999999E-2</v>
      </c>
      <c r="P2757">
        <v>-0.99551270000000003</v>
      </c>
      <c r="Q2757">
        <v>8.5621329999999995E-2</v>
      </c>
      <c r="R2757">
        <v>-4.02999E-2</v>
      </c>
      <c r="S2757">
        <v>-3.0314329999999998</v>
      </c>
      <c r="T2757">
        <v>-0.11811430000000001</v>
      </c>
      <c r="U2757">
        <v>0.19256590000000001</v>
      </c>
      <c r="V2757">
        <v>-1.820654E-2</v>
      </c>
      <c r="W2757">
        <v>9.8247390000000004E-2</v>
      </c>
      <c r="X2757">
        <v>0.99499550000000003</v>
      </c>
      <c r="Y2757">
        <v>8.5509269999999998E-2</v>
      </c>
      <c r="Z2757">
        <v>2.5296099999999998E-3</v>
      </c>
      <c r="AA2757">
        <v>0.9963341</v>
      </c>
      <c r="AB2757">
        <v>42</v>
      </c>
      <c r="AC2757">
        <v>-28.102499999999999</v>
      </c>
      <c r="AD2757">
        <v>-1.104640999123</v>
      </c>
      <c r="AE2757">
        <v>1.8066</v>
      </c>
      <c r="AF2757">
        <v>2.4278634102547998</v>
      </c>
      <c r="AG2757">
        <v>-1.104640999123</v>
      </c>
      <c r="AH2757">
        <v>28.012228523805099</v>
      </c>
      <c r="AI2757">
        <v>92.249819802115894</v>
      </c>
      <c r="AJ2757">
        <v>85.046464519125394</v>
      </c>
      <c r="AK2757">
        <v>28.138935646994199</v>
      </c>
      <c r="AL2757">
        <v>84.361743888213596</v>
      </c>
      <c r="AM2757">
        <v>91.048287656795907</v>
      </c>
      <c r="AN2757">
        <v>1.00000003638041</v>
      </c>
    </row>
    <row r="2758" spans="1:40" x14ac:dyDescent="0.3">
      <c r="A2758" t="str">
        <f>"20200111150008248"</f>
        <v>20200111150008248</v>
      </c>
      <c r="B2758" t="str">
        <f>"1578726008239105"</f>
        <v>1578726008239105</v>
      </c>
      <c r="C2758" t="s">
        <v>40</v>
      </c>
      <c r="D2758">
        <v>4.0045630000000001</v>
      </c>
      <c r="E2758">
        <v>0.54208650000000003</v>
      </c>
      <c r="F2758" t="s">
        <v>62</v>
      </c>
      <c r="G2758">
        <v>-381.64699999999999</v>
      </c>
      <c r="H2758" s="1">
        <v>-6.6034889999999999E-7</v>
      </c>
      <c r="I2758">
        <v>284.73320000000001</v>
      </c>
      <c r="J2758">
        <v>-353.28219999999999</v>
      </c>
      <c r="K2758">
        <v>1.104635</v>
      </c>
      <c r="L2758">
        <v>282.84899999999999</v>
      </c>
      <c r="M2758">
        <v>-0.99966690000000002</v>
      </c>
      <c r="N2758">
        <v>0</v>
      </c>
      <c r="O2758">
        <v>-2.2472389999999998E-2</v>
      </c>
      <c r="P2758">
        <v>-0.9955003</v>
      </c>
      <c r="Q2758">
        <v>8.5606249999999995E-2</v>
      </c>
      <c r="R2758">
        <v>-4.0631500000000001E-2</v>
      </c>
      <c r="S2758">
        <v>-3.0315859999999999</v>
      </c>
      <c r="T2758">
        <v>-0.1165248</v>
      </c>
      <c r="U2758">
        <v>0.19784550000000001</v>
      </c>
      <c r="V2758">
        <v>-1.8319490000000001E-2</v>
      </c>
      <c r="W2758">
        <v>9.823221E-2</v>
      </c>
      <c r="X2758">
        <v>0.99499490000000002</v>
      </c>
      <c r="Y2758">
        <v>8.745203E-2</v>
      </c>
      <c r="Z2758">
        <v>2.5409970000000001E-3</v>
      </c>
      <c r="AA2758">
        <v>0.99616550000000004</v>
      </c>
      <c r="AB2758">
        <v>42</v>
      </c>
      <c r="AC2758">
        <v>-28.364799999999999</v>
      </c>
      <c r="AD2758">
        <v>-1.1046356603489</v>
      </c>
      <c r="AE2758">
        <v>1.8842000000000201</v>
      </c>
      <c r="AF2758">
        <v>2.5173991060846399</v>
      </c>
      <c r="AG2758">
        <v>-1.1046356603489</v>
      </c>
      <c r="AH2758">
        <v>28.2725992242068</v>
      </c>
      <c r="AI2758">
        <v>92.228650964487898</v>
      </c>
      <c r="AJ2758">
        <v>84.911788283252207</v>
      </c>
      <c r="AK2758">
        <v>28.405939257381501</v>
      </c>
      <c r="AL2758">
        <v>84.362617721695997</v>
      </c>
      <c r="AM2758">
        <v>91.054790210302897</v>
      </c>
      <c r="AN2758">
        <v>1.0000000109106699</v>
      </c>
    </row>
    <row r="2759" spans="1:40" x14ac:dyDescent="0.3">
      <c r="A2759" t="str">
        <f>"20200111150008260"</f>
        <v>20200111150008260</v>
      </c>
      <c r="B2759" t="str">
        <f>"1578726008248863"</f>
        <v>1578726008248863</v>
      </c>
      <c r="C2759" t="s">
        <v>40</v>
      </c>
      <c r="D2759">
        <v>4.0092939999999997</v>
      </c>
      <c r="E2759">
        <v>0.54257939999999905</v>
      </c>
      <c r="F2759" t="s">
        <v>62</v>
      </c>
      <c r="G2759">
        <v>-382.87139999999999</v>
      </c>
      <c r="H2759" s="1">
        <v>-8.7541710000000001E-9</v>
      </c>
      <c r="I2759">
        <v>284.85680000000002</v>
      </c>
      <c r="J2759">
        <v>-353.51679999999999</v>
      </c>
      <c r="K2759">
        <v>1.1046309999999999</v>
      </c>
      <c r="L2759">
        <v>282.84359999999998</v>
      </c>
      <c r="M2759">
        <v>-0.99966390000000005</v>
      </c>
      <c r="N2759">
        <v>0</v>
      </c>
      <c r="O2759">
        <v>-2.260881E-2</v>
      </c>
      <c r="P2759">
        <v>-0.99545629999999996</v>
      </c>
      <c r="Q2759">
        <v>8.5995719999999998E-2</v>
      </c>
      <c r="R2759">
        <v>-4.0885680000000001E-2</v>
      </c>
      <c r="S2759">
        <v>-3.0316770000000002</v>
      </c>
      <c r="T2759">
        <v>-0.1131794</v>
      </c>
      <c r="U2759">
        <v>0.20571900000000001</v>
      </c>
      <c r="V2759">
        <v>-1.8437849999999999E-2</v>
      </c>
      <c r="W2759">
        <v>9.8621319999999998E-2</v>
      </c>
      <c r="X2759">
        <v>0.99495420000000001</v>
      </c>
      <c r="Y2759">
        <v>9.0164030000000006E-2</v>
      </c>
      <c r="Z2759">
        <v>2.5234509999999999E-3</v>
      </c>
      <c r="AA2759">
        <v>0.99592380000000003</v>
      </c>
      <c r="AB2759">
        <v>42</v>
      </c>
      <c r="AC2759">
        <v>-29.354600000000001</v>
      </c>
      <c r="AD2759">
        <v>-1.10463100875417</v>
      </c>
      <c r="AE2759">
        <v>2.0132000000000398</v>
      </c>
      <c r="AF2759">
        <v>2.6726443906840398</v>
      </c>
      <c r="AG2759">
        <v>-1.10463100875417</v>
      </c>
      <c r="AH2759">
        <v>29.260335229792599</v>
      </c>
      <c r="AI2759">
        <v>92.153039158571801</v>
      </c>
      <c r="AJ2759">
        <v>84.781074714173599</v>
      </c>
      <c r="AK2759">
        <v>29.402898759550801</v>
      </c>
      <c r="AL2759">
        <v>84.3402144569217</v>
      </c>
      <c r="AM2759">
        <v>91.061646943587604</v>
      </c>
      <c r="AN2759">
        <v>0.99999998958440195</v>
      </c>
    </row>
    <row r="2760" spans="1:40" x14ac:dyDescent="0.3">
      <c r="A2760" t="str">
        <f>"20200111150008273"</f>
        <v>20200111150008273</v>
      </c>
      <c r="B2760" t="str">
        <f>"1578726008268382"</f>
        <v>1578726008268382</v>
      </c>
      <c r="C2760" t="s">
        <v>40</v>
      </c>
      <c r="D2760">
        <v>3.9729640000000002</v>
      </c>
      <c r="E2760">
        <v>0.5435101</v>
      </c>
      <c r="F2760" t="s">
        <v>62</v>
      </c>
      <c r="G2760">
        <v>-383.8734</v>
      </c>
      <c r="H2760" s="1">
        <v>5.244373E-7</v>
      </c>
      <c r="I2760">
        <v>284.93619999999999</v>
      </c>
      <c r="J2760">
        <v>-353.75080000000003</v>
      </c>
      <c r="K2760">
        <v>1.1046279999999999</v>
      </c>
      <c r="L2760">
        <v>282.83819999999997</v>
      </c>
      <c r="M2760">
        <v>-0.99966080000000002</v>
      </c>
      <c r="N2760">
        <v>0</v>
      </c>
      <c r="O2760">
        <v>-2.2744650000000002E-2</v>
      </c>
      <c r="P2760">
        <v>-0.99543910000000002</v>
      </c>
      <c r="Q2760">
        <v>8.6048739999999999E-2</v>
      </c>
      <c r="R2760">
        <v>-4.1190869999999997E-2</v>
      </c>
      <c r="S2760">
        <v>-3.0317690000000002</v>
      </c>
      <c r="T2760">
        <v>-0.11032160000000001</v>
      </c>
      <c r="U2760">
        <v>0.20898439999999999</v>
      </c>
      <c r="V2760">
        <v>-1.8606660000000001E-2</v>
      </c>
      <c r="W2760">
        <v>9.867447E-2</v>
      </c>
      <c r="X2760">
        <v>0.99494579999999999</v>
      </c>
      <c r="Y2760">
        <v>9.1367959999999998E-2</v>
      </c>
      <c r="Z2760">
        <v>2.4864219999999999E-3</v>
      </c>
      <c r="AA2760">
        <v>0.99581410000000004</v>
      </c>
      <c r="AB2760">
        <v>42</v>
      </c>
      <c r="AC2760">
        <v>-30.122599999999899</v>
      </c>
      <c r="AD2760">
        <v>-1.1046274755626999</v>
      </c>
      <c r="AE2760">
        <v>2.0980000000000101</v>
      </c>
      <c r="AF2760">
        <v>2.7789213575615901</v>
      </c>
      <c r="AG2760">
        <v>-1.1046274755626999</v>
      </c>
      <c r="AH2760">
        <v>30.026899894867601</v>
      </c>
      <c r="AI2760">
        <v>92.097885940614802</v>
      </c>
      <c r="AJ2760">
        <v>84.712467518399805</v>
      </c>
      <c r="AK2760">
        <v>30.175442383959801</v>
      </c>
      <c r="AL2760">
        <v>84.337154329659896</v>
      </c>
      <c r="AM2760">
        <v>91.071373770342603</v>
      </c>
      <c r="AN2760">
        <v>1.00000000188188</v>
      </c>
    </row>
    <row r="2761" spans="1:40" x14ac:dyDescent="0.3">
      <c r="A2761" t="str">
        <f>"20200111150008283"</f>
        <v>20200111150008283</v>
      </c>
      <c r="B2761" t="str">
        <f>"1578726008279118"</f>
        <v>1578726008279118</v>
      </c>
      <c r="C2761" t="s">
        <v>40</v>
      </c>
      <c r="D2761">
        <v>4.0023479999999996</v>
      </c>
      <c r="E2761">
        <v>0.54400890000000002</v>
      </c>
      <c r="F2761" t="s">
        <v>62</v>
      </c>
      <c r="G2761">
        <v>-385.12630000000001</v>
      </c>
      <c r="H2761" s="1">
        <v>1.1911929999999999E-6</v>
      </c>
      <c r="I2761">
        <v>285.07</v>
      </c>
      <c r="J2761">
        <v>-353.95949999999999</v>
      </c>
      <c r="K2761">
        <v>1.104625</v>
      </c>
      <c r="L2761">
        <v>282.83339999999998</v>
      </c>
      <c r="M2761">
        <v>-0.99965809999999999</v>
      </c>
      <c r="N2761">
        <v>0</v>
      </c>
      <c r="O2761">
        <v>-2.286583E-2</v>
      </c>
      <c r="P2761">
        <v>-0.99544480000000002</v>
      </c>
      <c r="Q2761">
        <v>8.5836739999999995E-2</v>
      </c>
      <c r="R2761">
        <v>-4.1496499999999999E-2</v>
      </c>
      <c r="S2761">
        <v>-3.0319210000000001</v>
      </c>
      <c r="T2761">
        <v>-0.106743699999999</v>
      </c>
      <c r="U2761">
        <v>0.21566769999999999</v>
      </c>
      <c r="V2761">
        <v>-1.879113E-2</v>
      </c>
      <c r="W2761">
        <v>9.8462359999999999E-2</v>
      </c>
      <c r="X2761">
        <v>0.99496329999999999</v>
      </c>
      <c r="Y2761">
        <v>9.3672699999999998E-2</v>
      </c>
      <c r="Z2761">
        <v>2.4503010000000002E-3</v>
      </c>
      <c r="AA2761">
        <v>0.99560000000000004</v>
      </c>
      <c r="AB2761">
        <v>42</v>
      </c>
      <c r="AC2761">
        <v>-31.166799999999999</v>
      </c>
      <c r="AD2761">
        <v>-1.104623808807</v>
      </c>
      <c r="AE2761">
        <v>2.2366000000000099</v>
      </c>
      <c r="AF2761">
        <v>2.9450467075611702</v>
      </c>
      <c r="AG2761">
        <v>-1.104623808807</v>
      </c>
      <c r="AH2761">
        <v>31.068676851001801</v>
      </c>
      <c r="AI2761">
        <v>92.027171802887196</v>
      </c>
      <c r="AJ2761">
        <v>84.585026641060693</v>
      </c>
      <c r="AK2761">
        <v>31.227490695550301</v>
      </c>
      <c r="AL2761">
        <v>84.349366546617205</v>
      </c>
      <c r="AM2761">
        <v>91.081974036697801</v>
      </c>
      <c r="AN2761">
        <v>0.99999995562516697</v>
      </c>
    </row>
    <row r="2762" spans="1:40" x14ac:dyDescent="0.3">
      <c r="A2762" t="str">
        <f>"20200111150008295"</f>
        <v>20200111150008295</v>
      </c>
      <c r="B2762" t="str">
        <f>"1578726008288878"</f>
        <v>1578726008288878</v>
      </c>
      <c r="C2762" t="s">
        <v>40</v>
      </c>
      <c r="D2762">
        <v>4.0034679999999998</v>
      </c>
      <c r="E2762">
        <v>0.54453219999999902</v>
      </c>
      <c r="F2762" t="s">
        <v>62</v>
      </c>
      <c r="G2762">
        <v>-385.39600000000002</v>
      </c>
      <c r="H2762" s="1">
        <v>1.3347060000000001E-6</v>
      </c>
      <c r="I2762">
        <v>285.10489999999999</v>
      </c>
      <c r="J2762">
        <v>-354.17610000000002</v>
      </c>
      <c r="K2762">
        <v>1.104625</v>
      </c>
      <c r="L2762">
        <v>282.82830000000001</v>
      </c>
      <c r="M2762">
        <v>-0.99965510000000002</v>
      </c>
      <c r="N2762">
        <v>0</v>
      </c>
      <c r="O2762">
        <v>-2.2991310000000001E-2</v>
      </c>
      <c r="P2762">
        <v>-0.99542989999999998</v>
      </c>
      <c r="Q2762">
        <v>8.6154469999999997E-2</v>
      </c>
      <c r="R2762">
        <v>-4.1190949999999997E-2</v>
      </c>
      <c r="S2762">
        <v>-3.0320429999999998</v>
      </c>
      <c r="T2762">
        <v>-0.1065407</v>
      </c>
      <c r="U2762">
        <v>0.21908569999999999</v>
      </c>
      <c r="V2762">
        <v>-1.8360230000000002E-2</v>
      </c>
      <c r="W2762">
        <v>9.8779809999999996E-2</v>
      </c>
      <c r="X2762">
        <v>0.99493989999999999</v>
      </c>
      <c r="Y2762">
        <v>9.4910789999999995E-2</v>
      </c>
      <c r="Z2762">
        <v>2.471572E-3</v>
      </c>
      <c r="AA2762">
        <v>0.99548270000000005</v>
      </c>
      <c r="AB2762">
        <v>42</v>
      </c>
      <c r="AC2762">
        <v>-31.2198999999999</v>
      </c>
      <c r="AD2762">
        <v>-1.104623665294</v>
      </c>
      <c r="AE2762">
        <v>2.27659999999997</v>
      </c>
      <c r="AF2762">
        <v>2.99011883881417</v>
      </c>
      <c r="AG2762">
        <v>-1.104623665294</v>
      </c>
      <c r="AH2762">
        <v>31.1205465385538</v>
      </c>
      <c r="AI2762">
        <v>92.023548847814595</v>
      </c>
      <c r="AJ2762">
        <v>84.511764300021994</v>
      </c>
      <c r="AK2762">
        <v>31.283372915503399</v>
      </c>
      <c r="AL2762">
        <v>84.3310890182522</v>
      </c>
      <c r="AM2762">
        <v>91.057193810313805</v>
      </c>
      <c r="AN2762">
        <v>0.999999976760649</v>
      </c>
    </row>
    <row r="2763" spans="1:40" x14ac:dyDescent="0.3">
      <c r="A2763" t="str">
        <f>"20200111150008309"</f>
        <v>20200111150008309</v>
      </c>
      <c r="B2763" t="str">
        <f>"1578726008298638"</f>
        <v>1578726008298638</v>
      </c>
      <c r="C2763" t="s">
        <v>40</v>
      </c>
      <c r="D2763">
        <v>3.9932669999999999</v>
      </c>
      <c r="E2763">
        <v>0.54498919999999995</v>
      </c>
      <c r="F2763" t="s">
        <v>62</v>
      </c>
      <c r="G2763">
        <v>-385.87360000000001</v>
      </c>
      <c r="H2763" s="1">
        <v>1.588862E-6</v>
      </c>
      <c r="I2763">
        <v>285.1671</v>
      </c>
      <c r="J2763">
        <v>-354.42770000000002</v>
      </c>
      <c r="K2763">
        <v>1.1046240000000001</v>
      </c>
      <c r="L2763">
        <v>282.82240000000002</v>
      </c>
      <c r="M2763">
        <v>-0.99965179999999998</v>
      </c>
      <c r="N2763">
        <v>0</v>
      </c>
      <c r="O2763">
        <v>-2.3137410000000001E-2</v>
      </c>
      <c r="P2763">
        <v>-0.99543649999999995</v>
      </c>
      <c r="Q2763">
        <v>8.6184369999999996E-2</v>
      </c>
      <c r="R2763">
        <v>-4.0968240000000003E-2</v>
      </c>
      <c r="S2763">
        <v>-3.0321660000000001</v>
      </c>
      <c r="T2763">
        <v>-0.1056677</v>
      </c>
      <c r="U2763">
        <v>0.22372439999999999</v>
      </c>
      <c r="V2763">
        <v>-1.7991549999999999E-2</v>
      </c>
      <c r="W2763">
        <v>9.8810170000000003E-2</v>
      </c>
      <c r="X2763">
        <v>0.99494360000000004</v>
      </c>
      <c r="Y2763">
        <v>9.6568200000000007E-2</v>
      </c>
      <c r="Z2763">
        <v>2.485016E-3</v>
      </c>
      <c r="AA2763">
        <v>0.99532319999999996</v>
      </c>
      <c r="AB2763">
        <v>42</v>
      </c>
      <c r="AC2763">
        <v>-31.445899999999899</v>
      </c>
      <c r="AD2763">
        <v>-1.1046224111380001</v>
      </c>
      <c r="AE2763">
        <v>2.34469999999998</v>
      </c>
      <c r="AF2763">
        <v>3.0679426701087502</v>
      </c>
      <c r="AG2763">
        <v>-1.1046224111380001</v>
      </c>
      <c r="AH2763">
        <v>31.344761540049898</v>
      </c>
      <c r="AI2763">
        <v>92.008737376385</v>
      </c>
      <c r="AJ2763">
        <v>84.409845877632407</v>
      </c>
      <c r="AK2763">
        <v>31.513910244538899</v>
      </c>
      <c r="AL2763">
        <v>84.329340850555795</v>
      </c>
      <c r="AM2763">
        <v>91.035965801816204</v>
      </c>
      <c r="AN2763">
        <v>0.99999995637389405</v>
      </c>
    </row>
    <row r="2764" spans="1:40" x14ac:dyDescent="0.3">
      <c r="A2764" t="str">
        <f>"20200111150008322"</f>
        <v>20200111150008322</v>
      </c>
      <c r="B2764" t="str">
        <f>"1578726008318740"</f>
        <v>1578726008318740</v>
      </c>
      <c r="C2764" t="s">
        <v>40</v>
      </c>
      <c r="D2764">
        <v>3.973506</v>
      </c>
      <c r="E2764">
        <v>0.54584009999999905</v>
      </c>
      <c r="F2764" t="s">
        <v>62</v>
      </c>
      <c r="G2764">
        <v>-386.26780000000002</v>
      </c>
      <c r="H2764" s="1">
        <v>1.798613E-6</v>
      </c>
      <c r="I2764">
        <v>285.21129999999999</v>
      </c>
      <c r="J2764">
        <v>-354.6891</v>
      </c>
      <c r="K2764">
        <v>1.104617</v>
      </c>
      <c r="L2764">
        <v>282.81619999999998</v>
      </c>
      <c r="M2764">
        <v>-0.99964819999999999</v>
      </c>
      <c r="N2764">
        <v>0</v>
      </c>
      <c r="O2764">
        <v>-2.3289109999999998E-2</v>
      </c>
      <c r="P2764">
        <v>-0.99543950000000003</v>
      </c>
      <c r="Q2764">
        <v>8.6319030000000005E-2</v>
      </c>
      <c r="R2764">
        <v>-4.0610109999999998E-2</v>
      </c>
      <c r="S2764">
        <v>-3.0322269999999998</v>
      </c>
      <c r="T2764">
        <v>-0.1051965</v>
      </c>
      <c r="U2764">
        <v>0.2275085</v>
      </c>
      <c r="V2764">
        <v>-1.7481779999999999E-2</v>
      </c>
      <c r="W2764">
        <v>9.8945389999999994E-2</v>
      </c>
      <c r="X2764">
        <v>0.99493929999999997</v>
      </c>
      <c r="Y2764">
        <v>9.7952739999999996E-2</v>
      </c>
      <c r="Z2764">
        <v>2.50301E-3</v>
      </c>
      <c r="AA2764">
        <v>0.99518790000000001</v>
      </c>
      <c r="AB2764">
        <v>42</v>
      </c>
      <c r="AC2764">
        <v>-31.578700000000001</v>
      </c>
      <c r="AD2764">
        <v>-1.1046152013870001</v>
      </c>
      <c r="AE2764">
        <v>2.39510000000001</v>
      </c>
      <c r="AF2764">
        <v>3.1261461173252498</v>
      </c>
      <c r="AG2764">
        <v>-1.1046152013870001</v>
      </c>
      <c r="AH2764">
        <v>31.4760560552354</v>
      </c>
      <c r="AI2764">
        <v>92.000071008118297</v>
      </c>
      <c r="AJ2764">
        <v>84.328085356809893</v>
      </c>
      <c r="AK2764">
        <v>31.650198563079002</v>
      </c>
      <c r="AL2764">
        <v>84.321555448850305</v>
      </c>
      <c r="AM2764">
        <v>91.006623372563396</v>
      </c>
      <c r="AN2764">
        <v>1.00000000675935</v>
      </c>
    </row>
    <row r="2765" spans="1:40" x14ac:dyDescent="0.3">
      <c r="A2765" t="str">
        <f>"20200111150008337"</f>
        <v>20200111150008337</v>
      </c>
      <c r="B2765" t="str">
        <f>"1578726008328500"</f>
        <v>1578726008328500</v>
      </c>
      <c r="C2765" t="s">
        <v>40</v>
      </c>
      <c r="D2765">
        <v>4.0130129999999999</v>
      </c>
      <c r="E2765">
        <v>0.54627569999999903</v>
      </c>
      <c r="F2765" t="s">
        <v>62</v>
      </c>
      <c r="G2765">
        <v>-386.58690000000001</v>
      </c>
      <c r="H2765" s="1">
        <v>1.9684460000000001E-6</v>
      </c>
      <c r="I2765">
        <v>285.28989999999999</v>
      </c>
      <c r="J2765">
        <v>-354.97750000000002</v>
      </c>
      <c r="K2765">
        <v>1.104617</v>
      </c>
      <c r="L2765">
        <v>282.80930000000001</v>
      </c>
      <c r="M2765">
        <v>-0.99964450000000005</v>
      </c>
      <c r="N2765">
        <v>0</v>
      </c>
      <c r="O2765">
        <v>-2.345655E-2</v>
      </c>
      <c r="P2765">
        <v>-0.99544909999999998</v>
      </c>
      <c r="Q2765">
        <v>8.6502449999999995E-2</v>
      </c>
      <c r="R2765">
        <v>-3.9983940000000003E-2</v>
      </c>
      <c r="S2765">
        <v>-3.0324399999999998</v>
      </c>
      <c r="T2765">
        <v>-0.1050127</v>
      </c>
      <c r="U2765">
        <v>0.2351685</v>
      </c>
      <c r="V2765">
        <v>-1.6688229999999998E-2</v>
      </c>
      <c r="W2765">
        <v>9.9128560000000004E-2</v>
      </c>
      <c r="X2765">
        <v>0.99493469999999995</v>
      </c>
      <c r="Y2765">
        <v>0.1006117</v>
      </c>
      <c r="Z2765">
        <v>2.5499780000000001E-3</v>
      </c>
      <c r="AA2765">
        <v>0.99492250000000004</v>
      </c>
      <c r="AB2765">
        <v>42</v>
      </c>
      <c r="AC2765">
        <v>-31.609399999999901</v>
      </c>
      <c r="AD2765">
        <v>-1.104615031554</v>
      </c>
      <c r="AE2765">
        <v>2.4805999999999799</v>
      </c>
      <c r="AF2765">
        <v>3.2175192045418299</v>
      </c>
      <c r="AG2765">
        <v>-1.104615031554</v>
      </c>
      <c r="AH2765">
        <v>31.504272755755501</v>
      </c>
      <c r="AI2765">
        <v>91.997721152866404</v>
      </c>
      <c r="AJ2765">
        <v>84.168622733351597</v>
      </c>
      <c r="AK2765">
        <v>31.687407689310401</v>
      </c>
      <c r="AL2765">
        <v>84.311008765454901</v>
      </c>
      <c r="AM2765">
        <v>90.960942956886797</v>
      </c>
      <c r="AN2765">
        <v>1.0000000128461399</v>
      </c>
    </row>
    <row r="2766" spans="1:40" x14ac:dyDescent="0.3">
      <c r="A2766" t="str">
        <f>"20200111150008349"</f>
        <v>20200111150008349</v>
      </c>
      <c r="B2766" t="str">
        <f>"1578726008339237"</f>
        <v>1578726008339237</v>
      </c>
      <c r="C2766" t="s">
        <v>40</v>
      </c>
      <c r="D2766">
        <v>4.0066079999999999</v>
      </c>
      <c r="E2766">
        <v>0.54670940000000001</v>
      </c>
      <c r="F2766" t="s">
        <v>62</v>
      </c>
      <c r="G2766">
        <v>-387.27679999999998</v>
      </c>
      <c r="H2766" s="1">
        <v>2.3355369999999999E-6</v>
      </c>
      <c r="I2766">
        <v>285.37560000000002</v>
      </c>
      <c r="J2766">
        <v>-355.19650000000001</v>
      </c>
      <c r="K2766">
        <v>1.1046180000000001</v>
      </c>
      <c r="L2766">
        <v>282.80399999999997</v>
      </c>
      <c r="M2766">
        <v>-0.99964140000000001</v>
      </c>
      <c r="N2766">
        <v>0</v>
      </c>
      <c r="O2766">
        <v>-2.3583349999999999E-2</v>
      </c>
      <c r="P2766">
        <v>-0.99545539999999999</v>
      </c>
      <c r="Q2766">
        <v>8.6416010000000001E-2</v>
      </c>
      <c r="R2766">
        <v>-4.0009259999999998E-2</v>
      </c>
      <c r="S2766">
        <v>-3.03241</v>
      </c>
      <c r="T2766">
        <v>-0.1037066</v>
      </c>
      <c r="U2766">
        <v>0.24093629999999999</v>
      </c>
      <c r="V2766">
        <v>-1.6585900000000001E-2</v>
      </c>
      <c r="W2766">
        <v>9.9042199999999997E-2</v>
      </c>
      <c r="X2766">
        <v>0.99494499999999997</v>
      </c>
      <c r="Y2766">
        <v>0.1026199</v>
      </c>
      <c r="Z2766">
        <v>2.5567300000000001E-3</v>
      </c>
      <c r="AA2766">
        <v>0.99471739999999997</v>
      </c>
      <c r="AB2766">
        <v>42</v>
      </c>
      <c r="AC2766">
        <v>-32.080299999999902</v>
      </c>
      <c r="AD2766">
        <v>-1.1046156644630001</v>
      </c>
      <c r="AE2766">
        <v>2.5715999999999801</v>
      </c>
      <c r="AF2766">
        <v>3.3235911139660899</v>
      </c>
      <c r="AG2766">
        <v>-1.1046156644630001</v>
      </c>
      <c r="AH2766">
        <v>31.973058514099002</v>
      </c>
      <c r="AI2766">
        <v>91.968090133465395</v>
      </c>
      <c r="AJ2766">
        <v>84.0654327976129</v>
      </c>
      <c r="AK2766">
        <v>32.164311035758402</v>
      </c>
      <c r="AL2766">
        <v>84.315981232897201</v>
      </c>
      <c r="AM2766">
        <v>90.955041792458104</v>
      </c>
      <c r="AN2766">
        <v>1.00000000124232</v>
      </c>
    </row>
    <row r="2767" spans="1:40" x14ac:dyDescent="0.3">
      <c r="A2767" t="str">
        <f>"20200111150008372"</f>
        <v>20200111150008372</v>
      </c>
      <c r="B2767" t="str">
        <f>"1578726008368516"</f>
        <v>1578726008368516</v>
      </c>
      <c r="C2767" t="s">
        <v>40</v>
      </c>
      <c r="D2767">
        <v>4.029134</v>
      </c>
      <c r="E2767">
        <v>0.54743540000000002</v>
      </c>
      <c r="F2767" t="s">
        <v>62</v>
      </c>
      <c r="G2767">
        <v>-387.54880000000003</v>
      </c>
      <c r="H2767" s="1">
        <v>2.480324E-6</v>
      </c>
      <c r="I2767">
        <v>285.41129999999998</v>
      </c>
      <c r="J2767">
        <v>-355.61919999999998</v>
      </c>
      <c r="K2767">
        <v>1.104609</v>
      </c>
      <c r="L2767">
        <v>282.79390000000001</v>
      </c>
      <c r="M2767">
        <v>-0.99963559999999996</v>
      </c>
      <c r="N2767">
        <v>0</v>
      </c>
      <c r="O2767">
        <v>-2.382863E-2</v>
      </c>
      <c r="P2767">
        <v>-0.99552300000000005</v>
      </c>
      <c r="Q2767">
        <v>8.5762779999999997E-2</v>
      </c>
      <c r="R2767">
        <v>-3.9734289999999998E-2</v>
      </c>
      <c r="S2767">
        <v>-3.0325319999999998</v>
      </c>
      <c r="T2767">
        <v>-0.10354049999999999</v>
      </c>
      <c r="U2767">
        <v>0.24438480000000001</v>
      </c>
      <c r="V2767">
        <v>-1.6064599999999998E-2</v>
      </c>
      <c r="W2767">
        <v>9.8389760000000007E-2</v>
      </c>
      <c r="X2767">
        <v>0.99501830000000002</v>
      </c>
      <c r="Y2767">
        <v>0.10398399999999999</v>
      </c>
      <c r="Z2767">
        <v>2.584027E-3</v>
      </c>
      <c r="AA2767">
        <v>0.9945756</v>
      </c>
      <c r="AB2767">
        <v>42</v>
      </c>
      <c r="AC2767">
        <v>-31.929600000000001</v>
      </c>
      <c r="AD2767">
        <v>-1.104606519676</v>
      </c>
      <c r="AE2767">
        <v>2.6173999999999702</v>
      </c>
      <c r="AF2767">
        <v>3.3735459460408701</v>
      </c>
      <c r="AG2767">
        <v>-1.104606519676</v>
      </c>
      <c r="AH2767">
        <v>31.820329356047601</v>
      </c>
      <c r="AI2767">
        <v>91.977088164527103</v>
      </c>
      <c r="AJ2767">
        <v>83.948189581009203</v>
      </c>
      <c r="AK2767">
        <v>32.017718971542998</v>
      </c>
      <c r="AL2767">
        <v>84.353546863288699</v>
      </c>
      <c r="AM2767">
        <v>90.9249616997391</v>
      </c>
      <c r="AN2767">
        <v>1.0000000167904499</v>
      </c>
    </row>
    <row r="2768" spans="1:40" x14ac:dyDescent="0.3">
      <c r="A2768" t="str">
        <f>"20200111150008385"</f>
        <v>20200111150008385</v>
      </c>
      <c r="B2768" t="str">
        <f>"1578726008378276"</f>
        <v>1578726008378276</v>
      </c>
      <c r="C2768" t="s">
        <v>40</v>
      </c>
      <c r="D2768">
        <v>4.0068169999999999</v>
      </c>
      <c r="E2768">
        <v>0.547821</v>
      </c>
      <c r="F2768" t="s">
        <v>62</v>
      </c>
      <c r="G2768">
        <v>-387.8861</v>
      </c>
      <c r="H2768" s="1">
        <v>2.6597940000000002E-6</v>
      </c>
      <c r="I2768">
        <v>285.46480000000003</v>
      </c>
      <c r="J2768">
        <v>-355.87189999999998</v>
      </c>
      <c r="K2768">
        <v>1.104608</v>
      </c>
      <c r="L2768">
        <v>282.78769999999997</v>
      </c>
      <c r="M2768">
        <v>-0.99963210000000002</v>
      </c>
      <c r="N2768">
        <v>0</v>
      </c>
      <c r="O2768">
        <v>-2.3975110000000001E-2</v>
      </c>
      <c r="P2768">
        <v>-0.99554310000000001</v>
      </c>
      <c r="Q2768">
        <v>8.5684300000000005E-2</v>
      </c>
      <c r="R2768">
        <v>-3.9400350000000001E-2</v>
      </c>
      <c r="S2768">
        <v>-3.03241</v>
      </c>
      <c r="T2768">
        <v>-0.10380979999999999</v>
      </c>
      <c r="U2768">
        <v>0.25100709999999998</v>
      </c>
      <c r="V2768">
        <v>-1.5583609999999999E-2</v>
      </c>
      <c r="W2768">
        <v>9.8311919999999997E-2</v>
      </c>
      <c r="X2768">
        <v>0.99503359999999996</v>
      </c>
      <c r="Y2768">
        <v>0.10628849999999999</v>
      </c>
      <c r="Z2768">
        <v>2.6349960000000001E-3</v>
      </c>
      <c r="AA2768">
        <v>0.99433179999999999</v>
      </c>
      <c r="AB2768">
        <v>42</v>
      </c>
      <c r="AC2768">
        <v>-32.014200000000002</v>
      </c>
      <c r="AD2768">
        <v>-1.1046053402060001</v>
      </c>
      <c r="AE2768">
        <v>2.67710000000005</v>
      </c>
      <c r="AF2768">
        <v>3.43986934314982</v>
      </c>
      <c r="AG2768">
        <v>-1.1046053402060001</v>
      </c>
      <c r="AH2768">
        <v>31.903090441781</v>
      </c>
      <c r="AI2768">
        <v>91.971585568622402</v>
      </c>
      <c r="AJ2768">
        <v>83.846003379841804</v>
      </c>
      <c r="AK2768">
        <v>32.107009106922597</v>
      </c>
      <c r="AL2768">
        <v>84.358028251305498</v>
      </c>
      <c r="AM2768">
        <v>90.897258235403001</v>
      </c>
      <c r="AN2768">
        <v>0.99999997382183803</v>
      </c>
    </row>
    <row r="2769" spans="1:40" x14ac:dyDescent="0.3">
      <c r="A2769" t="str">
        <f>"20200111150008396"</f>
        <v>20200111150008396</v>
      </c>
      <c r="B2769" t="str">
        <f>"1578726008389012"</f>
        <v>1578726008389012</v>
      </c>
      <c r="C2769" t="s">
        <v>40</v>
      </c>
      <c r="D2769">
        <v>4.0209679999999999</v>
      </c>
      <c r="E2769">
        <v>0.54812309999999997</v>
      </c>
      <c r="F2769" t="s">
        <v>62</v>
      </c>
      <c r="G2769">
        <v>-388.14670000000001</v>
      </c>
      <c r="H2769" s="1">
        <v>2.798502E-6</v>
      </c>
      <c r="I2769">
        <v>285.50170000000003</v>
      </c>
      <c r="J2769">
        <v>-356.10250000000002</v>
      </c>
      <c r="K2769">
        <v>1.104606</v>
      </c>
      <c r="L2769">
        <v>282.78199999999998</v>
      </c>
      <c r="M2769">
        <v>-0.99962890000000004</v>
      </c>
      <c r="N2769">
        <v>0</v>
      </c>
      <c r="O2769">
        <v>-2.4108600000000001E-2</v>
      </c>
      <c r="P2769">
        <v>-0.99557320000000005</v>
      </c>
      <c r="Q2769">
        <v>8.5318939999999996E-2</v>
      </c>
      <c r="R2769">
        <v>-3.9435600000000001E-2</v>
      </c>
      <c r="S2769">
        <v>-3.0325009999999999</v>
      </c>
      <c r="T2769">
        <v>-0.1037874</v>
      </c>
      <c r="U2769">
        <v>0.25500489999999998</v>
      </c>
      <c r="V2769">
        <v>-1.548501E-2</v>
      </c>
      <c r="W2769">
        <v>9.7946530000000004E-2</v>
      </c>
      <c r="X2769">
        <v>0.99507120000000004</v>
      </c>
      <c r="Y2769">
        <v>0.1077196</v>
      </c>
      <c r="Z2769">
        <v>2.6632090000000001E-3</v>
      </c>
      <c r="AA2769">
        <v>0.9941778</v>
      </c>
      <c r="AB2769">
        <v>42</v>
      </c>
      <c r="AC2769">
        <v>-32.044199999999897</v>
      </c>
      <c r="AD2769">
        <v>-1.1046032014980001</v>
      </c>
      <c r="AE2769">
        <v>2.71970000000004</v>
      </c>
      <c r="AF2769">
        <v>3.4873979945915199</v>
      </c>
      <c r="AG2769">
        <v>-1.1046032014980001</v>
      </c>
      <c r="AH2769">
        <v>31.931639359468999</v>
      </c>
      <c r="AI2769">
        <v>91.969526573937202</v>
      </c>
      <c r="AJ2769">
        <v>83.7671731299871</v>
      </c>
      <c r="AK2769">
        <v>32.140499143427</v>
      </c>
      <c r="AL2769">
        <v>84.379065238745994</v>
      </c>
      <c r="AM2769">
        <v>90.891548373865803</v>
      </c>
      <c r="AN2769">
        <v>1.0000000006715899</v>
      </c>
    </row>
    <row r="2770" spans="1:40" x14ac:dyDescent="0.3">
      <c r="A2770" t="str">
        <f>"20200111150008411"</f>
        <v>20200111150008411</v>
      </c>
      <c r="B2770" t="str">
        <f>"1578726008398772"</f>
        <v>1578726008398772</v>
      </c>
      <c r="C2770" t="s">
        <v>40</v>
      </c>
      <c r="D2770">
        <v>4.0383820000000004</v>
      </c>
      <c r="E2770">
        <v>0.54845859999999902</v>
      </c>
      <c r="F2770" t="s">
        <v>62</v>
      </c>
      <c r="G2770">
        <v>-388.23719999999997</v>
      </c>
      <c r="H2770" s="1">
        <v>2.8466629999999998E-6</v>
      </c>
      <c r="I2770">
        <v>285.50659999999999</v>
      </c>
      <c r="J2770">
        <v>-356.35309999999998</v>
      </c>
      <c r="K2770">
        <v>1.1046039999999999</v>
      </c>
      <c r="L2770">
        <v>282.77589999999998</v>
      </c>
      <c r="M2770">
        <v>-0.99962530000000005</v>
      </c>
      <c r="N2770">
        <v>0</v>
      </c>
      <c r="O2770">
        <v>-2.425331E-2</v>
      </c>
      <c r="P2770">
        <v>-0.99558250000000004</v>
      </c>
      <c r="Q2770">
        <v>8.5094580000000003E-2</v>
      </c>
      <c r="R2770">
        <v>-3.9681319999999999E-2</v>
      </c>
      <c r="S2770">
        <v>-3.0324710000000001</v>
      </c>
      <c r="T2770">
        <v>-0.10423839999999999</v>
      </c>
      <c r="U2770">
        <v>0.25711060000000002</v>
      </c>
      <c r="V2770">
        <v>-1.5585470000000001E-2</v>
      </c>
      <c r="W2770">
        <v>9.772256E-2</v>
      </c>
      <c r="X2770">
        <v>0.99509170000000002</v>
      </c>
      <c r="Y2770">
        <v>0.10854850000000001</v>
      </c>
      <c r="Z2770">
        <v>2.6939070000000002E-3</v>
      </c>
      <c r="AA2770">
        <v>0.99408750000000001</v>
      </c>
      <c r="AB2770">
        <v>42</v>
      </c>
      <c r="AC2770">
        <v>-31.884099999999901</v>
      </c>
      <c r="AD2770">
        <v>-1.1046011533369999</v>
      </c>
      <c r="AE2770">
        <v>2.7307000000000099</v>
      </c>
      <c r="AF2770">
        <v>3.4990847468781401</v>
      </c>
      <c r="AG2770">
        <v>-1.1046011533369999</v>
      </c>
      <c r="AH2770">
        <v>31.7706315368501</v>
      </c>
      <c r="AI2770">
        <v>91.979298713776402</v>
      </c>
      <c r="AJ2770">
        <v>83.715012406889301</v>
      </c>
      <c r="AK2770">
        <v>31.9818193044749</v>
      </c>
      <c r="AL2770">
        <v>84.391959901990305</v>
      </c>
      <c r="AM2770">
        <v>90.897312925674399</v>
      </c>
      <c r="AN2770">
        <v>1.0000000485084799</v>
      </c>
    </row>
    <row r="2771" spans="1:40" x14ac:dyDescent="0.3">
      <c r="A2771" t="str">
        <f>"20200111150008424"</f>
        <v>20200111150008424</v>
      </c>
      <c r="B2771" t="str">
        <f>"1578726008418982"</f>
        <v>1578726008418982</v>
      </c>
      <c r="C2771" t="s">
        <v>40</v>
      </c>
      <c r="D2771">
        <v>4.0123680000000004</v>
      </c>
      <c r="E2771">
        <v>0.5490623</v>
      </c>
      <c r="F2771" t="s">
        <v>62</v>
      </c>
      <c r="G2771">
        <v>-388.54730000000001</v>
      </c>
      <c r="H2771" s="1">
        <v>3.0116460000000001E-6</v>
      </c>
      <c r="I2771">
        <v>285.52809999999999</v>
      </c>
      <c r="J2771">
        <v>-356.61930000000001</v>
      </c>
      <c r="K2771">
        <v>1.1046020000000001</v>
      </c>
      <c r="L2771">
        <v>282.76929999999999</v>
      </c>
      <c r="M2771">
        <v>-0.99962169999999895</v>
      </c>
      <c r="N2771">
        <v>0</v>
      </c>
      <c r="O2771">
        <v>-2.4407419999999999E-2</v>
      </c>
      <c r="P2771">
        <v>-0.99556219999999995</v>
      </c>
      <c r="Q2771">
        <v>8.517624E-2</v>
      </c>
      <c r="R2771">
        <v>-4.0013449999999999E-2</v>
      </c>
      <c r="S2771">
        <v>-3.0325319999999998</v>
      </c>
      <c r="T2771">
        <v>-0.1040481</v>
      </c>
      <c r="U2771">
        <v>0.2592468</v>
      </c>
      <c r="V2771">
        <v>-1.5764230000000001E-2</v>
      </c>
      <c r="W2771">
        <v>9.7803699999999993E-2</v>
      </c>
      <c r="X2771">
        <v>0.99508090000000005</v>
      </c>
      <c r="Y2771">
        <v>0.10939500000000001</v>
      </c>
      <c r="Z2771">
        <v>2.708631E-3</v>
      </c>
      <c r="AA2771">
        <v>0.99399470000000001</v>
      </c>
      <c r="AB2771">
        <v>42</v>
      </c>
      <c r="AC2771">
        <v>-31.928000000000001</v>
      </c>
      <c r="AD2771">
        <v>-1.1045989883539999</v>
      </c>
      <c r="AE2771">
        <v>2.7587999999999999</v>
      </c>
      <c r="AF2771">
        <v>3.5331232148074201</v>
      </c>
      <c r="AG2771">
        <v>-1.1045989883539999</v>
      </c>
      <c r="AH2771">
        <v>31.813350433821899</v>
      </c>
      <c r="AI2771">
        <v>91.976440188214895</v>
      </c>
      <c r="AJ2771">
        <v>83.662821066859095</v>
      </c>
      <c r="AK2771">
        <v>32.0279934495004</v>
      </c>
      <c r="AL2771">
        <v>84.387288475727502</v>
      </c>
      <c r="AM2771">
        <v>90.907612934533503</v>
      </c>
      <c r="AN2771">
        <v>1.0000000361129899</v>
      </c>
    </row>
    <row r="2772" spans="1:40" x14ac:dyDescent="0.3">
      <c r="A2772" t="str">
        <f>"20200111150008438"</f>
        <v>20200111150008438</v>
      </c>
      <c r="B2772" t="str">
        <f>"1578726008428742"</f>
        <v>1578726008428742</v>
      </c>
      <c r="C2772" t="s">
        <v>40</v>
      </c>
      <c r="D2772">
        <v>3.9899439999999999</v>
      </c>
      <c r="E2772">
        <v>0.54939569999999904</v>
      </c>
      <c r="F2772" t="s">
        <v>62</v>
      </c>
      <c r="G2772">
        <v>-389.51010000000002</v>
      </c>
      <c r="H2772" s="1">
        <v>3.5239900000000002E-6</v>
      </c>
      <c r="I2772">
        <v>285.62459999999999</v>
      </c>
      <c r="J2772">
        <v>-356.88459999999998</v>
      </c>
      <c r="K2772">
        <v>1.1045969999999901</v>
      </c>
      <c r="L2772">
        <v>282.76260000000002</v>
      </c>
      <c r="M2772">
        <v>-0.99961789999999995</v>
      </c>
      <c r="N2772">
        <v>0</v>
      </c>
      <c r="O2772">
        <v>-2.4561059999999999E-2</v>
      </c>
      <c r="P2772">
        <v>-0.99555360000000004</v>
      </c>
      <c r="Q2772">
        <v>8.488242E-2</v>
      </c>
      <c r="R2772">
        <v>-4.0843810000000001E-2</v>
      </c>
      <c r="S2772">
        <v>-3.0326840000000002</v>
      </c>
      <c r="T2772">
        <v>-0.1018491</v>
      </c>
      <c r="U2772">
        <v>0.26327509999999998</v>
      </c>
      <c r="V2772">
        <v>-1.6441330000000001E-2</v>
      </c>
      <c r="W2772">
        <v>9.7509479999999996E-2</v>
      </c>
      <c r="X2772">
        <v>0.99509879999999995</v>
      </c>
      <c r="Y2772">
        <v>0.11085639999999899</v>
      </c>
      <c r="Z2772">
        <v>2.680773E-3</v>
      </c>
      <c r="AA2772">
        <v>0.99383279999999996</v>
      </c>
      <c r="AB2772">
        <v>42</v>
      </c>
      <c r="AC2772">
        <v>-32.625500000000002</v>
      </c>
      <c r="AD2772">
        <v>-1.10459347600999</v>
      </c>
      <c r="AE2772">
        <v>2.8619999999999601</v>
      </c>
      <c r="AF2772">
        <v>3.65835631059627</v>
      </c>
      <c r="AG2772">
        <v>-1.10459347600999</v>
      </c>
      <c r="AH2772">
        <v>32.508377802222398</v>
      </c>
      <c r="AI2772">
        <v>91.933891432947604</v>
      </c>
      <c r="AJ2772">
        <v>83.579187711030499</v>
      </c>
      <c r="AK2772">
        <v>32.732221509921203</v>
      </c>
      <c r="AL2772">
        <v>84.404226905998698</v>
      </c>
      <c r="AM2772">
        <v>90.946572453994705</v>
      </c>
      <c r="AN2772">
        <v>1.00000001889173</v>
      </c>
    </row>
    <row r="2773" spans="1:40" x14ac:dyDescent="0.3">
      <c r="A2773" t="str">
        <f>"20200111150008461"</f>
        <v>20200111150008461</v>
      </c>
      <c r="B2773" t="str">
        <f>"1578726008458998"</f>
        <v>1578726008458998</v>
      </c>
      <c r="C2773" t="s">
        <v>40</v>
      </c>
      <c r="D2773">
        <v>3.9689320000000001</v>
      </c>
      <c r="E2773">
        <v>0.55028630000000001</v>
      </c>
      <c r="F2773" t="s">
        <v>62</v>
      </c>
      <c r="G2773">
        <v>-389.73540000000003</v>
      </c>
      <c r="H2773" s="1">
        <v>3.6439200000000001E-6</v>
      </c>
      <c r="I2773">
        <v>285.6173</v>
      </c>
      <c r="J2773">
        <v>-357.31199999999899</v>
      </c>
      <c r="K2773">
        <v>1.1045959999999999</v>
      </c>
      <c r="L2773">
        <v>282.75189999999998</v>
      </c>
      <c r="M2773">
        <v>-0.9996119</v>
      </c>
      <c r="N2773">
        <v>0</v>
      </c>
      <c r="O2773">
        <v>-2.4807679999999999E-2</v>
      </c>
      <c r="P2773">
        <v>-0.99560850000000001</v>
      </c>
      <c r="Q2773">
        <v>8.4021390000000001E-2</v>
      </c>
      <c r="R2773">
        <v>-4.1287329999999997E-2</v>
      </c>
      <c r="S2773">
        <v>-3.032867</v>
      </c>
      <c r="T2773">
        <v>-0.10197879999999999</v>
      </c>
      <c r="U2773">
        <v>0.2635498</v>
      </c>
      <c r="V2773">
        <v>-1.66368E-2</v>
      </c>
      <c r="W2773">
        <v>9.6648579999999998E-2</v>
      </c>
      <c r="X2773">
        <v>0.99517949999999999</v>
      </c>
      <c r="Y2773">
        <v>0.111185199999999</v>
      </c>
      <c r="Z2773">
        <v>2.6978079999999999E-3</v>
      </c>
      <c r="AA2773">
        <v>0.99379609999999996</v>
      </c>
      <c r="AB2773">
        <v>42</v>
      </c>
      <c r="AC2773">
        <v>-32.423400000000001</v>
      </c>
      <c r="AD2773">
        <v>-1.1045923560799999</v>
      </c>
      <c r="AE2773">
        <v>2.8654000000000202</v>
      </c>
      <c r="AF2773">
        <v>3.6647116029032101</v>
      </c>
      <c r="AG2773">
        <v>-1.1045923560799999</v>
      </c>
      <c r="AH2773">
        <v>32.305127053265203</v>
      </c>
      <c r="AI2773">
        <v>91.945851125684598</v>
      </c>
      <c r="AJ2773">
        <v>83.528002425935298</v>
      </c>
      <c r="AK2773">
        <v>32.531084662721803</v>
      </c>
      <c r="AL2773">
        <v>84.453786738126894</v>
      </c>
      <c r="AM2773">
        <v>90.957746457319004</v>
      </c>
      <c r="AN2773">
        <v>0.99999998417525304</v>
      </c>
    </row>
    <row r="2774" spans="1:40" x14ac:dyDescent="0.3">
      <c r="A2774" t="str">
        <f>"20200111150008475"</f>
        <v>20200111150008475</v>
      </c>
      <c r="B2774" t="str">
        <f>"1578726008468758"</f>
        <v>1578726008468758</v>
      </c>
      <c r="C2774" t="s">
        <v>40</v>
      </c>
      <c r="D2774">
        <v>4.0115049999999997</v>
      </c>
      <c r="E2774">
        <v>0.55056110000000003</v>
      </c>
      <c r="F2774" t="s">
        <v>62</v>
      </c>
      <c r="G2774">
        <v>-389.96210000000002</v>
      </c>
      <c r="H2774" s="1">
        <v>-1.5569489999999999E-6</v>
      </c>
      <c r="I2774">
        <v>285.65300000000002</v>
      </c>
      <c r="J2774">
        <v>-357.58569999999997</v>
      </c>
      <c r="K2774">
        <v>1.1045959999999999</v>
      </c>
      <c r="L2774">
        <v>282.745</v>
      </c>
      <c r="M2774">
        <v>-0.99960780000000005</v>
      </c>
      <c r="N2774">
        <v>0</v>
      </c>
      <c r="O2774">
        <v>-2.4964179999999999E-2</v>
      </c>
      <c r="P2774">
        <v>-0.99561659999999996</v>
      </c>
      <c r="Q2774">
        <v>8.3899719999999997E-2</v>
      </c>
      <c r="R2774">
        <v>-4.1333219999999997E-2</v>
      </c>
      <c r="S2774">
        <v>-3.0330810000000001</v>
      </c>
      <c r="T2774">
        <v>-0.1026131</v>
      </c>
      <c r="U2774">
        <v>0.26950069999999998</v>
      </c>
      <c r="V2774">
        <v>-1.6525959999999999E-2</v>
      </c>
      <c r="W2774">
        <v>9.6527080000000001E-2</v>
      </c>
      <c r="X2774">
        <v>0.9951932</v>
      </c>
      <c r="Y2774">
        <v>0.1132672</v>
      </c>
      <c r="Z2774">
        <v>2.7545849999999999E-3</v>
      </c>
      <c r="AA2774">
        <v>0.99356069999999996</v>
      </c>
      <c r="AB2774">
        <v>42</v>
      </c>
      <c r="AC2774">
        <v>-32.376399999999997</v>
      </c>
      <c r="AD2774">
        <v>-1.1045975569490001</v>
      </c>
      <c r="AE2774">
        <v>2.9080000000000101</v>
      </c>
      <c r="AF2774">
        <v>3.71112377004301</v>
      </c>
      <c r="AG2774">
        <v>-1.1045975569490001</v>
      </c>
      <c r="AH2774">
        <v>32.256460591602099</v>
      </c>
      <c r="AI2774">
        <v>91.948440277802703</v>
      </c>
      <c r="AJ2774">
        <v>83.436944700716495</v>
      </c>
      <c r="AK2774">
        <v>32.488025875651097</v>
      </c>
      <c r="AL2774">
        <v>84.460781214359997</v>
      </c>
      <c r="AM2774">
        <v>90.951353708259603</v>
      </c>
      <c r="AN2774">
        <v>1.0000000449267401</v>
      </c>
    </row>
    <row r="2775" spans="1:40" x14ac:dyDescent="0.3">
      <c r="A2775" t="str">
        <f>"20200111150008489"</f>
        <v>20200111150008489</v>
      </c>
      <c r="B2775" t="str">
        <f>"1578726008478518"</f>
        <v>1578726008478518</v>
      </c>
      <c r="C2775" t="s">
        <v>40</v>
      </c>
      <c r="D2775">
        <v>4.0620370000000001</v>
      </c>
      <c r="E2775">
        <v>0.55086369999999996</v>
      </c>
      <c r="F2775" t="s">
        <v>62</v>
      </c>
      <c r="G2775">
        <v>-390.48559999999998</v>
      </c>
      <c r="H2775" s="1">
        <v>-1.2783669999999901E-6</v>
      </c>
      <c r="I2775">
        <v>285.68979999999999</v>
      </c>
      <c r="J2775">
        <v>-357.83370000000002</v>
      </c>
      <c r="K2775">
        <v>1.1045929999999999</v>
      </c>
      <c r="L2775">
        <v>282.73860000000002</v>
      </c>
      <c r="M2775">
        <v>-0.9996043</v>
      </c>
      <c r="N2775">
        <v>0</v>
      </c>
      <c r="O2775">
        <v>-2.5105410000000002E-2</v>
      </c>
      <c r="P2775">
        <v>-0.99562050000000002</v>
      </c>
      <c r="Q2775">
        <v>8.3845619999999996E-2</v>
      </c>
      <c r="R2775">
        <v>-4.1347340000000003E-2</v>
      </c>
      <c r="S2775">
        <v>-3.03302</v>
      </c>
      <c r="T2775">
        <v>-0.10183200000000001</v>
      </c>
      <c r="U2775">
        <v>0.27148440000000001</v>
      </c>
      <c r="V2775">
        <v>-1.6398869999999999E-2</v>
      </c>
      <c r="W2775">
        <v>9.6472479999999999E-2</v>
      </c>
      <c r="X2775">
        <v>0.99520059999999999</v>
      </c>
      <c r="Y2775">
        <v>0.11405469999999999</v>
      </c>
      <c r="Z2775">
        <v>2.751529E-3</v>
      </c>
      <c r="AA2775">
        <v>0.99347070000000004</v>
      </c>
      <c r="AB2775">
        <v>42</v>
      </c>
      <c r="AC2775">
        <v>-32.651899999999898</v>
      </c>
      <c r="AD2775">
        <v>-1.104594278367</v>
      </c>
      <c r="AE2775">
        <v>2.9511999999999698</v>
      </c>
      <c r="AF2775">
        <v>3.7658002106236501</v>
      </c>
      <c r="AG2775">
        <v>-1.104594278367</v>
      </c>
      <c r="AH2775">
        <v>32.530582466498103</v>
      </c>
      <c r="AI2775">
        <v>91.931871951936699</v>
      </c>
      <c r="AJ2775">
        <v>83.396726632440803</v>
      </c>
      <c r="AK2775">
        <v>32.766448928069202</v>
      </c>
      <c r="AL2775">
        <v>84.463924250889605</v>
      </c>
      <c r="AM2775">
        <v>90.944031800123497</v>
      </c>
      <c r="AN2775">
        <v>1.00000004828749</v>
      </c>
    </row>
    <row r="2776" spans="1:40" x14ac:dyDescent="0.3">
      <c r="A2776" t="str">
        <f>"20200111150008502"</f>
        <v>20200111150008502</v>
      </c>
      <c r="B2776" t="str">
        <f>"1578726008499014"</f>
        <v>1578726008499014</v>
      </c>
      <c r="C2776" t="s">
        <v>40</v>
      </c>
      <c r="D2776">
        <v>4.0269899999999996</v>
      </c>
      <c r="E2776">
        <v>0.55148299999999995</v>
      </c>
      <c r="F2776" t="s">
        <v>62</v>
      </c>
      <c r="G2776">
        <v>-390.80509999999998</v>
      </c>
      <c r="H2776" s="1">
        <v>-1.1083259999999999E-6</v>
      </c>
      <c r="I2776">
        <v>285.71699999999998</v>
      </c>
      <c r="J2776">
        <v>-358.09539999999998</v>
      </c>
      <c r="K2776">
        <v>1.1045910000000001</v>
      </c>
      <c r="L2776">
        <v>282.7319</v>
      </c>
      <c r="M2776">
        <v>-0.99960070000000001</v>
      </c>
      <c r="N2776">
        <v>0</v>
      </c>
      <c r="O2776">
        <v>-2.5252710000000001E-2</v>
      </c>
      <c r="P2776">
        <v>-0.99557989999999996</v>
      </c>
      <c r="Q2776">
        <v>8.4171380000000004E-2</v>
      </c>
      <c r="R2776">
        <v>-4.1670100000000002E-2</v>
      </c>
      <c r="S2776">
        <v>-3.033112</v>
      </c>
      <c r="T2776">
        <v>-0.10161389999999999</v>
      </c>
      <c r="U2776">
        <v>0.27398679999999997</v>
      </c>
      <c r="V2776">
        <v>-1.6575349999999999E-2</v>
      </c>
      <c r="W2776">
        <v>9.6797620000000001E-2</v>
      </c>
      <c r="X2776">
        <v>0.99516610000000005</v>
      </c>
      <c r="Y2776">
        <v>0.11501119999999999</v>
      </c>
      <c r="Z2776">
        <v>2.766367E-3</v>
      </c>
      <c r="AA2776">
        <v>0.99336029999999997</v>
      </c>
      <c r="AB2776">
        <v>42</v>
      </c>
      <c r="AC2776">
        <v>-32.709699999999998</v>
      </c>
      <c r="AD2776">
        <v>-1.104592108326</v>
      </c>
      <c r="AE2776">
        <v>2.9850999999999801</v>
      </c>
      <c r="AF2776">
        <v>3.8059185037916698</v>
      </c>
      <c r="AG2776">
        <v>-1.104592108326</v>
      </c>
      <c r="AH2776">
        <v>32.587024511371297</v>
      </c>
      <c r="AI2776">
        <v>91.928296776200696</v>
      </c>
      <c r="AJ2776">
        <v>83.338464852446904</v>
      </c>
      <c r="AK2776">
        <v>32.827112359877098</v>
      </c>
      <c r="AL2776">
        <v>84.445207481641106</v>
      </c>
      <c r="AM2776">
        <v>90.954222408271406</v>
      </c>
      <c r="AN2776">
        <v>1.0000000440272401</v>
      </c>
    </row>
    <row r="2777" spans="1:40" x14ac:dyDescent="0.3">
      <c r="A2777" t="str">
        <f>"20200111150008517"</f>
        <v>20200111150008517</v>
      </c>
      <c r="B2777" t="str">
        <f>"1578726008508775"</f>
        <v>1578726008508775</v>
      </c>
      <c r="C2777" t="s">
        <v>40</v>
      </c>
      <c r="D2777">
        <v>3.9772319999999999</v>
      </c>
      <c r="E2777">
        <v>0.55167290000000002</v>
      </c>
      <c r="F2777" t="s">
        <v>62</v>
      </c>
      <c r="G2777">
        <v>-391.89240000000001</v>
      </c>
      <c r="H2777" s="1">
        <v>-5.2974140000000003E-7</v>
      </c>
      <c r="I2777">
        <v>285.82960000000003</v>
      </c>
      <c r="J2777">
        <v>-358.38220000000001</v>
      </c>
      <c r="K2777">
        <v>1.104589</v>
      </c>
      <c r="L2777">
        <v>282.72449999999998</v>
      </c>
      <c r="M2777">
        <v>-0.99959679999999995</v>
      </c>
      <c r="N2777">
        <v>0</v>
      </c>
      <c r="O2777">
        <v>-2.5404360000000001E-2</v>
      </c>
      <c r="P2777">
        <v>-0.99553290000000005</v>
      </c>
      <c r="Q2777">
        <v>8.4272130000000001E-2</v>
      </c>
      <c r="R2777">
        <v>-4.2572939999999997E-2</v>
      </c>
      <c r="S2777">
        <v>-3.033325</v>
      </c>
      <c r="T2777">
        <v>-9.9138500000000004E-2</v>
      </c>
      <c r="U2777">
        <v>0.27801510000000001</v>
      </c>
      <c r="V2777">
        <v>-1.7326830000000001E-2</v>
      </c>
      <c r="W2777">
        <v>9.6897739999999996E-2</v>
      </c>
      <c r="X2777">
        <v>0.99514349999999996</v>
      </c>
      <c r="Y2777">
        <v>0.1164668</v>
      </c>
      <c r="Z2777">
        <v>2.7273419999999998E-3</v>
      </c>
      <c r="AA2777">
        <v>0.99319080000000004</v>
      </c>
      <c r="AB2777">
        <v>42</v>
      </c>
      <c r="AC2777">
        <v>-33.510199999999998</v>
      </c>
      <c r="AD2777">
        <v>-1.1045895297413999</v>
      </c>
      <c r="AE2777">
        <v>3.1051000000000499</v>
      </c>
      <c r="AF2777">
        <v>3.95121472589048</v>
      </c>
      <c r="AG2777">
        <v>-1.1045895297413999</v>
      </c>
      <c r="AH2777">
        <v>33.384528659361102</v>
      </c>
      <c r="AI2777">
        <v>91.881921199182798</v>
      </c>
      <c r="AJ2777">
        <v>83.250177086308597</v>
      </c>
      <c r="AK2777">
        <v>33.635680008690301</v>
      </c>
      <c r="AL2777">
        <v>84.4394436245355</v>
      </c>
      <c r="AM2777">
        <v>90.997498280033</v>
      </c>
      <c r="AN2777">
        <v>0.99999998832360304</v>
      </c>
    </row>
    <row r="2778" spans="1:40" x14ac:dyDescent="0.3">
      <c r="A2778" t="str">
        <f>"20200111150008531"</f>
        <v>20200111150008531</v>
      </c>
      <c r="B2778" t="str">
        <f>"1578726008528935"</f>
        <v>1578726008528935</v>
      </c>
      <c r="C2778" t="s">
        <v>40</v>
      </c>
      <c r="D2778">
        <v>4.0529739999999999</v>
      </c>
      <c r="E2778">
        <v>0.57036089999999995</v>
      </c>
      <c r="F2778" t="s">
        <v>62</v>
      </c>
      <c r="G2778">
        <v>-392.93290000000002</v>
      </c>
      <c r="H2778" s="1">
        <v>2.3957109999999999E-8</v>
      </c>
      <c r="I2778">
        <v>285.88330000000002</v>
      </c>
      <c r="J2778">
        <v>-358.63959999999997</v>
      </c>
      <c r="K2778">
        <v>1.104579</v>
      </c>
      <c r="L2778">
        <v>282.71789999999999</v>
      </c>
      <c r="M2778">
        <v>-0.99959359999999997</v>
      </c>
      <c r="N2778">
        <v>0</v>
      </c>
      <c r="O2778">
        <v>-2.5527580000000001E-2</v>
      </c>
      <c r="P2778">
        <v>-0.99548300000000001</v>
      </c>
      <c r="Q2778">
        <v>8.4553970000000006E-2</v>
      </c>
      <c r="R2778">
        <v>-4.3176270000000003E-2</v>
      </c>
      <c r="S2778">
        <v>-3.033569</v>
      </c>
      <c r="T2778">
        <v>-9.6983429999999995E-2</v>
      </c>
      <c r="U2778">
        <v>0.27734379999999997</v>
      </c>
      <c r="V2778">
        <v>-1.7806550000000001E-2</v>
      </c>
      <c r="W2778">
        <v>9.7178710000000001E-2</v>
      </c>
      <c r="X2778">
        <v>0.99510770000000004</v>
      </c>
      <c r="Y2778">
        <v>0.1163672</v>
      </c>
      <c r="Z2778">
        <v>2.6702409999999998E-3</v>
      </c>
      <c r="AA2778">
        <v>0.99320269999999999</v>
      </c>
      <c r="AB2778">
        <v>42</v>
      </c>
      <c r="AC2778">
        <v>-34.293300000000002</v>
      </c>
      <c r="AD2778">
        <v>-1.1045789760428899</v>
      </c>
      <c r="AE2778">
        <v>3.1654000000000302</v>
      </c>
      <c r="AF2778">
        <v>4.0357121635700404</v>
      </c>
      <c r="AG2778">
        <v>-1.1045789760428899</v>
      </c>
      <c r="AH2778">
        <v>34.166164258599999</v>
      </c>
      <c r="AI2778">
        <v>91.838930194397093</v>
      </c>
      <c r="AJ2778">
        <v>83.263429052660697</v>
      </c>
      <c r="AK2778">
        <v>34.421415536365402</v>
      </c>
      <c r="AL2778">
        <v>84.423269266612294</v>
      </c>
      <c r="AM2778">
        <v>91.025146615241596</v>
      </c>
      <c r="AN2778">
        <v>1.0000000547497201</v>
      </c>
    </row>
    <row r="2779" spans="1:40" x14ac:dyDescent="0.3">
      <c r="A2779" t="str">
        <f>"20200111150008545"</f>
        <v>20200111150008545</v>
      </c>
      <c r="B2779" t="str">
        <f>"1578726008538695"</f>
        <v>1578726008538695</v>
      </c>
      <c r="C2779" t="s">
        <v>40</v>
      </c>
      <c r="D2779">
        <v>4.0798990000000002</v>
      </c>
      <c r="E2779">
        <v>0.57036089999999995</v>
      </c>
      <c r="F2779" t="s">
        <v>62</v>
      </c>
      <c r="G2779">
        <v>-380.18740000000003</v>
      </c>
      <c r="H2779" s="1">
        <v>-1.437084E-6</v>
      </c>
      <c r="I2779">
        <v>285.71359999999999</v>
      </c>
      <c r="J2779">
        <v>-358.90260000000001</v>
      </c>
      <c r="K2779">
        <v>1.104565</v>
      </c>
      <c r="L2779">
        <v>282.71100000000001</v>
      </c>
      <c r="M2779">
        <v>-0.9995908</v>
      </c>
      <c r="N2779">
        <v>0</v>
      </c>
      <c r="O2779">
        <v>-2.5639390000000001E-2</v>
      </c>
      <c r="P2779">
        <v>-0.99546080000000003</v>
      </c>
      <c r="Q2779">
        <v>8.4527850000000002E-2</v>
      </c>
      <c r="R2779">
        <v>-4.373987E-2</v>
      </c>
      <c r="S2779">
        <v>-3.0452270000000001</v>
      </c>
      <c r="T2779">
        <v>-0.15610389999999999</v>
      </c>
      <c r="U2779">
        <v>0.42337039999999998</v>
      </c>
      <c r="V2779">
        <v>-1.8255480000000001E-2</v>
      </c>
      <c r="W2779">
        <v>9.7152119999999995E-2</v>
      </c>
      <c r="X2779">
        <v>0.99510209999999999</v>
      </c>
      <c r="Y2779">
        <v>0.16281199999999901</v>
      </c>
      <c r="Z2779">
        <v>5.4581269999999897E-3</v>
      </c>
      <c r="AA2779">
        <v>0.98664200000000002</v>
      </c>
      <c r="AB2779">
        <v>42</v>
      </c>
      <c r="AC2779">
        <v>-21.284800000000001</v>
      </c>
      <c r="AD2779">
        <v>-1.104566437084</v>
      </c>
      <c r="AE2779">
        <v>3.00259999999997</v>
      </c>
      <c r="AF2779">
        <v>3.5380437218940699</v>
      </c>
      <c r="AG2779">
        <v>-1.104566437084</v>
      </c>
      <c r="AH2779">
        <v>21.1449772110645</v>
      </c>
      <c r="AI2779">
        <v>92.949358002490897</v>
      </c>
      <c r="AJ2779">
        <v>80.501085798813406</v>
      </c>
      <c r="AK2779">
        <v>21.467367832326399</v>
      </c>
      <c r="AL2779">
        <v>84.424799660126098</v>
      </c>
      <c r="AM2779">
        <v>91.0509922959004</v>
      </c>
      <c r="AN2779">
        <v>0.99999999319746702</v>
      </c>
    </row>
    <row r="2780" spans="1:40" x14ac:dyDescent="0.3">
      <c r="A2780" t="str">
        <f>"20200111150008557"</f>
        <v>20200111150008557</v>
      </c>
      <c r="B2780" t="str">
        <f>"1578726008548455"</f>
        <v>1578726008548455</v>
      </c>
      <c r="C2780" t="s">
        <v>40</v>
      </c>
      <c r="D2780">
        <v>4.062373</v>
      </c>
      <c r="E2780">
        <v>0.57179309999999905</v>
      </c>
      <c r="F2780" t="s">
        <v>62</v>
      </c>
      <c r="G2780">
        <v>-380.4513</v>
      </c>
      <c r="H2780" s="1">
        <v>-1.296647E-6</v>
      </c>
      <c r="I2780">
        <v>285.69409999999999</v>
      </c>
      <c r="J2780">
        <v>-359.14729999999997</v>
      </c>
      <c r="K2780">
        <v>1.10454599999999</v>
      </c>
      <c r="L2780">
        <v>282.7047</v>
      </c>
      <c r="M2780">
        <v>-0.9995887</v>
      </c>
      <c r="N2780">
        <v>0</v>
      </c>
      <c r="O2780">
        <v>-2.5722849999999998E-2</v>
      </c>
      <c r="P2780">
        <v>-0.99540530000000005</v>
      </c>
      <c r="Q2780">
        <v>8.4863670000000002E-2</v>
      </c>
      <c r="R2780">
        <v>-4.4350180000000003E-2</v>
      </c>
      <c r="S2780">
        <v>-3.045471</v>
      </c>
      <c r="T2780">
        <v>-0.15610859999999999</v>
      </c>
      <c r="U2780">
        <v>0.42160029999999998</v>
      </c>
      <c r="V2780">
        <v>-1.8779179999999999E-2</v>
      </c>
      <c r="W2780">
        <v>9.748764E-2</v>
      </c>
      <c r="X2780">
        <v>0.99505949999999999</v>
      </c>
      <c r="Y2780">
        <v>0.16232160000000001</v>
      </c>
      <c r="Z2780">
        <v>5.4498259999999996E-3</v>
      </c>
      <c r="AA2780">
        <v>0.98672289999999996</v>
      </c>
      <c r="AB2780">
        <v>42</v>
      </c>
      <c r="AC2780">
        <v>-21.303999999999998</v>
      </c>
      <c r="AD2780">
        <v>-1.10454729664699</v>
      </c>
      <c r="AE2780">
        <v>2.9893999999999799</v>
      </c>
      <c r="AF2780">
        <v>3.5271560533640498</v>
      </c>
      <c r="AG2780">
        <v>-1.10454729664699</v>
      </c>
      <c r="AH2780">
        <v>21.164254391649902</v>
      </c>
      <c r="AI2780">
        <v>92.946944059989605</v>
      </c>
      <c r="AJ2780">
        <v>80.538256432537693</v>
      </c>
      <c r="AK2780">
        <v>21.4845646572088</v>
      </c>
      <c r="AL2780">
        <v>84.405483866596896</v>
      </c>
      <c r="AM2780">
        <v>91.081181619966301</v>
      </c>
      <c r="AN2780">
        <v>0.99999995304724398</v>
      </c>
    </row>
    <row r="2781" spans="1:40" x14ac:dyDescent="0.3">
      <c r="A2781" t="str">
        <f>"20200111150008572"</f>
        <v>20200111150008572</v>
      </c>
      <c r="B2781" t="str">
        <f>"1578726008568951"</f>
        <v>1578726008568951</v>
      </c>
      <c r="C2781" t="s">
        <v>40</v>
      </c>
      <c r="D2781">
        <v>4.0777769999999904</v>
      </c>
      <c r="E2781">
        <v>0.57279219999999997</v>
      </c>
      <c r="F2781" t="s">
        <v>62</v>
      </c>
      <c r="G2781">
        <v>-386.1456</v>
      </c>
      <c r="H2781" s="1">
        <v>1.733583E-6</v>
      </c>
      <c r="I2781">
        <v>286.53480000000002</v>
      </c>
      <c r="J2781">
        <v>-359.42250000000001</v>
      </c>
      <c r="K2781">
        <v>1.104519</v>
      </c>
      <c r="L2781">
        <v>282.69749999999999</v>
      </c>
      <c r="M2781">
        <v>-0.99958689999999994</v>
      </c>
      <c r="N2781">
        <v>0</v>
      </c>
      <c r="O2781">
        <v>-2.579178E-2</v>
      </c>
      <c r="P2781">
        <v>-0.99532030000000005</v>
      </c>
      <c r="Q2781">
        <v>8.5276759999999993E-2</v>
      </c>
      <c r="R2781">
        <v>-4.5448750000000003E-2</v>
      </c>
      <c r="S2781">
        <v>-3.043701</v>
      </c>
      <c r="T2781">
        <v>-0.12452299999999999</v>
      </c>
      <c r="U2781">
        <v>0.43179319999999999</v>
      </c>
      <c r="V2781">
        <v>-1.9804200000000001E-2</v>
      </c>
      <c r="W2781">
        <v>9.7900509999999996E-2</v>
      </c>
      <c r="X2781">
        <v>0.99499910000000003</v>
      </c>
      <c r="Y2781">
        <v>0.165792299999999</v>
      </c>
      <c r="Z2781">
        <v>4.4231130000000002E-3</v>
      </c>
      <c r="AA2781">
        <v>0.98615070000000005</v>
      </c>
      <c r="AB2781">
        <v>42</v>
      </c>
      <c r="AC2781">
        <v>-26.723099999999899</v>
      </c>
      <c r="AD2781">
        <v>-1.104517266417</v>
      </c>
      <c r="AE2781">
        <v>3.8373000000000199</v>
      </c>
      <c r="AF2781">
        <v>4.5177531243030602</v>
      </c>
      <c r="AG2781">
        <v>-1.104517266417</v>
      </c>
      <c r="AH2781">
        <v>26.57075548673</v>
      </c>
      <c r="AI2781">
        <v>92.346711780054306</v>
      </c>
      <c r="AJ2781">
        <v>80.350435897123006</v>
      </c>
      <c r="AK2781">
        <v>26.974712210134101</v>
      </c>
      <c r="AL2781">
        <v>84.381714509500597</v>
      </c>
      <c r="AM2781">
        <v>91.140249546143295</v>
      </c>
      <c r="AN2781">
        <v>0.999999962598354</v>
      </c>
    </row>
    <row r="2782" spans="1:40" x14ac:dyDescent="0.3">
      <c r="A2782" t="str">
        <f>"20200111150008586"</f>
        <v>20200111150008586</v>
      </c>
      <c r="B2782" t="str">
        <f>"1578726008578711"</f>
        <v>1578726008578711</v>
      </c>
      <c r="C2782" t="s">
        <v>40</v>
      </c>
      <c r="D2782">
        <v>4.0439089999999904</v>
      </c>
      <c r="E2782">
        <v>0.57267019999999902</v>
      </c>
      <c r="F2782" t="s">
        <v>62</v>
      </c>
      <c r="G2782">
        <v>-393.9846</v>
      </c>
      <c r="H2782" s="1">
        <v>5.8362149999999997E-7</v>
      </c>
      <c r="I2782">
        <v>287.66469999999998</v>
      </c>
      <c r="J2782">
        <v>-359.67500000000001</v>
      </c>
      <c r="K2782">
        <v>1.1044929999999999</v>
      </c>
      <c r="L2782">
        <v>282.6909</v>
      </c>
      <c r="M2782">
        <v>-0.99958570000000002</v>
      </c>
      <c r="N2782">
        <v>0</v>
      </c>
      <c r="O2782">
        <v>-2.5840930000000002E-2</v>
      </c>
      <c r="P2782">
        <v>-0.9952725</v>
      </c>
      <c r="Q2782">
        <v>8.5494260000000002E-2</v>
      </c>
      <c r="R2782">
        <v>-4.608201E-2</v>
      </c>
      <c r="S2782">
        <v>-3.0424500000000001</v>
      </c>
      <c r="T2782">
        <v>-9.7228999999999996E-2</v>
      </c>
      <c r="U2782">
        <v>0.43725589999999998</v>
      </c>
      <c r="V2782">
        <v>-2.0383060000000001E-2</v>
      </c>
      <c r="W2782">
        <v>9.8117850000000006E-2</v>
      </c>
      <c r="X2782">
        <v>0.99496600000000002</v>
      </c>
      <c r="Y2782">
        <v>0.16769249999999999</v>
      </c>
      <c r="Z2782">
        <v>3.4869100000000002E-3</v>
      </c>
      <c r="AA2782">
        <v>0.98583319999999997</v>
      </c>
      <c r="AB2782">
        <v>42</v>
      </c>
      <c r="AC2782">
        <v>-34.309599999999897</v>
      </c>
      <c r="AD2782">
        <v>-1.1044924163784999</v>
      </c>
      <c r="AE2782">
        <v>4.9737999999999802</v>
      </c>
      <c r="AF2782">
        <v>5.8528614309212204</v>
      </c>
      <c r="AG2782">
        <v>-1.1044924163784999</v>
      </c>
      <c r="AH2782">
        <v>34.134956484859899</v>
      </c>
      <c r="AI2782">
        <v>91.826614509909803</v>
      </c>
      <c r="AJ2782">
        <v>80.270538774066196</v>
      </c>
      <c r="AK2782">
        <v>34.650701935901402</v>
      </c>
      <c r="AL2782">
        <v>84.369201594193896</v>
      </c>
      <c r="AM2782">
        <v>91.173607917143897</v>
      </c>
      <c r="AN2782">
        <v>0.99999996138979197</v>
      </c>
    </row>
    <row r="2783" spans="1:40" x14ac:dyDescent="0.3">
      <c r="A2783" t="str">
        <f>"20200111150008599"</f>
        <v>20200111150008599</v>
      </c>
      <c r="B2783" t="str">
        <f>"1578726008588471"</f>
        <v>1578726008588471</v>
      </c>
      <c r="C2783" t="s">
        <v>40</v>
      </c>
      <c r="D2783">
        <v>4.0675540000000003</v>
      </c>
      <c r="E2783">
        <v>0.57266269999999997</v>
      </c>
      <c r="F2783" t="s">
        <v>62</v>
      </c>
      <c r="G2783">
        <v>-397.37299999999999</v>
      </c>
      <c r="H2783" s="1">
        <v>2.3867520000000001E-6</v>
      </c>
      <c r="I2783">
        <v>288.07400000000001</v>
      </c>
      <c r="J2783">
        <v>-359.92360000000002</v>
      </c>
      <c r="K2783">
        <v>1.1044670000000001</v>
      </c>
      <c r="L2783">
        <v>282.68439999999998</v>
      </c>
      <c r="M2783">
        <v>-0.99958469999999999</v>
      </c>
      <c r="N2783">
        <v>0</v>
      </c>
      <c r="O2783">
        <v>-2.5876030000000001E-2</v>
      </c>
      <c r="P2783">
        <v>-0.99524840000000003</v>
      </c>
      <c r="Q2783">
        <v>8.5552009999999998E-2</v>
      </c>
      <c r="R2783">
        <v>-4.6495000000000002E-2</v>
      </c>
      <c r="S2783">
        <v>-3.0420530000000001</v>
      </c>
      <c r="T2783">
        <v>-8.9127419999999999E-2</v>
      </c>
      <c r="U2783">
        <v>0.43438719999999997</v>
      </c>
      <c r="V2783">
        <v>-2.0754890000000002E-2</v>
      </c>
      <c r="W2783">
        <v>9.8176689999999997E-2</v>
      </c>
      <c r="X2783">
        <v>0.99495259999999996</v>
      </c>
      <c r="Y2783">
        <v>0.16685</v>
      </c>
      <c r="Z2783">
        <v>3.1858609999999999E-3</v>
      </c>
      <c r="AA2783">
        <v>0.9859772</v>
      </c>
      <c r="AB2783">
        <v>42</v>
      </c>
      <c r="AC2783">
        <v>-37.449399999999997</v>
      </c>
      <c r="AD2783">
        <v>-1.104464613248</v>
      </c>
      <c r="AE2783">
        <v>5.3896000000000299</v>
      </c>
      <c r="AF2783">
        <v>6.3515024344094497</v>
      </c>
      <c r="AG2783">
        <v>-1.104464613248</v>
      </c>
      <c r="AH2783">
        <v>37.265630225033703</v>
      </c>
      <c r="AI2783">
        <v>91.673494726068398</v>
      </c>
      <c r="AJ2783">
        <v>80.327531499412402</v>
      </c>
      <c r="AK2783">
        <v>37.819156803466299</v>
      </c>
      <c r="AL2783">
        <v>84.365814467170296</v>
      </c>
      <c r="AM2783">
        <v>91.195026937634296</v>
      </c>
      <c r="AN2783">
        <v>1.0000000520825101</v>
      </c>
    </row>
    <row r="2784" spans="1:40" x14ac:dyDescent="0.3">
      <c r="A2784" t="str">
        <f>"20200111150008611"</f>
        <v>20200111150008611</v>
      </c>
      <c r="B2784" t="str">
        <f>"1578726008608969"</f>
        <v>1578726008608969</v>
      </c>
      <c r="C2784" t="s">
        <v>40</v>
      </c>
      <c r="D2784">
        <v>4.0788719999999996</v>
      </c>
      <c r="E2784">
        <v>0.5727428</v>
      </c>
      <c r="F2784" t="s">
        <v>66</v>
      </c>
      <c r="G2784">
        <v>-400.71839999999997</v>
      </c>
      <c r="H2784" s="1">
        <v>7.2823899999999899E-6</v>
      </c>
      <c r="I2784">
        <v>288.49419999999998</v>
      </c>
      <c r="J2784">
        <v>-360.15499999999997</v>
      </c>
      <c r="K2784">
        <v>1.1044430000000001</v>
      </c>
      <c r="L2784">
        <v>282.67840000000001</v>
      </c>
      <c r="M2784">
        <v>-0.99958440000000004</v>
      </c>
      <c r="N2784">
        <v>0</v>
      </c>
      <c r="O2784">
        <v>-2.5889349999999998E-2</v>
      </c>
      <c r="P2784">
        <v>-0.99520869999999995</v>
      </c>
      <c r="Q2784">
        <v>8.5669319999999993E-2</v>
      </c>
      <c r="R2784">
        <v>-4.7127040000000002E-2</v>
      </c>
      <c r="S2784">
        <v>-3.041595</v>
      </c>
      <c r="T2784">
        <v>-8.2346799999999998E-2</v>
      </c>
      <c r="U2784">
        <v>0.43316650000000001</v>
      </c>
      <c r="V2784">
        <v>-2.1369030000000001E-2</v>
      </c>
      <c r="W2784">
        <v>9.8294370000000006E-2</v>
      </c>
      <c r="X2784">
        <v>0.99492789999999998</v>
      </c>
      <c r="Y2784">
        <v>0.16650799999999999</v>
      </c>
      <c r="Z2784">
        <v>2.9398520000000002E-3</v>
      </c>
      <c r="AA2784">
        <v>0.98603569999999996</v>
      </c>
      <c r="AB2784">
        <v>42</v>
      </c>
      <c r="AC2784">
        <v>-40.563400000000001</v>
      </c>
      <c r="AD2784">
        <v>-1.1044357176099999</v>
      </c>
      <c r="AE2784">
        <v>5.8157999999999603</v>
      </c>
      <c r="AF2784">
        <v>6.8591123508329996</v>
      </c>
      <c r="AG2784">
        <v>-1.1044357176099999</v>
      </c>
      <c r="AH2784">
        <v>40.369897522958503</v>
      </c>
      <c r="AI2784">
        <v>91.544970773658804</v>
      </c>
      <c r="AJ2784">
        <v>80.357155435857194</v>
      </c>
      <c r="AK2784">
        <v>40.963347354798202</v>
      </c>
      <c r="AL2784">
        <v>84.359038678284605</v>
      </c>
      <c r="AM2784">
        <v>91.230407768322806</v>
      </c>
      <c r="AN2784">
        <v>0.99999997240762295</v>
      </c>
    </row>
    <row r="2785" spans="1:40" x14ac:dyDescent="0.3">
      <c r="A2785" t="str">
        <f>"20200111150008625"</f>
        <v>20200111150008625</v>
      </c>
      <c r="B2785" t="str">
        <f>"1578726008618398"</f>
        <v>1578726008618398</v>
      </c>
      <c r="C2785" t="s">
        <v>40</v>
      </c>
      <c r="D2785">
        <v>4.1108799999999999</v>
      </c>
      <c r="E2785">
        <v>0.5729417</v>
      </c>
      <c r="F2785" t="s">
        <v>66</v>
      </c>
      <c r="G2785">
        <v>-406.27010000000001</v>
      </c>
      <c r="H2785" s="1">
        <v>4.6683709999999999E-6</v>
      </c>
      <c r="I2785">
        <v>289.23009999999999</v>
      </c>
      <c r="J2785">
        <v>-360.42619999999999</v>
      </c>
      <c r="K2785">
        <v>1.1044149999999999</v>
      </c>
      <c r="L2785">
        <v>282.67140000000001</v>
      </c>
      <c r="M2785">
        <v>-0.99958440000000004</v>
      </c>
      <c r="N2785">
        <v>0</v>
      </c>
      <c r="O2785">
        <v>-2.5889849999999999E-2</v>
      </c>
      <c r="P2785">
        <v>-0.99518229999999996</v>
      </c>
      <c r="Q2785">
        <v>8.5734199999999997E-2</v>
      </c>
      <c r="R2785">
        <v>-4.7559120000000003E-2</v>
      </c>
      <c r="S2785">
        <v>-3.0411679999999999</v>
      </c>
      <c r="T2785">
        <v>-7.2834850000000007E-2</v>
      </c>
      <c r="U2785">
        <v>0.4320679</v>
      </c>
      <c r="V2785">
        <v>-2.1794440000000002E-2</v>
      </c>
      <c r="W2785">
        <v>9.8360799999999998E-2</v>
      </c>
      <c r="X2785">
        <v>0.99491209999999997</v>
      </c>
      <c r="Y2785">
        <v>0.166193799999999</v>
      </c>
      <c r="Z2785">
        <v>2.597065E-3</v>
      </c>
      <c r="AA2785">
        <v>0.98608969999999996</v>
      </c>
      <c r="AB2785">
        <v>42</v>
      </c>
      <c r="AC2785">
        <v>-45.843899999999998</v>
      </c>
      <c r="AD2785">
        <v>-1.1044103316289999</v>
      </c>
      <c r="AE2785">
        <v>6.5586999999999804</v>
      </c>
      <c r="AF2785">
        <v>7.7390869059887004</v>
      </c>
      <c r="AG2785">
        <v>-1.1044103316289999</v>
      </c>
      <c r="AH2785">
        <v>45.632761058964</v>
      </c>
      <c r="AI2785">
        <v>91.366898884421303</v>
      </c>
      <c r="AJ2785">
        <v>80.374510672410494</v>
      </c>
      <c r="AK2785">
        <v>46.297538489465701</v>
      </c>
      <c r="AL2785">
        <v>84.355213947253802</v>
      </c>
      <c r="AM2785">
        <v>91.254914624597006</v>
      </c>
      <c r="AN2785">
        <v>0.99999996565898097</v>
      </c>
    </row>
    <row r="2786" spans="1:40" x14ac:dyDescent="0.3">
      <c r="A2786" t="str">
        <f>"20200111150008638"</f>
        <v>20200111150008638</v>
      </c>
      <c r="B2786" t="str">
        <f>"1578726008629135"</f>
        <v>1578726008629135</v>
      </c>
      <c r="C2786" t="s">
        <v>40</v>
      </c>
      <c r="D2786">
        <v>4.0722079999999998</v>
      </c>
      <c r="E2786">
        <v>0.57295269999999898</v>
      </c>
      <c r="F2786" t="s">
        <v>66</v>
      </c>
      <c r="G2786">
        <v>-407.35300000000001</v>
      </c>
      <c r="H2786" s="1">
        <v>4.1645889999999998E-6</v>
      </c>
      <c r="I2786">
        <v>289.34410000000003</v>
      </c>
      <c r="J2786">
        <v>-360.68049999999999</v>
      </c>
      <c r="K2786">
        <v>1.1043860000000001</v>
      </c>
      <c r="L2786">
        <v>282.66480000000001</v>
      </c>
      <c r="M2786">
        <v>-0.9995849</v>
      </c>
      <c r="N2786">
        <v>0</v>
      </c>
      <c r="O2786">
        <v>-2.5871060000000001E-2</v>
      </c>
      <c r="P2786">
        <v>-0.99519190000000002</v>
      </c>
      <c r="Q2786">
        <v>8.5378170000000003E-2</v>
      </c>
      <c r="R2786">
        <v>-4.7998699999999998E-2</v>
      </c>
      <c r="S2786">
        <v>-3.0413510000000001</v>
      </c>
      <c r="T2786">
        <v>-7.1577550000000004E-2</v>
      </c>
      <c r="U2786">
        <v>0.43246459999999998</v>
      </c>
      <c r="V2786">
        <v>-2.2245910000000001E-2</v>
      </c>
      <c r="W2786">
        <v>9.8005850000000005E-2</v>
      </c>
      <c r="X2786">
        <v>0.99493719999999997</v>
      </c>
      <c r="Y2786">
        <v>0.1662949</v>
      </c>
      <c r="Z2786">
        <v>2.5528149999999999E-3</v>
      </c>
      <c r="AA2786">
        <v>0.98607279999999997</v>
      </c>
      <c r="AB2786">
        <v>42</v>
      </c>
      <c r="AC2786">
        <v>-46.672499999999999</v>
      </c>
      <c r="AD2786">
        <v>-1.104381835411</v>
      </c>
      <c r="AE2786">
        <v>6.6793000000000102</v>
      </c>
      <c r="AF2786">
        <v>7.8803043973022202</v>
      </c>
      <c r="AG2786">
        <v>-1.104381835411</v>
      </c>
      <c r="AH2786">
        <v>46.458570737538999</v>
      </c>
      <c r="AI2786">
        <v>91.342570803202307</v>
      </c>
      <c r="AJ2786">
        <v>80.373114906765693</v>
      </c>
      <c r="AK2786">
        <v>47.135099995729703</v>
      </c>
      <c r="AL2786">
        <v>84.375650184592104</v>
      </c>
      <c r="AM2786">
        <v>91.280869199740295</v>
      </c>
      <c r="AN2786">
        <v>1.0000000295448901</v>
      </c>
    </row>
    <row r="2787" spans="1:40" x14ac:dyDescent="0.3">
      <c r="A2787" t="str">
        <f>"20200111150008651"</f>
        <v>20200111150008651</v>
      </c>
      <c r="B2787" t="str">
        <f>"1578726008648655"</f>
        <v>1578726008648655</v>
      </c>
      <c r="C2787" t="s">
        <v>40</v>
      </c>
      <c r="D2787">
        <v>4.2401679999999997</v>
      </c>
      <c r="E2787">
        <v>0.57217399999999996</v>
      </c>
      <c r="F2787" t="s">
        <v>66</v>
      </c>
      <c r="G2787">
        <v>-408.35849999999999</v>
      </c>
      <c r="H2787" s="1">
        <v>3.703232E-6</v>
      </c>
      <c r="I2787">
        <v>289.41899999999998</v>
      </c>
      <c r="J2787">
        <v>-360.90199999999999</v>
      </c>
      <c r="K2787">
        <v>1.1043590000000001</v>
      </c>
      <c r="L2787">
        <v>282.65910000000002</v>
      </c>
      <c r="M2787">
        <v>-0.99958590000000003</v>
      </c>
      <c r="N2787">
        <v>0</v>
      </c>
      <c r="O2787">
        <v>-2.5831699999999999E-2</v>
      </c>
      <c r="P2787">
        <v>-0.99520569999999997</v>
      </c>
      <c r="Q2787">
        <v>8.5234610000000002E-2</v>
      </c>
      <c r="R2787">
        <v>-4.7966439999999999E-2</v>
      </c>
      <c r="S2787">
        <v>-3.0413209999999999</v>
      </c>
      <c r="T2787">
        <v>-7.0447209999999996E-2</v>
      </c>
      <c r="U2787">
        <v>0.43084719999999999</v>
      </c>
      <c r="V2787">
        <v>-2.2246700000000001E-2</v>
      </c>
      <c r="W2787">
        <v>9.7863500000000006E-2</v>
      </c>
      <c r="X2787">
        <v>0.99495120000000004</v>
      </c>
      <c r="Y2787">
        <v>0.16574520000000001</v>
      </c>
      <c r="Z2787">
        <v>2.505387E-3</v>
      </c>
      <c r="AA2787">
        <v>0.98616539999999997</v>
      </c>
      <c r="AB2787">
        <v>42</v>
      </c>
      <c r="AC2787">
        <v>-47.456499999999998</v>
      </c>
      <c r="AD2787">
        <v>-1.1043552967679999</v>
      </c>
      <c r="AE2787">
        <v>6.7599000000000098</v>
      </c>
      <c r="AF2787">
        <v>7.97938933091545</v>
      </c>
      <c r="AG2787">
        <v>-1.1043552967679999</v>
      </c>
      <c r="AH2787">
        <v>47.240953901398399</v>
      </c>
      <c r="AI2787">
        <v>91.320466560370207</v>
      </c>
      <c r="AJ2787">
        <v>80.412758378643005</v>
      </c>
      <c r="AK2787">
        <v>47.922833599755698</v>
      </c>
      <c r="AL2787">
        <v>84.383845668004497</v>
      </c>
      <c r="AM2787">
        <v>91.280896653200699</v>
      </c>
      <c r="AN2787">
        <v>1.00000003533728</v>
      </c>
    </row>
    <row r="2788" spans="1:40" x14ac:dyDescent="0.3">
      <c r="A2788" t="str">
        <f>"20200111150008664"</f>
        <v>20200111150008664</v>
      </c>
      <c r="B2788" t="str">
        <f>"1578726008658414"</f>
        <v>1578726008658414</v>
      </c>
      <c r="C2788" t="s">
        <v>40</v>
      </c>
      <c r="D2788">
        <v>4.286645</v>
      </c>
      <c r="E2788">
        <v>0.56793530000000003</v>
      </c>
      <c r="F2788" t="s">
        <v>66</v>
      </c>
      <c r="G2788">
        <v>-411.0926</v>
      </c>
      <c r="H2788" s="1">
        <v>1.95235E-6</v>
      </c>
      <c r="I2788">
        <v>289.67360000000002</v>
      </c>
      <c r="J2788">
        <v>-361.14699999999999</v>
      </c>
      <c r="K2788">
        <v>1.104328</v>
      </c>
      <c r="L2788">
        <v>282.65269999999998</v>
      </c>
      <c r="M2788">
        <v>-0.99958709999999995</v>
      </c>
      <c r="N2788">
        <v>0</v>
      </c>
      <c r="O2788">
        <v>-2.5778720000000001E-2</v>
      </c>
      <c r="P2788">
        <v>-0.99522279999999996</v>
      </c>
      <c r="Q2788">
        <v>8.5091760000000002E-2</v>
      </c>
      <c r="R2788">
        <v>-4.7861239999999999E-2</v>
      </c>
      <c r="S2788">
        <v>-3.0406490000000002</v>
      </c>
      <c r="T2788">
        <v>-6.6904309999999995E-2</v>
      </c>
      <c r="U2788">
        <v>0.42495729999999998</v>
      </c>
      <c r="V2788">
        <v>-2.2187700000000001E-2</v>
      </c>
      <c r="W2788">
        <v>9.772256E-2</v>
      </c>
      <c r="X2788">
        <v>0.99496629999999997</v>
      </c>
      <c r="Y2788">
        <v>0.1638551</v>
      </c>
      <c r="Z2788">
        <v>2.3584029999999998E-3</v>
      </c>
      <c r="AA2788">
        <v>0.98648159999999896</v>
      </c>
      <c r="AB2788">
        <v>42</v>
      </c>
      <c r="AC2788">
        <v>-49.945599999999999</v>
      </c>
      <c r="AD2788">
        <v>-1.1043260476500001</v>
      </c>
      <c r="AE2788">
        <v>7.0209000000000401</v>
      </c>
      <c r="AF2788">
        <v>8.3022236227499899</v>
      </c>
      <c r="AG2788">
        <v>-1.1043260476500001</v>
      </c>
      <c r="AH2788">
        <v>49.724156703573399</v>
      </c>
      <c r="AI2788">
        <v>91.254909441283402</v>
      </c>
      <c r="AJ2788">
        <v>80.521013930569893</v>
      </c>
      <c r="AK2788">
        <v>50.4245794527152</v>
      </c>
      <c r="AL2788">
        <v>84.391959434701604</v>
      </c>
      <c r="AM2788">
        <v>91.277481360244593</v>
      </c>
      <c r="AN2788">
        <v>0.99999996544996606</v>
      </c>
    </row>
    <row r="2789" spans="1:40" x14ac:dyDescent="0.3">
      <c r="A2789" t="str">
        <f>"20200111150008676"</f>
        <v>20200111150008676</v>
      </c>
      <c r="B2789" t="str">
        <f>"1578726008669151"</f>
        <v>1578726008669151</v>
      </c>
      <c r="C2789" t="s">
        <v>40</v>
      </c>
      <c r="D2789">
        <v>4.2062309999999998</v>
      </c>
      <c r="E2789">
        <v>0.56793530000000003</v>
      </c>
      <c r="F2789" t="s">
        <v>66</v>
      </c>
      <c r="G2789">
        <v>-401.97430000000003</v>
      </c>
      <c r="H2789" s="1">
        <v>6.8477829999999899E-6</v>
      </c>
      <c r="I2789">
        <v>287.90219999999999</v>
      </c>
      <c r="J2789">
        <v>-361.39359999999999</v>
      </c>
      <c r="K2789">
        <v>1.1043000000000001</v>
      </c>
      <c r="L2789">
        <v>282.64640000000003</v>
      </c>
      <c r="M2789">
        <v>-0.99958899999999995</v>
      </c>
      <c r="N2789">
        <v>0</v>
      </c>
      <c r="O2789">
        <v>-2.5707480000000001E-2</v>
      </c>
      <c r="P2789">
        <v>-0.9952723</v>
      </c>
      <c r="Q2789">
        <v>8.4666900000000003E-2</v>
      </c>
      <c r="R2789">
        <v>-4.7592370000000002E-2</v>
      </c>
      <c r="S2789">
        <v>-3.0401919999999998</v>
      </c>
      <c r="T2789">
        <v>-8.2233070000000005E-2</v>
      </c>
      <c r="U2789">
        <v>0.39089970000000002</v>
      </c>
      <c r="V2789">
        <v>-2.1981759999999999E-2</v>
      </c>
      <c r="W2789">
        <v>9.7298759999999998E-2</v>
      </c>
      <c r="X2789">
        <v>0.99501249999999997</v>
      </c>
      <c r="Y2789">
        <v>0.15292059999999999</v>
      </c>
      <c r="Z2789">
        <v>2.751959E-3</v>
      </c>
      <c r="AA2789">
        <v>0.98823459999999996</v>
      </c>
      <c r="AB2789">
        <v>42</v>
      </c>
      <c r="AC2789">
        <v>-40.5807</v>
      </c>
      <c r="AD2789">
        <v>-1.1042931522170001</v>
      </c>
      <c r="AE2789">
        <v>5.2557999999999598</v>
      </c>
      <c r="AF2789">
        <v>6.2927912358486298</v>
      </c>
      <c r="AG2789">
        <v>-1.1042931522170001</v>
      </c>
      <c r="AH2789">
        <v>40.402737031658802</v>
      </c>
      <c r="AI2789">
        <v>91.546984177073099</v>
      </c>
      <c r="AJ2789">
        <v>81.147218211282706</v>
      </c>
      <c r="AK2789">
        <v>40.9047655482021</v>
      </c>
      <c r="AL2789">
        <v>84.416358191466898</v>
      </c>
      <c r="AM2789">
        <v>91.265569265806306</v>
      </c>
      <c r="AN2789">
        <v>1.00000006081324</v>
      </c>
    </row>
    <row r="2790" spans="1:40" x14ac:dyDescent="0.3">
      <c r="A2790" t="str">
        <f>"20200111150008689"</f>
        <v>20200111150008689</v>
      </c>
      <c r="B2790" t="str">
        <f>"1578726008678910"</f>
        <v>1578726008678910</v>
      </c>
      <c r="C2790" t="s">
        <v>40</v>
      </c>
      <c r="D2790">
        <v>4.289161</v>
      </c>
      <c r="E2790">
        <v>0.50078999999999996</v>
      </c>
      <c r="F2790" t="s">
        <v>66</v>
      </c>
      <c r="G2790">
        <v>-401.53660000000002</v>
      </c>
      <c r="H2790" s="1">
        <v>7.0587979999999996E-6</v>
      </c>
      <c r="I2790">
        <v>287.8202</v>
      </c>
      <c r="J2790">
        <v>-361.63459999999998</v>
      </c>
      <c r="K2790">
        <v>1.1042620000000001</v>
      </c>
      <c r="L2790">
        <v>282.64030000000002</v>
      </c>
      <c r="M2790">
        <v>-0.99959109999999995</v>
      </c>
      <c r="N2790">
        <v>0</v>
      </c>
      <c r="O2790">
        <v>-2.5628850000000002E-2</v>
      </c>
      <c r="P2790">
        <v>-0.99533139999999998</v>
      </c>
      <c r="Q2790">
        <v>8.4227360000000001E-2</v>
      </c>
      <c r="R2790">
        <v>-4.7129799999999999E-2</v>
      </c>
      <c r="S2790">
        <v>-3.0400700000000001</v>
      </c>
      <c r="T2790">
        <v>-8.3629129999999996E-2</v>
      </c>
      <c r="U2790">
        <v>0.39181519999999997</v>
      </c>
      <c r="V2790">
        <v>-2.1589359999999998E-2</v>
      </c>
      <c r="W2790">
        <v>9.6861680000000006E-2</v>
      </c>
      <c r="X2790">
        <v>0.9950637</v>
      </c>
      <c r="Y2790">
        <v>0.15313840000000001</v>
      </c>
      <c r="Z2790">
        <v>2.7995469999999999E-3</v>
      </c>
      <c r="AA2790">
        <v>0.98820079999999999</v>
      </c>
      <c r="AB2790">
        <v>42</v>
      </c>
      <c r="AC2790">
        <v>-39.902000000000001</v>
      </c>
      <c r="AD2790">
        <v>-1.104254941202</v>
      </c>
      <c r="AE2790">
        <v>5.1798999999999698</v>
      </c>
      <c r="AF2790">
        <v>6.1962560509361504</v>
      </c>
      <c r="AG2790">
        <v>-1.104254941202</v>
      </c>
      <c r="AH2790">
        <v>39.726205122521598</v>
      </c>
      <c r="AI2790">
        <v>91.573208347273294</v>
      </c>
      <c r="AJ2790">
        <v>81.134776946178505</v>
      </c>
      <c r="AK2790">
        <v>40.221689937900301</v>
      </c>
      <c r="AL2790">
        <v>84.441519686654104</v>
      </c>
      <c r="AM2790">
        <v>91.242920597093303</v>
      </c>
      <c r="AN2790">
        <v>1.00000002628766</v>
      </c>
    </row>
    <row r="2791" spans="1:40" x14ac:dyDescent="0.3">
      <c r="A2791" t="str">
        <f>"20200111150008703"</f>
        <v>20200111150008703</v>
      </c>
      <c r="B2791" t="str">
        <f>"1578726008698431"</f>
        <v>1578726008698431</v>
      </c>
      <c r="C2791" t="s">
        <v>40</v>
      </c>
      <c r="D2791">
        <v>4.3008569999999997</v>
      </c>
      <c r="E2791">
        <v>0.5006775</v>
      </c>
      <c r="F2791" t="s">
        <v>62</v>
      </c>
      <c r="G2791">
        <v>-387.0976</v>
      </c>
      <c r="H2791" s="1">
        <v>2.2402109999999998E-6</v>
      </c>
      <c r="I2791">
        <v>281.43470000000002</v>
      </c>
      <c r="J2791">
        <v>-361.88580000000002</v>
      </c>
      <c r="K2791">
        <v>1.1042320000000001</v>
      </c>
      <c r="L2791">
        <v>282.63389999999998</v>
      </c>
      <c r="M2791">
        <v>-0.99959330000000002</v>
      </c>
      <c r="N2791">
        <v>0</v>
      </c>
      <c r="O2791">
        <v>-2.554149E-2</v>
      </c>
      <c r="P2791">
        <v>-0.99536630000000004</v>
      </c>
      <c r="Q2791">
        <v>8.4112640000000002E-2</v>
      </c>
      <c r="R2791">
        <v>-4.659775E-2</v>
      </c>
      <c r="S2791">
        <v>-3.0183719999999998</v>
      </c>
      <c r="T2791">
        <v>-0.13089809999999999</v>
      </c>
      <c r="U2791">
        <v>-0.14291379999999901</v>
      </c>
      <c r="V2791">
        <v>-2.1136459999999999E-2</v>
      </c>
      <c r="W2791">
        <v>9.6748239999999999E-2</v>
      </c>
      <c r="X2791">
        <v>0.99508439999999998</v>
      </c>
      <c r="Y2791">
        <v>-2.1768139999999998E-2</v>
      </c>
      <c r="Z2791">
        <v>6.3482809999999997E-4</v>
      </c>
      <c r="AA2791">
        <v>0.99976279999999995</v>
      </c>
      <c r="AB2791">
        <v>42</v>
      </c>
      <c r="AC2791">
        <v>-25.211799999999901</v>
      </c>
      <c r="AD2791">
        <v>-1.1042297597889901</v>
      </c>
      <c r="AE2791">
        <v>-1.1991999999999601</v>
      </c>
      <c r="AF2791">
        <v>-0.55375012687148595</v>
      </c>
      <c r="AG2791">
        <v>-1.1042297597889901</v>
      </c>
      <c r="AH2791">
        <v>25.186000819631801</v>
      </c>
      <c r="AI2791">
        <v>92.509805230780799</v>
      </c>
      <c r="AJ2791">
        <v>91.259526452344105</v>
      </c>
      <c r="AK2791">
        <v>25.216276486664398</v>
      </c>
      <c r="AL2791">
        <v>84.448049662738001</v>
      </c>
      <c r="AM2791">
        <v>91.216829318670605</v>
      </c>
      <c r="AN2791">
        <v>0.99999996750389397</v>
      </c>
    </row>
    <row r="2792" spans="1:40" x14ac:dyDescent="0.3">
      <c r="A2792" t="str">
        <f>"20200111150008717"</f>
        <v>20200111150008717</v>
      </c>
      <c r="B2792" t="str">
        <f>"1578726008709166"</f>
        <v>1578726008709166</v>
      </c>
      <c r="C2792" t="s">
        <v>40</v>
      </c>
      <c r="D2792">
        <v>4.3031129999999997</v>
      </c>
      <c r="E2792">
        <v>0.50129749999999995</v>
      </c>
      <c r="F2792" t="s">
        <v>62</v>
      </c>
      <c r="G2792">
        <v>-384.5215</v>
      </c>
      <c r="H2792" s="1">
        <v>8.693099E-7</v>
      </c>
      <c r="I2792">
        <v>281.56540000000001</v>
      </c>
      <c r="J2792">
        <v>-362.16489999999999</v>
      </c>
      <c r="K2792">
        <v>1.104196</v>
      </c>
      <c r="L2792">
        <v>282.6268</v>
      </c>
      <c r="M2792">
        <v>-0.99959589999999998</v>
      </c>
      <c r="N2792">
        <v>0</v>
      </c>
      <c r="O2792">
        <v>-2.5435280000000001E-2</v>
      </c>
      <c r="P2792">
        <v>-0.99545349999999999</v>
      </c>
      <c r="Q2792">
        <v>8.3840499999999998E-2</v>
      </c>
      <c r="R2792">
        <v>-4.5204109999999999E-2</v>
      </c>
      <c r="S2792">
        <v>-3.0197750000000001</v>
      </c>
      <c r="T2792">
        <v>-0.1473129</v>
      </c>
      <c r="U2792">
        <v>-0.1425476</v>
      </c>
      <c r="V2792">
        <v>-1.9839699999999998E-2</v>
      </c>
      <c r="W2792">
        <v>9.6477720000000003E-2</v>
      </c>
      <c r="X2792">
        <v>0.99513739999999995</v>
      </c>
      <c r="Y2792">
        <v>-2.1732310000000001E-2</v>
      </c>
      <c r="Z2792">
        <v>7.0971860000000001E-4</v>
      </c>
      <c r="AA2792">
        <v>0.99976350000000003</v>
      </c>
      <c r="AB2792">
        <v>42</v>
      </c>
      <c r="AC2792">
        <v>-22.3566</v>
      </c>
      <c r="AD2792">
        <v>-1.1041951306900999</v>
      </c>
      <c r="AE2792">
        <v>-1.0613999999999899</v>
      </c>
      <c r="AF2792">
        <v>-0.49116890984129302</v>
      </c>
      <c r="AG2792">
        <v>-1.1041951306900999</v>
      </c>
      <c r="AH2792">
        <v>22.3220354495995</v>
      </c>
      <c r="AI2792">
        <v>92.831234693038198</v>
      </c>
      <c r="AJ2792">
        <v>91.260519685188697</v>
      </c>
      <c r="AK2792">
        <v>22.3547256837969</v>
      </c>
      <c r="AL2792">
        <v>84.463622370908993</v>
      </c>
      <c r="AM2792">
        <v>91.142134249299204</v>
      </c>
      <c r="AN2792">
        <v>1.0000000045156201</v>
      </c>
    </row>
    <row r="2793" spans="1:40" x14ac:dyDescent="0.3">
      <c r="A2793" t="str">
        <f>"20200111150008730"</f>
        <v>20200111150008730</v>
      </c>
      <c r="B2793" t="str">
        <f>"1578726008718664"</f>
        <v>1578726008718664</v>
      </c>
      <c r="C2793" t="s">
        <v>40</v>
      </c>
      <c r="D2793">
        <v>4.2935930000000004</v>
      </c>
      <c r="E2793">
        <v>0.50239</v>
      </c>
      <c r="F2793" t="s">
        <v>62</v>
      </c>
      <c r="G2793">
        <v>-387.91379999999998</v>
      </c>
      <c r="H2793" s="1">
        <v>2.674562E-6</v>
      </c>
      <c r="I2793">
        <v>281.49369999999999</v>
      </c>
      <c r="J2793">
        <v>-362.39710000000002</v>
      </c>
      <c r="K2793">
        <v>1.1041729999999901</v>
      </c>
      <c r="L2793">
        <v>282.62099999999998</v>
      </c>
      <c r="M2793">
        <v>-0.99959849999999995</v>
      </c>
      <c r="N2793">
        <v>0</v>
      </c>
      <c r="O2793">
        <v>-2.533755E-2</v>
      </c>
      <c r="P2793">
        <v>-0.99549529999999997</v>
      </c>
      <c r="Q2793">
        <v>8.3616510000000005E-2</v>
      </c>
      <c r="R2793">
        <v>-4.4694610000000003E-2</v>
      </c>
      <c r="S2793">
        <v>-3.0185849999999999</v>
      </c>
      <c r="T2793">
        <v>-0.12944610000000001</v>
      </c>
      <c r="U2793">
        <v>-0.13284299999999999</v>
      </c>
      <c r="V2793">
        <v>-1.942112E-2</v>
      </c>
      <c r="W2793">
        <v>9.6254649999999997E-2</v>
      </c>
      <c r="X2793">
        <v>0.99516729999999998</v>
      </c>
      <c r="Y2793">
        <v>-1.8642760000000001E-2</v>
      </c>
      <c r="Z2793">
        <v>6.8602409999999996E-4</v>
      </c>
      <c r="AA2793">
        <v>0.99982599999999999</v>
      </c>
      <c r="AB2793">
        <v>42</v>
      </c>
      <c r="AC2793">
        <v>-25.516699999999901</v>
      </c>
      <c r="AD2793">
        <v>-1.10417032543799</v>
      </c>
      <c r="AE2793">
        <v>-1.12729999999999</v>
      </c>
      <c r="AF2793">
        <v>-0.47945931907171502</v>
      </c>
      <c r="AG2793">
        <v>-1.10417032543799</v>
      </c>
      <c r="AH2793">
        <v>25.489435796501599</v>
      </c>
      <c r="AI2793">
        <v>92.479992269095703</v>
      </c>
      <c r="AJ2793">
        <v>91.077613345524497</v>
      </c>
      <c r="AK2793">
        <v>25.517844943689902</v>
      </c>
      <c r="AL2793">
        <v>84.476463333172802</v>
      </c>
      <c r="AM2793">
        <v>91.118009984378006</v>
      </c>
      <c r="AN2793">
        <v>1.00000004626898</v>
      </c>
    </row>
    <row r="2794" spans="1:40" x14ac:dyDescent="0.3">
      <c r="A2794" t="str">
        <f>"20200111150008743"</f>
        <v>20200111150008743</v>
      </c>
      <c r="B2794" t="str">
        <f>"1578726008739161"</f>
        <v>1578726008739161</v>
      </c>
      <c r="C2794" t="s">
        <v>40</v>
      </c>
      <c r="D2794">
        <v>4.3112940000000002</v>
      </c>
      <c r="E2794">
        <v>0.50201379999999995</v>
      </c>
      <c r="F2794" t="s">
        <v>62</v>
      </c>
      <c r="G2794">
        <v>-389.99419999999998</v>
      </c>
      <c r="H2794" s="1">
        <v>-1.5398869999999999E-6</v>
      </c>
      <c r="I2794">
        <v>281.50290000000001</v>
      </c>
      <c r="J2794">
        <v>-362.63780000000003</v>
      </c>
      <c r="K2794">
        <v>1.10415</v>
      </c>
      <c r="L2794">
        <v>282.61500000000001</v>
      </c>
      <c r="M2794">
        <v>-0.99960119999999997</v>
      </c>
      <c r="N2794">
        <v>0</v>
      </c>
      <c r="O2794">
        <v>-2.5229930000000001E-2</v>
      </c>
      <c r="P2794">
        <v>-0.99552169999999895</v>
      </c>
      <c r="Q2794">
        <v>8.3625199999999997E-2</v>
      </c>
      <c r="R2794">
        <v>-4.4085069999999997E-2</v>
      </c>
      <c r="S2794">
        <v>-3.0181879999999999</v>
      </c>
      <c r="T2794">
        <v>-0.12075950000000001</v>
      </c>
      <c r="U2794">
        <v>-0.1222839</v>
      </c>
      <c r="V2794">
        <v>-1.8913820000000001E-2</v>
      </c>
      <c r="W2794">
        <v>9.6264119999999995E-2</v>
      </c>
      <c r="X2794">
        <v>0.99517610000000001</v>
      </c>
      <c r="Y2794">
        <v>-1.526624E-2</v>
      </c>
      <c r="Z2794">
        <v>7.0336110000000004E-4</v>
      </c>
      <c r="AA2794">
        <v>0.99988319999999997</v>
      </c>
      <c r="AB2794">
        <v>42</v>
      </c>
      <c r="AC2794">
        <v>-27.356399999999901</v>
      </c>
      <c r="AD2794">
        <v>-1.1041515398870001</v>
      </c>
      <c r="AE2794">
        <v>-1.1120999999999901</v>
      </c>
      <c r="AF2794">
        <v>-0.420805955059388</v>
      </c>
      <c r="AG2794">
        <v>-1.1041515398870001</v>
      </c>
      <c r="AH2794">
        <v>27.331299713151299</v>
      </c>
      <c r="AI2794">
        <v>92.313148522400795</v>
      </c>
      <c r="AJ2794">
        <v>90.882083933249405</v>
      </c>
      <c r="AK2794">
        <v>27.356830450272401</v>
      </c>
      <c r="AL2794">
        <v>84.475917908384503</v>
      </c>
      <c r="AM2794">
        <v>91.088803891241</v>
      </c>
      <c r="AN2794">
        <v>0.99999999169878795</v>
      </c>
    </row>
    <row r="2795" spans="1:40" x14ac:dyDescent="0.3">
      <c r="A2795" t="str">
        <f>"20200111150008755"</f>
        <v>20200111150008755</v>
      </c>
      <c r="B2795" t="str">
        <f>"1578726008748921"</f>
        <v>1578726008748921</v>
      </c>
      <c r="C2795" t="s">
        <v>40</v>
      </c>
      <c r="D2795">
        <v>4.1728630000000004</v>
      </c>
      <c r="E2795">
        <v>0.50232080000000001</v>
      </c>
      <c r="F2795" t="s">
        <v>62</v>
      </c>
      <c r="G2795">
        <v>-387.79950000000002</v>
      </c>
      <c r="H2795" s="1">
        <v>2.6137399999999999E-6</v>
      </c>
      <c r="I2795">
        <v>281.58550000000002</v>
      </c>
      <c r="J2795">
        <v>-362.89600000000002</v>
      </c>
      <c r="K2795">
        <v>1.1041369999999999</v>
      </c>
      <c r="L2795">
        <v>282.60860000000002</v>
      </c>
      <c r="M2795">
        <v>-0.99960450000000001</v>
      </c>
      <c r="N2795">
        <v>0</v>
      </c>
      <c r="O2795">
        <v>-2.509875E-2</v>
      </c>
      <c r="P2795">
        <v>-0.9955524</v>
      </c>
      <c r="Q2795">
        <v>8.3450730000000001E-2</v>
      </c>
      <c r="R2795">
        <v>-4.3721990000000002E-2</v>
      </c>
      <c r="S2795">
        <v>-3.0191349999999999</v>
      </c>
      <c r="T2795">
        <v>-0.13248570000000001</v>
      </c>
      <c r="U2795">
        <v>-0.123535199999999</v>
      </c>
      <c r="V2795">
        <v>-1.8676390000000001E-2</v>
      </c>
      <c r="W2795">
        <v>9.6090410000000001E-2</v>
      </c>
      <c r="X2795">
        <v>0.99519740000000001</v>
      </c>
      <c r="Y2795">
        <v>-1.5799460000000001E-2</v>
      </c>
      <c r="Z2795">
        <v>7.5391049999999995E-4</v>
      </c>
      <c r="AA2795">
        <v>0.99987490000000001</v>
      </c>
      <c r="AB2795">
        <v>42</v>
      </c>
      <c r="AC2795">
        <v>-24.903500000000001</v>
      </c>
      <c r="AD2795">
        <v>-1.1041343862599999</v>
      </c>
      <c r="AE2795">
        <v>-1.0230999999999899</v>
      </c>
      <c r="AF2795">
        <v>-0.39690175158105501</v>
      </c>
      <c r="AG2795">
        <v>-1.1041343862599999</v>
      </c>
      <c r="AH2795">
        <v>24.8725239542214</v>
      </c>
      <c r="AI2795">
        <v>92.541466919911102</v>
      </c>
      <c r="AJ2795">
        <v>90.914216239024597</v>
      </c>
      <c r="AK2795">
        <v>24.900182561512398</v>
      </c>
      <c r="AL2795">
        <v>84.485917267324893</v>
      </c>
      <c r="AM2795">
        <v>91.075116081726193</v>
      </c>
      <c r="AN2795">
        <v>1.00000001970208</v>
      </c>
    </row>
    <row r="2796" spans="1:40" x14ac:dyDescent="0.3">
      <c r="A2796" t="str">
        <f>"20200111150008774"</f>
        <v>20200111150008774</v>
      </c>
      <c r="B2796" t="str">
        <f>"1578726008768444"</f>
        <v>1578726008768444</v>
      </c>
      <c r="C2796" t="s">
        <v>40</v>
      </c>
      <c r="D2796">
        <v>4.1965519999999996</v>
      </c>
      <c r="E2796">
        <v>0.50240759999999995</v>
      </c>
      <c r="F2796" t="s">
        <v>62</v>
      </c>
      <c r="G2796">
        <v>-385.26420000000002</v>
      </c>
      <c r="H2796" s="1">
        <v>1.2645590000000001E-6</v>
      </c>
      <c r="I2796">
        <v>281.71980000000002</v>
      </c>
      <c r="J2796">
        <v>-363.22719999999998</v>
      </c>
      <c r="K2796">
        <v>1.104115</v>
      </c>
      <c r="L2796">
        <v>282.60050000000001</v>
      </c>
      <c r="M2796">
        <v>-0.99960919999999998</v>
      </c>
      <c r="N2796">
        <v>0</v>
      </c>
      <c r="O2796">
        <v>-2.4911840000000001E-2</v>
      </c>
      <c r="P2796">
        <v>-0.99553020000000003</v>
      </c>
      <c r="Q2796">
        <v>8.3698700000000001E-2</v>
      </c>
      <c r="R2796">
        <v>-4.37537E-2</v>
      </c>
      <c r="S2796">
        <v>-3.0206599999999999</v>
      </c>
      <c r="T2796">
        <v>-0.1491054</v>
      </c>
      <c r="U2796">
        <v>-0.1200256</v>
      </c>
      <c r="V2796">
        <v>-1.8889010000000001E-2</v>
      </c>
      <c r="W2796">
        <v>9.6338629999999995E-2</v>
      </c>
      <c r="X2796">
        <v>0.99516930000000003</v>
      </c>
      <c r="Y2796">
        <v>-1.4809330000000001E-2</v>
      </c>
      <c r="Z2796">
        <v>8.6317220000000001E-4</v>
      </c>
      <c r="AA2796">
        <v>0.99988999999999995</v>
      </c>
      <c r="AB2796">
        <v>42</v>
      </c>
      <c r="AC2796">
        <v>-22.036999999999999</v>
      </c>
      <c r="AD2796">
        <v>-1.104113735441</v>
      </c>
      <c r="AE2796">
        <v>-0.88069999999999005</v>
      </c>
      <c r="AF2796">
        <v>-0.33057175250269399</v>
      </c>
      <c r="AG2796">
        <v>-1.104113735441</v>
      </c>
      <c r="AH2796">
        <v>21.996970813306</v>
      </c>
      <c r="AI2796">
        <v>92.873163139961505</v>
      </c>
      <c r="AJ2796">
        <v>90.860979484486506</v>
      </c>
      <c r="AK2796">
        <v>22.027143931653502</v>
      </c>
      <c r="AL2796">
        <v>84.471628528660403</v>
      </c>
      <c r="AM2796">
        <v>91.087383435852104</v>
      </c>
      <c r="AN2796">
        <v>0.999999930995771</v>
      </c>
    </row>
    <row r="2797" spans="1:40" x14ac:dyDescent="0.3">
      <c r="A2797" t="str">
        <f>"20200111150008786"</f>
        <v>20200111150008786</v>
      </c>
      <c r="B2797" t="str">
        <f>"1578726008779177"</f>
        <v>1578726008779177</v>
      </c>
      <c r="C2797" t="s">
        <v>40</v>
      </c>
      <c r="D2797">
        <v>4.3305020000000001</v>
      </c>
      <c r="E2797">
        <v>0.50270859999999995</v>
      </c>
      <c r="F2797" t="s">
        <v>62</v>
      </c>
      <c r="G2797">
        <v>-383.7321</v>
      </c>
      <c r="H2797" s="1">
        <v>4.4927289999999998E-7</v>
      </c>
      <c r="I2797">
        <v>281.79140000000001</v>
      </c>
      <c r="J2797">
        <v>-363.46440000000001</v>
      </c>
      <c r="K2797">
        <v>1.104098</v>
      </c>
      <c r="L2797">
        <v>282.59469999999999</v>
      </c>
      <c r="M2797">
        <v>-0.99961279999999997</v>
      </c>
      <c r="N2797">
        <v>0</v>
      </c>
      <c r="O2797">
        <v>-2.4764479999999998E-2</v>
      </c>
      <c r="P2797">
        <v>-0.99549049999999994</v>
      </c>
      <c r="Q2797">
        <v>8.4144389999999999E-2</v>
      </c>
      <c r="R2797">
        <v>-4.379885E-2</v>
      </c>
      <c r="S2797">
        <v>-3.0219420000000001</v>
      </c>
      <c r="T2797">
        <v>-0.16272029999999901</v>
      </c>
      <c r="U2797">
        <v>-0.119232199999999</v>
      </c>
      <c r="V2797">
        <v>-1.9077050000000002E-2</v>
      </c>
      <c r="W2797">
        <v>9.6784319999999993E-2</v>
      </c>
      <c r="X2797">
        <v>0.99512259999999997</v>
      </c>
      <c r="Y2797">
        <v>-1.468008E-2</v>
      </c>
      <c r="Z2797">
        <v>9.37041E-4</v>
      </c>
      <c r="AA2797">
        <v>0.9998918</v>
      </c>
      <c r="AB2797">
        <v>42</v>
      </c>
      <c r="AC2797">
        <v>-20.267699999999898</v>
      </c>
      <c r="AD2797">
        <v>-1.1040975507271</v>
      </c>
      <c r="AE2797">
        <v>-0.80329999999997803</v>
      </c>
      <c r="AF2797">
        <v>-0.30020465431386101</v>
      </c>
      <c r="AG2797">
        <v>-1.1040975507271</v>
      </c>
      <c r="AH2797">
        <v>20.221462896596101</v>
      </c>
      <c r="AI2797">
        <v>93.124918779869205</v>
      </c>
      <c r="AJ2797">
        <v>90.850541638973198</v>
      </c>
      <c r="AK2797">
        <v>20.253807442414502</v>
      </c>
      <c r="AL2797">
        <v>84.445973220095595</v>
      </c>
      <c r="AM2797">
        <v>91.098257219447007</v>
      </c>
      <c r="AN2797">
        <v>1.00000006373266</v>
      </c>
    </row>
    <row r="2798" spans="1:40" x14ac:dyDescent="0.3">
      <c r="A2798" t="str">
        <f>"20200111150008798"</f>
        <v>20200111150008798</v>
      </c>
      <c r="B2798" t="str">
        <f>"1578726008788937"</f>
        <v>1578726008788937</v>
      </c>
      <c r="C2798" t="s">
        <v>40</v>
      </c>
      <c r="D2798">
        <v>4.2391249999999996</v>
      </c>
      <c r="E2798">
        <v>0.50271520000000003</v>
      </c>
      <c r="F2798" t="s">
        <v>62</v>
      </c>
      <c r="G2798">
        <v>-385.04860000000002</v>
      </c>
      <c r="H2798" s="1">
        <v>1.1498500000000001E-6</v>
      </c>
      <c r="I2798">
        <v>281.76130000000001</v>
      </c>
      <c r="J2798">
        <v>-363.71140000000003</v>
      </c>
      <c r="K2798">
        <v>1.1040810000000001</v>
      </c>
      <c r="L2798">
        <v>282.58870000000002</v>
      </c>
      <c r="M2798">
        <v>-0.99961699999999998</v>
      </c>
      <c r="N2798">
        <v>0</v>
      </c>
      <c r="O2798">
        <v>-2.4600049999999998E-2</v>
      </c>
      <c r="P2798">
        <v>-0.99546780000000001</v>
      </c>
      <c r="Q2798">
        <v>8.4225620000000001E-2</v>
      </c>
      <c r="R2798">
        <v>-4.4162220000000002E-2</v>
      </c>
      <c r="S2798">
        <v>-3.0215450000000001</v>
      </c>
      <c r="T2798">
        <v>-0.1545609</v>
      </c>
      <c r="U2798">
        <v>-0.1166687</v>
      </c>
      <c r="V2798">
        <v>-1.960075E-2</v>
      </c>
      <c r="W2798">
        <v>9.6866419999999995E-2</v>
      </c>
      <c r="X2798">
        <v>0.9951044</v>
      </c>
      <c r="Y2798">
        <v>-1.4001960000000001E-2</v>
      </c>
      <c r="Z2798">
        <v>8.9917830000000004E-4</v>
      </c>
      <c r="AA2798">
        <v>0.99990159999999995</v>
      </c>
      <c r="AB2798">
        <v>42</v>
      </c>
      <c r="AC2798">
        <v>-21.337199999999999</v>
      </c>
      <c r="AD2798">
        <v>-1.10407985014999</v>
      </c>
      <c r="AE2798">
        <v>-0.82740000000001102</v>
      </c>
      <c r="AF2798">
        <v>-0.30140540614597799</v>
      </c>
      <c r="AG2798">
        <v>-1.10407985014999</v>
      </c>
      <c r="AH2798">
        <v>21.2941683752729</v>
      </c>
      <c r="AI2798">
        <v>92.967770337368293</v>
      </c>
      <c r="AJ2798">
        <v>90.810931155104498</v>
      </c>
      <c r="AK2798">
        <v>21.3249019770041</v>
      </c>
      <c r="AL2798">
        <v>84.441246841202897</v>
      </c>
      <c r="AM2798">
        <v>91.128419335155399</v>
      </c>
      <c r="AN2798">
        <v>1.0000000298117599</v>
      </c>
    </row>
    <row r="2799" spans="1:40" x14ac:dyDescent="0.3">
      <c r="A2799" t="str">
        <f>"20200111150008812"</f>
        <v>20200111150008812</v>
      </c>
      <c r="B2799" t="str">
        <f>"1578726008808457"</f>
        <v>1578726008808457</v>
      </c>
      <c r="C2799" t="s">
        <v>40</v>
      </c>
      <c r="D2799">
        <v>4.1825369999999999</v>
      </c>
      <c r="E2799">
        <v>0.50282389999999999</v>
      </c>
      <c r="F2799" t="s">
        <v>62</v>
      </c>
      <c r="G2799">
        <v>-385.72309999999999</v>
      </c>
      <c r="H2799" s="1">
        <v>1.5087470000000001E-6</v>
      </c>
      <c r="I2799">
        <v>281.73180000000002</v>
      </c>
      <c r="J2799">
        <v>-363.95549999999997</v>
      </c>
      <c r="K2799">
        <v>1.1040589999999999</v>
      </c>
      <c r="L2799">
        <v>282.58280000000002</v>
      </c>
      <c r="M2799">
        <v>-0.99962150000000005</v>
      </c>
      <c r="N2799">
        <v>0</v>
      </c>
      <c r="O2799">
        <v>-2.4417089999999999E-2</v>
      </c>
      <c r="P2799">
        <v>-0.99543570000000003</v>
      </c>
      <c r="Q2799">
        <v>8.4526169999999998E-2</v>
      </c>
      <c r="R2799">
        <v>-4.4309269999999998E-2</v>
      </c>
      <c r="S2799">
        <v>-3.021271</v>
      </c>
      <c r="T2799">
        <v>-0.1515435</v>
      </c>
      <c r="U2799">
        <v>-0.1176147</v>
      </c>
      <c r="V2799">
        <v>-1.9925189999999999E-2</v>
      </c>
      <c r="W2799">
        <v>9.7167299999999998E-2</v>
      </c>
      <c r="X2799">
        <v>0.99506859999999997</v>
      </c>
      <c r="Y2799">
        <v>-1.4499710000000001E-2</v>
      </c>
      <c r="Z2799">
        <v>8.6008449999999995E-4</v>
      </c>
      <c r="AA2799">
        <v>0.99989450000000002</v>
      </c>
      <c r="AB2799">
        <v>42</v>
      </c>
      <c r="AC2799">
        <v>-21.767600000000002</v>
      </c>
      <c r="AD2799">
        <v>-1.1040574912529999</v>
      </c>
      <c r="AE2799">
        <v>-0.85099999999999898</v>
      </c>
      <c r="AF2799">
        <v>-0.31838428449957301</v>
      </c>
      <c r="AG2799">
        <v>-1.1040574912529999</v>
      </c>
      <c r="AH2799">
        <v>21.726083798936202</v>
      </c>
      <c r="AI2799">
        <v>92.908793576727902</v>
      </c>
      <c r="AJ2799">
        <v>90.839579293351093</v>
      </c>
      <c r="AK2799">
        <v>21.756447980656301</v>
      </c>
      <c r="AL2799">
        <v>84.423925858726093</v>
      </c>
      <c r="AM2799">
        <v>91.147133723130494</v>
      </c>
      <c r="AN2799">
        <v>1.00000000804589</v>
      </c>
    </row>
    <row r="2800" spans="1:40" x14ac:dyDescent="0.3">
      <c r="A2800" t="str">
        <f>"20200111150008826"</f>
        <v>20200111150008826</v>
      </c>
      <c r="B2800" t="str">
        <f>"1578726008819193"</f>
        <v>1578726008819193</v>
      </c>
      <c r="C2800" t="s">
        <v>40</v>
      </c>
      <c r="D2800">
        <v>4.1329929999999999</v>
      </c>
      <c r="E2800">
        <v>0.50291399999999997</v>
      </c>
      <c r="F2800" t="s">
        <v>62</v>
      </c>
      <c r="G2800">
        <v>-386.38810000000001</v>
      </c>
      <c r="H2800" s="1">
        <v>1.86264E-6</v>
      </c>
      <c r="I2800">
        <v>281.71359999999999</v>
      </c>
      <c r="J2800">
        <v>-364.21159999999998</v>
      </c>
      <c r="K2800">
        <v>1.1040319999999999</v>
      </c>
      <c r="L2800">
        <v>282.57679999999999</v>
      </c>
      <c r="M2800">
        <v>-0.99962649999999997</v>
      </c>
      <c r="N2800">
        <v>0</v>
      </c>
      <c r="O2800">
        <v>-2.4210229999999999E-2</v>
      </c>
      <c r="P2800">
        <v>-0.99542180000000002</v>
      </c>
      <c r="Q2800">
        <v>8.4705249999999996E-2</v>
      </c>
      <c r="R2800">
        <v>-4.4278350000000001E-2</v>
      </c>
      <c r="S2800">
        <v>-3.02121</v>
      </c>
      <c r="T2800">
        <v>-0.14869360000000001</v>
      </c>
      <c r="U2800">
        <v>-0.1170654</v>
      </c>
      <c r="V2800">
        <v>-2.0094230000000001E-2</v>
      </c>
      <c r="W2800">
        <v>9.7347649999999994E-2</v>
      </c>
      <c r="X2800">
        <v>0.99504760000000003</v>
      </c>
      <c r="Y2800">
        <v>-1.4525140000000001E-2</v>
      </c>
      <c r="Z2800">
        <v>8.3315799999999997E-4</v>
      </c>
      <c r="AA2800">
        <v>0.99989410000000001</v>
      </c>
      <c r="AB2800">
        <v>42</v>
      </c>
      <c r="AC2800">
        <v>-22.176500000000001</v>
      </c>
      <c r="AD2800">
        <v>-1.1040301373600001</v>
      </c>
      <c r="AE2800">
        <v>-0.86320000000000596</v>
      </c>
      <c r="AF2800">
        <v>-0.325200862146864</v>
      </c>
      <c r="AG2800">
        <v>-1.1040301373600001</v>
      </c>
      <c r="AH2800">
        <v>22.136119015160901</v>
      </c>
      <c r="AI2800">
        <v>92.854930796995902</v>
      </c>
      <c r="AJ2800">
        <v>90.841669517452203</v>
      </c>
      <c r="AK2800">
        <v>22.166019110302798</v>
      </c>
      <c r="AL2800">
        <v>84.413543493211293</v>
      </c>
      <c r="AM2800">
        <v>91.156887474537697</v>
      </c>
      <c r="AN2800">
        <v>1.00000003465278</v>
      </c>
    </row>
    <row r="2801" spans="1:40" x14ac:dyDescent="0.3">
      <c r="A2801" t="str">
        <f>"20200111150008837"</f>
        <v>20200111150008837</v>
      </c>
      <c r="B2801" t="str">
        <f>"1578726008828952"</f>
        <v>1578726008828952</v>
      </c>
      <c r="C2801" t="s">
        <v>40</v>
      </c>
      <c r="D2801">
        <v>4.2714429999999997</v>
      </c>
      <c r="E2801">
        <v>0.50297930000000002</v>
      </c>
      <c r="F2801" t="s">
        <v>62</v>
      </c>
      <c r="G2801">
        <v>-385.64170000000001</v>
      </c>
      <c r="H2801" s="1">
        <v>1.4654260000000001E-6</v>
      </c>
      <c r="I2801">
        <v>281.75369999999998</v>
      </c>
      <c r="J2801">
        <v>-364.4511</v>
      </c>
      <c r="K2801">
        <v>1.104001</v>
      </c>
      <c r="L2801">
        <v>282.5711</v>
      </c>
      <c r="M2801">
        <v>-0.99963159999999895</v>
      </c>
      <c r="N2801">
        <v>0</v>
      </c>
      <c r="O2801">
        <v>-2.399832E-2</v>
      </c>
      <c r="P2801">
        <v>-0.9954115</v>
      </c>
      <c r="Q2801">
        <v>8.4784899999999996E-2</v>
      </c>
      <c r="R2801">
        <v>-4.4361480000000002E-2</v>
      </c>
      <c r="S2801">
        <v>-3.0219119999999999</v>
      </c>
      <c r="T2801">
        <v>-0.155682399999999</v>
      </c>
      <c r="U2801">
        <v>-0.1160583</v>
      </c>
      <c r="V2801">
        <v>-2.03816E-2</v>
      </c>
      <c r="W2801">
        <v>9.7428799999999996E-2</v>
      </c>
      <c r="X2801">
        <v>0.99503379999999997</v>
      </c>
      <c r="Y2801">
        <v>-1.43964E-2</v>
      </c>
      <c r="Z2801">
        <v>8.6448250000000003E-4</v>
      </c>
      <c r="AA2801">
        <v>0.99989600000000001</v>
      </c>
      <c r="AB2801">
        <v>42</v>
      </c>
      <c r="AC2801">
        <v>-21.1906</v>
      </c>
      <c r="AD2801">
        <v>-1.1039995345739999</v>
      </c>
      <c r="AE2801">
        <v>-0.81740000000002</v>
      </c>
      <c r="AF2801">
        <v>-0.30775079846596598</v>
      </c>
      <c r="AG2801">
        <v>-1.1039995345739999</v>
      </c>
      <c r="AH2801">
        <v>21.1468012882574</v>
      </c>
      <c r="AI2801">
        <v>92.988180609530005</v>
      </c>
      <c r="AJ2801">
        <v>90.833770412038007</v>
      </c>
      <c r="AK2801">
        <v>21.177835825488401</v>
      </c>
      <c r="AL2801">
        <v>84.408871662065394</v>
      </c>
      <c r="AM2801">
        <v>91.173443937672104</v>
      </c>
      <c r="AN2801">
        <v>1.0000000219152101</v>
      </c>
    </row>
    <row r="2802" spans="1:40" x14ac:dyDescent="0.3">
      <c r="A2802" t="str">
        <f>"20200111150008852"</f>
        <v>20200111150008852</v>
      </c>
      <c r="B2802" t="str">
        <f>"1578726008848474"</f>
        <v>1578726008848474</v>
      </c>
      <c r="C2802" t="s">
        <v>40</v>
      </c>
      <c r="D2802">
        <v>4.2387790000000001</v>
      </c>
      <c r="E2802">
        <v>0.50270400000000004</v>
      </c>
      <c r="F2802" t="s">
        <v>62</v>
      </c>
      <c r="G2802">
        <v>-385.90269999999998</v>
      </c>
      <c r="H2802" s="1">
        <v>1.604323E-6</v>
      </c>
      <c r="I2802">
        <v>281.74959999999999</v>
      </c>
      <c r="J2802">
        <v>-364.7029</v>
      </c>
      <c r="K2802">
        <v>1.1039589999999999</v>
      </c>
      <c r="L2802">
        <v>282.5652</v>
      </c>
      <c r="M2802">
        <v>-0.99963769999999996</v>
      </c>
      <c r="N2802">
        <v>0</v>
      </c>
      <c r="O2802">
        <v>-2.374447E-2</v>
      </c>
      <c r="P2802">
        <v>-0.99543400000000004</v>
      </c>
      <c r="Q2802">
        <v>8.4291340000000006E-2</v>
      </c>
      <c r="R2802">
        <v>-4.4791530000000003E-2</v>
      </c>
      <c r="S2802">
        <v>-3.0219119999999999</v>
      </c>
      <c r="T2802">
        <v>-0.15552160000000001</v>
      </c>
      <c r="U2802">
        <v>-0.115722699999999</v>
      </c>
      <c r="V2802">
        <v>-2.105541E-2</v>
      </c>
      <c r="W2802">
        <v>9.6938099999999999E-2</v>
      </c>
      <c r="X2802">
        <v>0.9950677</v>
      </c>
      <c r="Y2802">
        <v>-1.4538860000000001E-2</v>
      </c>
      <c r="Z2802">
        <v>8.4688530000000001E-4</v>
      </c>
      <c r="AA2802">
        <v>0.99989399999999995</v>
      </c>
      <c r="AB2802">
        <v>42</v>
      </c>
      <c r="AC2802">
        <v>-21.1997999999999</v>
      </c>
      <c r="AD2802">
        <v>-1.1039573956769999</v>
      </c>
      <c r="AE2802">
        <v>-0.81560000000001698</v>
      </c>
      <c r="AF2802">
        <v>-0.31110916761433899</v>
      </c>
      <c r="AG2802">
        <v>-1.1039573956769999</v>
      </c>
      <c r="AH2802">
        <v>21.155905907396399</v>
      </c>
      <c r="AI2802">
        <v>92.986776499994306</v>
      </c>
      <c r="AJ2802">
        <v>90.842505047785593</v>
      </c>
      <c r="AK2802">
        <v>21.1869739606263</v>
      </c>
      <c r="AL2802">
        <v>84.437120442512693</v>
      </c>
      <c r="AM2802">
        <v>91.212184989740706</v>
      </c>
      <c r="AN2802">
        <v>1.0000000265525799</v>
      </c>
    </row>
    <row r="2803" spans="1:40" x14ac:dyDescent="0.3">
      <c r="A2803" t="str">
        <f>"20200111150008865"</f>
        <v>20200111150008865</v>
      </c>
      <c r="B2803" t="str">
        <f>"1578726008859209"</f>
        <v>1578726008859209</v>
      </c>
      <c r="C2803" t="s">
        <v>40</v>
      </c>
      <c r="D2803">
        <v>4.2544979999999999</v>
      </c>
      <c r="E2803">
        <v>0.50265029999999999</v>
      </c>
      <c r="F2803" t="s">
        <v>62</v>
      </c>
      <c r="G2803">
        <v>-386.38510000000002</v>
      </c>
      <c r="H2803" s="1">
        <v>1.8610639999999999E-6</v>
      </c>
      <c r="I2803">
        <v>281.7115</v>
      </c>
      <c r="J2803">
        <v>-364.93189999999998</v>
      </c>
      <c r="K2803">
        <v>1.1039209999999999</v>
      </c>
      <c r="L2803">
        <v>282.56</v>
      </c>
      <c r="M2803">
        <v>-0.99964350000000002</v>
      </c>
      <c r="N2803">
        <v>0</v>
      </c>
      <c r="O2803">
        <v>-2.349588E-2</v>
      </c>
      <c r="P2803">
        <v>-0.99544779999999999</v>
      </c>
      <c r="Q2803">
        <v>8.4087800000000004E-2</v>
      </c>
      <c r="R2803">
        <v>-4.4869800000000001E-2</v>
      </c>
      <c r="S2803">
        <v>-3.021423</v>
      </c>
      <c r="T2803">
        <v>-0.15383649999999999</v>
      </c>
      <c r="U2803">
        <v>-0.11895749999999999</v>
      </c>
      <c r="V2803">
        <v>-2.1372309999999999E-2</v>
      </c>
      <c r="W2803">
        <v>9.67364E-2</v>
      </c>
      <c r="X2803">
        <v>0.99508050000000003</v>
      </c>
      <c r="Y2803">
        <v>-1.58602999999999E-2</v>
      </c>
      <c r="Z2803">
        <v>7.9158899999999999E-4</v>
      </c>
      <c r="AA2803">
        <v>0.99987389999999998</v>
      </c>
      <c r="AB2803">
        <v>42</v>
      </c>
      <c r="AC2803">
        <v>-21.453199999999999</v>
      </c>
      <c r="AD2803">
        <v>-1.1039191389359999</v>
      </c>
      <c r="AE2803">
        <v>-0.84850000000000103</v>
      </c>
      <c r="AF2803">
        <v>-0.34325590732897898</v>
      </c>
      <c r="AG2803">
        <v>-1.1039191389359999</v>
      </c>
      <c r="AH2803">
        <v>21.410611250174899</v>
      </c>
      <c r="AI2803">
        <v>92.951146204557801</v>
      </c>
      <c r="AJ2803">
        <v>90.918489893772303</v>
      </c>
      <c r="AK2803">
        <v>21.4417988095528</v>
      </c>
      <c r="AL2803">
        <v>84.448731167120101</v>
      </c>
      <c r="AM2803">
        <v>91.2304079100183</v>
      </c>
      <c r="AN2803">
        <v>0.999999954099972</v>
      </c>
    </row>
    <row r="2804" spans="1:40" x14ac:dyDescent="0.3">
      <c r="A2804" t="str">
        <f>"20200111150008876"</f>
        <v>20200111150008876</v>
      </c>
      <c r="B2804" t="str">
        <f>"1578726008868968"</f>
        <v>1578726008868968</v>
      </c>
      <c r="C2804" t="s">
        <v>40</v>
      </c>
      <c r="D2804">
        <v>4.2516470000000002</v>
      </c>
      <c r="E2804">
        <v>0.50233879999999997</v>
      </c>
      <c r="F2804" t="s">
        <v>62</v>
      </c>
      <c r="G2804">
        <v>-386.5188</v>
      </c>
      <c r="H2804" s="1">
        <v>1.93219E-6</v>
      </c>
      <c r="I2804">
        <v>281.7081</v>
      </c>
      <c r="J2804">
        <v>-365.18079999999998</v>
      </c>
      <c r="K2804">
        <v>1.103874</v>
      </c>
      <c r="L2804">
        <v>282.55439999999999</v>
      </c>
      <c r="M2804">
        <v>-0.99965079999999995</v>
      </c>
      <c r="N2804">
        <v>0</v>
      </c>
      <c r="O2804">
        <v>-2.319017E-2</v>
      </c>
      <c r="P2804">
        <v>-0.99545249999999996</v>
      </c>
      <c r="Q2804">
        <v>8.4102040000000003E-2</v>
      </c>
      <c r="R2804">
        <v>-4.4739500000000001E-2</v>
      </c>
      <c r="S2804">
        <v>-3.021423</v>
      </c>
      <c r="T2804">
        <v>-0.15451110000000001</v>
      </c>
      <c r="U2804">
        <v>-0.119232199999999</v>
      </c>
      <c r="V2804">
        <v>-2.1535499999999999E-2</v>
      </c>
      <c r="W2804">
        <v>9.6753469999999994E-2</v>
      </c>
      <c r="X2804">
        <v>0.9950753</v>
      </c>
      <c r="Y2804">
        <v>-1.6256E-2</v>
      </c>
      <c r="Z2804">
        <v>7.6933539999999895E-4</v>
      </c>
      <c r="AA2804">
        <v>0.99986759999999997</v>
      </c>
      <c r="AB2804">
        <v>42</v>
      </c>
      <c r="AC2804">
        <v>-21.338000000000001</v>
      </c>
      <c r="AD2804">
        <v>-1.10387206781</v>
      </c>
      <c r="AE2804">
        <v>-0.84629999999998495</v>
      </c>
      <c r="AF2804">
        <v>-0.35026487711107801</v>
      </c>
      <c r="AG2804">
        <v>-1.10387206781</v>
      </c>
      <c r="AH2804">
        <v>21.294986462743601</v>
      </c>
      <c r="AI2804">
        <v>92.9669950981677</v>
      </c>
      <c r="AJ2804">
        <v>90.942329297775203</v>
      </c>
      <c r="AK2804">
        <v>21.3264546391251</v>
      </c>
      <c r="AL2804">
        <v>84.447748396706899</v>
      </c>
      <c r="AM2804">
        <v>91.239806344627794</v>
      </c>
      <c r="AN2804">
        <v>0.99999993219368799</v>
      </c>
    </row>
    <row r="2805" spans="1:40" x14ac:dyDescent="0.3">
      <c r="A2805" t="str">
        <f>"20200111150008890"</f>
        <v>20200111150008890</v>
      </c>
      <c r="B2805" t="str">
        <f>"1578726008878729"</f>
        <v>1578726008878729</v>
      </c>
      <c r="C2805" t="s">
        <v>40</v>
      </c>
      <c r="D2805">
        <v>4.4019349999999999</v>
      </c>
      <c r="E2805">
        <v>0.50130779999999997</v>
      </c>
      <c r="F2805" t="s">
        <v>62</v>
      </c>
      <c r="G2805">
        <v>-386.9753</v>
      </c>
      <c r="H2805" s="1">
        <v>2.1750989999999999E-6</v>
      </c>
      <c r="I2805">
        <v>281.68040000000002</v>
      </c>
      <c r="J2805">
        <v>-365.42169999999999</v>
      </c>
      <c r="K2805">
        <v>1.1038269999999999</v>
      </c>
      <c r="L2805">
        <v>282.54910000000001</v>
      </c>
      <c r="M2805">
        <v>-0.99965850000000001</v>
      </c>
      <c r="N2805">
        <v>0</v>
      </c>
      <c r="O2805">
        <v>-2.2854269999999999E-2</v>
      </c>
      <c r="P2805">
        <v>-0.99543369999999998</v>
      </c>
      <c r="Q2805">
        <v>8.4363369999999993E-2</v>
      </c>
      <c r="R2805">
        <v>-4.4663260000000003E-2</v>
      </c>
      <c r="S2805">
        <v>-3.0211790000000001</v>
      </c>
      <c r="T2805">
        <v>-0.15302009999999999</v>
      </c>
      <c r="U2805">
        <v>-0.12115480000000001</v>
      </c>
      <c r="V2805">
        <v>-2.1782619999999999E-2</v>
      </c>
      <c r="W2805">
        <v>9.7017329999999999E-2</v>
      </c>
      <c r="X2805">
        <v>0.99504429999999999</v>
      </c>
      <c r="Y2805">
        <v>-1.7228589999999998E-2</v>
      </c>
      <c r="Z2805">
        <v>7.2037679999999995E-4</v>
      </c>
      <c r="AA2805">
        <v>0.9998513</v>
      </c>
      <c r="AB2805">
        <v>42</v>
      </c>
      <c r="AC2805">
        <v>-21.553599999999999</v>
      </c>
      <c r="AD2805">
        <v>-1.1038248249009901</v>
      </c>
      <c r="AE2805">
        <v>-0.86869999999998904</v>
      </c>
      <c r="AF2805">
        <v>-0.37486014144426799</v>
      </c>
      <c r="AG2805">
        <v>-1.1038248249009901</v>
      </c>
      <c r="AH2805">
        <v>21.511496279180101</v>
      </c>
      <c r="AI2805">
        <v>92.937011290266994</v>
      </c>
      <c r="AJ2805">
        <v>90.998337358207394</v>
      </c>
      <c r="AK2805">
        <v>21.543059706988998</v>
      </c>
      <c r="AL2805">
        <v>84.432559262151401</v>
      </c>
      <c r="AM2805">
        <v>91.254067669119195</v>
      </c>
      <c r="AN2805">
        <v>1.0000000019084401</v>
      </c>
    </row>
    <row r="2806" spans="1:40" x14ac:dyDescent="0.3">
      <c r="A2806" t="str">
        <f>"20200111150008904"</f>
        <v>20200111150008904</v>
      </c>
      <c r="B2806" t="str">
        <f>"1578726008899225"</f>
        <v>1578726008899225</v>
      </c>
      <c r="C2806" t="s">
        <v>40</v>
      </c>
      <c r="D2806">
        <v>4.3561189999999996</v>
      </c>
      <c r="E2806">
        <v>0.49906899999999998</v>
      </c>
      <c r="F2806" t="s">
        <v>62</v>
      </c>
      <c r="G2806">
        <v>-387.7448</v>
      </c>
      <c r="H2806" s="1">
        <v>2.5846249999999998E-6</v>
      </c>
      <c r="I2806">
        <v>281.59460000000001</v>
      </c>
      <c r="J2806">
        <v>-365.69159999999999</v>
      </c>
      <c r="K2806">
        <v>1.103766</v>
      </c>
      <c r="L2806">
        <v>282.54320000000001</v>
      </c>
      <c r="M2806">
        <v>-0.99966770000000005</v>
      </c>
      <c r="N2806">
        <v>0</v>
      </c>
      <c r="O2806">
        <v>-2.2442899999999998E-2</v>
      </c>
      <c r="P2806">
        <v>-0.99542050000000004</v>
      </c>
      <c r="Q2806">
        <v>8.4589890000000001E-2</v>
      </c>
      <c r="R2806">
        <v>-4.4528970000000001E-2</v>
      </c>
      <c r="S2806">
        <v>-3.0206300000000001</v>
      </c>
      <c r="T2806">
        <v>-0.14936240000000001</v>
      </c>
      <c r="U2806">
        <v>-0.1291504</v>
      </c>
      <c r="V2806">
        <v>-2.2044500000000002E-2</v>
      </c>
      <c r="W2806">
        <v>9.7247529999999999E-2</v>
      </c>
      <c r="X2806">
        <v>0.99501600000000001</v>
      </c>
      <c r="Y2806">
        <v>-2.0284739999999999E-2</v>
      </c>
      <c r="Z2806">
        <v>6.0746800000000001E-4</v>
      </c>
      <c r="AA2806">
        <v>0.99979410000000002</v>
      </c>
      <c r="AB2806">
        <v>42</v>
      </c>
      <c r="AC2806">
        <v>-22.0532</v>
      </c>
      <c r="AD2806">
        <v>-1.103763415375</v>
      </c>
      <c r="AE2806">
        <v>-0.948599999999999</v>
      </c>
      <c r="AF2806">
        <v>-0.45225266937057301</v>
      </c>
      <c r="AG2806">
        <v>-1.103763415375</v>
      </c>
      <c r="AH2806">
        <v>22.013892445167698</v>
      </c>
      <c r="AI2806">
        <v>92.869767908375096</v>
      </c>
      <c r="AJ2806">
        <v>91.176917020292095</v>
      </c>
      <c r="AK2806">
        <v>22.046185310422398</v>
      </c>
      <c r="AL2806">
        <v>84.419306770378896</v>
      </c>
      <c r="AM2806">
        <v>91.269175791319398</v>
      </c>
      <c r="AN2806">
        <v>0.99999994116367297</v>
      </c>
    </row>
    <row r="2807" spans="1:40" x14ac:dyDescent="0.3">
      <c r="A2807" t="str">
        <f>"20200111150008919"</f>
        <v>20200111150008919</v>
      </c>
      <c r="B2807" t="str">
        <f>"1578726008908985"</f>
        <v>1578726008908985</v>
      </c>
      <c r="C2807" t="s">
        <v>40</v>
      </c>
      <c r="D2807">
        <v>4.3854649999999999</v>
      </c>
      <c r="E2807">
        <v>0.498361</v>
      </c>
      <c r="F2807" t="s">
        <v>62</v>
      </c>
      <c r="G2807">
        <v>-389.3587</v>
      </c>
      <c r="H2807" s="1">
        <v>3.4434700000000002E-6</v>
      </c>
      <c r="I2807">
        <v>281.39640000000003</v>
      </c>
      <c r="J2807">
        <v>-365.97699999999998</v>
      </c>
      <c r="K2807">
        <v>1.1036979999999901</v>
      </c>
      <c r="L2807">
        <v>282.53719999999998</v>
      </c>
      <c r="M2807">
        <v>-0.99967870000000003</v>
      </c>
      <c r="N2807">
        <v>0</v>
      </c>
      <c r="O2807">
        <v>-2.1950569999999999E-2</v>
      </c>
      <c r="P2807">
        <v>-0.99542989999999998</v>
      </c>
      <c r="Q2807">
        <v>8.4540489999999996E-2</v>
      </c>
      <c r="R2807">
        <v>-4.441494E-2</v>
      </c>
      <c r="S2807">
        <v>-3.0192570000000001</v>
      </c>
      <c r="T2807">
        <v>-0.14080870000000001</v>
      </c>
      <c r="U2807">
        <v>-0.1463013</v>
      </c>
      <c r="V2807">
        <v>-2.240377E-2</v>
      </c>
      <c r="W2807">
        <v>9.7202419999999998E-2</v>
      </c>
      <c r="X2807">
        <v>0.99501249999999997</v>
      </c>
      <c r="Y2807">
        <v>-2.645612E-2</v>
      </c>
      <c r="Z2807">
        <v>4.0621610000000002E-4</v>
      </c>
      <c r="AA2807">
        <v>0.99964989999999998</v>
      </c>
      <c r="AB2807">
        <v>42</v>
      </c>
      <c r="AC2807">
        <v>-23.381699999999999</v>
      </c>
      <c r="AD2807">
        <v>-1.10369455652999</v>
      </c>
      <c r="AE2807">
        <v>-1.1407999999999501</v>
      </c>
      <c r="AF2807">
        <v>-0.62585102753100597</v>
      </c>
      <c r="AG2807">
        <v>-1.10369455652999</v>
      </c>
      <c r="AH2807">
        <v>23.349206538043099</v>
      </c>
      <c r="AI2807">
        <v>92.705331814866994</v>
      </c>
      <c r="AJ2807">
        <v>91.535385733903993</v>
      </c>
      <c r="AK2807">
        <v>23.383654058743101</v>
      </c>
      <c r="AL2807">
        <v>84.421904335868604</v>
      </c>
      <c r="AM2807">
        <v>91.289857773781094</v>
      </c>
      <c r="AN2807">
        <v>1.00000005726015</v>
      </c>
    </row>
    <row r="2808" spans="1:40" x14ac:dyDescent="0.3">
      <c r="A2808" t="str">
        <f>"20200111150008932"</f>
        <v>20200111150008932</v>
      </c>
      <c r="B2808" t="str">
        <f>"1578726008928798"</f>
        <v>1578726008928798</v>
      </c>
      <c r="C2808" t="s">
        <v>40</v>
      </c>
      <c r="D2808">
        <v>4.2143290000000002</v>
      </c>
      <c r="E2808">
        <v>0.4967606</v>
      </c>
      <c r="F2808" t="s">
        <v>62</v>
      </c>
      <c r="G2808">
        <v>-390.09769999999997</v>
      </c>
      <c r="H2808" s="1">
        <v>-1.4848219999999999E-6</v>
      </c>
      <c r="I2808">
        <v>281.32920000000001</v>
      </c>
      <c r="J2808">
        <v>-366.22489999999999</v>
      </c>
      <c r="K2808">
        <v>1.103631</v>
      </c>
      <c r="L2808">
        <v>282.53219999999999</v>
      </c>
      <c r="M2808">
        <v>-0.9996893</v>
      </c>
      <c r="N2808">
        <v>0</v>
      </c>
      <c r="O2808">
        <v>-2.1459260000000001E-2</v>
      </c>
      <c r="P2808">
        <v>-0.99545819999999996</v>
      </c>
      <c r="Q2808">
        <v>8.44776E-2</v>
      </c>
      <c r="R2808">
        <v>-4.3896030000000003E-2</v>
      </c>
      <c r="S2808">
        <v>-3.018799</v>
      </c>
      <c r="T2808">
        <v>-0.13813259999999999</v>
      </c>
      <c r="U2808">
        <v>-0.15118409999999999</v>
      </c>
      <c r="V2808">
        <v>-2.2358349999999999E-2</v>
      </c>
      <c r="W2808">
        <v>9.7144060000000004E-2</v>
      </c>
      <c r="X2808">
        <v>0.99501910000000005</v>
      </c>
      <c r="Y2808">
        <v>-2.8565139999999999E-2</v>
      </c>
      <c r="Z2808">
        <v>3.2790100000000002E-4</v>
      </c>
      <c r="AA2808">
        <v>0.99959189999999998</v>
      </c>
      <c r="AB2808">
        <v>42</v>
      </c>
      <c r="AC2808">
        <v>-23.872799999999899</v>
      </c>
      <c r="AD2808">
        <v>-1.103632484822</v>
      </c>
      <c r="AE2808">
        <v>-1.2029999999999701</v>
      </c>
      <c r="AF2808">
        <v>-0.68892049496770202</v>
      </c>
      <c r="AG2808">
        <v>-1.103632484822</v>
      </c>
      <c r="AH2808">
        <v>23.842293000300799</v>
      </c>
      <c r="AI2808">
        <v>92.649160234540105</v>
      </c>
      <c r="AJ2808">
        <v>91.655094875420303</v>
      </c>
      <c r="AK2808">
        <v>23.877762701353198</v>
      </c>
      <c r="AL2808">
        <v>84.425263343382198</v>
      </c>
      <c r="AM2808">
        <v>91.287235142202803</v>
      </c>
      <c r="AN2808">
        <v>0.99999993678640597</v>
      </c>
    </row>
    <row r="2809" spans="1:40" x14ac:dyDescent="0.3">
      <c r="A2809" t="str">
        <f>"20200111150008945"</f>
        <v>20200111150008945</v>
      </c>
      <c r="B2809" t="str">
        <f>"1578726008938558"</f>
        <v>1578726008938558</v>
      </c>
      <c r="C2809" t="s">
        <v>40</v>
      </c>
      <c r="D2809">
        <v>4.2612110000000003</v>
      </c>
      <c r="E2809">
        <v>0.49592239999999999</v>
      </c>
      <c r="F2809" t="s">
        <v>62</v>
      </c>
      <c r="G2809">
        <v>-390.93520000000001</v>
      </c>
      <c r="H2809" s="1">
        <v>-1.03915E-6</v>
      </c>
      <c r="I2809">
        <v>281.20060000000001</v>
      </c>
      <c r="J2809">
        <v>-366.47370000000001</v>
      </c>
      <c r="K2809">
        <v>1.1035600000000001</v>
      </c>
      <c r="L2809">
        <v>282.52719999999999</v>
      </c>
      <c r="M2809">
        <v>-0.99970049999999999</v>
      </c>
      <c r="N2809">
        <v>0</v>
      </c>
      <c r="O2809">
        <v>-2.092917E-2</v>
      </c>
      <c r="P2809">
        <v>-0.99549909999999997</v>
      </c>
      <c r="Q2809">
        <v>8.4410410000000005E-2</v>
      </c>
      <c r="R2809">
        <v>-4.3083200000000002E-2</v>
      </c>
      <c r="S2809">
        <v>-3.017944</v>
      </c>
      <c r="T2809">
        <v>-0.1347904</v>
      </c>
      <c r="U2809">
        <v>-0.1626282</v>
      </c>
      <c r="V2809">
        <v>-2.2056249999999999E-2</v>
      </c>
      <c r="W2809">
        <v>9.7080449999999999E-2</v>
      </c>
      <c r="X2809">
        <v>0.99503209999999997</v>
      </c>
      <c r="Y2809">
        <v>-3.288481E-2</v>
      </c>
      <c r="Z2809">
        <v>2.000401E-4</v>
      </c>
      <c r="AA2809">
        <v>0.99945910000000004</v>
      </c>
      <c r="AB2809">
        <v>42</v>
      </c>
      <c r="AC2809">
        <v>-24.461500000000001</v>
      </c>
      <c r="AD2809">
        <v>-1.1035610391499999</v>
      </c>
      <c r="AE2809">
        <v>-1.32659999999998</v>
      </c>
      <c r="AF2809">
        <v>-0.81266014741140702</v>
      </c>
      <c r="AG2809">
        <v>-1.1035610391499999</v>
      </c>
      <c r="AH2809">
        <v>24.434322858708601</v>
      </c>
      <c r="AI2809">
        <v>92.584543876463698</v>
      </c>
      <c r="AJ2809">
        <v>91.904895828943594</v>
      </c>
      <c r="AK2809">
        <v>24.472727617614002</v>
      </c>
      <c r="AL2809">
        <v>84.428925511272993</v>
      </c>
      <c r="AM2809">
        <v>91.269831516811095</v>
      </c>
      <c r="AN2809">
        <v>0.99999998598333695</v>
      </c>
    </row>
    <row r="2810" spans="1:40" x14ac:dyDescent="0.3">
      <c r="A2810" t="str">
        <f>"20200111150008958"</f>
        <v>20200111150008958</v>
      </c>
      <c r="B2810" t="str">
        <f>"1578726008949294"</f>
        <v>1578726008949294</v>
      </c>
      <c r="C2810" t="s">
        <v>40</v>
      </c>
      <c r="D2810">
        <v>4.2778429999999998</v>
      </c>
      <c r="E2810">
        <v>0.49514580000000002</v>
      </c>
      <c r="F2810" t="s">
        <v>62</v>
      </c>
      <c r="G2810">
        <v>-391.60039999999998</v>
      </c>
      <c r="H2810" s="1">
        <v>-6.8515719999999998E-7</v>
      </c>
      <c r="I2810">
        <v>281.13490000000002</v>
      </c>
      <c r="J2810">
        <v>-366.72070000000002</v>
      </c>
      <c r="K2810">
        <v>1.1034820000000001</v>
      </c>
      <c r="L2810">
        <v>282.52249999999998</v>
      </c>
      <c r="M2810">
        <v>-0.99971239999999995</v>
      </c>
      <c r="N2810">
        <v>0</v>
      </c>
      <c r="O2810">
        <v>-2.0352539999999999E-2</v>
      </c>
      <c r="P2810">
        <v>-0.99553199999999997</v>
      </c>
      <c r="Q2810">
        <v>8.4502369999999993E-2</v>
      </c>
      <c r="R2810">
        <v>-4.2137180000000003E-2</v>
      </c>
      <c r="S2810">
        <v>-3.017639</v>
      </c>
      <c r="T2810">
        <v>-0.1325345</v>
      </c>
      <c r="U2810">
        <v>-0.16720579999999999</v>
      </c>
      <c r="V2810">
        <v>-2.166556E-2</v>
      </c>
      <c r="W2810">
        <v>9.717634E-2</v>
      </c>
      <c r="X2810">
        <v>0.99503140000000001</v>
      </c>
      <c r="Y2810">
        <v>-3.4976100000000003E-2</v>
      </c>
      <c r="Z2810">
        <v>1.2555110000000001E-4</v>
      </c>
      <c r="AA2810">
        <v>0.99938819999999995</v>
      </c>
      <c r="AB2810">
        <v>42</v>
      </c>
      <c r="AC2810">
        <v>-24.8796999999999</v>
      </c>
      <c r="AD2810">
        <v>-1.1034826851571999</v>
      </c>
      <c r="AE2810">
        <v>-1.38759999999996</v>
      </c>
      <c r="AF2810">
        <v>-0.87918257073249695</v>
      </c>
      <c r="AG2810">
        <v>-1.1034826851571999</v>
      </c>
      <c r="AH2810">
        <v>24.854048783086899</v>
      </c>
      <c r="AI2810">
        <v>92.540590653670193</v>
      </c>
      <c r="AJ2810">
        <v>92.025925676814893</v>
      </c>
      <c r="AK2810">
        <v>24.8940630862297</v>
      </c>
      <c r="AL2810">
        <v>84.423405745396295</v>
      </c>
      <c r="AM2810">
        <v>91.247346598636</v>
      </c>
      <c r="AN2810">
        <v>1.00000006226593</v>
      </c>
    </row>
    <row r="2811" spans="1:40" x14ac:dyDescent="0.3">
      <c r="A2811" t="str">
        <f>"20200111150008972"</f>
        <v>20200111150008972</v>
      </c>
      <c r="B2811" t="str">
        <f>"1578726008968814"</f>
        <v>1578726008968814</v>
      </c>
      <c r="C2811" t="s">
        <v>40</v>
      </c>
      <c r="D2811">
        <v>4.2712180000000002</v>
      </c>
      <c r="E2811">
        <v>0.49385469999999998</v>
      </c>
      <c r="F2811" t="s">
        <v>62</v>
      </c>
      <c r="G2811">
        <v>-392.26299999999998</v>
      </c>
      <c r="H2811" s="1">
        <v>-3.325222E-7</v>
      </c>
      <c r="I2811">
        <v>281.07679999999999</v>
      </c>
      <c r="J2811">
        <v>-366.97480000000002</v>
      </c>
      <c r="K2811">
        <v>1.103399</v>
      </c>
      <c r="L2811">
        <v>282.51780000000002</v>
      </c>
      <c r="M2811">
        <v>-0.9997258</v>
      </c>
      <c r="N2811">
        <v>0</v>
      </c>
      <c r="O2811">
        <v>-1.9690369999999999E-2</v>
      </c>
      <c r="P2811">
        <v>-0.99557359999999995</v>
      </c>
      <c r="Q2811">
        <v>8.4479490000000004E-2</v>
      </c>
      <c r="R2811">
        <v>-4.1196219999999999E-2</v>
      </c>
      <c r="S2811">
        <v>-3.0173030000000001</v>
      </c>
      <c r="T2811">
        <v>-0.130354</v>
      </c>
      <c r="U2811">
        <v>-0.17077639999999999</v>
      </c>
      <c r="V2811">
        <v>-2.136383E-2</v>
      </c>
      <c r="W2811">
        <v>9.7158300000000003E-2</v>
      </c>
      <c r="X2811">
        <v>0.99503960000000002</v>
      </c>
      <c r="Y2811">
        <v>-3.6821199999999998E-2</v>
      </c>
      <c r="Z2811" s="1">
        <v>5.5128009999999897E-5</v>
      </c>
      <c r="AA2811">
        <v>0.99932189999999999</v>
      </c>
      <c r="AB2811">
        <v>42</v>
      </c>
      <c r="AC2811">
        <v>-25.2882</v>
      </c>
      <c r="AD2811">
        <v>-1.10339933252219</v>
      </c>
      <c r="AE2811">
        <v>-1.44100000000003</v>
      </c>
      <c r="AF2811">
        <v>-0.940960937947663</v>
      </c>
      <c r="AG2811">
        <v>-1.10339933252219</v>
      </c>
      <c r="AH2811">
        <v>25.263730252725399</v>
      </c>
      <c r="AI2811">
        <v>92.499086662223505</v>
      </c>
      <c r="AJ2811">
        <v>92.133025514555698</v>
      </c>
      <c r="AK2811">
        <v>25.305314932958801</v>
      </c>
      <c r="AL2811">
        <v>84.424443798709902</v>
      </c>
      <c r="AM2811">
        <v>91.229970403773294</v>
      </c>
      <c r="AN2811">
        <v>0.99999997702965904</v>
      </c>
    </row>
    <row r="2812" spans="1:40" x14ac:dyDescent="0.3">
      <c r="A2812" t="str">
        <f>"20200111150008986"</f>
        <v>20200111150008986</v>
      </c>
      <c r="B2812" t="str">
        <f>"1578726008978574"</f>
        <v>1578726008978574</v>
      </c>
      <c r="C2812" t="s">
        <v>40</v>
      </c>
      <c r="D2812">
        <v>4.2576159999999996</v>
      </c>
      <c r="E2812">
        <v>0.49326799999999998</v>
      </c>
      <c r="F2812" t="s">
        <v>62</v>
      </c>
      <c r="G2812">
        <v>-393.7561</v>
      </c>
      <c r="H2812" s="1">
        <v>4.6202429999999998E-7</v>
      </c>
      <c r="I2812">
        <v>280.9366</v>
      </c>
      <c r="J2812">
        <v>-367.24689999999998</v>
      </c>
      <c r="K2812">
        <v>1.103308</v>
      </c>
      <c r="L2812">
        <v>282.51310000000001</v>
      </c>
      <c r="M2812">
        <v>-0.99974039999999997</v>
      </c>
      <c r="N2812">
        <v>0</v>
      </c>
      <c r="O2812">
        <v>-1.8930490000000001E-2</v>
      </c>
      <c r="P2812">
        <v>-0.99563650000000004</v>
      </c>
      <c r="Q2812">
        <v>8.4363549999999995E-2</v>
      </c>
      <c r="R2812">
        <v>-3.9885770000000001E-2</v>
      </c>
      <c r="S2812">
        <v>-3.0165410000000001</v>
      </c>
      <c r="T2812">
        <v>-0.1242822</v>
      </c>
      <c r="U2812">
        <v>-0.1781006</v>
      </c>
      <c r="V2812">
        <v>-2.0788520000000001E-2</v>
      </c>
      <c r="W2812">
        <v>9.7047240000000007E-2</v>
      </c>
      <c r="X2812">
        <v>0.99506260000000002</v>
      </c>
      <c r="Y2812">
        <v>-4.001122E-2</v>
      </c>
      <c r="Z2812" s="1">
        <v>-4.4319139999999997E-5</v>
      </c>
      <c r="AA2812">
        <v>0.99919919999999995</v>
      </c>
      <c r="AB2812">
        <v>42</v>
      </c>
      <c r="AC2812">
        <v>-26.5092</v>
      </c>
      <c r="AD2812">
        <v>-1.10330753797569</v>
      </c>
      <c r="AE2812">
        <v>-1.57650000000001</v>
      </c>
      <c r="AF2812">
        <v>-1.0724937248097599</v>
      </c>
      <c r="AG2812">
        <v>-1.10330753797569</v>
      </c>
      <c r="AH2812">
        <v>26.488573160289601</v>
      </c>
      <c r="AI2812">
        <v>92.383166628640893</v>
      </c>
      <c r="AJ2812">
        <v>92.318577808813501</v>
      </c>
      <c r="AK2812">
        <v>26.533225178653399</v>
      </c>
      <c r="AL2812">
        <v>84.430837150741098</v>
      </c>
      <c r="AM2812">
        <v>91.196830445213905</v>
      </c>
      <c r="AN2812">
        <v>0.99999995363708205</v>
      </c>
    </row>
    <row r="2813" spans="1:40" x14ac:dyDescent="0.3">
      <c r="A2813" t="str">
        <f>"20200111150009008"</f>
        <v>20200111150009008</v>
      </c>
      <c r="B2813" t="str">
        <f>"1578726008999070"</f>
        <v>1578726008999070</v>
      </c>
      <c r="C2813" t="s">
        <v>40</v>
      </c>
      <c r="D2813">
        <v>4.2130599999999996</v>
      </c>
      <c r="E2813">
        <v>0.49219059999999998</v>
      </c>
      <c r="F2813" t="s">
        <v>62</v>
      </c>
      <c r="G2813">
        <v>-394.66199999999998</v>
      </c>
      <c r="H2813" s="1">
        <v>9.4407080000000005E-7</v>
      </c>
      <c r="I2813">
        <v>280.89120000000003</v>
      </c>
      <c r="J2813">
        <v>-367.66570000000002</v>
      </c>
      <c r="K2813">
        <v>1.1031580000000001</v>
      </c>
      <c r="L2813">
        <v>282.50630000000001</v>
      </c>
      <c r="M2813">
        <v>-0.99976430000000005</v>
      </c>
      <c r="N2813">
        <v>0</v>
      </c>
      <c r="O2813">
        <v>-1.7626739999999998E-2</v>
      </c>
      <c r="P2813">
        <v>-0.99573840000000002</v>
      </c>
      <c r="Q2813">
        <v>8.4143789999999996E-2</v>
      </c>
      <c r="R2813">
        <v>-3.7749480000000002E-2</v>
      </c>
      <c r="S2813">
        <v>-3.0162659999999999</v>
      </c>
      <c r="T2813">
        <v>-0.1213881</v>
      </c>
      <c r="U2813">
        <v>-0.17843629999999999</v>
      </c>
      <c r="V2813">
        <v>-1.991588E-2</v>
      </c>
      <c r="W2813">
        <v>9.6835110000000002E-2</v>
      </c>
      <c r="X2813">
        <v>0.99510120000000002</v>
      </c>
      <c r="Y2813">
        <v>-4.1429000000000001E-2</v>
      </c>
      <c r="Z2813">
        <v>-1.241696E-4</v>
      </c>
      <c r="AA2813">
        <v>0.99914150000000002</v>
      </c>
      <c r="AB2813">
        <v>42</v>
      </c>
      <c r="AC2813">
        <v>-26.996299999999898</v>
      </c>
      <c r="AD2813">
        <v>-1.1031570559291899</v>
      </c>
      <c r="AE2813">
        <v>-1.61509999999998</v>
      </c>
      <c r="AF2813">
        <v>-1.1370621433091299</v>
      </c>
      <c r="AG2813">
        <v>-1.1031570559291899</v>
      </c>
      <c r="AH2813">
        <v>26.975692789126299</v>
      </c>
      <c r="AI2813">
        <v>92.339701247139502</v>
      </c>
      <c r="AJ2813">
        <v>92.413666233158295</v>
      </c>
      <c r="AK2813">
        <v>27.0221736220666</v>
      </c>
      <c r="AL2813">
        <v>84.443049299396606</v>
      </c>
      <c r="AM2813">
        <v>91.146560317537805</v>
      </c>
      <c r="AN2813">
        <v>1.0000000395231601</v>
      </c>
    </row>
    <row r="2814" spans="1:40" x14ac:dyDescent="0.3">
      <c r="A2814" t="str">
        <f>"20200111150009024"</f>
        <v>20200111150009024</v>
      </c>
      <c r="B2814" t="str">
        <f>"1578726009018590"</f>
        <v>1578726009018590</v>
      </c>
      <c r="C2814" t="s">
        <v>40</v>
      </c>
      <c r="D2814">
        <v>4.2784380000000004</v>
      </c>
      <c r="E2814">
        <v>0.49114229999999998</v>
      </c>
      <c r="F2814" t="s">
        <v>62</v>
      </c>
      <c r="G2814">
        <v>-395.30309999999997</v>
      </c>
      <c r="H2814" s="1">
        <v>1.2852669999999999E-6</v>
      </c>
      <c r="I2814">
        <v>280.8503</v>
      </c>
      <c r="J2814">
        <v>-367.9615</v>
      </c>
      <c r="K2814">
        <v>1.1030519999999999</v>
      </c>
      <c r="L2814">
        <v>282.5018</v>
      </c>
      <c r="M2814">
        <v>-0.99978129999999998</v>
      </c>
      <c r="N2814">
        <v>0</v>
      </c>
      <c r="O2814">
        <v>-1.6623579999999999E-2</v>
      </c>
      <c r="P2814">
        <v>-0.99582729999999997</v>
      </c>
      <c r="Q2814">
        <v>8.379288E-2</v>
      </c>
      <c r="R2814">
        <v>-3.6151019999999999E-2</v>
      </c>
      <c r="S2814">
        <v>-3.0161739999999999</v>
      </c>
      <c r="T2814">
        <v>-0.1203916</v>
      </c>
      <c r="U2814">
        <v>-0.1807251</v>
      </c>
      <c r="V2814">
        <v>-1.9291599999999999E-2</v>
      </c>
      <c r="W2814">
        <v>9.6489580000000005E-2</v>
      </c>
      <c r="X2814">
        <v>0.995147</v>
      </c>
      <c r="Y2814">
        <v>-4.3186879999999997E-2</v>
      </c>
      <c r="Z2814">
        <v>-1.9816920000000001E-4</v>
      </c>
      <c r="AA2814">
        <v>0.99906700000000004</v>
      </c>
      <c r="AB2814">
        <v>42</v>
      </c>
      <c r="AC2814">
        <v>-27.3415999999999</v>
      </c>
      <c r="AD2814">
        <v>-1.103050714733</v>
      </c>
      <c r="AE2814">
        <v>-1.65149999999999</v>
      </c>
      <c r="AF2814">
        <v>-1.1947823488355001</v>
      </c>
      <c r="AG2814">
        <v>-1.103050714733</v>
      </c>
      <c r="AH2814">
        <v>27.320971848801602</v>
      </c>
      <c r="AI2814">
        <v>92.309785924589903</v>
      </c>
      <c r="AJ2814">
        <v>92.504025015638703</v>
      </c>
      <c r="AK2814">
        <v>27.369320936102401</v>
      </c>
      <c r="AL2814">
        <v>84.462939511894803</v>
      </c>
      <c r="AM2814">
        <v>91.110578466229995</v>
      </c>
      <c r="AN2814">
        <v>0.99999997824406694</v>
      </c>
    </row>
    <row r="2815" spans="1:40" x14ac:dyDescent="0.3">
      <c r="A2815" t="str">
        <f>"20200111150009038"</f>
        <v>20200111150009038</v>
      </c>
      <c r="B2815" t="str">
        <f>"1578726009029328"</f>
        <v>1578726009029328</v>
      </c>
      <c r="C2815" t="s">
        <v>40</v>
      </c>
      <c r="D2815">
        <v>4.6247220000000002</v>
      </c>
      <c r="E2815">
        <v>0.49070439999999999</v>
      </c>
      <c r="F2815" t="s">
        <v>62</v>
      </c>
      <c r="G2815">
        <v>-396.23110000000003</v>
      </c>
      <c r="H2815" s="1">
        <v>1.7791109999999999E-6</v>
      </c>
      <c r="I2815">
        <v>280.77569999999997</v>
      </c>
      <c r="J2815">
        <v>-368.22930000000002</v>
      </c>
      <c r="K2815">
        <v>1.102957</v>
      </c>
      <c r="L2815">
        <v>282.49810000000002</v>
      </c>
      <c r="M2815">
        <v>-0.99979700000000005</v>
      </c>
      <c r="N2815">
        <v>0</v>
      </c>
      <c r="O2815">
        <v>-1.565337E-2</v>
      </c>
      <c r="P2815">
        <v>-0.99588429999999994</v>
      </c>
      <c r="Q2815">
        <v>8.3655119999999999E-2</v>
      </c>
      <c r="R2815">
        <v>-3.4875410000000003E-2</v>
      </c>
      <c r="S2815">
        <v>-3.0157780000000001</v>
      </c>
      <c r="T2815">
        <v>-0.1176724</v>
      </c>
      <c r="U2815">
        <v>-0.1841431</v>
      </c>
      <c r="V2815">
        <v>-1.896016E-2</v>
      </c>
      <c r="W2815">
        <v>9.6356230000000001E-2</v>
      </c>
      <c r="X2815">
        <v>0.99516629999999995</v>
      </c>
      <c r="Y2815">
        <v>-4.5290940000000002E-2</v>
      </c>
      <c r="Z2815">
        <v>-2.7250959999999998E-4</v>
      </c>
      <c r="AA2815">
        <v>0.99897380000000002</v>
      </c>
      <c r="AB2815">
        <v>42</v>
      </c>
      <c r="AC2815">
        <v>-28.001799999999999</v>
      </c>
      <c r="AD2815">
        <v>-1.1029552208890001</v>
      </c>
      <c r="AE2815">
        <v>-1.7224000000000499</v>
      </c>
      <c r="AF2815">
        <v>-1.2818498671904901</v>
      </c>
      <c r="AG2815">
        <v>-1.1029552208890001</v>
      </c>
      <c r="AH2815">
        <v>27.982082386387699</v>
      </c>
      <c r="AI2815">
        <v>92.254867241029601</v>
      </c>
      <c r="AJ2815">
        <v>92.622866869653294</v>
      </c>
      <c r="AK2815">
        <v>28.0331336810548</v>
      </c>
      <c r="AL2815">
        <v>84.470615724071095</v>
      </c>
      <c r="AM2815">
        <v>91.091481627683905</v>
      </c>
      <c r="AN2815">
        <v>0.999999987691364</v>
      </c>
    </row>
    <row r="2816" spans="1:40" x14ac:dyDescent="0.3">
      <c r="A2816" t="str">
        <f>"20200111150009053"</f>
        <v>20200111150009053</v>
      </c>
      <c r="B2816" t="str">
        <f>"1578726009048846"</f>
        <v>1578726009048846</v>
      </c>
      <c r="C2816" t="s">
        <v>40</v>
      </c>
      <c r="D2816">
        <v>4.2021160000000002</v>
      </c>
      <c r="E2816">
        <v>0.48971740000000002</v>
      </c>
      <c r="F2816" t="s">
        <v>62</v>
      </c>
      <c r="G2816">
        <v>-396.92349999999999</v>
      </c>
      <c r="H2816" s="1">
        <v>2.147547E-6</v>
      </c>
      <c r="I2816">
        <v>280.74740000000003</v>
      </c>
      <c r="J2816">
        <v>-368.50569999999999</v>
      </c>
      <c r="K2816">
        <v>1.102862</v>
      </c>
      <c r="L2816">
        <v>282.49459999999999</v>
      </c>
      <c r="M2816">
        <v>-0.99981310000000001</v>
      </c>
      <c r="N2816">
        <v>0</v>
      </c>
      <c r="O2816">
        <v>-1.458422E-2</v>
      </c>
      <c r="P2816">
        <v>-0.99590979999999996</v>
      </c>
      <c r="Q2816">
        <v>8.3777409999999997E-2</v>
      </c>
      <c r="R2816">
        <v>-3.3841910000000003E-2</v>
      </c>
      <c r="S2816">
        <v>-3.015717</v>
      </c>
      <c r="T2816">
        <v>-0.1159191</v>
      </c>
      <c r="U2816">
        <v>-0.1839905</v>
      </c>
      <c r="V2816">
        <v>-1.8968459999999999E-2</v>
      </c>
      <c r="W2816">
        <v>9.6484829999999994E-2</v>
      </c>
      <c r="X2816">
        <v>0.99515370000000003</v>
      </c>
      <c r="Y2816">
        <v>-4.6309160000000002E-2</v>
      </c>
      <c r="Z2816">
        <v>-3.2903480000000002E-4</v>
      </c>
      <c r="AA2816">
        <v>0.99892709999999996</v>
      </c>
      <c r="AB2816">
        <v>42</v>
      </c>
      <c r="AC2816">
        <v>-28.4178</v>
      </c>
      <c r="AD2816">
        <v>-1.102859852453</v>
      </c>
      <c r="AE2816">
        <v>-1.7471999999999599</v>
      </c>
      <c r="AF2816">
        <v>-1.33053292139771</v>
      </c>
      <c r="AG2816">
        <v>-1.102859852453</v>
      </c>
      <c r="AH2816">
        <v>28.3976515080168</v>
      </c>
      <c r="AI2816">
        <v>92.221603951583802</v>
      </c>
      <c r="AJ2816">
        <v>92.682553159655797</v>
      </c>
      <c r="AK2816">
        <v>28.450188556138599</v>
      </c>
      <c r="AL2816">
        <v>84.463213095441702</v>
      </c>
      <c r="AM2816">
        <v>91.091973141379995</v>
      </c>
      <c r="AN2816">
        <v>1.0000000057592899</v>
      </c>
    </row>
    <row r="2817" spans="1:40" x14ac:dyDescent="0.3">
      <c r="A2817" t="str">
        <f>"20200111150009065"</f>
        <v>20200111150009065</v>
      </c>
      <c r="B2817" t="str">
        <f>"1578726009058606"</f>
        <v>1578726009058606</v>
      </c>
      <c r="C2817" t="s">
        <v>40</v>
      </c>
      <c r="D2817">
        <v>4.1993280000000004</v>
      </c>
      <c r="E2817">
        <v>0.4894059</v>
      </c>
      <c r="F2817" t="s">
        <v>62</v>
      </c>
      <c r="G2817">
        <v>-397.77019999999999</v>
      </c>
      <c r="H2817" s="1">
        <v>2.59811E-6</v>
      </c>
      <c r="I2817">
        <v>280.66520000000003</v>
      </c>
      <c r="J2817">
        <v>-368.74889999999999</v>
      </c>
      <c r="K2817">
        <v>1.102779</v>
      </c>
      <c r="L2817">
        <v>282.49180000000001</v>
      </c>
      <c r="M2817">
        <v>-0.99982689999999996</v>
      </c>
      <c r="N2817">
        <v>0</v>
      </c>
      <c r="O2817">
        <v>-1.360368E-2</v>
      </c>
      <c r="P2817">
        <v>-0.99592349999999996</v>
      </c>
      <c r="Q2817">
        <v>8.3876329999999999E-2</v>
      </c>
      <c r="R2817">
        <v>-3.3185659999999999E-2</v>
      </c>
      <c r="S2817">
        <v>-3.0154420000000002</v>
      </c>
      <c r="T2817">
        <v>-0.1136397</v>
      </c>
      <c r="U2817">
        <v>-0.18850710000000001</v>
      </c>
      <c r="V2817">
        <v>-1.926959E-2</v>
      </c>
      <c r="W2817">
        <v>9.6589720000000004E-2</v>
      </c>
      <c r="X2817">
        <v>0.99513779999999996</v>
      </c>
      <c r="Y2817">
        <v>-4.8783199999999999E-2</v>
      </c>
      <c r="Z2817">
        <v>-4.0603740000000002E-4</v>
      </c>
      <c r="AA2817">
        <v>0.99880930000000001</v>
      </c>
      <c r="AB2817">
        <v>42</v>
      </c>
      <c r="AC2817">
        <v>-29.0213</v>
      </c>
      <c r="AD2817">
        <v>-1.1027764018899999</v>
      </c>
      <c r="AE2817">
        <v>-1.82659999999998</v>
      </c>
      <c r="AF2817">
        <v>-1.42954666735654</v>
      </c>
      <c r="AG2817">
        <v>-1.1027764018899999</v>
      </c>
      <c r="AH2817">
        <v>29.001753792814299</v>
      </c>
      <c r="AI2817">
        <v>92.174954650020695</v>
      </c>
      <c r="AJ2817">
        <v>92.821924218588705</v>
      </c>
      <c r="AK2817">
        <v>29.057898109218701</v>
      </c>
      <c r="AL2817">
        <v>84.457175475324206</v>
      </c>
      <c r="AM2817">
        <v>91.109321964734406</v>
      </c>
      <c r="AN2817">
        <v>1.0000000660486399</v>
      </c>
    </row>
    <row r="2818" spans="1:40" x14ac:dyDescent="0.3">
      <c r="A2818" t="str">
        <f>"20200111150009078"</f>
        <v>20200111150009078</v>
      </c>
      <c r="B2818" t="str">
        <f>"1578726009069344"</f>
        <v>1578726009069344</v>
      </c>
      <c r="C2818" t="s">
        <v>40</v>
      </c>
      <c r="D2818">
        <v>4.2334519999999998</v>
      </c>
      <c r="E2818">
        <v>0.48905579999999998</v>
      </c>
      <c r="F2818" t="s">
        <v>62</v>
      </c>
      <c r="G2818">
        <v>-398.03550000000001</v>
      </c>
      <c r="H2818" s="1">
        <v>2.7392910000000001E-6</v>
      </c>
      <c r="I2818">
        <v>280.65750000000003</v>
      </c>
      <c r="J2818">
        <v>-368.98610000000002</v>
      </c>
      <c r="K2818">
        <v>1.102697</v>
      </c>
      <c r="L2818">
        <v>282.48919999999998</v>
      </c>
      <c r="M2818">
        <v>-0.99983999999999995</v>
      </c>
      <c r="N2818">
        <v>0</v>
      </c>
      <c r="O2818">
        <v>-1.260555E-2</v>
      </c>
      <c r="P2818">
        <v>-0.9959249</v>
      </c>
      <c r="Q2818">
        <v>8.4128690000000006E-2</v>
      </c>
      <c r="R2818">
        <v>-3.2495129999999997E-2</v>
      </c>
      <c r="S2818">
        <v>-3.0155639999999999</v>
      </c>
      <c r="T2818">
        <v>-0.1135499</v>
      </c>
      <c r="U2818">
        <v>-0.18887329999999999</v>
      </c>
      <c r="V2818">
        <v>-1.9553810000000001E-2</v>
      </c>
      <c r="W2818">
        <v>9.6847440000000007E-2</v>
      </c>
      <c r="X2818">
        <v>0.99510710000000002</v>
      </c>
      <c r="Y2818">
        <v>-4.989714E-2</v>
      </c>
      <c r="Z2818">
        <v>-4.641709E-4</v>
      </c>
      <c r="AA2818">
        <v>0.99875429999999998</v>
      </c>
      <c r="AB2818">
        <v>42</v>
      </c>
      <c r="AC2818">
        <v>-29.049399999999899</v>
      </c>
      <c r="AD2818">
        <v>-1.102694260709</v>
      </c>
      <c r="AE2818">
        <v>-1.8316999999999499</v>
      </c>
      <c r="AF2818">
        <v>-1.46324123842328</v>
      </c>
      <c r="AG2818">
        <v>-1.102694260709</v>
      </c>
      <c r="AH2818">
        <v>29.028521257428402</v>
      </c>
      <c r="AI2818">
        <v>92.172668948049207</v>
      </c>
      <c r="AJ2818">
        <v>92.885667098928593</v>
      </c>
      <c r="AK2818">
        <v>29.086286389764499</v>
      </c>
      <c r="AL2818">
        <v>84.442339059037593</v>
      </c>
      <c r="AM2818">
        <v>91.125714632028703</v>
      </c>
      <c r="AN2818">
        <v>0.99999995929523899</v>
      </c>
    </row>
    <row r="2819" spans="1:40" x14ac:dyDescent="0.3">
      <c r="A2819" t="str">
        <f>"20200111150009090"</f>
        <v>20200111150009090</v>
      </c>
      <c r="B2819" t="str">
        <f>"1578726009088862"</f>
        <v>1578726009088862</v>
      </c>
      <c r="C2819" t="s">
        <v>40</v>
      </c>
      <c r="D2819">
        <v>4.1707519999999896</v>
      </c>
      <c r="E2819">
        <v>0.48850270000000001</v>
      </c>
      <c r="F2819" t="s">
        <v>62</v>
      </c>
      <c r="G2819">
        <v>-398.33690000000001</v>
      </c>
      <c r="H2819" s="1">
        <v>2.8996900000000001E-6</v>
      </c>
      <c r="I2819">
        <v>280.64350000000002</v>
      </c>
      <c r="J2819">
        <v>-369.2235</v>
      </c>
      <c r="K2819">
        <v>1.1026119999999999</v>
      </c>
      <c r="L2819">
        <v>282.48700000000002</v>
      </c>
      <c r="M2819">
        <v>-0.99985270000000004</v>
      </c>
      <c r="N2819">
        <v>0</v>
      </c>
      <c r="O2819">
        <v>-1.155607E-2</v>
      </c>
      <c r="P2819">
        <v>-0.99593759999999998</v>
      </c>
      <c r="Q2819">
        <v>8.4198049999999997E-2</v>
      </c>
      <c r="R2819">
        <v>-3.1922329999999999E-2</v>
      </c>
      <c r="S2819">
        <v>-3.0156559999999999</v>
      </c>
      <c r="T2819">
        <v>-0.1132968</v>
      </c>
      <c r="U2819">
        <v>-0.1896362</v>
      </c>
      <c r="V2819">
        <v>-2.0007279999999999E-2</v>
      </c>
      <c r="W2819">
        <v>9.6923369999999995E-2</v>
      </c>
      <c r="X2819">
        <v>0.99509069999999999</v>
      </c>
      <c r="Y2819">
        <v>-5.1193700000000002E-2</v>
      </c>
      <c r="Z2819">
        <v>-5.2681150000000003E-4</v>
      </c>
      <c r="AA2819">
        <v>0.99868860000000004</v>
      </c>
      <c r="AB2819">
        <v>42</v>
      </c>
      <c r="AC2819">
        <v>-29.113399999999999</v>
      </c>
      <c r="AD2819">
        <v>-1.10260910031</v>
      </c>
      <c r="AE2819">
        <v>-1.8434999999999999</v>
      </c>
      <c r="AF2819">
        <v>-1.5047635536208701</v>
      </c>
      <c r="AG2819">
        <v>-1.10260910031</v>
      </c>
      <c r="AH2819">
        <v>29.091200481366599</v>
      </c>
      <c r="AI2819">
        <v>92.167679503380995</v>
      </c>
      <c r="AJ2819">
        <v>92.9610270548812</v>
      </c>
      <c r="AK2819">
        <v>29.1509520535344</v>
      </c>
      <c r="AL2819">
        <v>84.437968064764803</v>
      </c>
      <c r="AM2819">
        <v>91.151832965978102</v>
      </c>
      <c r="AN2819">
        <v>0.99999996606582198</v>
      </c>
    </row>
    <row r="2820" spans="1:40" x14ac:dyDescent="0.3">
      <c r="A2820" t="str">
        <f>"20200111150009104"</f>
        <v>20200111150009104</v>
      </c>
      <c r="B2820" t="str">
        <f>"1578726009098622"</f>
        <v>1578726009098622</v>
      </c>
      <c r="C2820" t="s">
        <v>40</v>
      </c>
      <c r="D2820">
        <v>4.1268200000000004</v>
      </c>
      <c r="E2820">
        <v>0.488095</v>
      </c>
      <c r="F2820" t="s">
        <v>62</v>
      </c>
      <c r="G2820">
        <v>-398.72030000000001</v>
      </c>
      <c r="H2820" s="1">
        <v>3.1037119999999999E-6</v>
      </c>
      <c r="I2820">
        <v>280.60680000000002</v>
      </c>
      <c r="J2820">
        <v>-369.48340000000002</v>
      </c>
      <c r="K2820">
        <v>1.102527</v>
      </c>
      <c r="L2820">
        <v>282.48489999999998</v>
      </c>
      <c r="M2820">
        <v>-0.99986549999999996</v>
      </c>
      <c r="N2820">
        <v>0</v>
      </c>
      <c r="O2820">
        <v>-1.037794E-2</v>
      </c>
      <c r="P2820">
        <v>-0.99595420000000001</v>
      </c>
      <c r="Q2820">
        <v>8.4307489999999999E-2</v>
      </c>
      <c r="R2820">
        <v>-3.111015E-2</v>
      </c>
      <c r="S2820">
        <v>-3.0155940000000001</v>
      </c>
      <c r="T2820">
        <v>-0.11272500000000001</v>
      </c>
      <c r="U2820">
        <v>-0.19223019999999999</v>
      </c>
      <c r="V2820">
        <v>-2.034822E-2</v>
      </c>
      <c r="W2820">
        <v>9.7039650000000005E-2</v>
      </c>
      <c r="X2820">
        <v>0.99507250000000003</v>
      </c>
      <c r="Y2820">
        <v>-5.3225300000000003E-2</v>
      </c>
      <c r="Z2820">
        <v>-6.0604430000000002E-4</v>
      </c>
      <c r="AA2820">
        <v>0.99858239999999998</v>
      </c>
      <c r="AB2820">
        <v>42</v>
      </c>
      <c r="AC2820">
        <v>-29.236899999999899</v>
      </c>
      <c r="AD2820">
        <v>-1.102523896288</v>
      </c>
      <c r="AE2820">
        <v>-1.8780999999999599</v>
      </c>
      <c r="AF2820">
        <v>-1.57232884495931</v>
      </c>
      <c r="AG2820">
        <v>-1.102523896288</v>
      </c>
      <c r="AH2820">
        <v>29.213445535117501</v>
      </c>
      <c r="AI2820">
        <v>92.158212800034505</v>
      </c>
      <c r="AJ2820">
        <v>93.080806345602198</v>
      </c>
      <c r="AK2820">
        <v>29.2764952986496</v>
      </c>
      <c r="AL2820">
        <v>84.431274414001905</v>
      </c>
      <c r="AM2820">
        <v>91.171477114169505</v>
      </c>
      <c r="AN2820">
        <v>1.0000000119927701</v>
      </c>
    </row>
    <row r="2821" spans="1:40" x14ac:dyDescent="0.3">
      <c r="A2821" t="str">
        <f>"20200111150009118"</f>
        <v>20200111150009118</v>
      </c>
      <c r="B2821" t="str">
        <f>"1578726009108382"</f>
        <v>1578726009108382</v>
      </c>
      <c r="C2821" t="s">
        <v>40</v>
      </c>
      <c r="D2821">
        <v>4.1606629999999996</v>
      </c>
      <c r="E2821">
        <v>0.4876566</v>
      </c>
      <c r="F2821" t="s">
        <v>62</v>
      </c>
      <c r="G2821">
        <v>-399.38819999999998</v>
      </c>
      <c r="H2821" s="1">
        <v>3.4591660000000002E-6</v>
      </c>
      <c r="I2821">
        <v>280.56920000000002</v>
      </c>
      <c r="J2821">
        <v>-369.74610000000001</v>
      </c>
      <c r="K2821">
        <v>1.1024449999999999</v>
      </c>
      <c r="L2821">
        <v>282.48309999999998</v>
      </c>
      <c r="M2821">
        <v>-0.99987760000000003</v>
      </c>
      <c r="N2821">
        <v>0</v>
      </c>
      <c r="O2821">
        <v>-9.1446600000000006E-3</v>
      </c>
      <c r="P2821">
        <v>-0.99598399999999998</v>
      </c>
      <c r="Q2821">
        <v>8.4317210000000004E-2</v>
      </c>
      <c r="R2821">
        <v>-3.0109520000000001E-2</v>
      </c>
      <c r="S2821">
        <v>-3.0155639999999999</v>
      </c>
      <c r="T2821">
        <v>-0.111177</v>
      </c>
      <c r="U2821">
        <v>-0.1931763</v>
      </c>
      <c r="V2821">
        <v>-2.0556479999999999E-2</v>
      </c>
      <c r="W2821">
        <v>9.7055779999999994E-2</v>
      </c>
      <c r="X2821">
        <v>0.99506660000000002</v>
      </c>
      <c r="Y2821">
        <v>-5.4768490000000003E-2</v>
      </c>
      <c r="Z2821">
        <v>-6.7153739999999996E-4</v>
      </c>
      <c r="AA2821">
        <v>0.99849889999999997</v>
      </c>
      <c r="AB2821">
        <v>42</v>
      </c>
      <c r="AC2821">
        <v>-29.6420999999999</v>
      </c>
      <c r="AD2821">
        <v>-1.102441540834</v>
      </c>
      <c r="AE2821">
        <v>-1.91389999999995</v>
      </c>
      <c r="AF2821">
        <v>-1.6404714666843301</v>
      </c>
      <c r="AG2821">
        <v>-1.102441540834</v>
      </c>
      <c r="AH2821">
        <v>29.617566030373698</v>
      </c>
      <c r="AI2821">
        <v>92.128451864033494</v>
      </c>
      <c r="AJ2821">
        <v>93.170285803398002</v>
      </c>
      <c r="AK2821">
        <v>29.683442211905099</v>
      </c>
      <c r="AL2821">
        <v>84.4303455923082</v>
      </c>
      <c r="AM2821">
        <v>91.183470572683603</v>
      </c>
      <c r="AN2821">
        <v>0.99999996586847895</v>
      </c>
    </row>
    <row r="2822" spans="1:40" x14ac:dyDescent="0.3">
      <c r="A2822" t="str">
        <f>"20200111150009131"</f>
        <v>20200111150009131</v>
      </c>
      <c r="B2822" t="str">
        <f>"1578726009128878"</f>
        <v>1578726009128878</v>
      </c>
      <c r="C2822" t="s">
        <v>40</v>
      </c>
      <c r="D2822">
        <v>4.1689080000000001</v>
      </c>
      <c r="E2822">
        <v>0.48675089999999999</v>
      </c>
      <c r="F2822" t="s">
        <v>62</v>
      </c>
      <c r="G2822">
        <v>-399.81209999999999</v>
      </c>
      <c r="H2822" s="1">
        <v>3.684728E-6</v>
      </c>
      <c r="I2822">
        <v>280.55369999999999</v>
      </c>
      <c r="J2822">
        <v>-369.99740000000003</v>
      </c>
      <c r="K2822">
        <v>1.1023719999999999</v>
      </c>
      <c r="L2822">
        <v>282.48169999999999</v>
      </c>
      <c r="M2822">
        <v>-0.99988809999999995</v>
      </c>
      <c r="N2822">
        <v>0</v>
      </c>
      <c r="O2822">
        <v>-7.9279469999999994E-3</v>
      </c>
      <c r="P2822">
        <v>-0.9959981</v>
      </c>
      <c r="Q2822">
        <v>8.4415459999999998E-2</v>
      </c>
      <c r="R2822">
        <v>-2.935776E-2</v>
      </c>
      <c r="S2822">
        <v>-3.0155940000000001</v>
      </c>
      <c r="T2822">
        <v>-0.1105738</v>
      </c>
      <c r="U2822">
        <v>-0.19351199999999999</v>
      </c>
      <c r="V2822">
        <v>-2.0999429999999999E-2</v>
      </c>
      <c r="W2822">
        <v>9.7161139999999993E-2</v>
      </c>
      <c r="X2822">
        <v>0.99504709999999996</v>
      </c>
      <c r="Y2822">
        <v>-5.6092160000000002E-2</v>
      </c>
      <c r="Z2822">
        <v>-7.3667090000000001E-4</v>
      </c>
      <c r="AA2822">
        <v>0.99842529999999996</v>
      </c>
      <c r="AB2822">
        <v>42</v>
      </c>
      <c r="AC2822">
        <v>-29.814699999999899</v>
      </c>
      <c r="AD2822">
        <v>-1.1023683152720001</v>
      </c>
      <c r="AE2822">
        <v>-1.9279999999999899</v>
      </c>
      <c r="AF2822">
        <v>-1.6892512982239101</v>
      </c>
      <c r="AG2822">
        <v>-1.1023683152720001</v>
      </c>
      <c r="AH2822">
        <v>29.7884956395046</v>
      </c>
      <c r="AI2822">
        <v>92.115953391639806</v>
      </c>
      <c r="AJ2822">
        <v>93.245663060001704</v>
      </c>
      <c r="AK2822">
        <v>29.8567121149642</v>
      </c>
      <c r="AL2822">
        <v>84.424280418006106</v>
      </c>
      <c r="AM2822">
        <v>91.208988133536394</v>
      </c>
      <c r="AN2822">
        <v>0.99999999720241695</v>
      </c>
    </row>
    <row r="2823" spans="1:40" x14ac:dyDescent="0.3">
      <c r="A2823" t="str">
        <f>"20200111150009154"</f>
        <v>20200111150009154</v>
      </c>
      <c r="B2823" t="str">
        <f>"1578726009148398"</f>
        <v>1578726009148398</v>
      </c>
      <c r="C2823" t="s">
        <v>40</v>
      </c>
      <c r="D2823">
        <v>4.1526370000000004</v>
      </c>
      <c r="E2823">
        <v>0.48589490000000002</v>
      </c>
      <c r="F2823" t="s">
        <v>66</v>
      </c>
      <c r="G2823">
        <v>-400.48829999999998</v>
      </c>
      <c r="H2823" s="1">
        <v>9.041494E-6</v>
      </c>
      <c r="I2823">
        <v>280.47469999999998</v>
      </c>
      <c r="J2823">
        <v>-370.40940000000001</v>
      </c>
      <c r="K2823">
        <v>1.1022609999999999</v>
      </c>
      <c r="L2823">
        <v>282.48009999999999</v>
      </c>
      <c r="M2823">
        <v>-0.99990210000000002</v>
      </c>
      <c r="N2823">
        <v>0</v>
      </c>
      <c r="O2823">
        <v>-5.888285E-3</v>
      </c>
      <c r="P2823">
        <v>-0.99609329999999996</v>
      </c>
      <c r="Q2823">
        <v>8.3817150000000007E-2</v>
      </c>
      <c r="R2823">
        <v>-2.7805590000000002E-2</v>
      </c>
      <c r="S2823">
        <v>-3.0154420000000002</v>
      </c>
      <c r="T2823">
        <v>-0.10901959999999999</v>
      </c>
      <c r="U2823">
        <v>-0.1984863</v>
      </c>
      <c r="V2823">
        <v>-2.1455680000000001E-2</v>
      </c>
      <c r="W2823">
        <v>9.6572630000000007E-2</v>
      </c>
      <c r="X2823">
        <v>0.9950947</v>
      </c>
      <c r="Y2823">
        <v>-5.976894E-2</v>
      </c>
      <c r="Z2823">
        <v>-8.6632690000000004E-4</v>
      </c>
      <c r="AA2823">
        <v>0.99821190000000004</v>
      </c>
      <c r="AB2823">
        <v>42</v>
      </c>
      <c r="AC2823">
        <v>-30.078899999999901</v>
      </c>
      <c r="AD2823">
        <v>-1.102251958506</v>
      </c>
      <c r="AE2823">
        <v>-2.0053999999999998</v>
      </c>
      <c r="AF2823">
        <v>-1.8257968436295999</v>
      </c>
      <c r="AG2823">
        <v>-1.102251958506</v>
      </c>
      <c r="AH2823">
        <v>30.050012742165599</v>
      </c>
      <c r="AI2823">
        <v>92.096837416116202</v>
      </c>
      <c r="AJ2823">
        <v>93.476937322140401</v>
      </c>
      <c r="AK2823">
        <v>30.1255997334253</v>
      </c>
      <c r="AL2823">
        <v>84.458159117285803</v>
      </c>
      <c r="AM2823">
        <v>91.235188431577797</v>
      </c>
      <c r="AN2823">
        <v>1.0000000405187299</v>
      </c>
    </row>
    <row r="2824" spans="1:40" x14ac:dyDescent="0.3">
      <c r="A2824" t="str">
        <f>"20200111150009175"</f>
        <v>20200111150009175</v>
      </c>
      <c r="B2824" t="str">
        <f>"1578726009168894"</f>
        <v>1578726009168894</v>
      </c>
      <c r="C2824" t="s">
        <v>40</v>
      </c>
      <c r="D2824">
        <v>4.0085119999999996</v>
      </c>
      <c r="E2824">
        <v>0.48523690000000003</v>
      </c>
      <c r="F2824" t="s">
        <v>66</v>
      </c>
      <c r="G2824">
        <v>-400.52159999999998</v>
      </c>
      <c r="H2824" s="1">
        <v>9.0261490000000006E-6</v>
      </c>
      <c r="I2824">
        <v>280.4776</v>
      </c>
      <c r="J2824">
        <v>-370.83339999999998</v>
      </c>
      <c r="K2824">
        <v>1.1021620000000001</v>
      </c>
      <c r="L2824">
        <v>282.47930000000002</v>
      </c>
      <c r="M2824">
        <v>-0.99991229999999998</v>
      </c>
      <c r="N2824">
        <v>0</v>
      </c>
      <c r="O2824">
        <v>-3.737448E-3</v>
      </c>
      <c r="P2824">
        <v>-0.99621360000000003</v>
      </c>
      <c r="Q2824">
        <v>8.3122180000000004E-2</v>
      </c>
      <c r="R2824">
        <v>-2.547922E-2</v>
      </c>
      <c r="S2824">
        <v>-3.0154719999999999</v>
      </c>
      <c r="T2824">
        <v>-0.1103809</v>
      </c>
      <c r="U2824">
        <v>-0.20053099999999999</v>
      </c>
      <c r="V2824">
        <v>-2.1254019999999998E-2</v>
      </c>
      <c r="W2824">
        <v>9.5883499999999997E-2</v>
      </c>
      <c r="X2824">
        <v>0.99516559999999998</v>
      </c>
      <c r="Y2824">
        <v>-6.2584940000000006E-2</v>
      </c>
      <c r="Z2824">
        <v>-1.0071920000000001E-3</v>
      </c>
      <c r="AA2824">
        <v>0.99803909999999996</v>
      </c>
      <c r="AB2824">
        <v>42</v>
      </c>
      <c r="AC2824">
        <v>-29.688199999999899</v>
      </c>
      <c r="AD2824">
        <v>-1.1021529738510001</v>
      </c>
      <c r="AE2824">
        <v>-2.00170000000002</v>
      </c>
      <c r="AF2824">
        <v>-1.8881284918421199</v>
      </c>
      <c r="AG2824">
        <v>-1.1021529738510001</v>
      </c>
      <c r="AH2824">
        <v>29.654788841361999</v>
      </c>
      <c r="AI2824">
        <v>92.124183926879098</v>
      </c>
      <c r="AJ2824">
        <v>93.643120262928605</v>
      </c>
      <c r="AK2824">
        <v>29.735269825667402</v>
      </c>
      <c r="AL2824">
        <v>84.497827084751805</v>
      </c>
      <c r="AM2824">
        <v>91.223495406183901</v>
      </c>
      <c r="AN2824">
        <v>0.99999997518088402</v>
      </c>
    </row>
    <row r="2825" spans="1:40" x14ac:dyDescent="0.3">
      <c r="A2825" t="str">
        <f>"20200111150009189"</f>
        <v>20200111150009189</v>
      </c>
      <c r="B2825" t="str">
        <f>"1578726009178654"</f>
        <v>1578726009178654</v>
      </c>
      <c r="C2825" t="s">
        <v>40</v>
      </c>
      <c r="D2825">
        <v>4.018033</v>
      </c>
      <c r="E2825">
        <v>0.48531829999999998</v>
      </c>
      <c r="F2825" t="s">
        <v>66</v>
      </c>
      <c r="G2825">
        <v>-400.82569999999998</v>
      </c>
      <c r="H2825" s="1">
        <v>8.8860699999999906E-6</v>
      </c>
      <c r="I2825">
        <v>280.50279999999998</v>
      </c>
      <c r="J2825">
        <v>-371.08499999999998</v>
      </c>
      <c r="K2825">
        <v>1.1021179999999999</v>
      </c>
      <c r="L2825">
        <v>282.47930000000002</v>
      </c>
      <c r="M2825">
        <v>-0.99991629999999998</v>
      </c>
      <c r="N2825">
        <v>0</v>
      </c>
      <c r="O2825">
        <v>-2.4431840000000002E-3</v>
      </c>
      <c r="P2825">
        <v>-0.99627699999999997</v>
      </c>
      <c r="Q2825">
        <v>8.2799269999999994E-2</v>
      </c>
      <c r="R2825">
        <v>-2.400764E-2</v>
      </c>
      <c r="S2825">
        <v>-3.0155639999999999</v>
      </c>
      <c r="T2825">
        <v>-0.11081530000000001</v>
      </c>
      <c r="U2825">
        <v>-0.1987305</v>
      </c>
      <c r="V2825">
        <v>-2.1062959999999999E-2</v>
      </c>
      <c r="W2825">
        <v>9.5562610000000006E-2</v>
      </c>
      <c r="X2825">
        <v>0.99520059999999999</v>
      </c>
      <c r="Y2825">
        <v>-6.3279779999999994E-2</v>
      </c>
      <c r="Z2825">
        <v>-1.071387E-3</v>
      </c>
      <c r="AA2825">
        <v>0.99799530000000003</v>
      </c>
      <c r="AB2825">
        <v>42</v>
      </c>
      <c r="AC2825">
        <v>-29.7407</v>
      </c>
      <c r="AD2825">
        <v>-1.1021091139300001</v>
      </c>
      <c r="AE2825">
        <v>-1.9765000000000399</v>
      </c>
      <c r="AF2825">
        <v>-1.9012268696573</v>
      </c>
      <c r="AG2825">
        <v>-1.1021091139300001</v>
      </c>
      <c r="AH2825">
        <v>29.704828042955601</v>
      </c>
      <c r="AI2825">
        <v>92.120479648321293</v>
      </c>
      <c r="AJ2825">
        <v>93.662162009504996</v>
      </c>
      <c r="AK2825">
        <v>29.786005391298701</v>
      </c>
      <c r="AL2825">
        <v>84.516297941903005</v>
      </c>
      <c r="AM2825">
        <v>91.212457636475904</v>
      </c>
      <c r="AN2825">
        <v>1.00000004747716</v>
      </c>
    </row>
    <row r="2826" spans="1:40" x14ac:dyDescent="0.3">
      <c r="A2826" t="str">
        <f>"20200111150009281"</f>
        <v>20200111150009281</v>
      </c>
      <c r="B2826" t="str">
        <f>"1578726009279183"</f>
        <v>1578726009279183</v>
      </c>
      <c r="C2826" t="s">
        <v>40</v>
      </c>
      <c r="D2826">
        <v>3.8533439999999999</v>
      </c>
      <c r="E2826">
        <v>0.5220072</v>
      </c>
      <c r="F2826" t="s">
        <v>66</v>
      </c>
      <c r="G2826">
        <v>-400.53410000000002</v>
      </c>
      <c r="H2826" s="1">
        <v>8.9983289999999992E-6</v>
      </c>
      <c r="I2826">
        <v>280.58530000000002</v>
      </c>
      <c r="J2826">
        <v>-372.82490000000001</v>
      </c>
      <c r="K2826">
        <v>1.101982</v>
      </c>
      <c r="L2826">
        <v>282.488</v>
      </c>
      <c r="M2826">
        <v>-0.99989839999999997</v>
      </c>
      <c r="N2826">
        <v>0</v>
      </c>
      <c r="O2826">
        <v>6.4804260000000001E-3</v>
      </c>
      <c r="P2826">
        <v>-0.99634610000000001</v>
      </c>
      <c r="Q2826">
        <v>8.4158460000000004E-2</v>
      </c>
      <c r="R2826">
        <v>-1.455858E-2</v>
      </c>
      <c r="S2826">
        <v>-3.01593</v>
      </c>
      <c r="T2826">
        <v>-0.1128685</v>
      </c>
      <c r="U2826">
        <v>-0.19396969999999999</v>
      </c>
      <c r="V2826">
        <v>-2.0464220000000002E-2</v>
      </c>
      <c r="W2826">
        <v>9.6922900000000006E-2</v>
      </c>
      <c r="X2826">
        <v>0.99508149999999995</v>
      </c>
      <c r="Y2826">
        <v>-7.0594950000000004E-2</v>
      </c>
      <c r="Z2826">
        <v>-1.5613739999999999E-3</v>
      </c>
      <c r="AA2826">
        <v>0.99750380000000005</v>
      </c>
      <c r="AB2826">
        <v>42</v>
      </c>
      <c r="AC2826">
        <v>-27.709199999999999</v>
      </c>
      <c r="AD2826">
        <v>-1.1019730016709901</v>
      </c>
      <c r="AE2826">
        <v>-1.9026999999999801</v>
      </c>
      <c r="AF2826">
        <v>-2.07896928846165</v>
      </c>
      <c r="AG2826">
        <v>-1.1019730016709901</v>
      </c>
      <c r="AH2826">
        <v>27.652756686585299</v>
      </c>
      <c r="AI2826">
        <v>92.2756360214387</v>
      </c>
      <c r="AJ2826">
        <v>94.299480939340796</v>
      </c>
      <c r="AK2826">
        <v>27.7526829363625</v>
      </c>
      <c r="AL2826">
        <v>84.437995378817106</v>
      </c>
      <c r="AM2826">
        <v>91.178142875911007</v>
      </c>
      <c r="AN2826">
        <v>1.00000001224343</v>
      </c>
    </row>
    <row r="2827" spans="1:40" x14ac:dyDescent="0.3">
      <c r="A2827" t="str">
        <f>"20200111150009297"</f>
        <v>20200111150009297</v>
      </c>
      <c r="B2827" t="str">
        <f>"1578726009288942"</f>
        <v>1578726009288942</v>
      </c>
      <c r="C2827" t="s">
        <v>40</v>
      </c>
      <c r="D2827">
        <v>3.8583259999999999</v>
      </c>
      <c r="E2827">
        <v>0.51941490000000001</v>
      </c>
      <c r="F2827" t="s">
        <v>41</v>
      </c>
      <c r="G2827">
        <v>-373.81490000000002</v>
      </c>
      <c r="H2827">
        <v>0.82190819999999998</v>
      </c>
      <c r="I2827">
        <v>282.52550000000002</v>
      </c>
      <c r="J2827">
        <v>-373.14670000000001</v>
      </c>
      <c r="K2827">
        <v>1.101987</v>
      </c>
      <c r="L2827">
        <v>282.49130000000002</v>
      </c>
      <c r="M2827">
        <v>-0.99988690000000002</v>
      </c>
      <c r="N2827">
        <v>0</v>
      </c>
      <c r="O2827">
        <v>8.0598919999999904E-3</v>
      </c>
      <c r="P2827">
        <v>-0.99638119999999997</v>
      </c>
      <c r="Q2827">
        <v>8.394981E-2</v>
      </c>
      <c r="R2827">
        <v>-1.3305569999999999E-2</v>
      </c>
      <c r="S2827">
        <v>-3.086487</v>
      </c>
      <c r="T2827">
        <v>-0.8732607</v>
      </c>
      <c r="U2827">
        <v>0.11712649999999999</v>
      </c>
      <c r="V2827">
        <v>-2.0788239999999999E-2</v>
      </c>
      <c r="W2827">
        <v>9.6714549999999996E-2</v>
      </c>
      <c r="X2827">
        <v>0.99509499999999995</v>
      </c>
      <c r="Y2827">
        <v>2.9042470000000001E-2</v>
      </c>
      <c r="Z2827">
        <v>1.792234E-3</v>
      </c>
      <c r="AA2827">
        <v>0.99957660000000004</v>
      </c>
      <c r="AB2827">
        <v>42</v>
      </c>
      <c r="AC2827">
        <v>-0.66820000000001301</v>
      </c>
      <c r="AD2827">
        <v>-0.28007880000000002</v>
      </c>
      <c r="AE2827">
        <v>3.4199999999998398E-2</v>
      </c>
      <c r="AF2827">
        <v>2.4516738458531799E-2</v>
      </c>
      <c r="AG2827">
        <v>-0.28007880000000002</v>
      </c>
      <c r="AH2827">
        <v>0.56878509270640998</v>
      </c>
      <c r="AI2827">
        <v>116.19529742650499</v>
      </c>
      <c r="AJ2827">
        <v>87.531868046319801</v>
      </c>
      <c r="AK2827">
        <v>0.63447749082148197</v>
      </c>
      <c r="AL2827">
        <v>84.449988994215502</v>
      </c>
      <c r="AM2827">
        <v>91.196775373237998</v>
      </c>
      <c r="AN2827">
        <v>0.99999995706449896</v>
      </c>
    </row>
    <row r="2828" spans="1:40" x14ac:dyDescent="0.3">
      <c r="A2828" t="str">
        <f>"20200111150009311"</f>
        <v>20200111150009311</v>
      </c>
      <c r="B2828" t="str">
        <f>"1578726009298702"</f>
        <v>1578726009298702</v>
      </c>
      <c r="C2828" t="s">
        <v>40</v>
      </c>
      <c r="D2828">
        <v>4.083386</v>
      </c>
      <c r="E2828">
        <v>0.51941490000000001</v>
      </c>
      <c r="F2828" t="s">
        <v>41</v>
      </c>
      <c r="G2828">
        <v>-373.85809999999998</v>
      </c>
      <c r="H2828">
        <v>0.92184350000000004</v>
      </c>
      <c r="I2828">
        <v>282.5145</v>
      </c>
      <c r="J2828">
        <v>-373.37819999999999</v>
      </c>
      <c r="K2828">
        <v>1.101998</v>
      </c>
      <c r="L2828">
        <v>282.49400000000003</v>
      </c>
      <c r="M2828">
        <v>-0.99987740000000003</v>
      </c>
      <c r="N2828">
        <v>0</v>
      </c>
      <c r="O2828">
        <v>9.1719769999999996E-3</v>
      </c>
      <c r="P2828">
        <v>-0.99640890000000004</v>
      </c>
      <c r="Q2828">
        <v>8.3789749999999996E-2</v>
      </c>
      <c r="R2828">
        <v>-1.2182709999999999E-2</v>
      </c>
      <c r="S2828">
        <v>-3.0779109999999998</v>
      </c>
      <c r="T2828">
        <v>-0.77953830000000002</v>
      </c>
      <c r="U2828">
        <v>0.100647</v>
      </c>
      <c r="V2828">
        <v>-2.077766E-2</v>
      </c>
      <c r="W2828">
        <v>9.6553650000000005E-2</v>
      </c>
      <c r="X2828">
        <v>0.99511090000000002</v>
      </c>
      <c r="Y2828">
        <v>2.307466E-2</v>
      </c>
      <c r="Z2828">
        <v>5.8953300000000005E-4</v>
      </c>
      <c r="AA2828">
        <v>0.9997336</v>
      </c>
      <c r="AB2828">
        <v>42</v>
      </c>
      <c r="AC2828">
        <v>-0.479899999999986</v>
      </c>
      <c r="AD2828">
        <v>-0.1801545</v>
      </c>
      <c r="AE2828">
        <v>2.04999999999699E-2</v>
      </c>
      <c r="AF2828">
        <v>1.4112032360059101E-2</v>
      </c>
      <c r="AG2828">
        <v>-0.1801545</v>
      </c>
      <c r="AH2828">
        <v>0.42086533994625303</v>
      </c>
      <c r="AI2828">
        <v>113.162057994992</v>
      </c>
      <c r="AJ2828">
        <v>88.079535201791103</v>
      </c>
      <c r="AK2828">
        <v>0.45802011712986601</v>
      </c>
      <c r="AL2828">
        <v>84.459251532240202</v>
      </c>
      <c r="AM2828">
        <v>91.196147354546198</v>
      </c>
      <c r="AN2828">
        <v>1.0000000108911</v>
      </c>
    </row>
    <row r="2829" spans="1:40" x14ac:dyDescent="0.3">
      <c r="A2829" t="str">
        <f>"20200111150009325"</f>
        <v>20200111150009325</v>
      </c>
      <c r="B2829" t="str">
        <f>"1578726009319197"</f>
        <v>1578726009319197</v>
      </c>
      <c r="C2829" t="s">
        <v>40</v>
      </c>
      <c r="D2829">
        <v>4.3273219999999997</v>
      </c>
      <c r="E2829">
        <v>0.51559509999999997</v>
      </c>
      <c r="F2829" t="s">
        <v>41</v>
      </c>
      <c r="G2829">
        <v>-374.22120000000001</v>
      </c>
      <c r="H2829">
        <v>0.88830710000000002</v>
      </c>
      <c r="I2829">
        <v>282.52260000000001</v>
      </c>
      <c r="J2829">
        <v>-373.6422</v>
      </c>
      <c r="K2829">
        <v>1.102015</v>
      </c>
      <c r="L2829">
        <v>282.4973</v>
      </c>
      <c r="M2829">
        <v>-0.99986520000000001</v>
      </c>
      <c r="N2829">
        <v>0</v>
      </c>
      <c r="O2829">
        <v>1.042074E-2</v>
      </c>
      <c r="P2829">
        <v>-0.99642839999999999</v>
      </c>
      <c r="Q2829">
        <v>8.3703600000000003E-2</v>
      </c>
      <c r="R2829">
        <v>-1.1160379999999999E-2</v>
      </c>
      <c r="S2829">
        <v>-3.0776370000000002</v>
      </c>
      <c r="T2829">
        <v>-0.78010299999999999</v>
      </c>
      <c r="U2829">
        <v>0.1038208</v>
      </c>
      <c r="V2829">
        <v>-2.1004180000000001E-2</v>
      </c>
      <c r="W2829">
        <v>9.6467280000000002E-2</v>
      </c>
      <c r="X2829">
        <v>0.99511450000000001</v>
      </c>
      <c r="Y2829">
        <v>2.290302E-2</v>
      </c>
      <c r="Z2829">
        <v>2.5707650000000002E-4</v>
      </c>
      <c r="AA2829">
        <v>0.99973769999999995</v>
      </c>
      <c r="AB2829">
        <v>42</v>
      </c>
      <c r="AC2829">
        <v>-0.57900000000000695</v>
      </c>
      <c r="AD2829">
        <v>-0.21370789999999901</v>
      </c>
      <c r="AE2829">
        <v>2.5300000000015602E-2</v>
      </c>
      <c r="AF2829">
        <v>1.69586040838667E-2</v>
      </c>
      <c r="AG2829">
        <v>-0.21370789999999901</v>
      </c>
      <c r="AH2829">
        <v>0.50989922870912097</v>
      </c>
      <c r="AI2829">
        <v>112.728142236257</v>
      </c>
      <c r="AJ2829">
        <v>88.095116918201299</v>
      </c>
      <c r="AK2829">
        <v>0.55313279075918098</v>
      </c>
      <c r="AL2829">
        <v>84.464223260817406</v>
      </c>
      <c r="AM2829">
        <v>91.209179641314293</v>
      </c>
      <c r="AN2829">
        <v>0.99999998989915995</v>
      </c>
    </row>
    <row r="2830" spans="1:40" x14ac:dyDescent="0.3">
      <c r="A2830" t="str">
        <f>"20200111150009337"</f>
        <v>20200111150009337</v>
      </c>
      <c r="B2830" t="str">
        <f>"1578726009328957"</f>
        <v>1578726009328957</v>
      </c>
      <c r="C2830" t="s">
        <v>40</v>
      </c>
      <c r="D2830">
        <v>4.1740269999999997</v>
      </c>
      <c r="E2830">
        <v>0.51825319999999997</v>
      </c>
      <c r="F2830" t="s">
        <v>46</v>
      </c>
      <c r="G2830">
        <v>0</v>
      </c>
      <c r="H2830">
        <v>0</v>
      </c>
      <c r="I2830">
        <v>0</v>
      </c>
      <c r="J2830">
        <v>-373.89789999999999</v>
      </c>
      <c r="K2830">
        <v>1.102036</v>
      </c>
      <c r="L2830">
        <v>282.50080000000003</v>
      </c>
      <c r="M2830">
        <v>-0.99985219999999997</v>
      </c>
      <c r="N2830">
        <v>0</v>
      </c>
      <c r="O2830">
        <v>1.160079E-2</v>
      </c>
      <c r="P2830">
        <v>-0.99641029999999997</v>
      </c>
      <c r="Q2830">
        <v>8.4069859999999996E-2</v>
      </c>
      <c r="R2830">
        <v>-9.9543429999999992E-3</v>
      </c>
      <c r="S2830">
        <v>-3.0058590000000001</v>
      </c>
      <c r="T2830">
        <v>6.9736359999999997E-2</v>
      </c>
      <c r="U2830">
        <v>8.8287350000000001E-2</v>
      </c>
      <c r="V2830">
        <v>-2.0977340000000001E-2</v>
      </c>
      <c r="W2830">
        <v>9.6830349999999996E-2</v>
      </c>
      <c r="X2830">
        <v>0.99507979999999996</v>
      </c>
      <c r="Y2830">
        <v>1.7758739999999999E-2</v>
      </c>
      <c r="Z2830" s="1">
        <v>6.3120869999999999E-5</v>
      </c>
      <c r="AA2830">
        <v>0.99984229999999996</v>
      </c>
      <c r="AB2830">
        <v>42</v>
      </c>
      <c r="AC2830">
        <v>-3.0058590000000001</v>
      </c>
      <c r="AD2830">
        <v>6.9736359999999997E-2</v>
      </c>
      <c r="AE2830">
        <v>8.8287350000000001E-2</v>
      </c>
      <c r="AF2830">
        <v>5.3379555032726803E-2</v>
      </c>
      <c r="AG2830">
        <v>6.9736359999999997E-2</v>
      </c>
      <c r="AH2830">
        <v>3.0050649123922799</v>
      </c>
      <c r="AI2830">
        <v>88.670826646489303</v>
      </c>
      <c r="AJ2830">
        <v>88.982350900958195</v>
      </c>
      <c r="AK2830">
        <v>3.00634789478742</v>
      </c>
      <c r="AL2830">
        <v>84.443323021774702</v>
      </c>
      <c r="AM2830">
        <v>91.207677059659801</v>
      </c>
      <c r="AN2830">
        <v>0.99999998692131897</v>
      </c>
    </row>
    <row r="2831" spans="1:40" x14ac:dyDescent="0.3">
      <c r="A2831" t="str">
        <f>"20200111150009355"</f>
        <v>20200111150009355</v>
      </c>
      <c r="B2831" t="str">
        <f>"1578726009348478"</f>
        <v>1578726009348478</v>
      </c>
      <c r="C2831" t="s">
        <v>40</v>
      </c>
      <c r="D2831">
        <v>4.0527470000000001</v>
      </c>
      <c r="E2831">
        <v>0.51902349999999997</v>
      </c>
      <c r="F2831" t="s">
        <v>46</v>
      </c>
      <c r="G2831">
        <v>0</v>
      </c>
      <c r="H2831">
        <v>0</v>
      </c>
      <c r="I2831">
        <v>0</v>
      </c>
      <c r="J2831">
        <v>-374.21589999999998</v>
      </c>
      <c r="K2831">
        <v>1.1020749999999999</v>
      </c>
      <c r="L2831">
        <v>282.50560000000002</v>
      </c>
      <c r="M2831">
        <v>-0.99983469999999997</v>
      </c>
      <c r="N2831">
        <v>0</v>
      </c>
      <c r="O2831">
        <v>1.302158E-2</v>
      </c>
      <c r="P2831">
        <v>-0.99640139999999999</v>
      </c>
      <c r="Q2831">
        <v>8.4342089999999995E-2</v>
      </c>
      <c r="R2831">
        <v>-8.4110409999999993E-3</v>
      </c>
      <c r="S2831">
        <v>-3.010529</v>
      </c>
      <c r="T2831">
        <v>1.6132469999999999E-2</v>
      </c>
      <c r="U2831">
        <v>0.1124573</v>
      </c>
      <c r="V2831">
        <v>-2.0856739999999999E-2</v>
      </c>
      <c r="W2831">
        <v>9.7098489999999996E-2</v>
      </c>
      <c r="X2831">
        <v>0.99505619999999995</v>
      </c>
      <c r="Y2831">
        <v>2.431175E-2</v>
      </c>
      <c r="Z2831" s="1">
        <v>4.637266E-6</v>
      </c>
      <c r="AA2831">
        <v>0.99970440000000005</v>
      </c>
      <c r="AB2831">
        <v>42</v>
      </c>
      <c r="AC2831">
        <v>-3.010529</v>
      </c>
      <c r="AD2831">
        <v>1.6132469999999999E-2</v>
      </c>
      <c r="AE2831">
        <v>0.1124573</v>
      </c>
      <c r="AF2831">
        <v>7.3240663069575898E-2</v>
      </c>
      <c r="AG2831">
        <v>1.6132469999999999E-2</v>
      </c>
      <c r="AH2831">
        <v>3.01165184220369</v>
      </c>
      <c r="AI2831">
        <v>89.693178212460396</v>
      </c>
      <c r="AJ2831">
        <v>88.606892787324796</v>
      </c>
      <c r="AK2831">
        <v>3.0125854792792301</v>
      </c>
      <c r="AL2831">
        <v>84.427886959870307</v>
      </c>
      <c r="AM2831">
        <v>91.200764559368807</v>
      </c>
      <c r="AN2831">
        <v>0.99999998076107299</v>
      </c>
    </row>
    <row r="2832" spans="1:40" x14ac:dyDescent="0.3">
      <c r="A2832" t="str">
        <f>"20200111150009367"</f>
        <v>20200111150009367</v>
      </c>
      <c r="B2832" t="str">
        <f>"1578726009359214"</f>
        <v>1578726009359214</v>
      </c>
      <c r="C2832" t="s">
        <v>40</v>
      </c>
      <c r="D2832">
        <v>4.0232279999999996</v>
      </c>
      <c r="E2832">
        <v>0.51923419999999998</v>
      </c>
      <c r="F2832" t="s">
        <v>62</v>
      </c>
      <c r="G2832">
        <v>-458.92469999999997</v>
      </c>
      <c r="H2832" s="1">
        <v>3.154744E-6</v>
      </c>
      <c r="I2832">
        <v>285.93759999999997</v>
      </c>
      <c r="J2832">
        <v>-374.4545</v>
      </c>
      <c r="K2832">
        <v>1.1021069999999999</v>
      </c>
      <c r="L2832">
        <v>282.50940000000003</v>
      </c>
      <c r="M2832">
        <v>-0.99982059999999995</v>
      </c>
      <c r="N2832">
        <v>0</v>
      </c>
      <c r="O2832">
        <v>1.405755E-2</v>
      </c>
      <c r="P2832">
        <v>-0.99639460000000002</v>
      </c>
      <c r="Q2832">
        <v>8.4538070000000007E-2</v>
      </c>
      <c r="R2832">
        <v>-7.1652419999999996E-3</v>
      </c>
      <c r="S2832">
        <v>-3.0151979999999998</v>
      </c>
      <c r="T2832">
        <v>-3.9228079999999999E-2</v>
      </c>
      <c r="U2832">
        <v>0.1221619</v>
      </c>
      <c r="V2832">
        <v>-2.064947E-2</v>
      </c>
      <c r="W2832">
        <v>9.7291169999999996E-2</v>
      </c>
      <c r="X2832">
        <v>0.99504170000000003</v>
      </c>
      <c r="Y2832">
        <v>2.6429959999999999E-2</v>
      </c>
      <c r="Z2832" s="1">
        <v>-1.0954220000000001E-5</v>
      </c>
      <c r="AA2832">
        <v>0.9996507</v>
      </c>
      <c r="AB2832">
        <v>42</v>
      </c>
      <c r="AC2832">
        <v>-84.470199999999906</v>
      </c>
      <c r="AD2832">
        <v>-1.1021038452559999</v>
      </c>
      <c r="AE2832">
        <v>3.42819999999994</v>
      </c>
      <c r="AF2832">
        <v>2.23994076580852</v>
      </c>
      <c r="AG2832">
        <v>-1.1021038452559999</v>
      </c>
      <c r="AH2832">
        <v>84.495687830903194</v>
      </c>
      <c r="AI2832">
        <v>90.747022094854302</v>
      </c>
      <c r="AJ2832">
        <v>88.481471604746801</v>
      </c>
      <c r="AK2832">
        <v>84.532557216361894</v>
      </c>
      <c r="AL2832">
        <v>84.416794678743699</v>
      </c>
      <c r="AM2832">
        <v>91.188852368579205</v>
      </c>
      <c r="AN2832">
        <v>0.99999997855506895</v>
      </c>
    </row>
    <row r="2833" spans="1:40" x14ac:dyDescent="0.3">
      <c r="A2833" t="str">
        <f>"20200111150009381"</f>
        <v>20200111150009381</v>
      </c>
      <c r="B2833" t="str">
        <f>"1578726009378734"</f>
        <v>1578726009378734</v>
      </c>
      <c r="C2833" t="s">
        <v>40</v>
      </c>
      <c r="D2833">
        <v>4.1120010000000002</v>
      </c>
      <c r="E2833">
        <v>0.51914039999999995</v>
      </c>
      <c r="F2833" t="s">
        <v>66</v>
      </c>
      <c r="G2833">
        <v>-439.6046</v>
      </c>
      <c r="H2833" s="1">
        <v>6.4200519999999899E-6</v>
      </c>
      <c r="I2833">
        <v>285.25889999999998</v>
      </c>
      <c r="J2833">
        <v>-374.71</v>
      </c>
      <c r="K2833">
        <v>1.1021430000000001</v>
      </c>
      <c r="L2833">
        <v>282.51369999999997</v>
      </c>
      <c r="M2833">
        <v>-0.99980480000000005</v>
      </c>
      <c r="N2833">
        <v>0</v>
      </c>
      <c r="O2833">
        <v>1.5143119999999999E-2</v>
      </c>
      <c r="P2833">
        <v>-0.99640459999999997</v>
      </c>
      <c r="Q2833">
        <v>8.4510639999999998E-2</v>
      </c>
      <c r="R2833">
        <v>-6.0055999999999998E-3</v>
      </c>
      <c r="S2833">
        <v>-3.0161129999999998</v>
      </c>
      <c r="T2833">
        <v>-5.1021579999999997E-2</v>
      </c>
      <c r="U2833">
        <v>0.12728879999999901</v>
      </c>
      <c r="V2833">
        <v>-2.058074E-2</v>
      </c>
      <c r="W2833">
        <v>9.7260319999999997E-2</v>
      </c>
      <c r="X2833">
        <v>0.99504610000000004</v>
      </c>
      <c r="Y2833">
        <v>2.7027989999999998E-2</v>
      </c>
      <c r="Z2833" s="1">
        <v>-2.753743E-5</v>
      </c>
      <c r="AA2833">
        <v>0.99963469999999999</v>
      </c>
      <c r="AB2833">
        <v>42</v>
      </c>
      <c r="AC2833">
        <v>-64.894599999999997</v>
      </c>
      <c r="AD2833">
        <v>-1.1021365799480001</v>
      </c>
      <c r="AE2833">
        <v>2.7452000000000099</v>
      </c>
      <c r="AF2833">
        <v>1.7615921147268601</v>
      </c>
      <c r="AG2833">
        <v>-1.1021365799480001</v>
      </c>
      <c r="AH2833">
        <v>64.910042860590096</v>
      </c>
      <c r="AI2833">
        <v>90.972399166889005</v>
      </c>
      <c r="AJ2833">
        <v>88.445432781566694</v>
      </c>
      <c r="AK2833">
        <v>64.9432950810411</v>
      </c>
      <c r="AL2833">
        <v>84.418570454354693</v>
      </c>
      <c r="AM2833">
        <v>91.184891266839202</v>
      </c>
      <c r="AN2833">
        <v>0.99999993891532801</v>
      </c>
    </row>
    <row r="2834" spans="1:40" x14ac:dyDescent="0.3">
      <c r="A2834" t="str">
        <f>"20200111150009394"</f>
        <v>20200111150009394</v>
      </c>
      <c r="B2834" t="str">
        <f>"1578726009388495"</f>
        <v>1578726009388495</v>
      </c>
      <c r="C2834" t="s">
        <v>40</v>
      </c>
      <c r="D2834">
        <v>4.1235470000000003</v>
      </c>
      <c r="E2834">
        <v>0.51928039999999998</v>
      </c>
      <c r="F2834" t="s">
        <v>66</v>
      </c>
      <c r="G2834">
        <v>-422.76170000000002</v>
      </c>
      <c r="H2834" s="1">
        <v>3.4778049999999999E-6</v>
      </c>
      <c r="I2834">
        <v>284.58109999999999</v>
      </c>
      <c r="J2834">
        <v>-374.96600000000001</v>
      </c>
      <c r="K2834">
        <v>1.1021840000000001</v>
      </c>
      <c r="L2834">
        <v>282.51839999999999</v>
      </c>
      <c r="M2834">
        <v>-0.99978849999999997</v>
      </c>
      <c r="N2834">
        <v>0</v>
      </c>
      <c r="O2834">
        <v>1.618491E-2</v>
      </c>
      <c r="P2834">
        <v>-0.99641270000000004</v>
      </c>
      <c r="Q2834">
        <v>8.4496749999999995E-2</v>
      </c>
      <c r="R2834">
        <v>-4.719249E-3</v>
      </c>
      <c r="S2834">
        <v>-3.017487</v>
      </c>
      <c r="T2834">
        <v>-6.9210649999999999E-2</v>
      </c>
      <c r="U2834">
        <v>0.12982179999999999</v>
      </c>
      <c r="V2834">
        <v>-2.0342590000000001E-2</v>
      </c>
      <c r="W2834">
        <v>9.7241820000000007E-2</v>
      </c>
      <c r="X2834">
        <v>0.99505290000000002</v>
      </c>
      <c r="Y2834">
        <v>2.6803730000000001E-2</v>
      </c>
      <c r="Z2834" s="1">
        <v>-6.3780899999999998E-5</v>
      </c>
      <c r="AA2834">
        <v>0.99964070000000005</v>
      </c>
      <c r="AB2834">
        <v>42</v>
      </c>
      <c r="AC2834">
        <v>-47.795699999999997</v>
      </c>
      <c r="AD2834">
        <v>-1.1021805221950001</v>
      </c>
      <c r="AE2834">
        <v>2.0627</v>
      </c>
      <c r="AF2834">
        <v>1.2881146774543599</v>
      </c>
      <c r="AG2834">
        <v>-1.1021805221950001</v>
      </c>
      <c r="AH2834">
        <v>47.797455576454901</v>
      </c>
      <c r="AI2834">
        <v>91.320492783688707</v>
      </c>
      <c r="AJ2834">
        <v>88.456284455232804</v>
      </c>
      <c r="AK2834">
        <v>47.827510921110701</v>
      </c>
      <c r="AL2834">
        <v>84.419636002262706</v>
      </c>
      <c r="AM2834">
        <v>91.171176139330896</v>
      </c>
      <c r="AN2834">
        <v>1.0000000331616099</v>
      </c>
    </row>
    <row r="2835" spans="1:40" x14ac:dyDescent="0.3">
      <c r="A2835" t="str">
        <f>"20200111150009407"</f>
        <v>20200111150009407</v>
      </c>
      <c r="B2835" t="str">
        <f>"1578726009399230"</f>
        <v>1578726009399230</v>
      </c>
      <c r="C2835" t="s">
        <v>40</v>
      </c>
      <c r="D2835">
        <v>4.0803750000000001</v>
      </c>
      <c r="E2835">
        <v>0.51919570000000004</v>
      </c>
      <c r="F2835" t="s">
        <v>66</v>
      </c>
      <c r="G2835">
        <v>-420.64</v>
      </c>
      <c r="H2835" s="1">
        <v>3.8559529999999998E-6</v>
      </c>
      <c r="I2835">
        <v>284.56049999999999</v>
      </c>
      <c r="J2835">
        <v>-375.20949999999999</v>
      </c>
      <c r="K2835">
        <v>1.1022240000000001</v>
      </c>
      <c r="L2835">
        <v>282.52300000000002</v>
      </c>
      <c r="M2835">
        <v>-0.99977229999999995</v>
      </c>
      <c r="N2835">
        <v>0</v>
      </c>
      <c r="O2835">
        <v>1.715332E-2</v>
      </c>
      <c r="P2835">
        <v>-0.9964191</v>
      </c>
      <c r="Q2835">
        <v>8.4460309999999997E-2</v>
      </c>
      <c r="R2835">
        <v>-3.9149079999999999E-3</v>
      </c>
      <c r="S2835">
        <v>-3.0176090000000002</v>
      </c>
      <c r="T2835">
        <v>-7.2819350000000005E-2</v>
      </c>
      <c r="U2835">
        <v>0.13491819999999999</v>
      </c>
      <c r="V2835">
        <v>-2.0513010000000002E-2</v>
      </c>
      <c r="W2835">
        <v>9.7203369999999997E-2</v>
      </c>
      <c r="X2835">
        <v>0.99505310000000002</v>
      </c>
      <c r="Y2835">
        <v>2.7518529999999999E-2</v>
      </c>
      <c r="Z2835" s="1">
        <v>-8.1829409999999993E-5</v>
      </c>
      <c r="AA2835">
        <v>0.99962130000000005</v>
      </c>
      <c r="AB2835">
        <v>42</v>
      </c>
      <c r="AC2835">
        <v>-45.430500000000002</v>
      </c>
      <c r="AD2835">
        <v>-1.1022201440470001</v>
      </c>
      <c r="AE2835">
        <v>2.0375000000000201</v>
      </c>
      <c r="AF2835">
        <v>1.25711499962767</v>
      </c>
      <c r="AG2835">
        <v>-1.1022201440470001</v>
      </c>
      <c r="AH2835">
        <v>45.432078526748498</v>
      </c>
      <c r="AI2835">
        <v>91.389239288486394</v>
      </c>
      <c r="AJ2835">
        <v>88.415018368968703</v>
      </c>
      <c r="AK2835">
        <v>45.462830825069297</v>
      </c>
      <c r="AL2835">
        <v>84.421849187092704</v>
      </c>
      <c r="AM2835">
        <v>91.180984660159297</v>
      </c>
      <c r="AN2835">
        <v>0.999999975269113</v>
      </c>
    </row>
    <row r="2836" spans="1:40" x14ac:dyDescent="0.3">
      <c r="A2836" t="str">
        <f>"20200111150009421"</f>
        <v>20200111150009421</v>
      </c>
      <c r="B2836" t="str">
        <f>"1578726009408990"</f>
        <v>1578726009408990</v>
      </c>
      <c r="C2836" t="s">
        <v>40</v>
      </c>
      <c r="D2836">
        <v>4.0716979999999996</v>
      </c>
      <c r="E2836">
        <v>0.51866670000000004</v>
      </c>
      <c r="F2836" t="s">
        <v>66</v>
      </c>
      <c r="G2836">
        <v>-418.98250000000002</v>
      </c>
      <c r="H2836" s="1">
        <v>3.8089710000000001E-6</v>
      </c>
      <c r="I2836">
        <v>284.50349999999997</v>
      </c>
      <c r="J2836">
        <v>-375.46589999999998</v>
      </c>
      <c r="K2836">
        <v>1.1022650000000001</v>
      </c>
      <c r="L2836">
        <v>282.52809999999999</v>
      </c>
      <c r="M2836">
        <v>-0.9997547</v>
      </c>
      <c r="N2836">
        <v>0</v>
      </c>
      <c r="O2836">
        <v>1.8151270000000001E-2</v>
      </c>
      <c r="P2836">
        <v>-0.99642450000000005</v>
      </c>
      <c r="Q2836">
        <v>8.4430050000000006E-2</v>
      </c>
      <c r="R2836">
        <v>-3.16016E-3</v>
      </c>
      <c r="S2836">
        <v>-3.0177610000000001</v>
      </c>
      <c r="T2836">
        <v>-7.5988169999999994E-2</v>
      </c>
      <c r="U2836">
        <v>0.13653560000000001</v>
      </c>
      <c r="V2836">
        <v>-2.0762650000000001E-2</v>
      </c>
      <c r="W2836">
        <v>9.7171110000000005E-2</v>
      </c>
      <c r="X2836">
        <v>0.99505109999999997</v>
      </c>
      <c r="Y2836">
        <v>2.7053339999999999E-2</v>
      </c>
      <c r="Z2836">
        <v>-1.1634220000000001E-4</v>
      </c>
      <c r="AA2836">
        <v>0.99963400000000002</v>
      </c>
      <c r="AB2836">
        <v>42</v>
      </c>
      <c r="AC2836">
        <v>-43.516599999999997</v>
      </c>
      <c r="AD2836">
        <v>-1.1022611910289899</v>
      </c>
      <c r="AE2836">
        <v>1.9753999999999701</v>
      </c>
      <c r="AF2836">
        <v>1.18437100659686</v>
      </c>
      <c r="AG2836">
        <v>-1.1022611910289899</v>
      </c>
      <c r="AH2836">
        <v>43.517425456215797</v>
      </c>
      <c r="AI2836">
        <v>91.450408677117807</v>
      </c>
      <c r="AJ2836">
        <v>88.441021911942897</v>
      </c>
      <c r="AK2836">
        <v>43.547491692999003</v>
      </c>
      <c r="AL2836">
        <v>84.423706489689906</v>
      </c>
      <c r="AM2836">
        <v>91.195355308511296</v>
      </c>
      <c r="AN2836">
        <v>1.00000000193243</v>
      </c>
    </row>
    <row r="2837" spans="1:40" x14ac:dyDescent="0.3">
      <c r="A2837" t="str">
        <f>"20200111150009432"</f>
        <v>20200111150009432</v>
      </c>
      <c r="B2837" t="str">
        <f>"1578726009428510"</f>
        <v>1578726009428510</v>
      </c>
      <c r="C2837" t="s">
        <v>40</v>
      </c>
      <c r="D2837">
        <v>4.0588889999999997</v>
      </c>
      <c r="E2837">
        <v>0.51797929999999903</v>
      </c>
      <c r="F2837" t="s">
        <v>66</v>
      </c>
      <c r="G2837">
        <v>-417.90030000000002</v>
      </c>
      <c r="H2837" s="1">
        <v>3.6242130000000001E-6</v>
      </c>
      <c r="I2837">
        <v>284.42090000000002</v>
      </c>
      <c r="J2837">
        <v>-375.69470000000001</v>
      </c>
      <c r="K2837">
        <v>1.1023050000000001</v>
      </c>
      <c r="L2837">
        <v>282.53300000000002</v>
      </c>
      <c r="M2837">
        <v>-0.99973889999999999</v>
      </c>
      <c r="N2837">
        <v>0</v>
      </c>
      <c r="O2837">
        <v>1.9004589999999998E-2</v>
      </c>
      <c r="P2837">
        <v>-0.99642260000000005</v>
      </c>
      <c r="Q2837">
        <v>8.4476369999999995E-2</v>
      </c>
      <c r="R2837">
        <v>-2.4420900000000001E-3</v>
      </c>
      <c r="S2837">
        <v>-3.0178219999999998</v>
      </c>
      <c r="T2837">
        <v>-7.8389879999999995E-2</v>
      </c>
      <c r="U2837">
        <v>0.13461300000000001</v>
      </c>
      <c r="V2837">
        <v>-2.0903950000000001E-2</v>
      </c>
      <c r="W2837">
        <v>9.7215239999999994E-2</v>
      </c>
      <c r="X2837">
        <v>0.99504380000000003</v>
      </c>
      <c r="Y2837">
        <v>2.556421E-2</v>
      </c>
      <c r="Z2837">
        <v>-1.614908E-4</v>
      </c>
      <c r="AA2837">
        <v>0.99967320000000004</v>
      </c>
      <c r="AB2837">
        <v>42</v>
      </c>
      <c r="AC2837">
        <v>-42.205599999999997</v>
      </c>
      <c r="AD2837">
        <v>-1.1023013757869999</v>
      </c>
      <c r="AE2837">
        <v>1.8878999999999999</v>
      </c>
      <c r="AF2837">
        <v>1.0846559125706201</v>
      </c>
      <c r="AG2837">
        <v>-1.1023013757869999</v>
      </c>
      <c r="AH2837">
        <v>42.205126488678999</v>
      </c>
      <c r="AI2837">
        <v>91.495601006672103</v>
      </c>
      <c r="AJ2837">
        <v>88.527844015965201</v>
      </c>
      <c r="AK2837">
        <v>42.233449405620803</v>
      </c>
      <c r="AL2837">
        <v>84.421165825779099</v>
      </c>
      <c r="AM2837">
        <v>91.203496728844598</v>
      </c>
      <c r="AN2837">
        <v>0.99999997096614901</v>
      </c>
    </row>
    <row r="2838" spans="1:40" x14ac:dyDescent="0.3">
      <c r="A2838" t="str">
        <f>"20200111150009446"</f>
        <v>20200111150009446</v>
      </c>
      <c r="B2838" t="str">
        <f>"1578726009439246"</f>
        <v>1578726009439246</v>
      </c>
      <c r="C2838" t="s">
        <v>40</v>
      </c>
      <c r="D2838">
        <v>4.0453400000000004</v>
      </c>
      <c r="E2838">
        <v>0.51760410000000001</v>
      </c>
      <c r="F2838" t="s">
        <v>66</v>
      </c>
      <c r="G2838">
        <v>-414.4821</v>
      </c>
      <c r="H2838" s="1">
        <v>3.0351349999999999E-6</v>
      </c>
      <c r="I2838">
        <v>284.22359999999998</v>
      </c>
      <c r="J2838">
        <v>-375.93720000000002</v>
      </c>
      <c r="K2838">
        <v>1.1023430000000001</v>
      </c>
      <c r="L2838">
        <v>282.53820000000002</v>
      </c>
      <c r="M2838">
        <v>-0.99972159999999999</v>
      </c>
      <c r="N2838">
        <v>0</v>
      </c>
      <c r="O2838">
        <v>1.989347E-2</v>
      </c>
      <c r="P2838">
        <v>-0.99640629999999997</v>
      </c>
      <c r="Q2838">
        <v>8.4679359999999995E-2</v>
      </c>
      <c r="R2838">
        <v>-1.9974670000000002E-3</v>
      </c>
      <c r="S2838">
        <v>-3.0183409999999999</v>
      </c>
      <c r="T2838">
        <v>-8.5778469999999996E-2</v>
      </c>
      <c r="U2838">
        <v>0.13156129999999999</v>
      </c>
      <c r="V2838">
        <v>-2.135333E-2</v>
      </c>
      <c r="W2838">
        <v>9.7416929999999999E-2</v>
      </c>
      <c r="X2838">
        <v>0.99501450000000002</v>
      </c>
      <c r="Y2838">
        <v>2.3659599999999999E-2</v>
      </c>
      <c r="Z2838">
        <v>-2.289635E-4</v>
      </c>
      <c r="AA2838">
        <v>0.99972000000000005</v>
      </c>
      <c r="AB2838">
        <v>42</v>
      </c>
      <c r="AC2838">
        <v>-38.544899999999899</v>
      </c>
      <c r="AD2838">
        <v>-1.1023399648649901</v>
      </c>
      <c r="AE2838">
        <v>1.68539999999995</v>
      </c>
      <c r="AF2838">
        <v>0.91746392255785703</v>
      </c>
      <c r="AG2838">
        <v>-1.1023399648649901</v>
      </c>
      <c r="AH2838">
        <v>38.539341133452403</v>
      </c>
      <c r="AI2838">
        <v>91.637919468370995</v>
      </c>
      <c r="AJ2838">
        <v>88.636279650701894</v>
      </c>
      <c r="AK2838">
        <v>38.566017534196497</v>
      </c>
      <c r="AL2838">
        <v>84.4095545490501</v>
      </c>
      <c r="AM2838">
        <v>91.229397079629194</v>
      </c>
      <c r="AN2838">
        <v>0.99999993908147999</v>
      </c>
    </row>
    <row r="2839" spans="1:40" x14ac:dyDescent="0.3">
      <c r="A2839" t="str">
        <f>"20200111150009459"</f>
        <v>20200111150009459</v>
      </c>
      <c r="B2839" t="str">
        <f>"1578726009449007"</f>
        <v>1578726009449007</v>
      </c>
      <c r="C2839" t="s">
        <v>40</v>
      </c>
      <c r="D2839">
        <v>4.1507310000000004</v>
      </c>
      <c r="E2839">
        <v>0.51744020000000002</v>
      </c>
      <c r="F2839" t="s">
        <v>66</v>
      </c>
      <c r="G2839">
        <v>-414.22109999999998</v>
      </c>
      <c r="H2839" s="1">
        <v>2.992197E-6</v>
      </c>
      <c r="I2839">
        <v>284.18520000000001</v>
      </c>
      <c r="J2839">
        <v>-376.20030000000003</v>
      </c>
      <c r="K2839">
        <v>1.1023879999999999</v>
      </c>
      <c r="L2839">
        <v>282.54410000000001</v>
      </c>
      <c r="M2839">
        <v>-0.9997026</v>
      </c>
      <c r="N2839">
        <v>0</v>
      </c>
      <c r="O2839">
        <v>2.0833460000000002E-2</v>
      </c>
      <c r="P2839">
        <v>-0.9964037</v>
      </c>
      <c r="Q2839">
        <v>8.4725350000000005E-2</v>
      </c>
      <c r="R2839">
        <v>-1.3505360000000001E-3</v>
      </c>
      <c r="S2839">
        <v>-3.0184630000000001</v>
      </c>
      <c r="T2839">
        <v>-8.6913110000000002E-2</v>
      </c>
      <c r="U2839">
        <v>0.1298523</v>
      </c>
      <c r="V2839">
        <v>-2.165309E-2</v>
      </c>
      <c r="W2839">
        <v>9.7461080000000005E-2</v>
      </c>
      <c r="X2839">
        <v>0.99500379999999999</v>
      </c>
      <c r="Y2839">
        <v>2.2153840000000001E-2</v>
      </c>
      <c r="Z2839">
        <v>-2.8068869999999999E-4</v>
      </c>
      <c r="AA2839">
        <v>0.99975449999999999</v>
      </c>
      <c r="AB2839">
        <v>42</v>
      </c>
      <c r="AC2839">
        <v>-38.020799999999902</v>
      </c>
      <c r="AD2839">
        <v>-1.102385007803</v>
      </c>
      <c r="AE2839">
        <v>1.64109999999999</v>
      </c>
      <c r="AF2839">
        <v>0.84786385168390599</v>
      </c>
      <c r="AG2839">
        <v>-1.102385007803</v>
      </c>
      <c r="AH2839">
        <v>38.014840774083197</v>
      </c>
      <c r="AI2839">
        <v>91.660630959835501</v>
      </c>
      <c r="AJ2839">
        <v>88.722315638522005</v>
      </c>
      <c r="AK2839">
        <v>38.040271356751902</v>
      </c>
      <c r="AL2839">
        <v>84.407013412986799</v>
      </c>
      <c r="AM2839">
        <v>91.246663461459406</v>
      </c>
      <c r="AN2839">
        <v>1.0000000402178699</v>
      </c>
    </row>
    <row r="2840" spans="1:40" x14ac:dyDescent="0.3">
      <c r="A2840" t="str">
        <f>"20200111150009473"</f>
        <v>20200111150009473</v>
      </c>
      <c r="B2840" t="str">
        <f>"1578726009468526"</f>
        <v>1578726009468526</v>
      </c>
      <c r="C2840" t="s">
        <v>40</v>
      </c>
      <c r="D2840">
        <v>4.1115740000000001</v>
      </c>
      <c r="E2840">
        <v>0.51697079999999995</v>
      </c>
      <c r="F2840" t="s">
        <v>66</v>
      </c>
      <c r="G2840">
        <v>-413.48700000000002</v>
      </c>
      <c r="H2840" s="1">
        <v>2.8646259999999999E-6</v>
      </c>
      <c r="I2840">
        <v>284.1549</v>
      </c>
      <c r="J2840">
        <v>-376.44369999999998</v>
      </c>
      <c r="K2840">
        <v>1.1024309999999999</v>
      </c>
      <c r="L2840">
        <v>282.5498</v>
      </c>
      <c r="M2840">
        <v>-0.99968469999999998</v>
      </c>
      <c r="N2840">
        <v>0</v>
      </c>
      <c r="O2840">
        <v>2.16691E-2</v>
      </c>
      <c r="P2840">
        <v>-0.99641650000000004</v>
      </c>
      <c r="Q2840">
        <v>8.4578860000000006E-2</v>
      </c>
      <c r="R2840">
        <v>-8.1432399999999995E-4</v>
      </c>
      <c r="S2840">
        <v>-3.0185849999999999</v>
      </c>
      <c r="T2840">
        <v>-8.9244840000000006E-2</v>
      </c>
      <c r="U2840">
        <v>0.13040160000000001</v>
      </c>
      <c r="V2840">
        <v>-2.1960380000000002E-2</v>
      </c>
      <c r="W2840">
        <v>9.7312540000000003E-2</v>
      </c>
      <c r="X2840">
        <v>0.9950116</v>
      </c>
      <c r="Y2840">
        <v>2.1498610000000001E-2</v>
      </c>
      <c r="Z2840">
        <v>-3.2256340000000002E-4</v>
      </c>
      <c r="AA2840">
        <v>0.99976889999999996</v>
      </c>
      <c r="AB2840">
        <v>42</v>
      </c>
      <c r="AC2840">
        <v>-37.043299999999903</v>
      </c>
      <c r="AD2840">
        <v>-1.102428135374</v>
      </c>
      <c r="AE2840">
        <v>1.60509999999999</v>
      </c>
      <c r="AF2840">
        <v>0.80125514788379304</v>
      </c>
      <c r="AG2840">
        <v>-1.102428135374</v>
      </c>
      <c r="AH2840">
        <v>37.0366431377686</v>
      </c>
      <c r="AI2840">
        <v>91.704557051365398</v>
      </c>
      <c r="AJ2840">
        <v>88.760649612397501</v>
      </c>
      <c r="AK2840">
        <v>37.061709249845698</v>
      </c>
      <c r="AL2840">
        <v>84.415564754519096</v>
      </c>
      <c r="AM2840">
        <v>91.264339885026004</v>
      </c>
      <c r="AN2840">
        <v>1.0000000364327699</v>
      </c>
    </row>
    <row r="2841" spans="1:40" x14ac:dyDescent="0.3">
      <c r="A2841" t="str">
        <f>"20200111150009486"</f>
        <v>20200111150009486</v>
      </c>
      <c r="B2841" t="str">
        <f>"1578726009478286"</f>
        <v>1578726009478286</v>
      </c>
      <c r="C2841" t="s">
        <v>40</v>
      </c>
      <c r="D2841">
        <v>4.0726760000000004</v>
      </c>
      <c r="E2841">
        <v>0.51672029999999902</v>
      </c>
      <c r="F2841" t="s">
        <v>66</v>
      </c>
      <c r="G2841">
        <v>-412.36239999999998</v>
      </c>
      <c r="H2841" s="1">
        <v>2.6722290000000002E-6</v>
      </c>
      <c r="I2841">
        <v>284.07380000000001</v>
      </c>
      <c r="J2841">
        <v>-376.69779999999997</v>
      </c>
      <c r="K2841">
        <v>1.102473</v>
      </c>
      <c r="L2841">
        <v>282.55599999999998</v>
      </c>
      <c r="M2841">
        <v>-0.99966580000000005</v>
      </c>
      <c r="N2841">
        <v>0</v>
      </c>
      <c r="O2841">
        <v>2.2523560000000001E-2</v>
      </c>
      <c r="P2841">
        <v>-0.99640019999999996</v>
      </c>
      <c r="Q2841">
        <v>8.4773059999999997E-2</v>
      </c>
      <c r="R2841">
        <v>-2.6453099999999998E-4</v>
      </c>
      <c r="S2841">
        <v>-3.018799</v>
      </c>
      <c r="T2841">
        <v>-9.2653990000000006E-2</v>
      </c>
      <c r="U2841">
        <v>0.12808230000000001</v>
      </c>
      <c r="V2841">
        <v>-2.2271200000000001E-2</v>
      </c>
      <c r="W2841">
        <v>9.7505209999999995E-2</v>
      </c>
      <c r="X2841">
        <v>0.99498580000000003</v>
      </c>
      <c r="Y2841">
        <v>1.9875449999999999E-2</v>
      </c>
      <c r="Z2841">
        <v>-3.8595369999999999E-4</v>
      </c>
      <c r="AA2841">
        <v>0.99980239999999998</v>
      </c>
      <c r="AB2841">
        <v>42</v>
      </c>
      <c r="AC2841">
        <v>-35.6646</v>
      </c>
      <c r="AD2841">
        <v>-1.102470327771</v>
      </c>
      <c r="AE2841">
        <v>1.51780000000002</v>
      </c>
      <c r="AF2841">
        <v>0.71337602610528195</v>
      </c>
      <c r="AG2841">
        <v>-1.102470327771</v>
      </c>
      <c r="AH2841">
        <v>35.6557302066593</v>
      </c>
      <c r="AI2841">
        <v>91.770659336620199</v>
      </c>
      <c r="AJ2841">
        <v>88.853817246584399</v>
      </c>
      <c r="AK2841">
        <v>35.679902504747901</v>
      </c>
      <c r="AL2841">
        <v>84.404472665103199</v>
      </c>
      <c r="AM2841">
        <v>91.282262240690002</v>
      </c>
      <c r="AN2841">
        <v>1.00000000726411</v>
      </c>
    </row>
    <row r="2842" spans="1:40" x14ac:dyDescent="0.3">
      <c r="A2842" t="str">
        <f>"20200111150009498"</f>
        <v>20200111150009498</v>
      </c>
      <c r="B2842" t="str">
        <f>"1578726009489022"</f>
        <v>1578726009489022</v>
      </c>
      <c r="C2842" t="s">
        <v>40</v>
      </c>
      <c r="D2842">
        <v>4.1161510000000003</v>
      </c>
      <c r="E2842">
        <v>0.5166231</v>
      </c>
      <c r="F2842" t="s">
        <v>66</v>
      </c>
      <c r="G2842">
        <v>-411.90750000000003</v>
      </c>
      <c r="H2842" s="1">
        <v>2.594134E-6</v>
      </c>
      <c r="I2842">
        <v>284.04410000000001</v>
      </c>
      <c r="J2842">
        <v>-376.93680000000001</v>
      </c>
      <c r="K2842">
        <v>1.102514</v>
      </c>
      <c r="L2842">
        <v>282.56189999999998</v>
      </c>
      <c r="M2842">
        <v>-0.99964799999999998</v>
      </c>
      <c r="N2842">
        <v>0</v>
      </c>
      <c r="O2842">
        <v>2.330633E-2</v>
      </c>
      <c r="P2842">
        <v>-0.99640669999999998</v>
      </c>
      <c r="Q2842">
        <v>8.4701059999999995E-2</v>
      </c>
      <c r="R2842" s="1">
        <v>2.9235259999999998E-5</v>
      </c>
      <c r="S2842">
        <v>-3.0189210000000002</v>
      </c>
      <c r="T2842">
        <v>-9.4527239999999998E-2</v>
      </c>
      <c r="U2842">
        <v>0.12759400000000001</v>
      </c>
      <c r="V2842">
        <v>-2.2767160000000002E-2</v>
      </c>
      <c r="W2842">
        <v>9.7432130000000006E-2</v>
      </c>
      <c r="X2842">
        <v>0.99498169999999997</v>
      </c>
      <c r="Y2842">
        <v>1.8930329999999999E-2</v>
      </c>
      <c r="Z2842">
        <v>-4.3300899999999999E-4</v>
      </c>
      <c r="AA2842">
        <v>0.99982070000000001</v>
      </c>
      <c r="AB2842">
        <v>42</v>
      </c>
      <c r="AC2842">
        <v>-34.970700000000001</v>
      </c>
      <c r="AD2842">
        <v>-1.1025114058659999</v>
      </c>
      <c r="AE2842">
        <v>1.4822000000000299</v>
      </c>
      <c r="AF2842">
        <v>0.66603235394041505</v>
      </c>
      <c r="AG2842">
        <v>-1.1025114058659999</v>
      </c>
      <c r="AH2842">
        <v>34.961060147364897</v>
      </c>
      <c r="AI2842">
        <v>91.805919898929105</v>
      </c>
      <c r="AJ2842">
        <v>88.9086078286103</v>
      </c>
      <c r="AK2842">
        <v>34.984780364098697</v>
      </c>
      <c r="AL2842">
        <v>84.408679683101596</v>
      </c>
      <c r="AM2842">
        <v>91.310812636259598</v>
      </c>
      <c r="AN2842">
        <v>0.99999997343284497</v>
      </c>
    </row>
    <row r="2843" spans="1:40" x14ac:dyDescent="0.3">
      <c r="A2843" t="str">
        <f>"20200111150009511"</f>
        <v>20200111150009511</v>
      </c>
      <c r="B2843" t="str">
        <f>"1578726009508542"</f>
        <v>1578726009508542</v>
      </c>
      <c r="C2843" t="s">
        <v>40</v>
      </c>
      <c r="D2843">
        <v>4.1143190000000001</v>
      </c>
      <c r="E2843">
        <v>0.51629950000000002</v>
      </c>
      <c r="F2843" t="s">
        <v>66</v>
      </c>
      <c r="G2843">
        <v>-411.43759999999997</v>
      </c>
      <c r="H2843" s="1">
        <v>2.512912E-6</v>
      </c>
      <c r="I2843">
        <v>284.0197</v>
      </c>
      <c r="J2843">
        <v>-377.17259999999999</v>
      </c>
      <c r="K2843">
        <v>1.102555</v>
      </c>
      <c r="L2843">
        <v>282.56799999999998</v>
      </c>
      <c r="M2843">
        <v>-0.99963029999999997</v>
      </c>
      <c r="N2843">
        <v>0</v>
      </c>
      <c r="O2843">
        <v>2.4051670000000001E-2</v>
      </c>
      <c r="P2843">
        <v>-0.99639390000000005</v>
      </c>
      <c r="Q2843">
        <v>8.4849450000000007E-2</v>
      </c>
      <c r="R2843">
        <v>3.6795460000000002E-4</v>
      </c>
      <c r="S2843">
        <v>-3.019012</v>
      </c>
      <c r="T2843">
        <v>-9.6476080000000006E-2</v>
      </c>
      <c r="U2843">
        <v>0.1275635</v>
      </c>
      <c r="V2843">
        <v>-2.3180539999999999E-2</v>
      </c>
      <c r="W2843">
        <v>9.757876E-2</v>
      </c>
      <c r="X2843">
        <v>0.9949578</v>
      </c>
      <c r="Y2843">
        <v>1.8174340000000001E-2</v>
      </c>
      <c r="Z2843">
        <v>-4.7778179999999999E-4</v>
      </c>
      <c r="AA2843">
        <v>0.99983469999999997</v>
      </c>
      <c r="AB2843">
        <v>42</v>
      </c>
      <c r="AC2843">
        <v>-34.264999999999901</v>
      </c>
      <c r="AD2843">
        <v>-1.1025524870879999</v>
      </c>
      <c r="AE2843">
        <v>1.45170000000001</v>
      </c>
      <c r="AF2843">
        <v>0.62643581438765095</v>
      </c>
      <c r="AG2843">
        <v>-1.1025524870879999</v>
      </c>
      <c r="AH2843">
        <v>34.254601968245701</v>
      </c>
      <c r="AI2843">
        <v>91.843234161491495</v>
      </c>
      <c r="AJ2843">
        <v>88.952312220455795</v>
      </c>
      <c r="AK2843">
        <v>34.278065870455301</v>
      </c>
      <c r="AL2843">
        <v>84.400238259640801</v>
      </c>
      <c r="AM2843">
        <v>91.334636385708194</v>
      </c>
      <c r="AN2843">
        <v>0.99999998780933397</v>
      </c>
    </row>
    <row r="2844" spans="1:40" x14ac:dyDescent="0.3">
      <c r="A2844" t="str">
        <f>"20200111150009525"</f>
        <v>20200111150009525</v>
      </c>
      <c r="B2844" t="str">
        <f>"1578726009519278"</f>
        <v>1578726009519278</v>
      </c>
      <c r="C2844" t="s">
        <v>40</v>
      </c>
      <c r="D2844">
        <v>4.0867559999999896</v>
      </c>
      <c r="E2844">
        <v>0.51614529999999903</v>
      </c>
      <c r="F2844" t="s">
        <v>66</v>
      </c>
      <c r="G2844">
        <v>-411.28640000000001</v>
      </c>
      <c r="H2844" s="1">
        <v>2.4885340000000001E-6</v>
      </c>
      <c r="I2844">
        <v>283.99180000000001</v>
      </c>
      <c r="J2844">
        <v>-377.43540000000002</v>
      </c>
      <c r="K2844">
        <v>1.1025990000000001</v>
      </c>
      <c r="L2844">
        <v>282.57490000000001</v>
      </c>
      <c r="M2844">
        <v>-0.99961040000000001</v>
      </c>
      <c r="N2844">
        <v>0</v>
      </c>
      <c r="O2844">
        <v>2.4865439999999999E-2</v>
      </c>
      <c r="P2844">
        <v>-0.99637949999999997</v>
      </c>
      <c r="Q2844">
        <v>8.5012710000000005E-2</v>
      </c>
      <c r="R2844">
        <v>1.022301E-3</v>
      </c>
      <c r="S2844">
        <v>-3.0191349999999999</v>
      </c>
      <c r="T2844">
        <v>-9.757805E-2</v>
      </c>
      <c r="U2844">
        <v>0.12600710000000001</v>
      </c>
      <c r="V2844">
        <v>-2.3346220000000001E-2</v>
      </c>
      <c r="W2844">
        <v>9.7738699999999998E-2</v>
      </c>
      <c r="X2844">
        <v>0.99493830000000005</v>
      </c>
      <c r="Y2844">
        <v>1.6845329999999999E-2</v>
      </c>
      <c r="Z2844">
        <v>-5.3095710000000001E-4</v>
      </c>
      <c r="AA2844">
        <v>0.99985800000000002</v>
      </c>
      <c r="AB2844">
        <v>42</v>
      </c>
      <c r="AC2844">
        <v>-33.850999999999999</v>
      </c>
      <c r="AD2844">
        <v>-1.1025965114659999</v>
      </c>
      <c r="AE2844">
        <v>1.4168999999999901</v>
      </c>
      <c r="AF2844">
        <v>0.57406617620588796</v>
      </c>
      <c r="AG2844">
        <v>-1.1025965114659999</v>
      </c>
      <c r="AH2844">
        <v>33.839927211743699</v>
      </c>
      <c r="AI2844">
        <v>91.865923230730502</v>
      </c>
      <c r="AJ2844">
        <v>89.028118051623807</v>
      </c>
      <c r="AK2844">
        <v>33.8627515824965</v>
      </c>
      <c r="AL2844">
        <v>84.391030765404807</v>
      </c>
      <c r="AM2844">
        <v>91.344198379466206</v>
      </c>
      <c r="AN2844">
        <v>1.0000000601364301</v>
      </c>
    </row>
    <row r="2845" spans="1:40" x14ac:dyDescent="0.3">
      <c r="A2845" t="str">
        <f>"20200111150009537"</f>
        <v>20200111150009537</v>
      </c>
      <c r="B2845" t="str">
        <f>"1578726009529038"</f>
        <v>1578726009529038</v>
      </c>
      <c r="C2845" t="s">
        <v>40</v>
      </c>
      <c r="D2845">
        <v>4.127656</v>
      </c>
      <c r="E2845">
        <v>0.5164164</v>
      </c>
      <c r="F2845" t="s">
        <v>66</v>
      </c>
      <c r="G2845">
        <v>-411.28809999999999</v>
      </c>
      <c r="H2845" s="1">
        <v>2.4885040000000001E-6</v>
      </c>
      <c r="I2845">
        <v>283.9957</v>
      </c>
      <c r="J2845">
        <v>-377.68299999999999</v>
      </c>
      <c r="K2845">
        <v>1.102641</v>
      </c>
      <c r="L2845">
        <v>282.58159999999998</v>
      </c>
      <c r="M2845">
        <v>-0.99959160000000002</v>
      </c>
      <c r="N2845">
        <v>0</v>
      </c>
      <c r="O2845">
        <v>2.5610330000000001E-2</v>
      </c>
      <c r="P2845">
        <v>-0.99637900000000001</v>
      </c>
      <c r="Q2845">
        <v>8.5011089999999997E-2</v>
      </c>
      <c r="R2845">
        <v>1.5394530000000001E-3</v>
      </c>
      <c r="S2845">
        <v>-3.019104</v>
      </c>
      <c r="T2845">
        <v>-9.8333359999999995E-2</v>
      </c>
      <c r="U2845">
        <v>0.12670899999999999</v>
      </c>
      <c r="V2845">
        <v>-2.3581540000000002E-2</v>
      </c>
      <c r="W2845">
        <v>9.7734890000000005E-2</v>
      </c>
      <c r="X2845">
        <v>0.99493310000000001</v>
      </c>
      <c r="Y2845">
        <v>1.6333460000000001E-2</v>
      </c>
      <c r="Z2845">
        <v>-5.6763110000000001E-4</v>
      </c>
      <c r="AA2845">
        <v>0.99986640000000004</v>
      </c>
      <c r="AB2845">
        <v>42</v>
      </c>
      <c r="AC2845">
        <v>-33.605099999999901</v>
      </c>
      <c r="AD2845">
        <v>-1.102638511496</v>
      </c>
      <c r="AE2845">
        <v>1.4141000000000099</v>
      </c>
      <c r="AF2845">
        <v>0.55233562717504403</v>
      </c>
      <c r="AG2845">
        <v>-1.102638511496</v>
      </c>
      <c r="AH2845">
        <v>33.594190585472397</v>
      </c>
      <c r="AI2845">
        <v>91.879650374497601</v>
      </c>
      <c r="AJ2845">
        <v>89.058061865312794</v>
      </c>
      <c r="AK2845">
        <v>33.616819115215598</v>
      </c>
      <c r="AL2845">
        <v>84.391249974497796</v>
      </c>
      <c r="AM2845">
        <v>91.357749376392604</v>
      </c>
      <c r="AN2845">
        <v>1.0000000356138401</v>
      </c>
    </row>
    <row r="2846" spans="1:40" x14ac:dyDescent="0.3">
      <c r="A2846" t="str">
        <f>"20200111150009552"</f>
        <v>20200111150009552</v>
      </c>
      <c r="B2846" t="str">
        <f>"1578726009548558"</f>
        <v>1578726009548558</v>
      </c>
      <c r="C2846" t="s">
        <v>40</v>
      </c>
      <c r="D2846">
        <v>4.1381889999999997</v>
      </c>
      <c r="E2846">
        <v>0.51596299999999995</v>
      </c>
      <c r="F2846" t="s">
        <v>66</v>
      </c>
      <c r="G2846">
        <v>-410.91059999999999</v>
      </c>
      <c r="H2846" s="1">
        <v>2.420051E-6</v>
      </c>
      <c r="I2846">
        <v>284.0127</v>
      </c>
      <c r="J2846">
        <v>-377.9357</v>
      </c>
      <c r="K2846">
        <v>1.1026819999999999</v>
      </c>
      <c r="L2846">
        <v>282.58870000000002</v>
      </c>
      <c r="M2846">
        <v>-0.99957260000000003</v>
      </c>
      <c r="N2846">
        <v>0</v>
      </c>
      <c r="O2846">
        <v>2.6344050000000001E-2</v>
      </c>
      <c r="P2846">
        <v>-0.99634900000000004</v>
      </c>
      <c r="Q2846">
        <v>8.5354479999999996E-2</v>
      </c>
      <c r="R2846">
        <v>1.9068970000000001E-3</v>
      </c>
      <c r="S2846">
        <v>-3.0192260000000002</v>
      </c>
      <c r="T2846">
        <v>-0.10019110000000001</v>
      </c>
      <c r="U2846">
        <v>0.1300354</v>
      </c>
      <c r="V2846">
        <v>-2.3954110000000001E-2</v>
      </c>
      <c r="W2846">
        <v>9.8075640000000006E-2</v>
      </c>
      <c r="X2846">
        <v>0.99489059999999996</v>
      </c>
      <c r="Y2846">
        <v>1.6697819999999999E-2</v>
      </c>
      <c r="Z2846">
        <v>-5.9658720000000005E-4</v>
      </c>
      <c r="AA2846">
        <v>0.99986039999999998</v>
      </c>
      <c r="AB2846">
        <v>42</v>
      </c>
      <c r="AC2846">
        <v>-32.974899999999899</v>
      </c>
      <c r="AD2846">
        <v>-1.1026795799489999</v>
      </c>
      <c r="AE2846">
        <v>1.42399999999997</v>
      </c>
      <c r="AF2846">
        <v>0.55412503145633196</v>
      </c>
      <c r="AG2846">
        <v>-1.1026795799489999</v>
      </c>
      <c r="AH2846">
        <v>32.964177712851601</v>
      </c>
      <c r="AI2846">
        <v>91.915607394093698</v>
      </c>
      <c r="AJ2846">
        <v>89.036953509553499</v>
      </c>
      <c r="AK2846">
        <v>32.987269803531603</v>
      </c>
      <c r="AL2846">
        <v>84.371631808945196</v>
      </c>
      <c r="AM2846">
        <v>91.379251433899597</v>
      </c>
      <c r="AN2846">
        <v>0.99999996825783</v>
      </c>
    </row>
    <row r="2847" spans="1:40" x14ac:dyDescent="0.3">
      <c r="A2847" t="str">
        <f>"20200111150009566"</f>
        <v>20200111150009566</v>
      </c>
      <c r="B2847" t="str">
        <f>"1578726009558318"</f>
        <v>1578726009558318</v>
      </c>
      <c r="C2847" t="s">
        <v>40</v>
      </c>
      <c r="D2847">
        <v>4.1000940000000003</v>
      </c>
      <c r="E2847">
        <v>0.51579229999999998</v>
      </c>
      <c r="F2847" t="s">
        <v>66</v>
      </c>
      <c r="G2847">
        <v>-411.32229999999998</v>
      </c>
      <c r="H2847" s="1">
        <v>2.4939220000000001E-6</v>
      </c>
      <c r="I2847">
        <v>284.00299999999999</v>
      </c>
      <c r="J2847">
        <v>-378.20909999999998</v>
      </c>
      <c r="K2847">
        <v>1.10273</v>
      </c>
      <c r="L2847">
        <v>282.59649999999999</v>
      </c>
      <c r="M2847">
        <v>-0.999552</v>
      </c>
      <c r="N2847">
        <v>0</v>
      </c>
      <c r="O2847">
        <v>2.7117539999999999E-2</v>
      </c>
      <c r="P2847">
        <v>-0.99636630000000004</v>
      </c>
      <c r="Q2847">
        <v>8.5152889999999995E-2</v>
      </c>
      <c r="R2847">
        <v>1.994015E-3</v>
      </c>
      <c r="S2847">
        <v>-3.0192869999999998</v>
      </c>
      <c r="T2847">
        <v>-9.9719879999999997E-2</v>
      </c>
      <c r="U2847">
        <v>0.12789919999999999</v>
      </c>
      <c r="V2847">
        <v>-2.4650060000000001E-2</v>
      </c>
      <c r="W2847">
        <v>9.7872979999999998E-2</v>
      </c>
      <c r="X2847">
        <v>0.99489360000000004</v>
      </c>
      <c r="Y2847">
        <v>1.5218249999999999E-2</v>
      </c>
      <c r="Z2847">
        <v>-6.4371359999999996E-4</v>
      </c>
      <c r="AA2847">
        <v>0.999884</v>
      </c>
      <c r="AB2847">
        <v>42</v>
      </c>
      <c r="AC2847">
        <v>-33.113199999999999</v>
      </c>
      <c r="AD2847">
        <v>-1.102727506078</v>
      </c>
      <c r="AE2847">
        <v>1.4064999999999901</v>
      </c>
      <c r="AF2847">
        <v>0.50740041541310299</v>
      </c>
      <c r="AG2847">
        <v>-1.102727506078</v>
      </c>
      <c r="AH2847">
        <v>33.102519811141697</v>
      </c>
      <c r="AI2847">
        <v>91.907735840248804</v>
      </c>
      <c r="AJ2847">
        <v>89.121830423265294</v>
      </c>
      <c r="AK2847">
        <v>33.124768391360099</v>
      </c>
      <c r="AL2847">
        <v>84.383299743960904</v>
      </c>
      <c r="AM2847">
        <v>91.419303035368202</v>
      </c>
      <c r="AN2847">
        <v>1.0000000104965201</v>
      </c>
    </row>
    <row r="2848" spans="1:40" x14ac:dyDescent="0.3">
      <c r="A2848" t="str">
        <f>"20200111150009577"</f>
        <v>20200111150009577</v>
      </c>
      <c r="B2848" t="str">
        <f>"1578726009569054"</f>
        <v>1578726009569054</v>
      </c>
      <c r="C2848" t="s">
        <v>40</v>
      </c>
      <c r="D2848">
        <v>4.0891989999999998</v>
      </c>
      <c r="E2848">
        <v>0.51554449999999996</v>
      </c>
      <c r="F2848" t="s">
        <v>66</v>
      </c>
      <c r="G2848">
        <v>-411.05669999999998</v>
      </c>
      <c r="H2848" s="1">
        <v>2.449054E-6</v>
      </c>
      <c r="I2848">
        <v>283.97730000000001</v>
      </c>
      <c r="J2848">
        <v>-378.4282</v>
      </c>
      <c r="K2848">
        <v>1.1027720000000001</v>
      </c>
      <c r="L2848">
        <v>282.60289999999998</v>
      </c>
      <c r="M2848">
        <v>-0.99953530000000002</v>
      </c>
      <c r="N2848">
        <v>0</v>
      </c>
      <c r="O2848">
        <v>2.7719819999999999E-2</v>
      </c>
      <c r="P2848">
        <v>-0.99643040000000005</v>
      </c>
      <c r="Q2848">
        <v>8.4413899999999903E-2</v>
      </c>
      <c r="R2848">
        <v>9.4480560000000005E-4</v>
      </c>
      <c r="S2848">
        <v>-3.0193479999999999</v>
      </c>
      <c r="T2848">
        <v>-0.1013627</v>
      </c>
      <c r="U2848">
        <v>0.1269226</v>
      </c>
      <c r="V2848">
        <v>-2.6312820000000001E-2</v>
      </c>
      <c r="W2848">
        <v>9.7137409999999993E-2</v>
      </c>
      <c r="X2848">
        <v>0.99492309999999995</v>
      </c>
      <c r="Y2848">
        <v>1.4293149999999999E-2</v>
      </c>
      <c r="Z2848">
        <v>-6.9001679999999995E-4</v>
      </c>
      <c r="AA2848">
        <v>0.99989760000000005</v>
      </c>
      <c r="AB2848">
        <v>42</v>
      </c>
      <c r="AC2848">
        <v>-32.628499999999903</v>
      </c>
      <c r="AD2848">
        <v>-1.1027695509459901</v>
      </c>
      <c r="AE2848">
        <v>1.37440000000003</v>
      </c>
      <c r="AF2848">
        <v>0.46880833983086501</v>
      </c>
      <c r="AG2848">
        <v>-1.1027695509459901</v>
      </c>
      <c r="AH2848">
        <v>32.616869235065401</v>
      </c>
      <c r="AI2848">
        <v>91.936220908690501</v>
      </c>
      <c r="AJ2848">
        <v>89.176533786795005</v>
      </c>
      <c r="AK2848">
        <v>32.638873152107202</v>
      </c>
      <c r="AL2848">
        <v>84.425646568619101</v>
      </c>
      <c r="AM2848">
        <v>91.514953448333202</v>
      </c>
      <c r="AN2848">
        <v>1.0000000079157301</v>
      </c>
    </row>
    <row r="2849" spans="1:40" x14ac:dyDescent="0.3">
      <c r="A2849" t="str">
        <f>"20200111150009591"</f>
        <v>20200111150009591</v>
      </c>
      <c r="B2849" t="str">
        <f>"1578726009578814"</f>
        <v>1578726009578814</v>
      </c>
      <c r="C2849" t="s">
        <v>40</v>
      </c>
      <c r="D2849">
        <v>4.0919189999999999</v>
      </c>
      <c r="E2849">
        <v>0.51536139999999997</v>
      </c>
      <c r="F2849" t="s">
        <v>66</v>
      </c>
      <c r="G2849">
        <v>-410.28519999999997</v>
      </c>
      <c r="H2849" s="1">
        <v>2.3201640000000001E-6</v>
      </c>
      <c r="I2849">
        <v>283.88630000000001</v>
      </c>
      <c r="J2849">
        <v>-378.65989999999999</v>
      </c>
      <c r="K2849">
        <v>1.1028129999999901</v>
      </c>
      <c r="L2849">
        <v>282.60980000000001</v>
      </c>
      <c r="M2849">
        <v>-0.99951829999999997</v>
      </c>
      <c r="N2849">
        <v>0</v>
      </c>
      <c r="O2849">
        <v>2.8331970000000001E-2</v>
      </c>
      <c r="P2849">
        <v>-0.99646089999999998</v>
      </c>
      <c r="Q2849">
        <v>8.4049849999999995E-2</v>
      </c>
      <c r="R2849">
        <v>1.2310209999999999E-3</v>
      </c>
      <c r="S2849">
        <v>-3.019501</v>
      </c>
      <c r="T2849">
        <v>-0.1045237</v>
      </c>
      <c r="U2849">
        <v>0.1216431</v>
      </c>
      <c r="V2849">
        <v>-2.6648709999999999E-2</v>
      </c>
      <c r="W2849">
        <v>9.6771490000000002E-2</v>
      </c>
      <c r="X2849">
        <v>0.9949498</v>
      </c>
      <c r="Y2849">
        <v>1.193553E-2</v>
      </c>
      <c r="Z2849">
        <v>-7.7345979999999897E-4</v>
      </c>
      <c r="AA2849">
        <v>0.9999285</v>
      </c>
      <c r="AB2849">
        <v>42</v>
      </c>
      <c r="AC2849">
        <v>-31.6252999999999</v>
      </c>
      <c r="AD2849">
        <v>-1.10281067983599</v>
      </c>
      <c r="AE2849">
        <v>1.27649999999999</v>
      </c>
      <c r="AF2849">
        <v>0.37944788469493801</v>
      </c>
      <c r="AG2849">
        <v>-1.10281067983599</v>
      </c>
      <c r="AH2849">
        <v>31.610395618098</v>
      </c>
      <c r="AI2849">
        <v>91.997957729500499</v>
      </c>
      <c r="AJ2849">
        <v>89.312260483643399</v>
      </c>
      <c r="AK2849">
        <v>31.631902933991</v>
      </c>
      <c r="AL2849">
        <v>84.4467113797308</v>
      </c>
      <c r="AM2849">
        <v>91.534241884643606</v>
      </c>
      <c r="AN2849">
        <v>0.99999998977076199</v>
      </c>
    </row>
    <row r="2850" spans="1:40" x14ac:dyDescent="0.3">
      <c r="A2850" t="str">
        <f>"20200111150009605"</f>
        <v>20200111150009605</v>
      </c>
      <c r="B2850" t="str">
        <f>"1578726009598334"</f>
        <v>1578726009598334</v>
      </c>
      <c r="C2850" t="s">
        <v>40</v>
      </c>
      <c r="D2850">
        <v>4.1055510000000002</v>
      </c>
      <c r="E2850">
        <v>0.5149859</v>
      </c>
      <c r="F2850" t="s">
        <v>66</v>
      </c>
      <c r="G2850">
        <v>-409.69880000000001</v>
      </c>
      <c r="H2850" s="1">
        <v>4.2596319999999999E-6</v>
      </c>
      <c r="I2850">
        <v>283.84989999999999</v>
      </c>
      <c r="J2850">
        <v>-378.94310000000002</v>
      </c>
      <c r="K2850">
        <v>1.102867</v>
      </c>
      <c r="L2850">
        <v>282.61840000000001</v>
      </c>
      <c r="M2850">
        <v>-0.99949750000000004</v>
      </c>
      <c r="N2850">
        <v>0</v>
      </c>
      <c r="O2850">
        <v>2.905843E-2</v>
      </c>
      <c r="P2850">
        <v>-0.99647640000000004</v>
      </c>
      <c r="Q2850">
        <v>8.3864510000000003E-2</v>
      </c>
      <c r="R2850">
        <v>1.52969E-3</v>
      </c>
      <c r="S2850">
        <v>-3.0195310000000002</v>
      </c>
      <c r="T2850">
        <v>-0.1072839</v>
      </c>
      <c r="U2850">
        <v>0.12063599999999999</v>
      </c>
      <c r="V2850">
        <v>-2.7087110000000001E-2</v>
      </c>
      <c r="W2850">
        <v>9.6583080000000002E-2</v>
      </c>
      <c r="X2850">
        <v>0.99495630000000002</v>
      </c>
      <c r="Y2850">
        <v>1.0877029999999999E-2</v>
      </c>
      <c r="Z2850">
        <v>-8.3844099999999999E-4</v>
      </c>
      <c r="AA2850">
        <v>0.99994050000000001</v>
      </c>
      <c r="AB2850">
        <v>42</v>
      </c>
      <c r="AC2850">
        <v>-30.755699999999901</v>
      </c>
      <c r="AD2850">
        <v>-1.102862740368</v>
      </c>
      <c r="AE2850">
        <v>1.2314999999999801</v>
      </c>
      <c r="AF2850">
        <v>0.33676351674317301</v>
      </c>
      <c r="AG2850">
        <v>-1.102862740368</v>
      </c>
      <c r="AH2850">
        <v>30.739035916670101</v>
      </c>
      <c r="AI2850">
        <v>92.054667592649906</v>
      </c>
      <c r="AJ2850">
        <v>89.372317454941694</v>
      </c>
      <c r="AK2850">
        <v>30.7606574210734</v>
      </c>
      <c r="AL2850">
        <v>84.457557455283904</v>
      </c>
      <c r="AM2850">
        <v>91.559459271512694</v>
      </c>
      <c r="AN2850">
        <v>1.0000000208900599</v>
      </c>
    </row>
    <row r="2851" spans="1:40" x14ac:dyDescent="0.3">
      <c r="A2851" t="str">
        <f>"20200111150009617"</f>
        <v>20200111150009617</v>
      </c>
      <c r="B2851" t="str">
        <f>"1578726009609071"</f>
        <v>1578726009609071</v>
      </c>
      <c r="C2851" t="s">
        <v>40</v>
      </c>
      <c r="D2851">
        <v>4.1248750000000003</v>
      </c>
      <c r="E2851">
        <v>0.51481929999999998</v>
      </c>
      <c r="F2851" t="s">
        <v>66</v>
      </c>
      <c r="G2851">
        <v>-410.13819999999998</v>
      </c>
      <c r="H2851" s="1">
        <v>2.2980409999999999E-6</v>
      </c>
      <c r="I2851">
        <v>283.84109999999998</v>
      </c>
      <c r="J2851">
        <v>-379.19639999999998</v>
      </c>
      <c r="K2851">
        <v>1.1029180000000001</v>
      </c>
      <c r="L2851">
        <v>282.62630000000001</v>
      </c>
      <c r="M2851">
        <v>-0.99947889999999995</v>
      </c>
      <c r="N2851">
        <v>0</v>
      </c>
      <c r="O2851">
        <v>2.9682420000000001E-2</v>
      </c>
      <c r="P2851">
        <v>-0.99650349999999999</v>
      </c>
      <c r="Q2851">
        <v>8.3537970000000003E-2</v>
      </c>
      <c r="R2851">
        <v>1.493264E-3</v>
      </c>
      <c r="S2851">
        <v>-3.019409</v>
      </c>
      <c r="T2851">
        <v>-0.1067473</v>
      </c>
      <c r="U2851">
        <v>0.1183472</v>
      </c>
      <c r="V2851">
        <v>-2.7758830000000002E-2</v>
      </c>
      <c r="W2851">
        <v>9.6254649999999997E-2</v>
      </c>
      <c r="X2851">
        <v>0.99496960000000001</v>
      </c>
      <c r="Y2851">
        <v>9.4986940000000002E-3</v>
      </c>
      <c r="Z2851">
        <v>-8.8067959999999998E-4</v>
      </c>
      <c r="AA2851">
        <v>0.99995449999999997</v>
      </c>
      <c r="AB2851">
        <v>42</v>
      </c>
      <c r="AC2851">
        <v>-30.941800000000001</v>
      </c>
      <c r="AD2851">
        <v>-1.1029157019589999</v>
      </c>
      <c r="AE2851">
        <v>1.2147999999999599</v>
      </c>
      <c r="AF2851">
        <v>0.29538852729640802</v>
      </c>
      <c r="AG2851">
        <v>-1.1029157019589999</v>
      </c>
      <c r="AH2851">
        <v>30.924993895714302</v>
      </c>
      <c r="AI2851">
        <v>92.042450336889402</v>
      </c>
      <c r="AJ2851">
        <v>89.452740352821195</v>
      </c>
      <c r="AK2851">
        <v>30.946064772078099</v>
      </c>
      <c r="AL2851">
        <v>84.476463118957199</v>
      </c>
      <c r="AM2851">
        <v>91.598090376452006</v>
      </c>
      <c r="AN2851">
        <v>1.00000000760687</v>
      </c>
    </row>
    <row r="2852" spans="1:40" x14ac:dyDescent="0.3">
      <c r="A2852" t="str">
        <f>"20200111150009634"</f>
        <v>20200111150009634</v>
      </c>
      <c r="B2852" t="str">
        <f>"1578726009628590"</f>
        <v>1578726009628590</v>
      </c>
      <c r="C2852" t="s">
        <v>40</v>
      </c>
      <c r="D2852">
        <v>4.226254</v>
      </c>
      <c r="E2852">
        <v>0.51465289999999997</v>
      </c>
      <c r="F2852" t="s">
        <v>66</v>
      </c>
      <c r="G2852">
        <v>-409.65219999999999</v>
      </c>
      <c r="H2852" s="1">
        <v>4.2897179999999998E-6</v>
      </c>
      <c r="I2852">
        <v>283.80419999999998</v>
      </c>
      <c r="J2852">
        <v>-379.48439999999999</v>
      </c>
      <c r="K2852">
        <v>1.1029819999999999</v>
      </c>
      <c r="L2852">
        <v>282.6354</v>
      </c>
      <c r="M2852">
        <v>-0.99945899999999999</v>
      </c>
      <c r="N2852">
        <v>0</v>
      </c>
      <c r="O2852">
        <v>3.0352560000000001E-2</v>
      </c>
      <c r="P2852">
        <v>-0.99652359999999895</v>
      </c>
      <c r="Q2852">
        <v>8.3314050000000001E-2</v>
      </c>
      <c r="R2852">
        <v>3.1605689999999998E-4</v>
      </c>
      <c r="S2852">
        <v>-3.0195310000000002</v>
      </c>
      <c r="T2852">
        <v>-0.10934820000000001</v>
      </c>
      <c r="U2852">
        <v>0.1167908</v>
      </c>
      <c r="V2852">
        <v>-2.9617319999999999E-2</v>
      </c>
      <c r="W2852">
        <v>9.6031580000000005E-2</v>
      </c>
      <c r="X2852">
        <v>0.99493750000000003</v>
      </c>
      <c r="Y2852">
        <v>8.3138420000000001E-3</v>
      </c>
      <c r="Z2852">
        <v>-9.477744E-4</v>
      </c>
      <c r="AA2852">
        <v>0.99996499999999999</v>
      </c>
      <c r="AB2852">
        <v>42</v>
      </c>
      <c r="AC2852">
        <v>-30.1678</v>
      </c>
      <c r="AD2852">
        <v>-1.102977710282</v>
      </c>
      <c r="AE2852">
        <v>1.1687999999999701</v>
      </c>
      <c r="AF2852">
        <v>0.252181380989146</v>
      </c>
      <c r="AG2852">
        <v>-1.102977710282</v>
      </c>
      <c r="AH2852">
        <v>30.149135939019601</v>
      </c>
      <c r="AI2852">
        <v>92.095104453356797</v>
      </c>
      <c r="AJ2852">
        <v>89.520762655478705</v>
      </c>
      <c r="AK2852">
        <v>30.170358850165801</v>
      </c>
      <c r="AL2852">
        <v>84.489303194818802</v>
      </c>
      <c r="AM2852">
        <v>91.705078420791494</v>
      </c>
      <c r="AN2852">
        <v>0.99999993945376198</v>
      </c>
    </row>
    <row r="2853" spans="1:40" x14ac:dyDescent="0.3">
      <c r="A2853" t="str">
        <f>"20200111150009648"</f>
        <v>20200111150009648</v>
      </c>
      <c r="B2853" t="str">
        <f>"1578726009638350"</f>
        <v>1578726009638350</v>
      </c>
      <c r="C2853" t="s">
        <v>40</v>
      </c>
      <c r="D2853">
        <v>4.2138049999999998</v>
      </c>
      <c r="E2853">
        <v>0.51460620000000001</v>
      </c>
      <c r="F2853" t="s">
        <v>66</v>
      </c>
      <c r="G2853">
        <v>-408.99450000000002</v>
      </c>
      <c r="H2853" s="1">
        <v>4.5973019999999996E-6</v>
      </c>
      <c r="I2853">
        <v>283.72710000000001</v>
      </c>
      <c r="J2853">
        <v>-379.74</v>
      </c>
      <c r="K2853">
        <v>1.1030359999999999</v>
      </c>
      <c r="L2853">
        <v>282.64359999999999</v>
      </c>
      <c r="M2853">
        <v>-0.99944169999999999</v>
      </c>
      <c r="N2853">
        <v>0</v>
      </c>
      <c r="O2853">
        <v>3.0918609999999999E-2</v>
      </c>
      <c r="P2853">
        <v>-0.99655000000000005</v>
      </c>
      <c r="Q2853">
        <v>8.2996130000000001E-2</v>
      </c>
      <c r="R2853">
        <v>-3.1361719999999999E-4</v>
      </c>
      <c r="S2853">
        <v>-3.0198969999999998</v>
      </c>
      <c r="T2853">
        <v>-0.11287270000000001</v>
      </c>
      <c r="U2853">
        <v>0.1117249</v>
      </c>
      <c r="V2853">
        <v>-3.0825180000000001E-2</v>
      </c>
      <c r="W2853">
        <v>9.5712610000000004E-2</v>
      </c>
      <c r="X2853">
        <v>0.99493160000000003</v>
      </c>
      <c r="Y2853">
        <v>6.0706400000000004E-3</v>
      </c>
      <c r="Z2853">
        <v>-1.0412450000000001E-3</v>
      </c>
      <c r="AA2853">
        <v>0.99998100000000001</v>
      </c>
      <c r="AB2853">
        <v>42</v>
      </c>
      <c r="AC2853">
        <v>-29.2545</v>
      </c>
      <c r="AD2853">
        <v>-1.1030314026979999</v>
      </c>
      <c r="AE2853">
        <v>1.0835000000000099</v>
      </c>
      <c r="AF2853">
        <v>0.17814799177729401</v>
      </c>
      <c r="AG2853">
        <v>-1.1030314026979999</v>
      </c>
      <c r="AH2853">
        <v>29.232513087091998</v>
      </c>
      <c r="AI2853">
        <v>92.160878324016295</v>
      </c>
      <c r="AJ2853">
        <v>89.650833930380102</v>
      </c>
      <c r="AK2853">
        <v>29.2538584868614</v>
      </c>
      <c r="AL2853">
        <v>84.507663693947705</v>
      </c>
      <c r="AM2853">
        <v>91.774582226092306</v>
      </c>
      <c r="AN2853">
        <v>0.99999999205680201</v>
      </c>
    </row>
    <row r="2854" spans="1:40" x14ac:dyDescent="0.3">
      <c r="A2854" t="str">
        <f>"20200111150009662"</f>
        <v>20200111150009662</v>
      </c>
      <c r="B2854" t="str">
        <f>"1578726009658846"</f>
        <v>1578726009658846</v>
      </c>
      <c r="C2854" t="s">
        <v>40</v>
      </c>
      <c r="D2854">
        <v>4.2152539999999998</v>
      </c>
      <c r="E2854">
        <v>0.51461859999999904</v>
      </c>
      <c r="F2854" t="s">
        <v>66</v>
      </c>
      <c r="G2854">
        <v>-408.58319999999998</v>
      </c>
      <c r="H2854" s="1">
        <v>4.7880410000000002E-6</v>
      </c>
      <c r="I2854">
        <v>283.68669999999997</v>
      </c>
      <c r="J2854">
        <v>-380.01100000000002</v>
      </c>
      <c r="K2854">
        <v>1.103094</v>
      </c>
      <c r="L2854">
        <v>282.6524</v>
      </c>
      <c r="M2854">
        <v>-0.99942390000000003</v>
      </c>
      <c r="N2854">
        <v>0</v>
      </c>
      <c r="O2854">
        <v>3.1489530000000002E-2</v>
      </c>
      <c r="P2854">
        <v>-0.99654849999999995</v>
      </c>
      <c r="Q2854">
        <v>8.3008159999999998E-2</v>
      </c>
      <c r="R2854">
        <v>-1.0520550000000001E-3</v>
      </c>
      <c r="S2854">
        <v>-3.0200809999999998</v>
      </c>
      <c r="T2854">
        <v>-0.115495</v>
      </c>
      <c r="U2854">
        <v>0.1092224</v>
      </c>
      <c r="V2854">
        <v>-3.214496E-2</v>
      </c>
      <c r="W2854">
        <v>9.5722580000000002E-2</v>
      </c>
      <c r="X2854">
        <v>0.99488889999999996</v>
      </c>
      <c r="Y2854">
        <v>4.6719270000000002E-3</v>
      </c>
      <c r="Z2854">
        <v>-1.113906E-3</v>
      </c>
      <c r="AA2854">
        <v>0.9999884</v>
      </c>
      <c r="AB2854">
        <v>42</v>
      </c>
      <c r="AC2854">
        <v>-28.572199999999999</v>
      </c>
      <c r="AD2854">
        <v>-1.1030892119589999</v>
      </c>
      <c r="AE2854">
        <v>1.03429999999997</v>
      </c>
      <c r="AF2854">
        <v>0.133790574146888</v>
      </c>
      <c r="AG2854">
        <v>-1.1030892119589999</v>
      </c>
      <c r="AH2854">
        <v>28.548105031319601</v>
      </c>
      <c r="AI2854">
        <v>92.212764634496295</v>
      </c>
      <c r="AJ2854">
        <v>89.7314855361208</v>
      </c>
      <c r="AK2854">
        <v>28.569721850352799</v>
      </c>
      <c r="AL2854">
        <v>84.507089957855399</v>
      </c>
      <c r="AM2854">
        <v>91.850588584176904</v>
      </c>
      <c r="AN2854">
        <v>1.00000001705923</v>
      </c>
    </row>
    <row r="2855" spans="1:40" x14ac:dyDescent="0.3">
      <c r="A2855" t="str">
        <f>"20200111150009676"</f>
        <v>20200111150009676</v>
      </c>
      <c r="B2855" t="str">
        <f>"1578726009668608"</f>
        <v>1578726009668608</v>
      </c>
      <c r="C2855" t="s">
        <v>40</v>
      </c>
      <c r="D2855">
        <v>4.1759490000000001</v>
      </c>
      <c r="E2855">
        <v>0.51445719999999995</v>
      </c>
      <c r="F2855" t="s">
        <v>66</v>
      </c>
      <c r="G2855">
        <v>-408.3879</v>
      </c>
      <c r="H2855" s="1">
        <v>4.8813229999999997E-6</v>
      </c>
      <c r="I2855">
        <v>283.65449999999998</v>
      </c>
      <c r="J2855">
        <v>-380.29300000000001</v>
      </c>
      <c r="K2855">
        <v>1.1031569999999999</v>
      </c>
      <c r="L2855">
        <v>282.66180000000003</v>
      </c>
      <c r="M2855">
        <v>-0.99940649999999998</v>
      </c>
      <c r="N2855">
        <v>0</v>
      </c>
      <c r="O2855">
        <v>3.2034020000000003E-2</v>
      </c>
      <c r="P2855">
        <v>-0.99653729999999996</v>
      </c>
      <c r="Q2855">
        <v>8.3129670000000003E-2</v>
      </c>
      <c r="R2855">
        <v>-1.6942929999999999E-3</v>
      </c>
      <c r="S2855">
        <v>-3.0203250000000001</v>
      </c>
      <c r="T2855">
        <v>-0.1174085</v>
      </c>
      <c r="U2855">
        <v>0.1066589</v>
      </c>
      <c r="V2855">
        <v>-3.334384E-2</v>
      </c>
      <c r="W2855">
        <v>9.5841239999999994E-2</v>
      </c>
      <c r="X2855">
        <v>0.994838</v>
      </c>
      <c r="Y2855">
        <v>3.278661E-3</v>
      </c>
      <c r="Z2855">
        <v>-1.1804770000000001E-3</v>
      </c>
      <c r="AA2855">
        <v>0.99999389999999999</v>
      </c>
      <c r="AB2855">
        <v>42</v>
      </c>
      <c r="AC2855">
        <v>-28.094899999999999</v>
      </c>
      <c r="AD2855">
        <v>-1.1031521186769999</v>
      </c>
      <c r="AE2855">
        <v>0.99269999999995595</v>
      </c>
      <c r="AF2855">
        <v>9.1983995916383898E-2</v>
      </c>
      <c r="AG2855">
        <v>-1.1031521186769999</v>
      </c>
      <c r="AH2855">
        <v>28.069059820548201</v>
      </c>
      <c r="AI2855">
        <v>92.250631466037007</v>
      </c>
      <c r="AJ2855">
        <v>89.812238959321803</v>
      </c>
      <c r="AK2855">
        <v>28.090879745247602</v>
      </c>
      <c r="AL2855">
        <v>84.500259747413097</v>
      </c>
      <c r="AM2855">
        <v>91.919655658050004</v>
      </c>
      <c r="AN2855">
        <v>1.00000000059734</v>
      </c>
    </row>
    <row r="2856" spans="1:40" x14ac:dyDescent="0.3">
      <c r="A2856" t="str">
        <f>"20200111150009690"</f>
        <v>20200111150009690</v>
      </c>
      <c r="B2856" t="str">
        <f>"1578726009678367"</f>
        <v>1578726009678367</v>
      </c>
      <c r="C2856" t="s">
        <v>40</v>
      </c>
      <c r="D2856">
        <v>4.1767640000000004</v>
      </c>
      <c r="E2856">
        <v>0.5141696</v>
      </c>
      <c r="F2856" t="s">
        <v>66</v>
      </c>
      <c r="G2856">
        <v>-408.47609999999997</v>
      </c>
      <c r="H2856" s="1">
        <v>4.8488379999999998E-6</v>
      </c>
      <c r="I2856">
        <v>283.6223</v>
      </c>
      <c r="J2856">
        <v>-380.5385</v>
      </c>
      <c r="K2856">
        <v>1.1032189999999999</v>
      </c>
      <c r="L2856">
        <v>282.67009999999999</v>
      </c>
      <c r="M2856">
        <v>-0.99939230000000001</v>
      </c>
      <c r="N2856">
        <v>0</v>
      </c>
      <c r="O2856">
        <v>3.247303E-2</v>
      </c>
      <c r="P2856">
        <v>-0.99648130000000001</v>
      </c>
      <c r="Q2856">
        <v>8.3704280000000006E-2</v>
      </c>
      <c r="R2856">
        <v>-4.3408889999999997E-3</v>
      </c>
      <c r="S2856">
        <v>-3.0204469999999999</v>
      </c>
      <c r="T2856">
        <v>-0.118227</v>
      </c>
      <c r="U2856">
        <v>0.10293579999999999</v>
      </c>
      <c r="V2856">
        <v>-3.6436000000000003E-2</v>
      </c>
      <c r="W2856">
        <v>9.6416970000000005E-2</v>
      </c>
      <c r="X2856">
        <v>0.9946739</v>
      </c>
      <c r="Y2856">
        <v>1.6087269999999999E-3</v>
      </c>
      <c r="Z2856">
        <v>-1.238507E-3</v>
      </c>
      <c r="AA2856">
        <v>0.9999979</v>
      </c>
      <c r="AB2856">
        <v>42</v>
      </c>
      <c r="AC2856">
        <v>-27.9375999999999</v>
      </c>
      <c r="AD2856">
        <v>-1.1032141511619999</v>
      </c>
      <c r="AE2856">
        <v>0.95220000000000404</v>
      </c>
      <c r="AF2856">
        <v>4.4337332763370103E-2</v>
      </c>
      <c r="AG2856">
        <v>-1.1032141511619999</v>
      </c>
      <c r="AH2856">
        <v>27.910315745627699</v>
      </c>
      <c r="AI2856">
        <v>92.263555424207595</v>
      </c>
      <c r="AJ2856">
        <v>89.908982043468001</v>
      </c>
      <c r="AK2856">
        <v>27.932145858902999</v>
      </c>
      <c r="AL2856">
        <v>84.467119316017801</v>
      </c>
      <c r="AM2856">
        <v>92.097869483032596</v>
      </c>
      <c r="AN2856">
        <v>0.99999999077059498</v>
      </c>
    </row>
    <row r="2857" spans="1:40" x14ac:dyDescent="0.3">
      <c r="A2857" t="str">
        <f>"20200111150009705"</f>
        <v>20200111150009705</v>
      </c>
      <c r="B2857" t="str">
        <f>"1578726009698862"</f>
        <v>1578726009698862</v>
      </c>
      <c r="C2857" t="s">
        <v>40</v>
      </c>
      <c r="D2857">
        <v>4.1198610000000002</v>
      </c>
      <c r="E2857">
        <v>0.51384659999999904</v>
      </c>
      <c r="F2857" t="s">
        <v>66</v>
      </c>
      <c r="G2857">
        <v>-408.73340000000002</v>
      </c>
      <c r="H2857" s="1">
        <v>4.754065E-6</v>
      </c>
      <c r="I2857">
        <v>283.52879999999999</v>
      </c>
      <c r="J2857">
        <v>-380.8254</v>
      </c>
      <c r="K2857">
        <v>1.103291</v>
      </c>
      <c r="L2857">
        <v>282.6798</v>
      </c>
      <c r="M2857">
        <v>-0.99937670000000001</v>
      </c>
      <c r="N2857">
        <v>0</v>
      </c>
      <c r="O2857">
        <v>3.2947690000000002E-2</v>
      </c>
      <c r="P2857">
        <v>-0.99643800000000005</v>
      </c>
      <c r="Q2857">
        <v>8.4160230000000003E-2</v>
      </c>
      <c r="R2857">
        <v>-5.3497450000000004E-3</v>
      </c>
      <c r="S2857">
        <v>-3.0209350000000001</v>
      </c>
      <c r="T2857">
        <v>-0.1182038</v>
      </c>
      <c r="U2857">
        <v>9.2010499999999995E-2</v>
      </c>
      <c r="V2857">
        <v>-3.793117E-2</v>
      </c>
      <c r="W2857">
        <v>9.6867839999999997E-2</v>
      </c>
      <c r="X2857">
        <v>0.99457419999999996</v>
      </c>
      <c r="Y2857">
        <v>-2.481011E-3</v>
      </c>
      <c r="Z2857">
        <v>-1.3366679999999901E-3</v>
      </c>
      <c r="AA2857">
        <v>0.999996</v>
      </c>
      <c r="AB2857">
        <v>42</v>
      </c>
      <c r="AC2857">
        <v>-27.908000000000001</v>
      </c>
      <c r="AD2857">
        <v>-1.1032862459349999</v>
      </c>
      <c r="AE2857">
        <v>0.84899999999998899</v>
      </c>
      <c r="AF2857">
        <v>-7.0928272869547601E-2</v>
      </c>
      <c r="AG2857">
        <v>-1.1032862459349999</v>
      </c>
      <c r="AH2857">
        <v>27.877292606889899</v>
      </c>
      <c r="AI2857">
        <v>92.266377485412505</v>
      </c>
      <c r="AJ2857">
        <v>90.145777496105893</v>
      </c>
      <c r="AK2857">
        <v>27.899206340871402</v>
      </c>
      <c r="AL2857">
        <v>84.441164906532407</v>
      </c>
      <c r="AM2857">
        <v>92.184093629893297</v>
      </c>
      <c r="AN2857">
        <v>0.99999999569473697</v>
      </c>
    </row>
    <row r="2858" spans="1:40" x14ac:dyDescent="0.3">
      <c r="A2858" t="str">
        <f>"20200111150009718"</f>
        <v>20200111150009718</v>
      </c>
      <c r="B2858" t="str">
        <f>"1578726009708622"</f>
        <v>1578726009708622</v>
      </c>
      <c r="C2858" t="s">
        <v>40</v>
      </c>
      <c r="D2858">
        <v>4.0942049999999997</v>
      </c>
      <c r="E2858">
        <v>0.51369979999999904</v>
      </c>
      <c r="F2858" t="s">
        <v>66</v>
      </c>
      <c r="G2858">
        <v>-408.41090000000003</v>
      </c>
      <c r="H2858" s="1">
        <v>4.9102050000000004E-6</v>
      </c>
      <c r="I2858">
        <v>283.46519999999998</v>
      </c>
      <c r="J2858">
        <v>-381.08620000000002</v>
      </c>
      <c r="K2858">
        <v>1.1033580000000001</v>
      </c>
      <c r="L2858">
        <v>282.68869999999998</v>
      </c>
      <c r="M2858">
        <v>-0.99936409999999998</v>
      </c>
      <c r="N2858">
        <v>0</v>
      </c>
      <c r="O2858">
        <v>3.3332220000000003E-2</v>
      </c>
      <c r="P2858">
        <v>-0.9963748</v>
      </c>
      <c r="Q2858">
        <v>8.4849090000000002E-2</v>
      </c>
      <c r="R2858">
        <v>-6.1876079999999998E-3</v>
      </c>
      <c r="S2858">
        <v>-3.0213930000000002</v>
      </c>
      <c r="T2858">
        <v>-0.120841</v>
      </c>
      <c r="U2858">
        <v>8.6029049999999996E-2</v>
      </c>
      <c r="V2858">
        <v>-3.9164400000000002E-2</v>
      </c>
      <c r="W2858">
        <v>9.7551230000000003E-2</v>
      </c>
      <c r="X2858">
        <v>0.9944596</v>
      </c>
      <c r="Y2858">
        <v>-4.8449460000000001E-3</v>
      </c>
      <c r="Z2858">
        <v>-1.428917E-3</v>
      </c>
      <c r="AA2858">
        <v>0.99998719999999996</v>
      </c>
      <c r="AB2858">
        <v>42</v>
      </c>
      <c r="AC2858">
        <v>-27.3247</v>
      </c>
      <c r="AD2858">
        <v>-1.1033530897949999</v>
      </c>
      <c r="AE2858">
        <v>0.77649999999999797</v>
      </c>
      <c r="AF2858">
        <v>-0.134578245126768</v>
      </c>
      <c r="AG2858">
        <v>-1.1033530897949999</v>
      </c>
      <c r="AH2858">
        <v>27.290936811864398</v>
      </c>
      <c r="AI2858">
        <v>92.315138487432193</v>
      </c>
      <c r="AJ2858">
        <v>90.282537129919902</v>
      </c>
      <c r="AK2858">
        <v>27.313563140205599</v>
      </c>
      <c r="AL2858">
        <v>84.401823210678103</v>
      </c>
      <c r="AM2858">
        <v>92.2552910035606</v>
      </c>
      <c r="AN2858">
        <v>0.99999999436701603</v>
      </c>
    </row>
    <row r="2859" spans="1:40" x14ac:dyDescent="0.3">
      <c r="A2859" t="str">
        <f>"20200111150009732"</f>
        <v>20200111150009732</v>
      </c>
      <c r="B2859" t="str">
        <f>"1578726009729118"</f>
        <v>1578726009729118</v>
      </c>
      <c r="C2859" t="s">
        <v>40</v>
      </c>
      <c r="D2859">
        <v>4.1090330000000002</v>
      </c>
      <c r="E2859">
        <v>0.51346990000000003</v>
      </c>
      <c r="F2859" t="s">
        <v>66</v>
      </c>
      <c r="G2859">
        <v>-408.69779999999997</v>
      </c>
      <c r="H2859" s="1">
        <v>4.7880840000000004E-6</v>
      </c>
      <c r="I2859">
        <v>283.44060000000002</v>
      </c>
      <c r="J2859">
        <v>-381.32240000000002</v>
      </c>
      <c r="K2859">
        <v>1.103426</v>
      </c>
      <c r="L2859">
        <v>282.6968</v>
      </c>
      <c r="M2859">
        <v>-0.99935439999999998</v>
      </c>
      <c r="N2859">
        <v>0</v>
      </c>
      <c r="O2859">
        <v>3.3624859999999999E-2</v>
      </c>
      <c r="P2859">
        <v>-0.99631590000000003</v>
      </c>
      <c r="Q2859">
        <v>8.5470649999999995E-2</v>
      </c>
      <c r="R2859">
        <v>-7.0697310000000001E-3</v>
      </c>
      <c r="S2859">
        <v>-3.0216370000000001</v>
      </c>
      <c r="T2859">
        <v>-0.120744</v>
      </c>
      <c r="U2859">
        <v>8.2275390000000004E-2</v>
      </c>
      <c r="V2859">
        <v>-4.0349780000000002E-2</v>
      </c>
      <c r="W2859">
        <v>9.8166710000000004E-2</v>
      </c>
      <c r="X2859">
        <v>0.9943516</v>
      </c>
      <c r="Y2859">
        <v>-6.3799360000000001E-3</v>
      </c>
      <c r="Z2859">
        <v>-1.47001799999999E-3</v>
      </c>
      <c r="AA2859">
        <v>0.99997849999999999</v>
      </c>
      <c r="AB2859">
        <v>42</v>
      </c>
      <c r="AC2859">
        <v>-27.3753999999999</v>
      </c>
      <c r="AD2859">
        <v>-1.1034212119159901</v>
      </c>
      <c r="AE2859">
        <v>0.743800000000021</v>
      </c>
      <c r="AF2859">
        <v>-0.176901187073851</v>
      </c>
      <c r="AG2859">
        <v>-1.1034212119159901</v>
      </c>
      <c r="AH2859">
        <v>27.340543335635399</v>
      </c>
      <c r="AI2859">
        <v>92.311064742936296</v>
      </c>
      <c r="AJ2859">
        <v>90.370715016413698</v>
      </c>
      <c r="AK2859">
        <v>27.3633722755192</v>
      </c>
      <c r="AL2859">
        <v>84.366388511867797</v>
      </c>
      <c r="AM2859">
        <v>92.323729754419304</v>
      </c>
      <c r="AN2859">
        <v>0.99999995606041503</v>
      </c>
    </row>
    <row r="2860" spans="1:40" x14ac:dyDescent="0.3">
      <c r="A2860" t="str">
        <f>"20200111150009746"</f>
        <v>20200111150009746</v>
      </c>
      <c r="B2860" t="str">
        <f>"1578726009738877"</f>
        <v>1578726009738877</v>
      </c>
      <c r="C2860" t="s">
        <v>40</v>
      </c>
      <c r="D2860">
        <v>4.0927020000000001</v>
      </c>
      <c r="E2860">
        <v>0.51342489999999996</v>
      </c>
      <c r="F2860" t="s">
        <v>66</v>
      </c>
      <c r="G2860">
        <v>-408.71929999999998</v>
      </c>
      <c r="H2860" s="1">
        <v>4.7869179999999999E-6</v>
      </c>
      <c r="I2860">
        <v>283.40010000000001</v>
      </c>
      <c r="J2860">
        <v>-381.59190000000001</v>
      </c>
      <c r="K2860">
        <v>1.1035029999999999</v>
      </c>
      <c r="L2860">
        <v>282.70620000000002</v>
      </c>
      <c r="M2860">
        <v>-0.99934429999999996</v>
      </c>
      <c r="N2860">
        <v>0</v>
      </c>
      <c r="O2860">
        <v>3.3920110000000003E-2</v>
      </c>
      <c r="P2860">
        <v>-0.99626360000000003</v>
      </c>
      <c r="Q2860">
        <v>8.5924050000000002E-2</v>
      </c>
      <c r="R2860">
        <v>-8.7120919999999994E-3</v>
      </c>
      <c r="S2860">
        <v>-3.022125</v>
      </c>
      <c r="T2860">
        <v>-0.1217173</v>
      </c>
      <c r="U2860">
        <v>7.7575679999999994E-2</v>
      </c>
      <c r="V2860">
        <v>-4.2302239999999998E-2</v>
      </c>
      <c r="W2860">
        <v>9.8613729999999997E-2</v>
      </c>
      <c r="X2860">
        <v>0.99422630000000001</v>
      </c>
      <c r="Y2860">
        <v>-8.2314959999999996E-3</v>
      </c>
      <c r="Z2860">
        <v>-1.530801E-3</v>
      </c>
      <c r="AA2860">
        <v>0.99996499999999999</v>
      </c>
      <c r="AB2860">
        <v>42</v>
      </c>
      <c r="AC2860">
        <v>-27.127399999999898</v>
      </c>
      <c r="AD2860">
        <v>-1.1034982130819999</v>
      </c>
      <c r="AE2860">
        <v>0.69389999999998497</v>
      </c>
      <c r="AF2860">
        <v>-0.22636324195358001</v>
      </c>
      <c r="AG2860">
        <v>-1.1034982130819999</v>
      </c>
      <c r="AH2860">
        <v>27.0905278414407</v>
      </c>
      <c r="AI2860">
        <v>92.332499875082704</v>
      </c>
      <c r="AJ2860">
        <v>90.478741375740995</v>
      </c>
      <c r="AK2860">
        <v>27.113938248647301</v>
      </c>
      <c r="AL2860">
        <v>84.340651756498502</v>
      </c>
      <c r="AM2860">
        <v>92.436345546291705</v>
      </c>
      <c r="AN2860">
        <v>1.0000000414326</v>
      </c>
    </row>
    <row r="2861" spans="1:40" x14ac:dyDescent="0.3">
      <c r="A2861" t="str">
        <f>"20200111150009767"</f>
        <v>20200111150009767</v>
      </c>
      <c r="B2861" t="str">
        <f>"1578726009758398"</f>
        <v>1578726009758398</v>
      </c>
      <c r="C2861" t="s">
        <v>40</v>
      </c>
      <c r="D2861">
        <v>4.0555300000000001</v>
      </c>
      <c r="E2861">
        <v>0.51342080000000001</v>
      </c>
      <c r="F2861" t="s">
        <v>66</v>
      </c>
      <c r="G2861">
        <v>-408.89190000000002</v>
      </c>
      <c r="H2861" s="1">
        <v>4.7199640000000004E-6</v>
      </c>
      <c r="I2861">
        <v>283.3537</v>
      </c>
      <c r="J2861">
        <v>-381.99860000000001</v>
      </c>
      <c r="K2861">
        <v>1.1036360000000001</v>
      </c>
      <c r="L2861">
        <v>282.72039999999998</v>
      </c>
      <c r="M2861">
        <v>-0.99933300000000003</v>
      </c>
      <c r="N2861">
        <v>0</v>
      </c>
      <c r="O2861">
        <v>3.4255279999999999E-2</v>
      </c>
      <c r="P2861">
        <v>-0.99626760000000003</v>
      </c>
      <c r="Q2861">
        <v>8.584456E-2</v>
      </c>
      <c r="R2861">
        <v>-9.0551390000000002E-3</v>
      </c>
      <c r="S2861">
        <v>-3.0224000000000002</v>
      </c>
      <c r="T2861">
        <v>-0.12216879999999999</v>
      </c>
      <c r="U2861">
        <v>7.1685789999999999E-2</v>
      </c>
      <c r="V2861">
        <v>-4.300996E-2</v>
      </c>
      <c r="W2861">
        <v>9.8520239999999995E-2</v>
      </c>
      <c r="X2861">
        <v>0.99420520000000001</v>
      </c>
      <c r="Y2861">
        <v>-1.0514290000000001E-2</v>
      </c>
      <c r="Z2861">
        <v>-1.596028E-3</v>
      </c>
      <c r="AA2861">
        <v>0.99994340000000004</v>
      </c>
      <c r="AB2861">
        <v>42</v>
      </c>
      <c r="AC2861">
        <v>-26.8933</v>
      </c>
      <c r="AD2861">
        <v>-1.103631280036</v>
      </c>
      <c r="AE2861">
        <v>0.63330000000001896</v>
      </c>
      <c r="AF2861">
        <v>-0.28789845110277501</v>
      </c>
      <c r="AG2861">
        <v>-1.103631280036</v>
      </c>
      <c r="AH2861">
        <v>26.854010886101602</v>
      </c>
      <c r="AI2861">
        <v>92.353250800336994</v>
      </c>
      <c r="AJ2861">
        <v>90.614237266582506</v>
      </c>
      <c r="AK2861">
        <v>26.878221447694099</v>
      </c>
      <c r="AL2861">
        <v>84.346034525674</v>
      </c>
      <c r="AM2861">
        <v>92.477107961917</v>
      </c>
      <c r="AN2861">
        <v>1.00000003702794</v>
      </c>
    </row>
    <row r="2862" spans="1:40" x14ac:dyDescent="0.3">
      <c r="A2862" t="str">
        <f>"20200111150009781"</f>
        <v>20200111150009781</v>
      </c>
      <c r="B2862" t="str">
        <f>"1578726009769134"</f>
        <v>1578726009769134</v>
      </c>
      <c r="C2862" t="s">
        <v>40</v>
      </c>
      <c r="D2862">
        <v>3.9834900000000002</v>
      </c>
      <c r="E2862">
        <v>0.51344040000000002</v>
      </c>
      <c r="F2862" t="s">
        <v>66</v>
      </c>
      <c r="G2862">
        <v>-409.154</v>
      </c>
      <c r="H2862" s="1">
        <v>4.6042949999999998E-6</v>
      </c>
      <c r="I2862">
        <v>283.351</v>
      </c>
      <c r="J2862">
        <v>-382.26580000000001</v>
      </c>
      <c r="K2862">
        <v>1.10372</v>
      </c>
      <c r="L2862">
        <v>282.72969999999998</v>
      </c>
      <c r="M2862">
        <v>-0.99932710000000002</v>
      </c>
      <c r="N2862">
        <v>0</v>
      </c>
      <c r="O2862">
        <v>3.4423240000000001E-2</v>
      </c>
      <c r="P2862">
        <v>-0.99626610000000004</v>
      </c>
      <c r="Q2862">
        <v>8.5882429999999996E-2</v>
      </c>
      <c r="R2862">
        <v>-8.8328680000000007E-3</v>
      </c>
      <c r="S2862">
        <v>-3.0224609999999998</v>
      </c>
      <c r="T2862">
        <v>-0.1228368</v>
      </c>
      <c r="U2862">
        <v>7.0190429999999998E-2</v>
      </c>
      <c r="V2862">
        <v>-4.297571E-2</v>
      </c>
      <c r="W2862">
        <v>9.8548239999999995E-2</v>
      </c>
      <c r="X2862">
        <v>0.99420390000000003</v>
      </c>
      <c r="Y2862">
        <v>-1.1176190000000001E-2</v>
      </c>
      <c r="Z2862">
        <v>-1.624988E-3</v>
      </c>
      <c r="AA2862">
        <v>0.99993620000000005</v>
      </c>
      <c r="AB2862">
        <v>42</v>
      </c>
      <c r="AC2862">
        <v>-26.888199999999902</v>
      </c>
      <c r="AD2862">
        <v>-1.1037153957050001</v>
      </c>
      <c r="AE2862">
        <v>0.62130000000001895</v>
      </c>
      <c r="AF2862">
        <v>-0.30420916422162603</v>
      </c>
      <c r="AG2862">
        <v>-1.1037153957050001</v>
      </c>
      <c r="AH2862">
        <v>26.8484363622395</v>
      </c>
      <c r="AI2862">
        <v>92.353902243259895</v>
      </c>
      <c r="AJ2862">
        <v>90.649168358335302</v>
      </c>
      <c r="AK2862">
        <v>26.872835093966899</v>
      </c>
      <c r="AL2862">
        <v>84.344422364640707</v>
      </c>
      <c r="AM2862">
        <v>92.475141060137503</v>
      </c>
      <c r="AN2862">
        <v>1.0000000310161501</v>
      </c>
    </row>
    <row r="2863" spans="1:40" x14ac:dyDescent="0.3">
      <c r="A2863" t="str">
        <f>"20200111150009795"</f>
        <v>20200111150009795</v>
      </c>
      <c r="B2863" t="str">
        <f>"1578726009788654"</f>
        <v>1578726009788654</v>
      </c>
      <c r="C2863" t="s">
        <v>40</v>
      </c>
      <c r="D2863">
        <v>3.9975869999999998</v>
      </c>
      <c r="E2863">
        <v>0.51348329999999998</v>
      </c>
      <c r="F2863" t="s">
        <v>66</v>
      </c>
      <c r="G2863">
        <v>-409.41840000000002</v>
      </c>
      <c r="H2863" s="1">
        <v>4.4843350000000003E-6</v>
      </c>
      <c r="I2863">
        <v>283.36410000000001</v>
      </c>
      <c r="J2863">
        <v>-382.53739999999999</v>
      </c>
      <c r="K2863">
        <v>1.1038030000000001</v>
      </c>
      <c r="L2863">
        <v>282.73910000000001</v>
      </c>
      <c r="M2863">
        <v>-0.99932310000000002</v>
      </c>
      <c r="N2863">
        <v>0</v>
      </c>
      <c r="O2863">
        <v>3.4539250000000001E-2</v>
      </c>
      <c r="P2863">
        <v>-0.99625010000000003</v>
      </c>
      <c r="Q2863">
        <v>8.6094329999999997E-2</v>
      </c>
      <c r="R2863">
        <v>-8.5867410000000002E-3</v>
      </c>
      <c r="S2863">
        <v>-3.0224299999999999</v>
      </c>
      <c r="T2863">
        <v>-0.1228576</v>
      </c>
      <c r="U2863">
        <v>7.0617680000000002E-2</v>
      </c>
      <c r="V2863">
        <v>-4.2863440000000003E-2</v>
      </c>
      <c r="W2863">
        <v>9.8750870000000004E-2</v>
      </c>
      <c r="X2863">
        <v>0.99418859999999998</v>
      </c>
      <c r="Y2863">
        <v>-1.115067E-2</v>
      </c>
      <c r="Z2863">
        <v>-1.6294689999999999E-3</v>
      </c>
      <c r="AA2863">
        <v>0.99993650000000001</v>
      </c>
      <c r="AB2863">
        <v>42</v>
      </c>
      <c r="AC2863">
        <v>-26.881</v>
      </c>
      <c r="AD2863">
        <v>-1.1037985156649901</v>
      </c>
      <c r="AE2863">
        <v>0.625</v>
      </c>
      <c r="AF2863">
        <v>-0.30338574381068301</v>
      </c>
      <c r="AG2863">
        <v>-1.1037985156649901</v>
      </c>
      <c r="AH2863">
        <v>26.841314173993698</v>
      </c>
      <c r="AI2863">
        <v>92.3547039892333</v>
      </c>
      <c r="AJ2863">
        <v>90.647583139085</v>
      </c>
      <c r="AK2863">
        <v>26.865713477586301</v>
      </c>
      <c r="AL2863">
        <v>84.332755383683903</v>
      </c>
      <c r="AM2863">
        <v>92.468720941717095</v>
      </c>
      <c r="AN2863">
        <v>0.99999999059217504</v>
      </c>
    </row>
    <row r="2864" spans="1:40" x14ac:dyDescent="0.3">
      <c r="A2864" t="str">
        <f>"20200111150009808"</f>
        <v>20200111150009808</v>
      </c>
      <c r="B2864" t="str">
        <f>"1578726009798414"</f>
        <v>1578726009798414</v>
      </c>
      <c r="C2864" t="s">
        <v>40</v>
      </c>
      <c r="D2864">
        <v>3.986497</v>
      </c>
      <c r="E2864">
        <v>0.51347600000000004</v>
      </c>
      <c r="F2864" t="s">
        <v>66</v>
      </c>
      <c r="G2864">
        <v>-409.8691</v>
      </c>
      <c r="H2864" s="1">
        <v>4.2799399999999997E-6</v>
      </c>
      <c r="I2864">
        <v>283.38600000000002</v>
      </c>
      <c r="J2864">
        <v>-382.76560000000001</v>
      </c>
      <c r="K2864">
        <v>1.103874</v>
      </c>
      <c r="L2864">
        <v>282.74709999999999</v>
      </c>
      <c r="M2864">
        <v>-0.99932100000000001</v>
      </c>
      <c r="N2864">
        <v>0</v>
      </c>
      <c r="O2864">
        <v>3.4602109999999998E-2</v>
      </c>
      <c r="P2864">
        <v>-0.99624630000000003</v>
      </c>
      <c r="Q2864">
        <v>8.615747E-2</v>
      </c>
      <c r="R2864">
        <v>-8.4125629999999996E-3</v>
      </c>
      <c r="S2864">
        <v>-3.0224609999999998</v>
      </c>
      <c r="T2864">
        <v>-0.122063</v>
      </c>
      <c r="U2864">
        <v>7.1533200000000005E-2</v>
      </c>
      <c r="V2864">
        <v>-4.2767439999999997E-2</v>
      </c>
      <c r="W2864">
        <v>9.8806370000000004E-2</v>
      </c>
      <c r="X2864">
        <v>0.99418720000000005</v>
      </c>
      <c r="Y2864">
        <v>-1.091172E-2</v>
      </c>
      <c r="Z2864">
        <v>-1.616627E-3</v>
      </c>
      <c r="AA2864">
        <v>0.99993909999999997</v>
      </c>
      <c r="AB2864">
        <v>42</v>
      </c>
      <c r="AC2864">
        <v>-27.1035</v>
      </c>
      <c r="AD2864">
        <v>-1.1038697200600001</v>
      </c>
      <c r="AE2864">
        <v>0.63889999999997804</v>
      </c>
      <c r="AF2864">
        <v>-0.29890055854198899</v>
      </c>
      <c r="AG2864">
        <v>-1.1038697200600001</v>
      </c>
      <c r="AH2864">
        <v>27.064507278337601</v>
      </c>
      <c r="AI2864">
        <v>92.335464249141495</v>
      </c>
      <c r="AJ2864">
        <v>90.632749161016704</v>
      </c>
      <c r="AK2864">
        <v>27.088658588456401</v>
      </c>
      <c r="AL2864">
        <v>84.3295597264771</v>
      </c>
      <c r="AM2864">
        <v>92.463202101387694</v>
      </c>
      <c r="AN2864">
        <v>0.99999997066028401</v>
      </c>
    </row>
    <row r="2865" spans="1:40" x14ac:dyDescent="0.3">
      <c r="A2865" t="str">
        <f>"20200111150009823"</f>
        <v>20200111150009823</v>
      </c>
      <c r="B2865" t="str">
        <f>"1578726009818911"</f>
        <v>1578726009818911</v>
      </c>
      <c r="C2865" t="s">
        <v>40</v>
      </c>
      <c r="D2865">
        <v>3.9967440000000001</v>
      </c>
      <c r="E2865">
        <v>0.51336689999999996</v>
      </c>
      <c r="F2865" t="s">
        <v>66</v>
      </c>
      <c r="G2865">
        <v>-410.11860000000001</v>
      </c>
      <c r="H2865" s="1">
        <v>2.3333409999999998E-6</v>
      </c>
      <c r="I2865">
        <v>283.39760000000001</v>
      </c>
      <c r="J2865">
        <v>-383.04759999999999</v>
      </c>
      <c r="K2865">
        <v>1.1039570000000001</v>
      </c>
      <c r="L2865">
        <v>282.75700000000001</v>
      </c>
      <c r="M2865">
        <v>-0.99931970000000003</v>
      </c>
      <c r="N2865">
        <v>0</v>
      </c>
      <c r="O2865">
        <v>3.4641089999999999E-2</v>
      </c>
      <c r="P2865">
        <v>-0.99617840000000002</v>
      </c>
      <c r="Q2865">
        <v>8.7025290000000005E-2</v>
      </c>
      <c r="R2865">
        <v>-7.4251259999999998E-3</v>
      </c>
      <c r="S2865">
        <v>-3.0224609999999998</v>
      </c>
      <c r="T2865">
        <v>-0.121976</v>
      </c>
      <c r="U2865">
        <v>7.1868899999999999E-2</v>
      </c>
      <c r="V2865">
        <v>-4.1836089999999999E-2</v>
      </c>
      <c r="W2865">
        <v>9.9663290000000002E-2</v>
      </c>
      <c r="X2865">
        <v>0.99414130000000001</v>
      </c>
      <c r="Y2865">
        <v>-1.083981E-2</v>
      </c>
      <c r="Z2865">
        <v>-1.6155950000000001E-3</v>
      </c>
      <c r="AA2865">
        <v>0.99993989999999999</v>
      </c>
      <c r="AB2865">
        <v>42</v>
      </c>
      <c r="AC2865">
        <v>-27.071000000000002</v>
      </c>
      <c r="AD2865">
        <v>-1.1039546666590001</v>
      </c>
      <c r="AE2865">
        <v>0.64060000000000605</v>
      </c>
      <c r="AF2865">
        <v>-0.297134718118789</v>
      </c>
      <c r="AG2865">
        <v>-1.1039546666590001</v>
      </c>
      <c r="AH2865">
        <v>27.032013462967001</v>
      </c>
      <c r="AI2865">
        <v>92.338449555843795</v>
      </c>
      <c r="AJ2865">
        <v>90.629767357670204</v>
      </c>
      <c r="AK2865">
        <v>27.056177793782702</v>
      </c>
      <c r="AL2865">
        <v>84.280218313635203</v>
      </c>
      <c r="AM2865">
        <v>92.409735802697099</v>
      </c>
      <c r="AN2865">
        <v>0.9999999770829</v>
      </c>
    </row>
    <row r="2866" spans="1:40" x14ac:dyDescent="0.3">
      <c r="A2866" t="str">
        <f>"20200111150009836"</f>
        <v>20200111150009836</v>
      </c>
      <c r="B2866" t="str">
        <f>"1578726009828671"</f>
        <v>1578726009828671</v>
      </c>
      <c r="C2866" t="s">
        <v>40</v>
      </c>
      <c r="D2866">
        <v>3.9430710000000002</v>
      </c>
      <c r="E2866">
        <v>0.51330489999999995</v>
      </c>
      <c r="F2866" t="s">
        <v>66</v>
      </c>
      <c r="G2866">
        <v>-410.81330000000003</v>
      </c>
      <c r="H2866" s="1">
        <v>2.4535069999999999E-6</v>
      </c>
      <c r="I2866">
        <v>283.43259999999998</v>
      </c>
      <c r="J2866">
        <v>-383.30650000000003</v>
      </c>
      <c r="K2866">
        <v>1.104036</v>
      </c>
      <c r="L2866">
        <v>282.76600000000002</v>
      </c>
      <c r="M2866">
        <v>-0.9993204</v>
      </c>
      <c r="N2866">
        <v>0</v>
      </c>
      <c r="O2866">
        <v>3.4617120000000001E-2</v>
      </c>
      <c r="P2866">
        <v>-0.99613430000000003</v>
      </c>
      <c r="Q2866">
        <v>8.7574840000000001E-2</v>
      </c>
      <c r="R2866">
        <v>-6.891632E-3</v>
      </c>
      <c r="S2866">
        <v>-3.0225219999999999</v>
      </c>
      <c r="T2866">
        <v>-0.1201743</v>
      </c>
      <c r="U2866">
        <v>7.3547360000000006E-2</v>
      </c>
      <c r="V2866">
        <v>-4.1295310000000002E-2</v>
      </c>
      <c r="W2866">
        <v>0.10020419999999999</v>
      </c>
      <c r="X2866">
        <v>0.99410960000000004</v>
      </c>
      <c r="Y2866">
        <v>-1.02628999999999E-2</v>
      </c>
      <c r="Z2866">
        <v>-1.579289E-3</v>
      </c>
      <c r="AA2866">
        <v>0.99994609999999995</v>
      </c>
      <c r="AB2866">
        <v>42</v>
      </c>
      <c r="AC2866">
        <v>-27.506799999999998</v>
      </c>
      <c r="AD2866">
        <v>-1.104033546493</v>
      </c>
      <c r="AE2866">
        <v>0.66660000000001596</v>
      </c>
      <c r="AF2866">
        <v>-0.28562230584072901</v>
      </c>
      <c r="AG2866">
        <v>-1.104033546493</v>
      </c>
      <c r="AH2866">
        <v>27.469163005616998</v>
      </c>
      <c r="AI2866">
        <v>92.301454211332597</v>
      </c>
      <c r="AJ2866">
        <v>90.595735768092396</v>
      </c>
      <c r="AK2866">
        <v>27.4928242711173</v>
      </c>
      <c r="AL2866">
        <v>84.249070895875903</v>
      </c>
      <c r="AM2866">
        <v>92.378698944600998</v>
      </c>
      <c r="AN2866">
        <v>1.00000004056889</v>
      </c>
    </row>
    <row r="2867" spans="1:40" x14ac:dyDescent="0.3">
      <c r="A2867" t="str">
        <f>"20200111150009856"</f>
        <v>20200111150009856</v>
      </c>
      <c r="B2867" t="str">
        <f>"1578726009849166"</f>
        <v>1578726009849166</v>
      </c>
      <c r="C2867" t="s">
        <v>40</v>
      </c>
      <c r="D2867">
        <v>3.9338510000000002</v>
      </c>
      <c r="E2867">
        <v>0.51321519999999998</v>
      </c>
      <c r="F2867" t="s">
        <v>66</v>
      </c>
      <c r="G2867">
        <v>-411.1404</v>
      </c>
      <c r="H2867" s="1">
        <v>2.510219E-6</v>
      </c>
      <c r="I2867">
        <v>283.44740000000002</v>
      </c>
      <c r="J2867">
        <v>-383.67989999999998</v>
      </c>
      <c r="K2867">
        <v>1.104158</v>
      </c>
      <c r="L2867">
        <v>282.77890000000002</v>
      </c>
      <c r="M2867">
        <v>-0.9993244</v>
      </c>
      <c r="N2867">
        <v>0</v>
      </c>
      <c r="O2867">
        <v>3.4502709999999999E-2</v>
      </c>
      <c r="P2867">
        <v>-0.99604990000000004</v>
      </c>
      <c r="Q2867">
        <v>8.8638770000000006E-2</v>
      </c>
      <c r="R2867">
        <v>-5.2792910000000002E-3</v>
      </c>
      <c r="S2867">
        <v>-3.0227050000000002</v>
      </c>
      <c r="T2867">
        <v>-0.1198959</v>
      </c>
      <c r="U2867">
        <v>7.4005130000000002E-2</v>
      </c>
      <c r="V2867">
        <v>-3.959352E-2</v>
      </c>
      <c r="W2867">
        <v>0.1012545</v>
      </c>
      <c r="X2867">
        <v>0.99407239999999997</v>
      </c>
      <c r="Y2867">
        <v>-9.999015E-3</v>
      </c>
      <c r="Z2867">
        <v>-1.5657710000000001E-3</v>
      </c>
      <c r="AA2867">
        <v>0.99994879999999997</v>
      </c>
      <c r="AB2867">
        <v>42</v>
      </c>
      <c r="AC2867">
        <v>-27.4605</v>
      </c>
      <c r="AD2867">
        <v>-1.104155489781</v>
      </c>
      <c r="AE2867">
        <v>0.66849999999999399</v>
      </c>
      <c r="AF2867">
        <v>-0.27898492266778502</v>
      </c>
      <c r="AG2867">
        <v>-1.104155489781</v>
      </c>
      <c r="AH2867">
        <v>27.4229046282592</v>
      </c>
      <c r="AI2867">
        <v>92.305591911090204</v>
      </c>
      <c r="AJ2867">
        <v>90.582874330935994</v>
      </c>
      <c r="AK2867">
        <v>27.446542408530998</v>
      </c>
      <c r="AL2867">
        <v>84.188585431067196</v>
      </c>
      <c r="AM2867">
        <v>92.280863173755193</v>
      </c>
      <c r="AN2867">
        <v>1.0000000285189901</v>
      </c>
    </row>
    <row r="2868" spans="1:40" x14ac:dyDescent="0.3">
      <c r="A2868" t="str">
        <f>"20200111150009879"</f>
        <v>20200111150009879</v>
      </c>
      <c r="B2868" t="str">
        <f>"1578726009868685"</f>
        <v>1578726009868685</v>
      </c>
      <c r="C2868" t="s">
        <v>40</v>
      </c>
      <c r="D2868">
        <v>3.9846550000000001</v>
      </c>
      <c r="E2868">
        <v>0.51317069999999998</v>
      </c>
      <c r="F2868" t="s">
        <v>66</v>
      </c>
      <c r="G2868">
        <v>-411.64580000000001</v>
      </c>
      <c r="H2868" s="1">
        <v>2.5959270000000001E-6</v>
      </c>
      <c r="I2868">
        <v>283.49259999999998</v>
      </c>
      <c r="J2868">
        <v>-384.09230000000002</v>
      </c>
      <c r="K2868">
        <v>1.1042909999999999</v>
      </c>
      <c r="L2868">
        <v>282.79309999999998</v>
      </c>
      <c r="M2868">
        <v>-0.99933240000000001</v>
      </c>
      <c r="N2868">
        <v>0</v>
      </c>
      <c r="O2868">
        <v>3.4270469999999997E-2</v>
      </c>
      <c r="P2868">
        <v>-0.99598929999999997</v>
      </c>
      <c r="Q2868">
        <v>8.9369390000000007E-2</v>
      </c>
      <c r="R2868">
        <v>-4.3079559999999999E-3</v>
      </c>
      <c r="S2868">
        <v>-3.0229189999999999</v>
      </c>
      <c r="T2868">
        <v>-0.1193514</v>
      </c>
      <c r="U2868">
        <v>7.7148439999999999E-2</v>
      </c>
      <c r="V2868">
        <v>-3.8421289999999997E-2</v>
      </c>
      <c r="W2868">
        <v>0.1019713</v>
      </c>
      <c r="X2868">
        <v>0.99404510000000001</v>
      </c>
      <c r="Y2868">
        <v>-8.7307140000000005E-3</v>
      </c>
      <c r="Z2868">
        <v>-1.524346E-3</v>
      </c>
      <c r="AA2868">
        <v>0.99996070000000004</v>
      </c>
      <c r="AB2868">
        <v>42</v>
      </c>
      <c r="AC2868">
        <v>-27.5534999999999</v>
      </c>
      <c r="AD2868">
        <v>-1.1042884040730001</v>
      </c>
      <c r="AE2868">
        <v>0.69950000000000001</v>
      </c>
      <c r="AF2868">
        <v>-0.24486497870049601</v>
      </c>
      <c r="AG2868">
        <v>-1.1042884040730001</v>
      </c>
      <c r="AH2868">
        <v>27.517115724059298</v>
      </c>
      <c r="AI2868">
        <v>92.298010864544096</v>
      </c>
      <c r="AJ2868">
        <v>90.509841208276697</v>
      </c>
      <c r="AK2868">
        <v>27.540353474645801</v>
      </c>
      <c r="AL2868">
        <v>84.147301974312001</v>
      </c>
      <c r="AM2868">
        <v>92.213463457126906</v>
      </c>
      <c r="AN2868">
        <v>1.00000000119148</v>
      </c>
    </row>
    <row r="2869" spans="1:40" x14ac:dyDescent="0.3">
      <c r="A2869" t="str">
        <f>"20200111150009892"</f>
        <v>20200111150009892</v>
      </c>
      <c r="B2869" t="str">
        <f>"1578726009889182"</f>
        <v>1578726009889182</v>
      </c>
      <c r="C2869" t="s">
        <v>40</v>
      </c>
      <c r="D2869">
        <v>3.9575849999999999</v>
      </c>
      <c r="E2869">
        <v>0.5131462</v>
      </c>
      <c r="F2869" t="s">
        <v>66</v>
      </c>
      <c r="G2869">
        <v>-412.08569999999997</v>
      </c>
      <c r="H2869" s="1">
        <v>2.6710680000000001E-6</v>
      </c>
      <c r="I2869">
        <v>283.5256</v>
      </c>
      <c r="J2869">
        <v>-384.33980000000003</v>
      </c>
      <c r="K2869">
        <v>1.1043700000000001</v>
      </c>
      <c r="L2869">
        <v>282.80149999999998</v>
      </c>
      <c r="M2869">
        <v>-0.99933919999999998</v>
      </c>
      <c r="N2869">
        <v>0</v>
      </c>
      <c r="O2869">
        <v>3.4072449999999997E-2</v>
      </c>
      <c r="P2869">
        <v>-0.99596399999999996</v>
      </c>
      <c r="Q2869">
        <v>8.9680129999999997E-2</v>
      </c>
      <c r="R2869">
        <v>-3.7187710000000001E-3</v>
      </c>
      <c r="S2869">
        <v>-3.0231020000000002</v>
      </c>
      <c r="T2869">
        <v>-0.119256</v>
      </c>
      <c r="U2869">
        <v>7.9101560000000001E-2</v>
      </c>
      <c r="V2869">
        <v>-3.7654119999999999E-2</v>
      </c>
      <c r="W2869">
        <v>0.1022744</v>
      </c>
      <c r="X2869">
        <v>0.99404329999999996</v>
      </c>
      <c r="Y2869">
        <v>-7.8893699999999997E-3</v>
      </c>
      <c r="Z2869">
        <v>-1.498632E-3</v>
      </c>
      <c r="AA2869">
        <v>0.99996779999999996</v>
      </c>
      <c r="AB2869">
        <v>42</v>
      </c>
      <c r="AC2869">
        <v>-27.745899999999899</v>
      </c>
      <c r="AD2869">
        <v>-1.104367328932</v>
      </c>
      <c r="AE2869">
        <v>0.72410000000002095</v>
      </c>
      <c r="AF2869">
        <v>-0.221416498496008</v>
      </c>
      <c r="AG2869">
        <v>-1.104367328932</v>
      </c>
      <c r="AH2869">
        <v>27.7105898253817</v>
      </c>
      <c r="AI2869">
        <v>92.282163685692396</v>
      </c>
      <c r="AJ2869">
        <v>90.457801908352806</v>
      </c>
      <c r="AK2869">
        <v>27.733471490846</v>
      </c>
      <c r="AL2869">
        <v>84.129844249959206</v>
      </c>
      <c r="AM2869">
        <v>92.169313114342501</v>
      </c>
      <c r="AN2869">
        <v>0.99999998396161205</v>
      </c>
    </row>
    <row r="2870" spans="1:40" x14ac:dyDescent="0.3">
      <c r="A2870" t="str">
        <f>"20200111150009912"</f>
        <v>20200111150009912</v>
      </c>
      <c r="B2870" t="str">
        <f>"1578726009908702"</f>
        <v>1578726009908702</v>
      </c>
      <c r="C2870" t="s">
        <v>40</v>
      </c>
      <c r="D2870">
        <v>3.9696579999999999</v>
      </c>
      <c r="E2870">
        <v>0.513104</v>
      </c>
      <c r="F2870" t="s">
        <v>66</v>
      </c>
      <c r="G2870">
        <v>-411.88659999999999</v>
      </c>
      <c r="H2870" s="1">
        <v>2.6351590000000001E-6</v>
      </c>
      <c r="I2870">
        <v>283.53250000000003</v>
      </c>
      <c r="J2870">
        <v>-384.72</v>
      </c>
      <c r="K2870">
        <v>1.1044929999999999</v>
      </c>
      <c r="L2870">
        <v>282.81420000000003</v>
      </c>
      <c r="M2870">
        <v>-0.9993514</v>
      </c>
      <c r="N2870">
        <v>0</v>
      </c>
      <c r="O2870">
        <v>3.3712510000000001E-2</v>
      </c>
      <c r="P2870">
        <v>-0.995946</v>
      </c>
      <c r="Q2870">
        <v>8.9916670000000004E-2</v>
      </c>
      <c r="R2870">
        <v>-2.5705760000000002E-3</v>
      </c>
      <c r="S2870">
        <v>-3.0233759999999998</v>
      </c>
      <c r="T2870">
        <v>-0.1212087</v>
      </c>
      <c r="U2870">
        <v>8.0230709999999997E-2</v>
      </c>
      <c r="V2870">
        <v>-3.6177210000000001E-2</v>
      </c>
      <c r="W2870">
        <v>0.1025002</v>
      </c>
      <c r="X2870">
        <v>0.99407489999999998</v>
      </c>
      <c r="Y2870">
        <v>-7.1581800000000001E-3</v>
      </c>
      <c r="Z2870">
        <v>-1.4939420000000001E-3</v>
      </c>
      <c r="AA2870">
        <v>0.99997320000000001</v>
      </c>
      <c r="AB2870">
        <v>42</v>
      </c>
      <c r="AC2870">
        <v>-27.166599999999899</v>
      </c>
      <c r="AD2870">
        <v>-1.104490364841</v>
      </c>
      <c r="AE2870">
        <v>0.71829999999999905</v>
      </c>
      <c r="AF2870">
        <v>-0.19770946071350601</v>
      </c>
      <c r="AG2870">
        <v>-1.104490364841</v>
      </c>
      <c r="AH2870">
        <v>27.130559433628498</v>
      </c>
      <c r="AI2870">
        <v>92.331173227871005</v>
      </c>
      <c r="AJ2870">
        <v>90.417526117692105</v>
      </c>
      <c r="AK2870">
        <v>27.1537519171574</v>
      </c>
      <c r="AL2870">
        <v>84.116838572745394</v>
      </c>
      <c r="AM2870">
        <v>92.084236383445102</v>
      </c>
      <c r="AN2870">
        <v>0.99999999416671603</v>
      </c>
    </row>
    <row r="2871" spans="1:40" x14ac:dyDescent="0.3">
      <c r="A2871" t="str">
        <f>"20200111150009925"</f>
        <v>20200111150009925</v>
      </c>
      <c r="B2871" t="str">
        <f>"1578726009918462"</f>
        <v>1578726009918462</v>
      </c>
      <c r="C2871" t="s">
        <v>40</v>
      </c>
      <c r="D2871">
        <v>3.9313129999999998</v>
      </c>
      <c r="E2871">
        <v>0.51302389999999998</v>
      </c>
      <c r="F2871" t="s">
        <v>66</v>
      </c>
      <c r="G2871">
        <v>-411.99860000000001</v>
      </c>
      <c r="H2871" s="1">
        <v>2.6521590000000001E-6</v>
      </c>
      <c r="I2871">
        <v>283.56529999999998</v>
      </c>
      <c r="J2871">
        <v>-384.95729999999998</v>
      </c>
      <c r="K2871">
        <v>1.1045640000000001</v>
      </c>
      <c r="L2871">
        <v>282.82209999999998</v>
      </c>
      <c r="M2871">
        <v>-0.99936020000000003</v>
      </c>
      <c r="N2871">
        <v>0</v>
      </c>
      <c r="O2871">
        <v>3.3453910000000003E-2</v>
      </c>
      <c r="P2871">
        <v>-0.99594579999999999</v>
      </c>
      <c r="Q2871">
        <v>8.9931200000000003E-2</v>
      </c>
      <c r="R2871">
        <v>-2.205879E-3</v>
      </c>
      <c r="S2871">
        <v>-3.0234990000000002</v>
      </c>
      <c r="T2871">
        <v>-0.122418899999999</v>
      </c>
      <c r="U2871">
        <v>8.3251950000000005E-2</v>
      </c>
      <c r="V2871">
        <v>-3.5572319999999998E-2</v>
      </c>
      <c r="W2871">
        <v>0.10250869999999999</v>
      </c>
      <c r="X2871">
        <v>0.99409590000000003</v>
      </c>
      <c r="Y2871">
        <v>-5.9025680000000004E-3</v>
      </c>
      <c r="Z2871">
        <v>-1.4728969999999999E-3</v>
      </c>
      <c r="AA2871">
        <v>0.99998149999999997</v>
      </c>
      <c r="AB2871">
        <v>42</v>
      </c>
      <c r="AC2871">
        <v>-27.0413</v>
      </c>
      <c r="AD2871">
        <v>-1.1045613478409999</v>
      </c>
      <c r="AE2871">
        <v>0.74320000000000097</v>
      </c>
      <c r="AF2871">
        <v>-0.16165615388860199</v>
      </c>
      <c r="AG2871">
        <v>-1.1045613478409999</v>
      </c>
      <c r="AH2871">
        <v>27.006001120024099</v>
      </c>
      <c r="AI2871">
        <v>92.342083774167804</v>
      </c>
      <c r="AJ2871">
        <v>90.342964687191696</v>
      </c>
      <c r="AK2871">
        <v>27.029063708866801</v>
      </c>
      <c r="AL2871">
        <v>84.116349256002806</v>
      </c>
      <c r="AM2871">
        <v>92.049374257634497</v>
      </c>
      <c r="AN2871">
        <v>1.0000000409613401</v>
      </c>
    </row>
    <row r="2872" spans="1:40" x14ac:dyDescent="0.3">
      <c r="A2872" t="str">
        <f>"20200111150009938"</f>
        <v>20200111150009938</v>
      </c>
      <c r="B2872" t="str">
        <f>"1578726009929198"</f>
        <v>1578726009929198</v>
      </c>
      <c r="C2872" t="s">
        <v>40</v>
      </c>
      <c r="D2872">
        <v>3.9355560000000001</v>
      </c>
      <c r="E2872">
        <v>0.51296140000000001</v>
      </c>
      <c r="F2872" t="s">
        <v>66</v>
      </c>
      <c r="G2872">
        <v>-412.05380000000002</v>
      </c>
      <c r="H2872" s="1">
        <v>2.6616059999999998E-6</v>
      </c>
      <c r="I2872">
        <v>283.56920000000002</v>
      </c>
      <c r="J2872">
        <v>-385.23200000000003</v>
      </c>
      <c r="K2872">
        <v>1.1046419999999999</v>
      </c>
      <c r="L2872">
        <v>282.83109999999999</v>
      </c>
      <c r="M2872">
        <v>-0.99937120000000002</v>
      </c>
      <c r="N2872">
        <v>0</v>
      </c>
      <c r="O2872">
        <v>3.312379E-2</v>
      </c>
      <c r="P2872">
        <v>-0.99595789999999995</v>
      </c>
      <c r="Q2872">
        <v>8.981045E-2</v>
      </c>
      <c r="R2872">
        <v>-1.52573799999999E-3</v>
      </c>
      <c r="S2872">
        <v>-3.0235599999999998</v>
      </c>
      <c r="T2872">
        <v>-0.12325220000000001</v>
      </c>
      <c r="U2872">
        <v>8.3374019999999993E-2</v>
      </c>
      <c r="V2872">
        <v>-3.4583950000000002E-2</v>
      </c>
      <c r="W2872">
        <v>0.1023821</v>
      </c>
      <c r="X2872">
        <v>0.99414380000000002</v>
      </c>
      <c r="Y2872">
        <v>-5.5326059999999998E-3</v>
      </c>
      <c r="Z2872">
        <v>-1.4619050000000001E-3</v>
      </c>
      <c r="AA2872">
        <v>0.99998359999999997</v>
      </c>
      <c r="AB2872">
        <v>42</v>
      </c>
      <c r="AC2872">
        <v>-26.8218</v>
      </c>
      <c r="AD2872">
        <v>-1.1046393383940001</v>
      </c>
      <c r="AE2872">
        <v>0.73810000000003095</v>
      </c>
      <c r="AF2872">
        <v>-0.15056067431411499</v>
      </c>
      <c r="AG2872">
        <v>-1.1046393383940001</v>
      </c>
      <c r="AH2872">
        <v>26.7861309746378</v>
      </c>
      <c r="AI2872">
        <v>92.361458297243502</v>
      </c>
      <c r="AJ2872">
        <v>90.3220472699319</v>
      </c>
      <c r="AK2872">
        <v>26.8093213113467</v>
      </c>
      <c r="AL2872">
        <v>84.123641141037893</v>
      </c>
      <c r="AM2872">
        <v>91.992383418403804</v>
      </c>
      <c r="AN2872">
        <v>1.0000000195382199</v>
      </c>
    </row>
    <row r="2873" spans="1:40" x14ac:dyDescent="0.3">
      <c r="A2873" t="str">
        <f>"20200111150009957"</f>
        <v>20200111150009957</v>
      </c>
      <c r="B2873" t="str">
        <f>"1578726009948718"</f>
        <v>1578726009948718</v>
      </c>
      <c r="C2873" t="s">
        <v>40</v>
      </c>
      <c r="D2873">
        <v>3.9302959999999998</v>
      </c>
      <c r="E2873">
        <v>0.51280990000000004</v>
      </c>
      <c r="F2873" t="s">
        <v>66</v>
      </c>
      <c r="G2873">
        <v>-412.27809999999999</v>
      </c>
      <c r="H2873" s="1">
        <v>2.6998430000000001E-6</v>
      </c>
      <c r="I2873">
        <v>283.58699999999999</v>
      </c>
      <c r="J2873">
        <v>-385.55970000000002</v>
      </c>
      <c r="K2873">
        <v>1.1047149999999999</v>
      </c>
      <c r="L2873">
        <v>282.84160000000003</v>
      </c>
      <c r="M2873">
        <v>-0.99938559999999999</v>
      </c>
      <c r="N2873">
        <v>0</v>
      </c>
      <c r="O2873">
        <v>3.2686850000000003E-2</v>
      </c>
      <c r="P2873">
        <v>-0.99600670000000002</v>
      </c>
      <c r="Q2873">
        <v>8.9278910000000003E-2</v>
      </c>
      <c r="R2873">
        <v>-2.6371849999999998E-4</v>
      </c>
      <c r="S2873">
        <v>-3.0234380000000001</v>
      </c>
      <c r="T2873">
        <v>-0.1234854</v>
      </c>
      <c r="U2873">
        <v>8.4503170000000002E-2</v>
      </c>
      <c r="V2873">
        <v>-3.2908550000000002E-2</v>
      </c>
      <c r="W2873">
        <v>0.10184609999999999</v>
      </c>
      <c r="X2873">
        <v>0.99425569999999996</v>
      </c>
      <c r="Y2873">
        <v>-4.722024E-3</v>
      </c>
      <c r="Z2873">
        <v>-1.4303510000000001E-3</v>
      </c>
      <c r="AA2873">
        <v>0.99998779999999998</v>
      </c>
      <c r="AB2873">
        <v>42</v>
      </c>
      <c r="AC2873">
        <v>-26.7183999999999</v>
      </c>
      <c r="AD2873">
        <v>-1.1047123001569901</v>
      </c>
      <c r="AE2873">
        <v>0.74539999999996098</v>
      </c>
      <c r="AF2873">
        <v>-0.12818960547906699</v>
      </c>
      <c r="AG2873">
        <v>-1.1047123001569901</v>
      </c>
      <c r="AH2873">
        <v>26.682907420640301</v>
      </c>
      <c r="AI2873">
        <v>92.370749740231901</v>
      </c>
      <c r="AJ2873">
        <v>90.2752573679672</v>
      </c>
      <c r="AK2873">
        <v>26.706073658617999</v>
      </c>
      <c r="AL2873">
        <v>84.154512934347693</v>
      </c>
      <c r="AM2873">
        <v>91.895722532483106</v>
      </c>
      <c r="AN2873">
        <v>0.99999999886540103</v>
      </c>
    </row>
    <row r="2874" spans="1:40" x14ac:dyDescent="0.3">
      <c r="A2874" t="str">
        <f>"20200111150009972"</f>
        <v>20200111150009972</v>
      </c>
      <c r="B2874" t="str">
        <f>"1578726009969214"</f>
        <v>1578726009969214</v>
      </c>
      <c r="C2874" t="s">
        <v>40</v>
      </c>
      <c r="D2874">
        <v>3.917977</v>
      </c>
      <c r="E2874">
        <v>0.51274129999999996</v>
      </c>
      <c r="F2874" t="s">
        <v>66</v>
      </c>
      <c r="G2874">
        <v>-412.3741</v>
      </c>
      <c r="H2874" s="1">
        <v>2.714645E-6</v>
      </c>
      <c r="I2874">
        <v>283.61239999999998</v>
      </c>
      <c r="J2874">
        <v>-385.8417</v>
      </c>
      <c r="K2874">
        <v>1.1047739999999999</v>
      </c>
      <c r="L2874">
        <v>282.85050000000001</v>
      </c>
      <c r="M2874">
        <v>-0.99939860000000003</v>
      </c>
      <c r="N2874">
        <v>0</v>
      </c>
      <c r="O2874">
        <v>3.2285210000000002E-2</v>
      </c>
      <c r="P2874">
        <v>-0.99601980000000001</v>
      </c>
      <c r="Q2874">
        <v>8.9133119999999996E-2</v>
      </c>
      <c r="R2874" s="1">
        <v>4.9803409999999897E-5</v>
      </c>
      <c r="S2874">
        <v>-3.0232239999999999</v>
      </c>
      <c r="T2874">
        <v>-0.1245522</v>
      </c>
      <c r="U2874">
        <v>8.6914060000000001E-2</v>
      </c>
      <c r="V2874">
        <v>-3.2210219999999998E-2</v>
      </c>
      <c r="W2874">
        <v>0.1016966</v>
      </c>
      <c r="X2874">
        <v>0.99429389999999995</v>
      </c>
      <c r="Y2874">
        <v>-3.5221810000000001E-3</v>
      </c>
      <c r="Z2874">
        <v>-1.401551E-3</v>
      </c>
      <c r="AA2874">
        <v>0.99999280000000002</v>
      </c>
      <c r="AB2874">
        <v>42</v>
      </c>
      <c r="AC2874">
        <v>-26.532399999999999</v>
      </c>
      <c r="AD2874">
        <v>-1.104771285355</v>
      </c>
      <c r="AE2874">
        <v>0.76189999999996805</v>
      </c>
      <c r="AF2874">
        <v>-9.5005349503664002E-2</v>
      </c>
      <c r="AG2874">
        <v>-1.104771285355</v>
      </c>
      <c r="AH2874">
        <v>26.497264096909198</v>
      </c>
      <c r="AI2874">
        <v>92.387479887781694</v>
      </c>
      <c r="AJ2874">
        <v>90.205431859373206</v>
      </c>
      <c r="AK2874">
        <v>26.5204553171836</v>
      </c>
      <c r="AL2874">
        <v>84.163123531840199</v>
      </c>
      <c r="AM2874">
        <v>91.855451879140304</v>
      </c>
      <c r="AN2874">
        <v>1.0000000281506001</v>
      </c>
    </row>
    <row r="2875" spans="1:40" x14ac:dyDescent="0.3">
      <c r="A2875" t="str">
        <f>"20200111150009986"</f>
        <v>20200111150009986</v>
      </c>
      <c r="B2875" t="str">
        <f>"1578726009978974"</f>
        <v>1578726009978974</v>
      </c>
      <c r="C2875" t="s">
        <v>40</v>
      </c>
      <c r="D2875">
        <v>3.9376389999999999</v>
      </c>
      <c r="E2875">
        <v>0.51274129999999996</v>
      </c>
      <c r="F2875" t="s">
        <v>66</v>
      </c>
      <c r="G2875">
        <v>-412.71530000000001</v>
      </c>
      <c r="H2875" s="1">
        <v>2.7739639999999999E-6</v>
      </c>
      <c r="I2875">
        <v>283.62610000000001</v>
      </c>
      <c r="J2875">
        <v>-386.1071</v>
      </c>
      <c r="K2875">
        <v>1.1048209999999901</v>
      </c>
      <c r="L2875">
        <v>282.85879999999997</v>
      </c>
      <c r="M2875">
        <v>-0.99941120000000006</v>
      </c>
      <c r="N2875">
        <v>0</v>
      </c>
      <c r="O2875">
        <v>3.1892139999999999E-2</v>
      </c>
      <c r="P2875">
        <v>-0.99604870000000001</v>
      </c>
      <c r="Q2875">
        <v>8.8808960000000006E-2</v>
      </c>
      <c r="R2875">
        <v>4.7449990000000001E-4</v>
      </c>
      <c r="S2875">
        <v>-3.0231020000000002</v>
      </c>
      <c r="T2875">
        <v>-0.12427970000000001</v>
      </c>
      <c r="U2875">
        <v>8.7249759999999996E-2</v>
      </c>
      <c r="V2875">
        <v>-3.1407160000000003E-2</v>
      </c>
      <c r="W2875">
        <v>0.1013698</v>
      </c>
      <c r="X2875">
        <v>0.99435289999999998</v>
      </c>
      <c r="Y2875">
        <v>-3.0176500000000002E-3</v>
      </c>
      <c r="Z2875">
        <v>-1.3720360000000001E-3</v>
      </c>
      <c r="AA2875">
        <v>0.99999450000000001</v>
      </c>
      <c r="AB2875">
        <v>42</v>
      </c>
      <c r="AC2875">
        <v>-26.6082</v>
      </c>
      <c r="AD2875">
        <v>-1.10481822603599</v>
      </c>
      <c r="AE2875">
        <v>0.76730000000003395</v>
      </c>
      <c r="AF2875">
        <v>-8.1610188624037003E-2</v>
      </c>
      <c r="AG2875">
        <v>-1.10481822603599</v>
      </c>
      <c r="AH2875">
        <v>26.5733596528131</v>
      </c>
      <c r="AI2875">
        <v>92.3807560763521</v>
      </c>
      <c r="AJ2875">
        <v>90.175962118970901</v>
      </c>
      <c r="AK2875">
        <v>26.596441994620701</v>
      </c>
      <c r="AL2875">
        <v>84.181944707162103</v>
      </c>
      <c r="AM2875">
        <v>91.809115910641594</v>
      </c>
      <c r="AN2875">
        <v>0.99999996789485701</v>
      </c>
    </row>
    <row r="2876" spans="1:40" x14ac:dyDescent="0.3">
      <c r="A2876" t="str">
        <f>"20200111150010002"</f>
        <v>20200111150010002</v>
      </c>
      <c r="B2876" t="str">
        <f>"1578726009998495"</f>
        <v>1578726009998495</v>
      </c>
      <c r="C2876" t="s">
        <v>40</v>
      </c>
      <c r="D2876">
        <v>3.8472689999999998</v>
      </c>
      <c r="E2876">
        <v>0.51261769999999995</v>
      </c>
      <c r="F2876" t="s">
        <v>66</v>
      </c>
      <c r="G2876">
        <v>-412.76069999999999</v>
      </c>
      <c r="H2876" s="1">
        <v>2.780941E-6</v>
      </c>
      <c r="I2876">
        <v>283.63850000000002</v>
      </c>
      <c r="J2876">
        <v>-386.40780000000001</v>
      </c>
      <c r="K2876">
        <v>1.104865</v>
      </c>
      <c r="L2876">
        <v>282.86799999999999</v>
      </c>
      <c r="M2876">
        <v>-0.99942589999999998</v>
      </c>
      <c r="N2876">
        <v>0</v>
      </c>
      <c r="O2876">
        <v>3.1430359999999997E-2</v>
      </c>
      <c r="P2876">
        <v>-0.9960774</v>
      </c>
      <c r="Q2876">
        <v>8.8478329999999994E-2</v>
      </c>
      <c r="R2876">
        <v>1.2386980000000001E-3</v>
      </c>
      <c r="S2876">
        <v>-3.0230100000000002</v>
      </c>
      <c r="T2876">
        <v>-0.1253068</v>
      </c>
      <c r="U2876">
        <v>8.8439939999999995E-2</v>
      </c>
      <c r="V2876">
        <v>-3.0195779999999998E-2</v>
      </c>
      <c r="W2876">
        <v>0.10103719999999999</v>
      </c>
      <c r="X2876">
        <v>0.99442430000000004</v>
      </c>
      <c r="Y2876">
        <v>-2.1619899999999999E-3</v>
      </c>
      <c r="Z2876">
        <v>-1.3465560000000001E-3</v>
      </c>
      <c r="AA2876">
        <v>0.99999680000000002</v>
      </c>
      <c r="AB2876">
        <v>42</v>
      </c>
      <c r="AC2876">
        <v>-26.352899999999899</v>
      </c>
      <c r="AD2876">
        <v>-1.1048622190590001</v>
      </c>
      <c r="AE2876">
        <v>0.77050000000002605</v>
      </c>
      <c r="AF2876">
        <v>-5.8126052269433501E-2</v>
      </c>
      <c r="AG2876">
        <v>-1.1048622190590001</v>
      </c>
      <c r="AH2876">
        <v>26.317876161432601</v>
      </c>
      <c r="AI2876">
        <v>92.403941603802593</v>
      </c>
      <c r="AJ2876">
        <v>90.126544104061097</v>
      </c>
      <c r="AK2876">
        <v>26.341121935285098</v>
      </c>
      <c r="AL2876">
        <v>84.201099786199194</v>
      </c>
      <c r="AM2876">
        <v>91.739256884941994</v>
      </c>
      <c r="AN2876">
        <v>0.99999999467206901</v>
      </c>
    </row>
    <row r="2877" spans="1:40" x14ac:dyDescent="0.3">
      <c r="A2877" t="str">
        <f>"20200111150010024"</f>
        <v>20200111150010024</v>
      </c>
      <c r="B2877" t="str">
        <f>"1578726010018989"</f>
        <v>1578726010018989</v>
      </c>
      <c r="C2877" t="s">
        <v>40</v>
      </c>
      <c r="D2877">
        <v>3.8398720000000002</v>
      </c>
      <c r="E2877">
        <v>0.51248159999999998</v>
      </c>
      <c r="F2877" t="s">
        <v>66</v>
      </c>
      <c r="G2877">
        <v>-412.8578</v>
      </c>
      <c r="H2877" s="1">
        <v>2.797134E-6</v>
      </c>
      <c r="I2877">
        <v>283.65039999999999</v>
      </c>
      <c r="J2877">
        <v>-386.83850000000001</v>
      </c>
      <c r="K2877">
        <v>1.1049150000000001</v>
      </c>
      <c r="L2877">
        <v>282.88099999999997</v>
      </c>
      <c r="M2877">
        <v>-0.99944719999999998</v>
      </c>
      <c r="N2877">
        <v>0</v>
      </c>
      <c r="O2877">
        <v>3.0744299999999999E-2</v>
      </c>
      <c r="P2877">
        <v>-0.99609539999999996</v>
      </c>
      <c r="Q2877">
        <v>8.8275670000000001E-2</v>
      </c>
      <c r="R2877">
        <v>1.2919349999999999E-3</v>
      </c>
      <c r="S2877">
        <v>-3.0229490000000001</v>
      </c>
      <c r="T2877">
        <v>-0.12627369999999999</v>
      </c>
      <c r="U2877">
        <v>8.9416499999999996E-2</v>
      </c>
      <c r="V2877">
        <v>-2.94728E-2</v>
      </c>
      <c r="W2877">
        <v>0.1008309</v>
      </c>
      <c r="X2877">
        <v>0.99446699999999999</v>
      </c>
      <c r="Y2877">
        <v>-1.153219E-3</v>
      </c>
      <c r="Z2877">
        <v>-1.3072769999999999E-3</v>
      </c>
      <c r="AA2877">
        <v>0.99999850000000001</v>
      </c>
      <c r="AB2877">
        <v>42</v>
      </c>
      <c r="AC2877">
        <v>-26.019299999999902</v>
      </c>
      <c r="AD2877">
        <v>-1.1049122028659999</v>
      </c>
      <c r="AE2877">
        <v>0.76940000000001796</v>
      </c>
      <c r="AF2877">
        <v>-3.0917264597641402E-2</v>
      </c>
      <c r="AG2877">
        <v>-1.1049122028659999</v>
      </c>
      <c r="AH2877">
        <v>25.983839476722999</v>
      </c>
      <c r="AI2877">
        <v>92.434922879248802</v>
      </c>
      <c r="AJ2877">
        <v>90.0681742180996</v>
      </c>
      <c r="AK2877">
        <v>26.0073393642142</v>
      </c>
      <c r="AL2877">
        <v>84.212980989008003</v>
      </c>
      <c r="AM2877">
        <v>91.697565533688206</v>
      </c>
      <c r="AN2877">
        <v>1.0000000652118199</v>
      </c>
    </row>
    <row r="2878" spans="1:40" x14ac:dyDescent="0.3">
      <c r="A2878" t="str">
        <f>"20200111150010047"</f>
        <v>20200111150010047</v>
      </c>
      <c r="B2878" t="str">
        <f>"1578726010038510"</f>
        <v>1578726010038510</v>
      </c>
      <c r="C2878" t="s">
        <v>40</v>
      </c>
      <c r="D2878">
        <v>3.7874750000000001</v>
      </c>
      <c r="E2878">
        <v>0.51228850000000004</v>
      </c>
      <c r="F2878" t="s">
        <v>66</v>
      </c>
      <c r="G2878">
        <v>-413.23050000000001</v>
      </c>
      <c r="H2878" s="1">
        <v>2.8634189999999999E-6</v>
      </c>
      <c r="I2878">
        <v>283.64830000000001</v>
      </c>
      <c r="J2878">
        <v>-387.25009999999997</v>
      </c>
      <c r="K2878">
        <v>1.104951</v>
      </c>
      <c r="L2878">
        <v>282.8931</v>
      </c>
      <c r="M2878">
        <v>-0.99946760000000001</v>
      </c>
      <c r="N2878">
        <v>0</v>
      </c>
      <c r="O2878">
        <v>3.0074610000000002E-2</v>
      </c>
      <c r="P2878">
        <v>-0.99613739999999995</v>
      </c>
      <c r="Q2878">
        <v>8.7801950000000004E-2</v>
      </c>
      <c r="R2878">
        <v>1.2304200000000001E-3</v>
      </c>
      <c r="S2878">
        <v>-3.022888</v>
      </c>
      <c r="T2878">
        <v>-0.12655439999999901</v>
      </c>
      <c r="U2878">
        <v>8.7890629999999997E-2</v>
      </c>
      <c r="V2878">
        <v>-2.8878589999999999E-2</v>
      </c>
      <c r="W2878">
        <v>0.1003551</v>
      </c>
      <c r="X2878">
        <v>0.99453250000000004</v>
      </c>
      <c r="Y2878">
        <v>-9.8752030000000008E-4</v>
      </c>
      <c r="Z2878">
        <v>-1.278747E-3</v>
      </c>
      <c r="AA2878">
        <v>0.99999870000000002</v>
      </c>
      <c r="AB2878">
        <v>42</v>
      </c>
      <c r="AC2878">
        <v>-25.980399999999999</v>
      </c>
      <c r="AD2878">
        <v>-1.1049481365809899</v>
      </c>
      <c r="AE2878">
        <v>0.75520000000000198</v>
      </c>
      <c r="AF2878">
        <v>-2.6506686043026601E-2</v>
      </c>
      <c r="AG2878">
        <v>-1.1049481365809899</v>
      </c>
      <c r="AH2878">
        <v>25.944471308741399</v>
      </c>
      <c r="AI2878">
        <v>92.438692842026498</v>
      </c>
      <c r="AJ2878">
        <v>90.058537354361604</v>
      </c>
      <c r="AK2878">
        <v>25.968003475027501</v>
      </c>
      <c r="AL2878">
        <v>84.240380962664503</v>
      </c>
      <c r="AM2878">
        <v>91.663250340510302</v>
      </c>
      <c r="AN2878">
        <v>1.0000000063063199</v>
      </c>
    </row>
    <row r="2879" spans="1:40" x14ac:dyDescent="0.3">
      <c r="A2879" t="str">
        <f>"20200111150010068"</f>
        <v>20200111150010068</v>
      </c>
      <c r="B2879" t="str">
        <f>"1578726010059006"</f>
        <v>1578726010059006</v>
      </c>
      <c r="C2879" t="s">
        <v>40</v>
      </c>
      <c r="D2879">
        <v>3.76688</v>
      </c>
      <c r="E2879">
        <v>0.51225169999999998</v>
      </c>
      <c r="F2879" t="s">
        <v>66</v>
      </c>
      <c r="G2879">
        <v>-413.47550000000001</v>
      </c>
      <c r="H2879" s="1">
        <v>2.9077609999999999E-6</v>
      </c>
      <c r="I2879">
        <v>283.63810000000001</v>
      </c>
      <c r="J2879">
        <v>-387.66039999999998</v>
      </c>
      <c r="K2879">
        <v>1.104983</v>
      </c>
      <c r="L2879">
        <v>282.90480000000002</v>
      </c>
      <c r="M2879">
        <v>-0.99948769999999998</v>
      </c>
      <c r="N2879">
        <v>0</v>
      </c>
      <c r="O2879">
        <v>2.9399040000000001E-2</v>
      </c>
      <c r="P2879">
        <v>-0.99616369999999999</v>
      </c>
      <c r="Q2879">
        <v>8.7508230000000006E-2</v>
      </c>
      <c r="R2879">
        <v>5.990813E-4</v>
      </c>
      <c r="S2879">
        <v>-3.0227970000000002</v>
      </c>
      <c r="T2879">
        <v>-0.12735869999999999</v>
      </c>
      <c r="U2879">
        <v>8.5876460000000002E-2</v>
      </c>
      <c r="V2879">
        <v>-2.884484E-2</v>
      </c>
      <c r="W2879">
        <v>0.100059</v>
      </c>
      <c r="X2879">
        <v>0.99456330000000004</v>
      </c>
      <c r="Y2879">
        <v>-9.7674619999999998E-4</v>
      </c>
      <c r="Z2879">
        <v>-1.2582629999999999E-3</v>
      </c>
      <c r="AA2879">
        <v>0.99999870000000002</v>
      </c>
      <c r="AB2879">
        <v>42</v>
      </c>
      <c r="AC2879">
        <v>-25.815100000000001</v>
      </c>
      <c r="AD2879">
        <v>-1.1049800922390001</v>
      </c>
      <c r="AE2879">
        <v>0.73329999999998496</v>
      </c>
      <c r="AF2879">
        <v>-2.59693675282308E-2</v>
      </c>
      <c r="AG2879">
        <v>-1.1049800922390001</v>
      </c>
      <c r="AH2879">
        <v>25.7783081253848</v>
      </c>
      <c r="AI2879">
        <v>92.454464066462705</v>
      </c>
      <c r="AJ2879">
        <v>90.057720415373893</v>
      </c>
      <c r="AK2879">
        <v>25.801992659862002</v>
      </c>
      <c r="AL2879">
        <v>84.257431991144998</v>
      </c>
      <c r="AM2879">
        <v>91.661256194124405</v>
      </c>
      <c r="AN2879">
        <v>0.99999999299125697</v>
      </c>
    </row>
    <row r="2880" spans="1:40" x14ac:dyDescent="0.3">
      <c r="A2880" t="str">
        <f>"20200111150010082"</f>
        <v>20200111150010082</v>
      </c>
      <c r="B2880" t="str">
        <f>"1578726010078526"</f>
        <v>1578726010078526</v>
      </c>
      <c r="C2880" t="s">
        <v>40</v>
      </c>
      <c r="D2880">
        <v>3.750937</v>
      </c>
      <c r="E2880">
        <v>0.51216629999999996</v>
      </c>
      <c r="F2880" t="s">
        <v>66</v>
      </c>
      <c r="G2880">
        <v>-413.83240000000001</v>
      </c>
      <c r="H2880" s="1">
        <v>2.9717280000000002E-6</v>
      </c>
      <c r="I2880">
        <v>283.63069999999999</v>
      </c>
      <c r="J2880">
        <v>-387.90519999999998</v>
      </c>
      <c r="K2880">
        <v>1.104997</v>
      </c>
      <c r="L2880">
        <v>282.9117</v>
      </c>
      <c r="M2880">
        <v>-0.99949960000000004</v>
      </c>
      <c r="N2880">
        <v>0</v>
      </c>
      <c r="O2880">
        <v>2.899446E-2</v>
      </c>
      <c r="P2880">
        <v>-0.99617909999999998</v>
      </c>
      <c r="Q2880">
        <v>8.7336830000000004E-2</v>
      </c>
      <c r="R2880">
        <v>-1.7418309999999999E-4</v>
      </c>
      <c r="S2880">
        <v>-3.022675</v>
      </c>
      <c r="T2880">
        <v>-0.12761689999999901</v>
      </c>
      <c r="U2880">
        <v>8.3831790000000003E-2</v>
      </c>
      <c r="V2880">
        <v>-2.9219519999999999E-2</v>
      </c>
      <c r="W2880">
        <v>9.9884879999999995E-2</v>
      </c>
      <c r="X2880">
        <v>0.99456990000000001</v>
      </c>
      <c r="Y2880">
        <v>-1.246729E-3</v>
      </c>
      <c r="Z2880">
        <v>-1.2495099999999999E-3</v>
      </c>
      <c r="AA2880">
        <v>0.99999850000000001</v>
      </c>
      <c r="AB2880">
        <v>42</v>
      </c>
      <c r="AC2880">
        <v>-25.927199999999999</v>
      </c>
      <c r="AD2880">
        <v>-1.1049940282719899</v>
      </c>
      <c r="AE2880">
        <v>0.71899999999999398</v>
      </c>
      <c r="AF2880">
        <v>-3.3047616321947103E-2</v>
      </c>
      <c r="AG2880">
        <v>-1.1049940282719899</v>
      </c>
      <c r="AH2880">
        <v>25.890155994473702</v>
      </c>
      <c r="AI2880">
        <v>92.443903473545802</v>
      </c>
      <c r="AJ2880">
        <v>90.073135438436196</v>
      </c>
      <c r="AK2880">
        <v>25.913746957274299</v>
      </c>
      <c r="AL2880">
        <v>84.267458763082402</v>
      </c>
      <c r="AM2880">
        <v>91.6828115894711</v>
      </c>
      <c r="AN2880">
        <v>1.0000000277938199</v>
      </c>
    </row>
    <row r="2881" spans="1:40" x14ac:dyDescent="0.3">
      <c r="A2881" t="str">
        <f>"20200111150010094"</f>
        <v>20200111150010094</v>
      </c>
      <c r="B2881" t="str">
        <f>"1578726010089262"</f>
        <v>1578726010089262</v>
      </c>
      <c r="C2881" t="s">
        <v>40</v>
      </c>
      <c r="D2881">
        <v>3.7708870000000001</v>
      </c>
      <c r="E2881">
        <v>0.51217449999999998</v>
      </c>
      <c r="F2881" t="s">
        <v>66</v>
      </c>
      <c r="G2881">
        <v>-414.23579999999998</v>
      </c>
      <c r="H2881" s="1">
        <v>3.0445240000000001E-6</v>
      </c>
      <c r="I2881">
        <v>283.61649999999997</v>
      </c>
      <c r="J2881">
        <v>-388.14780000000002</v>
      </c>
      <c r="K2881">
        <v>1.10501</v>
      </c>
      <c r="L2881">
        <v>282.91849999999999</v>
      </c>
      <c r="M2881">
        <v>-0.99951109999999999</v>
      </c>
      <c r="N2881">
        <v>0</v>
      </c>
      <c r="O2881">
        <v>2.8592860000000001E-2</v>
      </c>
      <c r="P2881">
        <v>-0.99617219999999995</v>
      </c>
      <c r="Q2881">
        <v>8.7411489999999994E-2</v>
      </c>
      <c r="R2881">
        <v>-6.2936209999999999E-4</v>
      </c>
      <c r="S2881">
        <v>-3.022675</v>
      </c>
      <c r="T2881">
        <v>-0.12684989999999999</v>
      </c>
      <c r="U2881">
        <v>8.0902100000000005E-2</v>
      </c>
      <c r="V2881">
        <v>-2.9278129999999999E-2</v>
      </c>
      <c r="W2881">
        <v>9.9956039999999996E-2</v>
      </c>
      <c r="X2881">
        <v>0.99456100000000003</v>
      </c>
      <c r="Y2881">
        <v>-1.8136230000000001E-3</v>
      </c>
      <c r="Z2881">
        <v>-1.2370790000000001E-3</v>
      </c>
      <c r="AA2881">
        <v>0.99999760000000004</v>
      </c>
      <c r="AB2881">
        <v>42</v>
      </c>
      <c r="AC2881">
        <v>-26.087999999999901</v>
      </c>
      <c r="AD2881">
        <v>-1.105006955476</v>
      </c>
      <c r="AE2881">
        <v>0.69799999999997897</v>
      </c>
      <c r="AF2881">
        <v>-4.8189251462821402E-2</v>
      </c>
      <c r="AG2881">
        <v>-1.105006955476</v>
      </c>
      <c r="AH2881">
        <v>26.050587262491799</v>
      </c>
      <c r="AI2881">
        <v>92.428897100802004</v>
      </c>
      <c r="AJ2881">
        <v>90.105987536848104</v>
      </c>
      <c r="AK2881">
        <v>26.0740572081965</v>
      </c>
      <c r="AL2881">
        <v>84.263360932899801</v>
      </c>
      <c r="AM2881">
        <v>91.686200192293299</v>
      </c>
      <c r="AN2881">
        <v>1.0000000007748799</v>
      </c>
    </row>
    <row r="2882" spans="1:40" x14ac:dyDescent="0.3">
      <c r="A2882" t="str">
        <f>"20200111150010106"</f>
        <v>20200111150010106</v>
      </c>
      <c r="B2882" t="str">
        <f>"1578726010099022"</f>
        <v>1578726010099022</v>
      </c>
      <c r="C2882" t="s">
        <v>40</v>
      </c>
      <c r="D2882">
        <v>3.8028870000000001</v>
      </c>
      <c r="E2882">
        <v>0.51220429999999995</v>
      </c>
      <c r="F2882" t="s">
        <v>66</v>
      </c>
      <c r="G2882">
        <v>-414.61660000000001</v>
      </c>
      <c r="H2882" s="1">
        <v>3.1122640000000001E-6</v>
      </c>
      <c r="I2882">
        <v>283.61430000000001</v>
      </c>
      <c r="J2882">
        <v>-388.38310000000001</v>
      </c>
      <c r="K2882">
        <v>1.105024</v>
      </c>
      <c r="L2882">
        <v>282.92489999999998</v>
      </c>
      <c r="M2882">
        <v>-0.99952229999999997</v>
      </c>
      <c r="N2882">
        <v>0</v>
      </c>
      <c r="O2882">
        <v>2.8203329999999999E-2</v>
      </c>
      <c r="P2882">
        <v>-0.9961622</v>
      </c>
      <c r="Q2882">
        <v>8.7518250000000006E-2</v>
      </c>
      <c r="R2882">
        <v>-1.2076630000000001E-3</v>
      </c>
      <c r="S2882">
        <v>-3.0226440000000001</v>
      </c>
      <c r="T2882">
        <v>-0.12618770000000001</v>
      </c>
      <c r="U2882">
        <v>7.9467769999999993E-2</v>
      </c>
      <c r="V2882">
        <v>-2.9470840000000002E-2</v>
      </c>
      <c r="W2882">
        <v>0.10005799999999999</v>
      </c>
      <c r="X2882">
        <v>0.99454500000000001</v>
      </c>
      <c r="Y2882">
        <v>-1.898372E-3</v>
      </c>
      <c r="Z2882">
        <v>-1.216172E-3</v>
      </c>
      <c r="AA2882">
        <v>0.99999740000000004</v>
      </c>
      <c r="AB2882">
        <v>42</v>
      </c>
      <c r="AC2882">
        <v>-26.2334999999999</v>
      </c>
      <c r="AD2882">
        <v>-1.1050208877359999</v>
      </c>
      <c r="AE2882">
        <v>0.68940000000003399</v>
      </c>
      <c r="AF2882">
        <v>-5.0715519283921602E-2</v>
      </c>
      <c r="AG2882">
        <v>-1.1050208877359999</v>
      </c>
      <c r="AH2882">
        <v>26.196060010540901</v>
      </c>
      <c r="AI2882">
        <v>92.415454921122802</v>
      </c>
      <c r="AJ2882">
        <v>90.110924374858001</v>
      </c>
      <c r="AK2882">
        <v>26.2194050905449</v>
      </c>
      <c r="AL2882">
        <v>84.257489301696694</v>
      </c>
      <c r="AM2882">
        <v>91.697319658594694</v>
      </c>
      <c r="AN2882">
        <v>0.99999994539965098</v>
      </c>
    </row>
    <row r="2883" spans="1:40" x14ac:dyDescent="0.3">
      <c r="A2883" t="str">
        <f>"20200111150010122"</f>
        <v>20200111150010122</v>
      </c>
      <c r="B2883" t="str">
        <f>"1578726010118543"</f>
        <v>1578726010118543</v>
      </c>
      <c r="C2883" t="s">
        <v>40</v>
      </c>
      <c r="D2883">
        <v>3.8107790000000001</v>
      </c>
      <c r="E2883">
        <v>0.5122215</v>
      </c>
      <c r="F2883" t="s">
        <v>66</v>
      </c>
      <c r="G2883">
        <v>-414.88729999999998</v>
      </c>
      <c r="H2883" s="1">
        <v>3.16085E-6</v>
      </c>
      <c r="I2883">
        <v>283.6078</v>
      </c>
      <c r="J2883">
        <v>-388.66820000000001</v>
      </c>
      <c r="K2883">
        <v>1.10504</v>
      </c>
      <c r="L2883">
        <v>282.93259999999998</v>
      </c>
      <c r="M2883">
        <v>-0.99953550000000002</v>
      </c>
      <c r="N2883">
        <v>0</v>
      </c>
      <c r="O2883">
        <v>2.773107E-2</v>
      </c>
      <c r="P2883">
        <v>-0.99616579999999999</v>
      </c>
      <c r="Q2883">
        <v>8.7460629999999998E-2</v>
      </c>
      <c r="R2883">
        <v>-2.1063219999999999E-3</v>
      </c>
      <c r="S2883">
        <v>-3.0227659999999998</v>
      </c>
      <c r="T2883">
        <v>-0.12602579999999999</v>
      </c>
      <c r="U2883">
        <v>7.7880859999999996E-2</v>
      </c>
      <c r="V2883">
        <v>-2.9902580000000002E-2</v>
      </c>
      <c r="W2883">
        <v>9.9993509999999994E-2</v>
      </c>
      <c r="X2883">
        <v>0.9945387</v>
      </c>
      <c r="Y2883">
        <v>-1.9520130000000001E-3</v>
      </c>
      <c r="Z2883">
        <v>-1.1960219999999999E-3</v>
      </c>
      <c r="AA2883">
        <v>0.99999740000000004</v>
      </c>
      <c r="AB2883">
        <v>42</v>
      </c>
      <c r="AC2883">
        <v>-26.219099999999901</v>
      </c>
      <c r="AD2883">
        <v>-1.1050368391500001</v>
      </c>
      <c r="AE2883">
        <v>0.67520000000001701</v>
      </c>
      <c r="AF2883">
        <v>-5.2108997954310003E-2</v>
      </c>
      <c r="AG2883">
        <v>-1.1050368391500001</v>
      </c>
      <c r="AH2883">
        <v>26.181265423569101</v>
      </c>
      <c r="AI2883">
        <v>92.416852824457195</v>
      </c>
      <c r="AJ2883">
        <v>90.114036570301906</v>
      </c>
      <c r="AK2883">
        <v>26.204627090323601</v>
      </c>
      <c r="AL2883">
        <v>84.2612035107759</v>
      </c>
      <c r="AM2883">
        <v>91.7221809789486</v>
      </c>
      <c r="AN2883">
        <v>1.0000000460652301</v>
      </c>
    </row>
    <row r="2884" spans="1:40" x14ac:dyDescent="0.3">
      <c r="A2884" t="str">
        <f>"20200111150010136"</f>
        <v>20200111150010136</v>
      </c>
      <c r="B2884" t="str">
        <f>"1578726010129279"</f>
        <v>1578726010129279</v>
      </c>
      <c r="C2884" t="s">
        <v>40</v>
      </c>
      <c r="D2884">
        <v>3.8274270000000001</v>
      </c>
      <c r="E2884">
        <v>0.51223439999999998</v>
      </c>
      <c r="F2884" t="s">
        <v>66</v>
      </c>
      <c r="G2884">
        <v>-415.02249999999998</v>
      </c>
      <c r="H2884" s="1">
        <v>3.1862239999999999E-6</v>
      </c>
      <c r="I2884">
        <v>283.59190000000001</v>
      </c>
      <c r="J2884">
        <v>-388.93329999999997</v>
      </c>
      <c r="K2884">
        <v>1.1050469999999999</v>
      </c>
      <c r="L2884">
        <v>282.93959999999998</v>
      </c>
      <c r="M2884">
        <v>-0.99954759999999998</v>
      </c>
      <c r="N2884">
        <v>0</v>
      </c>
      <c r="O2884">
        <v>2.7291889999999999E-2</v>
      </c>
      <c r="P2884">
        <v>-0.996201</v>
      </c>
      <c r="Q2884">
        <v>8.7023299999999998E-2</v>
      </c>
      <c r="R2884">
        <v>-3.2474859999999999E-3</v>
      </c>
      <c r="S2884">
        <v>-3.0228269999999999</v>
      </c>
      <c r="T2884">
        <v>-0.126747</v>
      </c>
      <c r="U2884">
        <v>7.5622560000000005E-2</v>
      </c>
      <c r="V2884">
        <v>-3.060819E-2</v>
      </c>
      <c r="W2884">
        <v>9.954847E-2</v>
      </c>
      <c r="X2884">
        <v>0.9945619</v>
      </c>
      <c r="Y2884">
        <v>-2.2595660000000002E-3</v>
      </c>
      <c r="Z2884">
        <v>-1.190897E-3</v>
      </c>
      <c r="AA2884">
        <v>0.99999669999999896</v>
      </c>
      <c r="AB2884">
        <v>42</v>
      </c>
      <c r="AC2884">
        <v>-26.089200000000002</v>
      </c>
      <c r="AD2884">
        <v>-1.1050438137759999</v>
      </c>
      <c r="AE2884">
        <v>0.65230000000002497</v>
      </c>
      <c r="AF2884">
        <v>-5.9916045665528703E-2</v>
      </c>
      <c r="AG2884">
        <v>-1.1050438137759999</v>
      </c>
      <c r="AH2884">
        <v>26.050577169597702</v>
      </c>
      <c r="AI2884">
        <v>92.428976695298005</v>
      </c>
      <c r="AJ2884">
        <v>90.131779440665099</v>
      </c>
      <c r="AK2884">
        <v>26.074072996600702</v>
      </c>
      <c r="AL2884">
        <v>84.286830404786897</v>
      </c>
      <c r="AM2884">
        <v>91.762752776222996</v>
      </c>
      <c r="AN2884">
        <v>1.00000006605301</v>
      </c>
    </row>
    <row r="2885" spans="1:40" x14ac:dyDescent="0.3">
      <c r="A2885" t="str">
        <f>"20200111150010150"</f>
        <v>20200111150010150</v>
      </c>
      <c r="B2885" t="str">
        <f>"1578726010139038"</f>
        <v>1578726010139038</v>
      </c>
      <c r="C2885" t="s">
        <v>40</v>
      </c>
      <c r="D2885">
        <v>3.9257249999999999</v>
      </c>
      <c r="E2885">
        <v>0.51227929999999999</v>
      </c>
      <c r="F2885" t="s">
        <v>66</v>
      </c>
      <c r="G2885">
        <v>-414.9753</v>
      </c>
      <c r="H2885" s="1">
        <v>3.1803569999999999E-6</v>
      </c>
      <c r="I2885">
        <v>283.56319999999999</v>
      </c>
      <c r="J2885">
        <v>-389.18650000000002</v>
      </c>
      <c r="K2885">
        <v>1.105057</v>
      </c>
      <c r="L2885">
        <v>282.9461</v>
      </c>
      <c r="M2885">
        <v>-0.99955919999999998</v>
      </c>
      <c r="N2885">
        <v>0</v>
      </c>
      <c r="O2885">
        <v>2.6871929999999999E-2</v>
      </c>
      <c r="P2885">
        <v>-0.99622449999999996</v>
      </c>
      <c r="Q2885">
        <v>8.6729539999999994E-2</v>
      </c>
      <c r="R2885">
        <v>-3.904664E-3</v>
      </c>
      <c r="S2885">
        <v>-3.0229189999999999</v>
      </c>
      <c r="T2885">
        <v>-0.12827169999999999</v>
      </c>
      <c r="U2885">
        <v>7.2387699999999999E-2</v>
      </c>
      <c r="V2885">
        <v>-3.0849089999999999E-2</v>
      </c>
      <c r="W2885">
        <v>9.9248130000000004E-2</v>
      </c>
      <c r="X2885">
        <v>0.99458440000000004</v>
      </c>
      <c r="Y2885">
        <v>-2.9088080000000001E-3</v>
      </c>
      <c r="Z2885">
        <v>-1.201157E-3</v>
      </c>
      <c r="AA2885">
        <v>0.99999510000000003</v>
      </c>
      <c r="AB2885">
        <v>42</v>
      </c>
      <c r="AC2885">
        <v>-25.788799999999899</v>
      </c>
      <c r="AD2885">
        <v>-1.105053819643</v>
      </c>
      <c r="AE2885">
        <v>0.61709999999999299</v>
      </c>
      <c r="AF2885">
        <v>-7.6033386008844905E-2</v>
      </c>
      <c r="AG2885">
        <v>-1.105053819643</v>
      </c>
      <c r="AH2885">
        <v>25.748818520079901</v>
      </c>
      <c r="AI2885">
        <v>92.457425971120799</v>
      </c>
      <c r="AJ2885">
        <v>90.1691875475816</v>
      </c>
      <c r="AK2885">
        <v>25.772632387866501</v>
      </c>
      <c r="AL2885">
        <v>84.304123845661593</v>
      </c>
      <c r="AM2885">
        <v>91.776577398343406</v>
      </c>
      <c r="AN2885">
        <v>0.99999999319284205</v>
      </c>
    </row>
    <row r="2886" spans="1:40" x14ac:dyDescent="0.3">
      <c r="A2886" t="str">
        <f>"20200111150010165"</f>
        <v>20200111150010165</v>
      </c>
      <c r="B2886" t="str">
        <f>"1578726010158560"</f>
        <v>1578726010158560</v>
      </c>
      <c r="C2886" t="s">
        <v>40</v>
      </c>
      <c r="D2886">
        <v>3.8313570000000001</v>
      </c>
      <c r="E2886">
        <v>0.51238229999999996</v>
      </c>
      <c r="F2886" t="s">
        <v>66</v>
      </c>
      <c r="G2886">
        <v>-415.21559999999999</v>
      </c>
      <c r="H2886" s="1">
        <v>3.2235320000000002E-6</v>
      </c>
      <c r="I2886">
        <v>283.55689999999998</v>
      </c>
      <c r="J2886">
        <v>-389.4667</v>
      </c>
      <c r="K2886">
        <v>1.105064</v>
      </c>
      <c r="L2886">
        <v>282.95330000000001</v>
      </c>
      <c r="M2886">
        <v>-0.99957169999999895</v>
      </c>
      <c r="N2886">
        <v>0</v>
      </c>
      <c r="O2886">
        <v>2.640698E-2</v>
      </c>
      <c r="P2886">
        <v>-0.99624619999999997</v>
      </c>
      <c r="Q2886">
        <v>8.6441069999999995E-2</v>
      </c>
      <c r="R2886">
        <v>-4.6818659999999998E-3</v>
      </c>
      <c r="S2886">
        <v>-3.0228269999999999</v>
      </c>
      <c r="T2886">
        <v>-0.128333</v>
      </c>
      <c r="U2886">
        <v>7.0922849999999996E-2</v>
      </c>
      <c r="V2886">
        <v>-3.1165379999999999E-2</v>
      </c>
      <c r="W2886">
        <v>9.8952059999999994E-2</v>
      </c>
      <c r="X2886">
        <v>0.99460409999999999</v>
      </c>
      <c r="Y2886">
        <v>-2.9276189999999998E-3</v>
      </c>
      <c r="Z2886">
        <v>-1.182453E-3</v>
      </c>
      <c r="AA2886">
        <v>0.99999499999999997</v>
      </c>
      <c r="AB2886">
        <v>42</v>
      </c>
      <c r="AC2886">
        <v>-25.7488999999999</v>
      </c>
      <c r="AD2886">
        <v>-1.105060776468</v>
      </c>
      <c r="AE2886">
        <v>0.60359999999997105</v>
      </c>
      <c r="AF2886">
        <v>-7.6474526254449796E-2</v>
      </c>
      <c r="AG2886">
        <v>-1.105060776468</v>
      </c>
      <c r="AH2886">
        <v>25.7085344690224</v>
      </c>
      <c r="AI2886">
        <v>92.461287226102897</v>
      </c>
      <c r="AJ2886">
        <v>90.170435801231093</v>
      </c>
      <c r="AK2886">
        <v>25.732387223453799</v>
      </c>
      <c r="AL2886">
        <v>84.321171667110804</v>
      </c>
      <c r="AM2886">
        <v>91.794744938463893</v>
      </c>
      <c r="AN2886">
        <v>1.00000005341279</v>
      </c>
    </row>
    <row r="2887" spans="1:40" x14ac:dyDescent="0.3">
      <c r="A2887" t="str">
        <f>"20200111150010178"</f>
        <v>20200111150010178</v>
      </c>
      <c r="B2887" t="str">
        <f>"1578726010169296"</f>
        <v>1578726010169296</v>
      </c>
      <c r="C2887" t="s">
        <v>40</v>
      </c>
      <c r="D2887">
        <v>3.8708659999999999</v>
      </c>
      <c r="E2887">
        <v>0.51237390000000005</v>
      </c>
      <c r="F2887" t="s">
        <v>66</v>
      </c>
      <c r="G2887">
        <v>-415.38780000000003</v>
      </c>
      <c r="H2887" s="1">
        <v>3.254803E-6</v>
      </c>
      <c r="I2887">
        <v>283.54860000000002</v>
      </c>
      <c r="J2887">
        <v>-389.7278</v>
      </c>
      <c r="K2887">
        <v>1.1050709999999999</v>
      </c>
      <c r="L2887">
        <v>282.9599</v>
      </c>
      <c r="M2887">
        <v>-0.99958290000000005</v>
      </c>
      <c r="N2887">
        <v>0</v>
      </c>
      <c r="O2887">
        <v>2.5973699999999999E-2</v>
      </c>
      <c r="P2887">
        <v>-0.99626709999999996</v>
      </c>
      <c r="Q2887">
        <v>8.6164820000000003E-2</v>
      </c>
      <c r="R2887">
        <v>-5.2361250000000003E-3</v>
      </c>
      <c r="S2887">
        <v>-3.0227970000000002</v>
      </c>
      <c r="T2887">
        <v>-0.1288668</v>
      </c>
      <c r="U2887">
        <v>6.9427489999999994E-2</v>
      </c>
      <c r="V2887">
        <v>-3.1289570000000003E-2</v>
      </c>
      <c r="W2887">
        <v>9.86702E-2</v>
      </c>
      <c r="X2887">
        <v>0.99462810000000001</v>
      </c>
      <c r="Y2887">
        <v>-2.98847E-3</v>
      </c>
      <c r="Z2887">
        <v>-1.17023E-3</v>
      </c>
      <c r="AA2887">
        <v>0.99999490000000002</v>
      </c>
      <c r="AB2887">
        <v>42</v>
      </c>
      <c r="AC2887">
        <v>-25.66</v>
      </c>
      <c r="AD2887">
        <v>-1.1050677451969999</v>
      </c>
      <c r="AE2887">
        <v>0.58870000000001699</v>
      </c>
      <c r="AF2887">
        <v>-7.7892520076012106E-2</v>
      </c>
      <c r="AG2887">
        <v>-1.1050677451969999</v>
      </c>
      <c r="AH2887">
        <v>25.619143726458901</v>
      </c>
      <c r="AI2887">
        <v>92.469879642393707</v>
      </c>
      <c r="AJ2887">
        <v>90.174201720085705</v>
      </c>
      <c r="AK2887">
        <v>25.643084199119201</v>
      </c>
      <c r="AL2887">
        <v>84.337399895806101</v>
      </c>
      <c r="AM2887">
        <v>91.801848608785207</v>
      </c>
      <c r="AN2887">
        <v>0.99999995143421605</v>
      </c>
    </row>
    <row r="2888" spans="1:40" x14ac:dyDescent="0.3">
      <c r="A2888" t="str">
        <f>"20200111150010191"</f>
        <v>20200111150010191</v>
      </c>
      <c r="B2888" t="str">
        <f>"1578726010188815"</f>
        <v>1578726010188815</v>
      </c>
      <c r="C2888" t="s">
        <v>40</v>
      </c>
      <c r="D2888">
        <v>3.8818869999999999</v>
      </c>
      <c r="E2888">
        <v>0.5124012</v>
      </c>
      <c r="F2888" t="s">
        <v>66</v>
      </c>
      <c r="G2888">
        <v>-415.50470000000001</v>
      </c>
      <c r="H2888" s="1">
        <v>3.276426E-6</v>
      </c>
      <c r="I2888">
        <v>283.53840000000002</v>
      </c>
      <c r="J2888">
        <v>-389.9667</v>
      </c>
      <c r="K2888">
        <v>1.1050739999999999</v>
      </c>
      <c r="L2888">
        <v>282.96570000000003</v>
      </c>
      <c r="M2888">
        <v>-0.99959319999999896</v>
      </c>
      <c r="N2888">
        <v>0</v>
      </c>
      <c r="O2888">
        <v>2.557746E-2</v>
      </c>
      <c r="P2888">
        <v>-0.99631709999999996</v>
      </c>
      <c r="Q2888">
        <v>8.5558590000000004E-2</v>
      </c>
      <c r="R2888">
        <v>-5.6731969999999996E-3</v>
      </c>
      <c r="S2888">
        <v>-3.0227970000000002</v>
      </c>
      <c r="T2888">
        <v>-0.12958900000000001</v>
      </c>
      <c r="U2888">
        <v>6.7840579999999998E-2</v>
      </c>
      <c r="V2888">
        <v>-3.133321E-2</v>
      </c>
      <c r="W2888">
        <v>9.8059480000000004E-2</v>
      </c>
      <c r="X2888">
        <v>0.99468719999999999</v>
      </c>
      <c r="Y2888">
        <v>-3.1167310000000002E-3</v>
      </c>
      <c r="Z2888">
        <v>-1.162567E-3</v>
      </c>
      <c r="AA2888">
        <v>0.99999450000000001</v>
      </c>
      <c r="AB2888">
        <v>42</v>
      </c>
      <c r="AC2888">
        <v>-25.538</v>
      </c>
      <c r="AD2888">
        <v>-1.1050707235739901</v>
      </c>
      <c r="AE2888">
        <v>0.57269999999999699</v>
      </c>
      <c r="AF2888">
        <v>-8.0585760235035706E-2</v>
      </c>
      <c r="AG2888">
        <v>-1.1050707235739901</v>
      </c>
      <c r="AH2888">
        <v>25.496576472975899</v>
      </c>
      <c r="AI2888">
        <v>92.481743805301306</v>
      </c>
      <c r="AJ2888">
        <v>90.181091315549594</v>
      </c>
      <c r="AK2888">
        <v>25.520640415380601</v>
      </c>
      <c r="AL2888">
        <v>84.372562534993605</v>
      </c>
      <c r="AM2888">
        <v>91.804252875738499</v>
      </c>
      <c r="AN2888">
        <v>1.0000000287552999</v>
      </c>
    </row>
    <row r="2889" spans="1:40" x14ac:dyDescent="0.3">
      <c r="A2889" t="str">
        <f>"20200111150010204"</f>
        <v>20200111150010204</v>
      </c>
      <c r="B2889" t="str">
        <f>"1578726010198574"</f>
        <v>1578726010198574</v>
      </c>
      <c r="C2889" t="s">
        <v>40</v>
      </c>
      <c r="D2889">
        <v>3.8671820000000001</v>
      </c>
      <c r="E2889">
        <v>0.51236530000000002</v>
      </c>
      <c r="F2889" t="s">
        <v>66</v>
      </c>
      <c r="G2889">
        <v>-415.38889999999998</v>
      </c>
      <c r="H2889" s="1">
        <v>3.256818E-6</v>
      </c>
      <c r="I2889">
        <v>283.52780000000001</v>
      </c>
      <c r="J2889">
        <v>-390.2115</v>
      </c>
      <c r="K2889">
        <v>1.1050770000000001</v>
      </c>
      <c r="L2889">
        <v>282.9717</v>
      </c>
      <c r="M2889">
        <v>-0.99960360000000004</v>
      </c>
      <c r="N2889">
        <v>0</v>
      </c>
      <c r="O2889">
        <v>2.5171820000000001E-2</v>
      </c>
      <c r="P2889">
        <v>-0.99631979999999998</v>
      </c>
      <c r="Q2889">
        <v>8.5486969999999995E-2</v>
      </c>
      <c r="R2889">
        <v>-6.2348019999999898E-3</v>
      </c>
      <c r="S2889">
        <v>-3.0227659999999998</v>
      </c>
      <c r="T2889">
        <v>-0.13139579999999901</v>
      </c>
      <c r="U2889">
        <v>6.6833500000000004E-2</v>
      </c>
      <c r="V2889">
        <v>-3.1491390000000001E-2</v>
      </c>
      <c r="W2889">
        <v>9.7982130000000001E-2</v>
      </c>
      <c r="X2889">
        <v>0.99468979999999996</v>
      </c>
      <c r="Y2889">
        <v>-3.0434110000000002E-3</v>
      </c>
      <c r="Z2889">
        <v>-1.1595689999999901E-3</v>
      </c>
      <c r="AA2889">
        <v>0.99999470000000001</v>
      </c>
      <c r="AB2889">
        <v>42</v>
      </c>
      <c r="AC2889">
        <v>-25.177399999999899</v>
      </c>
      <c r="AD2889">
        <v>-1.1050737431819999</v>
      </c>
      <c r="AE2889">
        <v>0.55610000000001403</v>
      </c>
      <c r="AF2889">
        <v>-7.7737925845266898E-2</v>
      </c>
      <c r="AG2889">
        <v>-1.1050737431819999</v>
      </c>
      <c r="AH2889">
        <v>25.135022081591799</v>
      </c>
      <c r="AI2889">
        <v>92.517404219150706</v>
      </c>
      <c r="AJ2889">
        <v>90.177204573081795</v>
      </c>
      <c r="AK2889">
        <v>25.159423010178401</v>
      </c>
      <c r="AL2889">
        <v>84.377015656881795</v>
      </c>
      <c r="AM2889">
        <v>91.813350514913296</v>
      </c>
      <c r="AN2889">
        <v>1.00000000183375</v>
      </c>
    </row>
    <row r="2890" spans="1:40" x14ac:dyDescent="0.3">
      <c r="A2890" t="str">
        <f>"20200111150010217"</f>
        <v>20200111150010217</v>
      </c>
      <c r="B2890" t="str">
        <f>"1578726010209310"</f>
        <v>1578726010209310</v>
      </c>
      <c r="C2890" t="s">
        <v>40</v>
      </c>
      <c r="D2890">
        <v>3.7598500000000001</v>
      </c>
      <c r="E2890">
        <v>0.51238689999999998</v>
      </c>
      <c r="F2890" t="s">
        <v>66</v>
      </c>
      <c r="G2890">
        <v>-415.69490000000002</v>
      </c>
      <c r="H2890" s="1">
        <v>3.3118070000000002E-6</v>
      </c>
      <c r="I2890">
        <v>283.5197</v>
      </c>
      <c r="J2890">
        <v>-390.4579</v>
      </c>
      <c r="K2890">
        <v>1.105078</v>
      </c>
      <c r="L2890">
        <v>282.97750000000002</v>
      </c>
      <c r="M2890">
        <v>-0.9996138</v>
      </c>
      <c r="N2890">
        <v>0</v>
      </c>
      <c r="O2890">
        <v>2.476418E-2</v>
      </c>
      <c r="P2890">
        <v>-0.99633389999999999</v>
      </c>
      <c r="Q2890">
        <v>8.5253419999999996E-2</v>
      </c>
      <c r="R2890">
        <v>-7.121914E-3</v>
      </c>
      <c r="S2890">
        <v>-3.0227360000000001</v>
      </c>
      <c r="T2890">
        <v>-0.13107929999999901</v>
      </c>
      <c r="U2890">
        <v>6.5002439999999995E-2</v>
      </c>
      <c r="V2890">
        <v>-3.197262E-2</v>
      </c>
      <c r="W2890">
        <v>9.7741540000000002E-2</v>
      </c>
      <c r="X2890">
        <v>0.99469810000000003</v>
      </c>
      <c r="Y2890">
        <v>-3.241182E-3</v>
      </c>
      <c r="Z2890">
        <v>-1.143423E-3</v>
      </c>
      <c r="AA2890">
        <v>0.9999941</v>
      </c>
      <c r="AB2890">
        <v>42</v>
      </c>
      <c r="AC2890">
        <v>-25.236999999999998</v>
      </c>
      <c r="AD2890">
        <v>-1.105074688193</v>
      </c>
      <c r="AE2890">
        <v>0.54219999999997903</v>
      </c>
      <c r="AF2890">
        <v>-8.2830860842723994E-2</v>
      </c>
      <c r="AG2890">
        <v>-1.105074688193</v>
      </c>
      <c r="AH2890">
        <v>25.194402395494599</v>
      </c>
      <c r="AI2890">
        <v>92.511479178207196</v>
      </c>
      <c r="AJ2890">
        <v>90.188368891088203</v>
      </c>
      <c r="AK2890">
        <v>25.218762124341001</v>
      </c>
      <c r="AL2890">
        <v>84.390866831906607</v>
      </c>
      <c r="AM2890">
        <v>91.841026626086801</v>
      </c>
      <c r="AN2890">
        <v>0.99999998360742204</v>
      </c>
    </row>
    <row r="2891" spans="1:40" x14ac:dyDescent="0.3">
      <c r="A2891" t="str">
        <f>"20200111150010257"</f>
        <v>20200111150010257</v>
      </c>
      <c r="B2891" t="str">
        <f>"1578726010248351"</f>
        <v>1578726010248351</v>
      </c>
      <c r="C2891" t="s">
        <v>40</v>
      </c>
      <c r="D2891">
        <v>3.8252299999999999</v>
      </c>
      <c r="E2891">
        <v>0.51238689999999998</v>
      </c>
      <c r="F2891" t="s">
        <v>66</v>
      </c>
      <c r="G2891">
        <v>-415.86579999999998</v>
      </c>
      <c r="H2891" s="1">
        <v>3.3433549999999999E-6</v>
      </c>
      <c r="I2891">
        <v>283.50549999999998</v>
      </c>
      <c r="J2891">
        <v>-391.21640000000002</v>
      </c>
      <c r="K2891">
        <v>1.1050799999999901</v>
      </c>
      <c r="L2891">
        <v>282.995</v>
      </c>
      <c r="M2891">
        <v>-0.99964459999999999</v>
      </c>
      <c r="N2891">
        <v>0</v>
      </c>
      <c r="O2891">
        <v>2.351027E-2</v>
      </c>
      <c r="P2891">
        <v>-0.99635609999999997</v>
      </c>
      <c r="Q2891">
        <v>8.4884459999999995E-2</v>
      </c>
      <c r="R2891">
        <v>-8.3391279999999995E-3</v>
      </c>
      <c r="S2891">
        <v>-3.0227659999999998</v>
      </c>
      <c r="T2891">
        <v>-0.13147039999999999</v>
      </c>
      <c r="U2891">
        <v>6.2805180000000002E-2</v>
      </c>
      <c r="V2891">
        <v>-3.1942079999999998E-2</v>
      </c>
      <c r="W2891">
        <v>9.7347180000000005E-2</v>
      </c>
      <c r="X2891">
        <v>0.99473769999999995</v>
      </c>
      <c r="Y2891">
        <v>-2.7151160000000001E-3</v>
      </c>
      <c r="Z2891">
        <v>-1.0809070000000001E-3</v>
      </c>
      <c r="AA2891">
        <v>0.99999570000000004</v>
      </c>
      <c r="AB2891">
        <v>42</v>
      </c>
      <c r="AC2891">
        <v>-24.649399999999901</v>
      </c>
      <c r="AD2891">
        <v>-1.1050766566450001</v>
      </c>
      <c r="AE2891">
        <v>0.51049999999997897</v>
      </c>
      <c r="AF2891">
        <v>-6.9062198232810401E-2</v>
      </c>
      <c r="AG2891">
        <v>-1.1050766566450001</v>
      </c>
      <c r="AH2891">
        <v>24.6051562230641</v>
      </c>
      <c r="AI2891">
        <v>92.571552816415604</v>
      </c>
      <c r="AJ2891">
        <v>90.160818409584607</v>
      </c>
      <c r="AK2891">
        <v>24.630056369518901</v>
      </c>
      <c r="AL2891">
        <v>84.413569969089906</v>
      </c>
      <c r="AM2891">
        <v>91.839196130005007</v>
      </c>
      <c r="AN2891">
        <v>0.99999993086498196</v>
      </c>
    </row>
    <row r="2892" spans="1:40" x14ac:dyDescent="0.3">
      <c r="A2892" t="str">
        <f>"20200111150010269"</f>
        <v>20200111150010269</v>
      </c>
      <c r="B2892" t="str">
        <f>"1578726010259086"</f>
        <v>1578726010259086</v>
      </c>
      <c r="C2892" t="s">
        <v>40</v>
      </c>
      <c r="D2892">
        <v>3.8360620000000001</v>
      </c>
      <c r="E2892">
        <v>0.54122879999999995</v>
      </c>
      <c r="F2892" t="s">
        <v>66</v>
      </c>
      <c r="G2892">
        <v>-416.39350000000002</v>
      </c>
      <c r="H2892" s="1">
        <v>3.438809E-6</v>
      </c>
      <c r="I2892">
        <v>283.48430000000002</v>
      </c>
      <c r="J2892">
        <v>-391.43389999999999</v>
      </c>
      <c r="K2892">
        <v>1.1050819999999999</v>
      </c>
      <c r="L2892">
        <v>282.99979999999999</v>
      </c>
      <c r="M2892">
        <v>-0.99965289999999996</v>
      </c>
      <c r="N2892">
        <v>0</v>
      </c>
      <c r="O2892">
        <v>2.3151430000000001E-2</v>
      </c>
      <c r="P2892">
        <v>-0.99640099999999998</v>
      </c>
      <c r="Q2892">
        <v>8.4389569999999997E-2</v>
      </c>
      <c r="R2892">
        <v>-7.9844640000000001E-3</v>
      </c>
      <c r="S2892">
        <v>-3.0227360000000001</v>
      </c>
      <c r="T2892">
        <v>-0.1326746</v>
      </c>
      <c r="U2892">
        <v>5.8746340000000001E-2</v>
      </c>
      <c r="V2892">
        <v>-3.123068E-2</v>
      </c>
      <c r="W2892">
        <v>9.6847440000000007E-2</v>
      </c>
      <c r="X2892">
        <v>0.99480919999999895</v>
      </c>
      <c r="Y2892">
        <v>-3.6971109999999999E-3</v>
      </c>
      <c r="Z2892">
        <v>-1.0966280000000001E-3</v>
      </c>
      <c r="AA2892">
        <v>0.99999249999999995</v>
      </c>
      <c r="AB2892">
        <v>42</v>
      </c>
      <c r="AC2892">
        <v>-24.959599999999998</v>
      </c>
      <c r="AD2892">
        <v>-1.1050785611909999</v>
      </c>
      <c r="AE2892">
        <v>0.48450000000002502</v>
      </c>
      <c r="AF2892">
        <v>-9.3343088568006299E-2</v>
      </c>
      <c r="AG2892">
        <v>-1.1050785611909999</v>
      </c>
      <c r="AH2892">
        <v>24.9153049824208</v>
      </c>
      <c r="AI2892">
        <v>92.539580549251099</v>
      </c>
      <c r="AJ2892">
        <v>90.214652800919893</v>
      </c>
      <c r="AK2892">
        <v>24.939974617581999</v>
      </c>
      <c r="AL2892">
        <v>84.442339638357694</v>
      </c>
      <c r="AM2892">
        <v>91.798132398906304</v>
      </c>
      <c r="AN2892">
        <v>1.00000006320622</v>
      </c>
    </row>
    <row r="2893" spans="1:40" x14ac:dyDescent="0.3">
      <c r="A2893" t="str">
        <f>"20200111150010283"</f>
        <v>20200111150010283</v>
      </c>
      <c r="B2893" t="str">
        <f>"1578726010278606"</f>
        <v>1578726010278606</v>
      </c>
      <c r="C2893" t="s">
        <v>40</v>
      </c>
      <c r="D2893">
        <v>3.8635269999999999</v>
      </c>
      <c r="E2893">
        <v>0.54140959999999905</v>
      </c>
      <c r="F2893" t="s">
        <v>62</v>
      </c>
      <c r="G2893">
        <v>-462.46420000000001</v>
      </c>
      <c r="H2893">
        <v>8.0000509999999997E-2</v>
      </c>
      <c r="I2893">
        <v>289.9119</v>
      </c>
      <c r="J2893">
        <v>-391.68189999999998</v>
      </c>
      <c r="K2893">
        <v>1.1050819999999999</v>
      </c>
      <c r="L2893">
        <v>283.0052</v>
      </c>
      <c r="M2893">
        <v>-0.99966239999999995</v>
      </c>
      <c r="N2893">
        <v>0</v>
      </c>
      <c r="O2893">
        <v>2.274236E-2</v>
      </c>
      <c r="P2893">
        <v>-0.99642500000000001</v>
      </c>
      <c r="Q2893">
        <v>8.4055469999999993E-2</v>
      </c>
      <c r="R2893">
        <v>-8.4866830000000001E-3</v>
      </c>
      <c r="S2893">
        <v>-3.0169069999999998</v>
      </c>
      <c r="T2893">
        <v>-4.3538809999999997E-2</v>
      </c>
      <c r="U2893">
        <v>0.29357909999999998</v>
      </c>
      <c r="V2893">
        <v>-3.1325659999999998E-2</v>
      </c>
      <c r="W2893">
        <v>9.6504770000000004E-2</v>
      </c>
      <c r="X2893">
        <v>0.99483940000000004</v>
      </c>
      <c r="Y2893">
        <v>7.4186210000000002E-2</v>
      </c>
      <c r="Z2893">
        <v>2.066913E-4</v>
      </c>
      <c r="AA2893">
        <v>0.99724440000000003</v>
      </c>
      <c r="AB2893">
        <v>42</v>
      </c>
      <c r="AC2893">
        <v>-70.782300000000006</v>
      </c>
      <c r="AD2893">
        <v>-1.02508148999999</v>
      </c>
      <c r="AE2893">
        <v>6.9066999999999998</v>
      </c>
      <c r="AF2893">
        <v>5.2939298906998102</v>
      </c>
      <c r="AG2893">
        <v>-1.02508148999999</v>
      </c>
      <c r="AH2893">
        <v>70.906345802836199</v>
      </c>
      <c r="AI2893">
        <v>90.825959519633898</v>
      </c>
      <c r="AJ2893">
        <v>85.730168849296504</v>
      </c>
      <c r="AK2893">
        <v>71.111084655348705</v>
      </c>
      <c r="AL2893">
        <v>84.462064949799</v>
      </c>
      <c r="AM2893">
        <v>91.803542630069501</v>
      </c>
      <c r="AN2893">
        <v>0.99999994969977302</v>
      </c>
    </row>
    <row r="2894" spans="1:40" x14ac:dyDescent="0.3">
      <c r="A2894" t="str">
        <f>"20200111150010296"</f>
        <v>20200111150010296</v>
      </c>
      <c r="B2894" t="str">
        <f>"1578726010288366"</f>
        <v>1578726010288366</v>
      </c>
      <c r="C2894" t="s">
        <v>40</v>
      </c>
      <c r="D2894">
        <v>3.8998010000000001</v>
      </c>
      <c r="E2894">
        <v>0.54126039999999997</v>
      </c>
      <c r="F2894" t="s">
        <v>62</v>
      </c>
      <c r="G2894">
        <v>-456.52300000000002</v>
      </c>
      <c r="H2894" s="1">
        <v>1.729103E-6</v>
      </c>
      <c r="I2894">
        <v>289.31420000000003</v>
      </c>
      <c r="J2894">
        <v>-391.94319999999999</v>
      </c>
      <c r="K2894">
        <v>1.105081</v>
      </c>
      <c r="L2894">
        <v>283.01080000000002</v>
      </c>
      <c r="M2894">
        <v>-0.99967229999999996</v>
      </c>
      <c r="N2894">
        <v>0</v>
      </c>
      <c r="O2894">
        <v>2.2311230000000001E-2</v>
      </c>
      <c r="P2894">
        <v>-0.99644940000000004</v>
      </c>
      <c r="Q2894">
        <v>8.3709489999999998E-2</v>
      </c>
      <c r="R2894">
        <v>-9.0183829999999996E-3</v>
      </c>
      <c r="S2894">
        <v>-3.0176090000000002</v>
      </c>
      <c r="T2894">
        <v>-5.1428790000000002E-2</v>
      </c>
      <c r="U2894">
        <v>0.29360960000000003</v>
      </c>
      <c r="V2894">
        <v>-3.1427789999999997E-2</v>
      </c>
      <c r="W2894">
        <v>9.615071E-2</v>
      </c>
      <c r="X2894">
        <v>0.99487049999999999</v>
      </c>
      <c r="Y2894">
        <v>7.4601719999999996E-2</v>
      </c>
      <c r="Z2894">
        <v>2.5494290000000001E-4</v>
      </c>
      <c r="AA2894">
        <v>0.99721340000000003</v>
      </c>
      <c r="AB2894">
        <v>42</v>
      </c>
      <c r="AC2894">
        <v>-64.579800000000006</v>
      </c>
      <c r="AD2894">
        <v>-1.1050792708970001</v>
      </c>
      <c r="AE2894">
        <v>6.3034000000000097</v>
      </c>
      <c r="AF2894">
        <v>4.8594529236491404</v>
      </c>
      <c r="AG2894">
        <v>-1.1050792708970001</v>
      </c>
      <c r="AH2894">
        <v>64.685607353691594</v>
      </c>
      <c r="AI2894">
        <v>90.975987690520995</v>
      </c>
      <c r="AJ2894">
        <v>85.703771797229805</v>
      </c>
      <c r="AK2894">
        <v>64.877294037498899</v>
      </c>
      <c r="AL2894">
        <v>84.482446086800707</v>
      </c>
      <c r="AM2894">
        <v>91.8093622318532</v>
      </c>
      <c r="AN2894">
        <v>0.99999998839401905</v>
      </c>
    </row>
    <row r="2895" spans="1:40" x14ac:dyDescent="0.3">
      <c r="A2895" t="str">
        <f>"20200111150010428"</f>
        <v>20200111150010428</v>
      </c>
      <c r="B2895" t="str">
        <f>"1578726010418772"</f>
        <v>1578726010418772</v>
      </c>
      <c r="C2895" t="s">
        <v>40</v>
      </c>
      <c r="D2895">
        <v>3.9462860000000002</v>
      </c>
      <c r="E2895">
        <v>0.54023999999999905</v>
      </c>
      <c r="F2895" t="s">
        <v>62</v>
      </c>
      <c r="G2895">
        <v>-451.82440000000003</v>
      </c>
      <c r="H2895" s="1">
        <v>-7.482228E-7</v>
      </c>
      <c r="I2895">
        <v>288.78620000000001</v>
      </c>
      <c r="J2895">
        <v>-394.41759999999999</v>
      </c>
      <c r="K2895">
        <v>1.1050799999999901</v>
      </c>
      <c r="L2895">
        <v>283.0582</v>
      </c>
      <c r="M2895">
        <v>-0.99975570000000002</v>
      </c>
      <c r="N2895">
        <v>0</v>
      </c>
      <c r="O2895">
        <v>1.823251E-2</v>
      </c>
      <c r="P2895">
        <v>-0.99633289999999997</v>
      </c>
      <c r="Q2895">
        <v>8.4178340000000004E-2</v>
      </c>
      <c r="R2895">
        <v>-1.532233E-2</v>
      </c>
      <c r="S2895">
        <v>-3.018005</v>
      </c>
      <c r="T2895">
        <v>-5.5696009999999997E-2</v>
      </c>
      <c r="U2895">
        <v>0.29107670000000002</v>
      </c>
      <c r="V2895">
        <v>-3.36674E-2</v>
      </c>
      <c r="W2895">
        <v>9.6556030000000001E-2</v>
      </c>
      <c r="X2895">
        <v>0.99475800000000003</v>
      </c>
      <c r="Y2895">
        <v>7.7825500000000006E-2</v>
      </c>
      <c r="Z2895">
        <v>3.8079079999999999E-4</v>
      </c>
      <c r="AA2895">
        <v>0.99696689999999999</v>
      </c>
      <c r="AB2895">
        <v>42</v>
      </c>
      <c r="AC2895">
        <v>-57.406799999999997</v>
      </c>
      <c r="AD2895">
        <v>-1.10508074822279</v>
      </c>
      <c r="AE2895">
        <v>5.7279999999999998</v>
      </c>
      <c r="AF2895">
        <v>4.6785793279169301</v>
      </c>
      <c r="AG2895">
        <v>-1.10508074822279</v>
      </c>
      <c r="AH2895">
        <v>57.480609794506599</v>
      </c>
      <c r="AI2895">
        <v>91.097762215729205</v>
      </c>
      <c r="AJ2895">
        <v>85.346722637638607</v>
      </c>
      <c r="AK2895">
        <v>57.681286483018297</v>
      </c>
      <c r="AL2895">
        <v>84.459114576886293</v>
      </c>
      <c r="AM2895">
        <v>91.938425119323199</v>
      </c>
      <c r="AN2895">
        <v>1.0000000196580601</v>
      </c>
    </row>
    <row r="2896" spans="1:40" x14ac:dyDescent="0.3">
      <c r="A2896" t="str">
        <f>"20200111150010441"</f>
        <v>20200111150010441</v>
      </c>
      <c r="B2896" t="str">
        <f>"1578726010439254"</f>
        <v>1578726010439254</v>
      </c>
      <c r="C2896" t="s">
        <v>40</v>
      </c>
      <c r="D2896">
        <v>3.9772630000000002</v>
      </c>
      <c r="E2896">
        <v>0.53913719999999998</v>
      </c>
      <c r="F2896" t="s">
        <v>62</v>
      </c>
      <c r="G2896">
        <v>-451.27330000000001</v>
      </c>
      <c r="H2896" s="1">
        <v>-1.0082970000000001E-6</v>
      </c>
      <c r="I2896">
        <v>288.02730000000003</v>
      </c>
      <c r="J2896">
        <v>-394.6592</v>
      </c>
      <c r="K2896">
        <v>1.105083</v>
      </c>
      <c r="L2896">
        <v>283.06229999999999</v>
      </c>
      <c r="M2896">
        <v>-0.99976299999999996</v>
      </c>
      <c r="N2896">
        <v>0</v>
      </c>
      <c r="O2896">
        <v>1.783409E-2</v>
      </c>
      <c r="P2896">
        <v>-0.99632010000000004</v>
      </c>
      <c r="Q2896">
        <v>8.4263519999999995E-2</v>
      </c>
      <c r="R2896">
        <v>-1.5691119999999999E-2</v>
      </c>
      <c r="S2896">
        <v>-3.0200499999999999</v>
      </c>
      <c r="T2896">
        <v>-5.869949E-2</v>
      </c>
      <c r="U2896">
        <v>0.26394649999999997</v>
      </c>
      <c r="V2896">
        <v>-3.3639139999999998E-2</v>
      </c>
      <c r="W2896">
        <v>9.663766E-2</v>
      </c>
      <c r="X2896">
        <v>0.99475100000000005</v>
      </c>
      <c r="Y2896">
        <v>6.9274920000000004E-2</v>
      </c>
      <c r="Z2896">
        <v>3.2600249999999999E-4</v>
      </c>
      <c r="AA2896">
        <v>0.99759759999999997</v>
      </c>
      <c r="AB2896">
        <v>42</v>
      </c>
      <c r="AC2896">
        <v>-56.614100000000001</v>
      </c>
      <c r="AD2896">
        <v>-1.1050840082969999</v>
      </c>
      <c r="AE2896">
        <v>4.9650000000000301</v>
      </c>
      <c r="AF2896">
        <v>3.95297593649516</v>
      </c>
      <c r="AG2896">
        <v>-1.1050840082969999</v>
      </c>
      <c r="AH2896">
        <v>56.672219722445199</v>
      </c>
      <c r="AI2896">
        <v>91.114394638382393</v>
      </c>
      <c r="AJ2896">
        <v>86.009992254928207</v>
      </c>
      <c r="AK2896">
        <v>56.820662770589102</v>
      </c>
      <c r="AL2896">
        <v>84.454415385904497</v>
      </c>
      <c r="AM2896">
        <v>91.936812887688504</v>
      </c>
      <c r="AN2896">
        <v>0.99999999053560695</v>
      </c>
    </row>
    <row r="2897" spans="1:40" x14ac:dyDescent="0.3">
      <c r="A2897" t="str">
        <f>"20200111150010453"</f>
        <v>20200111150010453</v>
      </c>
      <c r="B2897" t="str">
        <f>"1578726010449013"</f>
        <v>1578726010449013</v>
      </c>
      <c r="C2897" t="s">
        <v>40</v>
      </c>
      <c r="D2897">
        <v>4.0116639999999997</v>
      </c>
      <c r="E2897">
        <v>0.53864969999999901</v>
      </c>
      <c r="F2897" t="s">
        <v>62</v>
      </c>
      <c r="G2897">
        <v>-448.5761</v>
      </c>
      <c r="H2897" s="1">
        <v>2.8968060000000001E-6</v>
      </c>
      <c r="I2897">
        <v>287.59480000000002</v>
      </c>
      <c r="J2897">
        <v>-394.8954</v>
      </c>
      <c r="K2897">
        <v>1.105084</v>
      </c>
      <c r="L2897">
        <v>283.06619999999998</v>
      </c>
      <c r="M2897">
        <v>-0.99976989999999999</v>
      </c>
      <c r="N2897">
        <v>0</v>
      </c>
      <c r="O2897">
        <v>1.7444669999999999E-2</v>
      </c>
      <c r="P2897">
        <v>-0.99628220000000001</v>
      </c>
      <c r="Q2897">
        <v>8.4649470000000004E-2</v>
      </c>
      <c r="R2897">
        <v>-1.6014609999999999E-2</v>
      </c>
      <c r="S2897">
        <v>-3.0203549999999999</v>
      </c>
      <c r="T2897">
        <v>-6.1905149999999999E-2</v>
      </c>
      <c r="U2897">
        <v>0.25390629999999997</v>
      </c>
      <c r="V2897">
        <v>-3.3574800000000002E-2</v>
      </c>
      <c r="W2897">
        <v>9.7020190000000006E-2</v>
      </c>
      <c r="X2897">
        <v>0.99471589999999999</v>
      </c>
      <c r="Y2897">
        <v>6.6361899999999904E-2</v>
      </c>
      <c r="Z2897">
        <v>3.2197999999999998E-4</v>
      </c>
      <c r="AA2897">
        <v>0.9977956</v>
      </c>
      <c r="AB2897">
        <v>42</v>
      </c>
      <c r="AC2897">
        <v>-53.680700000000002</v>
      </c>
      <c r="AD2897">
        <v>-1.105081103194</v>
      </c>
      <c r="AE2897">
        <v>4.5286000000000399</v>
      </c>
      <c r="AF2897">
        <v>3.5898850968109999</v>
      </c>
      <c r="AG2897">
        <v>-1.105081103194</v>
      </c>
      <c r="AH2897">
        <v>53.728927289898301</v>
      </c>
      <c r="AI2897">
        <v>91.175656433029602</v>
      </c>
      <c r="AJ2897">
        <v>86.177477973318602</v>
      </c>
      <c r="AK2897">
        <v>53.860060406354201</v>
      </c>
      <c r="AL2897">
        <v>84.432394346856299</v>
      </c>
      <c r="AM2897">
        <v>91.933179411026302</v>
      </c>
      <c r="AN2897">
        <v>0.99999995308774103</v>
      </c>
    </row>
    <row r="2898" spans="1:40" x14ac:dyDescent="0.3">
      <c r="A2898" t="str">
        <f>"20200111150010466"</f>
        <v>20200111150010466</v>
      </c>
      <c r="B2898" t="str">
        <f>"1578726010458773"</f>
        <v>1578726010458773</v>
      </c>
      <c r="C2898" t="s">
        <v>40</v>
      </c>
      <c r="D2898">
        <v>3.9830169999999998</v>
      </c>
      <c r="E2898">
        <v>0.53824169999999905</v>
      </c>
      <c r="F2898" t="s">
        <v>62</v>
      </c>
      <c r="G2898">
        <v>-448.44709999999998</v>
      </c>
      <c r="H2898" s="1">
        <v>2.8330630000000001E-6</v>
      </c>
      <c r="I2898">
        <v>287.48289999999997</v>
      </c>
      <c r="J2898">
        <v>-395.14260000000002</v>
      </c>
      <c r="K2898">
        <v>1.1050879999999901</v>
      </c>
      <c r="L2898">
        <v>283.0702</v>
      </c>
      <c r="M2898">
        <v>-0.99977680000000002</v>
      </c>
      <c r="N2898">
        <v>0</v>
      </c>
      <c r="O2898">
        <v>1.7037070000000001E-2</v>
      </c>
      <c r="P2898">
        <v>-0.99626610000000004</v>
      </c>
      <c r="Q2898">
        <v>8.4743120000000005E-2</v>
      </c>
      <c r="R2898">
        <v>-1.6505559999999999E-2</v>
      </c>
      <c r="S2898">
        <v>-3.0204770000000001</v>
      </c>
      <c r="T2898">
        <v>-6.232977E-2</v>
      </c>
      <c r="U2898">
        <v>0.249115</v>
      </c>
      <c r="V2898">
        <v>-3.3659399999999999E-2</v>
      </c>
      <c r="W2898">
        <v>9.7110360000000007E-2</v>
      </c>
      <c r="X2898">
        <v>0.99470429999999999</v>
      </c>
      <c r="Y2898">
        <v>6.5193429999999997E-2</v>
      </c>
      <c r="Z2898">
        <v>3.2055350000000001E-4</v>
      </c>
      <c r="AA2898">
        <v>0.9978726</v>
      </c>
      <c r="AB2898">
        <v>42</v>
      </c>
      <c r="AC2898">
        <v>-53.304499999999898</v>
      </c>
      <c r="AD2898">
        <v>-1.1050851669370001</v>
      </c>
      <c r="AE2898">
        <v>4.4126999999999699</v>
      </c>
      <c r="AF2898">
        <v>3.5023410009983502</v>
      </c>
      <c r="AG2898">
        <v>-1.1050851669370001</v>
      </c>
      <c r="AH2898">
        <v>53.349174179324798</v>
      </c>
      <c r="AI2898">
        <v>91.1841180026681</v>
      </c>
      <c r="AJ2898">
        <v>86.243956545421199</v>
      </c>
      <c r="AK2898">
        <v>53.475433531009401</v>
      </c>
      <c r="AL2898">
        <v>84.4272037977873</v>
      </c>
      <c r="AM2898">
        <v>91.938069407732598</v>
      </c>
      <c r="AN2898">
        <v>1.00000001083308</v>
      </c>
    </row>
    <row r="2899" spans="1:40" x14ac:dyDescent="0.3">
      <c r="A2899" t="str">
        <f>"20200111150010479"</f>
        <v>20200111150010479</v>
      </c>
      <c r="B2899" t="str">
        <f>"1578726010468533"</f>
        <v>1578726010468533</v>
      </c>
      <c r="C2899" t="s">
        <v>40</v>
      </c>
      <c r="D2899">
        <v>4.0188649999999999</v>
      </c>
      <c r="E2899">
        <v>0.53811540000000002</v>
      </c>
      <c r="F2899" t="s">
        <v>62</v>
      </c>
      <c r="G2899">
        <v>-448.1875</v>
      </c>
      <c r="H2899" s="1">
        <v>2.7001900000000001E-6</v>
      </c>
      <c r="I2899">
        <v>287.3612</v>
      </c>
      <c r="J2899">
        <v>-395.38310000000001</v>
      </c>
      <c r="K2899">
        <v>1.1050899999999999</v>
      </c>
      <c r="L2899">
        <v>283.07400000000001</v>
      </c>
      <c r="M2899">
        <v>-0.9997838</v>
      </c>
      <c r="N2899">
        <v>0</v>
      </c>
      <c r="O2899">
        <v>1.664032E-2</v>
      </c>
      <c r="P2899">
        <v>-0.9962337</v>
      </c>
      <c r="Q2899">
        <v>8.5044789999999995E-2</v>
      </c>
      <c r="R2899">
        <v>-1.691693E-2</v>
      </c>
      <c r="S2899">
        <v>-3.0206599999999999</v>
      </c>
      <c r="T2899">
        <v>-6.2929509999999994E-2</v>
      </c>
      <c r="U2899">
        <v>0.24435419999999999</v>
      </c>
      <c r="V2899">
        <v>-3.3675499999999997E-2</v>
      </c>
      <c r="W2899">
        <v>9.7407919999999995E-2</v>
      </c>
      <c r="X2899">
        <v>0.99467459999999996</v>
      </c>
      <c r="Y2899">
        <v>6.4022129999999997E-2</v>
      </c>
      <c r="Z2899">
        <v>3.1970579999999999E-4</v>
      </c>
      <c r="AA2899">
        <v>0.99794839999999996</v>
      </c>
      <c r="AB2899">
        <v>42</v>
      </c>
      <c r="AC2899">
        <v>-52.804400000000001</v>
      </c>
      <c r="AD2899">
        <v>-1.1050872998100001</v>
      </c>
      <c r="AE2899">
        <v>4.2871999999999799</v>
      </c>
      <c r="AF2899">
        <v>3.4063737360661999</v>
      </c>
      <c r="AG2899">
        <v>-1.1050872998100001</v>
      </c>
      <c r="AH2899">
        <v>52.845439902225102</v>
      </c>
      <c r="AI2899">
        <v>91.195496466025702</v>
      </c>
      <c r="AJ2899">
        <v>86.311863425209495</v>
      </c>
      <c r="AK2899">
        <v>52.966641562682199</v>
      </c>
      <c r="AL2899">
        <v>84.4100733179651</v>
      </c>
      <c r="AM2899">
        <v>91.939053571989305</v>
      </c>
      <c r="AN2899">
        <v>0.99999995103206696</v>
      </c>
    </row>
    <row r="2900" spans="1:40" x14ac:dyDescent="0.3">
      <c r="A2900" t="str">
        <f>"20200111150010493"</f>
        <v>20200111150010493</v>
      </c>
      <c r="B2900" t="str">
        <f>"1578726010489029"</f>
        <v>1578726010489029</v>
      </c>
      <c r="C2900" t="s">
        <v>40</v>
      </c>
      <c r="D2900">
        <v>3.9639069999999998</v>
      </c>
      <c r="E2900">
        <v>0.5374544</v>
      </c>
      <c r="F2900" t="s">
        <v>62</v>
      </c>
      <c r="G2900">
        <v>-448.35640000000001</v>
      </c>
      <c r="H2900" s="1">
        <v>2.791819E-6</v>
      </c>
      <c r="I2900">
        <v>287.32209999999998</v>
      </c>
      <c r="J2900">
        <v>-395.63920000000002</v>
      </c>
      <c r="K2900">
        <v>1.1050930000000001</v>
      </c>
      <c r="L2900">
        <v>283.0779</v>
      </c>
      <c r="M2900">
        <v>-0.99979070000000003</v>
      </c>
      <c r="N2900">
        <v>0</v>
      </c>
      <c r="O2900">
        <v>1.6218170000000001E-2</v>
      </c>
      <c r="P2900">
        <v>-0.99617849999999997</v>
      </c>
      <c r="Q2900">
        <v>8.5602929999999994E-2</v>
      </c>
      <c r="R2900">
        <v>-1.7342400000000001E-2</v>
      </c>
      <c r="S2900">
        <v>-3.020813</v>
      </c>
      <c r="T2900">
        <v>-6.3017729999999994E-2</v>
      </c>
      <c r="U2900">
        <v>0.24224850000000001</v>
      </c>
      <c r="V2900">
        <v>-3.3680769999999999E-2</v>
      </c>
      <c r="W2900">
        <v>9.7963149999999999E-2</v>
      </c>
      <c r="X2900">
        <v>0.99461999999999995</v>
      </c>
      <c r="Y2900">
        <v>6.3748230000000003E-2</v>
      </c>
      <c r="Z2900">
        <v>3.2608239999999997E-4</v>
      </c>
      <c r="AA2900">
        <v>0.99796589999999996</v>
      </c>
      <c r="AB2900">
        <v>42</v>
      </c>
      <c r="AC2900">
        <v>-52.717199999999899</v>
      </c>
      <c r="AD2900">
        <v>-1.1050902081809999</v>
      </c>
      <c r="AE2900">
        <v>4.24419999999997</v>
      </c>
      <c r="AF2900">
        <v>3.3871198766332098</v>
      </c>
      <c r="AG2900">
        <v>-1.1050902081809999</v>
      </c>
      <c r="AH2900">
        <v>52.756070535231103</v>
      </c>
      <c r="AI2900">
        <v>91.197543828721194</v>
      </c>
      <c r="AJ2900">
        <v>86.326457312377997</v>
      </c>
      <c r="AK2900">
        <v>52.876240257276102</v>
      </c>
      <c r="AL2900">
        <v>84.378108708582999</v>
      </c>
      <c r="AM2900">
        <v>91.939463170088302</v>
      </c>
      <c r="AN2900">
        <v>1.0000000587128499</v>
      </c>
    </row>
    <row r="2901" spans="1:40" x14ac:dyDescent="0.3">
      <c r="A2901" t="str">
        <f>"20200111150010506"</f>
        <v>20200111150010506</v>
      </c>
      <c r="B2901" t="str">
        <f>"1578726010498789"</f>
        <v>1578726010498789</v>
      </c>
      <c r="C2901" t="s">
        <v>40</v>
      </c>
      <c r="D2901">
        <v>4.2107140000000003</v>
      </c>
      <c r="E2901">
        <v>0.5374544</v>
      </c>
      <c r="F2901" t="s">
        <v>62</v>
      </c>
      <c r="G2901">
        <v>-446.66109999999998</v>
      </c>
      <c r="H2901" s="1">
        <v>1.901343E-6</v>
      </c>
      <c r="I2901">
        <v>287.05450000000002</v>
      </c>
      <c r="J2901">
        <v>-395.87799999999999</v>
      </c>
      <c r="K2901">
        <v>1.105094</v>
      </c>
      <c r="L2901">
        <v>283.08150000000001</v>
      </c>
      <c r="M2901">
        <v>-0.99979700000000005</v>
      </c>
      <c r="N2901">
        <v>0</v>
      </c>
      <c r="O2901">
        <v>1.582451E-2</v>
      </c>
      <c r="P2901">
        <v>-0.99616649999999995</v>
      </c>
      <c r="Q2901">
        <v>8.5714330000000005E-2</v>
      </c>
      <c r="R2901">
        <v>-1.7486089999999999E-2</v>
      </c>
      <c r="S2901">
        <v>-3.0212400000000001</v>
      </c>
      <c r="T2901">
        <v>-6.5437439999999999E-2</v>
      </c>
      <c r="U2901">
        <v>0.23547360000000001</v>
      </c>
      <c r="V2901">
        <v>-3.3432370000000003E-2</v>
      </c>
      <c r="W2901">
        <v>9.8072290000000006E-2</v>
      </c>
      <c r="X2901">
        <v>0.99461759999999999</v>
      </c>
      <c r="Y2901">
        <v>6.1905380000000003E-2</v>
      </c>
      <c r="Z2901">
        <v>3.2716579999999998E-4</v>
      </c>
      <c r="AA2901">
        <v>0.99808200000000002</v>
      </c>
      <c r="AB2901">
        <v>42</v>
      </c>
      <c r="AC2901">
        <v>-50.783099999999898</v>
      </c>
      <c r="AD2901">
        <v>-1.1050920986570001</v>
      </c>
      <c r="AE2901">
        <v>3.9730000000000101</v>
      </c>
      <c r="AF2901">
        <v>3.1673315216603499</v>
      </c>
      <c r="AG2901">
        <v>-1.1050920986570001</v>
      </c>
      <c r="AH2901">
        <v>50.815698871729701</v>
      </c>
      <c r="AI2901">
        <v>91.243406218223001</v>
      </c>
      <c r="AJ2901">
        <v>86.433380452579797</v>
      </c>
      <c r="AK2901">
        <v>50.926304296865297</v>
      </c>
      <c r="AL2901">
        <v>84.371825049859098</v>
      </c>
      <c r="AM2901">
        <v>91.925174825760607</v>
      </c>
      <c r="AN2901">
        <v>1.0000000338297099</v>
      </c>
    </row>
    <row r="2902" spans="1:40" x14ac:dyDescent="0.3">
      <c r="A2902" t="str">
        <f>"20200111150010518"</f>
        <v>20200111150010518</v>
      </c>
      <c r="B2902" t="str">
        <f>"1578726010508549"</f>
        <v>1578726010508549</v>
      </c>
      <c r="C2902" t="s">
        <v>40</v>
      </c>
      <c r="D2902">
        <v>4.0422180000000001</v>
      </c>
      <c r="E2902">
        <v>0.5368811</v>
      </c>
      <c r="F2902" t="s">
        <v>62</v>
      </c>
      <c r="G2902">
        <v>-447.0453</v>
      </c>
      <c r="H2902" s="1">
        <v>2.1056030000000001E-6</v>
      </c>
      <c r="I2902">
        <v>287.05950000000001</v>
      </c>
      <c r="J2902">
        <v>-396.11880000000002</v>
      </c>
      <c r="K2902">
        <v>1.1050949999999999</v>
      </c>
      <c r="L2902">
        <v>283.08499999999998</v>
      </c>
      <c r="M2902">
        <v>-0.99980309999999994</v>
      </c>
      <c r="N2902">
        <v>0</v>
      </c>
      <c r="O2902">
        <v>1.542733E-2</v>
      </c>
      <c r="P2902">
        <v>-0.99617889999999998</v>
      </c>
      <c r="Q2902">
        <v>8.554233E-2</v>
      </c>
      <c r="R2902">
        <v>-1.7609900000000001E-2</v>
      </c>
      <c r="S2902">
        <v>-3.021271</v>
      </c>
      <c r="T2902">
        <v>-6.5252180000000007E-2</v>
      </c>
      <c r="U2902">
        <v>0.23489380000000001</v>
      </c>
      <c r="V2902">
        <v>-3.3160699999999897E-2</v>
      </c>
      <c r="W2902">
        <v>9.7899089999999994E-2</v>
      </c>
      <c r="X2902">
        <v>0.99464370000000002</v>
      </c>
      <c r="Y2902">
        <v>6.2110619999999998E-2</v>
      </c>
      <c r="Z2902">
        <v>3.3701279999999998E-4</v>
      </c>
      <c r="AA2902">
        <v>0.99806919999999999</v>
      </c>
      <c r="AB2902">
        <v>42</v>
      </c>
      <c r="AC2902">
        <v>-50.926499999999898</v>
      </c>
      <c r="AD2902">
        <v>-1.105092894397</v>
      </c>
      <c r="AE2902">
        <v>3.9745000000000301</v>
      </c>
      <c r="AF2902">
        <v>3.1868142912417801</v>
      </c>
      <c r="AG2902">
        <v>-1.105092894397</v>
      </c>
      <c r="AH2902">
        <v>50.957909299799901</v>
      </c>
      <c r="AI2902">
        <v>91.2399221042742</v>
      </c>
      <c r="AJ2902">
        <v>86.421487275726193</v>
      </c>
      <c r="AK2902">
        <v>51.069418792842498</v>
      </c>
      <c r="AL2902">
        <v>84.381796342827698</v>
      </c>
      <c r="AM2902">
        <v>91.909492496644503</v>
      </c>
      <c r="AN2902">
        <v>0.99999997689850295</v>
      </c>
    </row>
    <row r="2903" spans="1:40" x14ac:dyDescent="0.3">
      <c r="A2903" t="str">
        <f>"20200111150010537"</f>
        <v>20200111150010537</v>
      </c>
      <c r="B2903" t="str">
        <f>"1578726010529045"</f>
        <v>1578726010529045</v>
      </c>
      <c r="C2903" t="s">
        <v>40</v>
      </c>
      <c r="D2903">
        <v>4.0525070000000003</v>
      </c>
      <c r="E2903">
        <v>0.53636099999999998</v>
      </c>
      <c r="F2903" t="s">
        <v>62</v>
      </c>
      <c r="G2903">
        <v>-442.09519999999998</v>
      </c>
      <c r="H2903" s="1">
        <v>-5.0763150000000004E-7</v>
      </c>
      <c r="I2903">
        <v>286.58</v>
      </c>
      <c r="J2903">
        <v>-396.46559999999999</v>
      </c>
      <c r="K2903">
        <v>1.1050930000000001</v>
      </c>
      <c r="L2903">
        <v>283.08980000000003</v>
      </c>
      <c r="M2903">
        <v>-0.99981189999999998</v>
      </c>
      <c r="N2903">
        <v>0</v>
      </c>
      <c r="O2903">
        <v>1.485535E-2</v>
      </c>
      <c r="P2903">
        <v>-0.9961544</v>
      </c>
      <c r="Q2903">
        <v>8.5745139999999997E-2</v>
      </c>
      <c r="R2903">
        <v>-1.8016979999999998E-2</v>
      </c>
      <c r="S2903">
        <v>-3.0217290000000001</v>
      </c>
      <c r="T2903">
        <v>-7.2630639999999996E-2</v>
      </c>
      <c r="U2903">
        <v>0.22970579999999999</v>
      </c>
      <c r="V2903">
        <v>-3.2997840000000001E-2</v>
      </c>
      <c r="W2903">
        <v>9.8098859999999996E-2</v>
      </c>
      <c r="X2903">
        <v>0.9946294</v>
      </c>
      <c r="Y2903">
        <v>6.0963959999999998E-2</v>
      </c>
      <c r="Z2903">
        <v>3.75041E-4</v>
      </c>
      <c r="AA2903">
        <v>0.99813989999999997</v>
      </c>
      <c r="AB2903">
        <v>42</v>
      </c>
      <c r="AC2903">
        <v>-45.629599999999897</v>
      </c>
      <c r="AD2903">
        <v>-1.1050935076315</v>
      </c>
      <c r="AE2903">
        <v>3.49019999999995</v>
      </c>
      <c r="AF2903">
        <v>2.8102796461894801</v>
      </c>
      <c r="AG2903">
        <v>-1.1050935076315</v>
      </c>
      <c r="AH2903">
        <v>45.649796187586702</v>
      </c>
      <c r="AI2903">
        <v>91.384130132263095</v>
      </c>
      <c r="AJ2903">
        <v>86.477219446906602</v>
      </c>
      <c r="AK2903">
        <v>45.749566066997801</v>
      </c>
      <c r="AL2903">
        <v>84.3702948148632</v>
      </c>
      <c r="AM2903">
        <v>91.900148719556896</v>
      </c>
      <c r="AN2903">
        <v>0.99999994356116095</v>
      </c>
    </row>
    <row r="2904" spans="1:40" x14ac:dyDescent="0.3">
      <c r="A2904" t="str">
        <f>"20200111150010551"</f>
        <v>20200111150010551</v>
      </c>
      <c r="B2904" t="str">
        <f>"1578726010548565"</f>
        <v>1578726010548565</v>
      </c>
      <c r="C2904" t="s">
        <v>40</v>
      </c>
      <c r="D2904">
        <v>4.2044220000000001</v>
      </c>
      <c r="E2904">
        <v>0.53562969999999999</v>
      </c>
      <c r="F2904" t="s">
        <v>66</v>
      </c>
      <c r="G2904">
        <v>-433.98110000000003</v>
      </c>
      <c r="H2904" s="1">
        <v>3.873014E-6</v>
      </c>
      <c r="I2904">
        <v>285.86829999999998</v>
      </c>
      <c r="J2904">
        <v>-396.7226</v>
      </c>
      <c r="K2904">
        <v>1.1050949999999999</v>
      </c>
      <c r="L2904">
        <v>283.0933</v>
      </c>
      <c r="M2904">
        <v>-0.99981810000000004</v>
      </c>
      <c r="N2904">
        <v>0</v>
      </c>
      <c r="O2904">
        <v>1.443153E-2</v>
      </c>
      <c r="P2904">
        <v>-0.99618039999999997</v>
      </c>
      <c r="Q2904">
        <v>8.5380239999999996E-2</v>
      </c>
      <c r="R2904">
        <v>-1.8292539999999999E-2</v>
      </c>
      <c r="S2904">
        <v>-3.023285</v>
      </c>
      <c r="T2904">
        <v>-8.9056369999999996E-2</v>
      </c>
      <c r="U2904">
        <v>0.22390750000000001</v>
      </c>
      <c r="V2904">
        <v>-3.2851060000000001E-2</v>
      </c>
      <c r="W2904">
        <v>9.7732520000000003E-2</v>
      </c>
      <c r="X2904">
        <v>0.99467039999999995</v>
      </c>
      <c r="Y2904">
        <v>5.9438379999999999E-2</v>
      </c>
      <c r="Z2904">
        <v>4.4964769999999998E-4</v>
      </c>
      <c r="AA2904">
        <v>0.99823189999999995</v>
      </c>
      <c r="AB2904">
        <v>42</v>
      </c>
      <c r="AC2904">
        <v>-37.258499999999998</v>
      </c>
      <c r="AD2904">
        <v>-1.105091126986</v>
      </c>
      <c r="AE2904">
        <v>2.7749999999999702</v>
      </c>
      <c r="AF2904">
        <v>2.2350166493564099</v>
      </c>
      <c r="AG2904">
        <v>-1.105091126986</v>
      </c>
      <c r="AH2904">
        <v>37.262070481032403</v>
      </c>
      <c r="AI2904">
        <v>91.6956924409415</v>
      </c>
      <c r="AJ2904">
        <v>86.567453741021197</v>
      </c>
      <c r="AK2904">
        <v>37.345393589508099</v>
      </c>
      <c r="AL2904">
        <v>84.391386337165699</v>
      </c>
      <c r="AM2904">
        <v>91.891624771168097</v>
      </c>
      <c r="AN2904">
        <v>1.00000002112241</v>
      </c>
    </row>
    <row r="2905" spans="1:40" x14ac:dyDescent="0.3">
      <c r="A2905" t="str">
        <f>"20200111150010566"</f>
        <v>20200111150010566</v>
      </c>
      <c r="B2905" t="str">
        <f>"1578726010559301"</f>
        <v>1578726010559301</v>
      </c>
      <c r="C2905" t="s">
        <v>40</v>
      </c>
      <c r="D2905">
        <v>4.1844809999999999</v>
      </c>
      <c r="E2905">
        <v>0.51157209999999997</v>
      </c>
      <c r="F2905" t="s">
        <v>66</v>
      </c>
      <c r="G2905">
        <v>-432.75729999999999</v>
      </c>
      <c r="H2905" s="1">
        <v>3.3464019999999999E-6</v>
      </c>
      <c r="I2905">
        <v>285.68369999999999</v>
      </c>
      <c r="J2905">
        <v>-396.99880000000002</v>
      </c>
      <c r="K2905">
        <v>1.105094</v>
      </c>
      <c r="L2905">
        <v>283.09690000000001</v>
      </c>
      <c r="M2905">
        <v>-0.99982470000000001</v>
      </c>
      <c r="N2905">
        <v>0</v>
      </c>
      <c r="O2905">
        <v>1.397559E-2</v>
      </c>
      <c r="P2905">
        <v>-0.99616380000000004</v>
      </c>
      <c r="Q2905">
        <v>8.548103E-2</v>
      </c>
      <c r="R2905">
        <v>-1.8741399999999998E-2</v>
      </c>
      <c r="S2905">
        <v>-3.0234380000000001</v>
      </c>
      <c r="T2905">
        <v>-9.2721219999999993E-2</v>
      </c>
      <c r="U2905">
        <v>0.21734619999999999</v>
      </c>
      <c r="V2905">
        <v>-3.2845520000000003E-2</v>
      </c>
      <c r="W2905">
        <v>9.7831230000000005E-2</v>
      </c>
      <c r="X2905">
        <v>0.99466089999999996</v>
      </c>
      <c r="Y2905">
        <v>5.7733909999999999E-2</v>
      </c>
      <c r="Z2905">
        <v>4.5601650000000001E-4</v>
      </c>
      <c r="AA2905">
        <v>0.99833190000000005</v>
      </c>
      <c r="AB2905">
        <v>42</v>
      </c>
      <c r="AC2905">
        <v>-35.758499999999898</v>
      </c>
      <c r="AD2905">
        <v>-1.1050906535979901</v>
      </c>
      <c r="AE2905">
        <v>2.5867999999999798</v>
      </c>
      <c r="AF2905">
        <v>2.0847816364266398</v>
      </c>
      <c r="AG2905">
        <v>-1.1050906535979901</v>
      </c>
      <c r="AH2905">
        <v>35.757189036277097</v>
      </c>
      <c r="AI2905">
        <v>91.767187034439104</v>
      </c>
      <c r="AJ2905">
        <v>86.663213239814297</v>
      </c>
      <c r="AK2905">
        <v>35.834956503396299</v>
      </c>
      <c r="AL2905">
        <v>84.3857035545429</v>
      </c>
      <c r="AM2905">
        <v>91.891324050157095</v>
      </c>
      <c r="AN2905">
        <v>1.0000000418680901</v>
      </c>
    </row>
    <row r="2906" spans="1:40" x14ac:dyDescent="0.3">
      <c r="A2906" t="str">
        <f>"20200111150010591"</f>
        <v>20200111150010591</v>
      </c>
      <c r="B2906" t="str">
        <f>"1578726010588581"</f>
        <v>1578726010588581</v>
      </c>
      <c r="C2906" t="s">
        <v>40</v>
      </c>
      <c r="D2906">
        <v>4.1406830000000001</v>
      </c>
      <c r="E2906">
        <v>0.51088259999999996</v>
      </c>
      <c r="F2906" t="s">
        <v>66</v>
      </c>
      <c r="G2906">
        <v>-417.72809999999998</v>
      </c>
      <c r="H2906" s="1">
        <v>3.6964610000000001E-6</v>
      </c>
      <c r="I2906">
        <v>283.24509999999998</v>
      </c>
      <c r="J2906">
        <v>-397.48399999999998</v>
      </c>
      <c r="K2906">
        <v>1.1050960000000001</v>
      </c>
      <c r="L2906">
        <v>283.10300000000001</v>
      </c>
      <c r="M2906">
        <v>-0.99983560000000005</v>
      </c>
      <c r="N2906">
        <v>0</v>
      </c>
      <c r="O2906">
        <v>1.317479E-2</v>
      </c>
      <c r="P2906">
        <v>-0.99618019999999996</v>
      </c>
      <c r="Q2906">
        <v>8.5191589999999998E-2</v>
      </c>
      <c r="R2906">
        <v>-1.9166829999999999E-2</v>
      </c>
      <c r="S2906">
        <v>-3.0258180000000001</v>
      </c>
      <c r="T2906">
        <v>-0.16130839999999999</v>
      </c>
      <c r="U2906">
        <v>2.163696E-2</v>
      </c>
      <c r="V2906">
        <v>-3.2473170000000003E-2</v>
      </c>
      <c r="W2906">
        <v>9.7540299999999996E-2</v>
      </c>
      <c r="X2906">
        <v>0.99470170000000002</v>
      </c>
      <c r="Y2906">
        <v>-5.9982789999999996E-3</v>
      </c>
      <c r="Z2906">
        <v>-8.6165160000000005E-4</v>
      </c>
      <c r="AA2906">
        <v>0.99998160000000003</v>
      </c>
      <c r="AB2906">
        <v>42</v>
      </c>
      <c r="AC2906">
        <v>-20.2440999999999</v>
      </c>
      <c r="AD2906">
        <v>-1.1050923035389999</v>
      </c>
      <c r="AE2906">
        <v>0.14209999999997</v>
      </c>
      <c r="AF2906">
        <v>-0.124274494143259</v>
      </c>
      <c r="AG2906">
        <v>-1.1050923035389999</v>
      </c>
      <c r="AH2906">
        <v>20.1840716582266</v>
      </c>
      <c r="AI2906">
        <v>93.133796576003803</v>
      </c>
      <c r="AJ2906">
        <v>90.352768963640898</v>
      </c>
      <c r="AK2906">
        <v>20.214683323111</v>
      </c>
      <c r="AL2906">
        <v>84.402452735561695</v>
      </c>
      <c r="AM2906">
        <v>91.869821906041096</v>
      </c>
      <c r="AN2906">
        <v>1.0000000444384101</v>
      </c>
    </row>
    <row r="2907" spans="1:40" x14ac:dyDescent="0.3">
      <c r="A2907" t="str">
        <f>"20200111150010605"</f>
        <v>20200111150010605</v>
      </c>
      <c r="B2907" t="str">
        <f>"1578726010599318"</f>
        <v>1578726010599318</v>
      </c>
      <c r="C2907" t="s">
        <v>40</v>
      </c>
      <c r="D2907">
        <v>4.2018649999999997</v>
      </c>
      <c r="E2907">
        <v>0.51010149999999999</v>
      </c>
      <c r="F2907" t="s">
        <v>66</v>
      </c>
      <c r="G2907">
        <v>-417.01150000000001</v>
      </c>
      <c r="H2907" s="1">
        <v>3.573556E-6</v>
      </c>
      <c r="I2907">
        <v>283.19709999999998</v>
      </c>
      <c r="J2907">
        <v>-397.73489999999998</v>
      </c>
      <c r="K2907">
        <v>1.1050960000000001</v>
      </c>
      <c r="L2907">
        <v>283.10590000000002</v>
      </c>
      <c r="M2907">
        <v>-0.99984090000000003</v>
      </c>
      <c r="N2907">
        <v>0</v>
      </c>
      <c r="O2907">
        <v>1.276129E-2</v>
      </c>
      <c r="P2907">
        <v>-0.99618410000000002</v>
      </c>
      <c r="Q2907">
        <v>8.5021669999999994E-2</v>
      </c>
      <c r="R2907">
        <v>-1.9711510000000002E-2</v>
      </c>
      <c r="S2907">
        <v>-3.0264280000000001</v>
      </c>
      <c r="T2907">
        <v>-0.17127049999999999</v>
      </c>
      <c r="U2907">
        <v>1.45874E-2</v>
      </c>
      <c r="V2907">
        <v>-3.2605580000000002E-2</v>
      </c>
      <c r="W2907">
        <v>9.736852E-2</v>
      </c>
      <c r="X2907">
        <v>0.99471410000000005</v>
      </c>
      <c r="Y2907">
        <v>-7.9094979999999992E-3</v>
      </c>
      <c r="Z2907">
        <v>-9.452617E-4</v>
      </c>
      <c r="AA2907">
        <v>0.99996830000000003</v>
      </c>
      <c r="AB2907">
        <v>42</v>
      </c>
      <c r="AC2907">
        <v>-19.276599999999998</v>
      </c>
      <c r="AD2907">
        <v>-1.1050924264440001</v>
      </c>
      <c r="AE2907">
        <v>9.1199999999957898E-2</v>
      </c>
      <c r="AF2907">
        <v>-0.15431367322284301</v>
      </c>
      <c r="AG2907">
        <v>-1.1050924264440001</v>
      </c>
      <c r="AH2907">
        <v>19.213051338055699</v>
      </c>
      <c r="AI2907">
        <v>93.291794197209498</v>
      </c>
      <c r="AJ2907">
        <v>90.460173240116802</v>
      </c>
      <c r="AK2907">
        <v>19.245425006985201</v>
      </c>
      <c r="AL2907">
        <v>84.412341529279601</v>
      </c>
      <c r="AM2907">
        <v>91.877417309781194</v>
      </c>
      <c r="AN2907">
        <v>0.99999994663646696</v>
      </c>
    </row>
    <row r="2908" spans="1:40" x14ac:dyDescent="0.3">
      <c r="A2908" t="str">
        <f>"20200111150010616"</f>
        <v>20200111150010616</v>
      </c>
      <c r="B2908" t="str">
        <f>"1578726010609078"</f>
        <v>1578726010609078</v>
      </c>
      <c r="C2908" t="s">
        <v>40</v>
      </c>
      <c r="D2908">
        <v>4.1067920000000004</v>
      </c>
      <c r="E2908">
        <v>0.5098568</v>
      </c>
      <c r="F2908" t="s">
        <v>66</v>
      </c>
      <c r="G2908">
        <v>-416.85140000000001</v>
      </c>
      <c r="H2908" s="1">
        <v>3.5494689999999998E-6</v>
      </c>
      <c r="I2908">
        <v>283.14769999999999</v>
      </c>
      <c r="J2908">
        <v>-397.9699</v>
      </c>
      <c r="K2908">
        <v>1.1050930000000001</v>
      </c>
      <c r="L2908">
        <v>283.10860000000002</v>
      </c>
      <c r="M2908">
        <v>-0.99984569999999995</v>
      </c>
      <c r="N2908">
        <v>0</v>
      </c>
      <c r="O2908">
        <v>1.2375199999999999E-2</v>
      </c>
      <c r="P2908">
        <v>-0.99615860000000001</v>
      </c>
      <c r="Q2908">
        <v>8.5249060000000002E-2</v>
      </c>
      <c r="R2908">
        <v>-2.0015169999999999E-2</v>
      </c>
      <c r="S2908">
        <v>-3.0265810000000002</v>
      </c>
      <c r="T2908">
        <v>-0.17496099999999901</v>
      </c>
      <c r="U2908">
        <v>6.6223139999999998E-3</v>
      </c>
      <c r="V2908">
        <v>-3.2524699999999997E-2</v>
      </c>
      <c r="W2908">
        <v>9.7594890000000004E-2</v>
      </c>
      <c r="X2908">
        <v>0.99469459999999998</v>
      </c>
      <c r="Y2908">
        <v>-1.0150640000000001E-2</v>
      </c>
      <c r="Z2908">
        <v>-1.007979E-3</v>
      </c>
      <c r="AA2908">
        <v>0.99994799999999995</v>
      </c>
      <c r="AB2908">
        <v>42</v>
      </c>
      <c r="AC2908">
        <v>-18.881499999999999</v>
      </c>
      <c r="AD2908">
        <v>-1.1050894505310001</v>
      </c>
      <c r="AE2908">
        <v>3.9099999999962103E-2</v>
      </c>
      <c r="AF2908">
        <v>-0.193919230358087</v>
      </c>
      <c r="AG2908">
        <v>-1.1050894505310001</v>
      </c>
      <c r="AH2908">
        <v>18.816083910086402</v>
      </c>
      <c r="AI2908">
        <v>93.361005440903099</v>
      </c>
      <c r="AJ2908">
        <v>90.590471437638698</v>
      </c>
      <c r="AK2908">
        <v>18.849505061751401</v>
      </c>
      <c r="AL2908">
        <v>84.399309619240299</v>
      </c>
      <c r="AM2908">
        <v>91.872800277004799</v>
      </c>
      <c r="AN2908">
        <v>0.99999998296668002</v>
      </c>
    </row>
    <row r="2909" spans="1:40" x14ac:dyDescent="0.3">
      <c r="A2909" t="str">
        <f>"20200111150010631"</f>
        <v>20200111150010631</v>
      </c>
      <c r="B2909" t="str">
        <f>"1578726010628600"</f>
        <v>1578726010628600</v>
      </c>
      <c r="C2909" t="s">
        <v>40</v>
      </c>
      <c r="D2909">
        <v>4.1597089999999897</v>
      </c>
      <c r="E2909">
        <v>0.5095423</v>
      </c>
      <c r="F2909" t="s">
        <v>66</v>
      </c>
      <c r="G2909">
        <v>-415.21359999999999</v>
      </c>
      <c r="H2909" s="1">
        <v>3.260824E-6</v>
      </c>
      <c r="I2909">
        <v>283.12619999999998</v>
      </c>
      <c r="J2909">
        <v>-398.22469999999998</v>
      </c>
      <c r="K2909">
        <v>1.105091</v>
      </c>
      <c r="L2909">
        <v>283.1114</v>
      </c>
      <c r="M2909">
        <v>-0.99985089999999999</v>
      </c>
      <c r="N2909">
        <v>0</v>
      </c>
      <c r="O2909">
        <v>1.195771E-2</v>
      </c>
      <c r="P2909">
        <v>-0.99615679999999995</v>
      </c>
      <c r="Q2909">
        <v>8.5148109999999999E-2</v>
      </c>
      <c r="R2909">
        <v>-2.052841E-2</v>
      </c>
      <c r="S2909">
        <v>-3.0282290000000001</v>
      </c>
      <c r="T2909">
        <v>-0.19406899999999999</v>
      </c>
      <c r="U2909">
        <v>3.0822750000000002E-3</v>
      </c>
      <c r="V2909">
        <v>-3.2621320000000002E-2</v>
      </c>
      <c r="W2909">
        <v>9.7492369999999995E-2</v>
      </c>
      <c r="X2909">
        <v>0.99470150000000002</v>
      </c>
      <c r="Y2909">
        <v>-1.0893979999999999E-2</v>
      </c>
      <c r="Z2909">
        <v>-1.114311E-3</v>
      </c>
      <c r="AA2909">
        <v>0.99994000000000005</v>
      </c>
      <c r="AB2909">
        <v>42</v>
      </c>
      <c r="AC2909">
        <v>-16.988900000000001</v>
      </c>
      <c r="AD2909">
        <v>-1.1050877391759999</v>
      </c>
      <c r="AE2909">
        <v>1.4799999999979699E-2</v>
      </c>
      <c r="AF2909">
        <v>-0.187571511981063</v>
      </c>
      <c r="AG2909">
        <v>-1.1050877391759999</v>
      </c>
      <c r="AH2909">
        <v>16.916286117070001</v>
      </c>
      <c r="AI2909">
        <v>93.737412997929297</v>
      </c>
      <c r="AJ2909">
        <v>90.635282207112496</v>
      </c>
      <c r="AK2909">
        <v>16.9533813140022</v>
      </c>
      <c r="AL2909">
        <v>84.405211786984495</v>
      </c>
      <c r="AM2909">
        <v>91.878346740034999</v>
      </c>
      <c r="AN2909">
        <v>0.99999999341450396</v>
      </c>
    </row>
    <row r="2910" spans="1:40" x14ac:dyDescent="0.3">
      <c r="A2910" t="str">
        <f>"20200111150010645"</f>
        <v>20200111150010645</v>
      </c>
      <c r="B2910" t="str">
        <f>"1578726010638357"</f>
        <v>1578726010638357</v>
      </c>
      <c r="C2910" t="s">
        <v>40</v>
      </c>
      <c r="D2910">
        <v>4.1373379999999997</v>
      </c>
      <c r="E2910">
        <v>0.50940509999999894</v>
      </c>
      <c r="F2910" t="s">
        <v>66</v>
      </c>
      <c r="G2910">
        <v>-413.64850000000001</v>
      </c>
      <c r="H2910" s="1">
        <v>2.9852689999999998E-6</v>
      </c>
      <c r="I2910">
        <v>283.1026</v>
      </c>
      <c r="J2910">
        <v>-398.47879999999998</v>
      </c>
      <c r="K2910">
        <v>1.105089</v>
      </c>
      <c r="L2910">
        <v>283.11410000000001</v>
      </c>
      <c r="M2910">
        <v>-0.99985579999999996</v>
      </c>
      <c r="N2910">
        <v>0</v>
      </c>
      <c r="O2910">
        <v>1.1544E-2</v>
      </c>
      <c r="P2910">
        <v>-0.99612920000000005</v>
      </c>
      <c r="Q2910">
        <v>8.5365960000000005E-2</v>
      </c>
      <c r="R2910">
        <v>-2.0959439999999999E-2</v>
      </c>
      <c r="S2910">
        <v>-3.03009</v>
      </c>
      <c r="T2910">
        <v>-0.21710099999999999</v>
      </c>
      <c r="U2910">
        <v>-1.739502E-3</v>
      </c>
      <c r="V2910">
        <v>-3.264007E-2</v>
      </c>
      <c r="W2910">
        <v>9.7708779999999995E-2</v>
      </c>
      <c r="X2910">
        <v>0.9946796</v>
      </c>
      <c r="Y2910">
        <v>-1.205843E-2</v>
      </c>
      <c r="Z2910">
        <v>-1.2575310000000001E-3</v>
      </c>
      <c r="AA2910">
        <v>0.99992650000000005</v>
      </c>
      <c r="AB2910">
        <v>42</v>
      </c>
      <c r="AC2910">
        <v>-15.169700000000001</v>
      </c>
      <c r="AD2910">
        <v>-1.105086014731</v>
      </c>
      <c r="AE2910">
        <v>-1.15000000000122E-2</v>
      </c>
      <c r="AF2910">
        <v>-0.18564663241450299</v>
      </c>
      <c r="AG2910">
        <v>-1.105086014731</v>
      </c>
      <c r="AH2910">
        <v>15.0884837299708</v>
      </c>
      <c r="AI2910">
        <v>94.188568494375801</v>
      </c>
      <c r="AJ2910">
        <v>90.704923835162205</v>
      </c>
      <c r="AK2910">
        <v>15.1300370469366</v>
      </c>
      <c r="AL2910">
        <v>84.3927526423264</v>
      </c>
      <c r="AM2910">
        <v>91.879466947280406</v>
      </c>
      <c r="AN2910">
        <v>0.99999994325742503</v>
      </c>
    </row>
    <row r="2911" spans="1:40" x14ac:dyDescent="0.3">
      <c r="A2911" t="str">
        <f>"20200111150010660"</f>
        <v>20200111150010660</v>
      </c>
      <c r="B2911" t="str">
        <f>"1578726010649093"</f>
        <v>1578726010649093</v>
      </c>
      <c r="C2911" t="s">
        <v>40</v>
      </c>
      <c r="D2911">
        <v>4.3802269999999996</v>
      </c>
      <c r="E2911">
        <v>0.51018969999999997</v>
      </c>
      <c r="F2911" t="s">
        <v>41</v>
      </c>
      <c r="G2911">
        <v>-399.49709999999999</v>
      </c>
      <c r="H2911">
        <v>1.0286879999999901</v>
      </c>
      <c r="I2911">
        <v>283.11259999999999</v>
      </c>
      <c r="J2911">
        <v>-398.78030000000001</v>
      </c>
      <c r="K2911">
        <v>1.105083</v>
      </c>
      <c r="L2911">
        <v>283.11720000000003</v>
      </c>
      <c r="M2911">
        <v>-0.99986120000000001</v>
      </c>
      <c r="N2911">
        <v>0</v>
      </c>
      <c r="O2911">
        <v>1.1058810000000001E-2</v>
      </c>
      <c r="P2911">
        <v>-0.99608529999999995</v>
      </c>
      <c r="Q2911">
        <v>8.5659490000000005E-2</v>
      </c>
      <c r="R2911">
        <v>-2.182632E-2</v>
      </c>
      <c r="S2911">
        <v>-3.0310670000000002</v>
      </c>
      <c r="T2911">
        <v>-0.22748289999999999</v>
      </c>
      <c r="U2911">
        <v>-4.5471189999999996E-3</v>
      </c>
      <c r="V2911">
        <v>-3.3022349999999999E-2</v>
      </c>
      <c r="W2911">
        <v>9.8000160000000003E-2</v>
      </c>
      <c r="X2911">
        <v>0.99463840000000003</v>
      </c>
      <c r="Y2911">
        <v>-1.2493499999999999E-2</v>
      </c>
      <c r="Z2911">
        <v>-1.2970189999999999E-3</v>
      </c>
      <c r="AA2911">
        <v>0.99992110000000001</v>
      </c>
      <c r="AB2911">
        <v>42</v>
      </c>
      <c r="AC2911">
        <v>-0.71679999999997701</v>
      </c>
      <c r="AD2911">
        <v>-7.6395000000000199E-2</v>
      </c>
      <c r="AE2911">
        <v>-4.6000000000390104E-3</v>
      </c>
      <c r="AF2911">
        <v>-1.23865976534255E-2</v>
      </c>
      <c r="AG2911">
        <v>-7.6395000000000199E-2</v>
      </c>
      <c r="AH2911">
        <v>0.70865610812048696</v>
      </c>
      <c r="AI2911">
        <v>96.151942265037505</v>
      </c>
      <c r="AJ2911">
        <v>91.001370761452407</v>
      </c>
      <c r="AK2911">
        <v>0.71286962581029001</v>
      </c>
      <c r="AL2911">
        <v>84.375977759381797</v>
      </c>
      <c r="AM2911">
        <v>91.901541874771496</v>
      </c>
      <c r="AN2911">
        <v>1.0000000268570499</v>
      </c>
    </row>
    <row r="2912" spans="1:40" x14ac:dyDescent="0.3">
      <c r="A2912" t="str">
        <f>"20200111150010672"</f>
        <v>20200111150010672</v>
      </c>
      <c r="B2912" t="str">
        <f>"1578726010668614"</f>
        <v>1578726010668614</v>
      </c>
      <c r="C2912" t="s">
        <v>40</v>
      </c>
      <c r="D2912">
        <v>4.1546589999999997</v>
      </c>
      <c r="E2912">
        <v>0.50987009999999999</v>
      </c>
      <c r="F2912" t="s">
        <v>41</v>
      </c>
      <c r="G2912">
        <v>-399.86880000000002</v>
      </c>
      <c r="H2912">
        <v>1.022427</v>
      </c>
      <c r="I2912">
        <v>283.11720000000003</v>
      </c>
      <c r="J2912">
        <v>-399.01049999999998</v>
      </c>
      <c r="K2912">
        <v>1.1050789999999999</v>
      </c>
      <c r="L2912">
        <v>283.11939999999998</v>
      </c>
      <c r="M2912">
        <v>-0.99986520000000001</v>
      </c>
      <c r="N2912">
        <v>0</v>
      </c>
      <c r="O2912">
        <v>1.0696779999999999E-2</v>
      </c>
      <c r="P2912">
        <v>-0.99608289999999999</v>
      </c>
      <c r="Q2912">
        <v>8.5623500000000005E-2</v>
      </c>
      <c r="R2912">
        <v>-2.2086189999999999E-2</v>
      </c>
      <c r="S2912">
        <v>-3.0315859999999999</v>
      </c>
      <c r="T2912">
        <v>-0.23039870000000001</v>
      </c>
      <c r="U2912">
        <v>-1.0986329999999999E-3</v>
      </c>
      <c r="V2912">
        <v>-3.2920489999999997E-2</v>
      </c>
      <c r="W2912">
        <v>9.7964560000000006E-2</v>
      </c>
      <c r="X2912">
        <v>0.99464520000000001</v>
      </c>
      <c r="Y2912">
        <v>-1.0997420000000001E-2</v>
      </c>
      <c r="Z2912">
        <v>-1.229127E-3</v>
      </c>
      <c r="AA2912">
        <v>0.99993880000000002</v>
      </c>
      <c r="AB2912">
        <v>42</v>
      </c>
      <c r="AC2912">
        <v>-0.85830000000004203</v>
      </c>
      <c r="AD2912">
        <v>-8.26520000000001E-2</v>
      </c>
      <c r="AE2912">
        <v>-2.1999999999593399E-3</v>
      </c>
      <c r="AF2912">
        <v>-1.1277059269543799E-2</v>
      </c>
      <c r="AG2912">
        <v>-8.26520000000001E-2</v>
      </c>
      <c r="AH2912">
        <v>0.85034203277616305</v>
      </c>
      <c r="AI2912">
        <v>95.551141488225895</v>
      </c>
      <c r="AJ2912">
        <v>90.759800176024299</v>
      </c>
      <c r="AK2912">
        <v>0.85442383971637104</v>
      </c>
      <c r="AL2912">
        <v>84.378026882843997</v>
      </c>
      <c r="AM2912">
        <v>91.895667756976906</v>
      </c>
      <c r="AN2912">
        <v>0.999999943780435</v>
      </c>
    </row>
    <row r="2913" spans="1:40" x14ac:dyDescent="0.3">
      <c r="A2913" t="str">
        <f>"20200111150010685"</f>
        <v>20200111150010685</v>
      </c>
      <c r="B2913" t="str">
        <f>"1578726010679351"</f>
        <v>1578726010679351</v>
      </c>
      <c r="C2913" t="s">
        <v>40</v>
      </c>
      <c r="D2913">
        <v>4.2061859999999998</v>
      </c>
      <c r="E2913">
        <v>0.50970179999999998</v>
      </c>
      <c r="F2913" t="s">
        <v>41</v>
      </c>
      <c r="G2913">
        <v>-399.8811</v>
      </c>
      <c r="H2913">
        <v>1.0385960000000001</v>
      </c>
      <c r="I2913">
        <v>283.11860000000001</v>
      </c>
      <c r="J2913">
        <v>-399.24610000000001</v>
      </c>
      <c r="K2913">
        <v>1.1050719999999901</v>
      </c>
      <c r="L2913">
        <v>283.1216</v>
      </c>
      <c r="M2913">
        <v>-0.99986909999999896</v>
      </c>
      <c r="N2913">
        <v>0</v>
      </c>
      <c r="O2913">
        <v>1.033102E-2</v>
      </c>
      <c r="P2913">
        <v>-0.99605969999999999</v>
      </c>
      <c r="Q2913">
        <v>8.5753629999999997E-2</v>
      </c>
      <c r="R2913">
        <v>-2.2622360000000001E-2</v>
      </c>
      <c r="S2913">
        <v>-3.0316160000000001</v>
      </c>
      <c r="T2913">
        <v>-0.2317253</v>
      </c>
      <c r="U2913">
        <v>-4.4250490000000003E-3</v>
      </c>
      <c r="V2913">
        <v>-3.309082E-2</v>
      </c>
      <c r="W2913">
        <v>9.8094120000000007E-2</v>
      </c>
      <c r="X2913">
        <v>0.99462680000000003</v>
      </c>
      <c r="Y2913">
        <v>-1.1727019999999999E-2</v>
      </c>
      <c r="Z2913">
        <v>-1.236097E-3</v>
      </c>
      <c r="AA2913">
        <v>0.99993050000000006</v>
      </c>
      <c r="AB2913">
        <v>42</v>
      </c>
      <c r="AC2913">
        <v>-0.63499999999999002</v>
      </c>
      <c r="AD2913">
        <v>-6.6475999999999896E-2</v>
      </c>
      <c r="AE2913">
        <v>-2.9999999999858998E-3</v>
      </c>
      <c r="AF2913">
        <v>-9.4569075711305895E-3</v>
      </c>
      <c r="AG2913">
        <v>-6.6475999999999896E-2</v>
      </c>
      <c r="AH2913">
        <v>0.62805226014864401</v>
      </c>
      <c r="AI2913">
        <v>96.0412786794667</v>
      </c>
      <c r="AJ2913">
        <v>90.862666979652104</v>
      </c>
      <c r="AK2913">
        <v>0.63163132692626101</v>
      </c>
      <c r="AL2913">
        <v>84.370567834235899</v>
      </c>
      <c r="AM2913">
        <v>91.905503918822802</v>
      </c>
      <c r="AN2913">
        <v>0.99999996501254196</v>
      </c>
    </row>
    <row r="2914" spans="1:40" x14ac:dyDescent="0.3">
      <c r="A2914" t="str">
        <f>"20200111150010697"</f>
        <v>20200111150010697</v>
      </c>
      <c r="B2914" t="str">
        <f>"1578726010689110"</f>
        <v>1578726010689110</v>
      </c>
      <c r="C2914" t="s">
        <v>40</v>
      </c>
      <c r="D2914">
        <v>4.1725969999999997</v>
      </c>
      <c r="E2914">
        <v>0.50964679999999996</v>
      </c>
      <c r="F2914" t="s">
        <v>41</v>
      </c>
      <c r="G2914">
        <v>-400.24889999999999</v>
      </c>
      <c r="H2914">
        <v>1.0292239999999999</v>
      </c>
      <c r="I2914">
        <v>283.11930000000001</v>
      </c>
      <c r="J2914">
        <v>-399.4907</v>
      </c>
      <c r="K2914">
        <v>1.105062</v>
      </c>
      <c r="L2914">
        <v>283.12389999999999</v>
      </c>
      <c r="M2914">
        <v>-0.99987280000000001</v>
      </c>
      <c r="N2914">
        <v>0</v>
      </c>
      <c r="O2914">
        <v>9.9586740000000007E-3</v>
      </c>
      <c r="P2914">
        <v>-0.9960331</v>
      </c>
      <c r="Q2914">
        <v>8.5887489999999997E-2</v>
      </c>
      <c r="R2914">
        <v>-2.3270389999999998E-2</v>
      </c>
      <c r="S2914">
        <v>-3.0314640000000002</v>
      </c>
      <c r="T2914">
        <v>-0.22937579999999999</v>
      </c>
      <c r="U2914">
        <v>-7.0800780000000001E-3</v>
      </c>
      <c r="V2914">
        <v>-3.3365449999999998E-2</v>
      </c>
      <c r="W2914">
        <v>9.8226999999999995E-2</v>
      </c>
      <c r="X2914">
        <v>0.9946045</v>
      </c>
      <c r="Y2914">
        <v>-1.22314E-2</v>
      </c>
      <c r="Z2914">
        <v>-1.2145820000000001E-3</v>
      </c>
      <c r="AA2914">
        <v>0.99992449999999999</v>
      </c>
      <c r="AB2914">
        <v>42</v>
      </c>
      <c r="AC2914">
        <v>-0.758199999999987</v>
      </c>
      <c r="AD2914">
        <v>-7.5838000000000003E-2</v>
      </c>
      <c r="AE2914">
        <v>-4.5999999999821696E-3</v>
      </c>
      <c r="AF2914">
        <v>-1.20306651644921E-2</v>
      </c>
      <c r="AG2914">
        <v>-7.5838000000000003E-2</v>
      </c>
      <c r="AH2914">
        <v>0.75060722227521504</v>
      </c>
      <c r="AI2914">
        <v>95.7685953509299</v>
      </c>
      <c r="AJ2914">
        <v>90.918252983855396</v>
      </c>
      <c r="AK2914">
        <v>0.75452457963940101</v>
      </c>
      <c r="AL2914">
        <v>84.362917362109897</v>
      </c>
      <c r="AM2914">
        <v>91.921349472011201</v>
      </c>
      <c r="AN2914">
        <v>0.99999995410147502</v>
      </c>
    </row>
    <row r="2915" spans="1:40" x14ac:dyDescent="0.3">
      <c r="A2915" t="str">
        <f>"20200111150010711"</f>
        <v>20200111150010711</v>
      </c>
      <c r="B2915" t="str">
        <f>"1578726010708629"</f>
        <v>1578726010708629</v>
      </c>
      <c r="C2915" t="s">
        <v>40</v>
      </c>
      <c r="D2915">
        <v>4.1352320000000002</v>
      </c>
      <c r="E2915">
        <v>0.51011980000000001</v>
      </c>
      <c r="F2915" t="s">
        <v>66</v>
      </c>
      <c r="G2915">
        <v>-413.87490000000003</v>
      </c>
      <c r="H2915" s="1">
        <v>3.0274969999999999E-6</v>
      </c>
      <c r="I2915">
        <v>283.07900000000001</v>
      </c>
      <c r="J2915">
        <v>-399.7235</v>
      </c>
      <c r="K2915">
        <v>1.1050500000000001</v>
      </c>
      <c r="L2915">
        <v>283.1259</v>
      </c>
      <c r="M2915">
        <v>-0.99987619999999999</v>
      </c>
      <c r="N2915">
        <v>0</v>
      </c>
      <c r="O2915">
        <v>9.6214560000000005E-3</v>
      </c>
      <c r="P2915">
        <v>-0.99601989999999996</v>
      </c>
      <c r="Q2915">
        <v>8.5898299999999997E-2</v>
      </c>
      <c r="R2915">
        <v>-2.3793620000000001E-2</v>
      </c>
      <c r="S2915">
        <v>-3.0318299999999998</v>
      </c>
      <c r="T2915">
        <v>-0.23291790000000001</v>
      </c>
      <c r="U2915">
        <v>-9.4604489999999992E-3</v>
      </c>
      <c r="V2915">
        <v>-3.3549429999999998E-2</v>
      </c>
      <c r="W2915">
        <v>9.8237900000000003E-2</v>
      </c>
      <c r="X2915">
        <v>0.99459730000000002</v>
      </c>
      <c r="Y2915">
        <v>-1.2676669999999999E-2</v>
      </c>
      <c r="Z2915">
        <v>-1.2243429999999999E-3</v>
      </c>
      <c r="AA2915">
        <v>0.99991890000000005</v>
      </c>
      <c r="AB2915">
        <v>42</v>
      </c>
      <c r="AC2915">
        <v>-14.151400000000001</v>
      </c>
      <c r="AD2915">
        <v>-1.1050469725030001</v>
      </c>
      <c r="AE2915">
        <v>-4.6899999999993697E-2</v>
      </c>
      <c r="AF2915">
        <v>-0.181955963429694</v>
      </c>
      <c r="AG2915">
        <v>-1.1050469725030001</v>
      </c>
      <c r="AH2915">
        <v>14.0645338903033</v>
      </c>
      <c r="AI2915">
        <v>94.492111769807394</v>
      </c>
      <c r="AJ2915">
        <v>90.741206730898796</v>
      </c>
      <c r="AK2915">
        <v>14.1090520707649</v>
      </c>
      <c r="AL2915">
        <v>84.362290171135996</v>
      </c>
      <c r="AM2915">
        <v>91.931949928962695</v>
      </c>
      <c r="AN2915">
        <v>1.0000000192085099</v>
      </c>
    </row>
    <row r="2916" spans="1:40" x14ac:dyDescent="0.3">
      <c r="A2916" t="str">
        <f>"20200111150010724"</f>
        <v>20200111150010724</v>
      </c>
      <c r="B2916" t="str">
        <f>"1578726010719038"</f>
        <v>1578726010719038</v>
      </c>
      <c r="C2916" t="s">
        <v>40</v>
      </c>
      <c r="D2916">
        <v>4.2533709999999996</v>
      </c>
      <c r="E2916">
        <v>0.51008549999999997</v>
      </c>
      <c r="F2916" t="s">
        <v>41</v>
      </c>
      <c r="G2916">
        <v>-400.62700000000001</v>
      </c>
      <c r="H2916">
        <v>1.032626</v>
      </c>
      <c r="I2916">
        <v>283.12400000000002</v>
      </c>
      <c r="J2916">
        <v>-399.99149999999997</v>
      </c>
      <c r="K2916">
        <v>1.1050260000000001</v>
      </c>
      <c r="L2916">
        <v>283.12819999999999</v>
      </c>
      <c r="M2916">
        <v>-0.99987959999999998</v>
      </c>
      <c r="N2916">
        <v>0</v>
      </c>
      <c r="O2916">
        <v>9.2498379999999998E-3</v>
      </c>
      <c r="P2916">
        <v>-0.99598620000000004</v>
      </c>
      <c r="Q2916">
        <v>8.6128280000000002E-2</v>
      </c>
      <c r="R2916">
        <v>-2.436367E-2</v>
      </c>
      <c r="S2916">
        <v>-3.0327760000000001</v>
      </c>
      <c r="T2916">
        <v>-0.2432077</v>
      </c>
      <c r="U2916">
        <v>-7.5073240000000001E-3</v>
      </c>
      <c r="V2916">
        <v>-3.3744059999999999E-2</v>
      </c>
      <c r="W2916">
        <v>9.8467570000000004E-2</v>
      </c>
      <c r="X2916">
        <v>0.99456800000000001</v>
      </c>
      <c r="Y2916">
        <v>-1.1658689999999999E-2</v>
      </c>
      <c r="Z2916">
        <v>-1.207358E-3</v>
      </c>
      <c r="AA2916">
        <v>0.99993129999999997</v>
      </c>
      <c r="AB2916">
        <v>42</v>
      </c>
      <c r="AC2916">
        <v>-0.63549999999997897</v>
      </c>
      <c r="AD2916">
        <v>-7.2400000000000006E-2</v>
      </c>
      <c r="AE2916">
        <v>-4.1999999999688901E-3</v>
      </c>
      <c r="AF2916">
        <v>-9.9494193281116101E-3</v>
      </c>
      <c r="AG2916">
        <v>-7.2400000000000006E-2</v>
      </c>
      <c r="AH2916">
        <v>0.62729259158544803</v>
      </c>
      <c r="AI2916">
        <v>96.5829344193629</v>
      </c>
      <c r="AJ2916">
        <v>90.908685911589899</v>
      </c>
      <c r="AK2916">
        <v>0.63153522974015897</v>
      </c>
      <c r="AL2916">
        <v>84.349066916077305</v>
      </c>
      <c r="AM2916">
        <v>91.943206366381403</v>
      </c>
      <c r="AN2916">
        <v>1.00000001527549</v>
      </c>
    </row>
    <row r="2917" spans="1:40" x14ac:dyDescent="0.3">
      <c r="A2917" t="str">
        <f>"20200111150010738"</f>
        <v>20200111150010738</v>
      </c>
      <c r="B2917" t="str">
        <f>"1578726010728766"</f>
        <v>1578726010728766</v>
      </c>
      <c r="C2917" t="s">
        <v>40</v>
      </c>
      <c r="D2917">
        <v>4.1428430000000001</v>
      </c>
      <c r="E2917">
        <v>0.51023019999999997</v>
      </c>
      <c r="F2917" t="s">
        <v>41</v>
      </c>
      <c r="G2917">
        <v>-400.99770000000001</v>
      </c>
      <c r="H2917">
        <v>1.025827</v>
      </c>
      <c r="I2917">
        <v>283.12529999999998</v>
      </c>
      <c r="J2917">
        <v>-400.24459999999999</v>
      </c>
      <c r="K2917">
        <v>1.105002</v>
      </c>
      <c r="L2917">
        <v>283.1302</v>
      </c>
      <c r="M2917">
        <v>-0.99988279999999996</v>
      </c>
      <c r="N2917">
        <v>0</v>
      </c>
      <c r="O2917">
        <v>8.9220540000000004E-3</v>
      </c>
      <c r="P2917">
        <v>-0.99593900000000002</v>
      </c>
      <c r="Q2917">
        <v>8.6386260000000006E-2</v>
      </c>
      <c r="R2917">
        <v>-2.536368E-2</v>
      </c>
      <c r="S2917">
        <v>-3.0325319999999998</v>
      </c>
      <c r="T2917">
        <v>-0.2387871</v>
      </c>
      <c r="U2917">
        <v>-9.2773439999999999E-3</v>
      </c>
      <c r="V2917">
        <v>-3.4411860000000002E-2</v>
      </c>
      <c r="W2917">
        <v>9.8725240000000006E-2</v>
      </c>
      <c r="X2917">
        <v>0.9945195</v>
      </c>
      <c r="Y2917">
        <v>-1.191733E-2</v>
      </c>
      <c r="Z2917">
        <v>-1.1699709999999999E-3</v>
      </c>
      <c r="AA2917">
        <v>0.99992829999999999</v>
      </c>
      <c r="AB2917">
        <v>42</v>
      </c>
      <c r="AC2917">
        <v>-0.75310000000001698</v>
      </c>
      <c r="AD2917">
        <v>-7.9174999999999995E-2</v>
      </c>
      <c r="AE2917">
        <v>-4.9000000000205502E-3</v>
      </c>
      <c r="AF2917">
        <v>-1.14925053180613E-2</v>
      </c>
      <c r="AG2917">
        <v>-7.9174999999999995E-2</v>
      </c>
      <c r="AH2917">
        <v>0.74479460913443796</v>
      </c>
      <c r="AI2917">
        <v>96.067291905709297</v>
      </c>
      <c r="AJ2917">
        <v>90.8840286835825</v>
      </c>
      <c r="AK2917">
        <v>0.74907928024956505</v>
      </c>
      <c r="AL2917">
        <v>84.334230812239397</v>
      </c>
      <c r="AM2917">
        <v>91.981728910090993</v>
      </c>
      <c r="AN2917">
        <v>0.99999994250098201</v>
      </c>
    </row>
    <row r="2918" spans="1:40" x14ac:dyDescent="0.3">
      <c r="A2918" t="str">
        <f>"20200111150010752"</f>
        <v>20200111150010752</v>
      </c>
      <c r="B2918" t="str">
        <f>"1578726010749262"</f>
        <v>1578726010749262</v>
      </c>
      <c r="C2918" t="s">
        <v>40</v>
      </c>
      <c r="D2918">
        <v>4.1342930000000004</v>
      </c>
      <c r="E2918">
        <v>0.510521</v>
      </c>
      <c r="F2918" t="s">
        <v>66</v>
      </c>
      <c r="G2918">
        <v>-414.7276</v>
      </c>
      <c r="H2918" s="1">
        <v>3.1786980000000001E-6</v>
      </c>
      <c r="I2918">
        <v>283.0795</v>
      </c>
      <c r="J2918">
        <v>-400.48630000000003</v>
      </c>
      <c r="K2918">
        <v>1.1049690000000001</v>
      </c>
      <c r="L2918">
        <v>283.13220000000001</v>
      </c>
      <c r="M2918">
        <v>-0.99988520000000003</v>
      </c>
      <c r="N2918">
        <v>0</v>
      </c>
      <c r="O2918">
        <v>8.64031E-3</v>
      </c>
      <c r="P2918">
        <v>-0.99592879999999995</v>
      </c>
      <c r="Q2918">
        <v>8.6333080000000006E-2</v>
      </c>
      <c r="R2918">
        <v>-2.5934929999999998E-2</v>
      </c>
      <c r="S2918">
        <v>-3.0320429999999998</v>
      </c>
      <c r="T2918">
        <v>-0.23133390000000001</v>
      </c>
      <c r="U2918">
        <v>-1.062012E-2</v>
      </c>
      <c r="V2918">
        <v>-3.4694669999999997E-2</v>
      </c>
      <c r="W2918">
        <v>9.8673520000000001E-2</v>
      </c>
      <c r="X2918">
        <v>0.99451489999999998</v>
      </c>
      <c r="Y2918">
        <v>-1.2083170000000001E-2</v>
      </c>
      <c r="Z2918">
        <v>-1.1185940000000001E-3</v>
      </c>
      <c r="AA2918">
        <v>0.99992639999999999</v>
      </c>
      <c r="AB2918">
        <v>42</v>
      </c>
      <c r="AC2918">
        <v>-14.241299999999899</v>
      </c>
      <c r="AD2918">
        <v>-1.1049658213019999</v>
      </c>
      <c r="AE2918">
        <v>-5.27000000000157E-2</v>
      </c>
      <c r="AF2918">
        <v>-0.17470509758171901</v>
      </c>
      <c r="AG2918">
        <v>-1.1049658213019999</v>
      </c>
      <c r="AH2918">
        <v>14.155100022763101</v>
      </c>
      <c r="AI2918">
        <v>94.4631941457274</v>
      </c>
      <c r="AJ2918">
        <v>90.707120155551195</v>
      </c>
      <c r="AK2918">
        <v>14.199236880614199</v>
      </c>
      <c r="AL2918">
        <v>84.337209215733594</v>
      </c>
      <c r="AM2918">
        <v>91.998011613725794</v>
      </c>
      <c r="AN2918">
        <v>1.0000000349988001</v>
      </c>
    </row>
    <row r="2919" spans="1:40" x14ac:dyDescent="0.3">
      <c r="A2919" t="str">
        <f>"20200111150010764"</f>
        <v>20200111150010764</v>
      </c>
      <c r="B2919" t="str">
        <f>"1578726010759023"</f>
        <v>1578726010759023</v>
      </c>
      <c r="C2919" t="s">
        <v>40</v>
      </c>
      <c r="D2919">
        <v>4.126544</v>
      </c>
      <c r="E2919">
        <v>0.51076849999999996</v>
      </c>
      <c r="F2919" t="s">
        <v>41</v>
      </c>
      <c r="G2919">
        <v>-401.39350000000002</v>
      </c>
      <c r="H2919">
        <v>1.0389060000000001</v>
      </c>
      <c r="I2919">
        <v>283.12950000000001</v>
      </c>
      <c r="J2919">
        <v>-400.73349999999999</v>
      </c>
      <c r="K2919">
        <v>1.1049329999999999</v>
      </c>
      <c r="L2919">
        <v>283.13409999999999</v>
      </c>
      <c r="M2919">
        <v>-0.99988759999999999</v>
      </c>
      <c r="N2919">
        <v>0</v>
      </c>
      <c r="O2919">
        <v>8.3713309999999992E-3</v>
      </c>
      <c r="P2919">
        <v>-0.99592000000000003</v>
      </c>
      <c r="Q2919">
        <v>8.6283159999999998E-2</v>
      </c>
      <c r="R2919">
        <v>-2.6435500000000001E-2</v>
      </c>
      <c r="S2919">
        <v>-3.0311279999999998</v>
      </c>
      <c r="T2919">
        <v>-0.22086059999999999</v>
      </c>
      <c r="U2919">
        <v>-9.5214840000000002E-3</v>
      </c>
      <c r="V2919">
        <v>-3.4919150000000003E-2</v>
      </c>
      <c r="W2919">
        <v>9.8625589999999999E-2</v>
      </c>
      <c r="X2919">
        <v>0.99451179999999995</v>
      </c>
      <c r="Y2919">
        <v>-1.146047E-2</v>
      </c>
      <c r="Z2919">
        <v>-1.02618E-3</v>
      </c>
      <c r="AA2919">
        <v>0.99993379999999998</v>
      </c>
      <c r="AB2919">
        <v>42</v>
      </c>
      <c r="AC2919">
        <v>-0.66000000000002501</v>
      </c>
      <c r="AD2919">
        <v>-6.6027000000000002E-2</v>
      </c>
      <c r="AE2919">
        <v>-4.5999999999821696E-3</v>
      </c>
      <c r="AF2919">
        <v>-1.00250173475664E-2</v>
      </c>
      <c r="AG2919">
        <v>-6.6027000000000002E-2</v>
      </c>
      <c r="AH2919">
        <v>0.65339933598048405</v>
      </c>
      <c r="AI2919">
        <v>95.769563928323294</v>
      </c>
      <c r="AJ2919">
        <v>90.879012400334304</v>
      </c>
      <c r="AK2919">
        <v>0.65680343936489605</v>
      </c>
      <c r="AL2919">
        <v>84.339968875696599</v>
      </c>
      <c r="AM2919">
        <v>92.010934748351005</v>
      </c>
      <c r="AN2919">
        <v>1.0000000371894</v>
      </c>
    </row>
    <row r="2920" spans="1:40" x14ac:dyDescent="0.3">
      <c r="A2920" t="str">
        <f>"20200111150010776"</f>
        <v>20200111150010776</v>
      </c>
      <c r="B2920" t="str">
        <f>"1578726010768782"</f>
        <v>1578726010768782</v>
      </c>
      <c r="C2920" t="s">
        <v>40</v>
      </c>
      <c r="D2920">
        <v>4.1948359999999996</v>
      </c>
      <c r="E2920">
        <v>0.5108106</v>
      </c>
      <c r="F2920" t="s">
        <v>41</v>
      </c>
      <c r="G2920">
        <v>-401.75420000000003</v>
      </c>
      <c r="H2920">
        <v>1.0321990000000001</v>
      </c>
      <c r="I2920">
        <v>283.13130000000001</v>
      </c>
      <c r="J2920">
        <v>-400.96890000000002</v>
      </c>
      <c r="K2920">
        <v>1.1048929999999999</v>
      </c>
      <c r="L2920">
        <v>283.13589999999999</v>
      </c>
      <c r="M2920">
        <v>-0.99988929999999998</v>
      </c>
      <c r="N2920">
        <v>0</v>
      </c>
      <c r="O2920">
        <v>8.1446629999999999E-3</v>
      </c>
      <c r="P2920">
        <v>-0.99594289999999996</v>
      </c>
      <c r="Q2920">
        <v>8.59433E-2</v>
      </c>
      <c r="R2920">
        <v>-2.6675629999999999E-2</v>
      </c>
      <c r="S2920">
        <v>-3.0307919999999999</v>
      </c>
      <c r="T2920">
        <v>-0.2161284</v>
      </c>
      <c r="U2920">
        <v>-9.0637210000000003E-3</v>
      </c>
      <c r="V2920">
        <v>-3.49241E-2</v>
      </c>
      <c r="W2920">
        <v>9.8288689999999998E-2</v>
      </c>
      <c r="X2920">
        <v>0.99454489999999995</v>
      </c>
      <c r="Y2920">
        <v>-1.1086850000000001E-2</v>
      </c>
      <c r="Z2920">
        <v>-9.7491139999999999E-4</v>
      </c>
      <c r="AA2920">
        <v>0.99993810000000005</v>
      </c>
      <c r="AB2920">
        <v>42</v>
      </c>
      <c r="AC2920">
        <v>-0.78530000000000599</v>
      </c>
      <c r="AD2920">
        <v>-7.2693999999999995E-2</v>
      </c>
      <c r="AE2920">
        <v>-4.5999999999821696E-3</v>
      </c>
      <c r="AF2920">
        <v>-1.0902924124070399E-2</v>
      </c>
      <c r="AG2920">
        <v>-7.2693999999999995E-2</v>
      </c>
      <c r="AH2920">
        <v>0.77856524840233998</v>
      </c>
      <c r="AI2920">
        <v>95.333675139950103</v>
      </c>
      <c r="AJ2920">
        <v>90.802310027344902</v>
      </c>
      <c r="AK2920">
        <v>0.78202758097796798</v>
      </c>
      <c r="AL2920">
        <v>84.359365624475302</v>
      </c>
      <c r="AM2920">
        <v>92.011152694838003</v>
      </c>
      <c r="AN2920">
        <v>0.99999995872936698</v>
      </c>
    </row>
    <row r="2921" spans="1:40" x14ac:dyDescent="0.3">
      <c r="A2921" t="str">
        <f>"20200111150010795"</f>
        <v>20200111150010795</v>
      </c>
      <c r="B2921" t="str">
        <f>"1578726010789281"</f>
        <v>1578726010789281</v>
      </c>
      <c r="C2921" t="s">
        <v>40</v>
      </c>
      <c r="D2921">
        <v>4.1521030000000003</v>
      </c>
      <c r="E2921">
        <v>0.51089359999999995</v>
      </c>
      <c r="F2921" t="s">
        <v>66</v>
      </c>
      <c r="G2921">
        <v>-416.46080000000001</v>
      </c>
      <c r="H2921" s="1">
        <v>3.4854499999999998E-6</v>
      </c>
      <c r="I2921">
        <v>283.08730000000003</v>
      </c>
      <c r="J2921">
        <v>-401.31240000000003</v>
      </c>
      <c r="K2921">
        <v>1.1048309999999999</v>
      </c>
      <c r="L2921">
        <v>283.13839999999999</v>
      </c>
      <c r="M2921">
        <v>-0.99989170000000005</v>
      </c>
      <c r="N2921">
        <v>0</v>
      </c>
      <c r="O2921">
        <v>7.8623900000000004E-3</v>
      </c>
      <c r="P2921">
        <v>-0.99597519999999995</v>
      </c>
      <c r="Q2921">
        <v>8.5695220000000003E-2</v>
      </c>
      <c r="R2921">
        <v>-2.62674E-2</v>
      </c>
      <c r="S2921">
        <v>-3.0306090000000001</v>
      </c>
      <c r="T2921">
        <v>-0.2161447</v>
      </c>
      <c r="U2921">
        <v>-9.4909669999999995E-3</v>
      </c>
      <c r="V2921">
        <v>-3.4220210000000001E-2</v>
      </c>
      <c r="W2921">
        <v>9.80462E-2</v>
      </c>
      <c r="X2921">
        <v>0.99459330000000001</v>
      </c>
      <c r="Y2921">
        <v>-1.094677E-2</v>
      </c>
      <c r="Z2921">
        <v>-9.4994709999999996E-4</v>
      </c>
      <c r="AA2921">
        <v>0.99993960000000004</v>
      </c>
      <c r="AB2921">
        <v>42</v>
      </c>
      <c r="AC2921">
        <v>-15.148399999999899</v>
      </c>
      <c r="AD2921">
        <v>-1.1048275145499999</v>
      </c>
      <c r="AE2921">
        <v>-5.1099999999962599E-2</v>
      </c>
      <c r="AF2921">
        <v>-0.169309666241694</v>
      </c>
      <c r="AG2921">
        <v>-1.1048275145499999</v>
      </c>
      <c r="AH2921">
        <v>15.067382713310399</v>
      </c>
      <c r="AI2921">
        <v>94.193488248024906</v>
      </c>
      <c r="AJ2921">
        <v>90.643796021498503</v>
      </c>
      <c r="AK2921">
        <v>15.1087832544303</v>
      </c>
      <c r="AL2921">
        <v>84.373326697989597</v>
      </c>
      <c r="AM2921">
        <v>91.970554679509206</v>
      </c>
      <c r="AN2921">
        <v>0.999999956255886</v>
      </c>
    </row>
    <row r="2922" spans="1:40" x14ac:dyDescent="0.3">
      <c r="A2922" t="str">
        <f>"20200111150010808"</f>
        <v>20200111150010808</v>
      </c>
      <c r="B2922" t="str">
        <f>"1578726010799038"</f>
        <v>1578726010799038</v>
      </c>
      <c r="C2922" t="s">
        <v>40</v>
      </c>
      <c r="D2922">
        <v>4.1206699999999996</v>
      </c>
      <c r="E2922">
        <v>0.51115329999999903</v>
      </c>
      <c r="F2922" t="s">
        <v>66</v>
      </c>
      <c r="G2922">
        <v>-416.98540000000003</v>
      </c>
      <c r="H2922" s="1">
        <v>3.5775079999999998E-6</v>
      </c>
      <c r="I2922">
        <v>283.09899999999999</v>
      </c>
      <c r="J2922">
        <v>-401.5539</v>
      </c>
      <c r="K2922">
        <v>1.104787</v>
      </c>
      <c r="L2922">
        <v>283.14019999999999</v>
      </c>
      <c r="M2922">
        <v>-0.99989289999999997</v>
      </c>
      <c r="N2922">
        <v>0</v>
      </c>
      <c r="O2922">
        <v>7.6953759999999899E-3</v>
      </c>
      <c r="P2922">
        <v>-0.99602219999999997</v>
      </c>
      <c r="Q2922">
        <v>8.5335090000000002E-2</v>
      </c>
      <c r="R2922">
        <v>-2.5651090000000001E-2</v>
      </c>
      <c r="S2922">
        <v>-3.0303339999999999</v>
      </c>
      <c r="T2922">
        <v>-0.21361450000000001</v>
      </c>
      <c r="U2922">
        <v>-7.6293949999999998E-3</v>
      </c>
      <c r="V2922">
        <v>-3.3427470000000001E-2</v>
      </c>
      <c r="W2922">
        <v>9.7690760000000001E-2</v>
      </c>
      <c r="X2922">
        <v>0.99465530000000002</v>
      </c>
      <c r="Y2922">
        <v>-1.016921E-2</v>
      </c>
      <c r="Z2922">
        <v>-8.9980819999999995E-4</v>
      </c>
      <c r="AA2922">
        <v>0.9999479</v>
      </c>
      <c r="AB2922">
        <v>42</v>
      </c>
      <c r="AC2922">
        <v>-15.4315</v>
      </c>
      <c r="AD2922">
        <v>-1.1047834224919999</v>
      </c>
      <c r="AE2922">
        <v>-4.1200000000003401E-2</v>
      </c>
      <c r="AF2922">
        <v>-0.159143489645375</v>
      </c>
      <c r="AG2922">
        <v>-1.1047834224919999</v>
      </c>
      <c r="AH2922">
        <v>15.352039292942001</v>
      </c>
      <c r="AI2922">
        <v>94.1158774575335</v>
      </c>
      <c r="AJ2922">
        <v>90.593922639587802</v>
      </c>
      <c r="AK2922">
        <v>15.3925626038339</v>
      </c>
      <c r="AL2922">
        <v>84.3937905244116</v>
      </c>
      <c r="AM2922">
        <v>91.924819972153699</v>
      </c>
      <c r="AN2922">
        <v>1.00000002307903</v>
      </c>
    </row>
    <row r="2923" spans="1:40" x14ac:dyDescent="0.3">
      <c r="A2923" t="str">
        <f>"20200111150010822"</f>
        <v>20200111150010822</v>
      </c>
      <c r="B2923" t="str">
        <f>"1578726010818557"</f>
        <v>1578726010818557</v>
      </c>
      <c r="C2923" t="s">
        <v>40</v>
      </c>
      <c r="D2923">
        <v>4.1605829999999999</v>
      </c>
      <c r="E2923">
        <v>0.51157439999999998</v>
      </c>
      <c r="F2923" t="s">
        <v>41</v>
      </c>
      <c r="G2923">
        <v>-402.5095</v>
      </c>
      <c r="H2923">
        <v>1.0370629999999901</v>
      </c>
      <c r="I2923">
        <v>283.13900000000001</v>
      </c>
      <c r="J2923">
        <v>-401.80720000000002</v>
      </c>
      <c r="K2923">
        <v>1.1047439999999999</v>
      </c>
      <c r="L2923">
        <v>283.142</v>
      </c>
      <c r="M2923">
        <v>-0.99989399999999995</v>
      </c>
      <c r="N2923">
        <v>0</v>
      </c>
      <c r="O2923">
        <v>7.5392209999999996E-3</v>
      </c>
      <c r="P2923">
        <v>-0.99604780000000004</v>
      </c>
      <c r="Q2923">
        <v>8.5175420000000002E-2</v>
      </c>
      <c r="R2923">
        <v>-2.5179969999999999E-2</v>
      </c>
      <c r="S2923">
        <v>-3.0302730000000002</v>
      </c>
      <c r="T2923">
        <v>-0.21478559999999999</v>
      </c>
      <c r="U2923">
        <v>-3.8757319999999998E-3</v>
      </c>
      <c r="V2923">
        <v>-3.2790519999999997E-2</v>
      </c>
      <c r="W2923">
        <v>9.7535579999999997E-2</v>
      </c>
      <c r="X2923">
        <v>0.99469169999999996</v>
      </c>
      <c r="Y2923">
        <v>-8.7778279999999997E-3</v>
      </c>
      <c r="Z2923">
        <v>-8.4444399999999997E-4</v>
      </c>
      <c r="AA2923">
        <v>0.99996110000000005</v>
      </c>
      <c r="AB2923">
        <v>42</v>
      </c>
      <c r="AC2923">
        <v>-0.70229999999997905</v>
      </c>
      <c r="AD2923">
        <v>-6.7681000000000102E-2</v>
      </c>
      <c r="AE2923">
        <v>-2.9999999999858998E-3</v>
      </c>
      <c r="AF2923">
        <v>-8.2187916562715003E-3</v>
      </c>
      <c r="AG2923">
        <v>-6.7681000000000102E-2</v>
      </c>
      <c r="AH2923">
        <v>0.69579549332301704</v>
      </c>
      <c r="AI2923">
        <v>95.555377052975999</v>
      </c>
      <c r="AJ2923">
        <v>90.676750827000504</v>
      </c>
      <c r="AK2923">
        <v>0.69912776716842695</v>
      </c>
      <c r="AL2923">
        <v>84.402724177387597</v>
      </c>
      <c r="AM2923">
        <v>91.888100888880203</v>
      </c>
      <c r="AN2923">
        <v>0.99999999280834795</v>
      </c>
    </row>
    <row r="2924" spans="1:40" x14ac:dyDescent="0.3">
      <c r="A2924" t="str">
        <f>"20200111150010835"</f>
        <v>20200111150010835</v>
      </c>
      <c r="B2924" t="str">
        <f>"1578726010829151"</f>
        <v>1578726010829151</v>
      </c>
      <c r="C2924" t="s">
        <v>40</v>
      </c>
      <c r="D2924">
        <v>4.0506209999999996</v>
      </c>
      <c r="E2924">
        <v>0.51166140000000004</v>
      </c>
      <c r="F2924" t="s">
        <v>41</v>
      </c>
      <c r="G2924">
        <v>-402.8784</v>
      </c>
      <c r="H2924">
        <v>1.0289549999999901</v>
      </c>
      <c r="I2924">
        <v>283.14249999999998</v>
      </c>
      <c r="J2924">
        <v>-402.06670000000003</v>
      </c>
      <c r="K2924">
        <v>1.1047</v>
      </c>
      <c r="L2924">
        <v>283.14389999999997</v>
      </c>
      <c r="M2924">
        <v>-0.99989519999999998</v>
      </c>
      <c r="N2924">
        <v>0</v>
      </c>
      <c r="O2924">
        <v>7.4097659999999999E-3</v>
      </c>
      <c r="P2924">
        <v>-0.99607349999999995</v>
      </c>
      <c r="Q2924">
        <v>8.5114880000000004E-2</v>
      </c>
      <c r="R2924">
        <v>-2.4365299999999999E-2</v>
      </c>
      <c r="S2924">
        <v>-3.0303040000000001</v>
      </c>
      <c r="T2924">
        <v>-0.21442159999999999</v>
      </c>
      <c r="U2924">
        <v>8.5449219999999995E-4</v>
      </c>
      <c r="V2924">
        <v>-3.1837320000000002E-2</v>
      </c>
      <c r="W2924">
        <v>9.7479099999999999E-2</v>
      </c>
      <c r="X2924">
        <v>0.99472819999999995</v>
      </c>
      <c r="Y2924">
        <v>-7.0921049999999996E-3</v>
      </c>
      <c r="Z2924">
        <v>-7.7429300000000001E-4</v>
      </c>
      <c r="AA2924">
        <v>0.99997449999999999</v>
      </c>
      <c r="AB2924">
        <v>42</v>
      </c>
      <c r="AC2924">
        <v>-0.811699999999973</v>
      </c>
      <c r="AD2924">
        <v>-7.5745000000000104E-2</v>
      </c>
      <c r="AE2924">
        <v>-1.39999999998963E-3</v>
      </c>
      <c r="AF2924">
        <v>-7.3509224411830096E-3</v>
      </c>
      <c r="AG2924">
        <v>-7.5745000000000104E-2</v>
      </c>
      <c r="AH2924">
        <v>0.804660402159591</v>
      </c>
      <c r="AI2924">
        <v>95.377347404343297</v>
      </c>
      <c r="AJ2924">
        <v>90.523407283697694</v>
      </c>
      <c r="AK2924">
        <v>0.80825101539643696</v>
      </c>
      <c r="AL2924">
        <v>84.405975726522598</v>
      </c>
      <c r="AM2924">
        <v>91.833185761652402</v>
      </c>
      <c r="AN2924">
        <v>0.99999999087841596</v>
      </c>
    </row>
    <row r="2925" spans="1:40" x14ac:dyDescent="0.3">
      <c r="A2925" t="str">
        <f>"20200111150010846"</f>
        <v>20200111150010846</v>
      </c>
      <c r="B2925" t="str">
        <f>"1578726010838911"</f>
        <v>1578726010838911</v>
      </c>
      <c r="C2925" t="s">
        <v>40</v>
      </c>
      <c r="D2925">
        <v>4.0849289999999998</v>
      </c>
      <c r="E2925">
        <v>0.51182099999999997</v>
      </c>
      <c r="F2925" t="s">
        <v>66</v>
      </c>
      <c r="G2925">
        <v>-417.38929999999999</v>
      </c>
      <c r="H2925" s="1">
        <v>3.643587E-6</v>
      </c>
      <c r="I2925">
        <v>283.16250000000002</v>
      </c>
      <c r="J2925">
        <v>-402.28629999999998</v>
      </c>
      <c r="K2925">
        <v>1.1046689999999999</v>
      </c>
      <c r="L2925">
        <v>283.1454</v>
      </c>
      <c r="M2925">
        <v>-0.9998958</v>
      </c>
      <c r="N2925">
        <v>0</v>
      </c>
      <c r="O2925">
        <v>7.3129919999999999E-3</v>
      </c>
      <c r="P2925">
        <v>-0.99612109999999998</v>
      </c>
      <c r="Q2925">
        <v>8.4867670000000006E-2</v>
      </c>
      <c r="R2925">
        <v>-2.324615E-2</v>
      </c>
      <c r="S2925">
        <v>-3.0305789999999999</v>
      </c>
      <c r="T2925">
        <v>-0.2184914</v>
      </c>
      <c r="U2925">
        <v>3.692627E-3</v>
      </c>
      <c r="V2925">
        <v>-3.061475E-2</v>
      </c>
      <c r="W2925">
        <v>9.7235169999999996E-2</v>
      </c>
      <c r="X2925">
        <v>0.99479039999999996</v>
      </c>
      <c r="Y2925">
        <v>-6.0604209999999999E-3</v>
      </c>
      <c r="Z2925">
        <v>-7.447698E-4</v>
      </c>
      <c r="AA2925">
        <v>0.99998129999999996</v>
      </c>
      <c r="AB2925">
        <v>42</v>
      </c>
      <c r="AC2925">
        <v>-15.103</v>
      </c>
      <c r="AD2925">
        <v>-1.104665356413</v>
      </c>
      <c r="AE2925">
        <v>1.71000000000276E-2</v>
      </c>
      <c r="AF2925">
        <v>-9.2860350439257E-2</v>
      </c>
      <c r="AG2925">
        <v>-1.104665356413</v>
      </c>
      <c r="AH2925">
        <v>15.0223551152338</v>
      </c>
      <c r="AI2925">
        <v>94.205582022420103</v>
      </c>
      <c r="AJ2925">
        <v>90.354168062086401</v>
      </c>
      <c r="AK2925">
        <v>15.063202242635301</v>
      </c>
      <c r="AL2925">
        <v>84.420018315064496</v>
      </c>
      <c r="AM2925">
        <v>91.762725604441002</v>
      </c>
      <c r="AN2925">
        <v>0.999999940567323</v>
      </c>
    </row>
    <row r="2926" spans="1:40" x14ac:dyDescent="0.3">
      <c r="A2926" t="str">
        <f>"20200111150010862"</f>
        <v>20200111150010862</v>
      </c>
      <c r="B2926" t="str">
        <f>"1578726010848671"</f>
        <v>1578726010848671</v>
      </c>
      <c r="C2926" t="s">
        <v>40</v>
      </c>
      <c r="D2926">
        <v>4.0849640000000003</v>
      </c>
      <c r="E2926">
        <v>0.51197700000000002</v>
      </c>
      <c r="F2926" t="s">
        <v>41</v>
      </c>
      <c r="G2926">
        <v>-403.25819999999999</v>
      </c>
      <c r="H2926">
        <v>1.0343800000000001</v>
      </c>
      <c r="I2926">
        <v>283.14800000000002</v>
      </c>
      <c r="J2926">
        <v>-402.55709999999999</v>
      </c>
      <c r="K2926">
        <v>1.1046339999999999</v>
      </c>
      <c r="L2926">
        <v>283.14729999999997</v>
      </c>
      <c r="M2926">
        <v>-0.99989660000000002</v>
      </c>
      <c r="N2926">
        <v>0</v>
      </c>
      <c r="O2926">
        <v>7.2063759999999996E-3</v>
      </c>
      <c r="P2926">
        <v>-0.99616000000000005</v>
      </c>
      <c r="Q2926">
        <v>8.4857379999999996E-2</v>
      </c>
      <c r="R2926">
        <v>-2.1557860000000002E-2</v>
      </c>
      <c r="S2926">
        <v>-3.030548</v>
      </c>
      <c r="T2926">
        <v>-0.21914649999999999</v>
      </c>
      <c r="U2926">
        <v>8.0871580000000005E-3</v>
      </c>
      <c r="V2926">
        <v>-2.8812649999999999E-2</v>
      </c>
      <c r="W2926">
        <v>9.7229479999999993E-2</v>
      </c>
      <c r="X2926">
        <v>0.99484490000000003</v>
      </c>
      <c r="Y2926">
        <v>-4.5078519999999997E-3</v>
      </c>
      <c r="Z2926">
        <v>-6.8324049999999995E-4</v>
      </c>
      <c r="AA2926">
        <v>0.99998960000000003</v>
      </c>
      <c r="AB2926">
        <v>42</v>
      </c>
      <c r="AC2926">
        <v>-0.70109999999999595</v>
      </c>
      <c r="AD2926">
        <v>-7.0254000000000205E-2</v>
      </c>
      <c r="AE2926">
        <v>6.9999999999481501E-4</v>
      </c>
      <c r="AF2926">
        <v>-4.30952719965263E-3</v>
      </c>
      <c r="AG2926">
        <v>-7.0254000000000205E-2</v>
      </c>
      <c r="AH2926">
        <v>0.694117130293606</v>
      </c>
      <c r="AI2926">
        <v>95.779312254588305</v>
      </c>
      <c r="AJ2926">
        <v>90.3557246131314</v>
      </c>
      <c r="AK2926">
        <v>0.69767670672576998</v>
      </c>
      <c r="AL2926">
        <v>84.420346536464606</v>
      </c>
      <c r="AM2926">
        <v>91.658933870919199</v>
      </c>
      <c r="AN2926">
        <v>1.00000005781854</v>
      </c>
    </row>
    <row r="2927" spans="1:40" x14ac:dyDescent="0.3">
      <c r="A2927" t="str">
        <f>"20200111150010874"</f>
        <v>20200111150010874</v>
      </c>
      <c r="B2927" t="str">
        <f>"1578726010869168"</f>
        <v>1578726010869168</v>
      </c>
      <c r="C2927" t="s">
        <v>40</v>
      </c>
      <c r="D2927">
        <v>4.0670080000000004</v>
      </c>
      <c r="E2927">
        <v>0.51215859999999902</v>
      </c>
      <c r="F2927" t="s">
        <v>41</v>
      </c>
      <c r="G2927">
        <v>-403.62900000000002</v>
      </c>
      <c r="H2927">
        <v>1.0271859999999999</v>
      </c>
      <c r="I2927">
        <v>283.15260000000001</v>
      </c>
      <c r="J2927">
        <v>-402.79860000000002</v>
      </c>
      <c r="K2927">
        <v>1.104609</v>
      </c>
      <c r="L2927">
        <v>283.149</v>
      </c>
      <c r="M2927">
        <v>-0.99989720000000004</v>
      </c>
      <c r="N2927">
        <v>0</v>
      </c>
      <c r="O2927">
        <v>7.127965E-3</v>
      </c>
      <c r="P2927">
        <v>-0.99617239999999996</v>
      </c>
      <c r="Q2927">
        <v>8.4833309999999995E-2</v>
      </c>
      <c r="R2927">
        <v>-2.1080080000000001E-2</v>
      </c>
      <c r="S2927">
        <v>-3.030548</v>
      </c>
      <c r="T2927">
        <v>-0.21914829999999999</v>
      </c>
      <c r="U2927">
        <v>1.409912E-2</v>
      </c>
      <c r="V2927">
        <v>-2.8251040000000002E-2</v>
      </c>
      <c r="W2927">
        <v>9.7207169999999996E-2</v>
      </c>
      <c r="X2927">
        <v>0.99486319999999995</v>
      </c>
      <c r="Y2927">
        <v>-2.4512620000000001E-3</v>
      </c>
      <c r="Z2927">
        <v>-6.0331790000000001E-4</v>
      </c>
      <c r="AA2927">
        <v>0.99999680000000002</v>
      </c>
      <c r="AB2927">
        <v>42</v>
      </c>
      <c r="AC2927">
        <v>-0.83039999999999703</v>
      </c>
      <c r="AD2927">
        <v>-7.7422999999999798E-2</v>
      </c>
      <c r="AE2927">
        <v>3.6000000000058199E-3</v>
      </c>
      <c r="AF2927">
        <v>-2.29962170485033E-3</v>
      </c>
      <c r="AG2927">
        <v>-7.7422999999999798E-2</v>
      </c>
      <c r="AH2927">
        <v>0.82324827296122205</v>
      </c>
      <c r="AI2927">
        <v>95.372601247011502</v>
      </c>
      <c r="AJ2927">
        <v>90.160046828882301</v>
      </c>
      <c r="AK2927">
        <v>0.82688410803607804</v>
      </c>
      <c r="AL2927">
        <v>84.421630962521107</v>
      </c>
      <c r="AM2927">
        <v>91.626585926972197</v>
      </c>
      <c r="AN2927">
        <v>1.00000007093736</v>
      </c>
    </row>
    <row r="2928" spans="1:40" x14ac:dyDescent="0.3">
      <c r="A2928" t="str">
        <f>"20200111150010886"</f>
        <v>20200111150010886</v>
      </c>
      <c r="B2928" t="str">
        <f>"1578726010878927"</f>
        <v>1578726010878927</v>
      </c>
      <c r="C2928" t="s">
        <v>40</v>
      </c>
      <c r="D2928">
        <v>4.0449210000000004</v>
      </c>
      <c r="E2928">
        <v>0.51219929999999902</v>
      </c>
      <c r="F2928" t="s">
        <v>66</v>
      </c>
      <c r="G2928">
        <v>-418.17989999999998</v>
      </c>
      <c r="H2928" s="1">
        <v>3.7774500000000001E-6</v>
      </c>
      <c r="I2928">
        <v>283.2355</v>
      </c>
      <c r="J2928">
        <v>-403.0247</v>
      </c>
      <c r="K2928">
        <v>1.1045879999999999</v>
      </c>
      <c r="L2928">
        <v>283.15050000000002</v>
      </c>
      <c r="M2928">
        <v>-0.99989749999999999</v>
      </c>
      <c r="N2928">
        <v>0</v>
      </c>
      <c r="O2928">
        <v>7.0596230000000001E-3</v>
      </c>
      <c r="P2928">
        <v>-0.99620019999999998</v>
      </c>
      <c r="Q2928">
        <v>8.4542099999999995E-2</v>
      </c>
      <c r="R2928">
        <v>-2.0923250000000001E-2</v>
      </c>
      <c r="S2928">
        <v>-3.0303960000000001</v>
      </c>
      <c r="T2928">
        <v>-0.2176274</v>
      </c>
      <c r="U2928">
        <v>1.7059330000000001E-2</v>
      </c>
      <c r="V2928">
        <v>-2.8021279999999999E-2</v>
      </c>
      <c r="W2928">
        <v>9.6917669999999997E-2</v>
      </c>
      <c r="X2928">
        <v>0.99489780000000005</v>
      </c>
      <c r="Y2928">
        <v>-1.4090719999999999E-3</v>
      </c>
      <c r="Z2928">
        <v>-5.5689420000000001E-4</v>
      </c>
      <c r="AA2928">
        <v>0.99999890000000002</v>
      </c>
      <c r="AB2928">
        <v>42</v>
      </c>
      <c r="AC2928">
        <v>-15.155199999999899</v>
      </c>
      <c r="AD2928">
        <v>-1.10458422255</v>
      </c>
      <c r="AE2928">
        <v>8.4999999999979495E-2</v>
      </c>
      <c r="AF2928">
        <v>-2.1884168353493098E-2</v>
      </c>
      <c r="AG2928">
        <v>-1.10458422255</v>
      </c>
      <c r="AH2928">
        <v>15.0753417022158</v>
      </c>
      <c r="AI2928">
        <v>94.190621732286402</v>
      </c>
      <c r="AJ2928">
        <v>90.083173544508497</v>
      </c>
      <c r="AK2928">
        <v>15.1157703296953</v>
      </c>
      <c r="AL2928">
        <v>84.438295992445603</v>
      </c>
      <c r="AM2928">
        <v>91.613308173500698</v>
      </c>
      <c r="AN2928">
        <v>0.99999992966795104</v>
      </c>
    </row>
    <row r="2929" spans="1:40" x14ac:dyDescent="0.3">
      <c r="A2929" t="str">
        <f>"20200111150010899"</f>
        <v>20200111150010899</v>
      </c>
      <c r="B2929" t="str">
        <f>"1578726010888687"</f>
        <v>1578726010888687</v>
      </c>
      <c r="C2929" t="s">
        <v>40</v>
      </c>
      <c r="D2929">
        <v>4.1162960000000002</v>
      </c>
      <c r="E2929">
        <v>0.51219929999999902</v>
      </c>
      <c r="F2929" t="s">
        <v>41</v>
      </c>
      <c r="G2929">
        <v>-404.0095</v>
      </c>
      <c r="H2929">
        <v>1.0344770000000001</v>
      </c>
      <c r="I2929">
        <v>283.15660000000003</v>
      </c>
      <c r="J2929">
        <v>-403.27460000000002</v>
      </c>
      <c r="K2929">
        <v>1.104568</v>
      </c>
      <c r="L2929">
        <v>283.15219999999999</v>
      </c>
      <c r="M2929">
        <v>-0.99989810000000001</v>
      </c>
      <c r="N2929">
        <v>0</v>
      </c>
      <c r="O2929">
        <v>6.9895460000000001E-3</v>
      </c>
      <c r="P2929">
        <v>-0.99620319999999996</v>
      </c>
      <c r="Q2929">
        <v>8.4452810000000003E-2</v>
      </c>
      <c r="R2929">
        <v>-2.1146290000000002E-2</v>
      </c>
      <c r="S2929">
        <v>-3.0301819999999999</v>
      </c>
      <c r="T2929">
        <v>-0.21594369999999999</v>
      </c>
      <c r="U2929">
        <v>1.794434E-2</v>
      </c>
      <c r="V2929">
        <v>-2.8170009999999999E-2</v>
      </c>
      <c r="W2929">
        <v>9.6829399999999996E-2</v>
      </c>
      <c r="X2929">
        <v>0.99490230000000002</v>
      </c>
      <c r="Y2929">
        <v>-1.047961E-3</v>
      </c>
      <c r="Z2929">
        <v>-5.3479600000000003E-4</v>
      </c>
      <c r="AA2929">
        <v>0.99999930000000004</v>
      </c>
      <c r="AB2929">
        <v>42</v>
      </c>
      <c r="AC2929">
        <v>-0.73489999999998101</v>
      </c>
      <c r="AD2929">
        <v>-7.0090999999999903E-2</v>
      </c>
      <c r="AE2929">
        <v>4.4000000000323702E-3</v>
      </c>
      <c r="AF2929">
        <v>-7.3047835923309705E-4</v>
      </c>
      <c r="AG2929">
        <v>-7.0090999999999903E-2</v>
      </c>
      <c r="AH2929">
        <v>0.72828826156579696</v>
      </c>
      <c r="AI2929">
        <v>95.497254714339306</v>
      </c>
      <c r="AJ2929">
        <v>90.0574680592607</v>
      </c>
      <c r="AK2929">
        <v>0.73165365700867202</v>
      </c>
      <c r="AL2929">
        <v>84.443377974156704</v>
      </c>
      <c r="AM2929">
        <v>91.621859319549102</v>
      </c>
      <c r="AN2929">
        <v>1.0000000343565201</v>
      </c>
    </row>
    <row r="2930" spans="1:40" x14ac:dyDescent="0.3">
      <c r="A2930" t="str">
        <f>"20200111150010916"</f>
        <v>20200111150010916</v>
      </c>
      <c r="B2930" t="str">
        <f>"1578726010909186"</f>
        <v>1578726010909186</v>
      </c>
      <c r="C2930" t="s">
        <v>40</v>
      </c>
      <c r="D2930">
        <v>4.0560549999999997</v>
      </c>
      <c r="E2930">
        <v>0.51401949999999996</v>
      </c>
      <c r="F2930" t="s">
        <v>66</v>
      </c>
      <c r="G2930">
        <v>-418.75529999999998</v>
      </c>
      <c r="H2930" s="1">
        <v>3.8789280000000002E-6</v>
      </c>
      <c r="I2930">
        <v>283.2423</v>
      </c>
      <c r="J2930">
        <v>-403.59960000000001</v>
      </c>
      <c r="K2930">
        <v>1.10454599999999</v>
      </c>
      <c r="L2930">
        <v>283.15440000000001</v>
      </c>
      <c r="M2930">
        <v>-0.99989870000000003</v>
      </c>
      <c r="N2930">
        <v>0</v>
      </c>
      <c r="O2930">
        <v>6.904894E-3</v>
      </c>
      <c r="P2930">
        <v>-0.99626369999999997</v>
      </c>
      <c r="Q2930">
        <v>8.3720230000000007E-2</v>
      </c>
      <c r="R2930">
        <v>-2.1203409999999999E-2</v>
      </c>
      <c r="S2930">
        <v>-3.03009</v>
      </c>
      <c r="T2930">
        <v>-0.21619930000000001</v>
      </c>
      <c r="U2930">
        <v>1.7639160000000001E-2</v>
      </c>
      <c r="V2930">
        <v>-2.813738E-2</v>
      </c>
      <c r="W2930">
        <v>9.6098500000000003E-2</v>
      </c>
      <c r="X2930">
        <v>0.99497409999999997</v>
      </c>
      <c r="Y2930">
        <v>-1.063958E-3</v>
      </c>
      <c r="Z2930">
        <v>-5.2998149999999996E-4</v>
      </c>
      <c r="AA2930">
        <v>0.99999930000000004</v>
      </c>
      <c r="AB2930">
        <v>42</v>
      </c>
      <c r="AC2930">
        <v>-15.1556999999999</v>
      </c>
      <c r="AD2930">
        <v>-1.1045421210719999</v>
      </c>
      <c r="AE2930">
        <v>8.78999999999905E-2</v>
      </c>
      <c r="AF2930">
        <v>-1.6670164720392001E-2</v>
      </c>
      <c r="AG2930">
        <v>-1.1045421210719999</v>
      </c>
      <c r="AH2930">
        <v>15.075873676056601</v>
      </c>
      <c r="AI2930">
        <v>94.190317081800799</v>
      </c>
      <c r="AJ2930">
        <v>90.0633548485159</v>
      </c>
      <c r="AK2930">
        <v>15.116291155175301</v>
      </c>
      <c r="AL2930">
        <v>84.485451739115007</v>
      </c>
      <c r="AM2930">
        <v>91.619864842593898</v>
      </c>
      <c r="AN2930">
        <v>1.00000004676316</v>
      </c>
    </row>
    <row r="2931" spans="1:40" x14ac:dyDescent="0.3">
      <c r="A2931" t="str">
        <f>"20200111150010931"</f>
        <v>20200111150010931</v>
      </c>
      <c r="B2931" t="str">
        <f>"1578726010928789"</f>
        <v>1578726010928789</v>
      </c>
      <c r="C2931" t="s">
        <v>40</v>
      </c>
      <c r="D2931">
        <v>4.0042859999999996</v>
      </c>
      <c r="E2931">
        <v>0.51264639999999995</v>
      </c>
      <c r="F2931" t="s">
        <v>43</v>
      </c>
      <c r="G2931">
        <v>-531.33199999999999</v>
      </c>
      <c r="H2931">
        <v>-0.05</v>
      </c>
      <c r="I2931">
        <v>284.77080000000001</v>
      </c>
      <c r="J2931">
        <v>-403.85570000000001</v>
      </c>
      <c r="K2931">
        <v>1.1045290000000001</v>
      </c>
      <c r="L2931">
        <v>283.15609999999998</v>
      </c>
      <c r="M2931">
        <v>-0.99989910000000004</v>
      </c>
      <c r="N2931">
        <v>0</v>
      </c>
      <c r="O2931">
        <v>6.8392749999999997E-3</v>
      </c>
      <c r="P2931">
        <v>-0.9962609</v>
      </c>
      <c r="Q2931">
        <v>8.3672750000000004E-2</v>
      </c>
      <c r="R2931">
        <v>-2.15243E-2</v>
      </c>
      <c r="S2931">
        <v>-3.0143430000000002</v>
      </c>
      <c r="T2931">
        <v>-2.7245999999999999E-2</v>
      </c>
      <c r="U2931">
        <v>3.8146970000000002E-2</v>
      </c>
      <c r="V2931">
        <v>-2.8389910000000001E-2</v>
      </c>
      <c r="W2931">
        <v>9.6051510000000007E-2</v>
      </c>
      <c r="X2931">
        <v>0.99497139999999995</v>
      </c>
      <c r="Y2931">
        <v>5.8146279999999996E-3</v>
      </c>
      <c r="Z2931" s="1">
        <v>-3.5541769999999997E-5</v>
      </c>
      <c r="AA2931">
        <v>0.99998310000000001</v>
      </c>
      <c r="AB2931">
        <v>42</v>
      </c>
      <c r="AC2931">
        <v>-127.476299999999</v>
      </c>
      <c r="AD2931">
        <v>-1.1545289999999999</v>
      </c>
      <c r="AE2931">
        <v>1.61470000000002</v>
      </c>
      <c r="AF2931">
        <v>0.74268826575861602</v>
      </c>
      <c r="AG2931">
        <v>-1.1545289999999999</v>
      </c>
      <c r="AH2931">
        <v>127.473907861231</v>
      </c>
      <c r="AI2931">
        <v>90.518903898889107</v>
      </c>
      <c r="AJ2931">
        <v>89.666187203598099</v>
      </c>
      <c r="AK2931">
        <v>127.481299446176</v>
      </c>
      <c r="AL2931">
        <v>84.488156228511102</v>
      </c>
      <c r="AM2931">
        <v>91.634399540243294</v>
      </c>
      <c r="AN2931">
        <v>0.99999998319052297</v>
      </c>
    </row>
    <row r="2932" spans="1:40" x14ac:dyDescent="0.3">
      <c r="A2932" t="str">
        <f>"20200111150010946"</f>
        <v>20200111150010946</v>
      </c>
      <c r="B2932" t="str">
        <f>"1578726010938549"</f>
        <v>1578726010938549</v>
      </c>
      <c r="C2932" t="s">
        <v>40</v>
      </c>
      <c r="D2932">
        <v>4.0297130000000001</v>
      </c>
      <c r="E2932">
        <v>0.51276650000000001</v>
      </c>
      <c r="F2932" t="s">
        <v>52</v>
      </c>
      <c r="G2932">
        <v>-477.47050000000002</v>
      </c>
      <c r="H2932" s="1">
        <v>3.227785E-6</v>
      </c>
      <c r="I2932">
        <v>283.77589999999998</v>
      </c>
      <c r="J2932">
        <v>-404.15140000000002</v>
      </c>
      <c r="K2932">
        <v>1.1045130000000001</v>
      </c>
      <c r="L2932">
        <v>283.15800000000002</v>
      </c>
      <c r="M2932">
        <v>-0.9998996</v>
      </c>
      <c r="N2932">
        <v>0</v>
      </c>
      <c r="O2932">
        <v>6.7628870000000004E-3</v>
      </c>
      <c r="P2932">
        <v>-0.99627600000000005</v>
      </c>
      <c r="Q2932">
        <v>8.3441899999999999E-2</v>
      </c>
      <c r="R2932">
        <v>-2.1718080000000001E-2</v>
      </c>
      <c r="S2932">
        <v>-3.0155940000000001</v>
      </c>
      <c r="T2932">
        <v>-4.5246359999999999E-2</v>
      </c>
      <c r="U2932">
        <v>2.5390630000000001E-2</v>
      </c>
      <c r="V2932">
        <v>-2.8503460000000001E-2</v>
      </c>
      <c r="W2932">
        <v>9.5821779999999995E-2</v>
      </c>
      <c r="X2932">
        <v>0.99499029999999999</v>
      </c>
      <c r="Y2932">
        <v>1.656687E-3</v>
      </c>
      <c r="Z2932" s="1">
        <v>-8.9042629999999996E-5</v>
      </c>
      <c r="AA2932">
        <v>0.99999859999999896</v>
      </c>
      <c r="AB2932">
        <v>42</v>
      </c>
      <c r="AC2932">
        <v>-73.319099999999906</v>
      </c>
      <c r="AD2932">
        <v>-1.1045097722149999</v>
      </c>
      <c r="AE2932">
        <v>0.61789999999996303</v>
      </c>
      <c r="AF2932">
        <v>0.12197095537975799</v>
      </c>
      <c r="AG2932">
        <v>-1.1045097722149999</v>
      </c>
      <c r="AH2932">
        <v>73.304967736647995</v>
      </c>
      <c r="AI2932">
        <v>90.863227615011596</v>
      </c>
      <c r="AJ2932">
        <v>89.904666563084902</v>
      </c>
      <c r="AK2932">
        <v>73.313389729447593</v>
      </c>
      <c r="AL2932">
        <v>84.501379759068001</v>
      </c>
      <c r="AM2932">
        <v>91.640901863794397</v>
      </c>
      <c r="AN2932">
        <v>0.99999997892421399</v>
      </c>
    </row>
    <row r="2933" spans="1:40" x14ac:dyDescent="0.3">
      <c r="A2933" t="str">
        <f>"20200111150010961"</f>
        <v>20200111150010961</v>
      </c>
      <c r="B2933" t="str">
        <f>"1578726010959046"</f>
        <v>1578726010959046</v>
      </c>
      <c r="C2933" t="s">
        <v>40</v>
      </c>
      <c r="D2933">
        <v>4.0126369999999998</v>
      </c>
      <c r="E2933">
        <v>0.51305959999999995</v>
      </c>
      <c r="F2933" t="s">
        <v>62</v>
      </c>
      <c r="G2933">
        <v>-467.30939999999998</v>
      </c>
      <c r="H2933" s="1">
        <v>2.3931910000000002E-6</v>
      </c>
      <c r="I2933">
        <v>283.69540000000001</v>
      </c>
      <c r="J2933">
        <v>-404.44490000000002</v>
      </c>
      <c r="K2933">
        <v>1.1044940000000001</v>
      </c>
      <c r="L2933">
        <v>283.15989999999999</v>
      </c>
      <c r="M2933">
        <v>-0.99990020000000002</v>
      </c>
      <c r="N2933">
        <v>0</v>
      </c>
      <c r="O2933">
        <v>6.6860019999999999E-3</v>
      </c>
      <c r="P2933">
        <v>-0.99622359999999999</v>
      </c>
      <c r="Q2933">
        <v>8.3717429999999995E-2</v>
      </c>
      <c r="R2933">
        <v>-2.302094E-2</v>
      </c>
      <c r="S2933">
        <v>-3.0162049999999998</v>
      </c>
      <c r="T2933">
        <v>-5.2747490000000001E-2</v>
      </c>
      <c r="U2933">
        <v>2.5665279999999999E-2</v>
      </c>
      <c r="V2933">
        <v>-2.9726249999999999E-2</v>
      </c>
      <c r="W2933">
        <v>9.6096600000000004E-2</v>
      </c>
      <c r="X2933">
        <v>0.99492809999999998</v>
      </c>
      <c r="Y2933">
        <v>1.8231E-3</v>
      </c>
      <c r="Z2933">
        <v>-1.009818E-4</v>
      </c>
      <c r="AA2933">
        <v>0.99999830000000001</v>
      </c>
      <c r="AB2933">
        <v>42</v>
      </c>
      <c r="AC2933">
        <v>-62.8644999999999</v>
      </c>
      <c r="AD2933">
        <v>-1.1044916068089901</v>
      </c>
      <c r="AE2933">
        <v>0.53550000000001297</v>
      </c>
      <c r="AF2933">
        <v>0.115107772508311</v>
      </c>
      <c r="AG2933">
        <v>-1.1044916068089901</v>
      </c>
      <c r="AH2933">
        <v>62.8472767622183</v>
      </c>
      <c r="AI2933">
        <v>91.006823062435998</v>
      </c>
      <c r="AJ2933">
        <v>89.895060175730706</v>
      </c>
      <c r="AK2933">
        <v>62.857086696216498</v>
      </c>
      <c r="AL2933">
        <v>84.485561209903594</v>
      </c>
      <c r="AM2933">
        <v>91.711361991863697</v>
      </c>
      <c r="AN2933">
        <v>1.00000006532011</v>
      </c>
    </row>
    <row r="2934" spans="1:40" x14ac:dyDescent="0.3">
      <c r="A2934" t="str">
        <f>"20200111150010977"</f>
        <v>20200111150010977</v>
      </c>
      <c r="B2934" t="str">
        <f>"1578726010968805"</f>
        <v>1578726010968805</v>
      </c>
      <c r="C2934" t="s">
        <v>40</v>
      </c>
      <c r="D2934">
        <v>4.0182880000000001</v>
      </c>
      <c r="E2934">
        <v>0.51324369999999997</v>
      </c>
      <c r="F2934" t="s">
        <v>62</v>
      </c>
      <c r="G2934">
        <v>-462.09980000000002</v>
      </c>
      <c r="H2934" s="1">
        <v>-3.7616419999999999E-7</v>
      </c>
      <c r="I2934">
        <v>283.62759999999997</v>
      </c>
      <c r="J2934">
        <v>-404.73719999999997</v>
      </c>
      <c r="K2934">
        <v>1.104481</v>
      </c>
      <c r="L2934">
        <v>283.1617</v>
      </c>
      <c r="M2934">
        <v>-0.99990069999999998</v>
      </c>
      <c r="N2934">
        <v>0</v>
      </c>
      <c r="O2934">
        <v>6.6071239999999998E-3</v>
      </c>
      <c r="P2934">
        <v>-0.99621389999999999</v>
      </c>
      <c r="Q2934">
        <v>8.3787009999999995E-2</v>
      </c>
      <c r="R2934">
        <v>-2.319187E-2</v>
      </c>
      <c r="S2934">
        <v>-3.016785</v>
      </c>
      <c r="T2934">
        <v>-5.7792540000000003E-2</v>
      </c>
      <c r="U2934">
        <v>2.44751E-2</v>
      </c>
      <c r="V2934">
        <v>-2.981524E-2</v>
      </c>
      <c r="W2934">
        <v>9.6167320000000001E-2</v>
      </c>
      <c r="X2934">
        <v>0.99491850000000004</v>
      </c>
      <c r="Y2934">
        <v>1.5060479999999901E-3</v>
      </c>
      <c r="Z2934">
        <v>-1.1214309999999999E-4</v>
      </c>
      <c r="AA2934">
        <v>0.99999890000000002</v>
      </c>
      <c r="AB2934">
        <v>42</v>
      </c>
      <c r="AC2934">
        <v>-57.3626</v>
      </c>
      <c r="AD2934">
        <v>-1.1044813761642001</v>
      </c>
      <c r="AE2934">
        <v>0.465899999999976</v>
      </c>
      <c r="AF2934">
        <v>8.6826466839611996E-2</v>
      </c>
      <c r="AG2934">
        <v>-1.1044813761642001</v>
      </c>
      <c r="AH2934">
        <v>57.343168734349398</v>
      </c>
      <c r="AI2934">
        <v>91.103430914402495</v>
      </c>
      <c r="AJ2934">
        <v>89.913245354104006</v>
      </c>
      <c r="AK2934">
        <v>57.353870126101398</v>
      </c>
      <c r="AL2934">
        <v>84.481489826072405</v>
      </c>
      <c r="AM2934">
        <v>91.716498703580498</v>
      </c>
      <c r="AN2934">
        <v>0.99999996180724404</v>
      </c>
    </row>
    <row r="2935" spans="1:40" x14ac:dyDescent="0.3">
      <c r="A2935" t="str">
        <f>"20200111150010997"</f>
        <v>20200111150010997</v>
      </c>
      <c r="B2935" t="str">
        <f>"1578726010988325"</f>
        <v>1578726010988325</v>
      </c>
      <c r="C2935" t="s">
        <v>40</v>
      </c>
      <c r="D2935">
        <v>4.0205010000000003</v>
      </c>
      <c r="E2935">
        <v>0.51327159999999905</v>
      </c>
      <c r="F2935" t="s">
        <v>62</v>
      </c>
      <c r="G2935">
        <v>-458.55270000000002</v>
      </c>
      <c r="H2935" s="1">
        <v>3.0582370000000002E-6</v>
      </c>
      <c r="I2935">
        <v>283.61619999999999</v>
      </c>
      <c r="J2935">
        <v>-405.08940000000001</v>
      </c>
      <c r="K2935">
        <v>1.1044609999999999</v>
      </c>
      <c r="L2935">
        <v>283.16390000000001</v>
      </c>
      <c r="M2935">
        <v>-0.99990140000000005</v>
      </c>
      <c r="N2935">
        <v>0</v>
      </c>
      <c r="O2935">
        <v>6.5103729999999999E-3</v>
      </c>
      <c r="P2935">
        <v>-0.99620039999999999</v>
      </c>
      <c r="Q2935">
        <v>8.3970210000000003E-2</v>
      </c>
      <c r="R2935">
        <v>-2.3104030000000001E-2</v>
      </c>
      <c r="S2935">
        <v>-3.0172119999999998</v>
      </c>
      <c r="T2935">
        <v>-6.1923499999999999E-2</v>
      </c>
      <c r="U2935">
        <v>2.548218E-2</v>
      </c>
      <c r="V2935">
        <v>-2.9627790000000001E-2</v>
      </c>
      <c r="W2935">
        <v>9.6350980000000003E-2</v>
      </c>
      <c r="X2935">
        <v>0.99490639999999997</v>
      </c>
      <c r="Y2935">
        <v>1.9354419999999999E-3</v>
      </c>
      <c r="Z2935">
        <v>-1.137489E-4</v>
      </c>
      <c r="AA2935">
        <v>0.9999981</v>
      </c>
      <c r="AB2935">
        <v>42</v>
      </c>
      <c r="AC2935">
        <v>-53.463299999999997</v>
      </c>
      <c r="AD2935">
        <v>-1.1044579417630001</v>
      </c>
      <c r="AE2935">
        <v>0.452299999999979</v>
      </c>
      <c r="AF2935">
        <v>0.104152998407262</v>
      </c>
      <c r="AG2935">
        <v>-1.1044579417630001</v>
      </c>
      <c r="AH2935">
        <v>53.442306091472901</v>
      </c>
      <c r="AI2935">
        <v>91.183924431482595</v>
      </c>
      <c r="AJ2935">
        <v>89.888337159946502</v>
      </c>
      <c r="AK2935">
        <v>53.453818905358602</v>
      </c>
      <c r="AL2935">
        <v>84.470918173382003</v>
      </c>
      <c r="AM2935">
        <v>91.705734112739407</v>
      </c>
      <c r="AN2935">
        <v>1.0000000310241</v>
      </c>
    </row>
    <row r="2936" spans="1:40" x14ac:dyDescent="0.3">
      <c r="A2936" t="str">
        <f>"20200111150011019"</f>
        <v>20200111150011019</v>
      </c>
      <c r="B2936" t="str">
        <f>"1578726011008822"</f>
        <v>1578726011008822</v>
      </c>
      <c r="C2936" t="s">
        <v>40</v>
      </c>
      <c r="D2936">
        <v>4.0395269999999996</v>
      </c>
      <c r="E2936">
        <v>0.51327999999999996</v>
      </c>
      <c r="F2936" t="s">
        <v>62</v>
      </c>
      <c r="G2936">
        <v>-454.74419999999998</v>
      </c>
      <c r="H2936" s="1">
        <v>1.0329699999999999E-6</v>
      </c>
      <c r="I2936">
        <v>283.58420000000001</v>
      </c>
      <c r="J2936">
        <v>-405.51330000000002</v>
      </c>
      <c r="K2936">
        <v>1.1044499999999999</v>
      </c>
      <c r="L2936">
        <v>283.16660000000002</v>
      </c>
      <c r="M2936">
        <v>-0.99990219999999996</v>
      </c>
      <c r="N2936">
        <v>0</v>
      </c>
      <c r="O2936">
        <v>6.3931140000000001E-3</v>
      </c>
      <c r="P2936">
        <v>-0.99621590000000004</v>
      </c>
      <c r="Q2936">
        <v>8.3743299999999896E-2</v>
      </c>
      <c r="R2936">
        <v>-2.3266700000000001E-2</v>
      </c>
      <c r="S2936">
        <v>-3.0177309999999999</v>
      </c>
      <c r="T2936">
        <v>-6.7122699999999993E-2</v>
      </c>
      <c r="U2936">
        <v>2.554321E-2</v>
      </c>
      <c r="V2936">
        <v>-2.9670189999999999E-2</v>
      </c>
      <c r="W2936">
        <v>9.6125070000000007E-2</v>
      </c>
      <c r="X2936">
        <v>0.99492689999999995</v>
      </c>
      <c r="Y2936">
        <v>2.0715909999999998E-3</v>
      </c>
      <c r="Z2936">
        <v>-1.191541E-4</v>
      </c>
      <c r="AA2936">
        <v>0.9999979</v>
      </c>
      <c r="AB2936">
        <v>42</v>
      </c>
      <c r="AC2936">
        <v>-49.230899999999899</v>
      </c>
      <c r="AD2936">
        <v>-1.10444896703</v>
      </c>
      <c r="AE2936">
        <v>0.41759999999999298</v>
      </c>
      <c r="AF2936">
        <v>0.102776635303122</v>
      </c>
      <c r="AG2936">
        <v>-1.10444896703</v>
      </c>
      <c r="AH2936">
        <v>49.2077998579922</v>
      </c>
      <c r="AI2936">
        <v>91.285761686575398</v>
      </c>
      <c r="AJ2936">
        <v>89.880330783135506</v>
      </c>
      <c r="AK2936">
        <v>49.220300054162102</v>
      </c>
      <c r="AL2936">
        <v>84.483921734658495</v>
      </c>
      <c r="AM2936">
        <v>91.708138549382994</v>
      </c>
      <c r="AN2936">
        <v>0.99999994280037297</v>
      </c>
    </row>
    <row r="2937" spans="1:40" x14ac:dyDescent="0.3">
      <c r="A2937" t="str">
        <f>"20200111150011036"</f>
        <v>20200111150011036</v>
      </c>
      <c r="B2937" t="str">
        <f>"1578726011028341"</f>
        <v>1578726011028341</v>
      </c>
      <c r="C2937" t="s">
        <v>40</v>
      </c>
      <c r="D2937">
        <v>4.104819</v>
      </c>
      <c r="E2937">
        <v>0.51348479999999996</v>
      </c>
      <c r="F2937" t="s">
        <v>62</v>
      </c>
      <c r="G2937">
        <v>-452.20260000000002</v>
      </c>
      <c r="H2937" s="1">
        <v>-3.1816970000000002E-7</v>
      </c>
      <c r="I2937">
        <v>283.55279999999999</v>
      </c>
      <c r="J2937">
        <v>-405.81799999999998</v>
      </c>
      <c r="K2937">
        <v>1.1044419999999999</v>
      </c>
      <c r="L2937">
        <v>283.16840000000002</v>
      </c>
      <c r="M2937">
        <v>-0.99990270000000003</v>
      </c>
      <c r="N2937">
        <v>0</v>
      </c>
      <c r="O2937">
        <v>6.3099009999999997E-3</v>
      </c>
      <c r="P2937">
        <v>-0.99621700000000002</v>
      </c>
      <c r="Q2937">
        <v>8.3675360000000004E-2</v>
      </c>
      <c r="R2937">
        <v>-2.3461550000000001E-2</v>
      </c>
      <c r="S2937">
        <v>-3.0179749999999999</v>
      </c>
      <c r="T2937">
        <v>-7.1391109999999994E-2</v>
      </c>
      <c r="U2937">
        <v>2.496338E-2</v>
      </c>
      <c r="V2937">
        <v>-2.978045E-2</v>
      </c>
      <c r="W2937">
        <v>9.6057190000000001E-2</v>
      </c>
      <c r="X2937">
        <v>0.99493019999999999</v>
      </c>
      <c r="Y2937">
        <v>1.9621600000000001E-3</v>
      </c>
      <c r="Z2937">
        <v>-1.260449E-4</v>
      </c>
      <c r="AA2937">
        <v>0.9999981</v>
      </c>
      <c r="AB2937">
        <v>42</v>
      </c>
      <c r="AC2937">
        <v>-46.384599999999899</v>
      </c>
      <c r="AD2937">
        <v>-1.1044423181696901</v>
      </c>
      <c r="AE2937">
        <v>0.38439999999997099</v>
      </c>
      <c r="AF2937">
        <v>9.1635511294352601E-2</v>
      </c>
      <c r="AG2937">
        <v>-1.1044423181696901</v>
      </c>
      <c r="AH2937">
        <v>46.359820650319499</v>
      </c>
      <c r="AI2937">
        <v>91.364711763991806</v>
      </c>
      <c r="AJ2937">
        <v>89.886748457190507</v>
      </c>
      <c r="AK2937">
        <v>46.373065033819898</v>
      </c>
      <c r="AL2937">
        <v>84.4878292640864</v>
      </c>
      <c r="AM2937">
        <v>91.714476848362295</v>
      </c>
      <c r="AN2937">
        <v>0.999999980912469</v>
      </c>
    </row>
    <row r="2938" spans="1:40" x14ac:dyDescent="0.3">
      <c r="A2938" t="str">
        <f>"20200111150011052"</f>
        <v>20200111150011052</v>
      </c>
      <c r="B2938" t="str">
        <f>"1578726011048838"</f>
        <v>1578726011048838</v>
      </c>
      <c r="C2938" t="s">
        <v>40</v>
      </c>
      <c r="D2938">
        <v>3.9949530000000002</v>
      </c>
      <c r="E2938">
        <v>0.513436</v>
      </c>
      <c r="F2938" t="s">
        <v>62</v>
      </c>
      <c r="G2938">
        <v>-449.01069999999999</v>
      </c>
      <c r="H2938" s="1">
        <v>3.3052749999999999E-6</v>
      </c>
      <c r="I2938">
        <v>283.54000000000002</v>
      </c>
      <c r="J2938">
        <v>-406.13249999999999</v>
      </c>
      <c r="K2938">
        <v>1.1044369999999999</v>
      </c>
      <c r="L2938">
        <v>283.1703</v>
      </c>
      <c r="M2938">
        <v>-0.99990319999999999</v>
      </c>
      <c r="N2938">
        <v>0</v>
      </c>
      <c r="O2938">
        <v>6.2252929999999998E-3</v>
      </c>
      <c r="P2938">
        <v>-0.99620739999999997</v>
      </c>
      <c r="Q2938">
        <v>8.3712729999999999E-2</v>
      </c>
      <c r="R2938">
        <v>-2.3735599999999999E-2</v>
      </c>
      <c r="S2938">
        <v>-3.018494</v>
      </c>
      <c r="T2938">
        <v>-7.7183130000000003E-2</v>
      </c>
      <c r="U2938">
        <v>2.5970460000000001E-2</v>
      </c>
      <c r="V2938">
        <v>-2.9969160000000002E-2</v>
      </c>
      <c r="W2938">
        <v>9.6095180000000002E-2</v>
      </c>
      <c r="X2938">
        <v>0.9949209</v>
      </c>
      <c r="Y2938">
        <v>2.3790090000000001E-3</v>
      </c>
      <c r="Z2938">
        <v>-1.287526E-4</v>
      </c>
      <c r="AA2938">
        <v>0.99999709999999997</v>
      </c>
      <c r="AB2938">
        <v>42</v>
      </c>
      <c r="AC2938">
        <v>-42.8781999999999</v>
      </c>
      <c r="AD2938">
        <v>-1.104433694725</v>
      </c>
      <c r="AE2938">
        <v>0.36970000000002201</v>
      </c>
      <c r="AF2938">
        <v>0.10267469504644799</v>
      </c>
      <c r="AG2938">
        <v>-1.104433694725</v>
      </c>
      <c r="AH2938">
        <v>42.851243262063598</v>
      </c>
      <c r="AI2938">
        <v>91.4763912762687</v>
      </c>
      <c r="AJ2938">
        <v>89.862715408397193</v>
      </c>
      <c r="AK2938">
        <v>42.865596519628603</v>
      </c>
      <c r="AL2938">
        <v>84.485642673787396</v>
      </c>
      <c r="AM2938">
        <v>91.725350558656899</v>
      </c>
      <c r="AN2938">
        <v>1.00000001571357</v>
      </c>
    </row>
    <row r="2939" spans="1:40" x14ac:dyDescent="0.3">
      <c r="A2939" t="str">
        <f>"20200111150011066"</f>
        <v>20200111150011066</v>
      </c>
      <c r="B2939" t="str">
        <f>"1578726011058598"</f>
        <v>1578726011058598</v>
      </c>
      <c r="C2939" t="s">
        <v>40</v>
      </c>
      <c r="D2939">
        <v>4.0316210000000003</v>
      </c>
      <c r="E2939">
        <v>0.51350620000000002</v>
      </c>
      <c r="F2939" t="s">
        <v>62</v>
      </c>
      <c r="G2939">
        <v>-449.21609999999998</v>
      </c>
      <c r="H2939" s="1">
        <v>3.4152139999999999E-6</v>
      </c>
      <c r="I2939">
        <v>283.52620000000002</v>
      </c>
      <c r="J2939">
        <v>-406.40109999999999</v>
      </c>
      <c r="K2939">
        <v>1.1044309999999999</v>
      </c>
      <c r="L2939">
        <v>283.17189999999999</v>
      </c>
      <c r="M2939">
        <v>-0.99990369999999995</v>
      </c>
      <c r="N2939">
        <v>0</v>
      </c>
      <c r="O2939">
        <v>6.1535899999999996E-3</v>
      </c>
      <c r="P2939">
        <v>-0.99619809999999998</v>
      </c>
      <c r="Q2939">
        <v>8.3761829999999995E-2</v>
      </c>
      <c r="R2939">
        <v>-2.3953559999999999E-2</v>
      </c>
      <c r="S2939">
        <v>-3.018494</v>
      </c>
      <c r="T2939">
        <v>-7.737803E-2</v>
      </c>
      <c r="U2939">
        <v>2.4932860000000001E-2</v>
      </c>
      <c r="V2939">
        <v>-3.011467E-2</v>
      </c>
      <c r="W2939">
        <v>9.6143590000000001E-2</v>
      </c>
      <c r="X2939">
        <v>0.99491180000000001</v>
      </c>
      <c r="Y2939">
        <v>2.1070699999999999E-3</v>
      </c>
      <c r="Z2939">
        <v>-1.3072490000000001E-4</v>
      </c>
      <c r="AA2939">
        <v>0.99999780000000005</v>
      </c>
      <c r="AB2939">
        <v>42</v>
      </c>
      <c r="AC2939">
        <v>-42.814999999999998</v>
      </c>
      <c r="AD2939">
        <v>-1.1044275847859999</v>
      </c>
      <c r="AE2939">
        <v>0.35430000000002299</v>
      </c>
      <c r="AF2939">
        <v>9.0746571735581399E-2</v>
      </c>
      <c r="AG2939">
        <v>-1.1044275847859999</v>
      </c>
      <c r="AH2939">
        <v>42.787900515556203</v>
      </c>
      <c r="AI2939">
        <v>91.4785686830012</v>
      </c>
      <c r="AJ2939">
        <v>89.878484625151202</v>
      </c>
      <c r="AK2939">
        <v>42.802247905448297</v>
      </c>
      <c r="AL2939">
        <v>84.482855921103905</v>
      </c>
      <c r="AM2939">
        <v>91.733738443339405</v>
      </c>
      <c r="AN2939">
        <v>0.99999998651326805</v>
      </c>
    </row>
    <row r="2940" spans="1:40" x14ac:dyDescent="0.3">
      <c r="A2940" t="str">
        <f>"20200111150011085"</f>
        <v>20200111150011085</v>
      </c>
      <c r="B2940" t="str">
        <f>"1578726011079093"</f>
        <v>1578726011079093</v>
      </c>
      <c r="C2940" t="s">
        <v>40</v>
      </c>
      <c r="D2940">
        <v>4.0402490000000002</v>
      </c>
      <c r="E2940">
        <v>0.51369880000000001</v>
      </c>
      <c r="F2940" t="s">
        <v>62</v>
      </c>
      <c r="G2940">
        <v>-449.03160000000003</v>
      </c>
      <c r="H2940" s="1">
        <v>3.317286E-6</v>
      </c>
      <c r="I2940">
        <v>283.52100000000002</v>
      </c>
      <c r="J2940">
        <v>-406.75760000000002</v>
      </c>
      <c r="K2940">
        <v>1.104428</v>
      </c>
      <c r="L2940">
        <v>283.17399999999998</v>
      </c>
      <c r="M2940">
        <v>-0.99990429999999997</v>
      </c>
      <c r="N2940">
        <v>0</v>
      </c>
      <c r="O2940">
        <v>6.0590640000000003E-3</v>
      </c>
      <c r="P2940">
        <v>-0.99623759999999995</v>
      </c>
      <c r="Q2940">
        <v>8.3349110000000004E-2</v>
      </c>
      <c r="R2940">
        <v>-2.3753070000000001E-2</v>
      </c>
      <c r="S2940">
        <v>-3.0186769999999998</v>
      </c>
      <c r="T2940">
        <v>-7.8204750000000003E-2</v>
      </c>
      <c r="U2940">
        <v>2.471924E-2</v>
      </c>
      <c r="V2940">
        <v>-2.9818870000000001E-2</v>
      </c>
      <c r="W2940">
        <v>9.57316E-2</v>
      </c>
      <c r="X2940">
        <v>0.99496039999999997</v>
      </c>
      <c r="Y2940">
        <v>2.1303310000000001E-3</v>
      </c>
      <c r="Z2940">
        <v>-1.2936339999999999E-4</v>
      </c>
      <c r="AA2940">
        <v>0.99999769999999999</v>
      </c>
      <c r="AB2940">
        <v>42</v>
      </c>
      <c r="AC2940">
        <v>-42.273999999999901</v>
      </c>
      <c r="AD2940">
        <v>-1.1044246827140001</v>
      </c>
      <c r="AE2940">
        <v>0.34699999999992298</v>
      </c>
      <c r="AF2940">
        <v>9.0770995499038498E-2</v>
      </c>
      <c r="AG2940">
        <v>-1.1044246827140001</v>
      </c>
      <c r="AH2940">
        <v>42.246493736231201</v>
      </c>
      <c r="AI2940">
        <v>91.497504573865996</v>
      </c>
      <c r="AJ2940">
        <v>89.876894234735005</v>
      </c>
      <c r="AK2940">
        <v>42.2610249078135</v>
      </c>
      <c r="AL2940">
        <v>84.506570401085398</v>
      </c>
      <c r="AM2940">
        <v>91.7166353108138</v>
      </c>
      <c r="AN2940">
        <v>0.99999995090739702</v>
      </c>
    </row>
    <row r="2941" spans="1:40" x14ac:dyDescent="0.3">
      <c r="A2941" t="str">
        <f>"20200111150011107"</f>
        <v>20200111150011107</v>
      </c>
      <c r="B2941" t="str">
        <f>"1578726011098613"</f>
        <v>1578726011098613</v>
      </c>
      <c r="C2941" t="s">
        <v>40</v>
      </c>
      <c r="D2941">
        <v>4.0175580000000002</v>
      </c>
      <c r="E2941">
        <v>0.5137678</v>
      </c>
      <c r="F2941" t="s">
        <v>62</v>
      </c>
      <c r="G2941">
        <v>-447.45389999999998</v>
      </c>
      <c r="H2941" s="1">
        <v>2.4772679999999999E-6</v>
      </c>
      <c r="I2941">
        <v>283.53070000000002</v>
      </c>
      <c r="J2941">
        <v>-407.17270000000002</v>
      </c>
      <c r="K2941">
        <v>1.104425</v>
      </c>
      <c r="L2941">
        <v>283.1764</v>
      </c>
      <c r="M2941">
        <v>-0.99990489999999999</v>
      </c>
      <c r="N2941">
        <v>0</v>
      </c>
      <c r="O2941">
        <v>5.949335E-3</v>
      </c>
      <c r="P2941">
        <v>-0.99625790000000003</v>
      </c>
      <c r="Q2941">
        <v>8.3168450000000005E-2</v>
      </c>
      <c r="R2941">
        <v>-2.3523479999999999E-2</v>
      </c>
      <c r="S2941">
        <v>-3.0188600000000001</v>
      </c>
      <c r="T2941">
        <v>-8.1926470000000001E-2</v>
      </c>
      <c r="U2941">
        <v>2.6458740000000001E-2</v>
      </c>
      <c r="V2941">
        <v>-2.9479209999999999E-2</v>
      </c>
      <c r="W2941">
        <v>9.555218E-2</v>
      </c>
      <c r="X2941">
        <v>0.99498779999999998</v>
      </c>
      <c r="Y2941">
        <v>2.8155749999999998E-3</v>
      </c>
      <c r="Z2941">
        <v>-1.232351E-4</v>
      </c>
      <c r="AA2941">
        <v>0.999996</v>
      </c>
      <c r="AB2941">
        <v>42</v>
      </c>
      <c r="AC2941">
        <v>-40.281199999999899</v>
      </c>
      <c r="AD2941">
        <v>-1.1044225227319999</v>
      </c>
      <c r="AE2941">
        <v>0.35430000000002299</v>
      </c>
      <c r="AF2941">
        <v>0.114542726173006</v>
      </c>
      <c r="AG2941">
        <v>-1.1044225227319999</v>
      </c>
      <c r="AH2941">
        <v>40.252338211583798</v>
      </c>
      <c r="AI2941">
        <v>91.571650847125795</v>
      </c>
      <c r="AJ2941">
        <v>89.836958612564999</v>
      </c>
      <c r="AK2941">
        <v>40.267649554506697</v>
      </c>
      <c r="AL2941">
        <v>84.516897926902303</v>
      </c>
      <c r="AM2941">
        <v>91.697046299856098</v>
      </c>
      <c r="AN2941">
        <v>0.99999998253690803</v>
      </c>
    </row>
    <row r="2942" spans="1:40" x14ac:dyDescent="0.3">
      <c r="A2942" t="str">
        <f>"20200111150011120"</f>
        <v>20200111150011120</v>
      </c>
      <c r="B2942" t="str">
        <f>"1578726011109349"</f>
        <v>1578726011109349</v>
      </c>
      <c r="C2942" t="s">
        <v>40</v>
      </c>
      <c r="D2942">
        <v>4.1074039999999998</v>
      </c>
      <c r="E2942">
        <v>0.51384430000000003</v>
      </c>
      <c r="F2942" t="s">
        <v>62</v>
      </c>
      <c r="G2942">
        <v>-445.94580000000002</v>
      </c>
      <c r="H2942" s="1">
        <v>1.674606E-6</v>
      </c>
      <c r="I2942">
        <v>283.5335</v>
      </c>
      <c r="J2942">
        <v>-407.42140000000001</v>
      </c>
      <c r="K2942">
        <v>1.104422</v>
      </c>
      <c r="L2942">
        <v>283.17790000000002</v>
      </c>
      <c r="M2942">
        <v>-0.99990520000000005</v>
      </c>
      <c r="N2942">
        <v>0</v>
      </c>
      <c r="O2942">
        <v>5.8838010000000001E-3</v>
      </c>
      <c r="P2942">
        <v>-0.99627909999999997</v>
      </c>
      <c r="Q2942">
        <v>8.2913849999999997E-2</v>
      </c>
      <c r="R2942">
        <v>-2.3523619999999999E-2</v>
      </c>
      <c r="S2942">
        <v>-3.019104</v>
      </c>
      <c r="T2942">
        <v>-8.5996989999999995E-2</v>
      </c>
      <c r="U2942">
        <v>2.7801510000000001E-2</v>
      </c>
      <c r="V2942">
        <v>-2.9413979999999999E-2</v>
      </c>
      <c r="W2942">
        <v>9.5297779999999999E-2</v>
      </c>
      <c r="X2942">
        <v>0.99501410000000001</v>
      </c>
      <c r="Y2942">
        <v>3.3250129999999999E-3</v>
      </c>
      <c r="Z2942">
        <v>-1.202247E-4</v>
      </c>
      <c r="AA2942">
        <v>0.99999450000000001</v>
      </c>
      <c r="AB2942">
        <v>42</v>
      </c>
      <c r="AC2942">
        <v>-38.5244</v>
      </c>
      <c r="AD2942">
        <v>-1.1044203253939999</v>
      </c>
      <c r="AE2942">
        <v>0.35559999999998099</v>
      </c>
      <c r="AF2942">
        <v>0.12880052791412899</v>
      </c>
      <c r="AG2942">
        <v>-1.1044203253939999</v>
      </c>
      <c r="AH2942">
        <v>38.494191411916098</v>
      </c>
      <c r="AI2942">
        <v>91.643388604959497</v>
      </c>
      <c r="AJ2942">
        <v>89.808290580005803</v>
      </c>
      <c r="AK2942">
        <v>38.510246770026903</v>
      </c>
      <c r="AL2942">
        <v>84.531540638682401</v>
      </c>
      <c r="AM2942">
        <v>91.693248625520397</v>
      </c>
      <c r="AN2942">
        <v>0.99999995414558795</v>
      </c>
    </row>
    <row r="2943" spans="1:40" x14ac:dyDescent="0.3">
      <c r="A2943" t="str">
        <f>"20200111150011141"</f>
        <v>20200111150011141</v>
      </c>
      <c r="B2943" t="str">
        <f>"1578726011138629"</f>
        <v>1578726011138629</v>
      </c>
      <c r="C2943" t="s">
        <v>40</v>
      </c>
      <c r="D2943">
        <v>4.0553730000000003</v>
      </c>
      <c r="E2943">
        <v>0.51384909999999995</v>
      </c>
      <c r="F2943" t="s">
        <v>62</v>
      </c>
      <c r="G2943">
        <v>-445.28789999999998</v>
      </c>
      <c r="H2943" s="1">
        <v>1.324456E-6</v>
      </c>
      <c r="I2943">
        <v>283.5342</v>
      </c>
      <c r="J2943">
        <v>-407.80079999999998</v>
      </c>
      <c r="K2943">
        <v>1.1044210000000001</v>
      </c>
      <c r="L2943">
        <v>283.18</v>
      </c>
      <c r="M2943">
        <v>-0.99990590000000001</v>
      </c>
      <c r="N2943">
        <v>0</v>
      </c>
      <c r="O2943">
        <v>5.7841790000000004E-3</v>
      </c>
      <c r="P2943">
        <v>-0.99629279999999998</v>
      </c>
      <c r="Q2943">
        <v>8.273171E-2</v>
      </c>
      <c r="R2943">
        <v>-2.358319E-2</v>
      </c>
      <c r="S2943">
        <v>-3.0191650000000001</v>
      </c>
      <c r="T2943">
        <v>-8.805752E-2</v>
      </c>
      <c r="U2943">
        <v>2.8411869999999999E-2</v>
      </c>
      <c r="V2943">
        <v>-2.9374170000000002E-2</v>
      </c>
      <c r="W2943">
        <v>9.5115489999999997E-2</v>
      </c>
      <c r="X2943">
        <v>0.99503280000000005</v>
      </c>
      <c r="Y2943">
        <v>3.626476E-3</v>
      </c>
      <c r="Z2943">
        <v>-1.158012E-4</v>
      </c>
      <c r="AA2943">
        <v>0.99999340000000003</v>
      </c>
      <c r="AB2943">
        <v>42</v>
      </c>
      <c r="AC2943">
        <v>-37.487099999999998</v>
      </c>
      <c r="AD2943">
        <v>-1.1044196755439999</v>
      </c>
      <c r="AE2943">
        <v>0.35419999999999102</v>
      </c>
      <c r="AF2943">
        <v>0.13722610214434799</v>
      </c>
      <c r="AG2943">
        <v>-1.1044196755439999</v>
      </c>
      <c r="AH2943">
        <v>37.456013930374603</v>
      </c>
      <c r="AI2943">
        <v>91.688909909851205</v>
      </c>
      <c r="AJ2943">
        <v>89.7900886803112</v>
      </c>
      <c r="AK2943">
        <v>37.472543993906399</v>
      </c>
      <c r="AL2943">
        <v>84.5420331933108</v>
      </c>
      <c r="AM2943">
        <v>91.690926489459798</v>
      </c>
      <c r="AN2943">
        <v>1.0000000356884799</v>
      </c>
    </row>
    <row r="2944" spans="1:40" x14ac:dyDescent="0.3">
      <c r="A2944" t="str">
        <f>"20200111150011153"</f>
        <v>20200111150011153</v>
      </c>
      <c r="B2944" t="str">
        <f>"1578726011149366"</f>
        <v>1578726011149366</v>
      </c>
      <c r="C2944" t="s">
        <v>40</v>
      </c>
      <c r="D2944">
        <v>4.0108230000000002</v>
      </c>
      <c r="E2944">
        <v>0.51394289999999998</v>
      </c>
      <c r="F2944" t="s">
        <v>62</v>
      </c>
      <c r="G2944">
        <v>-444.30680000000001</v>
      </c>
      <c r="H2944" s="1">
        <v>8.028489E-7</v>
      </c>
      <c r="I2944">
        <v>283.52390000000003</v>
      </c>
      <c r="J2944">
        <v>-408.03429999999997</v>
      </c>
      <c r="K2944">
        <v>1.104419</v>
      </c>
      <c r="L2944">
        <v>283.18130000000002</v>
      </c>
      <c r="M2944">
        <v>-0.99990619999999997</v>
      </c>
      <c r="N2944">
        <v>0</v>
      </c>
      <c r="O2944">
        <v>5.7221540000000001E-3</v>
      </c>
      <c r="P2944">
        <v>-0.99628030000000001</v>
      </c>
      <c r="Q2944">
        <v>8.2917710000000006E-2</v>
      </c>
      <c r="R2944">
        <v>-2.345976E-2</v>
      </c>
      <c r="S2944">
        <v>-3.019409</v>
      </c>
      <c r="T2944">
        <v>-9.1346380000000005E-2</v>
      </c>
      <c r="U2944">
        <v>2.844238E-2</v>
      </c>
      <c r="V2944">
        <v>-2.9188599999999901E-2</v>
      </c>
      <c r="W2944">
        <v>9.5302040000000005E-2</v>
      </c>
      <c r="X2944">
        <v>0.99502040000000003</v>
      </c>
      <c r="Y2944">
        <v>3.6978620000000001E-3</v>
      </c>
      <c r="Z2944">
        <v>-1.171591E-4</v>
      </c>
      <c r="AA2944">
        <v>0.99999309999999997</v>
      </c>
      <c r="AB2944">
        <v>42</v>
      </c>
      <c r="AC2944">
        <v>-36.272500000000001</v>
      </c>
      <c r="AD2944">
        <v>-1.1044181971511</v>
      </c>
      <c r="AE2944">
        <v>0.34260000000000401</v>
      </c>
      <c r="AF2944">
        <v>0.13489644030138201</v>
      </c>
      <c r="AG2944">
        <v>-1.1044181971511</v>
      </c>
      <c r="AH2944">
        <v>36.2402723873657</v>
      </c>
      <c r="AI2944">
        <v>91.745530068723099</v>
      </c>
      <c r="AJ2944">
        <v>89.786730052074105</v>
      </c>
      <c r="AK2944">
        <v>36.257347935477398</v>
      </c>
      <c r="AL2944">
        <v>84.531295830271603</v>
      </c>
      <c r="AM2944">
        <v>91.680271207661804</v>
      </c>
      <c r="AN2944">
        <v>1.0000000248071399</v>
      </c>
    </row>
    <row r="2945" spans="1:40" x14ac:dyDescent="0.3">
      <c r="A2945" t="str">
        <f>"20200111150011174"</f>
        <v>20200111150011174</v>
      </c>
      <c r="B2945" t="str">
        <f>"1578726011168888"</f>
        <v>1578726011168888</v>
      </c>
      <c r="C2945" t="s">
        <v>40</v>
      </c>
      <c r="D2945">
        <v>3.9950299999999999</v>
      </c>
      <c r="E2945">
        <v>0.51407829999999999</v>
      </c>
      <c r="F2945" t="s">
        <v>62</v>
      </c>
      <c r="G2945">
        <v>-444.27789999999999</v>
      </c>
      <c r="H2945" s="1">
        <v>7.8699669999999898E-7</v>
      </c>
      <c r="I2945">
        <v>283.53399999999999</v>
      </c>
      <c r="J2945">
        <v>-408.4391</v>
      </c>
      <c r="K2945">
        <v>1.1044160000000001</v>
      </c>
      <c r="L2945">
        <v>283.18349999999998</v>
      </c>
      <c r="M2945">
        <v>-0.99990679999999998</v>
      </c>
      <c r="N2945">
        <v>0</v>
      </c>
      <c r="O2945">
        <v>5.6147799999999998E-3</v>
      </c>
      <c r="P2945">
        <v>-0.99625960000000002</v>
      </c>
      <c r="Q2945">
        <v>8.3377290000000007E-2</v>
      </c>
      <c r="R2945">
        <v>-2.2698659999999999E-2</v>
      </c>
      <c r="S2945">
        <v>-3.0195310000000002</v>
      </c>
      <c r="T2945">
        <v>-9.2011570000000001E-2</v>
      </c>
      <c r="U2945">
        <v>2.938843E-2</v>
      </c>
      <c r="V2945">
        <v>-2.8319540000000001E-2</v>
      </c>
      <c r="W2945">
        <v>9.5761499999999999E-2</v>
      </c>
      <c r="X2945">
        <v>0.99500140000000004</v>
      </c>
      <c r="Y2945">
        <v>4.1179099999999998E-3</v>
      </c>
      <c r="Z2945">
        <v>-1.083373E-4</v>
      </c>
      <c r="AA2945">
        <v>0.99999150000000003</v>
      </c>
      <c r="AB2945">
        <v>42</v>
      </c>
      <c r="AC2945">
        <v>-35.8387999999999</v>
      </c>
      <c r="AD2945">
        <v>-1.1044152130033</v>
      </c>
      <c r="AE2945">
        <v>0.35050000000001003</v>
      </c>
      <c r="AF2945">
        <v>0.14911032616377301</v>
      </c>
      <c r="AG2945">
        <v>-1.1044152130033</v>
      </c>
      <c r="AH2945">
        <v>35.806203457800699</v>
      </c>
      <c r="AI2945">
        <v>91.766669480092204</v>
      </c>
      <c r="AJ2945">
        <v>89.761400479246106</v>
      </c>
      <c r="AK2945">
        <v>35.823542160337801</v>
      </c>
      <c r="AL2945">
        <v>84.504849751016295</v>
      </c>
      <c r="AM2945">
        <v>91.630301417578593</v>
      </c>
      <c r="AN2945">
        <v>1.0000000236150099</v>
      </c>
    </row>
    <row r="2946" spans="1:40" x14ac:dyDescent="0.3">
      <c r="A2946" t="str">
        <f>"20200111150011187"</f>
        <v>20200111150011187</v>
      </c>
      <c r="B2946" t="str">
        <f>"1578726011178646"</f>
        <v>1578726011178646</v>
      </c>
      <c r="C2946" t="s">
        <v>40</v>
      </c>
      <c r="D2946">
        <v>3.9915729999999998</v>
      </c>
      <c r="E2946">
        <v>0.51418299999999995</v>
      </c>
      <c r="F2946" t="s">
        <v>62</v>
      </c>
      <c r="G2946">
        <v>-444.20519999999999</v>
      </c>
      <c r="H2946" s="1">
        <v>7.4690190000000001E-7</v>
      </c>
      <c r="I2946">
        <v>283.56659999999999</v>
      </c>
      <c r="J2946">
        <v>-408.67610000000002</v>
      </c>
      <c r="K2946">
        <v>1.1044160000000001</v>
      </c>
      <c r="L2946">
        <v>283.1848</v>
      </c>
      <c r="M2946">
        <v>-0.99990710000000005</v>
      </c>
      <c r="N2946">
        <v>0</v>
      </c>
      <c r="O2946">
        <v>5.5520919999999998E-3</v>
      </c>
      <c r="P2946">
        <v>-0.99626190000000003</v>
      </c>
      <c r="Q2946">
        <v>8.3351250000000002E-2</v>
      </c>
      <c r="R2946">
        <v>-2.268887E-2</v>
      </c>
      <c r="S2946">
        <v>-3.0198360000000002</v>
      </c>
      <c r="T2946">
        <v>-9.324884E-2</v>
      </c>
      <c r="U2946">
        <v>3.2348630000000003E-2</v>
      </c>
      <c r="V2946">
        <v>-2.8247970000000001E-2</v>
      </c>
      <c r="W2946">
        <v>9.5735390000000004E-2</v>
      </c>
      <c r="X2946">
        <v>0.9950059</v>
      </c>
      <c r="Y2946">
        <v>5.1592540000000003E-3</v>
      </c>
      <c r="Z2946" s="1">
        <v>-9.1772929999999999E-5</v>
      </c>
      <c r="AA2946">
        <v>0.99998670000000001</v>
      </c>
      <c r="AB2946">
        <v>42</v>
      </c>
      <c r="AC2946">
        <v>-35.5290999999999</v>
      </c>
      <c r="AD2946">
        <v>-1.1044152530981</v>
      </c>
      <c r="AE2946">
        <v>0.38179999999999797</v>
      </c>
      <c r="AF2946">
        <v>0.18433989575579099</v>
      </c>
      <c r="AG2946">
        <v>-1.1044152530981</v>
      </c>
      <c r="AH2946">
        <v>35.496377301781003</v>
      </c>
      <c r="AI2946">
        <v>91.782071248769995</v>
      </c>
      <c r="AJ2946">
        <v>89.702454056501907</v>
      </c>
      <c r="AK2946">
        <v>35.514032660327899</v>
      </c>
      <c r="AL2946">
        <v>84.506352391168406</v>
      </c>
      <c r="AM2946">
        <v>91.626176134914004</v>
      </c>
      <c r="AN2946">
        <v>0.99999997687119102</v>
      </c>
    </row>
    <row r="2947" spans="1:40" x14ac:dyDescent="0.3">
      <c r="A2947" t="str">
        <f>"20200111150011201"</f>
        <v>20200111150011201</v>
      </c>
      <c r="B2947" t="str">
        <f>"1578726011199141"</f>
        <v>1578726011199141</v>
      </c>
      <c r="C2947" t="s">
        <v>40</v>
      </c>
      <c r="D2947">
        <v>4.0377830000000001</v>
      </c>
      <c r="E2947">
        <v>0.51423289999999999</v>
      </c>
      <c r="F2947" t="s">
        <v>62</v>
      </c>
      <c r="G2947">
        <v>-443.86169999999998</v>
      </c>
      <c r="H2947" s="1">
        <v>5.6393200000000005E-7</v>
      </c>
      <c r="I2947">
        <v>283.57089999999999</v>
      </c>
      <c r="J2947">
        <v>-408.9393</v>
      </c>
      <c r="K2947">
        <v>1.104417</v>
      </c>
      <c r="L2947">
        <v>283.18619999999999</v>
      </c>
      <c r="M2947">
        <v>-0.99990760000000001</v>
      </c>
      <c r="N2947">
        <v>0</v>
      </c>
      <c r="O2947">
        <v>5.4824879999999998E-3</v>
      </c>
      <c r="P2947">
        <v>-0.99625410000000003</v>
      </c>
      <c r="Q2947">
        <v>8.3434040000000001E-2</v>
      </c>
      <c r="R2947">
        <v>-2.2733050000000001E-2</v>
      </c>
      <c r="S2947">
        <v>-3.0199280000000002</v>
      </c>
      <c r="T2947">
        <v>-9.4790219999999994E-2</v>
      </c>
      <c r="U2947">
        <v>3.3142089999999999E-2</v>
      </c>
      <c r="V2947">
        <v>-2.8222130000000002E-2</v>
      </c>
      <c r="W2947">
        <v>9.5818459999999994E-2</v>
      </c>
      <c r="X2947">
        <v>0.99499859999999896</v>
      </c>
      <c r="Y2947">
        <v>5.4910519999999997E-3</v>
      </c>
      <c r="Z2947" s="1">
        <v>-8.5896069999999997E-5</v>
      </c>
      <c r="AA2947">
        <v>0.99998489999999995</v>
      </c>
      <c r="AB2947">
        <v>42</v>
      </c>
      <c r="AC2947">
        <v>-34.922399999999897</v>
      </c>
      <c r="AD2947">
        <v>-1.104416436068</v>
      </c>
      <c r="AE2947">
        <v>0.38470000000000898</v>
      </c>
      <c r="AF2947">
        <v>0.193024737128316</v>
      </c>
      <c r="AG2947">
        <v>-1.104416436068</v>
      </c>
      <c r="AH2947">
        <v>34.889094862826603</v>
      </c>
      <c r="AI2947">
        <v>91.813068244418901</v>
      </c>
      <c r="AJ2947">
        <v>89.683012987720005</v>
      </c>
      <c r="AK2947">
        <v>34.907104356573598</v>
      </c>
      <c r="AL2947">
        <v>84.501570645425005</v>
      </c>
      <c r="AM2947">
        <v>91.624701291637706</v>
      </c>
      <c r="AN2947">
        <v>0.99999993995023195</v>
      </c>
    </row>
    <row r="2948" spans="1:40" x14ac:dyDescent="0.3">
      <c r="A2948" t="str">
        <f>"20200111150011214"</f>
        <v>20200111150011214</v>
      </c>
      <c r="B2948" t="str">
        <f>"1578726011208902"</f>
        <v>1578726011208902</v>
      </c>
      <c r="C2948" t="s">
        <v>40</v>
      </c>
      <c r="D2948">
        <v>4.0295899999999998</v>
      </c>
      <c r="E2948">
        <v>0.5142679</v>
      </c>
      <c r="F2948" t="s">
        <v>62</v>
      </c>
      <c r="G2948">
        <v>-443.65719999999999</v>
      </c>
      <c r="H2948" s="1">
        <v>4.5502919999999998E-7</v>
      </c>
      <c r="I2948">
        <v>283.5718</v>
      </c>
      <c r="J2948">
        <v>-409.19380000000001</v>
      </c>
      <c r="K2948">
        <v>1.1044160000000001</v>
      </c>
      <c r="L2948">
        <v>283.1875</v>
      </c>
      <c r="M2948">
        <v>-0.99990789999999996</v>
      </c>
      <c r="N2948">
        <v>0</v>
      </c>
      <c r="O2948">
        <v>5.4152660000000002E-3</v>
      </c>
      <c r="P2948">
        <v>-0.99624420000000002</v>
      </c>
      <c r="Q2948">
        <v>8.3586939999999998E-2</v>
      </c>
      <c r="R2948">
        <v>-2.2610209999999999E-2</v>
      </c>
      <c r="S2948">
        <v>-3.0200809999999998</v>
      </c>
      <c r="T2948">
        <v>-9.6072439999999995E-2</v>
      </c>
      <c r="U2948">
        <v>3.3538819999999997E-2</v>
      </c>
      <c r="V2948">
        <v>-2.803193E-2</v>
      </c>
      <c r="W2948">
        <v>9.5970819999999998E-2</v>
      </c>
      <c r="X2948">
        <v>0.99498929999999997</v>
      </c>
      <c r="Y2948">
        <v>5.6889360000000003E-3</v>
      </c>
      <c r="Z2948" s="1">
        <v>-8.1768429999999997E-5</v>
      </c>
      <c r="AA2948">
        <v>0.99998379999999998</v>
      </c>
      <c r="AB2948">
        <v>42</v>
      </c>
      <c r="AC2948">
        <v>-34.463399999999901</v>
      </c>
      <c r="AD2948">
        <v>-1.1044155449708</v>
      </c>
      <c r="AE2948">
        <v>0.38429999999999598</v>
      </c>
      <c r="AF2948">
        <v>0.197448688603901</v>
      </c>
      <c r="AG2948">
        <v>-1.1044155449708</v>
      </c>
      <c r="AH2948">
        <v>34.429622781562898</v>
      </c>
      <c r="AI2948">
        <v>91.837244054245204</v>
      </c>
      <c r="AJ2948">
        <v>89.671420956907696</v>
      </c>
      <c r="AK2948">
        <v>34.447897534701902</v>
      </c>
      <c r="AL2948">
        <v>84.492800683617105</v>
      </c>
      <c r="AM2948">
        <v>91.613772677585402</v>
      </c>
      <c r="AN2948">
        <v>0.99999994725274199</v>
      </c>
    </row>
    <row r="2949" spans="1:40" x14ac:dyDescent="0.3">
      <c r="A2949" t="str">
        <f>"20200111150011227"</f>
        <v>20200111150011227</v>
      </c>
      <c r="B2949" t="str">
        <f>"1578726011218661"</f>
        <v>1578726011218661</v>
      </c>
      <c r="C2949" t="s">
        <v>40</v>
      </c>
      <c r="D2949">
        <v>4.020613</v>
      </c>
      <c r="E2949">
        <v>0.51423249999999998</v>
      </c>
      <c r="F2949" t="s">
        <v>62</v>
      </c>
      <c r="G2949">
        <v>-443.75779999999997</v>
      </c>
      <c r="H2949" s="1">
        <v>5.082766E-7</v>
      </c>
      <c r="I2949">
        <v>283.57940000000002</v>
      </c>
      <c r="J2949">
        <v>-409.42759999999998</v>
      </c>
      <c r="K2949">
        <v>1.104419</v>
      </c>
      <c r="L2949">
        <v>283.18880000000001</v>
      </c>
      <c r="M2949">
        <v>-0.99990829999999997</v>
      </c>
      <c r="N2949">
        <v>0</v>
      </c>
      <c r="O2949">
        <v>5.3537630000000001E-3</v>
      </c>
      <c r="P2949">
        <v>-0.99623320000000004</v>
      </c>
      <c r="Q2949">
        <v>8.3677459999999995E-2</v>
      </c>
      <c r="R2949">
        <v>-2.2755870000000001E-2</v>
      </c>
      <c r="S2949">
        <v>-3.0201720000000001</v>
      </c>
      <c r="T2949">
        <v>-9.6502900000000003E-2</v>
      </c>
      <c r="U2949">
        <v>3.4240720000000002E-2</v>
      </c>
      <c r="V2949">
        <v>-2.811661E-2</v>
      </c>
      <c r="W2949">
        <v>9.6061469999999996E-2</v>
      </c>
      <c r="X2949">
        <v>0.99497820000000003</v>
      </c>
      <c r="Y2949">
        <v>5.9822969999999897E-3</v>
      </c>
      <c r="Z2949" s="1">
        <v>-7.5481759999999895E-5</v>
      </c>
      <c r="AA2949">
        <v>0.99998209999999998</v>
      </c>
      <c r="AB2949">
        <v>42</v>
      </c>
      <c r="AC2949">
        <v>-34.330199999999898</v>
      </c>
      <c r="AD2949">
        <v>-1.1044184917233999</v>
      </c>
      <c r="AE2949">
        <v>0.390600000000006</v>
      </c>
      <c r="AF2949">
        <v>0.20657066548435599</v>
      </c>
      <c r="AG2949">
        <v>-1.1044184917233999</v>
      </c>
      <c r="AH2949">
        <v>34.296309275371399</v>
      </c>
      <c r="AI2949">
        <v>91.844382494155298</v>
      </c>
      <c r="AJ2949">
        <v>89.654905019443305</v>
      </c>
      <c r="AK2949">
        <v>34.314708822261998</v>
      </c>
      <c r="AL2949">
        <v>84.487582916624802</v>
      </c>
      <c r="AM2949">
        <v>91.6186630866044</v>
      </c>
      <c r="AN2949">
        <v>0.99999998412584601</v>
      </c>
    </row>
    <row r="2950" spans="1:40" x14ac:dyDescent="0.3">
      <c r="A2950" t="str">
        <f>"20200111150011241"</f>
        <v>20200111150011241</v>
      </c>
      <c r="B2950" t="str">
        <f>"1578726011229398"</f>
        <v>1578726011229398</v>
      </c>
      <c r="C2950" t="s">
        <v>40</v>
      </c>
      <c r="D2950">
        <v>4.0661459999999998</v>
      </c>
      <c r="E2950">
        <v>0.51423090000000005</v>
      </c>
      <c r="F2950" t="s">
        <v>62</v>
      </c>
      <c r="G2950">
        <v>-443.98939999999999</v>
      </c>
      <c r="H2950" s="1">
        <v>6.3184589999999999E-7</v>
      </c>
      <c r="I2950">
        <v>283.57150000000001</v>
      </c>
      <c r="J2950">
        <v>-409.68340000000001</v>
      </c>
      <c r="K2950">
        <v>1.1044210000000001</v>
      </c>
      <c r="L2950">
        <v>283.19009999999997</v>
      </c>
      <c r="M2950">
        <v>-0.99990860000000004</v>
      </c>
      <c r="N2950">
        <v>0</v>
      </c>
      <c r="O2950">
        <v>5.2868339999999998E-3</v>
      </c>
      <c r="P2950">
        <v>-0.99621899999999997</v>
      </c>
      <c r="Q2950">
        <v>8.3838839999999998E-2</v>
      </c>
      <c r="R2950">
        <v>-2.277991E-2</v>
      </c>
      <c r="S2950">
        <v>-3.0202330000000002</v>
      </c>
      <c r="T2950">
        <v>-9.6511009999999994E-2</v>
      </c>
      <c r="U2950">
        <v>3.3447270000000001E-2</v>
      </c>
      <c r="V2950">
        <v>-2.807347E-2</v>
      </c>
      <c r="W2950">
        <v>9.6222849999999999E-2</v>
      </c>
      <c r="X2950">
        <v>0.99496379999999995</v>
      </c>
      <c r="Y2950">
        <v>5.7863919999999996E-3</v>
      </c>
      <c r="Z2950" s="1">
        <v>-7.6477690000000001E-5</v>
      </c>
      <c r="AA2950">
        <v>0.99998330000000002</v>
      </c>
      <c r="AB2950">
        <v>42</v>
      </c>
      <c r="AC2950">
        <v>-34.305999999999898</v>
      </c>
      <c r="AD2950">
        <v>-1.1044203681540901</v>
      </c>
      <c r="AE2950">
        <v>0.38140000000004098</v>
      </c>
      <c r="AF2950">
        <v>0.19980344705751499</v>
      </c>
      <c r="AG2950">
        <v>-1.1044203681540901</v>
      </c>
      <c r="AH2950">
        <v>34.2720218047034</v>
      </c>
      <c r="AI2950">
        <v>91.845693889868201</v>
      </c>
      <c r="AJ2950">
        <v>89.665973468995603</v>
      </c>
      <c r="AK2950">
        <v>34.290394345197001</v>
      </c>
      <c r="AL2950">
        <v>84.478293357422501</v>
      </c>
      <c r="AM2950">
        <v>91.616204228978205</v>
      </c>
      <c r="AN2950">
        <v>0.99999995994519997</v>
      </c>
    </row>
    <row r="2951" spans="1:40" x14ac:dyDescent="0.3">
      <c r="A2951" t="str">
        <f>"20200111150011252"</f>
        <v>20200111150011252</v>
      </c>
      <c r="B2951" t="str">
        <f>"1578726011248918"</f>
        <v>1578726011248918</v>
      </c>
      <c r="C2951" t="s">
        <v>40</v>
      </c>
      <c r="D2951">
        <v>4.0438580000000002</v>
      </c>
      <c r="E2951">
        <v>0.51422979999999996</v>
      </c>
      <c r="F2951" t="s">
        <v>62</v>
      </c>
      <c r="G2951">
        <v>-444.03539999999998</v>
      </c>
      <c r="H2951" s="1">
        <v>6.5635290000000001E-7</v>
      </c>
      <c r="I2951">
        <v>283.57080000000002</v>
      </c>
      <c r="J2951">
        <v>-409.91849999999999</v>
      </c>
      <c r="K2951">
        <v>1.1044210000000001</v>
      </c>
      <c r="L2951">
        <v>283.19119999999998</v>
      </c>
      <c r="M2951">
        <v>-0.99990900000000005</v>
      </c>
      <c r="N2951">
        <v>0</v>
      </c>
      <c r="O2951">
        <v>5.2249719999999996E-3</v>
      </c>
      <c r="P2951">
        <v>-0.99622140000000003</v>
      </c>
      <c r="Q2951">
        <v>8.3826150000000002E-2</v>
      </c>
      <c r="R2951">
        <v>-2.272561E-2</v>
      </c>
      <c r="S2951">
        <v>-3.0203549999999999</v>
      </c>
      <c r="T2951">
        <v>-9.7104670000000004E-2</v>
      </c>
      <c r="U2951">
        <v>3.3477779999999999E-2</v>
      </c>
      <c r="V2951">
        <v>-2.7957739999999998E-2</v>
      </c>
      <c r="W2951">
        <v>9.6210039999999997E-2</v>
      </c>
      <c r="X2951">
        <v>0.99496839999999998</v>
      </c>
      <c r="Y2951">
        <v>5.8578429999999997E-3</v>
      </c>
      <c r="Z2951" s="1">
        <v>-7.380806E-5</v>
      </c>
      <c r="AA2951">
        <v>0.99998279999999995</v>
      </c>
      <c r="AB2951">
        <v>42</v>
      </c>
      <c r="AC2951">
        <v>-34.116899999999902</v>
      </c>
      <c r="AD2951">
        <v>-1.1044203436470901</v>
      </c>
      <c r="AE2951">
        <v>0.37960000000003802</v>
      </c>
      <c r="AF2951">
        <v>0.20111045876880501</v>
      </c>
      <c r="AG2951">
        <v>-1.1044203436470901</v>
      </c>
      <c r="AH2951">
        <v>34.082706121070203</v>
      </c>
      <c r="AI2951">
        <v>91.855938014238006</v>
      </c>
      <c r="AJ2951">
        <v>89.661921012589801</v>
      </c>
      <c r="AK2951">
        <v>34.101188340691699</v>
      </c>
      <c r="AL2951">
        <v>84.4790313027612</v>
      </c>
      <c r="AM2951">
        <v>91.609537667335701</v>
      </c>
      <c r="AN2951">
        <v>1.00000006201063</v>
      </c>
    </row>
    <row r="2952" spans="1:40" x14ac:dyDescent="0.3">
      <c r="A2952" t="str">
        <f>"20200111150011264"</f>
        <v>20200111150011264</v>
      </c>
      <c r="B2952" t="str">
        <f>"1578726011258678"</f>
        <v>1578726011258678</v>
      </c>
      <c r="C2952" t="s">
        <v>40</v>
      </c>
      <c r="D2952">
        <v>4.0361099999999999</v>
      </c>
      <c r="E2952">
        <v>0.51418140000000001</v>
      </c>
      <c r="F2952" t="s">
        <v>62</v>
      </c>
      <c r="G2952">
        <v>-443.67910000000001</v>
      </c>
      <c r="H2952" s="1">
        <v>4.6700780000000001E-7</v>
      </c>
      <c r="I2952">
        <v>283.56439999999998</v>
      </c>
      <c r="J2952">
        <v>-410.13350000000003</v>
      </c>
      <c r="K2952">
        <v>1.10442</v>
      </c>
      <c r="L2952">
        <v>283.19229999999999</v>
      </c>
      <c r="M2952">
        <v>-0.9999093</v>
      </c>
      <c r="N2952">
        <v>0</v>
      </c>
      <c r="O2952">
        <v>5.1684740000000002E-3</v>
      </c>
      <c r="P2952">
        <v>-0.99622960000000005</v>
      </c>
      <c r="Q2952">
        <v>8.3659990000000004E-2</v>
      </c>
      <c r="R2952">
        <v>-2.2977999999999998E-2</v>
      </c>
      <c r="S2952">
        <v>-3.020416</v>
      </c>
      <c r="T2952">
        <v>-9.8807930000000002E-2</v>
      </c>
      <c r="U2952">
        <v>3.3386230000000003E-2</v>
      </c>
      <c r="V2952">
        <v>-2.815366E-2</v>
      </c>
      <c r="W2952">
        <v>9.6043909999999996E-2</v>
      </c>
      <c r="X2952">
        <v>0.99497880000000005</v>
      </c>
      <c r="Y2952">
        <v>5.8837580000000002E-3</v>
      </c>
      <c r="Z2952" s="1">
        <v>-7.2828999999999895E-5</v>
      </c>
      <c r="AA2952">
        <v>0.9999827</v>
      </c>
      <c r="AB2952">
        <v>42</v>
      </c>
      <c r="AC2952">
        <v>-33.545599999999901</v>
      </c>
      <c r="AD2952">
        <v>-1.1044195329922</v>
      </c>
      <c r="AE2952">
        <v>0.372099999999989</v>
      </c>
      <c r="AF2952">
        <v>0.198486939796268</v>
      </c>
      <c r="AG2952">
        <v>-1.1044195329922</v>
      </c>
      <c r="AH2952">
        <v>33.510756717687997</v>
      </c>
      <c r="AI2952">
        <v>91.887590131422598</v>
      </c>
      <c r="AJ2952">
        <v>89.660636402680495</v>
      </c>
      <c r="AK2952">
        <v>33.529538549795099</v>
      </c>
      <c r="AL2952">
        <v>84.488593442708193</v>
      </c>
      <c r="AM2952">
        <v>91.620793927902099</v>
      </c>
      <c r="AN2952">
        <v>0.99999993683445998</v>
      </c>
    </row>
    <row r="2953" spans="1:40" x14ac:dyDescent="0.3">
      <c r="A2953" t="str">
        <f>"20200111150011277"</f>
        <v>20200111150011277</v>
      </c>
      <c r="B2953" t="str">
        <f>"1578726011269414"</f>
        <v>1578726011269414</v>
      </c>
      <c r="C2953" t="s">
        <v>40</v>
      </c>
      <c r="D2953">
        <v>4.0317480000000003</v>
      </c>
      <c r="E2953">
        <v>0.51414369999999998</v>
      </c>
      <c r="F2953" t="s">
        <v>62</v>
      </c>
      <c r="G2953">
        <v>-443.53960000000001</v>
      </c>
      <c r="H2953" s="1">
        <v>3.9347020000000003E-7</v>
      </c>
      <c r="I2953">
        <v>283.54840000000002</v>
      </c>
      <c r="J2953">
        <v>-410.36860000000001</v>
      </c>
      <c r="K2953">
        <v>1.104417</v>
      </c>
      <c r="L2953">
        <v>283.19349999999997</v>
      </c>
      <c r="M2953">
        <v>-0.99990959999999995</v>
      </c>
      <c r="N2953">
        <v>0</v>
      </c>
      <c r="O2953">
        <v>5.1064350000000003E-3</v>
      </c>
      <c r="P2953">
        <v>-0.99622089999999996</v>
      </c>
      <c r="Q2953">
        <v>8.3690180000000003E-2</v>
      </c>
      <c r="R2953">
        <v>-2.3238080000000001E-2</v>
      </c>
      <c r="S2953">
        <v>-3.020416</v>
      </c>
      <c r="T2953">
        <v>-9.9856379999999995E-2</v>
      </c>
      <c r="U2953">
        <v>3.2196040000000002E-2</v>
      </c>
      <c r="V2953">
        <v>-2.8351899999999999E-2</v>
      </c>
      <c r="W2953">
        <v>9.6073809999999996E-2</v>
      </c>
      <c r="X2953">
        <v>0.99497029999999997</v>
      </c>
      <c r="Y2953">
        <v>5.5519460000000003E-3</v>
      </c>
      <c r="Z2953" s="1">
        <v>-7.7034320000000003E-5</v>
      </c>
      <c r="AA2953">
        <v>0.9999846</v>
      </c>
      <c r="AB2953">
        <v>42</v>
      </c>
      <c r="AC2953">
        <v>-33.1709999999999</v>
      </c>
      <c r="AD2953">
        <v>-1.1044166065298</v>
      </c>
      <c r="AE2953">
        <v>0.35490000000004301</v>
      </c>
      <c r="AF2953">
        <v>0.18529133378219001</v>
      </c>
      <c r="AG2953">
        <v>-1.1044166065298</v>
      </c>
      <c r="AH2953">
        <v>33.135652097912399</v>
      </c>
      <c r="AI2953">
        <v>91.908941028026206</v>
      </c>
      <c r="AJ2953">
        <v>89.679610930227</v>
      </c>
      <c r="AK2953">
        <v>33.154569954578498</v>
      </c>
      <c r="AL2953">
        <v>84.486872426683604</v>
      </c>
      <c r="AM2953">
        <v>91.632214302707595</v>
      </c>
      <c r="AN2953">
        <v>0.99999995254180596</v>
      </c>
    </row>
    <row r="2954" spans="1:40" x14ac:dyDescent="0.3">
      <c r="A2954" t="str">
        <f>"20200111150011290"</f>
        <v>20200111150011290</v>
      </c>
      <c r="B2954" t="str">
        <f>"1578726011279173"</f>
        <v>1578726011279173</v>
      </c>
      <c r="C2954" t="s">
        <v>40</v>
      </c>
      <c r="D2954">
        <v>4.0472270000000004</v>
      </c>
      <c r="E2954">
        <v>0.5141038</v>
      </c>
      <c r="F2954" t="s">
        <v>62</v>
      </c>
      <c r="G2954">
        <v>-443.32119999999998</v>
      </c>
      <c r="H2954" s="1">
        <v>2.779449E-7</v>
      </c>
      <c r="I2954">
        <v>283.5324</v>
      </c>
      <c r="J2954">
        <v>-410.61500000000001</v>
      </c>
      <c r="K2954">
        <v>1.1044160000000001</v>
      </c>
      <c r="L2954">
        <v>283.19459999999998</v>
      </c>
      <c r="M2954">
        <v>-0.99990990000000002</v>
      </c>
      <c r="N2954">
        <v>0</v>
      </c>
      <c r="O2954">
        <v>5.0415340000000003E-3</v>
      </c>
      <c r="P2954">
        <v>-0.99620600000000004</v>
      </c>
      <c r="Q2954">
        <v>8.3805400000000002E-2</v>
      </c>
      <c r="R2954">
        <v>-2.3454760000000002E-2</v>
      </c>
      <c r="S2954">
        <v>-3.0205989999999998</v>
      </c>
      <c r="T2954">
        <v>-0.10123649999999999</v>
      </c>
      <c r="U2954">
        <v>3.106689E-2</v>
      </c>
      <c r="V2954">
        <v>-2.8503870000000001E-2</v>
      </c>
      <c r="W2954">
        <v>9.6188670000000004E-2</v>
      </c>
      <c r="X2954">
        <v>0.99495489999999998</v>
      </c>
      <c r="Y2954">
        <v>5.2425659999999997E-3</v>
      </c>
      <c r="Z2954" s="1">
        <v>-8.1102090000000003E-5</v>
      </c>
      <c r="AA2954">
        <v>0.99998620000000005</v>
      </c>
      <c r="AB2954">
        <v>42</v>
      </c>
      <c r="AC2954">
        <v>-32.706199999999903</v>
      </c>
      <c r="AD2954">
        <v>-1.1044157220551001</v>
      </c>
      <c r="AE2954">
        <v>0.33780000000001498</v>
      </c>
      <c r="AF2954">
        <v>0.17269662666080399</v>
      </c>
      <c r="AG2954">
        <v>-1.1044157220551001</v>
      </c>
      <c r="AH2954">
        <v>32.6702387603018</v>
      </c>
      <c r="AI2954">
        <v>91.936116516784097</v>
      </c>
      <c r="AJ2954">
        <v>89.697134270835605</v>
      </c>
      <c r="AK2954">
        <v>32.689356966252902</v>
      </c>
      <c r="AL2954">
        <v>84.480261030677994</v>
      </c>
      <c r="AM2954">
        <v>91.640983805370496</v>
      </c>
      <c r="AN2954">
        <v>0.99999999193767697</v>
      </c>
    </row>
    <row r="2955" spans="1:40" x14ac:dyDescent="0.3">
      <c r="A2955" t="str">
        <f>"20200111150011305"</f>
        <v>20200111150011305</v>
      </c>
      <c r="B2955" t="str">
        <f>"1578726011298693"</f>
        <v>1578726011298693</v>
      </c>
      <c r="C2955" t="s">
        <v>40</v>
      </c>
      <c r="D2955">
        <v>4.1286370000000003</v>
      </c>
      <c r="E2955">
        <v>0.514181</v>
      </c>
      <c r="F2955" t="s">
        <v>62</v>
      </c>
      <c r="G2955">
        <v>-443.58879999999999</v>
      </c>
      <c r="H2955" s="1">
        <v>4.208082E-7</v>
      </c>
      <c r="I2955">
        <v>283.52280000000002</v>
      </c>
      <c r="J2955">
        <v>-410.88830000000002</v>
      </c>
      <c r="K2955">
        <v>1.1044179999999999</v>
      </c>
      <c r="L2955">
        <v>283.19600000000003</v>
      </c>
      <c r="M2955">
        <v>-0.99991039999999998</v>
      </c>
      <c r="N2955">
        <v>0</v>
      </c>
      <c r="O2955">
        <v>4.9697769999999999E-3</v>
      </c>
      <c r="P2955">
        <v>-0.99621269999999995</v>
      </c>
      <c r="Q2955">
        <v>8.3790089999999998E-2</v>
      </c>
      <c r="R2955">
        <v>-2.322919E-2</v>
      </c>
      <c r="S2955">
        <v>-3.0205989999999998</v>
      </c>
      <c r="T2955">
        <v>-0.101171</v>
      </c>
      <c r="U2955">
        <v>3.0059809999999999E-2</v>
      </c>
      <c r="V2955">
        <v>-2.820692E-2</v>
      </c>
      <c r="W2955">
        <v>9.6173960000000003E-2</v>
      </c>
      <c r="X2955">
        <v>0.99496479999999998</v>
      </c>
      <c r="Y2955">
        <v>4.9810690000000003E-3</v>
      </c>
      <c r="Z2955" s="1">
        <v>-8.3024959999999996E-5</v>
      </c>
      <c r="AA2955">
        <v>0.99998759999999998</v>
      </c>
      <c r="AB2955">
        <v>42</v>
      </c>
      <c r="AC2955">
        <v>-32.700499999999899</v>
      </c>
      <c r="AD2955">
        <v>-1.1044175791918001</v>
      </c>
      <c r="AE2955">
        <v>0.326800000000048</v>
      </c>
      <c r="AF2955">
        <v>0.164082071802855</v>
      </c>
      <c r="AG2955">
        <v>-1.1044175791918001</v>
      </c>
      <c r="AH2955">
        <v>32.6644648871819</v>
      </c>
      <c r="AI2955">
        <v>91.936464365146193</v>
      </c>
      <c r="AJ2955">
        <v>89.712190872627502</v>
      </c>
      <c r="AK2955">
        <v>32.683542150162502</v>
      </c>
      <c r="AL2955">
        <v>84.481107861082293</v>
      </c>
      <c r="AM2955">
        <v>91.623881279593405</v>
      </c>
      <c r="AN2955">
        <v>1.0000000070785</v>
      </c>
    </row>
    <row r="2956" spans="1:40" x14ac:dyDescent="0.3">
      <c r="A2956" t="str">
        <f>"20200111150011319"</f>
        <v>20200111150011319</v>
      </c>
      <c r="B2956" t="str">
        <f>"1578726011309430"</f>
        <v>1578726011309430</v>
      </c>
      <c r="C2956" t="s">
        <v>40</v>
      </c>
      <c r="D2956">
        <v>4.0419749999999999</v>
      </c>
      <c r="E2956">
        <v>0.51415529999999998</v>
      </c>
      <c r="F2956" t="s">
        <v>62</v>
      </c>
      <c r="G2956">
        <v>-443.49880000000002</v>
      </c>
      <c r="H2956" s="1">
        <v>3.7243990000000003E-7</v>
      </c>
      <c r="I2956">
        <v>283.53300000000002</v>
      </c>
      <c r="J2956">
        <v>-411.15949999999998</v>
      </c>
      <c r="K2956">
        <v>1.1044229999999999</v>
      </c>
      <c r="L2956">
        <v>283.19729999999998</v>
      </c>
      <c r="M2956">
        <v>-0.99991070000000004</v>
      </c>
      <c r="N2956">
        <v>0</v>
      </c>
      <c r="O2956">
        <v>4.8986120000000001E-3</v>
      </c>
      <c r="P2956">
        <v>-0.99619789999999997</v>
      </c>
      <c r="Q2956">
        <v>8.401836E-2</v>
      </c>
      <c r="R2956">
        <v>-2.3040890000000001E-2</v>
      </c>
      <c r="S2956">
        <v>-3.0207519999999999</v>
      </c>
      <c r="T2956">
        <v>-0.10230359999999999</v>
      </c>
      <c r="U2956">
        <v>3.1219480000000001E-2</v>
      </c>
      <c r="V2956">
        <v>-2.794773E-2</v>
      </c>
      <c r="W2956">
        <v>9.6401780000000006E-2</v>
      </c>
      <c r="X2956">
        <v>0.99495009999999995</v>
      </c>
      <c r="Y2956">
        <v>5.4352920000000004E-3</v>
      </c>
      <c r="Z2956" s="1">
        <v>-7.3850809999999995E-5</v>
      </c>
      <c r="AA2956">
        <v>0.99998520000000002</v>
      </c>
      <c r="AB2956">
        <v>42</v>
      </c>
      <c r="AC2956">
        <v>-32.339300000000001</v>
      </c>
      <c r="AD2956">
        <v>-1.1044226275600999</v>
      </c>
      <c r="AE2956">
        <v>0.33570000000003097</v>
      </c>
      <c r="AF2956">
        <v>0.17705955986501001</v>
      </c>
      <c r="AG2956">
        <v>-1.1044226275600999</v>
      </c>
      <c r="AH2956">
        <v>32.3028857983047</v>
      </c>
      <c r="AI2956">
        <v>91.9581274403469</v>
      </c>
      <c r="AJ2956">
        <v>89.685951776202899</v>
      </c>
      <c r="AK2956">
        <v>32.322245131276397</v>
      </c>
      <c r="AL2956">
        <v>84.467993986047205</v>
      </c>
      <c r="AM2956">
        <v>91.6089912687046</v>
      </c>
      <c r="AN2956">
        <v>1.00000004014466</v>
      </c>
    </row>
    <row r="2957" spans="1:40" x14ac:dyDescent="0.3">
      <c r="A2957" t="str">
        <f>"20200111150011331"</f>
        <v>20200111150011331</v>
      </c>
      <c r="B2957" t="str">
        <f>"1578726011328949"</f>
        <v>1578726011328949</v>
      </c>
      <c r="C2957" t="s">
        <v>40</v>
      </c>
      <c r="D2957">
        <v>4.1887990000000004</v>
      </c>
      <c r="E2957">
        <v>0.51413819999999999</v>
      </c>
      <c r="F2957" t="s">
        <v>62</v>
      </c>
      <c r="G2957">
        <v>-443.72250000000003</v>
      </c>
      <c r="H2957" s="1">
        <v>4.9133009999999999E-7</v>
      </c>
      <c r="I2957">
        <v>283.53680000000003</v>
      </c>
      <c r="J2957">
        <v>-411.3854</v>
      </c>
      <c r="K2957">
        <v>1.104425</v>
      </c>
      <c r="L2957">
        <v>283.19830000000002</v>
      </c>
      <c r="M2957">
        <v>-0.99991090000000005</v>
      </c>
      <c r="N2957">
        <v>0</v>
      </c>
      <c r="O2957">
        <v>4.8388959999999996E-3</v>
      </c>
      <c r="P2957">
        <v>-0.99621029999999999</v>
      </c>
      <c r="Q2957">
        <v>8.3925970000000003E-2</v>
      </c>
      <c r="R2957">
        <v>-2.283464E-2</v>
      </c>
      <c r="S2957">
        <v>-3.020813</v>
      </c>
      <c r="T2957">
        <v>-0.1024553</v>
      </c>
      <c r="U2957">
        <v>3.1494139999999997E-2</v>
      </c>
      <c r="V2957">
        <v>-2.7681819999999999E-2</v>
      </c>
      <c r="W2957">
        <v>9.6309710000000007E-2</v>
      </c>
      <c r="X2957">
        <v>0.99496640000000003</v>
      </c>
      <c r="Y2957">
        <v>5.585591E-3</v>
      </c>
      <c r="Z2957" s="1">
        <v>-6.9385830000000004E-5</v>
      </c>
      <c r="AA2957">
        <v>0.9999844</v>
      </c>
      <c r="AB2957">
        <v>42</v>
      </c>
      <c r="AC2957">
        <v>-32.3371</v>
      </c>
      <c r="AD2957">
        <v>-1.1044245086698901</v>
      </c>
      <c r="AE2957">
        <v>0.33850000000001002</v>
      </c>
      <c r="AF2957">
        <v>0.18179602709812001</v>
      </c>
      <c r="AG2957">
        <v>-1.1044245086698901</v>
      </c>
      <c r="AH2957">
        <v>32.300686109749101</v>
      </c>
      <c r="AI2957">
        <v>91.958262420710795</v>
      </c>
      <c r="AJ2957">
        <v>89.677528982905201</v>
      </c>
      <c r="AK2957">
        <v>32.320073119523698</v>
      </c>
      <c r="AL2957">
        <v>84.473293592288002</v>
      </c>
      <c r="AM2957">
        <v>91.593664282782896</v>
      </c>
      <c r="AN2957">
        <v>0.99999999026387798</v>
      </c>
    </row>
    <row r="2958" spans="1:40" x14ac:dyDescent="0.3">
      <c r="A2958" t="str">
        <f>"20200111150011345"</f>
        <v>20200111150011345</v>
      </c>
      <c r="B2958" t="str">
        <f>"1578726011338709"</f>
        <v>1578726011338709</v>
      </c>
      <c r="C2958" t="s">
        <v>40</v>
      </c>
      <c r="D2958">
        <v>4.142525</v>
      </c>
      <c r="E2958">
        <v>0.51414850000000001</v>
      </c>
      <c r="F2958" t="s">
        <v>62</v>
      </c>
      <c r="G2958">
        <v>-444.2586</v>
      </c>
      <c r="H2958" s="1">
        <v>7.7614210000000001E-7</v>
      </c>
      <c r="I2958">
        <v>283.548</v>
      </c>
      <c r="J2958">
        <v>-411.6422</v>
      </c>
      <c r="K2958">
        <v>1.104425</v>
      </c>
      <c r="L2958">
        <v>283.1995</v>
      </c>
      <c r="M2958">
        <v>-0.9999112</v>
      </c>
      <c r="N2958">
        <v>0</v>
      </c>
      <c r="O2958">
        <v>4.7714929999999999E-3</v>
      </c>
      <c r="P2958">
        <v>-0.99621769999999998</v>
      </c>
      <c r="Q2958">
        <v>8.3899769999999999E-2</v>
      </c>
      <c r="R2958">
        <v>-2.2609649999999998E-2</v>
      </c>
      <c r="S2958">
        <v>-3.0206599999999999</v>
      </c>
      <c r="T2958">
        <v>-0.1014835</v>
      </c>
      <c r="U2958">
        <v>3.2135009999999999E-2</v>
      </c>
      <c r="V2958">
        <v>-2.7389159999999999E-2</v>
      </c>
      <c r="W2958">
        <v>9.6283590000000002E-2</v>
      </c>
      <c r="X2958">
        <v>0.99497709999999995</v>
      </c>
      <c r="Y2958">
        <v>5.8654730000000004E-3</v>
      </c>
      <c r="Z2958" s="1">
        <v>-6.1767439999999997E-5</v>
      </c>
      <c r="AA2958">
        <v>0.99998279999999995</v>
      </c>
      <c r="AB2958">
        <v>42</v>
      </c>
      <c r="AC2958">
        <v>-32.616399999999999</v>
      </c>
      <c r="AD2958">
        <v>-1.1044242238578901</v>
      </c>
      <c r="AE2958">
        <v>0.34850000000000098</v>
      </c>
      <c r="AF2958">
        <v>0.192634215876342</v>
      </c>
      <c r="AG2958">
        <v>-1.1044242238578901</v>
      </c>
      <c r="AH2958">
        <v>32.580340333438599</v>
      </c>
      <c r="AI2958">
        <v>91.941462858596907</v>
      </c>
      <c r="AJ2958">
        <v>89.661237456864399</v>
      </c>
      <c r="AK2958">
        <v>32.5996232654621</v>
      </c>
      <c r="AL2958">
        <v>84.474797546787599</v>
      </c>
      <c r="AM2958">
        <v>91.576807217855105</v>
      </c>
      <c r="AN2958">
        <v>1.0000000626565999</v>
      </c>
    </row>
    <row r="2959" spans="1:40" x14ac:dyDescent="0.3">
      <c r="A2959" t="str">
        <f>"20200111150011359"</f>
        <v>20200111150011359</v>
      </c>
      <c r="B2959" t="str">
        <f>"1578726011348469"</f>
        <v>1578726011348469</v>
      </c>
      <c r="C2959" t="s">
        <v>40</v>
      </c>
      <c r="D2959">
        <v>4.0631370000000002</v>
      </c>
      <c r="E2959">
        <v>0.51415440000000001</v>
      </c>
      <c r="F2959" t="s">
        <v>62</v>
      </c>
      <c r="G2959">
        <v>-444.71820000000002</v>
      </c>
      <c r="H2959" s="1">
        <v>1.020237E-6</v>
      </c>
      <c r="I2959">
        <v>283.55900000000003</v>
      </c>
      <c r="J2959">
        <v>-411.9076</v>
      </c>
      <c r="K2959">
        <v>1.1044240000000001</v>
      </c>
      <c r="L2959">
        <v>283.20069999999998</v>
      </c>
      <c r="M2959">
        <v>-0.99991160000000001</v>
      </c>
      <c r="N2959">
        <v>0</v>
      </c>
      <c r="O2959">
        <v>4.7025419999999997E-3</v>
      </c>
      <c r="P2959">
        <v>-0.99621369999999998</v>
      </c>
      <c r="Q2959">
        <v>8.4001320000000004E-2</v>
      </c>
      <c r="R2959">
        <v>-2.2412310000000001E-2</v>
      </c>
      <c r="S2959">
        <v>-3.0205989999999998</v>
      </c>
      <c r="T2959">
        <v>-0.1008593</v>
      </c>
      <c r="U2959">
        <v>3.2836909999999997E-2</v>
      </c>
      <c r="V2959">
        <v>-2.71232E-2</v>
      </c>
      <c r="W2959">
        <v>9.6385639999999995E-2</v>
      </c>
      <c r="X2959">
        <v>0.99497440000000004</v>
      </c>
      <c r="Y2959">
        <v>6.166787E-3</v>
      </c>
      <c r="Z2959" s="1">
        <v>-5.4058199999999997E-5</v>
      </c>
      <c r="AA2959">
        <v>0.99998100000000001</v>
      </c>
      <c r="AB2959">
        <v>42</v>
      </c>
      <c r="AC2959">
        <v>-32.810600000000001</v>
      </c>
      <c r="AD2959">
        <v>-1.1044229797630001</v>
      </c>
      <c r="AE2959">
        <v>0.35830000000004197</v>
      </c>
      <c r="AF2959">
        <v>0.20376003952216201</v>
      </c>
      <c r="AG2959">
        <v>-1.1044229797630001</v>
      </c>
      <c r="AH2959">
        <v>32.774791718078298</v>
      </c>
      <c r="AI2959">
        <v>91.929947250116399</v>
      </c>
      <c r="AJ2959">
        <v>89.643798197367204</v>
      </c>
      <c r="AK2959">
        <v>32.794027511657497</v>
      </c>
      <c r="AL2959">
        <v>84.468922611232202</v>
      </c>
      <c r="AM2959">
        <v>91.561507624681695</v>
      </c>
      <c r="AN2959">
        <v>0.99999995811590303</v>
      </c>
    </row>
    <row r="2960" spans="1:40" x14ac:dyDescent="0.3">
      <c r="A2960" t="str">
        <f>"20200111150011373"</f>
        <v>20200111150011373</v>
      </c>
      <c r="B2960" t="str">
        <f>"1578726011368965"</f>
        <v>1578726011368965</v>
      </c>
      <c r="C2960" t="s">
        <v>40</v>
      </c>
      <c r="D2960">
        <v>4.0736790000000003</v>
      </c>
      <c r="E2960">
        <v>0.51429060000000004</v>
      </c>
      <c r="F2960" t="s">
        <v>62</v>
      </c>
      <c r="G2960">
        <v>-445.23970000000003</v>
      </c>
      <c r="H2960" s="1">
        <v>1.297321E-6</v>
      </c>
      <c r="I2960">
        <v>283.56880000000001</v>
      </c>
      <c r="J2960">
        <v>-412.16750000000002</v>
      </c>
      <c r="K2960">
        <v>1.104422</v>
      </c>
      <c r="L2960">
        <v>283.20179999999999</v>
      </c>
      <c r="M2960">
        <v>-0.99991180000000002</v>
      </c>
      <c r="N2960">
        <v>0</v>
      </c>
      <c r="O2960">
        <v>4.6370020000000003E-3</v>
      </c>
      <c r="P2960">
        <v>-0.99622639999999996</v>
      </c>
      <c r="Q2960">
        <v>8.3891499999999994E-2</v>
      </c>
      <c r="R2960">
        <v>-2.22515E-2</v>
      </c>
      <c r="S2960">
        <v>-3.0205690000000001</v>
      </c>
      <c r="T2960">
        <v>-0.10008300000000001</v>
      </c>
      <c r="U2960">
        <v>3.3355709999999997E-2</v>
      </c>
      <c r="V2960">
        <v>-2.689718E-2</v>
      </c>
      <c r="W2960">
        <v>9.6276E-2</v>
      </c>
      <c r="X2960">
        <v>0.99499119999999996</v>
      </c>
      <c r="Y2960">
        <v>6.404018E-3</v>
      </c>
      <c r="Z2960" s="1">
        <v>-4.7542839999999998E-5</v>
      </c>
      <c r="AA2960">
        <v>0.99997950000000002</v>
      </c>
      <c r="AB2960">
        <v>42</v>
      </c>
      <c r="AC2960">
        <v>-33.072200000000002</v>
      </c>
      <c r="AD2960">
        <v>-1.1044207026790001</v>
      </c>
      <c r="AE2960">
        <v>0.36700000000001798</v>
      </c>
      <c r="AF2960">
        <v>0.21339037993561999</v>
      </c>
      <c r="AG2960">
        <v>-1.1044207026790001</v>
      </c>
      <c r="AH2960">
        <v>33.036709132951501</v>
      </c>
      <c r="AI2960">
        <v>91.914651041114396</v>
      </c>
      <c r="AJ2960">
        <v>89.629920822881999</v>
      </c>
      <c r="AK2960">
        <v>33.055853201483004</v>
      </c>
      <c r="AL2960">
        <v>84.475234144515497</v>
      </c>
      <c r="AM2960">
        <v>91.548475673878997</v>
      </c>
      <c r="AN2960">
        <v>1.00000000727269</v>
      </c>
    </row>
    <row r="2961" spans="1:40" x14ac:dyDescent="0.3">
      <c r="A2961" t="str">
        <f>"20200111150011386"</f>
        <v>20200111150011386</v>
      </c>
      <c r="B2961" t="str">
        <f>"1578726011378725"</f>
        <v>1578726011378725</v>
      </c>
      <c r="C2961" t="s">
        <v>40</v>
      </c>
      <c r="D2961">
        <v>4.1334249999999999</v>
      </c>
      <c r="E2961">
        <v>0.51429060000000004</v>
      </c>
      <c r="F2961" t="s">
        <v>62</v>
      </c>
      <c r="G2961">
        <v>-445.35250000000002</v>
      </c>
      <c r="H2961" s="1">
        <v>1.3566179999999999E-6</v>
      </c>
      <c r="I2961">
        <v>283.58569999999997</v>
      </c>
      <c r="J2961">
        <v>-412.42320000000001</v>
      </c>
      <c r="K2961">
        <v>1.104422</v>
      </c>
      <c r="L2961">
        <v>283.20299999999997</v>
      </c>
      <c r="M2961">
        <v>-0.99991209999999997</v>
      </c>
      <c r="N2961">
        <v>0</v>
      </c>
      <c r="O2961">
        <v>4.5751120000000001E-3</v>
      </c>
      <c r="P2961">
        <v>-0.99621380000000004</v>
      </c>
      <c r="Q2961">
        <v>8.4158350000000007E-2</v>
      </c>
      <c r="R2961">
        <v>-2.1811420000000002E-2</v>
      </c>
      <c r="S2961">
        <v>-3.0206300000000001</v>
      </c>
      <c r="T2961">
        <v>-0.10052850000000001</v>
      </c>
      <c r="U2961">
        <v>3.4942630000000002E-2</v>
      </c>
      <c r="V2961">
        <v>-2.6394529999999999E-2</v>
      </c>
      <c r="W2961">
        <v>9.6542729999999993E-2</v>
      </c>
      <c r="X2961">
        <v>0.99497880000000005</v>
      </c>
      <c r="Y2961">
        <v>6.9906019999999899E-3</v>
      </c>
      <c r="Z2961" s="1">
        <v>-3.5936029999999998E-5</v>
      </c>
      <c r="AA2961">
        <v>0.99997559999999996</v>
      </c>
      <c r="AB2961">
        <v>42</v>
      </c>
      <c r="AC2961">
        <v>-32.929299999999998</v>
      </c>
      <c r="AD2961">
        <v>-1.1044206433820001</v>
      </c>
      <c r="AE2961">
        <v>0.38269999999999899</v>
      </c>
      <c r="AF2961">
        <v>0.23176841671862999</v>
      </c>
      <c r="AG2961">
        <v>-1.1044206433820001</v>
      </c>
      <c r="AH2961">
        <v>32.893710048069302</v>
      </c>
      <c r="AI2961">
        <v>91.922960666490596</v>
      </c>
      <c r="AJ2961">
        <v>89.596301775180606</v>
      </c>
      <c r="AK2961">
        <v>32.913061575656698</v>
      </c>
      <c r="AL2961">
        <v>84.459880029309701</v>
      </c>
      <c r="AM2961">
        <v>91.519570644683199</v>
      </c>
      <c r="AN2961">
        <v>0.99999999118960603</v>
      </c>
    </row>
    <row r="2962" spans="1:40" x14ac:dyDescent="0.3">
      <c r="A2962" t="str">
        <f>"20200111150011400"</f>
        <v>20200111150011400</v>
      </c>
      <c r="B2962" t="str">
        <f>"1578726011389461"</f>
        <v>1578726011389461</v>
      </c>
      <c r="C2962" t="s">
        <v>40</v>
      </c>
      <c r="D2962">
        <v>3.929853</v>
      </c>
      <c r="E2962">
        <v>0.54679659999999997</v>
      </c>
      <c r="F2962" t="s">
        <v>62</v>
      </c>
      <c r="G2962">
        <v>-445.87520000000001</v>
      </c>
      <c r="H2962" s="1">
        <v>1.6338579999999901E-6</v>
      </c>
      <c r="I2962">
        <v>283.60649999999998</v>
      </c>
      <c r="J2962">
        <v>-412.67700000000002</v>
      </c>
      <c r="K2962">
        <v>1.10442</v>
      </c>
      <c r="L2962">
        <v>283.20400000000001</v>
      </c>
      <c r="M2962">
        <v>-0.99991240000000003</v>
      </c>
      <c r="N2962">
        <v>0</v>
      </c>
      <c r="O2962">
        <v>4.5168129999999997E-3</v>
      </c>
      <c r="P2962">
        <v>-0.99621479999999996</v>
      </c>
      <c r="Q2962">
        <v>8.4152030000000003E-2</v>
      </c>
      <c r="R2962">
        <v>-2.1785269999999999E-2</v>
      </c>
      <c r="S2962">
        <v>-3.0205989999999998</v>
      </c>
      <c r="T2962">
        <v>-9.9725250000000001E-2</v>
      </c>
      <c r="U2962">
        <v>3.6437990000000003E-2</v>
      </c>
      <c r="V2962">
        <v>-2.6309619999999999E-2</v>
      </c>
      <c r="W2962">
        <v>9.6536549999999999E-2</v>
      </c>
      <c r="X2962">
        <v>0.99498160000000002</v>
      </c>
      <c r="Y2962">
        <v>7.5436829999999998E-3</v>
      </c>
      <c r="Z2962" s="1">
        <v>-2.4597820000000002E-5</v>
      </c>
      <c r="AA2962">
        <v>0.99997159999999996</v>
      </c>
      <c r="AB2962">
        <v>42</v>
      </c>
      <c r="AC2962">
        <v>-33.1982</v>
      </c>
      <c r="AD2962">
        <v>-1.104418366142</v>
      </c>
      <c r="AE2962">
        <v>0.40249999999997499</v>
      </c>
      <c r="AF2962">
        <v>0.25225509041333299</v>
      </c>
      <c r="AG2962">
        <v>-1.104418366142</v>
      </c>
      <c r="AH2962">
        <v>33.162982679168699</v>
      </c>
      <c r="AI2962">
        <v>91.9073466748942</v>
      </c>
      <c r="AJ2962">
        <v>89.564186567854193</v>
      </c>
      <c r="AK2962">
        <v>33.1823265118188</v>
      </c>
      <c r="AL2962">
        <v>84.460235510895203</v>
      </c>
      <c r="AM2962">
        <v>91.514680275590095</v>
      </c>
      <c r="AN2962">
        <v>0.99999994296450101</v>
      </c>
    </row>
    <row r="2963" spans="1:40" x14ac:dyDescent="0.3">
      <c r="A2963" t="str">
        <f>"20200111150011413"</f>
        <v>20200111150011413</v>
      </c>
      <c r="B2963" t="str">
        <f>"1578726011408981"</f>
        <v>1578726011408981</v>
      </c>
      <c r="C2963" t="s">
        <v>40</v>
      </c>
      <c r="D2963">
        <v>3.8899400000000002</v>
      </c>
      <c r="E2963">
        <v>0.55011899999999903</v>
      </c>
      <c r="F2963" t="s">
        <v>62</v>
      </c>
      <c r="G2963">
        <v>-457.3972</v>
      </c>
      <c r="H2963" s="1">
        <v>2.2696759999999998E-6</v>
      </c>
      <c r="I2963">
        <v>287.58949999999999</v>
      </c>
      <c r="J2963">
        <v>-412.9246</v>
      </c>
      <c r="K2963">
        <v>1.1044149999999999</v>
      </c>
      <c r="L2963">
        <v>283.20510000000002</v>
      </c>
      <c r="M2963">
        <v>-0.99991260000000004</v>
      </c>
      <c r="N2963">
        <v>0</v>
      </c>
      <c r="O2963">
        <v>4.4677889999999998E-3</v>
      </c>
      <c r="P2963">
        <v>-0.99621669999999996</v>
      </c>
      <c r="Q2963">
        <v>8.4161070000000004E-2</v>
      </c>
      <c r="R2963">
        <v>-2.165864E-2</v>
      </c>
      <c r="S2963">
        <v>-3.0242</v>
      </c>
      <c r="T2963">
        <v>-7.4686169999999996E-2</v>
      </c>
      <c r="U2963">
        <v>0.29656979999999999</v>
      </c>
      <c r="V2963">
        <v>-2.613263E-2</v>
      </c>
      <c r="W2963">
        <v>9.6546060000000003E-2</v>
      </c>
      <c r="X2963">
        <v>0.99498540000000002</v>
      </c>
      <c r="Y2963">
        <v>9.312281E-2</v>
      </c>
      <c r="Z2963">
        <v>1.0369050000000001E-3</v>
      </c>
      <c r="AA2963">
        <v>0.99565409999999999</v>
      </c>
      <c r="AB2963">
        <v>42</v>
      </c>
      <c r="AC2963">
        <v>-44.4726</v>
      </c>
      <c r="AD2963">
        <v>-1.1044127303239999</v>
      </c>
      <c r="AE2963">
        <v>4.3843999999999701</v>
      </c>
      <c r="AF2963">
        <v>4.1830917538189798</v>
      </c>
      <c r="AG2963">
        <v>-1.1044127303239999</v>
      </c>
      <c r="AH2963">
        <v>44.464588558070702</v>
      </c>
      <c r="AI2963">
        <v>91.416569399654307</v>
      </c>
      <c r="AJ2963">
        <v>84.625607308138996</v>
      </c>
      <c r="AK2963">
        <v>44.674574645297703</v>
      </c>
      <c r="AL2963">
        <v>84.459688394175103</v>
      </c>
      <c r="AM2963">
        <v>91.504489678563999</v>
      </c>
      <c r="AN2963">
        <v>1.0000000011326999</v>
      </c>
    </row>
    <row r="2964" spans="1:40" x14ac:dyDescent="0.3">
      <c r="A2964" t="str">
        <f>"20200111150011432"</f>
        <v>20200111150011432</v>
      </c>
      <c r="B2964" t="str">
        <f>"1578726011429478"</f>
        <v>1578726011429478</v>
      </c>
      <c r="C2964" t="s">
        <v>40</v>
      </c>
      <c r="D2964">
        <v>4.0699930000000002</v>
      </c>
      <c r="E2964">
        <v>0.55241839999999998</v>
      </c>
      <c r="F2964" t="s">
        <v>62</v>
      </c>
      <c r="G2964">
        <v>-445.08940000000001</v>
      </c>
      <c r="H2964" s="1">
        <v>1.0833859999999999E-6</v>
      </c>
      <c r="I2964">
        <v>286.63319999999999</v>
      </c>
      <c r="J2964">
        <v>-413.2679</v>
      </c>
      <c r="K2964">
        <v>1.1044069999999999</v>
      </c>
      <c r="L2964">
        <v>283.20659999999998</v>
      </c>
      <c r="M2964">
        <v>-0.99991289999999999</v>
      </c>
      <c r="N2964">
        <v>0</v>
      </c>
      <c r="O2964">
        <v>4.4097870000000001E-3</v>
      </c>
      <c r="P2964">
        <v>-0.9962143</v>
      </c>
      <c r="Q2964">
        <v>8.4114579999999994E-2</v>
      </c>
      <c r="R2964">
        <v>-2.1956059999999999E-2</v>
      </c>
      <c r="S2964">
        <v>-3.0271910000000002</v>
      </c>
      <c r="T2964">
        <v>-0.1039419</v>
      </c>
      <c r="U2964">
        <v>0.32263180000000002</v>
      </c>
      <c r="V2964">
        <v>-2.6369489999999999E-2</v>
      </c>
      <c r="W2964">
        <v>9.6500500000000003E-2</v>
      </c>
      <c r="X2964">
        <v>0.99498359999999997</v>
      </c>
      <c r="Y2964">
        <v>0.1015349</v>
      </c>
      <c r="Z2964">
        <v>1.586779E-3</v>
      </c>
      <c r="AA2964">
        <v>0.99483069999999896</v>
      </c>
      <c r="AB2964">
        <v>42</v>
      </c>
      <c r="AC2964">
        <v>-31.8215</v>
      </c>
      <c r="AD2964">
        <v>-1.1044059166139999</v>
      </c>
      <c r="AE2964">
        <v>3.4266000000000001</v>
      </c>
      <c r="AF2964">
        <v>3.2823214589604301</v>
      </c>
      <c r="AG2964">
        <v>-1.1044059166139999</v>
      </c>
      <c r="AH2964">
        <v>31.798439283875101</v>
      </c>
      <c r="AI2964">
        <v>91.978661061024496</v>
      </c>
      <c r="AJ2964">
        <v>84.106645629490899</v>
      </c>
      <c r="AK2964">
        <v>31.986467255370599</v>
      </c>
      <c r="AL2964">
        <v>84.462311198218103</v>
      </c>
      <c r="AM2964">
        <v>91.518122410867093</v>
      </c>
      <c r="AN2964">
        <v>1.0000000303860299</v>
      </c>
    </row>
    <row r="2965" spans="1:40" x14ac:dyDescent="0.3">
      <c r="A2965" t="str">
        <f>"20200111150011446"</f>
        <v>20200111150011446</v>
      </c>
      <c r="B2965" t="str">
        <f>"1578726011439238"</f>
        <v>1578726011439238</v>
      </c>
      <c r="C2965" t="s">
        <v>40</v>
      </c>
      <c r="D2965">
        <v>3.9621689999999998</v>
      </c>
      <c r="E2965">
        <v>0.55299339999999997</v>
      </c>
      <c r="F2965" t="s">
        <v>62</v>
      </c>
      <c r="G2965">
        <v>-453.4966</v>
      </c>
      <c r="H2965" s="1">
        <v>1.873858E-7</v>
      </c>
      <c r="I2965">
        <v>287.73930000000001</v>
      </c>
      <c r="J2965">
        <v>-413.52550000000002</v>
      </c>
      <c r="K2965">
        <v>1.10439</v>
      </c>
      <c r="L2965">
        <v>283.20769999999999</v>
      </c>
      <c r="M2965">
        <v>-0.99991289999999999</v>
      </c>
      <c r="N2965">
        <v>0</v>
      </c>
      <c r="O2965">
        <v>4.3750789999999996E-3</v>
      </c>
      <c r="P2965">
        <v>-0.99619769999999996</v>
      </c>
      <c r="Q2965">
        <v>8.4196599999999996E-2</v>
      </c>
      <c r="R2965">
        <v>-2.2390110000000001E-2</v>
      </c>
      <c r="S2965">
        <v>-3.0259399999999999</v>
      </c>
      <c r="T2965">
        <v>-8.3071950000000006E-2</v>
      </c>
      <c r="U2965">
        <v>0.34094239999999998</v>
      </c>
      <c r="V2965">
        <v>-2.676686E-2</v>
      </c>
      <c r="W2965">
        <v>9.6582609999999999E-2</v>
      </c>
      <c r="X2965">
        <v>0.99496499999999999</v>
      </c>
      <c r="Y2965">
        <v>0.1075774</v>
      </c>
      <c r="Z2965">
        <v>1.3520330000000001E-3</v>
      </c>
      <c r="AA2965">
        <v>0.99419579999999996</v>
      </c>
      <c r="AB2965">
        <v>42</v>
      </c>
      <c r="AC2965">
        <v>-39.9710999999999</v>
      </c>
      <c r="AD2965">
        <v>-1.1043898126142</v>
      </c>
      <c r="AE2965">
        <v>4.5316000000000196</v>
      </c>
      <c r="AF2965">
        <v>4.3533851399091699</v>
      </c>
      <c r="AG2965">
        <v>-1.1043898126142</v>
      </c>
      <c r="AH2965">
        <v>39.960426336160303</v>
      </c>
      <c r="AI2965">
        <v>91.573778631098193</v>
      </c>
      <c r="AJ2965">
        <v>83.782579389372899</v>
      </c>
      <c r="AK2965">
        <v>40.212029443964703</v>
      </c>
      <c r="AL2965">
        <v>84.457584440714498</v>
      </c>
      <c r="AM2965">
        <v>91.541017311725994</v>
      </c>
      <c r="AN2965">
        <v>1.0000000082868299</v>
      </c>
    </row>
    <row r="2966" spans="1:40" x14ac:dyDescent="0.3">
      <c r="A2966" t="str">
        <f>"20200111150011457"</f>
        <v>20200111150011457</v>
      </c>
      <c r="B2966" t="str">
        <f>"1578726011448997"</f>
        <v>1578726011448997</v>
      </c>
      <c r="C2966" t="s">
        <v>40</v>
      </c>
      <c r="D2966">
        <v>3.968988</v>
      </c>
      <c r="E2966">
        <v>0.55313650000000003</v>
      </c>
      <c r="F2966" t="s">
        <v>62</v>
      </c>
      <c r="G2966">
        <v>-458.56639999999999</v>
      </c>
      <c r="H2966" s="1">
        <v>2.8591420000000002E-6</v>
      </c>
      <c r="I2966">
        <v>288.33800000000002</v>
      </c>
      <c r="J2966">
        <v>-413.77050000000003</v>
      </c>
      <c r="K2966">
        <v>1.1043810000000001</v>
      </c>
      <c r="L2966">
        <v>283.2088</v>
      </c>
      <c r="M2966">
        <v>-0.9999131</v>
      </c>
      <c r="N2966">
        <v>0</v>
      </c>
      <c r="O2966">
        <v>4.3490220000000001E-3</v>
      </c>
      <c r="P2966">
        <v>-0.99617829999999996</v>
      </c>
      <c r="Q2966">
        <v>8.4302699999999994E-2</v>
      </c>
      <c r="R2966">
        <v>-2.2849930000000001E-2</v>
      </c>
      <c r="S2966">
        <v>-3.025452</v>
      </c>
      <c r="T2966">
        <v>-7.4183109999999997E-2</v>
      </c>
      <c r="U2966">
        <v>0.34460449999999998</v>
      </c>
      <c r="V2966">
        <v>-2.7197840000000001E-2</v>
      </c>
      <c r="W2966">
        <v>9.6689399999999995E-2</v>
      </c>
      <c r="X2966">
        <v>0.99494289999999996</v>
      </c>
      <c r="Y2966">
        <v>0.1088166</v>
      </c>
      <c r="Z2966">
        <v>1.223299E-3</v>
      </c>
      <c r="AA2966">
        <v>0.99406110000000003</v>
      </c>
      <c r="AB2966">
        <v>42</v>
      </c>
      <c r="AC2966">
        <v>-44.795899999999897</v>
      </c>
      <c r="AD2966">
        <v>-1.104378140858</v>
      </c>
      <c r="AE2966">
        <v>5.12919999999996</v>
      </c>
      <c r="AF2966">
        <v>4.9313595608427097</v>
      </c>
      <c r="AG2966">
        <v>-1.104378140858</v>
      </c>
      <c r="AH2966">
        <v>44.7909135154122</v>
      </c>
      <c r="AI2966">
        <v>91.403935887413098</v>
      </c>
      <c r="AJ2966">
        <v>83.717192178344007</v>
      </c>
      <c r="AK2966">
        <v>45.075091699756499</v>
      </c>
      <c r="AL2966">
        <v>84.451436831483207</v>
      </c>
      <c r="AM2966">
        <v>91.565852130832795</v>
      </c>
      <c r="AN2966">
        <v>0.99999996841671701</v>
      </c>
    </row>
    <row r="2967" spans="1:40" x14ac:dyDescent="0.3">
      <c r="A2967" t="str">
        <f>"20200111150011476"</f>
        <v>20200111150011476</v>
      </c>
      <c r="B2967" t="str">
        <f>"1578726011468517"</f>
        <v>1578726011468517</v>
      </c>
      <c r="C2967" t="s">
        <v>40</v>
      </c>
      <c r="D2967">
        <v>3.900652</v>
      </c>
      <c r="E2967">
        <v>0.55310990000000004</v>
      </c>
      <c r="F2967" t="s">
        <v>62</v>
      </c>
      <c r="G2967">
        <v>-464.43340000000001</v>
      </c>
      <c r="H2967" s="1">
        <v>6.3155879999999996E-7</v>
      </c>
      <c r="I2967">
        <v>288.98349999999999</v>
      </c>
      <c r="J2967">
        <v>-414.10770000000002</v>
      </c>
      <c r="K2967">
        <v>1.1043700000000001</v>
      </c>
      <c r="L2967">
        <v>283.21030000000002</v>
      </c>
      <c r="M2967">
        <v>-0.9999133</v>
      </c>
      <c r="N2967">
        <v>0</v>
      </c>
      <c r="O2967">
        <v>4.3230220000000001E-3</v>
      </c>
      <c r="P2967">
        <v>-0.99612140000000005</v>
      </c>
      <c r="Q2967">
        <v>8.47913E-2</v>
      </c>
      <c r="R2967">
        <v>-2.3509760000000001E-2</v>
      </c>
      <c r="S2967">
        <v>-3.0249329999999999</v>
      </c>
      <c r="T2967">
        <v>-6.5939310000000001E-2</v>
      </c>
      <c r="U2967">
        <v>0.34478760000000003</v>
      </c>
      <c r="V2967">
        <v>-2.7828430000000001E-2</v>
      </c>
      <c r="W2967">
        <v>9.7178230000000004E-2</v>
      </c>
      <c r="X2967">
        <v>0.99487789999999998</v>
      </c>
      <c r="Y2967">
        <v>0.1089275</v>
      </c>
      <c r="Z2967">
        <v>1.089341E-3</v>
      </c>
      <c r="AA2967">
        <v>0.99404910000000002</v>
      </c>
      <c r="AB2967">
        <v>42</v>
      </c>
      <c r="AC2967">
        <v>-50.325699999999898</v>
      </c>
      <c r="AD2967">
        <v>-1.1043693684411999</v>
      </c>
      <c r="AE2967">
        <v>5.7731999999999699</v>
      </c>
      <c r="AF2967">
        <v>5.5529307786073101</v>
      </c>
      <c r="AG2967">
        <v>-1.1043693684411999</v>
      </c>
      <c r="AH2967">
        <v>50.326269016075699</v>
      </c>
      <c r="AI2967">
        <v>91.2495270779213</v>
      </c>
      <c r="AJ2967">
        <v>83.703533002337394</v>
      </c>
      <c r="AK2967">
        <v>50.643736286063799</v>
      </c>
      <c r="AL2967">
        <v>84.423296777165604</v>
      </c>
      <c r="AM2967">
        <v>91.602242790787898</v>
      </c>
      <c r="AN2967">
        <v>1.0000000329053</v>
      </c>
    </row>
    <row r="2968" spans="1:40" x14ac:dyDescent="0.3">
      <c r="A2968" t="str">
        <f>"20200111150011489"</f>
        <v>20200111150011489</v>
      </c>
      <c r="B2968" t="str">
        <f>"1578726011479253"</f>
        <v>1578726011479253</v>
      </c>
      <c r="C2968" t="s">
        <v>40</v>
      </c>
      <c r="D2968">
        <v>3.915915</v>
      </c>
      <c r="E2968">
        <v>0.55322609999999905</v>
      </c>
      <c r="F2968" t="s">
        <v>62</v>
      </c>
      <c r="G2968">
        <v>-468.21190000000001</v>
      </c>
      <c r="H2968" s="1">
        <v>2.6267889999999999E-6</v>
      </c>
      <c r="I2968">
        <v>289.33760000000001</v>
      </c>
      <c r="J2968">
        <v>-414.36279999999999</v>
      </c>
      <c r="K2968">
        <v>1.1043609999999999</v>
      </c>
      <c r="L2968">
        <v>283.21129999999999</v>
      </c>
      <c r="M2968">
        <v>-0.99991319999999995</v>
      </c>
      <c r="N2968">
        <v>0</v>
      </c>
      <c r="O2968">
        <v>4.3132480000000004E-3</v>
      </c>
      <c r="P2968">
        <v>-0.99610719999999997</v>
      </c>
      <c r="Q2968">
        <v>8.4887320000000002E-2</v>
      </c>
      <c r="R2968">
        <v>-2.375994E-2</v>
      </c>
      <c r="S2968">
        <v>-3.025055</v>
      </c>
      <c r="T2968">
        <v>-6.1747070000000001E-2</v>
      </c>
      <c r="U2968">
        <v>0.34259030000000001</v>
      </c>
      <c r="V2968">
        <v>-2.8065840000000002E-2</v>
      </c>
      <c r="W2968">
        <v>9.7274559999999996E-2</v>
      </c>
      <c r="X2968">
        <v>0.99486180000000002</v>
      </c>
      <c r="Y2968">
        <v>0.108223</v>
      </c>
      <c r="Z2968">
        <v>1.0131319999999999E-3</v>
      </c>
      <c r="AA2968">
        <v>0.99412610000000001</v>
      </c>
      <c r="AB2968">
        <v>42</v>
      </c>
      <c r="AC2968">
        <v>-53.8491</v>
      </c>
      <c r="AD2968">
        <v>-1.1043583732110001</v>
      </c>
      <c r="AE2968">
        <v>6.1263000000000103</v>
      </c>
      <c r="AF2968">
        <v>5.8915142060550503</v>
      </c>
      <c r="AG2968">
        <v>-1.1043583732110001</v>
      </c>
      <c r="AH2968">
        <v>53.852664617471</v>
      </c>
      <c r="AI2968">
        <v>91.1678358953626</v>
      </c>
      <c r="AJ2968">
        <v>83.756635818951807</v>
      </c>
      <c r="AK2968">
        <v>54.185228923189399</v>
      </c>
      <c r="AL2968">
        <v>84.417751108306703</v>
      </c>
      <c r="AM2968">
        <v>91.615930770214504</v>
      </c>
      <c r="AN2968">
        <v>1.00000001624866</v>
      </c>
    </row>
    <row r="2969" spans="1:40" x14ac:dyDescent="0.3">
      <c r="A2969" t="str">
        <f>"20200111150011503"</f>
        <v>20200111150011503</v>
      </c>
      <c r="B2969" t="str">
        <f>"1578726011498776"</f>
        <v>1578726011498776</v>
      </c>
      <c r="C2969" t="s">
        <v>40</v>
      </c>
      <c r="D2969">
        <v>4.1530940000000003</v>
      </c>
      <c r="E2969">
        <v>0.55450250000000001</v>
      </c>
      <c r="F2969" t="s">
        <v>62</v>
      </c>
      <c r="G2969">
        <v>-468.9067</v>
      </c>
      <c r="H2969" s="1">
        <v>2.9940189999999999E-6</v>
      </c>
      <c r="I2969">
        <v>289.39490000000001</v>
      </c>
      <c r="J2969">
        <v>-414.62400000000002</v>
      </c>
      <c r="K2969">
        <v>1.104349</v>
      </c>
      <c r="L2969">
        <v>283.2124</v>
      </c>
      <c r="M2969">
        <v>-0.9999133</v>
      </c>
      <c r="N2969">
        <v>0</v>
      </c>
      <c r="O2969">
        <v>4.3112970000000004E-3</v>
      </c>
      <c r="P2969">
        <v>-0.99608280000000005</v>
      </c>
      <c r="Q2969">
        <v>8.5163619999999995E-2</v>
      </c>
      <c r="R2969">
        <v>-2.3796109999999999E-2</v>
      </c>
      <c r="S2969">
        <v>-3.0251160000000001</v>
      </c>
      <c r="T2969">
        <v>-6.1249970000000001E-2</v>
      </c>
      <c r="U2969">
        <v>0.3429565</v>
      </c>
      <c r="V2969">
        <v>-2.8096860000000001E-2</v>
      </c>
      <c r="W2969">
        <v>9.7551239999999997E-2</v>
      </c>
      <c r="X2969">
        <v>0.99483379999999999</v>
      </c>
      <c r="Y2969">
        <v>0.1083418</v>
      </c>
      <c r="Z2969">
        <v>1.006189E-3</v>
      </c>
      <c r="AA2969">
        <v>0.99411320000000003</v>
      </c>
      <c r="AB2969">
        <v>42</v>
      </c>
      <c r="AC2969">
        <v>-54.282699999999899</v>
      </c>
      <c r="AD2969">
        <v>-1.104346005981</v>
      </c>
      <c r="AE2969">
        <v>6.1825000000000001</v>
      </c>
      <c r="AF2969">
        <v>5.9459660995789196</v>
      </c>
      <c r="AG2969">
        <v>-1.104346005981</v>
      </c>
      <c r="AH2969">
        <v>54.286670984684498</v>
      </c>
      <c r="AI2969">
        <v>91.158472879288496</v>
      </c>
      <c r="AJ2969">
        <v>83.749365185418</v>
      </c>
      <c r="AK2969">
        <v>54.622492981899399</v>
      </c>
      <c r="AL2969">
        <v>84.401822575600903</v>
      </c>
      <c r="AM2969">
        <v>91.617761349514495</v>
      </c>
      <c r="AN2969">
        <v>0.99999998379491795</v>
      </c>
    </row>
    <row r="2970" spans="1:40" x14ac:dyDescent="0.3">
      <c r="A2970" t="str">
        <f>"20200111150011520"</f>
        <v>20200111150011520</v>
      </c>
      <c r="B2970" t="str">
        <f>"1578726011508533"</f>
        <v>1578726011508533</v>
      </c>
      <c r="C2970" t="s">
        <v>40</v>
      </c>
      <c r="D2970">
        <v>3.9394450000000001</v>
      </c>
      <c r="E2970">
        <v>0.55470540000000002</v>
      </c>
      <c r="F2970" t="s">
        <v>52</v>
      </c>
      <c r="G2970">
        <v>-471.435</v>
      </c>
      <c r="H2970">
        <v>8.0000740000000001E-2</v>
      </c>
      <c r="I2970">
        <v>289.84379999999999</v>
      </c>
      <c r="J2970">
        <v>-414.93880000000001</v>
      </c>
      <c r="K2970">
        <v>1.104328</v>
      </c>
      <c r="L2970">
        <v>283.21379999999999</v>
      </c>
      <c r="M2970">
        <v>-0.9999133</v>
      </c>
      <c r="N2970">
        <v>0</v>
      </c>
      <c r="O2970">
        <v>4.3256859999999996E-3</v>
      </c>
      <c r="P2970">
        <v>-0.99604689999999996</v>
      </c>
      <c r="Q2970">
        <v>8.553326E-2</v>
      </c>
      <c r="R2970">
        <v>-2.397461E-2</v>
      </c>
      <c r="S2970">
        <v>-3.024902</v>
      </c>
      <c r="T2970">
        <v>-5.4541350000000002E-2</v>
      </c>
      <c r="U2970">
        <v>0.35308840000000002</v>
      </c>
      <c r="V2970">
        <v>-2.8285580000000001E-2</v>
      </c>
      <c r="W2970">
        <v>9.7921389999999997E-2</v>
      </c>
      <c r="X2970">
        <v>0.99479209999999996</v>
      </c>
      <c r="Y2970">
        <v>0.1116249</v>
      </c>
      <c r="Z2970">
        <v>9.2513019999999999E-4</v>
      </c>
      <c r="AA2970">
        <v>0.99375000000000002</v>
      </c>
      <c r="AB2970">
        <v>42</v>
      </c>
      <c r="AC2970">
        <v>-56.496199999999902</v>
      </c>
      <c r="AD2970">
        <v>-1.02432726</v>
      </c>
      <c r="AE2970">
        <v>6.6299999999999901</v>
      </c>
      <c r="AF2970">
        <v>6.3834643088559799</v>
      </c>
      <c r="AG2970">
        <v>-1.02432726</v>
      </c>
      <c r="AH2970">
        <v>56.506029991885697</v>
      </c>
      <c r="AI2970">
        <v>91.031967152662304</v>
      </c>
      <c r="AJ2970">
        <v>83.554644130078202</v>
      </c>
      <c r="AK2970">
        <v>56.874680556130599</v>
      </c>
      <c r="AL2970">
        <v>84.380512594064299</v>
      </c>
      <c r="AM2970">
        <v>91.628689871731595</v>
      </c>
      <c r="AN2970">
        <v>0.99999999743893897</v>
      </c>
    </row>
    <row r="2971" spans="1:40" x14ac:dyDescent="0.3">
      <c r="A2971" t="str">
        <f>"20200111150011532"</f>
        <v>20200111150011532</v>
      </c>
      <c r="B2971" t="str">
        <f>"1578726011529029"</f>
        <v>1578726011529029</v>
      </c>
      <c r="C2971" t="s">
        <v>40</v>
      </c>
      <c r="D2971">
        <v>4.0413639999999997</v>
      </c>
      <c r="E2971">
        <v>0.5549655</v>
      </c>
      <c r="F2971" t="s">
        <v>52</v>
      </c>
      <c r="G2971">
        <v>-472.40649999999999</v>
      </c>
      <c r="H2971">
        <v>8.0000950000000001E-2</v>
      </c>
      <c r="I2971">
        <v>289.93880000000001</v>
      </c>
      <c r="J2971">
        <v>-415.1764</v>
      </c>
      <c r="K2971">
        <v>1.104309</v>
      </c>
      <c r="L2971">
        <v>283.21480000000003</v>
      </c>
      <c r="M2971">
        <v>-0.9999131</v>
      </c>
      <c r="N2971">
        <v>0</v>
      </c>
      <c r="O2971">
        <v>4.3535149999999996E-3</v>
      </c>
      <c r="P2971">
        <v>-0.99603929999999996</v>
      </c>
      <c r="Q2971">
        <v>8.5605249999999994E-2</v>
      </c>
      <c r="R2971">
        <v>-2.4030650000000001E-2</v>
      </c>
      <c r="S2971">
        <v>-3.0250849999999998</v>
      </c>
      <c r="T2971">
        <v>-5.3920389999999999E-2</v>
      </c>
      <c r="U2971">
        <v>0.35400389999999998</v>
      </c>
      <c r="V2971">
        <v>-2.8365540000000002E-2</v>
      </c>
      <c r="W2971">
        <v>9.7994479999999995E-2</v>
      </c>
      <c r="X2971">
        <v>0.99478259999999996</v>
      </c>
      <c r="Y2971">
        <v>0.1118873</v>
      </c>
      <c r="Z2971">
        <v>9.1636460000000001E-4</v>
      </c>
      <c r="AA2971">
        <v>0.99372050000000001</v>
      </c>
      <c r="AB2971">
        <v>42</v>
      </c>
      <c r="AC2971">
        <v>-57.230099999999901</v>
      </c>
      <c r="AD2971">
        <v>-1.0243080499999999</v>
      </c>
      <c r="AE2971">
        <v>6.7239999999999798</v>
      </c>
      <c r="AF2971">
        <v>6.4727196361057802</v>
      </c>
      <c r="AG2971">
        <v>-1.0243080499999999</v>
      </c>
      <c r="AH2971">
        <v>57.2407460007542</v>
      </c>
      <c r="AI2971">
        <v>91.018692583574605</v>
      </c>
      <c r="AJ2971">
        <v>83.548462341195503</v>
      </c>
      <c r="AK2971">
        <v>57.614653597776503</v>
      </c>
      <c r="AL2971">
        <v>84.376304461765898</v>
      </c>
      <c r="AM2971">
        <v>91.633307084872797</v>
      </c>
      <c r="AN2971">
        <v>0.99999997161636001</v>
      </c>
    </row>
    <row r="2972" spans="1:40" x14ac:dyDescent="0.3">
      <c r="A2972" t="str">
        <f>"20200111150011546"</f>
        <v>20200111150011546</v>
      </c>
      <c r="B2972" t="str">
        <f>"1578726011538789"</f>
        <v>1578726011538789</v>
      </c>
      <c r="C2972" t="s">
        <v>40</v>
      </c>
      <c r="D2972">
        <v>3.908922</v>
      </c>
      <c r="E2972">
        <v>0.55494390000000005</v>
      </c>
      <c r="F2972" t="s">
        <v>52</v>
      </c>
      <c r="G2972">
        <v>-473.01740000000001</v>
      </c>
      <c r="H2972">
        <v>8.0001030000000001E-2</v>
      </c>
      <c r="I2972">
        <v>290.01780000000002</v>
      </c>
      <c r="J2972">
        <v>-415.42559999999997</v>
      </c>
      <c r="K2972">
        <v>1.104293</v>
      </c>
      <c r="L2972">
        <v>283.21589999999998</v>
      </c>
      <c r="M2972">
        <v>-0.99991289999999999</v>
      </c>
      <c r="N2972">
        <v>0</v>
      </c>
      <c r="O2972">
        <v>4.3907310000000001E-3</v>
      </c>
      <c r="P2972">
        <v>-0.99605410000000005</v>
      </c>
      <c r="Q2972">
        <v>8.5384340000000003E-2</v>
      </c>
      <c r="R2972">
        <v>-2.420431E-2</v>
      </c>
      <c r="S2972">
        <v>-3.0251459999999999</v>
      </c>
      <c r="T2972">
        <v>-5.3572420000000003E-2</v>
      </c>
      <c r="U2972">
        <v>0.35580440000000002</v>
      </c>
      <c r="V2972">
        <v>-2.857202E-2</v>
      </c>
      <c r="W2972">
        <v>9.7774769999999997E-2</v>
      </c>
      <c r="X2972">
        <v>0.99479839999999997</v>
      </c>
      <c r="Y2972">
        <v>0.11243160000000001</v>
      </c>
      <c r="Z2972">
        <v>9.1454820000000001E-4</v>
      </c>
      <c r="AA2972">
        <v>0.99365899999999996</v>
      </c>
      <c r="AB2972">
        <v>42</v>
      </c>
      <c r="AC2972">
        <v>-57.591799999999999</v>
      </c>
      <c r="AD2972">
        <v>-1.0242919699999999</v>
      </c>
      <c r="AE2972">
        <v>6.8019000000000398</v>
      </c>
      <c r="AF2972">
        <v>6.5469023092119301</v>
      </c>
      <c r="AG2972">
        <v>-1.0242919699999999</v>
      </c>
      <c r="AH2972">
        <v>57.603142053556503</v>
      </c>
      <c r="AI2972">
        <v>91.012203885453403</v>
      </c>
      <c r="AJ2972">
        <v>83.515855247909201</v>
      </c>
      <c r="AK2972">
        <v>57.983041299403901</v>
      </c>
      <c r="AL2972">
        <v>84.388954167132198</v>
      </c>
      <c r="AM2972">
        <v>91.645163717740601</v>
      </c>
      <c r="AN2972">
        <v>1.0000000613089901</v>
      </c>
    </row>
    <row r="2973" spans="1:40" x14ac:dyDescent="0.3">
      <c r="A2973" t="str">
        <f>"20200111150011566"</f>
        <v>20200111150011566</v>
      </c>
      <c r="B2973" t="str">
        <f>"1578726011559287"</f>
        <v>1578726011559287</v>
      </c>
      <c r="C2973" t="s">
        <v>40</v>
      </c>
      <c r="D2973">
        <v>4.0090899999999996</v>
      </c>
      <c r="E2973">
        <v>0.55522090000000002</v>
      </c>
      <c r="F2973" t="s">
        <v>52</v>
      </c>
      <c r="G2973">
        <v>-472.68869999999998</v>
      </c>
      <c r="H2973">
        <v>8.0001000000000003E-2</v>
      </c>
      <c r="I2973">
        <v>289.94450000000001</v>
      </c>
      <c r="J2973">
        <v>-415.77780000000001</v>
      </c>
      <c r="K2973">
        <v>1.1042650000000001</v>
      </c>
      <c r="L2973">
        <v>283.21749999999997</v>
      </c>
      <c r="M2973">
        <v>-0.99991269999999999</v>
      </c>
      <c r="N2973">
        <v>0</v>
      </c>
      <c r="O2973">
        <v>4.4634929999999998E-3</v>
      </c>
      <c r="P2973">
        <v>-0.99608989999999997</v>
      </c>
      <c r="Q2973">
        <v>8.5121710000000003E-2</v>
      </c>
      <c r="R2973">
        <v>-2.3656719999999999E-2</v>
      </c>
      <c r="S2973">
        <v>-3.0251769999999998</v>
      </c>
      <c r="T2973">
        <v>-5.4112790000000001E-2</v>
      </c>
      <c r="U2973">
        <v>0.35546879999999997</v>
      </c>
      <c r="V2973">
        <v>-2.8091270000000002E-2</v>
      </c>
      <c r="W2973">
        <v>9.7514699999999996E-2</v>
      </c>
      <c r="X2973">
        <v>0.99483759999999999</v>
      </c>
      <c r="Y2973">
        <v>0.1122491</v>
      </c>
      <c r="Z2973">
        <v>9.2084429999999998E-4</v>
      </c>
      <c r="AA2973">
        <v>0.99367969999999906</v>
      </c>
      <c r="AB2973">
        <v>42</v>
      </c>
      <c r="AC2973">
        <v>-56.910899999999899</v>
      </c>
      <c r="AD2973">
        <v>-1.0242639999999901</v>
      </c>
      <c r="AE2973">
        <v>6.7270000000000296</v>
      </c>
      <c r="AF2973">
        <v>6.4708248035957503</v>
      </c>
      <c r="AG2973">
        <v>-1.0242639999999901</v>
      </c>
      <c r="AH2973">
        <v>56.922177274681999</v>
      </c>
      <c r="AI2973">
        <v>91.024279775814605</v>
      </c>
      <c r="AJ2973">
        <v>83.514545768047199</v>
      </c>
      <c r="AK2973">
        <v>57.297948969145899</v>
      </c>
      <c r="AL2973">
        <v>84.403926526735901</v>
      </c>
      <c r="AM2973">
        <v>91.617433484529499</v>
      </c>
      <c r="AN2973">
        <v>1.00000004327003</v>
      </c>
    </row>
    <row r="2974" spans="1:40" x14ac:dyDescent="0.3">
      <c r="A2974" t="str">
        <f>"20200111150011579"</f>
        <v>20200111150011579</v>
      </c>
      <c r="B2974" t="str">
        <f>"1578726011569045"</f>
        <v>1578726011569045</v>
      </c>
      <c r="C2974" t="s">
        <v>40</v>
      </c>
      <c r="D2974">
        <v>3.9613489999999998</v>
      </c>
      <c r="E2974">
        <v>0.55535349999999895</v>
      </c>
      <c r="F2974" t="s">
        <v>52</v>
      </c>
      <c r="G2974">
        <v>-471.15339999999998</v>
      </c>
      <c r="H2974">
        <v>8.0000650000000006E-2</v>
      </c>
      <c r="I2974">
        <v>289.78649999999999</v>
      </c>
      <c r="J2974">
        <v>-416.05070000000001</v>
      </c>
      <c r="K2974">
        <v>1.1042459999999901</v>
      </c>
      <c r="L2974">
        <v>283.21879999999999</v>
      </c>
      <c r="M2974">
        <v>-0.99991229999999998</v>
      </c>
      <c r="N2974">
        <v>0</v>
      </c>
      <c r="O2974">
        <v>4.5334299999999998E-3</v>
      </c>
      <c r="P2974">
        <v>-0.99612909999999999</v>
      </c>
      <c r="Q2974">
        <v>8.4827330000000006E-2</v>
      </c>
      <c r="R2974">
        <v>-2.30479E-2</v>
      </c>
      <c r="S2974">
        <v>-3.0251160000000001</v>
      </c>
      <c r="T2974">
        <v>-5.5954579999999997E-2</v>
      </c>
      <c r="U2974">
        <v>0.35885620000000001</v>
      </c>
      <c r="V2974">
        <v>-2.7546999999999999E-2</v>
      </c>
      <c r="W2974">
        <v>9.72219E-2</v>
      </c>
      <c r="X2974">
        <v>0.99488149999999997</v>
      </c>
      <c r="Y2974">
        <v>0.1132779</v>
      </c>
      <c r="Z2974">
        <v>9.6032989999999998E-4</v>
      </c>
      <c r="AA2974">
        <v>0.99356290000000003</v>
      </c>
      <c r="AB2974">
        <v>42</v>
      </c>
      <c r="AC2974">
        <v>-55.102699999999899</v>
      </c>
      <c r="AD2974">
        <v>-1.02424534999999</v>
      </c>
      <c r="AE2974">
        <v>6.5677000000000003</v>
      </c>
      <c r="AF2974">
        <v>6.3156573590167104</v>
      </c>
      <c r="AG2974">
        <v>-1.02424534999999</v>
      </c>
      <c r="AH2974">
        <v>55.113134707767401</v>
      </c>
      <c r="AI2974">
        <v>91.057764983069603</v>
      </c>
      <c r="AJ2974">
        <v>83.462739720982995</v>
      </c>
      <c r="AK2974">
        <v>55.483278775952002</v>
      </c>
      <c r="AL2974">
        <v>84.420782957450896</v>
      </c>
      <c r="AM2974">
        <v>91.586041829222296</v>
      </c>
      <c r="AN2974">
        <v>1.0000000670454201</v>
      </c>
    </row>
    <row r="2975" spans="1:40" x14ac:dyDescent="0.3">
      <c r="A2975" t="str">
        <f>"20200111150011593"</f>
        <v>20200111150011593</v>
      </c>
      <c r="B2975" t="str">
        <f>"1578726011588565"</f>
        <v>1578726011588565</v>
      </c>
      <c r="C2975" t="s">
        <v>40</v>
      </c>
      <c r="D2975">
        <v>3.8879239999999999</v>
      </c>
      <c r="E2975">
        <v>0.55544159999999998</v>
      </c>
      <c r="F2975" t="s">
        <v>52</v>
      </c>
      <c r="G2975">
        <v>-471.46440000000001</v>
      </c>
      <c r="H2975">
        <v>8.0000749999999995E-2</v>
      </c>
      <c r="I2975">
        <v>289.8433</v>
      </c>
      <c r="J2975">
        <v>-416.31009999999998</v>
      </c>
      <c r="K2975">
        <v>1.104228</v>
      </c>
      <c r="L2975">
        <v>283.22000000000003</v>
      </c>
      <c r="M2975">
        <v>-0.99991200000000002</v>
      </c>
      <c r="N2975">
        <v>0</v>
      </c>
      <c r="O2975">
        <v>4.6122730000000001E-3</v>
      </c>
      <c r="P2975">
        <v>-0.99615339999999997</v>
      </c>
      <c r="Q2975">
        <v>8.4735580000000005E-2</v>
      </c>
      <c r="R2975">
        <v>-2.2326729999999999E-2</v>
      </c>
      <c r="S2975">
        <v>-3.0248110000000001</v>
      </c>
      <c r="T2975">
        <v>-5.5909399999999998E-2</v>
      </c>
      <c r="U2975">
        <v>0.3616028</v>
      </c>
      <c r="V2975">
        <v>-2.6900159999999999E-2</v>
      </c>
      <c r="W2975">
        <v>9.7131239999999994E-2</v>
      </c>
      <c r="X2975">
        <v>0.99490800000000001</v>
      </c>
      <c r="Y2975">
        <v>0.1141007</v>
      </c>
      <c r="Z2975">
        <v>9.6572390000000002E-4</v>
      </c>
      <c r="AA2975">
        <v>0.99346869999999998</v>
      </c>
      <c r="AB2975">
        <v>42</v>
      </c>
      <c r="AC2975">
        <v>-55.154299999999999</v>
      </c>
      <c r="AD2975">
        <v>-1.02422725</v>
      </c>
      <c r="AE2975">
        <v>6.6232999999999702</v>
      </c>
      <c r="AF2975">
        <v>6.3666588203893699</v>
      </c>
      <c r="AG2975">
        <v>-1.02422725</v>
      </c>
      <c r="AH2975">
        <v>55.165510541527603</v>
      </c>
      <c r="AI2975">
        <v>91.056644454262099</v>
      </c>
      <c r="AJ2975">
        <v>83.416612597211397</v>
      </c>
      <c r="AK2975">
        <v>55.541128358202101</v>
      </c>
      <c r="AL2975">
        <v>84.426001788422099</v>
      </c>
      <c r="AM2975">
        <v>91.548776593312894</v>
      </c>
      <c r="AN2975">
        <v>1.00000001242798</v>
      </c>
    </row>
    <row r="2976" spans="1:40" x14ac:dyDescent="0.3">
      <c r="A2976" t="str">
        <f>"20200111150011606"</f>
        <v>20200111150011606</v>
      </c>
      <c r="B2976" t="str">
        <f>"1578726011599304"</f>
        <v>1578726011599304</v>
      </c>
      <c r="C2976" t="s">
        <v>40</v>
      </c>
      <c r="D2976">
        <v>4.0985199999999997</v>
      </c>
      <c r="E2976">
        <v>0.5555099</v>
      </c>
      <c r="F2976" t="s">
        <v>52</v>
      </c>
      <c r="G2976">
        <v>-472.0985</v>
      </c>
      <c r="H2976">
        <v>8.0000879999999996E-2</v>
      </c>
      <c r="I2976">
        <v>289.93450000000001</v>
      </c>
      <c r="J2976">
        <v>-416.55349999999999</v>
      </c>
      <c r="K2976">
        <v>1.104212</v>
      </c>
      <c r="L2976">
        <v>283.22120000000001</v>
      </c>
      <c r="M2976">
        <v>-0.99991149999999995</v>
      </c>
      <c r="N2976">
        <v>0</v>
      </c>
      <c r="O2976">
        <v>4.691555E-3</v>
      </c>
      <c r="P2976">
        <v>-0.99617860000000003</v>
      </c>
      <c r="Q2976">
        <v>8.4609450000000003E-2</v>
      </c>
      <c r="R2976">
        <v>-2.166527E-2</v>
      </c>
      <c r="S2976">
        <v>-3.0244749999999998</v>
      </c>
      <c r="T2976">
        <v>-5.5526730000000003E-2</v>
      </c>
      <c r="U2976">
        <v>0.3640137</v>
      </c>
      <c r="V2976">
        <v>-2.6313630000000001E-2</v>
      </c>
      <c r="W2976">
        <v>9.7006889999999998E-2</v>
      </c>
      <c r="X2976">
        <v>0.99493580000000004</v>
      </c>
      <c r="Y2976">
        <v>0.11481570000000001</v>
      </c>
      <c r="Z2976">
        <v>9.6426550000000002E-4</v>
      </c>
      <c r="AA2976">
        <v>0.99338630000000006</v>
      </c>
      <c r="AB2976">
        <v>42</v>
      </c>
      <c r="AC2976">
        <v>-55.545000000000002</v>
      </c>
      <c r="AD2976">
        <v>-1.0242111199999999</v>
      </c>
      <c r="AE2976">
        <v>6.7133000000000003</v>
      </c>
      <c r="AF2976">
        <v>6.4504518593745104</v>
      </c>
      <c r="AG2976">
        <v>-1.0242111199999999</v>
      </c>
      <c r="AH2976">
        <v>55.557268921359899</v>
      </c>
      <c r="AI2976">
        <v>91.0490955477309</v>
      </c>
      <c r="AJ2976">
        <v>83.377351279292597</v>
      </c>
      <c r="AK2976">
        <v>55.939855806113201</v>
      </c>
      <c r="AL2976">
        <v>84.433160226186303</v>
      </c>
      <c r="AM2976">
        <v>91.514980732706704</v>
      </c>
      <c r="AN2976">
        <v>0.99999999497644398</v>
      </c>
    </row>
    <row r="2977" spans="1:40" x14ac:dyDescent="0.3">
      <c r="A2977" t="str">
        <f>"20200111150011618"</f>
        <v>20200111150011618</v>
      </c>
      <c r="B2977" t="str">
        <f>"1578726011609064"</f>
        <v>1578726011609064</v>
      </c>
      <c r="C2977" t="s">
        <v>40</v>
      </c>
      <c r="D2977">
        <v>3.956083</v>
      </c>
      <c r="E2977">
        <v>0.5555776</v>
      </c>
      <c r="F2977" t="s">
        <v>52</v>
      </c>
      <c r="G2977">
        <v>-475.99220000000003</v>
      </c>
      <c r="H2977">
        <v>8.0001370000000002E-2</v>
      </c>
      <c r="I2977">
        <v>290.43579999999997</v>
      </c>
      <c r="J2977">
        <v>-416.79430000000002</v>
      </c>
      <c r="K2977">
        <v>1.1041970000000001</v>
      </c>
      <c r="L2977">
        <v>283.22239999999999</v>
      </c>
      <c r="M2977">
        <v>-0.9999112</v>
      </c>
      <c r="N2977">
        <v>0</v>
      </c>
      <c r="O2977">
        <v>4.775222E-3</v>
      </c>
      <c r="P2977">
        <v>-0.99617690000000003</v>
      </c>
      <c r="Q2977">
        <v>8.4786130000000001E-2</v>
      </c>
      <c r="R2977">
        <v>-2.104402E-2</v>
      </c>
      <c r="S2977">
        <v>-3.023895</v>
      </c>
      <c r="T2977">
        <v>-5.2105899999999997E-2</v>
      </c>
      <c r="U2977">
        <v>0.3670349</v>
      </c>
      <c r="V2977">
        <v>-2.5772340000000001E-2</v>
      </c>
      <c r="W2977">
        <v>9.7184400000000004E-2</v>
      </c>
      <c r="X2977">
        <v>0.9949327</v>
      </c>
      <c r="Y2977">
        <v>0.1157354</v>
      </c>
      <c r="Z2977">
        <v>9.1144499999999999E-4</v>
      </c>
      <c r="AA2977">
        <v>0.99327960000000004</v>
      </c>
      <c r="AB2977">
        <v>42</v>
      </c>
      <c r="AC2977">
        <v>-59.197899999999997</v>
      </c>
      <c r="AD2977">
        <v>-1.0241956299999999</v>
      </c>
      <c r="AE2977">
        <v>7.2133999999999698</v>
      </c>
      <c r="AF2977">
        <v>6.9285691494414197</v>
      </c>
      <c r="AG2977">
        <v>-1.0241956299999999</v>
      </c>
      <c r="AH2977">
        <v>59.214207821811797</v>
      </c>
      <c r="AI2977">
        <v>90.9842017045125</v>
      </c>
      <c r="AJ2977">
        <v>83.326249755998404</v>
      </c>
      <c r="AK2977">
        <v>59.626977578205498</v>
      </c>
      <c r="AL2977">
        <v>84.422941672806104</v>
      </c>
      <c r="AM2977">
        <v>91.483835206356105</v>
      </c>
      <c r="AN2977">
        <v>1.0000000493208601</v>
      </c>
    </row>
    <row r="2978" spans="1:40" x14ac:dyDescent="0.3">
      <c r="A2978" t="str">
        <f>"20200111150011632"</f>
        <v>20200111150011632</v>
      </c>
      <c r="B2978" t="str">
        <f>"1578726011628581"</f>
        <v>1578726011628581</v>
      </c>
      <c r="C2978" t="s">
        <v>40</v>
      </c>
      <c r="D2978">
        <v>3.9232200000000002</v>
      </c>
      <c r="E2978">
        <v>0.55571879999999996</v>
      </c>
      <c r="F2978" t="s">
        <v>52</v>
      </c>
      <c r="G2978">
        <v>-485.91579999999999</v>
      </c>
      <c r="H2978" s="1">
        <v>4.2396759999999996E-6</v>
      </c>
      <c r="I2978">
        <v>291.67200000000003</v>
      </c>
      <c r="J2978">
        <v>-417.03480000000002</v>
      </c>
      <c r="K2978">
        <v>1.1041840000000001</v>
      </c>
      <c r="L2978">
        <v>283.22359999999998</v>
      </c>
      <c r="M2978">
        <v>-0.99991079999999999</v>
      </c>
      <c r="N2978">
        <v>0</v>
      </c>
      <c r="O2978">
        <v>4.8653439999999997E-3</v>
      </c>
      <c r="P2978">
        <v>-0.9962183</v>
      </c>
      <c r="Q2978">
        <v>8.4489289999999995E-2</v>
      </c>
      <c r="R2978">
        <v>-2.0268850000000001E-2</v>
      </c>
      <c r="S2978">
        <v>-3.0234679999999998</v>
      </c>
      <c r="T2978">
        <v>-4.8298840000000003E-2</v>
      </c>
      <c r="U2978">
        <v>0.36959839999999999</v>
      </c>
      <c r="V2978">
        <v>-2.5084200000000001E-2</v>
      </c>
      <c r="W2978">
        <v>9.6888730000000006E-2</v>
      </c>
      <c r="X2978">
        <v>0.99497910000000001</v>
      </c>
      <c r="Y2978">
        <v>0.11649470000000001</v>
      </c>
      <c r="Z2978">
        <v>8.4954300000000002E-4</v>
      </c>
      <c r="AA2978">
        <v>0.99319089999999999</v>
      </c>
      <c r="AB2978">
        <v>42</v>
      </c>
      <c r="AC2978">
        <v>-68.880999999999901</v>
      </c>
      <c r="AD2978">
        <v>-1.104179760324</v>
      </c>
      <c r="AE2978">
        <v>8.4484000000000492</v>
      </c>
      <c r="AF2978">
        <v>8.1110908935741506</v>
      </c>
      <c r="AG2978">
        <v>-1.104179760324</v>
      </c>
      <c r="AH2978">
        <v>68.9038484255219</v>
      </c>
      <c r="AI2978">
        <v>90.911788067594301</v>
      </c>
      <c r="AJ2978">
        <v>83.286262622196901</v>
      </c>
      <c r="AK2978">
        <v>69.388394824165104</v>
      </c>
      <c r="AL2978">
        <v>84.439962511609906</v>
      </c>
      <c r="AM2978">
        <v>91.444165427888507</v>
      </c>
      <c r="AN2978">
        <v>1.0000000262637301</v>
      </c>
    </row>
    <row r="2979" spans="1:40" x14ac:dyDescent="0.3">
      <c r="A2979" t="str">
        <f>"20200111150011644"</f>
        <v>20200111150011644</v>
      </c>
      <c r="B2979" t="str">
        <f>"1578726011639317"</f>
        <v>1578726011639317</v>
      </c>
      <c r="C2979" t="s">
        <v>40</v>
      </c>
      <c r="D2979">
        <v>3.8529900000000001</v>
      </c>
      <c r="E2979">
        <v>0.55574939999999995</v>
      </c>
      <c r="F2979" t="s">
        <v>52</v>
      </c>
      <c r="G2979">
        <v>-494.18450000000001</v>
      </c>
      <c r="H2979" s="1">
        <v>4.7467169999999996E-6</v>
      </c>
      <c r="I2979">
        <v>292.75540000000001</v>
      </c>
      <c r="J2979">
        <v>-417.26130000000001</v>
      </c>
      <c r="K2979">
        <v>1.104168</v>
      </c>
      <c r="L2979">
        <v>283.22480000000002</v>
      </c>
      <c r="M2979">
        <v>-0.99991039999999998</v>
      </c>
      <c r="N2979">
        <v>0</v>
      </c>
      <c r="O2979">
        <v>4.9526370000000002E-3</v>
      </c>
      <c r="P2979">
        <v>-0.99626570000000003</v>
      </c>
      <c r="Q2979">
        <v>8.3997349999999998E-2</v>
      </c>
      <c r="R2979">
        <v>-1.9983999999999998E-2</v>
      </c>
      <c r="S2979">
        <v>-3.0226440000000001</v>
      </c>
      <c r="T2979">
        <v>-4.3260569999999998E-2</v>
      </c>
      <c r="U2979">
        <v>0.37344359999999999</v>
      </c>
      <c r="V2979">
        <v>-2.4884219999999999E-2</v>
      </c>
      <c r="W2979">
        <v>9.6397499999999997E-2</v>
      </c>
      <c r="X2979">
        <v>0.99503180000000002</v>
      </c>
      <c r="Y2979">
        <v>0.117687899999999</v>
      </c>
      <c r="Z2979">
        <v>7.683411E-4</v>
      </c>
      <c r="AA2979">
        <v>0.99305030000000005</v>
      </c>
      <c r="AB2979">
        <v>42</v>
      </c>
      <c r="AC2979">
        <v>-76.923199999999994</v>
      </c>
      <c r="AD2979">
        <v>-1.1041632532829999</v>
      </c>
      <c r="AE2979">
        <v>9.5305999999999909</v>
      </c>
      <c r="AF2979">
        <v>9.1476246608179999</v>
      </c>
      <c r="AG2979">
        <v>-1.1041632532829999</v>
      </c>
      <c r="AH2979">
        <v>76.953845821303204</v>
      </c>
      <c r="AI2979">
        <v>90.816299058912904</v>
      </c>
      <c r="AJ2979">
        <v>83.220971401772402</v>
      </c>
      <c r="AK2979">
        <v>77.503500566838994</v>
      </c>
      <c r="AL2979">
        <v>84.468240096197206</v>
      </c>
      <c r="AM2979">
        <v>91.432581008198099</v>
      </c>
      <c r="AN2979">
        <v>0.99999999271124895</v>
      </c>
    </row>
    <row r="2980" spans="1:40" x14ac:dyDescent="0.3">
      <c r="A2980" t="str">
        <f>"20200111150011655"</f>
        <v>20200111150011655</v>
      </c>
      <c r="B2980" t="str">
        <f>"1578726011649077"</f>
        <v>1578726011649077</v>
      </c>
      <c r="C2980" t="s">
        <v>40</v>
      </c>
      <c r="D2980">
        <v>3.8380230000000002</v>
      </c>
      <c r="E2980">
        <v>0.55575249999999998</v>
      </c>
      <c r="F2980" t="s">
        <v>52</v>
      </c>
      <c r="G2980">
        <v>-495.52589999999998</v>
      </c>
      <c r="H2980" s="1">
        <v>4.4942750000000003E-6</v>
      </c>
      <c r="I2980">
        <v>292.92529999999999</v>
      </c>
      <c r="J2980">
        <v>-417.49439999999998</v>
      </c>
      <c r="K2980">
        <v>1.1041559999999999</v>
      </c>
      <c r="L2980">
        <v>283.226</v>
      </c>
      <c r="M2980">
        <v>-0.99990979999999996</v>
      </c>
      <c r="N2980">
        <v>0</v>
      </c>
      <c r="O2980">
        <v>5.0462249999999997E-3</v>
      </c>
      <c r="P2980">
        <v>-0.99626110000000001</v>
      </c>
      <c r="Q2980">
        <v>8.4151160000000003E-2</v>
      </c>
      <c r="R2980">
        <v>-1.9560910000000001E-2</v>
      </c>
      <c r="S2980">
        <v>-3.0223390000000001</v>
      </c>
      <c r="T2980">
        <v>-4.2639370000000003E-2</v>
      </c>
      <c r="U2980">
        <v>0.37460329999999997</v>
      </c>
      <c r="V2980">
        <v>-2.45522E-2</v>
      </c>
      <c r="W2980">
        <v>9.655176E-2</v>
      </c>
      <c r="X2980">
        <v>0.9950251</v>
      </c>
      <c r="Y2980">
        <v>0.1179827</v>
      </c>
      <c r="Z2980">
        <v>7.5812389999999996E-4</v>
      </c>
      <c r="AA2980">
        <v>0.99301530000000005</v>
      </c>
      <c r="AB2980">
        <v>42</v>
      </c>
      <c r="AC2980">
        <v>-78.031499999999994</v>
      </c>
      <c r="AD2980">
        <v>-1.104151505725</v>
      </c>
      <c r="AE2980">
        <v>9.6992999999999903</v>
      </c>
      <c r="AF2980">
        <v>9.30354701881447</v>
      </c>
      <c r="AG2980">
        <v>-1.104151505725</v>
      </c>
      <c r="AH2980">
        <v>78.064062445489995</v>
      </c>
      <c r="AI2980">
        <v>90.804653771904597</v>
      </c>
      <c r="AJ2980">
        <v>83.203639255161505</v>
      </c>
      <c r="AK2980">
        <v>78.624251876709394</v>
      </c>
      <c r="AL2980">
        <v>84.459360276030907</v>
      </c>
      <c r="AM2980">
        <v>91.4134839845171</v>
      </c>
      <c r="AN2980">
        <v>1.0000000012569701</v>
      </c>
    </row>
    <row r="2981" spans="1:40" x14ac:dyDescent="0.3">
      <c r="A2981" t="str">
        <f>"20200111150011669"</f>
        <v>20200111150011669</v>
      </c>
      <c r="B2981" t="str">
        <f>"1578726011658838"</f>
        <v>1578726011658838</v>
      </c>
      <c r="C2981" t="s">
        <v>40</v>
      </c>
      <c r="D2981">
        <v>4.0288570000000004</v>
      </c>
      <c r="E2981">
        <v>0.55582980000000004</v>
      </c>
      <c r="F2981" t="s">
        <v>52</v>
      </c>
      <c r="G2981">
        <v>-499.95780000000002</v>
      </c>
      <c r="H2981">
        <v>2.6263809999999999E-2</v>
      </c>
      <c r="I2981">
        <v>293.4898</v>
      </c>
      <c r="J2981">
        <v>-417.74310000000003</v>
      </c>
      <c r="K2981">
        <v>1.104147</v>
      </c>
      <c r="L2981">
        <v>283.22739999999999</v>
      </c>
      <c r="M2981">
        <v>-0.99990950000000001</v>
      </c>
      <c r="N2981">
        <v>0</v>
      </c>
      <c r="O2981">
        <v>5.148087E-3</v>
      </c>
      <c r="P2981">
        <v>-0.9962567</v>
      </c>
      <c r="Q2981">
        <v>8.4267620000000001E-2</v>
      </c>
      <c r="R2981">
        <v>-1.928767E-2</v>
      </c>
      <c r="S2981">
        <v>-3.021973</v>
      </c>
      <c r="T2981">
        <v>-3.9500710000000001E-2</v>
      </c>
      <c r="U2981">
        <v>0.3761292</v>
      </c>
      <c r="V2981">
        <v>-2.4378739999999999E-2</v>
      </c>
      <c r="W2981">
        <v>9.6668500000000004E-2</v>
      </c>
      <c r="X2981">
        <v>0.99501799999999996</v>
      </c>
      <c r="Y2981">
        <v>0.1183915</v>
      </c>
      <c r="Z2981">
        <v>7.0372209999999998E-4</v>
      </c>
      <c r="AA2981">
        <v>0.99296669999999998</v>
      </c>
      <c r="AB2981">
        <v>42</v>
      </c>
      <c r="AC2981">
        <v>-82.214699999999993</v>
      </c>
      <c r="AD2981">
        <v>-1.0778831900000001</v>
      </c>
      <c r="AE2981">
        <v>10.2624</v>
      </c>
      <c r="AF2981">
        <v>9.8373178907932708</v>
      </c>
      <c r="AG2981">
        <v>-1.0778831900000001</v>
      </c>
      <c r="AH2981">
        <v>82.252524897486495</v>
      </c>
      <c r="AI2981">
        <v>90.745480922708694</v>
      </c>
      <c r="AJ2981">
        <v>83.179878375894802</v>
      </c>
      <c r="AK2981">
        <v>82.845715082117806</v>
      </c>
      <c r="AL2981">
        <v>84.452639964052196</v>
      </c>
      <c r="AM2981">
        <v>91.403511813823997</v>
      </c>
      <c r="AN2981">
        <v>0.99999997109011796</v>
      </c>
    </row>
    <row r="2982" spans="1:40" x14ac:dyDescent="0.3">
      <c r="A2982" t="str">
        <f>"20200111150011688"</f>
        <v>20200111150011688</v>
      </c>
      <c r="B2982" t="str">
        <f>"1578726011679333"</f>
        <v>1578726011679333</v>
      </c>
      <c r="C2982" t="s">
        <v>40</v>
      </c>
      <c r="D2982">
        <v>3.7977249999999998</v>
      </c>
      <c r="E2982">
        <v>0.55566719999999903</v>
      </c>
      <c r="F2982" t="s">
        <v>52</v>
      </c>
      <c r="G2982">
        <v>-500.27629999999999</v>
      </c>
      <c r="H2982">
        <v>8.0003770000000002E-2</v>
      </c>
      <c r="I2982">
        <v>293.53789999999998</v>
      </c>
      <c r="J2982">
        <v>-418.08240000000001</v>
      </c>
      <c r="K2982">
        <v>1.104136</v>
      </c>
      <c r="L2982">
        <v>283.22930000000002</v>
      </c>
      <c r="M2982">
        <v>-0.99990860000000004</v>
      </c>
      <c r="N2982">
        <v>0</v>
      </c>
      <c r="O2982">
        <v>5.2898379999999998E-3</v>
      </c>
      <c r="P2982">
        <v>-0.99623569999999995</v>
      </c>
      <c r="Q2982">
        <v>8.4476590000000004E-2</v>
      </c>
      <c r="R2982">
        <v>-1.9445770000000001E-2</v>
      </c>
      <c r="S2982">
        <v>-3.0217589999999999</v>
      </c>
      <c r="T2982">
        <v>-3.749657E-2</v>
      </c>
      <c r="U2982">
        <v>0.37750240000000002</v>
      </c>
      <c r="V2982">
        <v>-2.4675249999999999E-2</v>
      </c>
      <c r="W2982">
        <v>9.6877809999999995E-2</v>
      </c>
      <c r="X2982">
        <v>0.99499029999999999</v>
      </c>
      <c r="Y2982">
        <v>0.1187047</v>
      </c>
      <c r="Z2982">
        <v>6.6823160000000002E-4</v>
      </c>
      <c r="AA2982">
        <v>0.99292939999999996</v>
      </c>
      <c r="AB2982">
        <v>42</v>
      </c>
      <c r="AC2982">
        <v>-82.1938999999999</v>
      </c>
      <c r="AD2982">
        <v>-1.02413223</v>
      </c>
      <c r="AE2982">
        <v>10.308599999999901</v>
      </c>
      <c r="AF2982">
        <v>9.8721207561180702</v>
      </c>
      <c r="AG2982">
        <v>-1.02413223</v>
      </c>
      <c r="AH2982">
        <v>82.234715601967295</v>
      </c>
      <c r="AI2982">
        <v>90.708425601918606</v>
      </c>
      <c r="AJ2982">
        <v>83.1545102140078</v>
      </c>
      <c r="AK2982">
        <v>82.831491989365603</v>
      </c>
      <c r="AL2982">
        <v>84.440590644049806</v>
      </c>
      <c r="AM2982">
        <v>91.420614810995104</v>
      </c>
      <c r="AN2982">
        <v>0.99999993756352201</v>
      </c>
    </row>
    <row r="2983" spans="1:40" x14ac:dyDescent="0.3">
      <c r="A2983" t="str">
        <f>"20200111150011700"</f>
        <v>20200111150011700</v>
      </c>
      <c r="B2983" t="str">
        <f>"1578726011689093"</f>
        <v>1578726011689093</v>
      </c>
      <c r="C2983" t="s">
        <v>40</v>
      </c>
      <c r="D2983">
        <v>3.8577729999999999</v>
      </c>
      <c r="E2983">
        <v>0.55561280000000002</v>
      </c>
      <c r="F2983" t="s">
        <v>52</v>
      </c>
      <c r="G2983">
        <v>-501.64670000000001</v>
      </c>
      <c r="H2983">
        <v>8.0003980000000002E-2</v>
      </c>
      <c r="I2983">
        <v>293.62389999999999</v>
      </c>
      <c r="J2983">
        <v>-418.3229</v>
      </c>
      <c r="K2983">
        <v>1.1041289999999999</v>
      </c>
      <c r="L2983">
        <v>283.23059999999998</v>
      </c>
      <c r="M2983">
        <v>-0.99990809999999997</v>
      </c>
      <c r="N2983">
        <v>0</v>
      </c>
      <c r="O2983">
        <v>5.3913019999999997E-3</v>
      </c>
      <c r="P2983">
        <v>-0.99623430000000002</v>
      </c>
      <c r="Q2983">
        <v>8.448087E-2</v>
      </c>
      <c r="R2983">
        <v>-1.950791E-2</v>
      </c>
      <c r="S2983">
        <v>-3.02182</v>
      </c>
      <c r="T2983">
        <v>-3.7034270000000001E-2</v>
      </c>
      <c r="U2983">
        <v>0.37588500000000002</v>
      </c>
      <c r="V2983">
        <v>-2.483703E-2</v>
      </c>
      <c r="W2983">
        <v>9.6882079999999995E-2</v>
      </c>
      <c r="X2983">
        <v>0.99498589999999998</v>
      </c>
      <c r="Y2983">
        <v>0.1180783</v>
      </c>
      <c r="Z2983">
        <v>6.5494019999999997E-4</v>
      </c>
      <c r="AA2983">
        <v>0.99300409999999995</v>
      </c>
      <c r="AB2983">
        <v>42</v>
      </c>
      <c r="AC2983">
        <v>-83.323800000000006</v>
      </c>
      <c r="AD2983">
        <v>-1.0241250200000001</v>
      </c>
      <c r="AE2983">
        <v>10.3933</v>
      </c>
      <c r="AF2983">
        <v>9.9424114484673805</v>
      </c>
      <c r="AG2983">
        <v>-1.0241250200000001</v>
      </c>
      <c r="AH2983">
        <v>83.366225713780693</v>
      </c>
      <c r="AI2983">
        <v>90.698871158908403</v>
      </c>
      <c r="AJ2983">
        <v>83.198921954394905</v>
      </c>
      <c r="AK2983">
        <v>83.963253672235894</v>
      </c>
      <c r="AL2983">
        <v>84.440345062213694</v>
      </c>
      <c r="AM2983">
        <v>91.429931349684693</v>
      </c>
      <c r="AN2983">
        <v>0.99999997834157806</v>
      </c>
    </row>
    <row r="2984" spans="1:40" x14ac:dyDescent="0.3">
      <c r="A2984" t="str">
        <f>"20200111150011713"</f>
        <v>20200111150011713</v>
      </c>
      <c r="B2984" t="str">
        <f>"1578726011708613"</f>
        <v>1578726011708613</v>
      </c>
      <c r="C2984" t="s">
        <v>40</v>
      </c>
      <c r="D2984">
        <v>3.9836960000000001</v>
      </c>
      <c r="E2984">
        <v>0.55566249999999995</v>
      </c>
      <c r="F2984" t="s">
        <v>52</v>
      </c>
      <c r="G2984">
        <v>-501.50880000000001</v>
      </c>
      <c r="H2984">
        <v>8.0003950000000004E-2</v>
      </c>
      <c r="I2984">
        <v>293.56130000000002</v>
      </c>
      <c r="J2984">
        <v>-418.5539</v>
      </c>
      <c r="K2984">
        <v>1.104123</v>
      </c>
      <c r="L2984">
        <v>283.2319</v>
      </c>
      <c r="M2984">
        <v>-0.99990749999999995</v>
      </c>
      <c r="N2984">
        <v>0</v>
      </c>
      <c r="O2984">
        <v>5.4889969999999998E-3</v>
      </c>
      <c r="P2984">
        <v>-0.99625129999999995</v>
      </c>
      <c r="Q2984">
        <v>8.423688E-2</v>
      </c>
      <c r="R2984">
        <v>-1.9681919999999999E-2</v>
      </c>
      <c r="S2984">
        <v>-3.02182</v>
      </c>
      <c r="T2984">
        <v>-3.7202480000000003E-2</v>
      </c>
      <c r="U2984">
        <v>0.37527470000000002</v>
      </c>
      <c r="V2984">
        <v>-2.5108060000000001E-2</v>
      </c>
      <c r="W2984">
        <v>9.6639100000000006E-2</v>
      </c>
      <c r="X2984">
        <v>0.99500270000000002</v>
      </c>
      <c r="Y2984">
        <v>0.11778379999999999</v>
      </c>
      <c r="Z2984">
        <v>6.5491859999999998E-4</v>
      </c>
      <c r="AA2984">
        <v>0.99303909999999995</v>
      </c>
      <c r="AB2984">
        <v>42</v>
      </c>
      <c r="AC2984">
        <v>-82.954899999999995</v>
      </c>
      <c r="AD2984">
        <v>-1.0241190499999999</v>
      </c>
      <c r="AE2984">
        <v>10.3294</v>
      </c>
      <c r="AF2984">
        <v>9.8723882192778891</v>
      </c>
      <c r="AG2984">
        <v>-1.0241190499999999</v>
      </c>
      <c r="AH2984">
        <v>82.997895887184498</v>
      </c>
      <c r="AI2984">
        <v>90.701994140323805</v>
      </c>
      <c r="AJ2984">
        <v>83.216684452798305</v>
      </c>
      <c r="AK2984">
        <v>83.5892552346331</v>
      </c>
      <c r="AL2984">
        <v>84.454332275770497</v>
      </c>
      <c r="AM2984">
        <v>91.445504258731603</v>
      </c>
      <c r="AN2984">
        <v>0.99999995166653</v>
      </c>
    </row>
    <row r="2985" spans="1:40" x14ac:dyDescent="0.3">
      <c r="A2985" t="str">
        <f>"20200111150011726"</f>
        <v>20200111150011726</v>
      </c>
      <c r="B2985" t="str">
        <f>"1578726011719350"</f>
        <v>1578726011719350</v>
      </c>
      <c r="C2985" t="s">
        <v>40</v>
      </c>
      <c r="D2985">
        <v>3.8775249999999999</v>
      </c>
      <c r="E2985">
        <v>0.55559380000000003</v>
      </c>
      <c r="F2985" t="s">
        <v>52</v>
      </c>
      <c r="G2985">
        <v>-499.95780000000002</v>
      </c>
      <c r="H2985">
        <v>4.9239169999999999E-2</v>
      </c>
      <c r="I2985">
        <v>293.33569999999997</v>
      </c>
      <c r="J2985">
        <v>-418.80630000000002</v>
      </c>
      <c r="K2985">
        <v>1.1041160000000001</v>
      </c>
      <c r="L2985">
        <v>283.23340000000002</v>
      </c>
      <c r="M2985">
        <v>-0.99990710000000005</v>
      </c>
      <c r="N2985">
        <v>0</v>
      </c>
      <c r="O2985">
        <v>5.5953340000000004E-3</v>
      </c>
      <c r="P2985">
        <v>-0.99627299999999996</v>
      </c>
      <c r="Q2985">
        <v>8.3998859999999995E-2</v>
      </c>
      <c r="R2985">
        <v>-1.962245E-2</v>
      </c>
      <c r="S2985">
        <v>-3.0220340000000001</v>
      </c>
      <c r="T2985">
        <v>-3.9161439999999999E-2</v>
      </c>
      <c r="U2985">
        <v>0.37509160000000002</v>
      </c>
      <c r="V2985">
        <v>-2.515324E-2</v>
      </c>
      <c r="W2985">
        <v>9.6401299999999995E-2</v>
      </c>
      <c r="X2985">
        <v>0.99502469999999998</v>
      </c>
      <c r="Y2985">
        <v>0.1176094</v>
      </c>
      <c r="Z2985">
        <v>6.8685809999999997E-4</v>
      </c>
      <c r="AA2985">
        <v>0.99305969999999999</v>
      </c>
      <c r="AB2985">
        <v>42</v>
      </c>
      <c r="AC2985">
        <v>-81.151499999999999</v>
      </c>
      <c r="AD2985">
        <v>-1.05487683</v>
      </c>
      <c r="AE2985">
        <v>10.1022999999999</v>
      </c>
      <c r="AF2985">
        <v>9.6464319232050002</v>
      </c>
      <c r="AG2985">
        <v>-1.05487683</v>
      </c>
      <c r="AH2985">
        <v>81.193249681113201</v>
      </c>
      <c r="AI2985">
        <v>90.7391569696766</v>
      </c>
      <c r="AJ2985">
        <v>83.224546191336302</v>
      </c>
      <c r="AK2985">
        <v>81.771084178669696</v>
      </c>
      <c r="AL2985">
        <v>84.468021531930802</v>
      </c>
      <c r="AM2985">
        <v>91.448072220647504</v>
      </c>
      <c r="AN2985">
        <v>1.0000000248671299</v>
      </c>
    </row>
    <row r="2986" spans="1:40" x14ac:dyDescent="0.3">
      <c r="A2986" t="str">
        <f>"20200111150011743"</f>
        <v>20200111150011743</v>
      </c>
      <c r="B2986" t="str">
        <f>"1578726011738868"</f>
        <v>1578726011738868</v>
      </c>
      <c r="C2986" t="s">
        <v>40</v>
      </c>
      <c r="D2986">
        <v>3.9612229999999999</v>
      </c>
      <c r="E2986">
        <v>0.55565249999999999</v>
      </c>
      <c r="F2986" t="s">
        <v>52</v>
      </c>
      <c r="G2986">
        <v>-499.95780000000002</v>
      </c>
      <c r="H2986">
        <v>2.371699E-2</v>
      </c>
      <c r="I2986">
        <v>293.29199999999997</v>
      </c>
      <c r="J2986">
        <v>-419.1354</v>
      </c>
      <c r="K2986">
        <v>1.1041069999999999</v>
      </c>
      <c r="L2986">
        <v>283.23540000000003</v>
      </c>
      <c r="M2986">
        <v>-0.99990619999999997</v>
      </c>
      <c r="N2986">
        <v>0</v>
      </c>
      <c r="O2986">
        <v>5.7342829999999997E-3</v>
      </c>
      <c r="P2986">
        <v>-0.99629440000000002</v>
      </c>
      <c r="Q2986">
        <v>8.3763009999999999E-2</v>
      </c>
      <c r="R2986">
        <v>-1.953044E-2</v>
      </c>
      <c r="S2986">
        <v>-3.0220030000000002</v>
      </c>
      <c r="T2986">
        <v>-4.0233020000000001E-2</v>
      </c>
      <c r="U2986">
        <v>0.37457279999999998</v>
      </c>
      <c r="V2986">
        <v>-2.5198890000000002E-2</v>
      </c>
      <c r="W2986">
        <v>9.6165899999999999E-2</v>
      </c>
      <c r="X2986">
        <v>0.99504630000000005</v>
      </c>
      <c r="Y2986">
        <v>0.1173043</v>
      </c>
      <c r="Z2986">
        <v>7.0179970000000004E-4</v>
      </c>
      <c r="AA2986">
        <v>0.99309579999999997</v>
      </c>
      <c r="AB2986">
        <v>42</v>
      </c>
      <c r="AC2986">
        <v>-80.822400000000002</v>
      </c>
      <c r="AD2986">
        <v>-1.0803900099999999</v>
      </c>
      <c r="AE2986">
        <v>10.0566</v>
      </c>
      <c r="AF2986">
        <v>9.5912525427419002</v>
      </c>
      <c r="AG2986">
        <v>-1.0803900099999999</v>
      </c>
      <c r="AH2986">
        <v>80.864513544999397</v>
      </c>
      <c r="AI2986">
        <v>90.760127033046103</v>
      </c>
      <c r="AJ2986">
        <v>83.235811104648604</v>
      </c>
      <c r="AK2986">
        <v>81.438497768449494</v>
      </c>
      <c r="AL2986">
        <v>84.481571786092502</v>
      </c>
      <c r="AM2986">
        <v>91.450667691821707</v>
      </c>
      <c r="AN2986">
        <v>1.00000000176186</v>
      </c>
    </row>
    <row r="2987" spans="1:40" x14ac:dyDescent="0.3">
      <c r="A2987" t="str">
        <f>"20200111150011754"</f>
        <v>20200111150011754</v>
      </c>
      <c r="B2987" t="str">
        <f>"1578726011748629"</f>
        <v>1578726011748629</v>
      </c>
      <c r="C2987" t="s">
        <v>40</v>
      </c>
      <c r="D2987">
        <v>3.956089</v>
      </c>
      <c r="E2987">
        <v>0.55564939999999996</v>
      </c>
      <c r="F2987" t="s">
        <v>52</v>
      </c>
      <c r="G2987">
        <v>-499.95780000000002</v>
      </c>
      <c r="H2987">
        <v>1.369713E-2</v>
      </c>
      <c r="I2987">
        <v>293.27609999999999</v>
      </c>
      <c r="J2987">
        <v>-419.34789999999998</v>
      </c>
      <c r="K2987">
        <v>1.104109</v>
      </c>
      <c r="L2987">
        <v>283.23669999999998</v>
      </c>
      <c r="M2987">
        <v>-0.99990579999999996</v>
      </c>
      <c r="N2987">
        <v>0</v>
      </c>
      <c r="O2987">
        <v>5.8230759999999999E-3</v>
      </c>
      <c r="P2987">
        <v>-0.99631820000000004</v>
      </c>
      <c r="Q2987">
        <v>8.350573E-2</v>
      </c>
      <c r="R2987">
        <v>-1.9426479999999999E-2</v>
      </c>
      <c r="S2987">
        <v>-3.021973</v>
      </c>
      <c r="T2987">
        <v>-4.0770769999999998E-2</v>
      </c>
      <c r="U2987">
        <v>0.37542720000000002</v>
      </c>
      <c r="V2987">
        <v>-2.5182900000000001E-2</v>
      </c>
      <c r="W2987">
        <v>9.590957E-2</v>
      </c>
      <c r="X2987">
        <v>0.9950715</v>
      </c>
      <c r="Y2987">
        <v>0.1174936</v>
      </c>
      <c r="Z2987">
        <v>7.1125259999999999E-4</v>
      </c>
      <c r="AA2987">
        <v>0.9930734</v>
      </c>
      <c r="AB2987">
        <v>42</v>
      </c>
      <c r="AC2987">
        <v>-80.609899999999996</v>
      </c>
      <c r="AD2987">
        <v>-1.0904118700000001</v>
      </c>
      <c r="AE2987">
        <v>10.039400000000001</v>
      </c>
      <c r="AF2987">
        <v>9.5680719004845294</v>
      </c>
      <c r="AG2987">
        <v>-1.0904118700000001</v>
      </c>
      <c r="AH2987">
        <v>80.652465411485196</v>
      </c>
      <c r="AI2987">
        <v>90.769191837774201</v>
      </c>
      <c r="AJ2987">
        <v>83.234430918665595</v>
      </c>
      <c r="AK2987">
        <v>81.225348105686095</v>
      </c>
      <c r="AL2987">
        <v>84.496326920059104</v>
      </c>
      <c r="AM2987">
        <v>91.449710862141799</v>
      </c>
      <c r="AN2987">
        <v>1.0000000570911201</v>
      </c>
    </row>
    <row r="2988" spans="1:40" x14ac:dyDescent="0.3">
      <c r="A2988" t="str">
        <f>"20200111150011768"</f>
        <v>20200111150011768</v>
      </c>
      <c r="B2988" t="str">
        <f>"1578726011759365"</f>
        <v>1578726011759365</v>
      </c>
      <c r="C2988" t="s">
        <v>40</v>
      </c>
      <c r="D2988">
        <v>3.9327529999999999</v>
      </c>
      <c r="E2988">
        <v>0.55566590000000005</v>
      </c>
      <c r="F2988" t="s">
        <v>52</v>
      </c>
      <c r="G2988">
        <v>-499.95780000000002</v>
      </c>
      <c r="H2988">
        <v>5.4006360000000001E-4</v>
      </c>
      <c r="I2988">
        <v>293.25869999999998</v>
      </c>
      <c r="J2988">
        <v>-419.58330000000001</v>
      </c>
      <c r="K2988">
        <v>1.1041069999999999</v>
      </c>
      <c r="L2988">
        <v>283.23809999999997</v>
      </c>
      <c r="M2988">
        <v>-0.99990520000000005</v>
      </c>
      <c r="N2988">
        <v>0</v>
      </c>
      <c r="O2988">
        <v>5.9215830000000002E-3</v>
      </c>
      <c r="P2988">
        <v>-0.99631740000000002</v>
      </c>
      <c r="Q2988">
        <v>8.3509369999999999E-2</v>
      </c>
      <c r="R2988">
        <v>-1.9446709999999999E-2</v>
      </c>
      <c r="S2988">
        <v>-3.021881</v>
      </c>
      <c r="T2988">
        <v>-4.1370270000000001E-2</v>
      </c>
      <c r="U2988">
        <v>0.37570189999999998</v>
      </c>
      <c r="V2988">
        <v>-2.5300570000000001E-2</v>
      </c>
      <c r="W2988">
        <v>9.5912929999999993E-2</v>
      </c>
      <c r="X2988">
        <v>0.99506810000000001</v>
      </c>
      <c r="Y2988">
        <v>0.117488</v>
      </c>
      <c r="Z2988">
        <v>7.2034679999999904E-4</v>
      </c>
      <c r="AA2988">
        <v>0.99307409999999996</v>
      </c>
      <c r="AB2988">
        <v>42</v>
      </c>
      <c r="AC2988">
        <v>-80.374499999999998</v>
      </c>
      <c r="AD2988">
        <v>-1.1035669364</v>
      </c>
      <c r="AE2988">
        <v>10.0206</v>
      </c>
      <c r="AF2988">
        <v>9.5426717709333104</v>
      </c>
      <c r="AG2988">
        <v>-1.1035669364</v>
      </c>
      <c r="AH2988">
        <v>80.417504613014302</v>
      </c>
      <c r="AI2988">
        <v>90.780741885256404</v>
      </c>
      <c r="AJ2988">
        <v>83.232692675744502</v>
      </c>
      <c r="AK2988">
        <v>80.989230720479497</v>
      </c>
      <c r="AL2988">
        <v>84.496133013443995</v>
      </c>
      <c r="AM2988">
        <v>91.456486866472304</v>
      </c>
      <c r="AN2988">
        <v>0.99999996631055899</v>
      </c>
    </row>
    <row r="2989" spans="1:40" x14ac:dyDescent="0.3">
      <c r="A2989" t="str">
        <f>"20200111150011782"</f>
        <v>20200111150011782</v>
      </c>
      <c r="B2989" t="str">
        <f>"1578726011778887"</f>
        <v>1578726011778887</v>
      </c>
      <c r="C2989" t="s">
        <v>40</v>
      </c>
      <c r="D2989">
        <v>3.8753060000000001</v>
      </c>
      <c r="E2989">
        <v>0.55566300000000002</v>
      </c>
      <c r="F2989" t="s">
        <v>52</v>
      </c>
      <c r="G2989">
        <v>-499.95780000000002</v>
      </c>
      <c r="H2989">
        <v>1.220386E-2</v>
      </c>
      <c r="I2989">
        <v>293.23649999999998</v>
      </c>
      <c r="J2989">
        <v>-419.85419999999999</v>
      </c>
      <c r="K2989">
        <v>1.104106</v>
      </c>
      <c r="L2989">
        <v>283.2398</v>
      </c>
      <c r="M2989">
        <v>-0.99990440000000003</v>
      </c>
      <c r="N2989">
        <v>0</v>
      </c>
      <c r="O2989">
        <v>6.0349310000000003E-3</v>
      </c>
      <c r="P2989">
        <v>-0.99631449999999999</v>
      </c>
      <c r="Q2989">
        <v>8.3562960000000006E-2</v>
      </c>
      <c r="R2989">
        <v>-1.936738E-2</v>
      </c>
      <c r="S2989">
        <v>-3.021881</v>
      </c>
      <c r="T2989">
        <v>-4.1052819999999997E-2</v>
      </c>
      <c r="U2989">
        <v>0.37591550000000001</v>
      </c>
      <c r="V2989">
        <v>-2.533318E-2</v>
      </c>
      <c r="W2989">
        <v>9.596702E-2</v>
      </c>
      <c r="X2989">
        <v>0.99506209999999995</v>
      </c>
      <c r="Y2989">
        <v>0.1174448</v>
      </c>
      <c r="Z2989">
        <v>7.129902E-4</v>
      </c>
      <c r="AA2989">
        <v>0.99307920000000005</v>
      </c>
      <c r="AB2989">
        <v>42</v>
      </c>
      <c r="AC2989">
        <v>-80.1036</v>
      </c>
      <c r="AD2989">
        <v>-1.09190214</v>
      </c>
      <c r="AE2989">
        <v>9.9966999999999704</v>
      </c>
      <c r="AF2989">
        <v>9.5113206423582408</v>
      </c>
      <c r="AG2989">
        <v>-1.09190214</v>
      </c>
      <c r="AH2989">
        <v>80.147811430865204</v>
      </c>
      <c r="AI2989">
        <v>90.775088718028499</v>
      </c>
      <c r="AJ2989">
        <v>83.232233208606502</v>
      </c>
      <c r="AK2989">
        <v>80.717588837889707</v>
      </c>
      <c r="AL2989">
        <v>84.493019768760902</v>
      </c>
      <c r="AM2989">
        <v>91.458372117497603</v>
      </c>
      <c r="AN2989">
        <v>1.0000000108964999</v>
      </c>
    </row>
    <row r="2990" spans="1:40" x14ac:dyDescent="0.3">
      <c r="A2990" t="str">
        <f>"20200111150011795"</f>
        <v>20200111150011795</v>
      </c>
      <c r="B2990" t="str">
        <f>"1578726011788646"</f>
        <v>1578726011788646</v>
      </c>
      <c r="C2990" t="s">
        <v>40</v>
      </c>
      <c r="D2990">
        <v>4.0139550000000002</v>
      </c>
      <c r="E2990">
        <v>0.55578430000000001</v>
      </c>
      <c r="F2990" t="s">
        <v>52</v>
      </c>
      <c r="G2990">
        <v>-499.95780000000002</v>
      </c>
      <c r="H2990">
        <v>1.4609499999999999E-2</v>
      </c>
      <c r="I2990">
        <v>293.21190000000001</v>
      </c>
      <c r="J2990">
        <v>-420.1216</v>
      </c>
      <c r="K2990">
        <v>1.104104</v>
      </c>
      <c r="L2990">
        <v>283.24149999999997</v>
      </c>
      <c r="M2990">
        <v>-0.9999036</v>
      </c>
      <c r="N2990">
        <v>0</v>
      </c>
      <c r="O2990">
        <v>6.1458909999999997E-3</v>
      </c>
      <c r="P2990">
        <v>-0.99630719999999995</v>
      </c>
      <c r="Q2990">
        <v>8.3615839999999997E-2</v>
      </c>
      <c r="R2990">
        <v>-1.949969E-2</v>
      </c>
      <c r="S2990">
        <v>-3.0218509999999998</v>
      </c>
      <c r="T2990">
        <v>-4.1100499999999998E-2</v>
      </c>
      <c r="U2990">
        <v>0.37619019999999997</v>
      </c>
      <c r="V2990">
        <v>-2.5575980000000002E-2</v>
      </c>
      <c r="W2990">
        <v>9.6020179999999997E-2</v>
      </c>
      <c r="X2990">
        <v>0.99505069999999995</v>
      </c>
      <c r="Y2990">
        <v>0.11742470000000001</v>
      </c>
      <c r="Z2990">
        <v>7.1218189999999997E-4</v>
      </c>
      <c r="AA2990">
        <v>0.99308149999999995</v>
      </c>
      <c r="AB2990">
        <v>42</v>
      </c>
      <c r="AC2990">
        <v>-79.836200000000005</v>
      </c>
      <c r="AD2990">
        <v>-1.0894945</v>
      </c>
      <c r="AE2990">
        <v>9.9704000000000299</v>
      </c>
      <c r="AF2990">
        <v>9.4777711070443793</v>
      </c>
      <c r="AG2990">
        <v>-1.0894945</v>
      </c>
      <c r="AH2990">
        <v>79.881325838601299</v>
      </c>
      <c r="AI2990">
        <v>90.775961740790905</v>
      </c>
      <c r="AJ2990">
        <v>83.233594830574006</v>
      </c>
      <c r="AK2990">
        <v>80.448998509340399</v>
      </c>
      <c r="AL2990">
        <v>84.489959461028903</v>
      </c>
      <c r="AM2990">
        <v>91.472360284955798</v>
      </c>
      <c r="AN2990">
        <v>0.99999995064533997</v>
      </c>
    </row>
    <row r="2991" spans="1:40" x14ac:dyDescent="0.3">
      <c r="A2991" t="str">
        <f>"20200111150011808"</f>
        <v>20200111150011808</v>
      </c>
      <c r="B2991" t="str">
        <f>"1578726011799381"</f>
        <v>1578726011799381</v>
      </c>
      <c r="C2991" t="s">
        <v>40</v>
      </c>
      <c r="D2991">
        <v>3.9714830000000001</v>
      </c>
      <c r="E2991">
        <v>0.55585589999999996</v>
      </c>
      <c r="F2991" t="s">
        <v>52</v>
      </c>
      <c r="G2991">
        <v>-499.95780000000002</v>
      </c>
      <c r="H2991">
        <v>1.2114730000000001E-2</v>
      </c>
      <c r="I2991">
        <v>293.1961</v>
      </c>
      <c r="J2991">
        <v>-420.34629999999999</v>
      </c>
      <c r="K2991">
        <v>1.1041030000000001</v>
      </c>
      <c r="L2991">
        <v>283.24299999999999</v>
      </c>
      <c r="M2991">
        <v>-0.99990319999999999</v>
      </c>
      <c r="N2991">
        <v>0</v>
      </c>
      <c r="O2991">
        <v>6.2394929999999996E-3</v>
      </c>
      <c r="P2991">
        <v>-0.99630300000000005</v>
      </c>
      <c r="Q2991">
        <v>8.3668629999999994E-2</v>
      </c>
      <c r="R2991">
        <v>-1.9495809999999999E-2</v>
      </c>
      <c r="S2991">
        <v>-3.021973</v>
      </c>
      <c r="T2991">
        <v>-4.133415E-2</v>
      </c>
      <c r="U2991">
        <v>0.37680049999999998</v>
      </c>
      <c r="V2991">
        <v>-2.566411E-2</v>
      </c>
      <c r="W2991">
        <v>9.6072859999999996E-2</v>
      </c>
      <c r="X2991">
        <v>0.99504340000000002</v>
      </c>
      <c r="Y2991">
        <v>0.1175242</v>
      </c>
      <c r="Z2991">
        <v>7.1559559999999996E-4</v>
      </c>
      <c r="AA2991">
        <v>0.9930698</v>
      </c>
      <c r="AB2991">
        <v>42</v>
      </c>
      <c r="AC2991">
        <v>-79.611500000000007</v>
      </c>
      <c r="AD2991">
        <v>-1.0919882700000001</v>
      </c>
      <c r="AE2991">
        <v>9.9530999999999992</v>
      </c>
      <c r="AF2991">
        <v>9.4543810251264109</v>
      </c>
      <c r="AG2991">
        <v>-1.0919882700000001</v>
      </c>
      <c r="AH2991">
        <v>79.657300965119305</v>
      </c>
      <c r="AI2991">
        <v>90.779920992842804</v>
      </c>
      <c r="AJ2991">
        <v>83.231332156993602</v>
      </c>
      <c r="AK2991">
        <v>80.223832842850896</v>
      </c>
      <c r="AL2991">
        <v>84.486927397564102</v>
      </c>
      <c r="AM2991">
        <v>91.477442349969095</v>
      </c>
      <c r="AN2991">
        <v>1.00000000442711</v>
      </c>
    </row>
    <row r="2992" spans="1:40" x14ac:dyDescent="0.3">
      <c r="A2992" t="str">
        <f>"20200111150011821"</f>
        <v>20200111150011821</v>
      </c>
      <c r="B2992" t="str">
        <f>"1578726011818901"</f>
        <v>1578726011818901</v>
      </c>
      <c r="C2992" t="s">
        <v>40</v>
      </c>
      <c r="D2992">
        <v>4.0317590000000001</v>
      </c>
      <c r="E2992">
        <v>0.55586950000000002</v>
      </c>
      <c r="F2992" t="s">
        <v>52</v>
      </c>
      <c r="G2992">
        <v>-499.95780000000002</v>
      </c>
      <c r="H2992">
        <v>8.2678330000000005E-3</v>
      </c>
      <c r="I2992">
        <v>293.17660000000001</v>
      </c>
      <c r="J2992">
        <v>-420.60289999999998</v>
      </c>
      <c r="K2992">
        <v>1.1041049999999999</v>
      </c>
      <c r="L2992">
        <v>283.24470000000002</v>
      </c>
      <c r="M2992">
        <v>-0.99990250000000003</v>
      </c>
      <c r="N2992">
        <v>0</v>
      </c>
      <c r="O2992">
        <v>6.3467419999999998E-3</v>
      </c>
      <c r="P2992">
        <v>-0.99629400000000001</v>
      </c>
      <c r="Q2992">
        <v>8.3815050000000002E-2</v>
      </c>
      <c r="R2992">
        <v>-1.9327179999999999E-2</v>
      </c>
      <c r="S2992">
        <v>-3.0220030000000002</v>
      </c>
      <c r="T2992">
        <v>-4.1597250000000002E-2</v>
      </c>
      <c r="U2992">
        <v>0.3770752</v>
      </c>
      <c r="V2992">
        <v>-2.5602059999999999E-2</v>
      </c>
      <c r="W2992">
        <v>9.6219509999999994E-2</v>
      </c>
      <c r="X2992">
        <v>0.99503079999999999</v>
      </c>
      <c r="Y2992">
        <v>0.1175052</v>
      </c>
      <c r="Z2992">
        <v>7.1853819999999997E-4</v>
      </c>
      <c r="AA2992">
        <v>0.99307199999999995</v>
      </c>
      <c r="AB2992">
        <v>42</v>
      </c>
      <c r="AC2992">
        <v>-79.354900000000001</v>
      </c>
      <c r="AD2992">
        <v>-1.095837167</v>
      </c>
      <c r="AE2992">
        <v>9.9318999999999793</v>
      </c>
      <c r="AF2992">
        <v>9.4262460562966996</v>
      </c>
      <c r="AG2992">
        <v>-1.095837167</v>
      </c>
      <c r="AH2992">
        <v>79.401433456518205</v>
      </c>
      <c r="AI2992">
        <v>90.785188831689993</v>
      </c>
      <c r="AJ2992">
        <v>83.229742877166899</v>
      </c>
      <c r="AK2992">
        <v>79.966509294581101</v>
      </c>
      <c r="AL2992">
        <v>84.478485707813306</v>
      </c>
      <c r="AM2992">
        <v>91.473890462122199</v>
      </c>
      <c r="AN2992">
        <v>0.999999976264761</v>
      </c>
    </row>
    <row r="2993" spans="1:40" x14ac:dyDescent="0.3">
      <c r="A2993" t="str">
        <f>"20200111150011835"</f>
        <v>20200111150011835</v>
      </c>
      <c r="B2993" t="str">
        <f>"1578726011828661"</f>
        <v>1578726011828661</v>
      </c>
      <c r="C2993" t="s">
        <v>40</v>
      </c>
      <c r="D2993">
        <v>3.9531429999999999</v>
      </c>
      <c r="E2993">
        <v>0.55578909999999904</v>
      </c>
      <c r="F2993" t="s">
        <v>52</v>
      </c>
      <c r="G2993">
        <v>-499.90089999999998</v>
      </c>
      <c r="H2993" s="1">
        <v>3.5846360000000001E-6</v>
      </c>
      <c r="I2993">
        <v>293.15339999999998</v>
      </c>
      <c r="J2993">
        <v>-420.86869999999999</v>
      </c>
      <c r="K2993">
        <v>1.104104</v>
      </c>
      <c r="L2993">
        <v>283.24650000000003</v>
      </c>
      <c r="M2993">
        <v>-0.9999017</v>
      </c>
      <c r="N2993">
        <v>0</v>
      </c>
      <c r="O2993">
        <v>6.45715E-3</v>
      </c>
      <c r="P2993">
        <v>-0.99628470000000002</v>
      </c>
      <c r="Q2993">
        <v>8.3984749999999997E-2</v>
      </c>
      <c r="R2993">
        <v>-1.9068430000000001E-2</v>
      </c>
      <c r="S2993">
        <v>-3.0220639999999999</v>
      </c>
      <c r="T2993">
        <v>-4.2077539999999997E-2</v>
      </c>
      <c r="U2993">
        <v>0.37762449999999997</v>
      </c>
      <c r="V2993">
        <v>-2.545265E-2</v>
      </c>
      <c r="W2993">
        <v>9.6389440000000007E-2</v>
      </c>
      <c r="X2993">
        <v>0.99501819999999996</v>
      </c>
      <c r="Y2993">
        <v>0.1175706</v>
      </c>
      <c r="Z2993">
        <v>7.2573349999999995E-4</v>
      </c>
      <c r="AA2993">
        <v>0.99306430000000001</v>
      </c>
      <c r="AB2993">
        <v>42</v>
      </c>
      <c r="AC2993">
        <v>-79.032199999999904</v>
      </c>
      <c r="AD2993">
        <v>-1.1041004153639999</v>
      </c>
      <c r="AE2993">
        <v>9.9068999999999399</v>
      </c>
      <c r="AF2993">
        <v>9.3945259869519795</v>
      </c>
      <c r="AG2993">
        <v>-1.1041004153639999</v>
      </c>
      <c r="AH2993">
        <v>79.079332401116503</v>
      </c>
      <c r="AI2993">
        <v>90.794323078578103</v>
      </c>
      <c r="AJ2993">
        <v>83.225085615773807</v>
      </c>
      <c r="AK2993">
        <v>79.643059768274895</v>
      </c>
      <c r="AL2993">
        <v>84.468704045310801</v>
      </c>
      <c r="AM2993">
        <v>91.465311353896297</v>
      </c>
      <c r="AN2993">
        <v>0.99999998993338801</v>
      </c>
    </row>
    <row r="2994" spans="1:40" x14ac:dyDescent="0.3">
      <c r="A2994" t="str">
        <f>"20200111150011849"</f>
        <v>20200111150011849</v>
      </c>
      <c r="B2994" t="str">
        <f>"1578726011838422"</f>
        <v>1578726011838422</v>
      </c>
      <c r="C2994" t="s">
        <v>40</v>
      </c>
      <c r="D2994">
        <v>4.0041129999999896</v>
      </c>
      <c r="E2994">
        <v>0.55577379999999998</v>
      </c>
      <c r="F2994" t="s">
        <v>52</v>
      </c>
      <c r="G2994">
        <v>-499.88749999999999</v>
      </c>
      <c r="H2994" s="1">
        <v>3.5803700000000001E-6</v>
      </c>
      <c r="I2994">
        <v>293.12610000000001</v>
      </c>
      <c r="J2994">
        <v>-421.10989999999998</v>
      </c>
      <c r="K2994">
        <v>1.104101</v>
      </c>
      <c r="L2994">
        <v>283.24810000000002</v>
      </c>
      <c r="M2994">
        <v>-0.99990109999999999</v>
      </c>
      <c r="N2994">
        <v>0</v>
      </c>
      <c r="O2994">
        <v>6.5576559999999898E-3</v>
      </c>
      <c r="P2994">
        <v>-0.99627379999999999</v>
      </c>
      <c r="Q2994">
        <v>8.4099350000000003E-2</v>
      </c>
      <c r="R2994">
        <v>-1.9138430000000001E-2</v>
      </c>
      <c r="S2994">
        <v>-3.0220030000000002</v>
      </c>
      <c r="T2994">
        <v>-4.2225360000000003E-2</v>
      </c>
      <c r="U2994">
        <v>0.37783810000000001</v>
      </c>
      <c r="V2994">
        <v>-2.5622220000000001E-2</v>
      </c>
      <c r="W2994">
        <v>9.6503820000000004E-2</v>
      </c>
      <c r="X2994">
        <v>0.99500270000000002</v>
      </c>
      <c r="Y2994">
        <v>0.1175423</v>
      </c>
      <c r="Z2994">
        <v>7.2669869999999895E-4</v>
      </c>
      <c r="AA2994">
        <v>0.99306760000000005</v>
      </c>
      <c r="AB2994">
        <v>42</v>
      </c>
      <c r="AC2994">
        <v>-78.777600000000007</v>
      </c>
      <c r="AD2994">
        <v>-1.10409741963</v>
      </c>
      <c r="AE2994">
        <v>9.8779999999999806</v>
      </c>
      <c r="AF2994">
        <v>9.3593411833331501</v>
      </c>
      <c r="AG2994">
        <v>-1.10409741963</v>
      </c>
      <c r="AH2994">
        <v>78.8254433746676</v>
      </c>
      <c r="AI2994">
        <v>90.796884970504607</v>
      </c>
      <c r="AJ2994">
        <v>83.228685969942305</v>
      </c>
      <c r="AK2994">
        <v>79.386817682225995</v>
      </c>
      <c r="AL2994">
        <v>84.462119522266505</v>
      </c>
      <c r="AM2994">
        <v>91.4750921836157</v>
      </c>
      <c r="AN2994">
        <v>0.99999992921980196</v>
      </c>
    </row>
    <row r="2995" spans="1:40" x14ac:dyDescent="0.3">
      <c r="A2995" t="str">
        <f>"20200111150011866"</f>
        <v>20200111150011866</v>
      </c>
      <c r="B2995" t="str">
        <f>"1578726011858920"</f>
        <v>1578726011858920</v>
      </c>
      <c r="C2995" t="s">
        <v>40</v>
      </c>
      <c r="D2995">
        <v>4.0047329999999999</v>
      </c>
      <c r="E2995">
        <v>0.55574699999999999</v>
      </c>
      <c r="F2995" t="s">
        <v>52</v>
      </c>
      <c r="G2995">
        <v>-499.07859999999999</v>
      </c>
      <c r="H2995" s="1">
        <v>3.7215549999999999E-6</v>
      </c>
      <c r="I2995">
        <v>292.98200000000003</v>
      </c>
      <c r="J2995">
        <v>-421.4436</v>
      </c>
      <c r="K2995">
        <v>1.1041000000000001</v>
      </c>
      <c r="L2995">
        <v>283.25040000000001</v>
      </c>
      <c r="M2995">
        <v>-0.99990009999999996</v>
      </c>
      <c r="N2995">
        <v>0</v>
      </c>
      <c r="O2995">
        <v>6.6971440000000004E-3</v>
      </c>
      <c r="P2995">
        <v>-0.99626400000000004</v>
      </c>
      <c r="Q2995">
        <v>8.4274290000000002E-2</v>
      </c>
      <c r="R2995">
        <v>-1.8860439999999999E-2</v>
      </c>
      <c r="S2995">
        <v>-3.0220950000000002</v>
      </c>
      <c r="T2995">
        <v>-4.2795180000000002E-2</v>
      </c>
      <c r="U2995">
        <v>0.37728879999999998</v>
      </c>
      <c r="V2995">
        <v>-2.5483249999999999E-2</v>
      </c>
      <c r="W2995">
        <v>9.6678E-2</v>
      </c>
      <c r="X2995">
        <v>0.99498949999999997</v>
      </c>
      <c r="Y2995">
        <v>0.1172221</v>
      </c>
      <c r="Z2995">
        <v>7.3226490000000003E-4</v>
      </c>
      <c r="AA2995">
        <v>0.99310549999999997</v>
      </c>
      <c r="AB2995">
        <v>42</v>
      </c>
      <c r="AC2995">
        <v>-77.634999999999906</v>
      </c>
      <c r="AD2995">
        <v>-1.1040962784449999</v>
      </c>
      <c r="AE2995">
        <v>9.7316000000000091</v>
      </c>
      <c r="AF2995">
        <v>9.2095748009742202</v>
      </c>
      <c r="AG2995">
        <v>-1.1040962784449999</v>
      </c>
      <c r="AH2995">
        <v>77.682968959666297</v>
      </c>
      <c r="AI2995">
        <v>90.808619471956305</v>
      </c>
      <c r="AJ2995">
        <v>83.238951852144993</v>
      </c>
      <c r="AK2995">
        <v>78.234768249131307</v>
      </c>
      <c r="AL2995">
        <v>84.452093634308397</v>
      </c>
      <c r="AM2995">
        <v>91.467114527734694</v>
      </c>
      <c r="AN2995">
        <v>1.0000000684124</v>
      </c>
    </row>
    <row r="2996" spans="1:40" x14ac:dyDescent="0.3">
      <c r="A2996" t="str">
        <f>"20200111150011881"</f>
        <v>20200111150011881</v>
      </c>
      <c r="B2996" t="str">
        <f>"1578726011878439"</f>
        <v>1578726011878439</v>
      </c>
      <c r="C2996" t="s">
        <v>40</v>
      </c>
      <c r="D2996">
        <v>4.0791389999999996</v>
      </c>
      <c r="E2996">
        <v>0.55572959999999905</v>
      </c>
      <c r="F2996" t="s">
        <v>52</v>
      </c>
      <c r="G2996">
        <v>-496.98320000000001</v>
      </c>
      <c r="H2996" s="1">
        <v>4.1106559999999999E-6</v>
      </c>
      <c r="I2996">
        <v>292.69690000000003</v>
      </c>
      <c r="J2996">
        <v>-421.7217</v>
      </c>
      <c r="K2996">
        <v>1.104096</v>
      </c>
      <c r="L2996">
        <v>283.25229999999999</v>
      </c>
      <c r="M2996">
        <v>-0.99989939999999999</v>
      </c>
      <c r="N2996">
        <v>0</v>
      </c>
      <c r="O2996">
        <v>6.8132649999999998E-3</v>
      </c>
      <c r="P2996">
        <v>-0.99625399999999997</v>
      </c>
      <c r="Q2996">
        <v>8.4405289999999994E-2</v>
      </c>
      <c r="R2996">
        <v>-1.8813440000000001E-2</v>
      </c>
      <c r="S2996">
        <v>-3.0221559999999998</v>
      </c>
      <c r="T2996">
        <v>-4.4172169999999997E-2</v>
      </c>
      <c r="U2996">
        <v>0.37792969999999998</v>
      </c>
      <c r="V2996">
        <v>-2.5551239999999999E-2</v>
      </c>
      <c r="W2996">
        <v>9.6808980000000003E-2</v>
      </c>
      <c r="X2996">
        <v>0.99497500000000005</v>
      </c>
      <c r="Y2996">
        <v>0.1173109</v>
      </c>
      <c r="Z2996">
        <v>7.5475539999999902E-4</v>
      </c>
      <c r="AA2996">
        <v>0.99309499999999995</v>
      </c>
      <c r="AB2996">
        <v>42</v>
      </c>
      <c r="AC2996">
        <v>-75.261499999999998</v>
      </c>
      <c r="AD2996">
        <v>-1.1040918893439999</v>
      </c>
      <c r="AE2996">
        <v>9.4446000000000296</v>
      </c>
      <c r="AF2996">
        <v>8.9296725518588609</v>
      </c>
      <c r="AG2996">
        <v>-1.1040918893439999</v>
      </c>
      <c r="AH2996">
        <v>75.308150530634705</v>
      </c>
      <c r="AI2996">
        <v>90.834110041194094</v>
      </c>
      <c r="AJ2996">
        <v>83.237721116624698</v>
      </c>
      <c r="AK2996">
        <v>75.843757865287003</v>
      </c>
      <c r="AL2996">
        <v>84.444553549983297</v>
      </c>
      <c r="AM2996">
        <v>91.471048539551205</v>
      </c>
      <c r="AN2996">
        <v>1.0000000475495801</v>
      </c>
    </row>
    <row r="2997" spans="1:40" x14ac:dyDescent="0.3">
      <c r="A2997" t="str">
        <f>"20200111150011894"</f>
        <v>20200111150011894</v>
      </c>
      <c r="B2997" t="str">
        <f>"1578726011889173"</f>
        <v>1578726011889173</v>
      </c>
      <c r="C2997" t="s">
        <v>40</v>
      </c>
      <c r="D2997">
        <v>4.0623360000000002</v>
      </c>
      <c r="E2997">
        <v>0.55569469999999899</v>
      </c>
      <c r="F2997" t="s">
        <v>52</v>
      </c>
      <c r="G2997">
        <v>-494.69740000000002</v>
      </c>
      <c r="H2997" s="1">
        <v>4.5328120000000004E-6</v>
      </c>
      <c r="I2997">
        <v>292.37709999999998</v>
      </c>
      <c r="J2997">
        <v>-421.96890000000002</v>
      </c>
      <c r="K2997">
        <v>1.104095</v>
      </c>
      <c r="L2997">
        <v>283.25420000000003</v>
      </c>
      <c r="M2997">
        <v>-0.99989859999999997</v>
      </c>
      <c r="N2997">
        <v>0</v>
      </c>
      <c r="O2997">
        <v>6.9167430000000004E-3</v>
      </c>
      <c r="P2997">
        <v>-0.99624349999999995</v>
      </c>
      <c r="Q2997">
        <v>8.4631830000000005E-2</v>
      </c>
      <c r="R2997">
        <v>-1.8347410000000001E-2</v>
      </c>
      <c r="S2997">
        <v>-3.022278</v>
      </c>
      <c r="T2997">
        <v>-4.572582E-2</v>
      </c>
      <c r="U2997">
        <v>0.37789919999999999</v>
      </c>
      <c r="V2997">
        <v>-2.5188209999999999E-2</v>
      </c>
      <c r="W2997">
        <v>9.7035380000000004E-2</v>
      </c>
      <c r="X2997">
        <v>0.99496220000000002</v>
      </c>
      <c r="Y2997">
        <v>0.11719250000000001</v>
      </c>
      <c r="Z2997">
        <v>7.7881700000000001E-4</v>
      </c>
      <c r="AA2997">
        <v>0.99310889999999996</v>
      </c>
      <c r="AB2997">
        <v>42</v>
      </c>
      <c r="AC2997">
        <v>-72.728499999999997</v>
      </c>
      <c r="AD2997">
        <v>-1.1040904671879901</v>
      </c>
      <c r="AE2997">
        <v>9.1228999999999605</v>
      </c>
      <c r="AF2997">
        <v>8.6176431398977105</v>
      </c>
      <c r="AG2997">
        <v>-1.1040904671879901</v>
      </c>
      <c r="AH2997">
        <v>72.773353924076503</v>
      </c>
      <c r="AI2997">
        <v>90.863173703928794</v>
      </c>
      <c r="AJ2997">
        <v>83.246623205146506</v>
      </c>
      <c r="AK2997">
        <v>73.2901346049061</v>
      </c>
      <c r="AL2997">
        <v>84.431520412321603</v>
      </c>
      <c r="AM2997">
        <v>91.450175635112899</v>
      </c>
      <c r="AN2997">
        <v>1.0000000451617901</v>
      </c>
    </row>
    <row r="2998" spans="1:40" x14ac:dyDescent="0.3">
      <c r="A2998" t="str">
        <f>"20200111150011907"</f>
        <v>20200111150011907</v>
      </c>
      <c r="B2998" t="str">
        <f>"1578726011898933"</f>
        <v>1578726011898933</v>
      </c>
      <c r="C2998" t="s">
        <v>40</v>
      </c>
      <c r="D2998">
        <v>3.9868869999999998</v>
      </c>
      <c r="E2998">
        <v>0.55564219999999998</v>
      </c>
      <c r="F2998" t="s">
        <v>52</v>
      </c>
      <c r="G2998">
        <v>-495.8252</v>
      </c>
      <c r="H2998" s="1">
        <v>4.3207960000000001E-6</v>
      </c>
      <c r="I2998">
        <v>292.52080000000001</v>
      </c>
      <c r="J2998">
        <v>-422.21890000000002</v>
      </c>
      <c r="K2998">
        <v>1.1040970000000001</v>
      </c>
      <c r="L2998">
        <v>283.25599999999997</v>
      </c>
      <c r="M2998">
        <v>-0.99989799999999995</v>
      </c>
      <c r="N2998">
        <v>0</v>
      </c>
      <c r="O2998">
        <v>7.0210569999999998E-3</v>
      </c>
      <c r="P2998">
        <v>-0.99627840000000001</v>
      </c>
      <c r="Q2998">
        <v>8.4299299999999994E-2</v>
      </c>
      <c r="R2998">
        <v>-1.7970460000000001E-2</v>
      </c>
      <c r="S2998">
        <v>-3.022125</v>
      </c>
      <c r="T2998">
        <v>-4.5178290000000003E-2</v>
      </c>
      <c r="U2998">
        <v>0.37918089999999999</v>
      </c>
      <c r="V2998">
        <v>-2.4915260000000002E-2</v>
      </c>
      <c r="W2998">
        <v>9.6703620000000004E-2</v>
      </c>
      <c r="X2998">
        <v>0.99500129999999998</v>
      </c>
      <c r="Y2998">
        <v>0.11751010000000001</v>
      </c>
      <c r="Z2998">
        <v>7.7032199999999896E-4</v>
      </c>
      <c r="AA2998">
        <v>0.99307140000000005</v>
      </c>
      <c r="AB2998">
        <v>42</v>
      </c>
      <c r="AC2998">
        <v>-73.606299999999905</v>
      </c>
      <c r="AD2998">
        <v>-1.10409267920399</v>
      </c>
      <c r="AE2998">
        <v>9.2648000000000295</v>
      </c>
      <c r="AF2998">
        <v>8.7458004928455892</v>
      </c>
      <c r="AG2998">
        <v>-1.10409267920399</v>
      </c>
      <c r="AH2998">
        <v>73.653225733465604</v>
      </c>
      <c r="AI2998">
        <v>90.852832905355697</v>
      </c>
      <c r="AJ2998">
        <v>83.228238972181501</v>
      </c>
      <c r="AK2998">
        <v>74.178876426175194</v>
      </c>
      <c r="AL2998">
        <v>84.450618278668898</v>
      </c>
      <c r="AM2998">
        <v>91.434411180135896</v>
      </c>
      <c r="AN2998">
        <v>0.99999997365183002</v>
      </c>
    </row>
    <row r="2999" spans="1:40" x14ac:dyDescent="0.3">
      <c r="A2999" t="str">
        <f>"20200111150011921"</f>
        <v>20200111150011921</v>
      </c>
      <c r="B2999" t="str">
        <f>"1578726011918454"</f>
        <v>1578726011918454</v>
      </c>
      <c r="C2999" t="s">
        <v>40</v>
      </c>
      <c r="D2999">
        <v>4.1090580000000001</v>
      </c>
      <c r="E2999">
        <v>0.5557185</v>
      </c>
      <c r="F2999" t="s">
        <v>52</v>
      </c>
      <c r="G2999">
        <v>-493.69690000000003</v>
      </c>
      <c r="H2999" s="1">
        <v>4.6722430000000001E-6</v>
      </c>
      <c r="I2999">
        <v>292.23669999999998</v>
      </c>
      <c r="J2999">
        <v>-422.46409999999997</v>
      </c>
      <c r="K2999">
        <v>1.1040970000000001</v>
      </c>
      <c r="L2999">
        <v>283.25779999999997</v>
      </c>
      <c r="M2999">
        <v>-0.99989729999999999</v>
      </c>
      <c r="N2999">
        <v>0</v>
      </c>
      <c r="O2999">
        <v>7.1234030000000004E-3</v>
      </c>
      <c r="P2999">
        <v>-0.99627600000000005</v>
      </c>
      <c r="Q2999">
        <v>8.4350129999999995E-2</v>
      </c>
      <c r="R2999">
        <v>-1.786859E-2</v>
      </c>
      <c r="S2999">
        <v>-3.0220340000000001</v>
      </c>
      <c r="T2999">
        <v>-4.668009E-2</v>
      </c>
      <c r="U2999">
        <v>0.37969969999999997</v>
      </c>
      <c r="V2999">
        <v>-2.491515E-2</v>
      </c>
      <c r="W2999">
        <v>9.6754419999999994E-2</v>
      </c>
      <c r="X2999">
        <v>0.9949964</v>
      </c>
      <c r="Y2999">
        <v>0.11757910000000001</v>
      </c>
      <c r="Z2999">
        <v>7.9489809999999997E-4</v>
      </c>
      <c r="AA2999">
        <v>0.99306320000000003</v>
      </c>
      <c r="AB2999">
        <v>42</v>
      </c>
      <c r="AC2999">
        <v>-71.232799999999997</v>
      </c>
      <c r="AD2999">
        <v>-1.1040923277569901</v>
      </c>
      <c r="AE2999">
        <v>8.9789000000000101</v>
      </c>
      <c r="AF2999">
        <v>8.46921012711387</v>
      </c>
      <c r="AG2999">
        <v>-1.1040923277569901</v>
      </c>
      <c r="AH2999">
        <v>71.278101445714697</v>
      </c>
      <c r="AI2999">
        <v>90.881238383621806</v>
      </c>
      <c r="AJ2999">
        <v>83.223927845413698</v>
      </c>
      <c r="AK2999">
        <v>71.787981485420005</v>
      </c>
      <c r="AL2999">
        <v>84.447694138326796</v>
      </c>
      <c r="AM2999">
        <v>91.434411910884194</v>
      </c>
      <c r="AN2999">
        <v>1.000000009251</v>
      </c>
    </row>
    <row r="3000" spans="1:40" x14ac:dyDescent="0.3">
      <c r="A3000" t="str">
        <f>"20200111150011933"</f>
        <v>20200111150011933</v>
      </c>
      <c r="B3000" t="str">
        <f>"1578726011929192"</f>
        <v>1578726011929192</v>
      </c>
      <c r="C3000" t="s">
        <v>40</v>
      </c>
      <c r="D3000">
        <v>4.0740170000000004</v>
      </c>
      <c r="E3000">
        <v>0.55568189999999995</v>
      </c>
      <c r="F3000" t="s">
        <v>52</v>
      </c>
      <c r="G3000">
        <v>-492.18770000000001</v>
      </c>
      <c r="H3000" s="1">
        <v>4.8688029999999997E-6</v>
      </c>
      <c r="I3000">
        <v>292.03539999999998</v>
      </c>
      <c r="J3000">
        <v>-422.70600000000002</v>
      </c>
      <c r="K3000">
        <v>1.104095</v>
      </c>
      <c r="L3000">
        <v>283.25959999999998</v>
      </c>
      <c r="M3000">
        <v>-0.99989640000000002</v>
      </c>
      <c r="N3000">
        <v>0</v>
      </c>
      <c r="O3000">
        <v>7.2243759999999898E-3</v>
      </c>
      <c r="P3000">
        <v>-0.99629400000000001</v>
      </c>
      <c r="Q3000">
        <v>8.4233829999999996E-2</v>
      </c>
      <c r="R3000">
        <v>-1.7403149999999999E-2</v>
      </c>
      <c r="S3000">
        <v>-3.022125</v>
      </c>
      <c r="T3000">
        <v>-4.7856210000000003E-2</v>
      </c>
      <c r="U3000">
        <v>0.38046259999999998</v>
      </c>
      <c r="V3000">
        <v>-2.4550570000000001E-2</v>
      </c>
      <c r="W3000">
        <v>9.6637650000000005E-2</v>
      </c>
      <c r="X3000">
        <v>0.99501680000000003</v>
      </c>
      <c r="Y3000">
        <v>0.1177213</v>
      </c>
      <c r="Z3000">
        <v>8.1441469999999998E-4</v>
      </c>
      <c r="AA3000">
        <v>0.99304630000000005</v>
      </c>
      <c r="AB3000">
        <v>42</v>
      </c>
      <c r="AC3000">
        <v>-69.481700000000004</v>
      </c>
      <c r="AD3000">
        <v>-1.1040901311969999</v>
      </c>
      <c r="AE3000">
        <v>8.7758000000000003</v>
      </c>
      <c r="AF3000">
        <v>8.2715143233206092</v>
      </c>
      <c r="AG3000">
        <v>-1.1040901311969999</v>
      </c>
      <c r="AH3000">
        <v>69.526011175034796</v>
      </c>
      <c r="AI3000">
        <v>90.903424627053695</v>
      </c>
      <c r="AJ3000">
        <v>83.215406683118104</v>
      </c>
      <c r="AK3000">
        <v>70.025018344372995</v>
      </c>
      <c r="AL3000">
        <v>84.4544160091084</v>
      </c>
      <c r="AM3000">
        <v>91.413401967672399</v>
      </c>
      <c r="AN3000">
        <v>0.99999999908354298</v>
      </c>
    </row>
    <row r="3001" spans="1:40" x14ac:dyDescent="0.3">
      <c r="A3001" t="str">
        <f>"20200111150011955"</f>
        <v>20200111150011955</v>
      </c>
      <c r="B3001" t="str">
        <f>"1578726011948709"</f>
        <v>1578726011948709</v>
      </c>
      <c r="C3001" t="s">
        <v>40</v>
      </c>
      <c r="D3001">
        <v>4.0855360000000003</v>
      </c>
      <c r="E3001">
        <v>0.55574950000000001</v>
      </c>
      <c r="F3001" t="s">
        <v>52</v>
      </c>
      <c r="G3001">
        <v>-491.42259999999999</v>
      </c>
      <c r="H3001" s="1">
        <v>4.9693650000000003E-6</v>
      </c>
      <c r="I3001">
        <v>291.93599999999998</v>
      </c>
      <c r="J3001">
        <v>-423.12549999999999</v>
      </c>
      <c r="K3001">
        <v>1.1040890000000001</v>
      </c>
      <c r="L3001">
        <v>283.26280000000003</v>
      </c>
      <c r="M3001">
        <v>-0.99989519999999998</v>
      </c>
      <c r="N3001">
        <v>0</v>
      </c>
      <c r="O3001">
        <v>7.3998519999999898E-3</v>
      </c>
      <c r="P3001">
        <v>-0.99633079999999996</v>
      </c>
      <c r="Q3001">
        <v>8.3890889999999996E-2</v>
      </c>
      <c r="R3001">
        <v>-1.6952289999999998E-2</v>
      </c>
      <c r="S3001">
        <v>-3.0219420000000001</v>
      </c>
      <c r="T3001">
        <v>-4.8554420000000001E-2</v>
      </c>
      <c r="U3001">
        <v>0.38156129999999999</v>
      </c>
      <c r="V3001">
        <v>-2.4274770000000001E-2</v>
      </c>
      <c r="W3001">
        <v>9.6295469999999994E-2</v>
      </c>
      <c r="X3001">
        <v>0.99505670000000002</v>
      </c>
      <c r="Y3001">
        <v>0.1179094</v>
      </c>
      <c r="Z3001">
        <v>8.2502420000000001E-4</v>
      </c>
      <c r="AA3001">
        <v>0.99302400000000002</v>
      </c>
      <c r="AB3001">
        <v>42</v>
      </c>
      <c r="AC3001">
        <v>-68.2971</v>
      </c>
      <c r="AD3001">
        <v>-1.1040840306349999</v>
      </c>
      <c r="AE3001">
        <v>8.6731999999999498</v>
      </c>
      <c r="AF3001">
        <v>8.1654348788988607</v>
      </c>
      <c r="AG3001">
        <v>-1.1040840306349999</v>
      </c>
      <c r="AH3001">
        <v>68.341838408200303</v>
      </c>
      <c r="AI3001">
        <v>90.919015701288203</v>
      </c>
      <c r="AJ3001">
        <v>83.186638910528103</v>
      </c>
      <c r="AK3001">
        <v>68.836764924862607</v>
      </c>
      <c r="AL3001">
        <v>84.474113121385102</v>
      </c>
      <c r="AM3001">
        <v>91.397474189975497</v>
      </c>
      <c r="AN3001">
        <v>0.99999995910798101</v>
      </c>
    </row>
    <row r="3002" spans="1:40" x14ac:dyDescent="0.3">
      <c r="A3002" t="str">
        <f>"20200111150011972"</f>
        <v>20200111150011972</v>
      </c>
      <c r="B3002" t="str">
        <f>"1578726011969205"</f>
        <v>1578726011969205</v>
      </c>
      <c r="C3002" t="s">
        <v>40</v>
      </c>
      <c r="D3002">
        <v>4.0778089999999896</v>
      </c>
      <c r="E3002">
        <v>0.55576819999999905</v>
      </c>
      <c r="F3002" t="s">
        <v>52</v>
      </c>
      <c r="G3002">
        <v>-488.05930000000001</v>
      </c>
      <c r="H3002" s="1">
        <v>4.6539940000000001E-6</v>
      </c>
      <c r="I3002">
        <v>291.49959999999999</v>
      </c>
      <c r="J3002">
        <v>-423.42930000000001</v>
      </c>
      <c r="K3002">
        <v>1.104085</v>
      </c>
      <c r="L3002">
        <v>283.26510000000002</v>
      </c>
      <c r="M3002">
        <v>-0.99989419999999996</v>
      </c>
      <c r="N3002">
        <v>0</v>
      </c>
      <c r="O3002">
        <v>7.527344E-3</v>
      </c>
      <c r="P3002">
        <v>-0.9963417</v>
      </c>
      <c r="Q3002">
        <v>8.3775769999999999E-2</v>
      </c>
      <c r="R3002">
        <v>-1.6881650000000002E-2</v>
      </c>
      <c r="S3002">
        <v>-3.0219420000000001</v>
      </c>
      <c r="T3002">
        <v>-5.1382780000000003E-2</v>
      </c>
      <c r="U3002">
        <v>0.38333129999999999</v>
      </c>
      <c r="V3002">
        <v>-2.4331019999999998E-2</v>
      </c>
      <c r="W3002">
        <v>9.6181080000000002E-2</v>
      </c>
      <c r="X3002">
        <v>0.99506640000000002</v>
      </c>
      <c r="Y3002">
        <v>0.1183535</v>
      </c>
      <c r="Z3002">
        <v>8.7464619999999896E-4</v>
      </c>
      <c r="AA3002">
        <v>0.9929711</v>
      </c>
      <c r="AB3002">
        <v>42</v>
      </c>
      <c r="AC3002">
        <v>-64.63</v>
      </c>
      <c r="AD3002">
        <v>-1.104080346006</v>
      </c>
      <c r="AE3002">
        <v>8.2344999999999597</v>
      </c>
      <c r="AF3002">
        <v>7.7455124589989097</v>
      </c>
      <c r="AG3002">
        <v>-1.104080346006</v>
      </c>
      <c r="AH3002">
        <v>64.671585645869499</v>
      </c>
      <c r="AI3002">
        <v>90.971125946087696</v>
      </c>
      <c r="AJ3002">
        <v>83.170395513583799</v>
      </c>
      <c r="AK3002">
        <v>65.143118950615005</v>
      </c>
      <c r="AL3002">
        <v>84.480697807376998</v>
      </c>
      <c r="AM3002">
        <v>91.400697508700404</v>
      </c>
      <c r="AN3002">
        <v>0.99999996954658199</v>
      </c>
    </row>
    <row r="3003" spans="1:40" x14ac:dyDescent="0.3">
      <c r="A3003" t="str">
        <f>"20200111150011986"</f>
        <v>20200111150011986</v>
      </c>
      <c r="B3003" t="str">
        <f>"1578726011978965"</f>
        <v>1578726011978965</v>
      </c>
      <c r="C3003" t="s">
        <v>40</v>
      </c>
      <c r="D3003">
        <v>4.1339439999999996</v>
      </c>
      <c r="E3003">
        <v>0.55580019999999997</v>
      </c>
      <c r="F3003" t="s">
        <v>52</v>
      </c>
      <c r="G3003">
        <v>-486.82709999999997</v>
      </c>
      <c r="H3003" s="1">
        <v>4.316114E-6</v>
      </c>
      <c r="I3003">
        <v>291.31670000000003</v>
      </c>
      <c r="J3003">
        <v>-423.70350000000002</v>
      </c>
      <c r="K3003">
        <v>1.10409</v>
      </c>
      <c r="L3003">
        <v>283.26729999999998</v>
      </c>
      <c r="M3003">
        <v>-0.99989329999999998</v>
      </c>
      <c r="N3003">
        <v>0</v>
      </c>
      <c r="O3003">
        <v>7.642556E-3</v>
      </c>
      <c r="P3003">
        <v>-0.99635430000000003</v>
      </c>
      <c r="Q3003">
        <v>8.3673890000000001E-2</v>
      </c>
      <c r="R3003">
        <v>-1.6633240000000001E-2</v>
      </c>
      <c r="S3003">
        <v>-3.0219420000000001</v>
      </c>
      <c r="T3003">
        <v>-5.2627559999999997E-2</v>
      </c>
      <c r="U3003">
        <v>0.38378909999999999</v>
      </c>
      <c r="V3003">
        <v>-2.4197940000000001E-2</v>
      </c>
      <c r="W3003">
        <v>9.6079040000000004E-2</v>
      </c>
      <c r="X3003">
        <v>0.99507950000000001</v>
      </c>
      <c r="Y3003">
        <v>0.1183864</v>
      </c>
      <c r="Z3003">
        <v>8.9411039999999996E-4</v>
      </c>
      <c r="AA3003">
        <v>0.99296719999999905</v>
      </c>
      <c r="AB3003">
        <v>42</v>
      </c>
      <c r="AC3003">
        <v>-63.123599999999897</v>
      </c>
      <c r="AD3003">
        <v>-1.104085683886</v>
      </c>
      <c r="AE3003">
        <v>8.0494000000000394</v>
      </c>
      <c r="AF3003">
        <v>7.56442469157835</v>
      </c>
      <c r="AG3003">
        <v>-1.104085683886</v>
      </c>
      <c r="AH3003">
        <v>63.164264315024703</v>
      </c>
      <c r="AI3003">
        <v>90.994301673780697</v>
      </c>
      <c r="AJ3003">
        <v>83.170896866615905</v>
      </c>
      <c r="AK3003">
        <v>63.625182220330203</v>
      </c>
      <c r="AL3003">
        <v>84.486571455785594</v>
      </c>
      <c r="AM3003">
        <v>91.393021003402694</v>
      </c>
      <c r="AN3003">
        <v>0.99999996677390701</v>
      </c>
    </row>
    <row r="3004" spans="1:40" x14ac:dyDescent="0.3">
      <c r="A3004" t="str">
        <f>"20200111150012001"</f>
        <v>20200111150012001</v>
      </c>
      <c r="B3004" t="str">
        <f>"1578726011988726"</f>
        <v>1578726011988726</v>
      </c>
      <c r="C3004" t="s">
        <v>40</v>
      </c>
      <c r="D3004">
        <v>4.1060129999999999</v>
      </c>
      <c r="E3004">
        <v>0.55583549999999904</v>
      </c>
      <c r="F3004" t="s">
        <v>52</v>
      </c>
      <c r="G3004">
        <v>-486.19420000000002</v>
      </c>
      <c r="H3004" s="1">
        <v>4.1683390000000004E-6</v>
      </c>
      <c r="I3004">
        <v>291.2278</v>
      </c>
      <c r="J3004">
        <v>-423.97219999999999</v>
      </c>
      <c r="K3004">
        <v>1.104087</v>
      </c>
      <c r="L3004">
        <v>283.26949999999999</v>
      </c>
      <c r="M3004">
        <v>-0.99989249999999996</v>
      </c>
      <c r="N3004">
        <v>0</v>
      </c>
      <c r="O3004">
        <v>7.7557399999999997E-3</v>
      </c>
      <c r="P3004">
        <v>-0.99635209999999996</v>
      </c>
      <c r="Q3004">
        <v>8.3730330000000006E-2</v>
      </c>
      <c r="R3004">
        <v>-1.6488719999999998E-2</v>
      </c>
      <c r="S3004">
        <v>-3.021881</v>
      </c>
      <c r="T3004">
        <v>-5.339062E-2</v>
      </c>
      <c r="U3004">
        <v>0.38494869999999998</v>
      </c>
      <c r="V3004">
        <v>-2.416602E-2</v>
      </c>
      <c r="W3004">
        <v>9.6135040000000005E-2</v>
      </c>
      <c r="X3004">
        <v>0.99507489999999998</v>
      </c>
      <c r="Y3004">
        <v>0.1186509</v>
      </c>
      <c r="Z3004">
        <v>9.0740519999999998E-4</v>
      </c>
      <c r="AA3004">
        <v>0.99293560000000003</v>
      </c>
      <c r="AB3004">
        <v>42</v>
      </c>
      <c r="AC3004">
        <v>-62.222000000000001</v>
      </c>
      <c r="AD3004">
        <v>-1.1040828316609901</v>
      </c>
      <c r="AE3004">
        <v>7.9583000000000004</v>
      </c>
      <c r="AF3004">
        <v>7.4731304824726204</v>
      </c>
      <c r="AG3004">
        <v>-1.1040828316609901</v>
      </c>
      <c r="AH3004">
        <v>62.262567231999199</v>
      </c>
      <c r="AI3004">
        <v>91.008663807082002</v>
      </c>
      <c r="AJ3004">
        <v>83.155754793857596</v>
      </c>
      <c r="AK3004">
        <v>62.719167376699502</v>
      </c>
      <c r="AL3004">
        <v>84.483348151759003</v>
      </c>
      <c r="AM3004">
        <v>91.391190591980106</v>
      </c>
      <c r="AN3004">
        <v>0.99999999952422503</v>
      </c>
    </row>
    <row r="3005" spans="1:40" x14ac:dyDescent="0.3">
      <c r="A3005" t="str">
        <f>"20200111150012016"</f>
        <v>20200111150012016</v>
      </c>
      <c r="B3005" t="str">
        <f>"1578726012009222"</f>
        <v>1578726012009222</v>
      </c>
      <c r="C3005" t="s">
        <v>40</v>
      </c>
      <c r="D3005">
        <v>4.0916550000000003</v>
      </c>
      <c r="E3005">
        <v>0.55582569999999998</v>
      </c>
      <c r="F3005" t="s">
        <v>52</v>
      </c>
      <c r="G3005">
        <v>-485.88299999999998</v>
      </c>
      <c r="H3005" s="1">
        <v>4.0974169999999998E-6</v>
      </c>
      <c r="I3005">
        <v>291.16849999999999</v>
      </c>
      <c r="J3005">
        <v>-424.25549999999998</v>
      </c>
      <c r="K3005">
        <v>1.1040859999999999</v>
      </c>
      <c r="L3005">
        <v>283.27179999999998</v>
      </c>
      <c r="M3005">
        <v>-0.99989159999999999</v>
      </c>
      <c r="N3005">
        <v>0</v>
      </c>
      <c r="O3005">
        <v>7.8746470000000002E-3</v>
      </c>
      <c r="P3005">
        <v>-0.99636550000000002</v>
      </c>
      <c r="Q3005">
        <v>8.3593990000000007E-2</v>
      </c>
      <c r="R3005">
        <v>-1.6368999999999901E-2</v>
      </c>
      <c r="S3005">
        <v>-3.0219420000000001</v>
      </c>
      <c r="T3005">
        <v>-5.3891660000000001E-2</v>
      </c>
      <c r="U3005">
        <v>0.38555909999999999</v>
      </c>
      <c r="V3005">
        <v>-2.4164910000000001E-2</v>
      </c>
      <c r="W3005">
        <v>9.5998819999999999E-2</v>
      </c>
      <c r="X3005">
        <v>0.99508810000000003</v>
      </c>
      <c r="Y3005">
        <v>0.118727399999999</v>
      </c>
      <c r="Z3005">
        <v>9.1445679999999996E-4</v>
      </c>
      <c r="AA3005">
        <v>0.99292650000000005</v>
      </c>
      <c r="AB3005">
        <v>42</v>
      </c>
      <c r="AC3005">
        <v>-61.627499999999998</v>
      </c>
      <c r="AD3005">
        <v>-1.104081902583</v>
      </c>
      <c r="AE3005">
        <v>7.8967000000000098</v>
      </c>
      <c r="AF3005">
        <v>7.40878322710285</v>
      </c>
      <c r="AG3005">
        <v>-1.104081902583</v>
      </c>
      <c r="AH3005">
        <v>61.6683040049491</v>
      </c>
      <c r="AI3005">
        <v>91.018367205027999</v>
      </c>
      <c r="AJ3005">
        <v>83.149362055563103</v>
      </c>
      <c r="AK3005">
        <v>62.121564569806502</v>
      </c>
      <c r="AL3005">
        <v>84.491189370547403</v>
      </c>
      <c r="AM3005">
        <v>91.391108270294794</v>
      </c>
      <c r="AN3005">
        <v>1.00000002153915</v>
      </c>
    </row>
    <row r="3006" spans="1:40" x14ac:dyDescent="0.3">
      <c r="A3006" t="str">
        <f>"20200111150012035"</f>
        <v>20200111150012035</v>
      </c>
      <c r="B3006" t="str">
        <f>"1578726012028741"</f>
        <v>1578726012028741</v>
      </c>
      <c r="C3006" t="s">
        <v>40</v>
      </c>
      <c r="D3006">
        <v>4.1446300000000003</v>
      </c>
      <c r="E3006">
        <v>0.55587410000000004</v>
      </c>
      <c r="F3006" t="s">
        <v>52</v>
      </c>
      <c r="G3006">
        <v>-484.42309999999998</v>
      </c>
      <c r="H3006" s="1">
        <v>3.7800229999999998E-6</v>
      </c>
      <c r="I3006">
        <v>290.94779999999997</v>
      </c>
      <c r="J3006">
        <v>-424.61009999999999</v>
      </c>
      <c r="K3006">
        <v>1.104085</v>
      </c>
      <c r="L3006">
        <v>283.2747</v>
      </c>
      <c r="M3006">
        <v>-0.99989039999999996</v>
      </c>
      <c r="N3006">
        <v>0</v>
      </c>
      <c r="O3006">
        <v>8.0235359999999995E-3</v>
      </c>
      <c r="P3006">
        <v>-0.99636579999999997</v>
      </c>
      <c r="Q3006">
        <v>8.3585740000000006E-2</v>
      </c>
      <c r="R3006">
        <v>-1.6389819999999999E-2</v>
      </c>
      <c r="S3006">
        <v>-3.0219420000000001</v>
      </c>
      <c r="T3006">
        <v>-5.5452939999999999E-2</v>
      </c>
      <c r="U3006">
        <v>0.3855286</v>
      </c>
      <c r="V3006">
        <v>-2.433432E-2</v>
      </c>
      <c r="W3006">
        <v>9.599075E-2</v>
      </c>
      <c r="X3006">
        <v>0.99508470000000004</v>
      </c>
      <c r="Y3006">
        <v>0.1185687</v>
      </c>
      <c r="Z3006">
        <v>9.367752E-4</v>
      </c>
      <c r="AA3006">
        <v>0.99294539999999998</v>
      </c>
      <c r="AB3006">
        <v>42</v>
      </c>
      <c r="AC3006">
        <v>-59.812999999999903</v>
      </c>
      <c r="AD3006">
        <v>-1.104081219977</v>
      </c>
      <c r="AE3006">
        <v>7.6730999999999696</v>
      </c>
      <c r="AF3006">
        <v>7.1904937082594396</v>
      </c>
      <c r="AG3006">
        <v>-1.104081219977</v>
      </c>
      <c r="AH3006">
        <v>59.852581126341597</v>
      </c>
      <c r="AI3006">
        <v>91.049253845374196</v>
      </c>
      <c r="AJ3006">
        <v>83.149503558227096</v>
      </c>
      <c r="AK3006">
        <v>60.2930647968249</v>
      </c>
      <c r="AL3006">
        <v>84.491653617307904</v>
      </c>
      <c r="AM3006">
        <v>91.400861656064194</v>
      </c>
      <c r="AN3006">
        <v>0.99999997169475696</v>
      </c>
    </row>
    <row r="3007" spans="1:40" x14ac:dyDescent="0.3">
      <c r="A3007" t="str">
        <f>"20200111150012057"</f>
        <v>20200111150012057</v>
      </c>
      <c r="B3007" t="str">
        <f>"1578726012049237"</f>
        <v>1578726012049237</v>
      </c>
      <c r="C3007" t="s">
        <v>40</v>
      </c>
      <c r="D3007">
        <v>4.0850860000000004</v>
      </c>
      <c r="E3007">
        <v>0.55596040000000002</v>
      </c>
      <c r="F3007" t="s">
        <v>52</v>
      </c>
      <c r="G3007">
        <v>-484.26990000000001</v>
      </c>
      <c r="H3007" s="1">
        <v>3.7402530000000002E-6</v>
      </c>
      <c r="I3007">
        <v>290.90019999999998</v>
      </c>
      <c r="J3007">
        <v>-425.02699999999999</v>
      </c>
      <c r="K3007">
        <v>1.1040840000000001</v>
      </c>
      <c r="L3007">
        <v>283.27820000000003</v>
      </c>
      <c r="M3007">
        <v>-0.99988909999999998</v>
      </c>
      <c r="N3007">
        <v>0</v>
      </c>
      <c r="O3007">
        <v>8.1975069999999997E-3</v>
      </c>
      <c r="P3007">
        <v>-0.99636349999999996</v>
      </c>
      <c r="Q3007">
        <v>8.3588200000000001E-2</v>
      </c>
      <c r="R3007">
        <v>-1.6522410000000001E-2</v>
      </c>
      <c r="S3007">
        <v>-3.0220030000000002</v>
      </c>
      <c r="T3007">
        <v>-5.5926080000000003E-2</v>
      </c>
      <c r="U3007">
        <v>0.38626100000000002</v>
      </c>
      <c r="V3007">
        <v>-2.4639890000000001E-2</v>
      </c>
      <c r="W3007">
        <v>9.5993120000000001E-2</v>
      </c>
      <c r="X3007">
        <v>0.99507699999999999</v>
      </c>
      <c r="Y3007">
        <v>0.1186299</v>
      </c>
      <c r="Z3007">
        <v>9.4209220000000002E-4</v>
      </c>
      <c r="AA3007">
        <v>0.99293810000000005</v>
      </c>
      <c r="AB3007">
        <v>42</v>
      </c>
      <c r="AC3007">
        <v>-59.242899999999999</v>
      </c>
      <c r="AD3007">
        <v>-1.1040802597470001</v>
      </c>
      <c r="AE3007">
        <v>7.6219999999999501</v>
      </c>
      <c r="AF3007">
        <v>7.13362493029293</v>
      </c>
      <c r="AG3007">
        <v>-1.1040802597470001</v>
      </c>
      <c r="AH3007">
        <v>59.283140455041703</v>
      </c>
      <c r="AI3007">
        <v>91.059304745573797</v>
      </c>
      <c r="AJ3007">
        <v>83.138507478500998</v>
      </c>
      <c r="AK3007">
        <v>59.721004178415001</v>
      </c>
      <c r="AL3007">
        <v>84.491517461018702</v>
      </c>
      <c r="AM3007">
        <v>91.418456332445402</v>
      </c>
      <c r="AN3007">
        <v>1.0000000195977701</v>
      </c>
    </row>
    <row r="3008" spans="1:40" x14ac:dyDescent="0.3">
      <c r="A3008" t="str">
        <f>"20200111150012070"</f>
        <v>20200111150012070</v>
      </c>
      <c r="B3008" t="str">
        <f>"1578726012058997"</f>
        <v>1578726012058997</v>
      </c>
      <c r="C3008" t="s">
        <v>40</v>
      </c>
      <c r="D3008">
        <v>4.1247590000000001</v>
      </c>
      <c r="E3008">
        <v>0.55602929999999995</v>
      </c>
      <c r="F3008" t="s">
        <v>52</v>
      </c>
      <c r="G3008">
        <v>-483.80990000000003</v>
      </c>
      <c r="H3008" s="1">
        <v>3.6307740000000002E-6</v>
      </c>
      <c r="I3008">
        <v>290.79489999999998</v>
      </c>
      <c r="J3008">
        <v>-425.28449999999998</v>
      </c>
      <c r="K3008">
        <v>1.1040859999999999</v>
      </c>
      <c r="L3008">
        <v>283.28039999999999</v>
      </c>
      <c r="M3008">
        <v>-0.99988809999999995</v>
      </c>
      <c r="N3008">
        <v>0</v>
      </c>
      <c r="O3008">
        <v>8.3034089999999994E-3</v>
      </c>
      <c r="P3008">
        <v>-0.99637949999999997</v>
      </c>
      <c r="Q3008">
        <v>8.3371039999999993E-2</v>
      </c>
      <c r="R3008">
        <v>-1.6655509999999998E-2</v>
      </c>
      <c r="S3008">
        <v>-3.022125</v>
      </c>
      <c r="T3008">
        <v>-5.676258E-2</v>
      </c>
      <c r="U3008">
        <v>0.38644410000000001</v>
      </c>
      <c r="V3008">
        <v>-2.4879080000000001E-2</v>
      </c>
      <c r="W3008">
        <v>9.5776219999999995E-2</v>
      </c>
      <c r="X3008">
        <v>0.99509190000000003</v>
      </c>
      <c r="Y3008">
        <v>0.1185784</v>
      </c>
      <c r="Z3008">
        <v>9.5367589999999995E-4</v>
      </c>
      <c r="AA3008">
        <v>0.99294420000000005</v>
      </c>
      <c r="AB3008">
        <v>42</v>
      </c>
      <c r="AC3008">
        <v>-58.525399999999998</v>
      </c>
      <c r="AD3008">
        <v>-1.104082369226</v>
      </c>
      <c r="AE3008">
        <v>7.5144999999999902</v>
      </c>
      <c r="AF3008">
        <v>7.0257831010631397</v>
      </c>
      <c r="AG3008">
        <v>-1.104082369226</v>
      </c>
      <c r="AH3008">
        <v>58.565278205160503</v>
      </c>
      <c r="AI3008">
        <v>91.072334706271207</v>
      </c>
      <c r="AJ3008">
        <v>83.159203961773002</v>
      </c>
      <c r="AK3008">
        <v>58.995528960329501</v>
      </c>
      <c r="AL3008">
        <v>84.504002173683602</v>
      </c>
      <c r="AM3008">
        <v>91.432198753516403</v>
      </c>
      <c r="AN3008">
        <v>0.99999997119237205</v>
      </c>
    </row>
    <row r="3009" spans="1:40" x14ac:dyDescent="0.3">
      <c r="A3009" t="str">
        <f>"20200111150012090"</f>
        <v>20200111150012090</v>
      </c>
      <c r="B3009" t="str">
        <f>"1578726012078517"</f>
        <v>1578726012078517</v>
      </c>
      <c r="C3009" t="s">
        <v>40</v>
      </c>
      <c r="D3009">
        <v>4.0926900000000002</v>
      </c>
      <c r="E3009">
        <v>0.55608000000000002</v>
      </c>
      <c r="F3009" t="s">
        <v>52</v>
      </c>
      <c r="G3009">
        <v>-482.74639999999999</v>
      </c>
      <c r="H3009" s="1">
        <v>3.3995979999999898E-6</v>
      </c>
      <c r="I3009">
        <v>290.6343</v>
      </c>
      <c r="J3009">
        <v>-425.63990000000001</v>
      </c>
      <c r="K3009">
        <v>1.104082</v>
      </c>
      <c r="L3009">
        <v>283.2835</v>
      </c>
      <c r="M3009">
        <v>-0.99988699999999997</v>
      </c>
      <c r="N3009">
        <v>0</v>
      </c>
      <c r="O3009">
        <v>8.4477430000000006E-3</v>
      </c>
      <c r="P3009">
        <v>-0.99639710000000004</v>
      </c>
      <c r="Q3009">
        <v>8.3085430000000002E-2</v>
      </c>
      <c r="R3009">
        <v>-1.7031350000000001E-2</v>
      </c>
      <c r="S3009">
        <v>-3.0222169999999999</v>
      </c>
      <c r="T3009">
        <v>-5.8069349999999999E-2</v>
      </c>
      <c r="U3009">
        <v>0.38677980000000001</v>
      </c>
      <c r="V3009">
        <v>-2.5399830000000002E-2</v>
      </c>
      <c r="W3009">
        <v>9.5490480000000003E-2</v>
      </c>
      <c r="X3009">
        <v>0.99510620000000005</v>
      </c>
      <c r="Y3009">
        <v>0.1185389</v>
      </c>
      <c r="Z3009">
        <v>9.7245260000000005E-4</v>
      </c>
      <c r="AA3009">
        <v>0.99294890000000002</v>
      </c>
      <c r="AB3009">
        <v>42</v>
      </c>
      <c r="AC3009">
        <v>-57.106499999999897</v>
      </c>
      <c r="AD3009">
        <v>-1.104078600402</v>
      </c>
      <c r="AE3009">
        <v>7.3507999999999898</v>
      </c>
      <c r="AF3009">
        <v>6.86555487047666</v>
      </c>
      <c r="AG3009">
        <v>-1.104078600402</v>
      </c>
      <c r="AH3009">
        <v>57.145552093773198</v>
      </c>
      <c r="AI3009">
        <v>91.098942666050505</v>
      </c>
      <c r="AJ3009">
        <v>83.149231962769093</v>
      </c>
      <c r="AK3009">
        <v>57.567082237486602</v>
      </c>
      <c r="AL3009">
        <v>84.520449225943807</v>
      </c>
      <c r="AM3009">
        <v>91.462142566751098</v>
      </c>
      <c r="AN3009">
        <v>0.99999996620654896</v>
      </c>
    </row>
    <row r="3010" spans="1:40" x14ac:dyDescent="0.3">
      <c r="A3010" t="str">
        <f>"20200111150012104"</f>
        <v>20200111150012104</v>
      </c>
      <c r="B3010" t="str">
        <f>"1578726012099014"</f>
        <v>1578726012099014</v>
      </c>
      <c r="C3010" t="s">
        <v>40</v>
      </c>
      <c r="D3010">
        <v>4.1352710000000004</v>
      </c>
      <c r="E3010">
        <v>0.55615689999999995</v>
      </c>
      <c r="F3010" t="s">
        <v>52</v>
      </c>
      <c r="G3010">
        <v>-477.82530000000003</v>
      </c>
      <c r="H3010">
        <v>8.0001039999999995E-2</v>
      </c>
      <c r="I3010">
        <v>289.947</v>
      </c>
      <c r="J3010">
        <v>-425.9135</v>
      </c>
      <c r="K3010">
        <v>1.1040840000000001</v>
      </c>
      <c r="L3010">
        <v>283.28590000000003</v>
      </c>
      <c r="M3010">
        <v>-0.99988589999999999</v>
      </c>
      <c r="N3010">
        <v>0</v>
      </c>
      <c r="O3010">
        <v>8.5573300000000001E-3</v>
      </c>
      <c r="P3010">
        <v>-0.99640949999999995</v>
      </c>
      <c r="Q3010">
        <v>8.2882079999999997E-2</v>
      </c>
      <c r="R3010">
        <v>-1.7277870000000001E-2</v>
      </c>
      <c r="S3010">
        <v>-3.0224000000000002</v>
      </c>
      <c r="T3010">
        <v>-5.9311269999999999E-2</v>
      </c>
      <c r="U3010">
        <v>0.38592530000000003</v>
      </c>
      <c r="V3010">
        <v>-2.5755739999999999E-2</v>
      </c>
      <c r="W3010">
        <v>9.5287339999999998E-2</v>
      </c>
      <c r="X3010">
        <v>0.99511649999999996</v>
      </c>
      <c r="Y3010">
        <v>0.1181455</v>
      </c>
      <c r="Z3010">
        <v>9.8721919999999997E-4</v>
      </c>
      <c r="AA3010">
        <v>0.99299579999999998</v>
      </c>
      <c r="AB3010">
        <v>42</v>
      </c>
      <c r="AC3010">
        <v>-51.911799999999999</v>
      </c>
      <c r="AD3010">
        <v>-1.0240829600000001</v>
      </c>
      <c r="AE3010">
        <v>6.66109999999997</v>
      </c>
      <c r="AF3010">
        <v>6.2142160365660599</v>
      </c>
      <c r="AG3010">
        <v>-1.0240829600000001</v>
      </c>
      <c r="AH3010">
        <v>51.947015926352798</v>
      </c>
      <c r="AI3010">
        <v>91.121388948385203</v>
      </c>
      <c r="AJ3010">
        <v>83.178349439599799</v>
      </c>
      <c r="AK3010">
        <v>52.327408597319497</v>
      </c>
      <c r="AL3010">
        <v>84.532141474226194</v>
      </c>
      <c r="AM3010">
        <v>91.482606124296396</v>
      </c>
      <c r="AN3010">
        <v>0.99999994193973396</v>
      </c>
    </row>
    <row r="3011" spans="1:40" x14ac:dyDescent="0.3">
      <c r="A3011" t="str">
        <f>"20200111150012117"</f>
        <v>20200111150012117</v>
      </c>
      <c r="B3011" t="str">
        <f>"1578726012108773"</f>
        <v>1578726012108773</v>
      </c>
      <c r="C3011" t="s">
        <v>40</v>
      </c>
      <c r="D3011">
        <v>4.0835119999999998</v>
      </c>
      <c r="E3011">
        <v>0.55619750000000001</v>
      </c>
      <c r="F3011" t="s">
        <v>52</v>
      </c>
      <c r="G3011">
        <v>-476.92450000000002</v>
      </c>
      <c r="H3011">
        <v>8.0001210000000003E-2</v>
      </c>
      <c r="I3011">
        <v>289.79759999999999</v>
      </c>
      <c r="J3011">
        <v>-426.16559999999998</v>
      </c>
      <c r="K3011">
        <v>1.104085</v>
      </c>
      <c r="L3011">
        <v>283.28809999999999</v>
      </c>
      <c r="M3011">
        <v>-0.99988509999999997</v>
      </c>
      <c r="N3011">
        <v>0</v>
      </c>
      <c r="O3011">
        <v>8.6563660000000004E-3</v>
      </c>
      <c r="P3011">
        <v>-0.99640200000000001</v>
      </c>
      <c r="Q3011">
        <v>8.2920540000000001E-2</v>
      </c>
      <c r="R3011">
        <v>-1.753294E-2</v>
      </c>
      <c r="S3011">
        <v>-3.0225219999999999</v>
      </c>
      <c r="T3011">
        <v>-6.0679320000000002E-2</v>
      </c>
      <c r="U3011">
        <v>0.3858337</v>
      </c>
      <c r="V3011">
        <v>-2.610962E-2</v>
      </c>
      <c r="W3011">
        <v>9.5326250000000001E-2</v>
      </c>
      <c r="X3011">
        <v>0.99510359999999998</v>
      </c>
      <c r="Y3011">
        <v>0.11801159999999999</v>
      </c>
      <c r="Z3011">
        <v>1.006629E-3</v>
      </c>
      <c r="AA3011">
        <v>0.99301170000000005</v>
      </c>
      <c r="AB3011">
        <v>42</v>
      </c>
      <c r="AC3011">
        <v>-50.758899999999997</v>
      </c>
      <c r="AD3011">
        <v>-1.0240837899999999</v>
      </c>
      <c r="AE3011">
        <v>6.5095000000000001</v>
      </c>
      <c r="AF3011">
        <v>6.0674046605390801</v>
      </c>
      <c r="AG3011">
        <v>-1.0240837899999999</v>
      </c>
      <c r="AH3011">
        <v>50.7930101904577</v>
      </c>
      <c r="AI3011">
        <v>91.146884163458196</v>
      </c>
      <c r="AJ3011">
        <v>83.188094207804596</v>
      </c>
      <c r="AK3011">
        <v>51.164362901648801</v>
      </c>
      <c r="AL3011">
        <v>84.529902166900001</v>
      </c>
      <c r="AM3011">
        <v>91.5029871043036</v>
      </c>
      <c r="AN3011">
        <v>0.99999999046428301</v>
      </c>
    </row>
    <row r="3012" spans="1:40" x14ac:dyDescent="0.3">
      <c r="A3012" t="str">
        <f>"20200111150012135"</f>
        <v>20200111150012135</v>
      </c>
      <c r="B3012" t="str">
        <f>"1578726012129269"</f>
        <v>1578726012129269</v>
      </c>
      <c r="C3012" t="s">
        <v>40</v>
      </c>
      <c r="D3012">
        <v>4.0376770000000004</v>
      </c>
      <c r="E3012">
        <v>0.55623210000000001</v>
      </c>
      <c r="F3012" t="s">
        <v>52</v>
      </c>
      <c r="G3012">
        <v>-477.02949999999998</v>
      </c>
      <c r="H3012">
        <v>8.0001199999999995E-2</v>
      </c>
      <c r="I3012">
        <v>289.77109999999999</v>
      </c>
      <c r="J3012">
        <v>-426.49430000000001</v>
      </c>
      <c r="K3012">
        <v>1.1040859999999999</v>
      </c>
      <c r="L3012">
        <v>283.29109999999997</v>
      </c>
      <c r="M3012">
        <v>-0.99988390000000005</v>
      </c>
      <c r="N3012">
        <v>0</v>
      </c>
      <c r="O3012">
        <v>8.7835199999999995E-3</v>
      </c>
      <c r="P3012">
        <v>-0.99637730000000002</v>
      </c>
      <c r="Q3012">
        <v>8.3189349999999995E-2</v>
      </c>
      <c r="R3012">
        <v>-1.7658960000000001E-2</v>
      </c>
      <c r="S3012">
        <v>-3.0226440000000001</v>
      </c>
      <c r="T3012">
        <v>-6.0857420000000002E-2</v>
      </c>
      <c r="U3012">
        <v>0.38525389999999998</v>
      </c>
      <c r="V3012">
        <v>-2.636231E-2</v>
      </c>
      <c r="W3012">
        <v>9.5594419999999999E-2</v>
      </c>
      <c r="X3012">
        <v>0.99507120000000004</v>
      </c>
      <c r="Y3012">
        <v>0.1176928</v>
      </c>
      <c r="Z3012">
        <v>1.0038099999999999E-3</v>
      </c>
      <c r="AA3012">
        <v>0.99304959999999998</v>
      </c>
      <c r="AB3012">
        <v>42</v>
      </c>
      <c r="AC3012">
        <v>-50.535199999999897</v>
      </c>
      <c r="AD3012">
        <v>-1.0240848</v>
      </c>
      <c r="AE3012">
        <v>6.4800000000000102</v>
      </c>
      <c r="AF3012">
        <v>6.0334010322557798</v>
      </c>
      <c r="AG3012">
        <v>-1.0240848</v>
      </c>
      <c r="AH3012">
        <v>50.569740775753097</v>
      </c>
      <c r="AI3012">
        <v>91.151967179367304</v>
      </c>
      <c r="AJ3012">
        <v>83.196286133162303</v>
      </c>
      <c r="AK3012">
        <v>50.938682352613803</v>
      </c>
      <c r="AL3012">
        <v>84.514466603005701</v>
      </c>
      <c r="AM3012">
        <v>91.5175756958389</v>
      </c>
      <c r="AN3012">
        <v>0.999999978796556</v>
      </c>
    </row>
    <row r="3013" spans="1:40" x14ac:dyDescent="0.3">
      <c r="A3013" t="str">
        <f>"20200111150012156"</f>
        <v>20200111150012156</v>
      </c>
      <c r="B3013" t="str">
        <f>"1578726012148789"</f>
        <v>1578726012148789</v>
      </c>
      <c r="C3013" t="s">
        <v>40</v>
      </c>
      <c r="D3013">
        <v>4.2823120000000001</v>
      </c>
      <c r="E3013">
        <v>0.55636169999999996</v>
      </c>
      <c r="F3013" t="s">
        <v>52</v>
      </c>
      <c r="G3013">
        <v>-482.10680000000002</v>
      </c>
      <c r="H3013" s="1">
        <v>3.2195810000000002E-6</v>
      </c>
      <c r="I3013">
        <v>290.38299999999998</v>
      </c>
      <c r="J3013">
        <v>-426.90120000000002</v>
      </c>
      <c r="K3013">
        <v>1.104085</v>
      </c>
      <c r="L3013">
        <v>283.29480000000001</v>
      </c>
      <c r="M3013">
        <v>-0.99988259999999995</v>
      </c>
      <c r="N3013">
        <v>0</v>
      </c>
      <c r="O3013">
        <v>8.9383810000000005E-3</v>
      </c>
      <c r="P3013">
        <v>-0.99636040000000003</v>
      </c>
      <c r="Q3013">
        <v>8.339357E-2</v>
      </c>
      <c r="R3013">
        <v>-1.7652569999999999E-2</v>
      </c>
      <c r="S3013">
        <v>-3.0227360000000001</v>
      </c>
      <c r="T3013">
        <v>-6.0010790000000001E-2</v>
      </c>
      <c r="U3013">
        <v>0.38546750000000002</v>
      </c>
      <c r="V3013">
        <v>-2.6510789999999999E-2</v>
      </c>
      <c r="W3013">
        <v>9.5798049999999996E-2</v>
      </c>
      <c r="X3013">
        <v>0.99504769999999998</v>
      </c>
      <c r="Y3013">
        <v>0.1176049</v>
      </c>
      <c r="Z3013">
        <v>9.858836000000001E-4</v>
      </c>
      <c r="AA3013">
        <v>0.99306000000000005</v>
      </c>
      <c r="AB3013">
        <v>42</v>
      </c>
      <c r="AC3013">
        <v>-55.205599999999997</v>
      </c>
      <c r="AD3013">
        <v>-1.104081780419</v>
      </c>
      <c r="AE3013">
        <v>7.0881999999999703</v>
      </c>
      <c r="AF3013">
        <v>6.5918360605658401</v>
      </c>
      <c r="AG3013">
        <v>-1.104081780419</v>
      </c>
      <c r="AH3013">
        <v>55.245017811866198</v>
      </c>
      <c r="AI3013">
        <v>91.136852123403699</v>
      </c>
      <c r="AJ3013">
        <v>83.195637178229205</v>
      </c>
      <c r="AK3013">
        <v>55.647850742509704</v>
      </c>
      <c r="AL3013">
        <v>84.502745825460494</v>
      </c>
      <c r="AM3013">
        <v>91.526155106577093</v>
      </c>
      <c r="AN3013">
        <v>1.0000000068227499</v>
      </c>
    </row>
    <row r="3014" spans="1:40" x14ac:dyDescent="0.3">
      <c r="A3014" t="str">
        <f>"20200111150012173"</f>
        <v>20200111150012173</v>
      </c>
      <c r="B3014" t="str">
        <f>"1578726012169285"</f>
        <v>1578726012169285</v>
      </c>
      <c r="C3014" t="s">
        <v>40</v>
      </c>
      <c r="D3014">
        <v>4.0355559999999997</v>
      </c>
      <c r="E3014">
        <v>0.55650169999999999</v>
      </c>
      <c r="F3014" t="s">
        <v>52</v>
      </c>
      <c r="G3014">
        <v>-482.9452</v>
      </c>
      <c r="H3014" s="1">
        <v>3.387991E-6</v>
      </c>
      <c r="I3014">
        <v>290.45729999999998</v>
      </c>
      <c r="J3014">
        <v>-427.19389999999999</v>
      </c>
      <c r="K3014">
        <v>1.104085</v>
      </c>
      <c r="L3014">
        <v>283.29750000000001</v>
      </c>
      <c r="M3014">
        <v>-0.99988169999999998</v>
      </c>
      <c r="N3014">
        <v>0</v>
      </c>
      <c r="O3014">
        <v>9.0483190000000008E-3</v>
      </c>
      <c r="P3014">
        <v>-0.99633470000000002</v>
      </c>
      <c r="Q3014">
        <v>8.3711649999999999E-2</v>
      </c>
      <c r="R3014">
        <v>-1.7598320000000001E-2</v>
      </c>
      <c r="S3014">
        <v>-3.0228269999999999</v>
      </c>
      <c r="T3014">
        <v>-5.9550520000000003E-2</v>
      </c>
      <c r="U3014">
        <v>0.386322</v>
      </c>
      <c r="V3014">
        <v>-2.656596E-2</v>
      </c>
      <c r="W3014">
        <v>9.6115590000000001E-2</v>
      </c>
      <c r="X3014">
        <v>0.9950156</v>
      </c>
      <c r="Y3014">
        <v>0.1177685</v>
      </c>
      <c r="Z3014">
        <v>9.7772529999999992E-4</v>
      </c>
      <c r="AA3014">
        <v>0.99304060000000005</v>
      </c>
      <c r="AB3014">
        <v>42</v>
      </c>
      <c r="AC3014">
        <v>-55.751300000000001</v>
      </c>
      <c r="AD3014">
        <v>-1.104081612009</v>
      </c>
      <c r="AE3014">
        <v>7.1597999999999598</v>
      </c>
      <c r="AF3014">
        <v>6.6524456136584602</v>
      </c>
      <c r="AG3014">
        <v>-1.104081612009</v>
      </c>
      <c r="AH3014">
        <v>55.792280585221903</v>
      </c>
      <c r="AI3014">
        <v>91.125714654098502</v>
      </c>
      <c r="AJ3014">
        <v>83.200385846819302</v>
      </c>
      <c r="AK3014">
        <v>56.1983327310409</v>
      </c>
      <c r="AL3014">
        <v>84.484467744929105</v>
      </c>
      <c r="AM3014">
        <v>91.529378902817598</v>
      </c>
      <c r="AN3014">
        <v>1.00000000055756</v>
      </c>
    </row>
    <row r="3015" spans="1:40" x14ac:dyDescent="0.3">
      <c r="A3015" t="str">
        <f>"20200111150012185"</f>
        <v>20200111150012185</v>
      </c>
      <c r="B3015" t="str">
        <f>"1578726012179045"</f>
        <v>1578726012179045</v>
      </c>
      <c r="C3015" t="s">
        <v>40</v>
      </c>
      <c r="D3015">
        <v>4.0422690000000001</v>
      </c>
      <c r="E3015">
        <v>0.55659179999999997</v>
      </c>
      <c r="F3015" t="s">
        <v>52</v>
      </c>
      <c r="G3015">
        <v>-484.5265</v>
      </c>
      <c r="H3015" s="1">
        <v>3.7200629999999998E-6</v>
      </c>
      <c r="I3015">
        <v>290.65210000000002</v>
      </c>
      <c r="J3015">
        <v>-427.44909999999999</v>
      </c>
      <c r="K3015">
        <v>1.104085</v>
      </c>
      <c r="L3015">
        <v>283.29989999999998</v>
      </c>
      <c r="M3015">
        <v>-0.99988080000000001</v>
      </c>
      <c r="N3015">
        <v>0</v>
      </c>
      <c r="O3015">
        <v>9.1432370000000002E-3</v>
      </c>
      <c r="P3015">
        <v>-0.99634219999999896</v>
      </c>
      <c r="Q3015">
        <v>8.3580370000000001E-2</v>
      </c>
      <c r="R3015">
        <v>-1.7797469999999999E-2</v>
      </c>
      <c r="S3015">
        <v>-3.0227659999999998</v>
      </c>
      <c r="T3015">
        <v>-5.8210850000000001E-2</v>
      </c>
      <c r="U3015">
        <v>0.3877563</v>
      </c>
      <c r="V3015">
        <v>-2.6860459999999999E-2</v>
      </c>
      <c r="W3015">
        <v>9.5985520000000005E-2</v>
      </c>
      <c r="X3015">
        <v>0.99502029999999997</v>
      </c>
      <c r="Y3015">
        <v>0.1181412</v>
      </c>
      <c r="Z3015">
        <v>9.5747840000000002E-4</v>
      </c>
      <c r="AA3015">
        <v>0.99299630000000005</v>
      </c>
      <c r="AB3015">
        <v>42</v>
      </c>
      <c r="AC3015">
        <v>-57.077399999999997</v>
      </c>
      <c r="AD3015">
        <v>-1.1040812799369999</v>
      </c>
      <c r="AE3015">
        <v>7.35220000000003</v>
      </c>
      <c r="AF3015">
        <v>6.8274670732240601</v>
      </c>
      <c r="AG3015">
        <v>-1.1040812799369999</v>
      </c>
      <c r="AH3015">
        <v>57.121217453539103</v>
      </c>
      <c r="AI3015">
        <v>91.099493326862302</v>
      </c>
      <c r="AJ3015">
        <v>83.184004284379199</v>
      </c>
      <c r="AK3015">
        <v>57.538394012026103</v>
      </c>
      <c r="AL3015">
        <v>84.491955101875305</v>
      </c>
      <c r="AM3015">
        <v>91.546317521338807</v>
      </c>
      <c r="AN3015">
        <v>1.0000000508865801</v>
      </c>
    </row>
    <row r="3016" spans="1:40" x14ac:dyDescent="0.3">
      <c r="A3016" t="str">
        <f>"20200111150012202"</f>
        <v>20200111150012202</v>
      </c>
      <c r="B3016" t="str">
        <f>"1578726012198565"</f>
        <v>1578726012198565</v>
      </c>
      <c r="C3016" t="s">
        <v>40</v>
      </c>
      <c r="D3016">
        <v>4.089188</v>
      </c>
      <c r="E3016">
        <v>0.55678139999999998</v>
      </c>
      <c r="F3016" t="s">
        <v>52</v>
      </c>
      <c r="G3016">
        <v>-484.72969999999998</v>
      </c>
      <c r="H3016" s="1">
        <v>3.756003E-6</v>
      </c>
      <c r="I3016">
        <v>290.65170000000001</v>
      </c>
      <c r="J3016">
        <v>-427.75369999999998</v>
      </c>
      <c r="K3016">
        <v>1.104087</v>
      </c>
      <c r="L3016">
        <v>283.30279999999999</v>
      </c>
      <c r="M3016">
        <v>-0.99987969999999904</v>
      </c>
      <c r="N3016">
        <v>0</v>
      </c>
      <c r="O3016">
        <v>9.2544659999999994E-3</v>
      </c>
      <c r="P3016">
        <v>-0.99638340000000003</v>
      </c>
      <c r="Q3016">
        <v>8.3232239999999999E-2</v>
      </c>
      <c r="R3016">
        <v>-1.711085E-2</v>
      </c>
      <c r="S3016">
        <v>-3.0228269999999999</v>
      </c>
      <c r="T3016">
        <v>-5.826485E-2</v>
      </c>
      <c r="U3016">
        <v>0.38796999999999998</v>
      </c>
      <c r="V3016">
        <v>-2.628581E-2</v>
      </c>
      <c r="W3016">
        <v>9.5639989999999994E-2</v>
      </c>
      <c r="X3016">
        <v>0.99506879999999998</v>
      </c>
      <c r="Y3016">
        <v>0.1180973</v>
      </c>
      <c r="Z3016">
        <v>9.5578670000000005E-4</v>
      </c>
      <c r="AA3016">
        <v>0.99300160000000004</v>
      </c>
      <c r="AB3016">
        <v>42</v>
      </c>
      <c r="AC3016">
        <v>-56.975999999999999</v>
      </c>
      <c r="AD3016">
        <v>-1.1040832439970001</v>
      </c>
      <c r="AE3016">
        <v>7.3489000000000102</v>
      </c>
      <c r="AF3016">
        <v>6.8187433421547103</v>
      </c>
      <c r="AG3016">
        <v>-1.1040832439970001</v>
      </c>
      <c r="AH3016">
        <v>57.020513825480997</v>
      </c>
      <c r="AI3016">
        <v>91.101429075939507</v>
      </c>
      <c r="AJ3016">
        <v>83.1807222381819</v>
      </c>
      <c r="AK3016">
        <v>57.4373855384951</v>
      </c>
      <c r="AL3016">
        <v>84.511843370242303</v>
      </c>
      <c r="AM3016">
        <v>91.513177586578195</v>
      </c>
      <c r="AN3016">
        <v>0.99999993411399601</v>
      </c>
    </row>
    <row r="3017" spans="1:40" x14ac:dyDescent="0.3">
      <c r="A3017" t="str">
        <f>"20200111150012219"</f>
        <v>20200111150012219</v>
      </c>
      <c r="B3017" t="str">
        <f>"1578726012209301"</f>
        <v>1578726012209301</v>
      </c>
      <c r="C3017" t="s">
        <v>40</v>
      </c>
      <c r="D3017">
        <v>4.0580339999999904</v>
      </c>
      <c r="E3017">
        <v>0.55668680000000004</v>
      </c>
      <c r="F3017" t="s">
        <v>52</v>
      </c>
      <c r="G3017">
        <v>-484.32670000000002</v>
      </c>
      <c r="H3017" s="1">
        <v>3.6780339999999999E-6</v>
      </c>
      <c r="I3017">
        <v>290.62720000000002</v>
      </c>
      <c r="J3017">
        <v>-428.06670000000003</v>
      </c>
      <c r="K3017">
        <v>1.1040970000000001</v>
      </c>
      <c r="L3017">
        <v>283.30579999999998</v>
      </c>
      <c r="M3017">
        <v>-0.99987870000000001</v>
      </c>
      <c r="N3017">
        <v>0</v>
      </c>
      <c r="O3017">
        <v>9.3639350000000003E-3</v>
      </c>
      <c r="P3017">
        <v>-0.99639120000000003</v>
      </c>
      <c r="Q3017">
        <v>8.3309519999999998E-2</v>
      </c>
      <c r="R3017">
        <v>-1.6260739999999999E-2</v>
      </c>
      <c r="S3017">
        <v>-3.0225520000000001</v>
      </c>
      <c r="T3017">
        <v>-5.8988449999999998E-2</v>
      </c>
      <c r="U3017">
        <v>0.39132689999999998</v>
      </c>
      <c r="V3017">
        <v>-2.554588E-2</v>
      </c>
      <c r="W3017">
        <v>9.5722109999999999E-2</v>
      </c>
      <c r="X3017">
        <v>0.99508019999999997</v>
      </c>
      <c r="Y3017">
        <v>0.1190841</v>
      </c>
      <c r="Z3017">
        <v>9.7513509999999995E-4</v>
      </c>
      <c r="AA3017">
        <v>0.99288370000000004</v>
      </c>
      <c r="AB3017">
        <v>42</v>
      </c>
      <c r="AC3017">
        <v>-56.259999999999899</v>
      </c>
      <c r="AD3017">
        <v>-1.1040933219660001</v>
      </c>
      <c r="AE3017">
        <v>7.3214000000000397</v>
      </c>
      <c r="AF3017">
        <v>6.7916510331428404</v>
      </c>
      <c r="AG3017">
        <v>-1.1040933219660001</v>
      </c>
      <c r="AH3017">
        <v>56.304771683968397</v>
      </c>
      <c r="AI3017">
        <v>91.115299859167706</v>
      </c>
      <c r="AJ3017">
        <v>83.122040069528495</v>
      </c>
      <c r="AK3017">
        <v>56.723653445484402</v>
      </c>
      <c r="AL3017">
        <v>84.507116693297903</v>
      </c>
      <c r="AM3017">
        <v>91.470584668010005</v>
      </c>
      <c r="AN3017">
        <v>0.99999995937993202</v>
      </c>
    </row>
    <row r="3018" spans="1:40" x14ac:dyDescent="0.3">
      <c r="A3018" t="str">
        <f>"20200111150012236"</f>
        <v>20200111150012236</v>
      </c>
      <c r="B3018" t="str">
        <f>"1578726012228820"</f>
        <v>1578726012228820</v>
      </c>
      <c r="C3018" t="s">
        <v>40</v>
      </c>
      <c r="D3018">
        <v>4.0221390000000001</v>
      </c>
      <c r="E3018">
        <v>0.55642950000000002</v>
      </c>
      <c r="F3018" t="s">
        <v>52</v>
      </c>
      <c r="G3018">
        <v>-484.29969999999997</v>
      </c>
      <c r="H3018" s="1">
        <v>3.6687839999999999E-6</v>
      </c>
      <c r="I3018">
        <v>290.61040000000003</v>
      </c>
      <c r="J3018">
        <v>-428.38900000000001</v>
      </c>
      <c r="K3018">
        <v>1.104104</v>
      </c>
      <c r="L3018">
        <v>283.30900000000003</v>
      </c>
      <c r="M3018">
        <v>-0.99987760000000003</v>
      </c>
      <c r="N3018">
        <v>0</v>
      </c>
      <c r="O3018">
        <v>9.4683440000000001E-3</v>
      </c>
      <c r="P3018">
        <v>-0.9964094</v>
      </c>
      <c r="Q3018">
        <v>8.3412260000000002E-2</v>
      </c>
      <c r="R3018">
        <v>-1.4530370000000001E-2</v>
      </c>
      <c r="S3018">
        <v>-3.0222169999999999</v>
      </c>
      <c r="T3018">
        <v>-5.9339049999999997E-2</v>
      </c>
      <c r="U3018">
        <v>0.39257809999999999</v>
      </c>
      <c r="V3018">
        <v>-2.392093E-2</v>
      </c>
      <c r="W3018">
        <v>9.5833160000000001E-2</v>
      </c>
      <c r="X3018">
        <v>0.99510989999999999</v>
      </c>
      <c r="Y3018">
        <v>0.1193984</v>
      </c>
      <c r="Z3018">
        <v>9.8204390000000003E-4</v>
      </c>
      <c r="AA3018">
        <v>0.99284600000000001</v>
      </c>
      <c r="AB3018">
        <v>42</v>
      </c>
      <c r="AC3018">
        <v>-55.910699999999899</v>
      </c>
      <c r="AD3018">
        <v>-1.104100331216</v>
      </c>
      <c r="AE3018">
        <v>7.3014000000000001</v>
      </c>
      <c r="AF3018">
        <v>6.7690544080077801</v>
      </c>
      <c r="AG3018">
        <v>-1.104100331216</v>
      </c>
      <c r="AH3018">
        <v>55.955875878317798</v>
      </c>
      <c r="AI3018">
        <v>91.122212798419397</v>
      </c>
      <c r="AJ3018">
        <v>83.102372165884503</v>
      </c>
      <c r="AK3018">
        <v>56.3746324194639</v>
      </c>
      <c r="AL3018">
        <v>84.500724610103106</v>
      </c>
      <c r="AM3018">
        <v>91.377038283790498</v>
      </c>
      <c r="AN3018">
        <v>0.99999995926282903</v>
      </c>
    </row>
    <row r="3019" spans="1:40" x14ac:dyDescent="0.3">
      <c r="A3019" t="str">
        <f>"20200111150012252"</f>
        <v>20200111150012252</v>
      </c>
      <c r="B3019" t="str">
        <f>"1578726012249317"</f>
        <v>1578726012249317</v>
      </c>
      <c r="C3019" t="s">
        <v>40</v>
      </c>
      <c r="D3019">
        <v>4.0084569999999999</v>
      </c>
      <c r="E3019">
        <v>0.55616589999999999</v>
      </c>
      <c r="F3019" t="s">
        <v>52</v>
      </c>
      <c r="G3019">
        <v>-484.3904</v>
      </c>
      <c r="H3019" s="1">
        <v>3.6934070000000001E-6</v>
      </c>
      <c r="I3019">
        <v>290.64260000000002</v>
      </c>
      <c r="J3019">
        <v>-428.68270000000001</v>
      </c>
      <c r="K3019">
        <v>1.1041219999999901</v>
      </c>
      <c r="L3019">
        <v>283.31180000000001</v>
      </c>
      <c r="M3019">
        <v>-0.99987680000000001</v>
      </c>
      <c r="N3019">
        <v>0</v>
      </c>
      <c r="O3019">
        <v>9.5486589999999993E-3</v>
      </c>
      <c r="P3019">
        <v>-0.99641979999999997</v>
      </c>
      <c r="Q3019">
        <v>8.3414279999999993E-2</v>
      </c>
      <c r="R3019">
        <v>-1.3779690000000001E-2</v>
      </c>
      <c r="S3019">
        <v>-3.021576</v>
      </c>
      <c r="T3019">
        <v>-5.9572220000000002E-2</v>
      </c>
      <c r="U3019">
        <v>0.39569090000000001</v>
      </c>
      <c r="V3019">
        <v>-2.3252800000000001E-2</v>
      </c>
      <c r="W3019">
        <v>9.5844570000000004E-2</v>
      </c>
      <c r="X3019">
        <v>0.99512469999999997</v>
      </c>
      <c r="Y3019">
        <v>0.1203509</v>
      </c>
      <c r="Z3019">
        <v>9.938162999999999E-4</v>
      </c>
      <c r="AA3019">
        <v>0.99273089999999997</v>
      </c>
      <c r="AB3019">
        <v>42</v>
      </c>
      <c r="AC3019">
        <v>-55.707699999999903</v>
      </c>
      <c r="AD3019">
        <v>-1.10411830659299</v>
      </c>
      <c r="AE3019">
        <v>7.3308000000000098</v>
      </c>
      <c r="AF3019">
        <v>6.7958664708490302</v>
      </c>
      <c r="AG3019">
        <v>-1.10411830659299</v>
      </c>
      <c r="AH3019">
        <v>55.753635969738802</v>
      </c>
      <c r="AI3019">
        <v>91.126176860990498</v>
      </c>
      <c r="AJ3019">
        <v>83.050442289486597</v>
      </c>
      <c r="AK3019">
        <v>56.177137717853803</v>
      </c>
      <c r="AL3019">
        <v>84.500068184997104</v>
      </c>
      <c r="AM3019">
        <v>91.338570837788097</v>
      </c>
      <c r="AN3019">
        <v>1.0000000214282001</v>
      </c>
    </row>
    <row r="3020" spans="1:40" x14ac:dyDescent="0.3">
      <c r="A3020" t="str">
        <f>"20200111150012265"</f>
        <v>20200111150012265</v>
      </c>
      <c r="B3020" t="str">
        <f>"1578726012259077"</f>
        <v>1578726012259077</v>
      </c>
      <c r="C3020" t="s">
        <v>40</v>
      </c>
      <c r="D3020">
        <v>4.7774260000000002</v>
      </c>
      <c r="E3020">
        <v>0.55607150000000005</v>
      </c>
      <c r="F3020" t="s">
        <v>52</v>
      </c>
      <c r="G3020">
        <v>-484.58420000000001</v>
      </c>
      <c r="H3020" s="1">
        <v>3.727265E-6</v>
      </c>
      <c r="I3020">
        <v>290.64069999999998</v>
      </c>
      <c r="J3020">
        <v>-428.94589999999999</v>
      </c>
      <c r="K3020">
        <v>1.1041369999999999</v>
      </c>
      <c r="L3020">
        <v>283.31439999999998</v>
      </c>
      <c r="M3020">
        <v>-0.99987610000000005</v>
      </c>
      <c r="N3020">
        <v>0</v>
      </c>
      <c r="O3020">
        <v>9.6072910000000004E-3</v>
      </c>
      <c r="P3020">
        <v>-0.99643839999999995</v>
      </c>
      <c r="Q3020">
        <v>8.3282739999999994E-2</v>
      </c>
      <c r="R3020">
        <v>-1.3226190000000001E-2</v>
      </c>
      <c r="S3020">
        <v>-3.02121</v>
      </c>
      <c r="T3020">
        <v>-5.9672360000000001E-2</v>
      </c>
      <c r="U3020">
        <v>0.39608759999999998</v>
      </c>
      <c r="V3020">
        <v>-2.2760519999999999E-2</v>
      </c>
      <c r="W3020">
        <v>9.5723530000000001E-2</v>
      </c>
      <c r="X3020">
        <v>0.99514769999999997</v>
      </c>
      <c r="Y3020">
        <v>0.12043619999999999</v>
      </c>
      <c r="Z3020">
        <v>9.9528389999999989E-4</v>
      </c>
      <c r="AA3020">
        <v>0.99272050000000001</v>
      </c>
      <c r="AB3020">
        <v>42</v>
      </c>
      <c r="AC3020">
        <v>-55.638300000000001</v>
      </c>
      <c r="AD3020">
        <v>-1.1041332727349999</v>
      </c>
      <c r="AE3020">
        <v>7.3262999999999998</v>
      </c>
      <c r="AF3020">
        <v>6.7887589634557601</v>
      </c>
      <c r="AG3020">
        <v>-1.1041332727349999</v>
      </c>
      <c r="AH3020">
        <v>55.684567384434601</v>
      </c>
      <c r="AI3020">
        <v>91.1275854500973</v>
      </c>
      <c r="AJ3020">
        <v>83.049112772034604</v>
      </c>
      <c r="AK3020">
        <v>56.107730334950297</v>
      </c>
      <c r="AL3020">
        <v>84.507035127449299</v>
      </c>
      <c r="AM3020">
        <v>91.310211957578801</v>
      </c>
      <c r="AN3020">
        <v>0.99999999014080998</v>
      </c>
    </row>
    <row r="3021" spans="1:40" x14ac:dyDescent="0.3">
      <c r="A3021" t="str">
        <f>"20200111150012280"</f>
        <v>20200111150012280</v>
      </c>
      <c r="B3021" t="str">
        <f>"1578726012268838"</f>
        <v>1578726012268838</v>
      </c>
      <c r="C3021" t="s">
        <v>40</v>
      </c>
      <c r="D3021">
        <v>4.0580040000000004</v>
      </c>
      <c r="E3021">
        <v>0.55594690000000002</v>
      </c>
      <c r="F3021" t="s">
        <v>52</v>
      </c>
      <c r="G3021">
        <v>-485.19639999999998</v>
      </c>
      <c r="H3021" s="1">
        <v>3.8536249999999999E-6</v>
      </c>
      <c r="I3021">
        <v>290.70769999999999</v>
      </c>
      <c r="J3021">
        <v>-429.22379999999998</v>
      </c>
      <c r="K3021">
        <v>1.104158</v>
      </c>
      <c r="L3021">
        <v>283.31709999999998</v>
      </c>
      <c r="M3021">
        <v>-0.99987539999999997</v>
      </c>
      <c r="N3021">
        <v>0</v>
      </c>
      <c r="O3021">
        <v>9.6537329999999994E-3</v>
      </c>
      <c r="P3021">
        <v>-0.99647949999999996</v>
      </c>
      <c r="Q3021">
        <v>8.2862119999999997E-2</v>
      </c>
      <c r="R3021">
        <v>-1.276419E-2</v>
      </c>
      <c r="S3021">
        <v>-3.020966</v>
      </c>
      <c r="T3021">
        <v>-5.9298160000000003E-2</v>
      </c>
      <c r="U3021">
        <v>0.39706419999999998</v>
      </c>
      <c r="V3021">
        <v>-2.234951E-2</v>
      </c>
      <c r="W3021">
        <v>9.5314850000000007E-2</v>
      </c>
      <c r="X3021">
        <v>0.99519619999999998</v>
      </c>
      <c r="Y3021">
        <v>0.12071610000000001</v>
      </c>
      <c r="Z3021">
        <v>9.9093040000000003E-4</v>
      </c>
      <c r="AA3021">
        <v>0.99268659999999997</v>
      </c>
      <c r="AB3021">
        <v>42</v>
      </c>
      <c r="AC3021">
        <v>-55.9726</v>
      </c>
      <c r="AD3021">
        <v>-1.104154146375</v>
      </c>
      <c r="AE3021">
        <v>7.3906000000000001</v>
      </c>
      <c r="AF3021">
        <v>6.8472499759346404</v>
      </c>
      <c r="AG3021">
        <v>-1.104154146375</v>
      </c>
      <c r="AH3021">
        <v>56.0199176392045</v>
      </c>
      <c r="AI3021">
        <v>91.120815971465703</v>
      </c>
      <c r="AJ3021">
        <v>83.031369239683002</v>
      </c>
      <c r="AK3021">
        <v>56.447632022212801</v>
      </c>
      <c r="AL3021">
        <v>84.530558098290598</v>
      </c>
      <c r="AM3021">
        <v>91.286497466619593</v>
      </c>
      <c r="AN3021">
        <v>0.9999999488611</v>
      </c>
    </row>
    <row r="3022" spans="1:40" x14ac:dyDescent="0.3">
      <c r="A3022" t="str">
        <f>"20200111150012293"</f>
        <v>20200111150012293</v>
      </c>
      <c r="B3022" t="str">
        <f>"1578726012289333"</f>
        <v>1578726012289333</v>
      </c>
      <c r="C3022" t="s">
        <v>40</v>
      </c>
      <c r="D3022">
        <v>4.0109089999999998</v>
      </c>
      <c r="E3022">
        <v>0.5557339</v>
      </c>
      <c r="F3022" t="s">
        <v>52</v>
      </c>
      <c r="G3022">
        <v>-484.74869999999999</v>
      </c>
      <c r="H3022" s="1">
        <v>3.751813E-6</v>
      </c>
      <c r="I3022">
        <v>290.62310000000002</v>
      </c>
      <c r="J3022">
        <v>-429.4495</v>
      </c>
      <c r="K3022">
        <v>1.104171</v>
      </c>
      <c r="L3022">
        <v>283.3193</v>
      </c>
      <c r="M3022">
        <v>-0.99987490000000001</v>
      </c>
      <c r="N3022">
        <v>0</v>
      </c>
      <c r="O3022">
        <v>9.6760690000000007E-3</v>
      </c>
      <c r="P3022">
        <v>-0.99655539999999998</v>
      </c>
      <c r="Q3022">
        <v>8.2106689999999996E-2</v>
      </c>
      <c r="R3022">
        <v>-1.16509E-2</v>
      </c>
      <c r="S3022">
        <v>-3.0206599999999999</v>
      </c>
      <c r="T3022">
        <v>-6.0068009999999998E-2</v>
      </c>
      <c r="U3022">
        <v>0.39746090000000001</v>
      </c>
      <c r="V3022">
        <v>-2.1263819999999999E-2</v>
      </c>
      <c r="W3022">
        <v>9.4572439999999994E-2</v>
      </c>
      <c r="X3022">
        <v>0.99529089999999998</v>
      </c>
      <c r="Y3022">
        <v>0.1208345</v>
      </c>
      <c r="Z3022">
        <v>1.0046149999999999E-3</v>
      </c>
      <c r="AA3022">
        <v>0.99267209999999995</v>
      </c>
      <c r="AB3022">
        <v>42</v>
      </c>
      <c r="AC3022">
        <v>-55.2991999999999</v>
      </c>
      <c r="AD3022">
        <v>-1.104167248187</v>
      </c>
      <c r="AE3022">
        <v>7.3038000000000203</v>
      </c>
      <c r="AF3022">
        <v>6.7656861165486797</v>
      </c>
      <c r="AG3022">
        <v>-1.104167248187</v>
      </c>
      <c r="AH3022">
        <v>55.345601164843501</v>
      </c>
      <c r="AI3022">
        <v>91.134479498355304</v>
      </c>
      <c r="AJ3022">
        <v>83.030495035747904</v>
      </c>
      <c r="AK3022">
        <v>55.768532903758199</v>
      </c>
      <c r="AL3022">
        <v>84.573288562021304</v>
      </c>
      <c r="AM3022">
        <v>91.223905321717893</v>
      </c>
      <c r="AN3022">
        <v>1.00000003603567</v>
      </c>
    </row>
    <row r="3023" spans="1:40" x14ac:dyDescent="0.3">
      <c r="A3023" t="str">
        <f>"20200111150012307"</f>
        <v>20200111150012307</v>
      </c>
      <c r="B3023" t="str">
        <f>"1578726012299094"</f>
        <v>1578726012299094</v>
      </c>
      <c r="C3023" t="s">
        <v>40</v>
      </c>
      <c r="D3023">
        <v>4.1838160000000002</v>
      </c>
      <c r="E3023">
        <v>0.55562509999999998</v>
      </c>
      <c r="F3023" t="s">
        <v>52</v>
      </c>
      <c r="G3023">
        <v>-483.37529999999998</v>
      </c>
      <c r="H3023" s="1">
        <v>3.461469E-6</v>
      </c>
      <c r="I3023">
        <v>290.44670000000002</v>
      </c>
      <c r="J3023">
        <v>-429.72699999999998</v>
      </c>
      <c r="K3023">
        <v>1.1041920000000001</v>
      </c>
      <c r="L3023">
        <v>283.32209999999998</v>
      </c>
      <c r="M3023">
        <v>-0.99987459999999995</v>
      </c>
      <c r="N3023">
        <v>0</v>
      </c>
      <c r="O3023">
        <v>9.6964939999999999E-3</v>
      </c>
      <c r="P3023">
        <v>-0.99656389999999995</v>
      </c>
      <c r="Q3023">
        <v>8.2017359999999997E-2</v>
      </c>
      <c r="R3023">
        <v>-1.1564680000000001E-2</v>
      </c>
      <c r="S3023">
        <v>-3.0201419999999999</v>
      </c>
      <c r="T3023">
        <v>-6.1839459999999999E-2</v>
      </c>
      <c r="U3023">
        <v>0.39916990000000002</v>
      </c>
      <c r="V3023">
        <v>-2.12018E-2</v>
      </c>
      <c r="W3023">
        <v>9.4497449999999997E-2</v>
      </c>
      <c r="X3023">
        <v>0.9952993</v>
      </c>
      <c r="Y3023">
        <v>0.12138699999999999</v>
      </c>
      <c r="Z3023">
        <v>1.0395879999999999E-3</v>
      </c>
      <c r="AA3023">
        <v>0.99260470000000001</v>
      </c>
      <c r="AB3023">
        <v>42</v>
      </c>
      <c r="AC3023">
        <v>-53.648299999999999</v>
      </c>
      <c r="AD3023">
        <v>-1.104188538531</v>
      </c>
      <c r="AE3023">
        <v>7.12460000000004</v>
      </c>
      <c r="AF3023">
        <v>6.6012758511110796</v>
      </c>
      <c r="AG3023">
        <v>-1.104188538531</v>
      </c>
      <c r="AH3023">
        <v>53.6925156078482</v>
      </c>
      <c r="AI3023">
        <v>91.169321786434097</v>
      </c>
      <c r="AJ3023">
        <v>82.990892164629003</v>
      </c>
      <c r="AK3023">
        <v>54.108061390980403</v>
      </c>
      <c r="AL3023">
        <v>84.577604253355503</v>
      </c>
      <c r="AM3023">
        <v>91.220326352593602</v>
      </c>
      <c r="AN3023">
        <v>0.99999999048011601</v>
      </c>
    </row>
    <row r="3024" spans="1:40" x14ac:dyDescent="0.3">
      <c r="A3024" t="str">
        <f>"20200111150012324"</f>
        <v>20200111150012324</v>
      </c>
      <c r="B3024" t="str">
        <f>"1578726012318613"</f>
        <v>1578726012318613</v>
      </c>
      <c r="C3024" t="s">
        <v>40</v>
      </c>
      <c r="D3024">
        <v>4.1313500000000003</v>
      </c>
      <c r="E3024">
        <v>0.55542150000000001</v>
      </c>
      <c r="F3024" t="s">
        <v>52</v>
      </c>
      <c r="G3024">
        <v>-483.935</v>
      </c>
      <c r="H3024" s="1">
        <v>3.5678279999999999E-6</v>
      </c>
      <c r="I3024">
        <v>290.47340000000003</v>
      </c>
      <c r="J3024">
        <v>-430.05439999999999</v>
      </c>
      <c r="K3024">
        <v>1.1042149999999999</v>
      </c>
      <c r="L3024">
        <v>283.32530000000003</v>
      </c>
      <c r="M3024">
        <v>-0.99987420000000005</v>
      </c>
      <c r="N3024">
        <v>0</v>
      </c>
      <c r="O3024">
        <v>9.709011E-3</v>
      </c>
      <c r="P3024">
        <v>-0.99654030000000005</v>
      </c>
      <c r="Q3024">
        <v>8.221697E-2</v>
      </c>
      <c r="R3024">
        <v>-1.2155010000000001E-2</v>
      </c>
      <c r="S3024">
        <v>-3.0199889999999998</v>
      </c>
      <c r="T3024">
        <v>-6.1515569999999999E-2</v>
      </c>
      <c r="U3024">
        <v>0.39840700000000001</v>
      </c>
      <c r="V3024">
        <v>-2.18093E-2</v>
      </c>
      <c r="W3024">
        <v>9.4713900000000004E-2</v>
      </c>
      <c r="X3024">
        <v>0.99526559999999997</v>
      </c>
      <c r="Y3024">
        <v>0.1211349</v>
      </c>
      <c r="Z3024">
        <v>1.031403E-3</v>
      </c>
      <c r="AA3024">
        <v>0.9926355</v>
      </c>
      <c r="AB3024">
        <v>42</v>
      </c>
      <c r="AC3024">
        <v>-53.880600000000001</v>
      </c>
      <c r="AD3024">
        <v>-1.104211432172</v>
      </c>
      <c r="AE3024">
        <v>7.1481000000000003</v>
      </c>
      <c r="AF3024">
        <v>6.6218615212003504</v>
      </c>
      <c r="AG3024">
        <v>-1.104211432172</v>
      </c>
      <c r="AH3024">
        <v>53.925210088151502</v>
      </c>
      <c r="AI3024">
        <v>91.164322494280597</v>
      </c>
      <c r="AJ3024">
        <v>82.999290030206097</v>
      </c>
      <c r="AK3024">
        <v>54.341481539834497</v>
      </c>
      <c r="AL3024">
        <v>84.565146712917894</v>
      </c>
      <c r="AM3024">
        <v>91.255324099602205</v>
      </c>
      <c r="AN3024">
        <v>0.99999999148152996</v>
      </c>
    </row>
    <row r="3025" spans="1:40" x14ac:dyDescent="0.3">
      <c r="A3025" t="str">
        <f>"20200111150012346"</f>
        <v>20200111150012346</v>
      </c>
      <c r="B3025" t="str">
        <f>"1578726012339112"</f>
        <v>1578726012339112</v>
      </c>
      <c r="C3025" t="s">
        <v>40</v>
      </c>
      <c r="D3025">
        <v>4.0818399999999997</v>
      </c>
      <c r="E3025">
        <v>0.55522729999999998</v>
      </c>
      <c r="F3025" t="s">
        <v>52</v>
      </c>
      <c r="G3025">
        <v>-486.1866</v>
      </c>
      <c r="H3025" s="1">
        <v>4.0186580000000003E-6</v>
      </c>
      <c r="I3025">
        <v>290.66770000000002</v>
      </c>
      <c r="J3025">
        <v>-430.47019999999998</v>
      </c>
      <c r="K3025">
        <v>1.1042379999999901</v>
      </c>
      <c r="L3025">
        <v>283.32929999999999</v>
      </c>
      <c r="M3025">
        <v>-0.99987409999999999</v>
      </c>
      <c r="N3025">
        <v>0</v>
      </c>
      <c r="O3025">
        <v>9.7097450000000005E-3</v>
      </c>
      <c r="P3025">
        <v>-0.99644489999999997</v>
      </c>
      <c r="Q3025">
        <v>8.3144319999999994E-2</v>
      </c>
      <c r="R3025">
        <v>-1.359519E-2</v>
      </c>
      <c r="S3025">
        <v>-3.0201419999999999</v>
      </c>
      <c r="T3025">
        <v>-5.941105E-2</v>
      </c>
      <c r="U3025">
        <v>0.39505000000000001</v>
      </c>
      <c r="V3025">
        <v>-2.3254150000000001E-2</v>
      </c>
      <c r="W3025">
        <v>9.5660889999999998E-2</v>
      </c>
      <c r="X3025">
        <v>0.99514230000000004</v>
      </c>
      <c r="Y3025">
        <v>0.1200447</v>
      </c>
      <c r="Z3025">
        <v>9.8545509999999992E-4</v>
      </c>
      <c r="AA3025">
        <v>0.99276799999999998</v>
      </c>
      <c r="AB3025">
        <v>42</v>
      </c>
      <c r="AC3025">
        <v>-55.7164</v>
      </c>
      <c r="AD3025">
        <v>-1.1042339813419999</v>
      </c>
      <c r="AE3025">
        <v>7.3384000000000302</v>
      </c>
      <c r="AF3025">
        <v>6.7943961246495999</v>
      </c>
      <c r="AG3025">
        <v>-1.1042339813419999</v>
      </c>
      <c r="AH3025">
        <v>55.7635030376888</v>
      </c>
      <c r="AI3025">
        <v>91.126102055998999</v>
      </c>
      <c r="AJ3025">
        <v>83.053148599982904</v>
      </c>
      <c r="AK3025">
        <v>56.186754866414397</v>
      </c>
      <c r="AL3025">
        <v>84.510640621460297</v>
      </c>
      <c r="AM3025">
        <v>91.338624857013201</v>
      </c>
      <c r="AN3025">
        <v>0.999999979308552</v>
      </c>
    </row>
    <row r="3026" spans="1:40" x14ac:dyDescent="0.3">
      <c r="A3026" t="str">
        <f>"20200111150012361"</f>
        <v>20200111150012361</v>
      </c>
      <c r="B3026" t="str">
        <f>"1578726012358629"</f>
        <v>1578726012358629</v>
      </c>
      <c r="C3026" t="s">
        <v>40</v>
      </c>
      <c r="D3026">
        <v>4.3359809999999896</v>
      </c>
      <c r="E3026">
        <v>0.55504919999999902</v>
      </c>
      <c r="F3026" t="s">
        <v>52</v>
      </c>
      <c r="G3026">
        <v>-491.0401</v>
      </c>
      <c r="H3026" s="1">
        <v>4.7550189999999997E-6</v>
      </c>
      <c r="I3026">
        <v>291.1377</v>
      </c>
      <c r="J3026">
        <v>-430.74639999999999</v>
      </c>
      <c r="K3026">
        <v>1.1042540000000001</v>
      </c>
      <c r="L3026">
        <v>283.33199999999999</v>
      </c>
      <c r="M3026">
        <v>-0.99987380000000003</v>
      </c>
      <c r="N3026">
        <v>0</v>
      </c>
      <c r="O3026">
        <v>9.7059510000000009E-3</v>
      </c>
      <c r="P3026">
        <v>-0.99640600000000001</v>
      </c>
      <c r="Q3026">
        <v>8.3469409999999994E-2</v>
      </c>
      <c r="R3026">
        <v>-1.442599E-2</v>
      </c>
      <c r="S3026">
        <v>-3.0206300000000001</v>
      </c>
      <c r="T3026">
        <v>-5.5068249999999999E-2</v>
      </c>
      <c r="U3026">
        <v>0.38940429999999998</v>
      </c>
      <c r="V3026">
        <v>-2.4083299999999998E-2</v>
      </c>
      <c r="W3026">
        <v>9.5997879999999994E-2</v>
      </c>
      <c r="X3026">
        <v>0.99509009999999998</v>
      </c>
      <c r="Y3026">
        <v>0.11820609999999999</v>
      </c>
      <c r="Z3026">
        <v>8.9677569999999996E-4</v>
      </c>
      <c r="AA3026">
        <v>0.99298869999999895</v>
      </c>
      <c r="AB3026">
        <v>42</v>
      </c>
      <c r="AC3026">
        <v>-60.293700000000001</v>
      </c>
      <c r="AD3026">
        <v>-1.104249244981</v>
      </c>
      <c r="AE3026">
        <v>7.8056999999999999</v>
      </c>
      <c r="AF3026">
        <v>7.2176972156610004</v>
      </c>
      <c r="AG3026">
        <v>-1.104249244981</v>
      </c>
      <c r="AH3026">
        <v>60.346719318783798</v>
      </c>
      <c r="AI3026">
        <v>91.040887992561395</v>
      </c>
      <c r="AJ3026">
        <v>83.179605724394307</v>
      </c>
      <c r="AK3026">
        <v>60.786849334638703</v>
      </c>
      <c r="AL3026">
        <v>84.491243098144906</v>
      </c>
      <c r="AM3026">
        <v>91.386409255471094</v>
      </c>
      <c r="AN3026">
        <v>0.99999995271069597</v>
      </c>
    </row>
    <row r="3027" spans="1:40" x14ac:dyDescent="0.3">
      <c r="A3027" t="str">
        <f>"20200111150012375"</f>
        <v>20200111150012375</v>
      </c>
      <c r="B3027" t="str">
        <f>"1578726012369365"</f>
        <v>1578726012369365</v>
      </c>
      <c r="C3027" t="s">
        <v>40</v>
      </c>
      <c r="D3027">
        <v>4.1334519999999904</v>
      </c>
      <c r="E3027">
        <v>0.55495169999999905</v>
      </c>
      <c r="F3027" t="s">
        <v>52</v>
      </c>
      <c r="G3027">
        <v>-493.68509999999998</v>
      </c>
      <c r="H3027" s="1">
        <v>4.3664430000000004E-6</v>
      </c>
      <c r="I3027">
        <v>291.3657</v>
      </c>
      <c r="J3027">
        <v>-431.00349999999997</v>
      </c>
      <c r="K3027">
        <v>1.104266</v>
      </c>
      <c r="L3027">
        <v>283.33449999999999</v>
      </c>
      <c r="M3027">
        <v>-0.99987380000000003</v>
      </c>
      <c r="N3027">
        <v>0</v>
      </c>
      <c r="O3027">
        <v>9.6996449999999998E-3</v>
      </c>
      <c r="P3027">
        <v>-0.99637450000000005</v>
      </c>
      <c r="Q3027">
        <v>8.3714440000000001E-2</v>
      </c>
      <c r="R3027">
        <v>-1.515884E-2</v>
      </c>
      <c r="S3027">
        <v>-3.0208439999999999</v>
      </c>
      <c r="T3027">
        <v>-5.3000209999999999E-2</v>
      </c>
      <c r="U3027">
        <v>0.38558959999999998</v>
      </c>
      <c r="V3027">
        <v>-2.4811980000000001E-2</v>
      </c>
      <c r="W3027">
        <v>9.6254179999999995E-2</v>
      </c>
      <c r="X3027">
        <v>0.99504749999999997</v>
      </c>
      <c r="Y3027">
        <v>0.1169712</v>
      </c>
      <c r="Z3027">
        <v>8.5243289999999995E-4</v>
      </c>
      <c r="AA3027">
        <v>0.99313490000000004</v>
      </c>
      <c r="AB3027">
        <v>42</v>
      </c>
      <c r="AC3027">
        <v>-62.681600000000003</v>
      </c>
      <c r="AD3027">
        <v>-1.1042616335569999</v>
      </c>
      <c r="AE3027">
        <v>8.0312000000000108</v>
      </c>
      <c r="AF3027">
        <v>7.4205189096428503</v>
      </c>
      <c r="AG3027">
        <v>-1.1042616335569999</v>
      </c>
      <c r="AH3027">
        <v>62.737400170528602</v>
      </c>
      <c r="AI3027">
        <v>91.001398768001806</v>
      </c>
      <c r="AJ3027">
        <v>83.254450793763695</v>
      </c>
      <c r="AK3027">
        <v>63.184372077284699</v>
      </c>
      <c r="AL3027">
        <v>84.476490211164503</v>
      </c>
      <c r="AM3027">
        <v>91.428401358681796</v>
      </c>
      <c r="AN3027">
        <v>1.00000001438762</v>
      </c>
    </row>
    <row r="3028" spans="1:40" x14ac:dyDescent="0.3">
      <c r="A3028" t="str">
        <f>"20200111150012387"</f>
        <v>20200111150012387</v>
      </c>
      <c r="B3028" t="str">
        <f>"1578726012379125"</f>
        <v>1578726012379125</v>
      </c>
      <c r="C3028" t="s">
        <v>40</v>
      </c>
      <c r="D3028">
        <v>4.12758</v>
      </c>
      <c r="E3028">
        <v>0.5548807</v>
      </c>
      <c r="F3028" t="s">
        <v>52</v>
      </c>
      <c r="G3028">
        <v>-495.81229999999999</v>
      </c>
      <c r="H3028" s="1">
        <v>4.0507820000000002E-6</v>
      </c>
      <c r="I3028">
        <v>291.54020000000003</v>
      </c>
      <c r="J3028">
        <v>-431.24349999999998</v>
      </c>
      <c r="K3028">
        <v>1.1042829999999999</v>
      </c>
      <c r="L3028">
        <v>283.33679999999998</v>
      </c>
      <c r="M3028">
        <v>-0.99987369999999998</v>
      </c>
      <c r="N3028">
        <v>0</v>
      </c>
      <c r="O3028">
        <v>9.6949340000000005E-3</v>
      </c>
      <c r="P3028">
        <v>-0.99634750000000005</v>
      </c>
      <c r="Q3028">
        <v>8.3903859999999997E-2</v>
      </c>
      <c r="R3028">
        <v>-1.588088E-2</v>
      </c>
      <c r="S3028">
        <v>-3.0210569999999999</v>
      </c>
      <c r="T3028">
        <v>-5.1475050000000001E-2</v>
      </c>
      <c r="U3028">
        <v>0.38250729999999999</v>
      </c>
      <c r="V3028">
        <v>-2.5530779999999999E-2</v>
      </c>
      <c r="W3028">
        <v>9.6453029999999995E-2</v>
      </c>
      <c r="X3028">
        <v>0.99500999999999995</v>
      </c>
      <c r="Y3028">
        <v>0.1159709</v>
      </c>
      <c r="Z3028">
        <v>8.1949409999999996E-4</v>
      </c>
      <c r="AA3028">
        <v>0.99325229999999998</v>
      </c>
      <c r="AB3028">
        <v>42</v>
      </c>
      <c r="AC3028">
        <v>-64.568799999999996</v>
      </c>
      <c r="AD3028">
        <v>-1.1042789492180001</v>
      </c>
      <c r="AE3028">
        <v>8.2034000000000393</v>
      </c>
      <c r="AF3028">
        <v>7.5747941417463602</v>
      </c>
      <c r="AG3028">
        <v>-1.1042789492180001</v>
      </c>
      <c r="AH3028">
        <v>64.626700266463502</v>
      </c>
      <c r="AI3028">
        <v>90.972265624855794</v>
      </c>
      <c r="AJ3028">
        <v>83.314952880606995</v>
      </c>
      <c r="AK3028">
        <v>65.078470523044999</v>
      </c>
      <c r="AL3028">
        <v>84.465043351011403</v>
      </c>
      <c r="AM3028">
        <v>91.469819442535695</v>
      </c>
      <c r="AN3028">
        <v>0.99999995391179297</v>
      </c>
    </row>
    <row r="3029" spans="1:40" x14ac:dyDescent="0.3">
      <c r="A3029" t="str">
        <f>"20200111150012402"</f>
        <v>20200111150012402</v>
      </c>
      <c r="B3029" t="str">
        <f>"1578726012398645"</f>
        <v>1578726012398645</v>
      </c>
      <c r="C3029" t="s">
        <v>40</v>
      </c>
      <c r="D3029">
        <v>4.0772050000000002</v>
      </c>
      <c r="E3029">
        <v>0.55485369999999901</v>
      </c>
      <c r="F3029" t="s">
        <v>52</v>
      </c>
      <c r="G3029">
        <v>-496.541</v>
      </c>
      <c r="H3029" s="1">
        <v>3.9033210000000003E-6</v>
      </c>
      <c r="I3029">
        <v>291.54360000000003</v>
      </c>
      <c r="J3029">
        <v>-431.50369999999998</v>
      </c>
      <c r="K3029">
        <v>1.10429</v>
      </c>
      <c r="L3029">
        <v>283.33940000000001</v>
      </c>
      <c r="M3029">
        <v>-0.99987360000000003</v>
      </c>
      <c r="N3029">
        <v>0</v>
      </c>
      <c r="O3029">
        <v>9.6910690000000001E-3</v>
      </c>
      <c r="P3029">
        <v>-0.99632719999999997</v>
      </c>
      <c r="Q3029">
        <v>8.4010769999999999E-2</v>
      </c>
      <c r="R3029">
        <v>-1.6564499999999999E-2</v>
      </c>
      <c r="S3029">
        <v>-3.0213320000000001</v>
      </c>
      <c r="T3029">
        <v>-5.1095250000000002E-2</v>
      </c>
      <c r="U3029">
        <v>0.37973020000000002</v>
      </c>
      <c r="V3029">
        <v>-2.6212269999999999E-2</v>
      </c>
      <c r="W3029">
        <v>9.6569799999999997E-2</v>
      </c>
      <c r="X3029">
        <v>0.994981</v>
      </c>
      <c r="Y3029">
        <v>0.1150651</v>
      </c>
      <c r="Z3029">
        <v>8.058583E-4</v>
      </c>
      <c r="AA3029">
        <v>0.99335759999999995</v>
      </c>
      <c r="AB3029">
        <v>42</v>
      </c>
      <c r="AC3029">
        <v>-65.037300000000002</v>
      </c>
      <c r="AD3029">
        <v>-1.104286096679</v>
      </c>
      <c r="AE3029">
        <v>8.2042000000000108</v>
      </c>
      <c r="AF3029">
        <v>7.5713350469099998</v>
      </c>
      <c r="AG3029">
        <v>-1.104286096679</v>
      </c>
      <c r="AH3029">
        <v>65.095286440284795</v>
      </c>
      <c r="AI3029">
        <v>90.965374087585403</v>
      </c>
      <c r="AJ3029">
        <v>83.365648036425597</v>
      </c>
      <c r="AK3029">
        <v>65.543427427306696</v>
      </c>
      <c r="AL3029">
        <v>84.458321799766097</v>
      </c>
      <c r="AM3029">
        <v>91.509079210920405</v>
      </c>
      <c r="AN3029">
        <v>0.99999999986579602</v>
      </c>
    </row>
    <row r="3030" spans="1:40" x14ac:dyDescent="0.3">
      <c r="A3030" t="str">
        <f>"20200111150012413"</f>
        <v>20200111150012413</v>
      </c>
      <c r="B3030" t="str">
        <f>"1578726012409381"</f>
        <v>1578726012409381</v>
      </c>
      <c r="C3030" t="s">
        <v>40</v>
      </c>
      <c r="D3030">
        <v>4.197114</v>
      </c>
      <c r="E3030">
        <v>0.52818489999999996</v>
      </c>
      <c r="F3030" t="s">
        <v>52</v>
      </c>
      <c r="G3030">
        <v>-497.10359999999997</v>
      </c>
      <c r="H3030" s="1">
        <v>3.7771619999999998E-6</v>
      </c>
      <c r="I3030">
        <v>291.53829999999999</v>
      </c>
      <c r="J3030">
        <v>-431.72500000000002</v>
      </c>
      <c r="K3030">
        <v>1.1043000000000001</v>
      </c>
      <c r="L3030">
        <v>283.3415</v>
      </c>
      <c r="M3030">
        <v>-0.99987349999999997</v>
      </c>
      <c r="N3030">
        <v>0</v>
      </c>
      <c r="O3030">
        <v>9.6896529999999995E-3</v>
      </c>
      <c r="P3030">
        <v>-0.9962742</v>
      </c>
      <c r="Q3030">
        <v>8.4424529999999998E-2</v>
      </c>
      <c r="R3030">
        <v>-1.7617859999999999E-2</v>
      </c>
      <c r="S3030">
        <v>-3.0216370000000001</v>
      </c>
      <c r="T3030">
        <v>-5.0865170000000001E-2</v>
      </c>
      <c r="U3030">
        <v>0.37765500000000002</v>
      </c>
      <c r="V3030">
        <v>-2.7263929999999999E-2</v>
      </c>
      <c r="W3030">
        <v>9.6990750000000001E-2</v>
      </c>
      <c r="X3030">
        <v>0.99491180000000001</v>
      </c>
      <c r="Y3030">
        <v>0.1143827</v>
      </c>
      <c r="Z3030">
        <v>7.9648580000000004E-4</v>
      </c>
      <c r="AA3030">
        <v>0.99343649999999994</v>
      </c>
      <c r="AB3030">
        <v>42</v>
      </c>
      <c r="AC3030">
        <v>-65.378599999999906</v>
      </c>
      <c r="AD3030">
        <v>-1.104296222838</v>
      </c>
      <c r="AE3030">
        <v>8.1967999999999908</v>
      </c>
      <c r="AF3030">
        <v>7.5607450972060199</v>
      </c>
      <c r="AG3030">
        <v>-1.104296222838</v>
      </c>
      <c r="AH3030">
        <v>65.436580661603401</v>
      </c>
      <c r="AI3030">
        <v>90.960433193644306</v>
      </c>
      <c r="AJ3030">
        <v>83.4090945598426</v>
      </c>
      <c r="AK3030">
        <v>65.881184151889897</v>
      </c>
      <c r="AL3030">
        <v>84.434089437602097</v>
      </c>
      <c r="AM3030">
        <v>91.569704248427797</v>
      </c>
      <c r="AN3030">
        <v>1.0000000086219201</v>
      </c>
    </row>
    <row r="3031" spans="1:40" x14ac:dyDescent="0.3">
      <c r="A3031" t="str">
        <f>"20200111150012429"</f>
        <v>20200111150012429</v>
      </c>
      <c r="B3031" t="str">
        <f>"1578726012419141"</f>
        <v>1578726012419141</v>
      </c>
      <c r="C3031" t="s">
        <v>40</v>
      </c>
      <c r="D3031">
        <v>4.1496409999999999</v>
      </c>
      <c r="E3031">
        <v>0.51687179999999999</v>
      </c>
      <c r="F3031" t="s">
        <v>52</v>
      </c>
      <c r="G3031">
        <v>-480.13819999999998</v>
      </c>
      <c r="H3031" s="1">
        <v>2.3444209999999999E-6</v>
      </c>
      <c r="I3031">
        <v>285.92219999999998</v>
      </c>
      <c r="J3031">
        <v>-432.0179</v>
      </c>
      <c r="K3031">
        <v>1.1043080000000001</v>
      </c>
      <c r="L3031">
        <v>283.34440000000001</v>
      </c>
      <c r="M3031">
        <v>-0.99987340000000002</v>
      </c>
      <c r="N3031">
        <v>0</v>
      </c>
      <c r="O3031">
        <v>9.6883469999999999E-3</v>
      </c>
      <c r="P3031">
        <v>-0.99627549999999998</v>
      </c>
      <c r="Q3031">
        <v>8.4328459999999994E-2</v>
      </c>
      <c r="R3031">
        <v>-1.7994590000000001E-2</v>
      </c>
      <c r="S3031">
        <v>-3.0198969999999998</v>
      </c>
      <c r="T3031">
        <v>-6.8883539999999993E-2</v>
      </c>
      <c r="U3031">
        <v>0.16098019999999999</v>
      </c>
      <c r="V3031">
        <v>-2.7640370000000001E-2</v>
      </c>
      <c r="W3031">
        <v>9.6905809999999995E-2</v>
      </c>
      <c r="X3031">
        <v>0.99490970000000001</v>
      </c>
      <c r="Y3031">
        <v>4.3544289999999999E-2</v>
      </c>
      <c r="Z3031">
        <v>2.7539809999999997E-4</v>
      </c>
      <c r="AA3031">
        <v>0.99905149999999998</v>
      </c>
      <c r="AB3031">
        <v>42</v>
      </c>
      <c r="AC3031">
        <v>-48.120299999999901</v>
      </c>
      <c r="AD3031">
        <v>-1.1043056555790001</v>
      </c>
      <c r="AE3031">
        <v>2.5777999999999599</v>
      </c>
      <c r="AF3031">
        <v>2.1103274666684202</v>
      </c>
      <c r="AG3031">
        <v>-1.1043056555790001</v>
      </c>
      <c r="AH3031">
        <v>48.1177491247036</v>
      </c>
      <c r="AI3031">
        <v>91.313449144469104</v>
      </c>
      <c r="AJ3031">
        <v>87.488755728697896</v>
      </c>
      <c r="AK3031">
        <v>48.176661920741601</v>
      </c>
      <c r="AL3031">
        <v>84.438979230284502</v>
      </c>
      <c r="AM3031">
        <v>91.591369841845705</v>
      </c>
      <c r="AN3031">
        <v>1.0000000186097899</v>
      </c>
    </row>
    <row r="3032" spans="1:40" x14ac:dyDescent="0.3">
      <c r="A3032" t="str">
        <f>"20200111150012444"</f>
        <v>20200111150012444</v>
      </c>
      <c r="B3032" t="str">
        <f>"1578726012439242"</f>
        <v>1578726012439242</v>
      </c>
      <c r="C3032" t="s">
        <v>40</v>
      </c>
      <c r="D3032">
        <v>4.1413039999999999</v>
      </c>
      <c r="E3032">
        <v>0.50203940000000002</v>
      </c>
      <c r="F3032" t="s">
        <v>52</v>
      </c>
      <c r="G3032">
        <v>-476.23430000000002</v>
      </c>
      <c r="H3032" s="1">
        <v>3.82682399999999E-6</v>
      </c>
      <c r="I3032">
        <v>284.35770000000002</v>
      </c>
      <c r="J3032">
        <v>-432.28519999999997</v>
      </c>
      <c r="K3032">
        <v>1.1043130000000001</v>
      </c>
      <c r="L3032">
        <v>283.34690000000001</v>
      </c>
      <c r="M3032">
        <v>-0.99987329999999996</v>
      </c>
      <c r="N3032">
        <v>0</v>
      </c>
      <c r="O3032">
        <v>9.6874270000000002E-3</v>
      </c>
      <c r="P3032">
        <v>-0.99625129999999995</v>
      </c>
      <c r="Q3032">
        <v>8.4571629999999995E-2</v>
      </c>
      <c r="R3032">
        <v>-1.8196810000000001E-2</v>
      </c>
      <c r="S3032">
        <v>-3.0188600000000001</v>
      </c>
      <c r="T3032">
        <v>-7.5395939999999995E-2</v>
      </c>
      <c r="U3032">
        <v>6.9183350000000005E-2</v>
      </c>
      <c r="V3032">
        <v>-2.784178E-2</v>
      </c>
      <c r="W3032">
        <v>9.7156870000000006E-2</v>
      </c>
      <c r="X3032">
        <v>0.99487959999999998</v>
      </c>
      <c r="Y3032">
        <v>1.3223199999999999E-2</v>
      </c>
      <c r="Z3032" s="1">
        <v>-7.6806429999999999E-5</v>
      </c>
      <c r="AA3032">
        <v>0.99991260000000004</v>
      </c>
      <c r="AB3032">
        <v>42</v>
      </c>
      <c r="AC3032">
        <v>-43.949100000000001</v>
      </c>
      <c r="AD3032">
        <v>-1.104309173176</v>
      </c>
      <c r="AE3032">
        <v>1.0108000000000099</v>
      </c>
      <c r="AF3032">
        <v>0.58459599844607502</v>
      </c>
      <c r="AG3032">
        <v>-1.104309173176</v>
      </c>
      <c r="AH3032">
        <v>43.929109530672001</v>
      </c>
      <c r="AI3032">
        <v>91.439895645284594</v>
      </c>
      <c r="AJ3032">
        <v>89.237569194147596</v>
      </c>
      <c r="AK3032">
        <v>43.946876059501001</v>
      </c>
      <c r="AL3032">
        <v>84.4245263631543</v>
      </c>
      <c r="AM3032">
        <v>91.603008288419701</v>
      </c>
      <c r="AN3032">
        <v>1.0000000202989601</v>
      </c>
    </row>
    <row r="3033" spans="1:40" x14ac:dyDescent="0.3">
      <c r="A3033" t="str">
        <f>"20200111150012457"</f>
        <v>20200111150012457</v>
      </c>
      <c r="B3033" t="str">
        <f>"1578726012449002"</f>
        <v>1578726012449002</v>
      </c>
      <c r="C3033" t="s">
        <v>40</v>
      </c>
      <c r="D3033">
        <v>4.1224889999999998</v>
      </c>
      <c r="E3033">
        <v>0.49899329999999997</v>
      </c>
      <c r="F3033" t="s">
        <v>52</v>
      </c>
      <c r="G3033">
        <v>-479.49930000000001</v>
      </c>
      <c r="H3033" s="1">
        <v>2.2227630000000002E-6</v>
      </c>
      <c r="I3033">
        <v>282.57119999999998</v>
      </c>
      <c r="J3033">
        <v>-432.55070000000001</v>
      </c>
      <c r="K3033">
        <v>1.104312</v>
      </c>
      <c r="L3033">
        <v>283.34949999999998</v>
      </c>
      <c r="M3033">
        <v>-0.99987320000000002</v>
      </c>
      <c r="N3033">
        <v>0</v>
      </c>
      <c r="O3033">
        <v>9.686521E-3</v>
      </c>
      <c r="P3033">
        <v>-0.99621280000000001</v>
      </c>
      <c r="Q3033">
        <v>8.4994849999999997E-2</v>
      </c>
      <c r="R3033">
        <v>-1.8335379999999998E-2</v>
      </c>
      <c r="S3033">
        <v>-3.0163880000000001</v>
      </c>
      <c r="T3033">
        <v>-7.0551509999999998E-2</v>
      </c>
      <c r="U3033">
        <v>-4.9560550000000002E-2</v>
      </c>
      <c r="V3033">
        <v>-2.7979110000000001E-2</v>
      </c>
      <c r="W3033">
        <v>9.7587770000000004E-2</v>
      </c>
      <c r="X3033">
        <v>0.99483350000000004</v>
      </c>
      <c r="Y3033">
        <v>-2.6103640000000001E-2</v>
      </c>
      <c r="Z3033">
        <v>-5.3174769999999997E-4</v>
      </c>
      <c r="AA3033">
        <v>0.99965910000000002</v>
      </c>
      <c r="AB3033">
        <v>42</v>
      </c>
      <c r="AC3033">
        <v>-46.948599999999999</v>
      </c>
      <c r="AD3033">
        <v>-1.1043097772370001</v>
      </c>
      <c r="AE3033">
        <v>-0.77830000000000099</v>
      </c>
      <c r="AF3033">
        <v>-1.23238675550266</v>
      </c>
      <c r="AG3033">
        <v>-1.1043097772370001</v>
      </c>
      <c r="AH3033">
        <v>46.912909072609501</v>
      </c>
      <c r="AI3033">
        <v>91.348004193685995</v>
      </c>
      <c r="AJ3033">
        <v>91.504795273938797</v>
      </c>
      <c r="AK3033">
        <v>46.942084687987297</v>
      </c>
      <c r="AL3033">
        <v>84.399719325871899</v>
      </c>
      <c r="AM3033">
        <v>91.610985604322906</v>
      </c>
      <c r="AN3033">
        <v>0.99999994808610604</v>
      </c>
    </row>
    <row r="3034" spans="1:40" x14ac:dyDescent="0.3">
      <c r="A3034" t="str">
        <f>"20200111150012469"</f>
        <v>20200111150012469</v>
      </c>
      <c r="B3034" t="str">
        <f>"1578726012458761"</f>
        <v>1578726012458761</v>
      </c>
      <c r="C3034" t="s">
        <v>40</v>
      </c>
      <c r="D3034">
        <v>4.2103859999999997</v>
      </c>
      <c r="E3034">
        <v>0.49727579999999999</v>
      </c>
      <c r="F3034" t="s">
        <v>52</v>
      </c>
      <c r="G3034">
        <v>-477.6053</v>
      </c>
      <c r="H3034" s="1">
        <v>3.0337510000000002E-6</v>
      </c>
      <c r="I3034">
        <v>282.24040000000002</v>
      </c>
      <c r="J3034">
        <v>-432.7706</v>
      </c>
      <c r="K3034">
        <v>1.1043160000000001</v>
      </c>
      <c r="L3034">
        <v>283.35160000000002</v>
      </c>
      <c r="M3034">
        <v>-0.99987320000000002</v>
      </c>
      <c r="N3034">
        <v>0</v>
      </c>
      <c r="O3034">
        <v>9.6858120000000002E-3</v>
      </c>
      <c r="P3034">
        <v>-0.99616629999999995</v>
      </c>
      <c r="Q3034">
        <v>8.560537E-2</v>
      </c>
      <c r="R3034">
        <v>-1.8019960000000002E-2</v>
      </c>
      <c r="S3034">
        <v>-3.0163570000000002</v>
      </c>
      <c r="T3034">
        <v>-7.3932289999999998E-2</v>
      </c>
      <c r="U3034">
        <v>-7.4249270000000006E-2</v>
      </c>
      <c r="V3034">
        <v>-2.7662920000000001E-2</v>
      </c>
      <c r="W3034">
        <v>9.8203730000000003E-2</v>
      </c>
      <c r="X3034">
        <v>0.99478180000000005</v>
      </c>
      <c r="Y3034">
        <v>-3.4277389999999998E-2</v>
      </c>
      <c r="Z3034">
        <v>-6.5730580000000001E-4</v>
      </c>
      <c r="AA3034">
        <v>0.99941210000000003</v>
      </c>
      <c r="AB3034">
        <v>42</v>
      </c>
      <c r="AC3034">
        <v>-44.834699999999998</v>
      </c>
      <c r="AD3034">
        <v>-1.1043129662489899</v>
      </c>
      <c r="AE3034">
        <v>-1.11119999999999</v>
      </c>
      <c r="AF3034">
        <v>-1.5445065992776099</v>
      </c>
      <c r="AG3034">
        <v>-1.1043129662489899</v>
      </c>
      <c r="AH3034">
        <v>44.794673690267402</v>
      </c>
      <c r="AI3034">
        <v>91.4113754860808</v>
      </c>
      <c r="AJ3034">
        <v>91.974758575412096</v>
      </c>
      <c r="AK3034">
        <v>44.834894878656499</v>
      </c>
      <c r="AL3034">
        <v>84.364257483131993</v>
      </c>
      <c r="AM3034">
        <v>91.592872134945793</v>
      </c>
      <c r="AN3034">
        <v>1.00000001967003</v>
      </c>
    </row>
    <row r="3035" spans="1:40" x14ac:dyDescent="0.3">
      <c r="A3035" t="str">
        <f>"20200111150012487"</f>
        <v>20200111150012487</v>
      </c>
      <c r="B3035" t="str">
        <f>"1578726012479258"</f>
        <v>1578726012479258</v>
      </c>
      <c r="C3035" t="s">
        <v>40</v>
      </c>
      <c r="D3035">
        <v>4.1039139999999996</v>
      </c>
      <c r="E3035">
        <v>0.49432300000000001</v>
      </c>
      <c r="F3035" t="s">
        <v>52</v>
      </c>
      <c r="G3035">
        <v>-481.95769999999999</v>
      </c>
      <c r="H3035" s="1">
        <v>2.3179580000000002E-6</v>
      </c>
      <c r="I3035">
        <v>281.92759999999998</v>
      </c>
      <c r="J3035">
        <v>-433.09429999999998</v>
      </c>
      <c r="K3035">
        <v>1.104317</v>
      </c>
      <c r="L3035">
        <v>283.35480000000001</v>
      </c>
      <c r="M3035">
        <v>-0.99987300000000001</v>
      </c>
      <c r="N3035">
        <v>0</v>
      </c>
      <c r="O3035">
        <v>9.6853900000000003E-3</v>
      </c>
      <c r="P3035">
        <v>-0.99615880000000001</v>
      </c>
      <c r="Q3035">
        <v>8.5707399999999906E-2</v>
      </c>
      <c r="R3035">
        <v>-1.7942880000000001E-2</v>
      </c>
      <c r="S3035">
        <v>-3.0157780000000001</v>
      </c>
      <c r="T3035">
        <v>-6.7708019999999994E-2</v>
      </c>
      <c r="U3035">
        <v>-8.7310789999999999E-2</v>
      </c>
      <c r="V3035">
        <v>-2.7585780000000001E-2</v>
      </c>
      <c r="W3035">
        <v>9.8311919999999997E-2</v>
      </c>
      <c r="X3035">
        <v>0.99477320000000002</v>
      </c>
      <c r="Y3035">
        <v>-3.8607809999999999E-2</v>
      </c>
      <c r="Z3035">
        <v>-6.506506E-4</v>
      </c>
      <c r="AA3035">
        <v>0.99925419999999998</v>
      </c>
      <c r="AB3035">
        <v>42</v>
      </c>
      <c r="AC3035">
        <v>-48.863399999999999</v>
      </c>
      <c r="AD3035">
        <v>-1.104314682042</v>
      </c>
      <c r="AE3035">
        <v>-1.42720000000002</v>
      </c>
      <c r="AF3035">
        <v>-1.8994626944108901</v>
      </c>
      <c r="AG3035">
        <v>-1.104314682042</v>
      </c>
      <c r="AH3035">
        <v>48.822368283550503</v>
      </c>
      <c r="AI3035">
        <v>91.294774878837302</v>
      </c>
      <c r="AJ3035">
        <v>92.228002016205096</v>
      </c>
      <c r="AK3035">
        <v>48.871782392900997</v>
      </c>
      <c r="AL3035">
        <v>84.358028196589999</v>
      </c>
      <c r="AM3035">
        <v>91.588446302897594</v>
      </c>
      <c r="AN3035">
        <v>0.99999996415526604</v>
      </c>
    </row>
    <row r="3036" spans="1:40" x14ac:dyDescent="0.3">
      <c r="A3036" t="str">
        <f>"20200111150012498"</f>
        <v>20200111150012498</v>
      </c>
      <c r="B3036" t="str">
        <f>"1578726012489018"</f>
        <v>1578726012489018</v>
      </c>
      <c r="C3036" t="s">
        <v>40</v>
      </c>
      <c r="D3036">
        <v>4.1487869999999996</v>
      </c>
      <c r="E3036">
        <v>0.49324410000000002</v>
      </c>
      <c r="F3036" t="s">
        <v>52</v>
      </c>
      <c r="G3036">
        <v>-482.45069999999998</v>
      </c>
      <c r="H3036" s="1">
        <v>2.371866E-6</v>
      </c>
      <c r="I3036">
        <v>281.54399999999998</v>
      </c>
      <c r="J3036">
        <v>-433.33240000000001</v>
      </c>
      <c r="K3036">
        <v>1.104317</v>
      </c>
      <c r="L3036">
        <v>283.3571</v>
      </c>
      <c r="M3036">
        <v>-0.99987289999999995</v>
      </c>
      <c r="N3036">
        <v>0</v>
      </c>
      <c r="O3036">
        <v>9.6855410000000006E-3</v>
      </c>
      <c r="P3036">
        <v>-0.9961605</v>
      </c>
      <c r="Q3036">
        <v>8.5725609999999994E-2</v>
      </c>
      <c r="R3036">
        <v>-1.7753519999999998E-2</v>
      </c>
      <c r="S3036">
        <v>-3.0153810000000001</v>
      </c>
      <c r="T3036">
        <v>-6.7467089999999993E-2</v>
      </c>
      <c r="U3036">
        <v>-0.11062619999999999</v>
      </c>
      <c r="V3036">
        <v>-2.7396940000000002E-2</v>
      </c>
      <c r="W3036">
        <v>9.8331859999999993E-2</v>
      </c>
      <c r="X3036">
        <v>0.99477649999999995</v>
      </c>
      <c r="Y3036">
        <v>-4.6326730000000003E-2</v>
      </c>
      <c r="Z3036">
        <v>-7.3465729999999999E-4</v>
      </c>
      <c r="AA3036">
        <v>0.99892599999999998</v>
      </c>
      <c r="AB3036">
        <v>42</v>
      </c>
      <c r="AC3036">
        <v>-49.118299999999898</v>
      </c>
      <c r="AD3036">
        <v>-1.1043146281339999</v>
      </c>
      <c r="AE3036">
        <v>-1.81309999999996</v>
      </c>
      <c r="AF3036">
        <v>-2.2876356348937699</v>
      </c>
      <c r="AG3036">
        <v>-1.1043146281339999</v>
      </c>
      <c r="AH3036">
        <v>49.073661710140797</v>
      </c>
      <c r="AI3036">
        <v>91.2877231167231</v>
      </c>
      <c r="AJ3036">
        <v>92.668988669878203</v>
      </c>
      <c r="AK3036">
        <v>49.139363663332901</v>
      </c>
      <c r="AL3036">
        <v>84.356880449479107</v>
      </c>
      <c r="AM3036">
        <v>91.577572788014194</v>
      </c>
      <c r="AN3036">
        <v>1.0000000159823299</v>
      </c>
    </row>
    <row r="3037" spans="1:40" x14ac:dyDescent="0.3">
      <c r="A3037" t="str">
        <f>"20200111150012515"</f>
        <v>20200111150012515</v>
      </c>
      <c r="B3037" t="str">
        <f>"1578726012509514"</f>
        <v>1578726012509514</v>
      </c>
      <c r="C3037" t="s">
        <v>40</v>
      </c>
      <c r="D3037">
        <v>4.1902509999999999</v>
      </c>
      <c r="E3037">
        <v>0.4912975</v>
      </c>
      <c r="F3037" t="s">
        <v>52</v>
      </c>
      <c r="G3037">
        <v>-479.654</v>
      </c>
      <c r="H3037" s="1">
        <v>2.0632680000000002E-6</v>
      </c>
      <c r="I3037">
        <v>281.53120000000001</v>
      </c>
      <c r="J3037">
        <v>-433.62180000000001</v>
      </c>
      <c r="K3037">
        <v>1.1043179999999999</v>
      </c>
      <c r="L3037">
        <v>283.35989999999998</v>
      </c>
      <c r="M3037">
        <v>-0.99987300000000001</v>
      </c>
      <c r="N3037">
        <v>0</v>
      </c>
      <c r="O3037">
        <v>9.6858389999999999E-3</v>
      </c>
      <c r="P3037">
        <v>-0.99617549999999999</v>
      </c>
      <c r="Q3037">
        <v>8.5627330000000001E-2</v>
      </c>
      <c r="R3037">
        <v>-1.7398719999999999E-2</v>
      </c>
      <c r="S3037">
        <v>-3.0155940000000001</v>
      </c>
      <c r="T3037">
        <v>-7.1892259999999999E-2</v>
      </c>
      <c r="U3037">
        <v>-0.118866</v>
      </c>
      <c r="V3037">
        <v>-2.704287E-2</v>
      </c>
      <c r="W3037">
        <v>9.8230789999999998E-2</v>
      </c>
      <c r="X3037">
        <v>0.99479620000000002</v>
      </c>
      <c r="Y3037">
        <v>-4.9047100000000003E-2</v>
      </c>
      <c r="Z3037">
        <v>-8.1515199999999998E-4</v>
      </c>
      <c r="AA3037">
        <v>0.99879609999999996</v>
      </c>
      <c r="AB3037">
        <v>42</v>
      </c>
      <c r="AC3037">
        <v>-46.032199999999897</v>
      </c>
      <c r="AD3037">
        <v>-1.1043159367319999</v>
      </c>
      <c r="AE3037">
        <v>-1.82869999999996</v>
      </c>
      <c r="AF3037">
        <v>-2.27320417133713</v>
      </c>
      <c r="AG3037">
        <v>-1.1043159367319999</v>
      </c>
      <c r="AH3037">
        <v>45.985902150539602</v>
      </c>
      <c r="AI3037">
        <v>91.373972471716897</v>
      </c>
      <c r="AJ3037">
        <v>92.829977578405206</v>
      </c>
      <c r="AK3037">
        <v>46.055294673812497</v>
      </c>
      <c r="AL3037">
        <v>84.362699654222496</v>
      </c>
      <c r="AM3037">
        <v>91.557163982957505</v>
      </c>
      <c r="AN3037">
        <v>1.0000000422281401</v>
      </c>
    </row>
    <row r="3038" spans="1:40" x14ac:dyDescent="0.3">
      <c r="A3038" t="str">
        <f>"20200111150012530"</f>
        <v>20200111150012530</v>
      </c>
      <c r="B3038" t="str">
        <f>"1578726012519273"</f>
        <v>1578726012519273</v>
      </c>
      <c r="C3038" t="s">
        <v>40</v>
      </c>
      <c r="D3038">
        <v>4.1460800000000004</v>
      </c>
      <c r="E3038">
        <v>0.49067060000000001</v>
      </c>
      <c r="F3038" t="s">
        <v>52</v>
      </c>
      <c r="G3038">
        <v>-475.81659999999999</v>
      </c>
      <c r="H3038" s="1">
        <v>3.761734E-6</v>
      </c>
      <c r="I3038">
        <v>281.49400000000003</v>
      </c>
      <c r="J3038">
        <v>-433.91079999999999</v>
      </c>
      <c r="K3038">
        <v>1.1043190000000001</v>
      </c>
      <c r="L3038">
        <v>283.36259999999999</v>
      </c>
      <c r="M3038">
        <v>-0.99987300000000001</v>
      </c>
      <c r="N3038">
        <v>0</v>
      </c>
      <c r="O3038">
        <v>9.6865709999999997E-3</v>
      </c>
      <c r="P3038">
        <v>-0.99620180000000003</v>
      </c>
      <c r="Q3038">
        <v>8.5330509999999998E-2</v>
      </c>
      <c r="R3038">
        <v>-1.7340379999999999E-2</v>
      </c>
      <c r="S3038">
        <v>-3.0158999999999998</v>
      </c>
      <c r="T3038">
        <v>-7.8931570000000006E-2</v>
      </c>
      <c r="U3038">
        <v>-0.1333618</v>
      </c>
      <c r="V3038">
        <v>-2.6985800000000001E-2</v>
      </c>
      <c r="W3038">
        <v>9.7928509999999996E-2</v>
      </c>
      <c r="X3038">
        <v>0.99482749999999998</v>
      </c>
      <c r="Y3038">
        <v>-5.3830530000000001E-2</v>
      </c>
      <c r="Z3038">
        <v>-9.573359E-4</v>
      </c>
      <c r="AA3038">
        <v>0.99854960000000004</v>
      </c>
      <c r="AB3038">
        <v>42</v>
      </c>
      <c r="AC3038">
        <v>-41.905799999999999</v>
      </c>
      <c r="AD3038">
        <v>-1.104315238266</v>
      </c>
      <c r="AE3038">
        <v>-1.8685999999999501</v>
      </c>
      <c r="AF3038">
        <v>-2.2728930678333898</v>
      </c>
      <c r="AG3038">
        <v>-1.104315238266</v>
      </c>
      <c r="AH3038">
        <v>41.856722347562297</v>
      </c>
      <c r="AI3038">
        <v>91.509074512015403</v>
      </c>
      <c r="AJ3038">
        <v>93.1082081766084</v>
      </c>
      <c r="AK3038">
        <v>41.932931697225698</v>
      </c>
      <c r="AL3038">
        <v>84.380102639498404</v>
      </c>
      <c r="AM3038">
        <v>91.553830564848397</v>
      </c>
      <c r="AN3038">
        <v>0.99999999061435496</v>
      </c>
    </row>
    <row r="3039" spans="1:40" x14ac:dyDescent="0.3">
      <c r="A3039" t="str">
        <f>"20200111150012544"</f>
        <v>20200111150012544</v>
      </c>
      <c r="B3039" t="str">
        <f>"1578726012539473"</f>
        <v>1578726012539473</v>
      </c>
      <c r="C3039" t="s">
        <v>40</v>
      </c>
      <c r="D3039">
        <v>4.2001559999999998</v>
      </c>
      <c r="E3039">
        <v>0.4893999</v>
      </c>
      <c r="F3039" t="s">
        <v>52</v>
      </c>
      <c r="G3039">
        <v>-474.23649999999998</v>
      </c>
      <c r="H3039" s="1">
        <v>4.464209E-6</v>
      </c>
      <c r="I3039">
        <v>281.51429999999999</v>
      </c>
      <c r="J3039">
        <v>-434.17140000000001</v>
      </c>
      <c r="K3039">
        <v>1.104317</v>
      </c>
      <c r="L3039">
        <v>283.36520000000002</v>
      </c>
      <c r="M3039">
        <v>-0.99987309999999996</v>
      </c>
      <c r="N3039">
        <v>0</v>
      </c>
      <c r="O3039">
        <v>9.6872520000000004E-3</v>
      </c>
      <c r="P3039">
        <v>-0.99618549999999995</v>
      </c>
      <c r="Q3039">
        <v>8.5589860000000004E-2</v>
      </c>
      <c r="R3039">
        <v>-1.7000169999999998E-2</v>
      </c>
      <c r="S3039">
        <v>-3.0160830000000001</v>
      </c>
      <c r="T3039">
        <v>-8.2595109999999999E-2</v>
      </c>
      <c r="U3039">
        <v>-0.1382446</v>
      </c>
      <c r="V3039">
        <v>-2.664596E-2</v>
      </c>
      <c r="W3039">
        <v>9.8181900000000003E-2</v>
      </c>
      <c r="X3039">
        <v>0.99481169999999997</v>
      </c>
      <c r="Y3039">
        <v>-5.543911E-2</v>
      </c>
      <c r="Z3039">
        <v>-1.0236850000000001E-3</v>
      </c>
      <c r="AA3039">
        <v>0.9984615</v>
      </c>
      <c r="AB3039">
        <v>42</v>
      </c>
      <c r="AC3039">
        <v>-40.065099999999902</v>
      </c>
      <c r="AD3039">
        <v>-1.104312535791</v>
      </c>
      <c r="AE3039">
        <v>-1.85090000000002</v>
      </c>
      <c r="AF3039">
        <v>-2.2372688290078502</v>
      </c>
      <c r="AG3039">
        <v>-1.104312535791</v>
      </c>
      <c r="AH3039">
        <v>40.0149528972619</v>
      </c>
      <c r="AI3039">
        <v>91.578355036566094</v>
      </c>
      <c r="AJ3039">
        <v>93.200122242153</v>
      </c>
      <c r="AK3039">
        <v>40.092659345072697</v>
      </c>
      <c r="AL3039">
        <v>84.365514244036106</v>
      </c>
      <c r="AM3039">
        <v>91.534296495071104</v>
      </c>
      <c r="AN3039">
        <v>1.00000000556441</v>
      </c>
    </row>
    <row r="3040" spans="1:40" x14ac:dyDescent="0.3">
      <c r="A3040" t="str">
        <f>"20200111150012557"</f>
        <v>20200111150012557</v>
      </c>
      <c r="B3040" t="str">
        <f>"1578726012549234"</f>
        <v>1578726012549234</v>
      </c>
      <c r="C3040" t="s">
        <v>40</v>
      </c>
      <c r="D3040">
        <v>4.1663489999999896</v>
      </c>
      <c r="E3040">
        <v>0.48885309999999998</v>
      </c>
      <c r="F3040" t="s">
        <v>52</v>
      </c>
      <c r="G3040">
        <v>-472.6361</v>
      </c>
      <c r="H3040" s="1">
        <v>5.1714019999999998E-6</v>
      </c>
      <c r="I3040">
        <v>281.48559999999998</v>
      </c>
      <c r="J3040">
        <v>-434.41919999999999</v>
      </c>
      <c r="K3040">
        <v>1.104317</v>
      </c>
      <c r="L3040">
        <v>283.36759999999998</v>
      </c>
      <c r="M3040">
        <v>-0.99987329999999996</v>
      </c>
      <c r="N3040">
        <v>0</v>
      </c>
      <c r="O3040">
        <v>9.6876419999999998E-3</v>
      </c>
      <c r="P3040">
        <v>-0.99619449999999998</v>
      </c>
      <c r="Q3040">
        <v>8.5522440000000005E-2</v>
      </c>
      <c r="R3040">
        <v>-1.6815400000000001E-2</v>
      </c>
      <c r="S3040">
        <v>-3.0164179999999998</v>
      </c>
      <c r="T3040">
        <v>-8.6600659999999996E-2</v>
      </c>
      <c r="U3040">
        <v>-0.1473999</v>
      </c>
      <c r="V3040">
        <v>-2.6462090000000001E-2</v>
      </c>
      <c r="W3040">
        <v>9.810837E-2</v>
      </c>
      <c r="X3040">
        <v>0.99482389999999998</v>
      </c>
      <c r="Y3040">
        <v>-5.8454199999999901E-2</v>
      </c>
      <c r="Z3040">
        <v>-1.1163729999999999E-3</v>
      </c>
      <c r="AA3040">
        <v>0.99828950000000005</v>
      </c>
      <c r="AB3040">
        <v>42</v>
      </c>
      <c r="AC3040">
        <v>-38.216900000000003</v>
      </c>
      <c r="AD3040">
        <v>-1.104311828598</v>
      </c>
      <c r="AE3040">
        <v>-1.8819999999999999</v>
      </c>
      <c r="AF3040">
        <v>-2.2502984585413701</v>
      </c>
      <c r="AG3040">
        <v>-1.104311828598</v>
      </c>
      <c r="AH3040">
        <v>38.165083010755701</v>
      </c>
      <c r="AI3040">
        <v>91.654526748036005</v>
      </c>
      <c r="AJ3040">
        <v>93.374380237922693</v>
      </c>
      <c r="AK3040">
        <v>38.2473124413359</v>
      </c>
      <c r="AL3040">
        <v>84.369747853863004</v>
      </c>
      <c r="AM3040">
        <v>91.523695439065094</v>
      </c>
      <c r="AN3040">
        <v>1.0000000432412099</v>
      </c>
    </row>
    <row r="3041" spans="1:40" x14ac:dyDescent="0.3">
      <c r="A3041" t="str">
        <f>"20200111150012570"</f>
        <v>20200111150012570</v>
      </c>
      <c r="B3041" t="str">
        <f>"1578726012558994"</f>
        <v>1578726012558994</v>
      </c>
      <c r="C3041" t="s">
        <v>40</v>
      </c>
      <c r="D3041">
        <v>4.1542110000000001</v>
      </c>
      <c r="E3041">
        <v>0.48843359999999902</v>
      </c>
      <c r="F3041" t="s">
        <v>52</v>
      </c>
      <c r="G3041">
        <v>-472.2038</v>
      </c>
      <c r="H3041" s="1">
        <v>5.3619890000000004E-6</v>
      </c>
      <c r="I3041">
        <v>281.47269999999997</v>
      </c>
      <c r="J3041">
        <v>-434.65960000000001</v>
      </c>
      <c r="K3041">
        <v>1.1043179999999999</v>
      </c>
      <c r="L3041">
        <v>283.36989999999997</v>
      </c>
      <c r="M3041">
        <v>-0.99987329999999996</v>
      </c>
      <c r="N3041">
        <v>0</v>
      </c>
      <c r="O3041">
        <v>9.6879719999999996E-3</v>
      </c>
      <c r="P3041">
        <v>-0.99617829999999996</v>
      </c>
      <c r="Q3041">
        <v>8.5812920000000001E-2</v>
      </c>
      <c r="R3041">
        <v>-1.6292190000000002E-2</v>
      </c>
      <c r="S3041">
        <v>-3.0164789999999999</v>
      </c>
      <c r="T3041">
        <v>-8.8161110000000001E-2</v>
      </c>
      <c r="U3041">
        <v>-0.15127560000000001</v>
      </c>
      <c r="V3041">
        <v>-2.593908E-2</v>
      </c>
      <c r="W3041">
        <v>9.8392579999999993E-2</v>
      </c>
      <c r="X3041">
        <v>0.99480959999999996</v>
      </c>
      <c r="Y3041">
        <v>-5.973146E-2</v>
      </c>
      <c r="Z3041">
        <v>-1.1550810000000001E-3</v>
      </c>
      <c r="AA3041">
        <v>0.99821380000000004</v>
      </c>
      <c r="AB3041">
        <v>42</v>
      </c>
      <c r="AC3041">
        <v>-37.544199999999897</v>
      </c>
      <c r="AD3041">
        <v>-1.104312638011</v>
      </c>
      <c r="AE3041">
        <v>-1.89719999999999</v>
      </c>
      <c r="AF3041">
        <v>-2.2589177688475099</v>
      </c>
      <c r="AG3041">
        <v>-1.104312638011</v>
      </c>
      <c r="AH3041">
        <v>37.4917024515644</v>
      </c>
      <c r="AI3041">
        <v>91.684098765457705</v>
      </c>
      <c r="AJ3041">
        <v>93.447967725815602</v>
      </c>
      <c r="AK3041">
        <v>37.575922724605498</v>
      </c>
      <c r="AL3041">
        <v>84.3533846213153</v>
      </c>
      <c r="AM3041">
        <v>91.493615598046304</v>
      </c>
      <c r="AN3041">
        <v>1.0000000379612299</v>
      </c>
    </row>
    <row r="3042" spans="1:40" x14ac:dyDescent="0.3">
      <c r="A3042" t="str">
        <f>"20200111150012584"</f>
        <v>20200111150012584</v>
      </c>
      <c r="B3042" t="str">
        <f>"1578726012579489"</f>
        <v>1578726012579489</v>
      </c>
      <c r="C3042" t="s">
        <v>40</v>
      </c>
      <c r="D3042">
        <v>4.1622050000000002</v>
      </c>
      <c r="E3042">
        <v>0.48757210000000001</v>
      </c>
      <c r="F3042" t="s">
        <v>52</v>
      </c>
      <c r="G3042">
        <v>-472.05290000000002</v>
      </c>
      <c r="H3042" s="1">
        <v>5.4287750000000004E-6</v>
      </c>
      <c r="I3042">
        <v>281.47089999999997</v>
      </c>
      <c r="J3042">
        <v>-434.92669999999998</v>
      </c>
      <c r="K3042">
        <v>1.104317</v>
      </c>
      <c r="L3042">
        <v>283.3725</v>
      </c>
      <c r="M3042">
        <v>-0.99987329999999996</v>
      </c>
      <c r="N3042">
        <v>0</v>
      </c>
      <c r="O3042">
        <v>9.6883679999999993E-3</v>
      </c>
      <c r="P3042">
        <v>-0.99616070000000001</v>
      </c>
      <c r="Q3042">
        <v>8.606039E-2</v>
      </c>
      <c r="R3042">
        <v>-1.6042319999999999E-2</v>
      </c>
      <c r="S3042">
        <v>-3.0166629999999999</v>
      </c>
      <c r="T3042">
        <v>-8.9089269999999998E-2</v>
      </c>
      <c r="U3042">
        <v>-0.15319820000000001</v>
      </c>
      <c r="V3042">
        <v>-2.5689429999999999E-2</v>
      </c>
      <c r="W3042">
        <v>9.8633189999999996E-2</v>
      </c>
      <c r="X3042">
        <v>0.99479220000000002</v>
      </c>
      <c r="Y3042">
        <v>-6.0362480000000003E-2</v>
      </c>
      <c r="Z3042">
        <v>-1.176468E-3</v>
      </c>
      <c r="AA3042">
        <v>0.99817579999999995</v>
      </c>
      <c r="AB3042">
        <v>42</v>
      </c>
      <c r="AC3042">
        <v>-37.126199999999997</v>
      </c>
      <c r="AD3042">
        <v>-1.104311571225</v>
      </c>
      <c r="AE3042">
        <v>-1.9016000000000299</v>
      </c>
      <c r="AF3042">
        <v>-2.2592380794275599</v>
      </c>
      <c r="AG3042">
        <v>-1.104311571225</v>
      </c>
      <c r="AH3042">
        <v>37.073317478004299</v>
      </c>
      <c r="AI3042">
        <v>91.703020857403203</v>
      </c>
      <c r="AJ3042">
        <v>93.487276945812496</v>
      </c>
      <c r="AK3042">
        <v>37.158505480855602</v>
      </c>
      <c r="AL3042">
        <v>84.339531009686993</v>
      </c>
      <c r="AM3042">
        <v>91.479272613856295</v>
      </c>
      <c r="AN3042">
        <v>0.99999998708207005</v>
      </c>
    </row>
    <row r="3043" spans="1:40" x14ac:dyDescent="0.3">
      <c r="A3043" t="str">
        <f>"20200111150012597"</f>
        <v>20200111150012597</v>
      </c>
      <c r="B3043" t="str">
        <f>"1578726012589249"</f>
        <v>1578726012589249</v>
      </c>
      <c r="C3043" t="s">
        <v>40</v>
      </c>
      <c r="D3043">
        <v>4.2960690000000001</v>
      </c>
      <c r="E3043">
        <v>0.48757210000000001</v>
      </c>
      <c r="F3043" t="s">
        <v>52</v>
      </c>
      <c r="G3043">
        <v>-471.99610000000001</v>
      </c>
      <c r="H3043" s="1">
        <v>5.4490440000000002E-6</v>
      </c>
      <c r="I3043">
        <v>281.41469999999998</v>
      </c>
      <c r="J3043">
        <v>-435.17680000000001</v>
      </c>
      <c r="K3043">
        <v>1.104317</v>
      </c>
      <c r="L3043">
        <v>283.37490000000003</v>
      </c>
      <c r="M3043">
        <v>-0.99987349999999997</v>
      </c>
      <c r="N3043">
        <v>0</v>
      </c>
      <c r="O3043">
        <v>9.688225E-3</v>
      </c>
      <c r="P3043">
        <v>-0.99615390000000004</v>
      </c>
      <c r="Q3043">
        <v>8.6137320000000003E-2</v>
      </c>
      <c r="R3043">
        <v>-1.6059980000000001E-2</v>
      </c>
      <c r="S3043">
        <v>-3.0167540000000002</v>
      </c>
      <c r="T3043">
        <v>-8.9870450000000004E-2</v>
      </c>
      <c r="U3043">
        <v>-0.15933229999999901</v>
      </c>
      <c r="V3043">
        <v>-2.570679E-2</v>
      </c>
      <c r="W3043">
        <v>9.8704360000000005E-2</v>
      </c>
      <c r="X3043">
        <v>0.99478469999999997</v>
      </c>
      <c r="Y3043">
        <v>-6.2383429999999997E-2</v>
      </c>
      <c r="Z3043">
        <v>-1.216752E-3</v>
      </c>
      <c r="AA3043">
        <v>0.99805149999999998</v>
      </c>
      <c r="AB3043">
        <v>42</v>
      </c>
      <c r="AC3043">
        <v>-36.819299999999998</v>
      </c>
      <c r="AD3043">
        <v>-1.104311550956</v>
      </c>
      <c r="AE3043">
        <v>-1.9602000000000399</v>
      </c>
      <c r="AF3043">
        <v>-2.3147736336768601</v>
      </c>
      <c r="AG3043">
        <v>-1.104311550956</v>
      </c>
      <c r="AH3043">
        <v>36.765599810093001</v>
      </c>
      <c r="AI3043">
        <v>91.717052134211798</v>
      </c>
      <c r="AJ3043">
        <v>93.602604930935797</v>
      </c>
      <c r="AK3043">
        <v>36.854945534794297</v>
      </c>
      <c r="AL3043">
        <v>84.335433315817895</v>
      </c>
      <c r="AM3043">
        <v>91.480282964157794</v>
      </c>
      <c r="AN3043">
        <v>0.99999999454460098</v>
      </c>
    </row>
    <row r="3044" spans="1:40" x14ac:dyDescent="0.3">
      <c r="A3044" t="str">
        <f>"20200111150012611"</f>
        <v>20200111150012611</v>
      </c>
      <c r="B3044" t="str">
        <f>"1578726012608769"</f>
        <v>1578726012608769</v>
      </c>
      <c r="C3044" t="s">
        <v>40</v>
      </c>
      <c r="D3044">
        <v>4.214296</v>
      </c>
      <c r="E3044">
        <v>0.4423241</v>
      </c>
      <c r="F3044" t="s">
        <v>52</v>
      </c>
      <c r="G3044">
        <v>-472.34769999999997</v>
      </c>
      <c r="H3044" s="1">
        <v>5.292894E-6</v>
      </c>
      <c r="I3044">
        <v>281.41210000000001</v>
      </c>
      <c r="J3044">
        <v>-435.43239999999997</v>
      </c>
      <c r="K3044">
        <v>1.104317</v>
      </c>
      <c r="L3044">
        <v>283.37740000000002</v>
      </c>
      <c r="M3044">
        <v>-0.99987349999999997</v>
      </c>
      <c r="N3044">
        <v>0</v>
      </c>
      <c r="O3044">
        <v>9.6879029999999994E-3</v>
      </c>
      <c r="P3044">
        <v>-0.99616179999999999</v>
      </c>
      <c r="Q3044">
        <v>8.6055820000000005E-2</v>
      </c>
      <c r="R3044">
        <v>-1.6004549999999999E-2</v>
      </c>
      <c r="S3044">
        <v>-3.0167540000000002</v>
      </c>
      <c r="T3044">
        <v>-8.9624880000000004E-2</v>
      </c>
      <c r="U3044">
        <v>-0.15930179999999999</v>
      </c>
      <c r="V3044">
        <v>-2.5651520000000001E-2</v>
      </c>
      <c r="W3044">
        <v>9.8616560000000006E-2</v>
      </c>
      <c r="X3044">
        <v>0.99479479999999998</v>
      </c>
      <c r="Y3044">
        <v>-6.237322E-2</v>
      </c>
      <c r="Z3044">
        <v>-1.213268E-3</v>
      </c>
      <c r="AA3044">
        <v>0.99805219999999994</v>
      </c>
      <c r="AB3044">
        <v>42</v>
      </c>
      <c r="AC3044">
        <v>-36.915300000000002</v>
      </c>
      <c r="AD3044">
        <v>-1.104311707106</v>
      </c>
      <c r="AE3044">
        <v>-1.96530000000001</v>
      </c>
      <c r="AF3044">
        <v>-2.3207970672556999</v>
      </c>
      <c r="AG3044">
        <v>-1.104311707106</v>
      </c>
      <c r="AH3044">
        <v>36.861632238682901</v>
      </c>
      <c r="AI3044">
        <v>91.712581822260205</v>
      </c>
      <c r="AJ3044">
        <v>93.602569634707706</v>
      </c>
      <c r="AK3044">
        <v>36.951123591492397</v>
      </c>
      <c r="AL3044">
        <v>84.340488354238005</v>
      </c>
      <c r="AM3044">
        <v>91.477086754017904</v>
      </c>
      <c r="AN3044">
        <v>0.99999996024579096</v>
      </c>
    </row>
    <row r="3045" spans="1:40" x14ac:dyDescent="0.3">
      <c r="A3045" t="str">
        <f>"20200111150012625"</f>
        <v>20200111150012625</v>
      </c>
      <c r="B3045" t="str">
        <f>"1578726012618529"</f>
        <v>1578726012618529</v>
      </c>
      <c r="C3045" t="s">
        <v>40</v>
      </c>
      <c r="D3045">
        <v>4.2582180000000003</v>
      </c>
      <c r="E3045">
        <v>0.43509340000000002</v>
      </c>
      <c r="F3045" t="s">
        <v>65</v>
      </c>
      <c r="G3045">
        <v>-512.82529999999997</v>
      </c>
      <c r="H3045">
        <v>0.47508010000000001</v>
      </c>
      <c r="I3045">
        <v>270.04270000000002</v>
      </c>
      <c r="J3045">
        <v>-435.70280000000002</v>
      </c>
      <c r="K3045">
        <v>1.1043149999999999</v>
      </c>
      <c r="L3045">
        <v>283.38</v>
      </c>
      <c r="M3045">
        <v>-0.99987349999999997</v>
      </c>
      <c r="N3045">
        <v>0</v>
      </c>
      <c r="O3045">
        <v>9.6878220000000004E-3</v>
      </c>
      <c r="P3045">
        <v>-0.99615359999999997</v>
      </c>
      <c r="Q3045">
        <v>8.6186449999999998E-2</v>
      </c>
      <c r="R3045">
        <v>-1.582194E-2</v>
      </c>
      <c r="S3045">
        <v>-3.0053709999999998</v>
      </c>
      <c r="T3045">
        <v>-2.443182E-2</v>
      </c>
      <c r="U3045">
        <v>-0.51782229999999996</v>
      </c>
      <c r="V3045">
        <v>-2.5468580000000001E-2</v>
      </c>
      <c r="W3045">
        <v>9.8741380000000004E-2</v>
      </c>
      <c r="X3045">
        <v>0.99478719999999998</v>
      </c>
      <c r="Y3045">
        <v>-0.17933089999999999</v>
      </c>
      <c r="Z3045">
        <v>-8.0178259999999903E-4</v>
      </c>
      <c r="AA3045">
        <v>0.98378849999999995</v>
      </c>
      <c r="AB3045">
        <v>42</v>
      </c>
      <c r="AC3045">
        <v>-77.122499999999903</v>
      </c>
      <c r="AD3045">
        <v>-0.62923489999999904</v>
      </c>
      <c r="AE3045">
        <v>-13.3372999999999</v>
      </c>
      <c r="AF3045">
        <v>-14.0829722652383</v>
      </c>
      <c r="AG3045">
        <v>-0.62923489999999904</v>
      </c>
      <c r="AH3045">
        <v>76.984684667567507</v>
      </c>
      <c r="AI3045">
        <v>90.460653134827695</v>
      </c>
      <c r="AJ3045">
        <v>100.366616422547</v>
      </c>
      <c r="AK3045">
        <v>78.264728439749007</v>
      </c>
      <c r="AL3045">
        <v>84.333302077627394</v>
      </c>
      <c r="AM3045">
        <v>91.466568370044499</v>
      </c>
      <c r="AN3045">
        <v>1.0000000409876699</v>
      </c>
    </row>
    <row r="3046" spans="1:40" x14ac:dyDescent="0.3">
      <c r="A3046" t="str">
        <f>"20200111150012637"</f>
        <v>20200111150012637</v>
      </c>
      <c r="B3046" t="str">
        <f>"1578726012629265"</f>
        <v>1578726012629265</v>
      </c>
      <c r="C3046" t="s">
        <v>40</v>
      </c>
      <c r="D3046">
        <v>4.2092140000000002</v>
      </c>
      <c r="E3046">
        <v>0.43021150000000002</v>
      </c>
      <c r="F3046" t="s">
        <v>65</v>
      </c>
      <c r="G3046">
        <v>-512.82539999999995</v>
      </c>
      <c r="H3046">
        <v>0.58935389999999999</v>
      </c>
      <c r="I3046">
        <v>268.62389999999999</v>
      </c>
      <c r="J3046">
        <v>-435.916</v>
      </c>
      <c r="K3046">
        <v>1.1043149999999999</v>
      </c>
      <c r="L3046">
        <v>283.38209999999998</v>
      </c>
      <c r="M3046">
        <v>-0.99987369999999998</v>
      </c>
      <c r="N3046">
        <v>0</v>
      </c>
      <c r="O3046">
        <v>9.6874930000000001E-3</v>
      </c>
      <c r="P3046">
        <v>-0.99614329999999995</v>
      </c>
      <c r="Q3046">
        <v>8.6294570000000001E-2</v>
      </c>
      <c r="R3046">
        <v>-1.5881260000000001E-2</v>
      </c>
      <c r="S3046">
        <v>-3.004181</v>
      </c>
      <c r="T3046">
        <v>-2.005637E-2</v>
      </c>
      <c r="U3046">
        <v>-0.57479859999999905</v>
      </c>
      <c r="V3046">
        <v>-2.5527609999999999E-2</v>
      </c>
      <c r="W3046">
        <v>9.8844810000000005E-2</v>
      </c>
      <c r="X3046">
        <v>0.99477539999999998</v>
      </c>
      <c r="Y3046">
        <v>-0.1974264</v>
      </c>
      <c r="Z3046">
        <v>-7.1720599999999996E-4</v>
      </c>
      <c r="AA3046">
        <v>0.98031749999999995</v>
      </c>
      <c r="AB3046">
        <v>42</v>
      </c>
      <c r="AC3046">
        <v>-76.909399999999906</v>
      </c>
      <c r="AD3046">
        <v>-0.51496109999999895</v>
      </c>
      <c r="AE3046">
        <v>-14.758199999999899</v>
      </c>
      <c r="AF3046">
        <v>-15.501955474102299</v>
      </c>
      <c r="AG3046">
        <v>-0.51496109999999895</v>
      </c>
      <c r="AH3046">
        <v>76.759490075219503</v>
      </c>
      <c r="AI3046">
        <v>90.376771495948006</v>
      </c>
      <c r="AJ3046">
        <v>101.417591649616</v>
      </c>
      <c r="AK3046">
        <v>78.310887653399007</v>
      </c>
      <c r="AL3046">
        <v>84.327346756441301</v>
      </c>
      <c r="AM3046">
        <v>91.469983459707706</v>
      </c>
      <c r="AN3046">
        <v>1.0000000258907</v>
      </c>
    </row>
    <row r="3047" spans="1:40" x14ac:dyDescent="0.3">
      <c r="A3047" t="str">
        <f>"20200111150012652"</f>
        <v>20200111150012652</v>
      </c>
      <c r="B3047" t="str">
        <f>"1578726012648785"</f>
        <v>1578726012648785</v>
      </c>
      <c r="C3047" t="s">
        <v>40</v>
      </c>
      <c r="D3047">
        <v>4.2997500000000004</v>
      </c>
      <c r="E3047">
        <v>0.4245756</v>
      </c>
      <c r="F3047" t="s">
        <v>65</v>
      </c>
      <c r="G3047">
        <v>-512.82539999999995</v>
      </c>
      <c r="H3047">
        <v>0.63890729999999996</v>
      </c>
      <c r="I3047">
        <v>267.65870000000001</v>
      </c>
      <c r="J3047">
        <v>-436.2054</v>
      </c>
      <c r="K3047">
        <v>1.1043160000000001</v>
      </c>
      <c r="L3047">
        <v>283.38490000000002</v>
      </c>
      <c r="M3047">
        <v>-0.99987369999999998</v>
      </c>
      <c r="N3047">
        <v>0</v>
      </c>
      <c r="O3047">
        <v>9.6873500000000008E-3</v>
      </c>
      <c r="P3047">
        <v>-0.99613280000000004</v>
      </c>
      <c r="Q3047">
        <v>8.6385680000000006E-2</v>
      </c>
      <c r="R3047">
        <v>-1.603367E-2</v>
      </c>
      <c r="S3047">
        <v>-3.003387</v>
      </c>
      <c r="T3047">
        <v>-1.8171550000000002E-2</v>
      </c>
      <c r="U3047">
        <v>-0.6140137</v>
      </c>
      <c r="V3047">
        <v>-2.567966E-2</v>
      </c>
      <c r="W3047">
        <v>9.892927E-2</v>
      </c>
      <c r="X3047">
        <v>0.99476310000000001</v>
      </c>
      <c r="Y3047">
        <v>-0.20977599999999999</v>
      </c>
      <c r="Z3047">
        <v>-6.8613720000000003E-4</v>
      </c>
      <c r="AA3047">
        <v>0.97774919999999998</v>
      </c>
      <c r="AB3047">
        <v>42</v>
      </c>
      <c r="AC3047">
        <v>-76.619999999999905</v>
      </c>
      <c r="AD3047">
        <v>-0.46540870000000001</v>
      </c>
      <c r="AE3047">
        <v>-15.7262</v>
      </c>
      <c r="AF3047">
        <v>-16.467182610878101</v>
      </c>
      <c r="AG3047">
        <v>-0.46540870000000001</v>
      </c>
      <c r="AH3047">
        <v>76.461339746237201</v>
      </c>
      <c r="AI3047">
        <v>90.340929712767405</v>
      </c>
      <c r="AJ3047">
        <v>102.153929353327</v>
      </c>
      <c r="AK3047">
        <v>78.215862740160105</v>
      </c>
      <c r="AL3047">
        <v>84.322483773031806</v>
      </c>
      <c r="AM3047">
        <v>91.478753516267801</v>
      </c>
      <c r="AN3047">
        <v>1.0000000352610201</v>
      </c>
    </row>
    <row r="3048" spans="1:40" x14ac:dyDescent="0.3">
      <c r="A3048" t="str">
        <f>"20200111150012666"</f>
        <v>20200111150012666</v>
      </c>
      <c r="B3048" t="str">
        <f>"1578726012658545"</f>
        <v>1578726012658545</v>
      </c>
      <c r="C3048" t="s">
        <v>40</v>
      </c>
      <c r="D3048">
        <v>4.107532</v>
      </c>
      <c r="E3048">
        <v>0.42394389999999998</v>
      </c>
      <c r="F3048" t="s">
        <v>65</v>
      </c>
      <c r="G3048">
        <v>-512.82550000000003</v>
      </c>
      <c r="H3048">
        <v>0.96766700000000005</v>
      </c>
      <c r="I3048">
        <v>266.56790000000001</v>
      </c>
      <c r="J3048">
        <v>-436.4742</v>
      </c>
      <c r="K3048">
        <v>1.1043160000000001</v>
      </c>
      <c r="L3048">
        <v>283.38749999999999</v>
      </c>
      <c r="M3048">
        <v>-0.99987380000000003</v>
      </c>
      <c r="N3048">
        <v>0</v>
      </c>
      <c r="O3048">
        <v>9.6870840000000003E-3</v>
      </c>
      <c r="P3048">
        <v>-0.99610580000000004</v>
      </c>
      <c r="Q3048">
        <v>8.6699860000000004E-2</v>
      </c>
      <c r="R3048">
        <v>-1.6016030000000001E-2</v>
      </c>
      <c r="S3048">
        <v>-3.0014949999999998</v>
      </c>
      <c r="T3048">
        <v>-5.3499940000000003E-3</v>
      </c>
      <c r="U3048">
        <v>-0.65878300000000001</v>
      </c>
      <c r="V3048">
        <v>-2.566131E-2</v>
      </c>
      <c r="W3048">
        <v>9.9237699999999998E-2</v>
      </c>
      <c r="X3048">
        <v>0.99473279999999997</v>
      </c>
      <c r="Y3048">
        <v>-0.22383410000000001</v>
      </c>
      <c r="Z3048">
        <v>-2.1420839999999999E-4</v>
      </c>
      <c r="AA3048">
        <v>0.97462729999999997</v>
      </c>
      <c r="AB3048">
        <v>42</v>
      </c>
      <c r="AC3048">
        <v>-76.351299999999995</v>
      </c>
      <c r="AD3048">
        <v>-0.13664899999999999</v>
      </c>
      <c r="AE3048">
        <v>-16.819599999999902</v>
      </c>
      <c r="AF3048">
        <v>-17.5584371395259</v>
      </c>
      <c r="AG3048">
        <v>-0.13664899999999999</v>
      </c>
      <c r="AH3048">
        <v>76.184538427032805</v>
      </c>
      <c r="AI3048">
        <v>90.100143642143394</v>
      </c>
      <c r="AJ3048">
        <v>102.97847116430999</v>
      </c>
      <c r="AK3048">
        <v>78.181847529154297</v>
      </c>
      <c r="AL3048">
        <v>84.304724351019303</v>
      </c>
      <c r="AM3048">
        <v>91.477742298484401</v>
      </c>
      <c r="AN3048">
        <v>0.99999998366402199</v>
      </c>
    </row>
    <row r="3049" spans="1:40" x14ac:dyDescent="0.3">
      <c r="A3049" t="str">
        <f>"20200111150012679"</f>
        <v>20200111150012679</v>
      </c>
      <c r="B3049" t="str">
        <f>"1578726012669281"</f>
        <v>1578726012669281</v>
      </c>
      <c r="C3049" t="s">
        <v>40</v>
      </c>
      <c r="D3049">
        <v>4.1805870000000001</v>
      </c>
      <c r="E3049">
        <v>0.42320400000000002</v>
      </c>
      <c r="F3049" t="s">
        <v>65</v>
      </c>
      <c r="G3049">
        <v>-512.82550000000003</v>
      </c>
      <c r="H3049">
        <v>0.97892489999999999</v>
      </c>
      <c r="I3049">
        <v>266.50200000000001</v>
      </c>
      <c r="J3049">
        <v>-436.71339999999998</v>
      </c>
      <c r="K3049">
        <v>1.1043149999999999</v>
      </c>
      <c r="L3049">
        <v>283.38979999999998</v>
      </c>
      <c r="M3049">
        <v>-0.99987380000000003</v>
      </c>
      <c r="N3049">
        <v>0</v>
      </c>
      <c r="O3049">
        <v>9.6871100000000005E-3</v>
      </c>
      <c r="P3049">
        <v>-0.99609389999999998</v>
      </c>
      <c r="Q3049">
        <v>8.6808499999999997E-2</v>
      </c>
      <c r="R3049">
        <v>-1.615577E-2</v>
      </c>
      <c r="S3049">
        <v>-3.001465</v>
      </c>
      <c r="T3049">
        <v>-4.9262050000000003E-3</v>
      </c>
      <c r="U3049">
        <v>-0.66378780000000004</v>
      </c>
      <c r="V3049">
        <v>-2.5800969999999999E-2</v>
      </c>
      <c r="W3049">
        <v>9.9341600000000002E-2</v>
      </c>
      <c r="X3049">
        <v>0.99471880000000001</v>
      </c>
      <c r="Y3049">
        <v>-0.2253859</v>
      </c>
      <c r="Z3049">
        <v>-1.9846570000000001E-4</v>
      </c>
      <c r="AA3049">
        <v>0.97426959999999996</v>
      </c>
      <c r="AB3049">
        <v>42</v>
      </c>
      <c r="AC3049">
        <v>-76.112099999999998</v>
      </c>
      <c r="AD3049">
        <v>-0.12539009999999901</v>
      </c>
      <c r="AE3049">
        <v>-16.887799999999899</v>
      </c>
      <c r="AF3049">
        <v>-17.6243266300058</v>
      </c>
      <c r="AG3049">
        <v>-0.12539009999999901</v>
      </c>
      <c r="AH3049">
        <v>75.944724773064493</v>
      </c>
      <c r="AI3049">
        <v>90.092150430101896</v>
      </c>
      <c r="AJ3049">
        <v>103.06523829762401</v>
      </c>
      <c r="AK3049">
        <v>77.963028627002601</v>
      </c>
      <c r="AL3049">
        <v>84.298741663323597</v>
      </c>
      <c r="AM3049">
        <v>91.485802120956095</v>
      </c>
      <c r="AN3049">
        <v>0.99999996730846996</v>
      </c>
    </row>
    <row r="3050" spans="1:40" x14ac:dyDescent="0.3">
      <c r="A3050" t="str">
        <f>"20200111150012693"</f>
        <v>20200111150012693</v>
      </c>
      <c r="B3050" t="str">
        <f>"1578726012688800"</f>
        <v>1578726012688800</v>
      </c>
      <c r="C3050" t="s">
        <v>40</v>
      </c>
      <c r="D3050">
        <v>4.1005339999999997</v>
      </c>
      <c r="E3050">
        <v>0.42237920000000001</v>
      </c>
      <c r="F3050" t="s">
        <v>65</v>
      </c>
      <c r="G3050">
        <v>-512.82539999999995</v>
      </c>
      <c r="H3050">
        <v>0.92892770000000002</v>
      </c>
      <c r="I3050">
        <v>266.39</v>
      </c>
      <c r="J3050">
        <v>-436.97179999999997</v>
      </c>
      <c r="K3050">
        <v>1.104314</v>
      </c>
      <c r="L3050">
        <v>283.39229999999998</v>
      </c>
      <c r="M3050">
        <v>-0.99987409999999999</v>
      </c>
      <c r="N3050">
        <v>0</v>
      </c>
      <c r="O3050">
        <v>9.6867780000000001E-3</v>
      </c>
      <c r="P3050">
        <v>-0.99611320000000003</v>
      </c>
      <c r="Q3050">
        <v>8.6519390000000002E-2</v>
      </c>
      <c r="R3050">
        <v>-1.653495E-2</v>
      </c>
      <c r="S3050">
        <v>-3.001465</v>
      </c>
      <c r="T3050">
        <v>-6.9133040000000003E-3</v>
      </c>
      <c r="U3050">
        <v>-0.67037959999999996</v>
      </c>
      <c r="V3050">
        <v>-2.618024E-2</v>
      </c>
      <c r="W3050">
        <v>9.9048839999999999E-2</v>
      </c>
      <c r="X3050">
        <v>0.99473809999999996</v>
      </c>
      <c r="Y3050">
        <v>-0.22742370000000001</v>
      </c>
      <c r="Z3050">
        <v>-2.8077339999999998E-4</v>
      </c>
      <c r="AA3050">
        <v>0.97379579999999999</v>
      </c>
      <c r="AB3050">
        <v>42</v>
      </c>
      <c r="AC3050">
        <v>-75.853599999999901</v>
      </c>
      <c r="AD3050">
        <v>-0.17538629999999999</v>
      </c>
      <c r="AE3050">
        <v>-17.002299999999899</v>
      </c>
      <c r="AF3050">
        <v>-17.736246896801401</v>
      </c>
      <c r="AG3050">
        <v>-0.17538629999999999</v>
      </c>
      <c r="AH3050">
        <v>75.684944764642395</v>
      </c>
      <c r="AI3050">
        <v>90.129270366176399</v>
      </c>
      <c r="AJ3050">
        <v>103.188879800042</v>
      </c>
      <c r="AK3050">
        <v>77.735552216251094</v>
      </c>
      <c r="AL3050">
        <v>84.315598802859498</v>
      </c>
      <c r="AM3050">
        <v>91.507603921919198</v>
      </c>
      <c r="AN3050">
        <v>0.99999998263170597</v>
      </c>
    </row>
    <row r="3051" spans="1:40" x14ac:dyDescent="0.3">
      <c r="A3051" t="str">
        <f>"20200111150012708"</f>
        <v>20200111150012708</v>
      </c>
      <c r="B3051" t="str">
        <f>"1578726012698561"</f>
        <v>1578726012698561</v>
      </c>
      <c r="C3051" t="s">
        <v>40</v>
      </c>
      <c r="D3051">
        <v>4.0967820000000001</v>
      </c>
      <c r="E3051">
        <v>0.42145290000000002</v>
      </c>
      <c r="F3051" t="s">
        <v>65</v>
      </c>
      <c r="G3051">
        <v>-512.82539999999995</v>
      </c>
      <c r="H3051">
        <v>0.73903359999999996</v>
      </c>
      <c r="I3051">
        <v>266.25819999999999</v>
      </c>
      <c r="J3051">
        <v>-437.24869999999999</v>
      </c>
      <c r="K3051">
        <v>1.104314</v>
      </c>
      <c r="L3051">
        <v>283.39499999999998</v>
      </c>
      <c r="M3051">
        <v>-0.99987409999999999</v>
      </c>
      <c r="N3051">
        <v>0</v>
      </c>
      <c r="O3051">
        <v>9.6866260000000003E-3</v>
      </c>
      <c r="P3051">
        <v>-0.9961257</v>
      </c>
      <c r="Q3051">
        <v>8.6290820000000004E-2</v>
      </c>
      <c r="R3051">
        <v>-1.6962649999999999E-2</v>
      </c>
      <c r="S3051">
        <v>-3.0017399999999999</v>
      </c>
      <c r="T3051">
        <v>-1.4452100000000001E-2</v>
      </c>
      <c r="U3051">
        <v>-0.67803959999999996</v>
      </c>
      <c r="V3051">
        <v>-2.6607749999999999E-2</v>
      </c>
      <c r="W3051">
        <v>9.8815390000000003E-2</v>
      </c>
      <c r="X3051">
        <v>0.99475000000000002</v>
      </c>
      <c r="Y3051">
        <v>-0.22976750000000001</v>
      </c>
      <c r="Z3051">
        <v>-5.9230470000000001E-4</v>
      </c>
      <c r="AA3051">
        <v>0.97324540000000004</v>
      </c>
      <c r="AB3051">
        <v>42</v>
      </c>
      <c r="AC3051">
        <v>-75.576699999999903</v>
      </c>
      <c r="AD3051">
        <v>-0.36528040000000001</v>
      </c>
      <c r="AE3051">
        <v>-17.136799999999901</v>
      </c>
      <c r="AF3051">
        <v>-17.8677399428685</v>
      </c>
      <c r="AG3051">
        <v>-0.36528040000000001</v>
      </c>
      <c r="AH3051">
        <v>75.405467413285606</v>
      </c>
      <c r="AI3051">
        <v>90.2700726326444</v>
      </c>
      <c r="AJ3051">
        <v>103.33068284739301</v>
      </c>
      <c r="AK3051">
        <v>77.494348673001198</v>
      </c>
      <c r="AL3051">
        <v>84.329040589857698</v>
      </c>
      <c r="AM3051">
        <v>91.532192364967599</v>
      </c>
      <c r="AN3051">
        <v>1.0000000080804501</v>
      </c>
    </row>
    <row r="3052" spans="1:40" x14ac:dyDescent="0.3">
      <c r="A3052" t="str">
        <f>"20200111150012721"</f>
        <v>20200111150012721</v>
      </c>
      <c r="B3052" t="str">
        <f>"1578726012719056"</f>
        <v>1578726012719056</v>
      </c>
      <c r="C3052" t="s">
        <v>40</v>
      </c>
      <c r="D3052">
        <v>4.1376239999999997</v>
      </c>
      <c r="E3052">
        <v>0.41961369999999998</v>
      </c>
      <c r="F3052" t="s">
        <v>65</v>
      </c>
      <c r="G3052">
        <v>-512.82539999999995</v>
      </c>
      <c r="H3052">
        <v>0.68869399999999903</v>
      </c>
      <c r="I3052">
        <v>266.1062</v>
      </c>
      <c r="J3052">
        <v>-437.49529999999999</v>
      </c>
      <c r="K3052">
        <v>1.1043149999999999</v>
      </c>
      <c r="L3052">
        <v>283.3974</v>
      </c>
      <c r="M3052">
        <v>-0.99987389999999998</v>
      </c>
      <c r="N3052">
        <v>0</v>
      </c>
      <c r="O3052">
        <v>9.6868279999999998E-3</v>
      </c>
      <c r="P3052">
        <v>-0.99612389999999995</v>
      </c>
      <c r="Q3052">
        <v>8.6242639999999995E-2</v>
      </c>
      <c r="R3052">
        <v>-1.7309479999999999E-2</v>
      </c>
      <c r="S3052">
        <v>-3.0013730000000001</v>
      </c>
      <c r="T3052">
        <v>-1.6502380000000001E-2</v>
      </c>
      <c r="U3052">
        <v>-0.68658450000000004</v>
      </c>
      <c r="V3052">
        <v>-2.6955110000000001E-2</v>
      </c>
      <c r="W3052">
        <v>9.8763680000000006E-2</v>
      </c>
      <c r="X3052">
        <v>0.99474580000000001</v>
      </c>
      <c r="Y3052">
        <v>-0.2324262</v>
      </c>
      <c r="Z3052">
        <v>-6.8341910000000003E-4</v>
      </c>
      <c r="AA3052">
        <v>0.97261379999999997</v>
      </c>
      <c r="AB3052">
        <v>42</v>
      </c>
      <c r="AC3052">
        <v>-75.330099999999902</v>
      </c>
      <c r="AD3052">
        <v>-0.41562100000000002</v>
      </c>
      <c r="AE3052">
        <v>-17.2912</v>
      </c>
      <c r="AF3052">
        <v>-18.019635019438901</v>
      </c>
      <c r="AG3052">
        <v>-0.41562100000000002</v>
      </c>
      <c r="AH3052">
        <v>75.156881591574404</v>
      </c>
      <c r="AI3052">
        <v>90.308113034066594</v>
      </c>
      <c r="AJ3052">
        <v>103.48274570813599</v>
      </c>
      <c r="AK3052">
        <v>77.288012250408997</v>
      </c>
      <c r="AL3052">
        <v>84.332018012184193</v>
      </c>
      <c r="AM3052">
        <v>91.552191723965706</v>
      </c>
      <c r="AN3052">
        <v>1.0000000245299401</v>
      </c>
    </row>
    <row r="3053" spans="1:40" x14ac:dyDescent="0.3">
      <c r="A3053" t="str">
        <f>"20200111150012734"</f>
        <v>20200111150012734</v>
      </c>
      <c r="B3053" t="str">
        <f>"1578726012728816"</f>
        <v>1578726012728816</v>
      </c>
      <c r="C3053" t="s">
        <v>40</v>
      </c>
      <c r="D3053">
        <v>4.1510860000000003</v>
      </c>
      <c r="E3053">
        <v>0.41891109999999998</v>
      </c>
      <c r="F3053" t="s">
        <v>65</v>
      </c>
      <c r="G3053">
        <v>-512.82539999999995</v>
      </c>
      <c r="H3053">
        <v>0.70948339999999999</v>
      </c>
      <c r="I3053">
        <v>265.76280000000003</v>
      </c>
      <c r="J3053">
        <v>-437.76350000000002</v>
      </c>
      <c r="K3053">
        <v>1.104312</v>
      </c>
      <c r="L3053">
        <v>283.3999</v>
      </c>
      <c r="M3053">
        <v>-0.99987400000000004</v>
      </c>
      <c r="N3053">
        <v>0</v>
      </c>
      <c r="O3053">
        <v>9.6866710000000009E-3</v>
      </c>
      <c r="P3053">
        <v>-0.99610359999999998</v>
      </c>
      <c r="Q3053">
        <v>8.6415140000000001E-2</v>
      </c>
      <c r="R3053">
        <v>-1.760579E-2</v>
      </c>
      <c r="S3053">
        <v>-3.0008240000000002</v>
      </c>
      <c r="T3053">
        <v>-1.5725260000000001E-2</v>
      </c>
      <c r="U3053">
        <v>-0.70248409999999994</v>
      </c>
      <c r="V3053">
        <v>-2.7250630000000001E-2</v>
      </c>
      <c r="W3053">
        <v>9.8932129999999993E-2</v>
      </c>
      <c r="X3053">
        <v>0.99472099999999997</v>
      </c>
      <c r="Y3053">
        <v>-0.23735329999999999</v>
      </c>
      <c r="Z3053">
        <v>-6.6370539999999895E-4</v>
      </c>
      <c r="AA3053">
        <v>0.97142309999999998</v>
      </c>
      <c r="AB3053">
        <v>42</v>
      </c>
      <c r="AC3053">
        <v>-75.061899999999895</v>
      </c>
      <c r="AD3053">
        <v>-0.39482859999999997</v>
      </c>
      <c r="AE3053">
        <v>-17.637099999999901</v>
      </c>
      <c r="AF3053">
        <v>-18.362948340312499</v>
      </c>
      <c r="AG3053">
        <v>-0.39482859999999997</v>
      </c>
      <c r="AH3053">
        <v>74.885555945631296</v>
      </c>
      <c r="AI3053">
        <v>90.293393096383696</v>
      </c>
      <c r="AJ3053">
        <v>103.777839405516</v>
      </c>
      <c r="AK3053">
        <v>77.105124671831206</v>
      </c>
      <c r="AL3053">
        <v>84.322318986771705</v>
      </c>
      <c r="AM3053">
        <v>91.569239683565101</v>
      </c>
      <c r="AN3053">
        <v>1.00000001551136</v>
      </c>
    </row>
    <row r="3054" spans="1:40" x14ac:dyDescent="0.3">
      <c r="A3054" t="str">
        <f>"20200111150012749"</f>
        <v>20200111150012749</v>
      </c>
      <c r="B3054" t="str">
        <f>"1578726012738576"</f>
        <v>1578726012738576</v>
      </c>
      <c r="C3054" t="s">
        <v>40</v>
      </c>
      <c r="D3054">
        <v>4.0747739999999997</v>
      </c>
      <c r="E3054">
        <v>0.41830689999999998</v>
      </c>
      <c r="F3054" t="s">
        <v>65</v>
      </c>
      <c r="G3054">
        <v>-512.82539999999995</v>
      </c>
      <c r="H3054">
        <v>0.65555730000000001</v>
      </c>
      <c r="I3054">
        <v>265.66669999999999</v>
      </c>
      <c r="J3054">
        <v>-438.00700000000001</v>
      </c>
      <c r="K3054">
        <v>1.104314</v>
      </c>
      <c r="L3054">
        <v>283.40230000000003</v>
      </c>
      <c r="M3054">
        <v>-0.99987409999999999</v>
      </c>
      <c r="N3054">
        <v>0</v>
      </c>
      <c r="O3054">
        <v>9.6863320000000006E-3</v>
      </c>
      <c r="P3054">
        <v>-0.99611930000000004</v>
      </c>
      <c r="Q3054">
        <v>8.6154449999999994E-2</v>
      </c>
      <c r="R3054">
        <v>-1.7994619999999999E-2</v>
      </c>
      <c r="S3054">
        <v>-3.0007630000000001</v>
      </c>
      <c r="T3054">
        <v>-1.7936830000000001E-2</v>
      </c>
      <c r="U3054">
        <v>-0.70892330000000003</v>
      </c>
      <c r="V3054">
        <v>-2.763935E-2</v>
      </c>
      <c r="W3054">
        <v>9.8668290000000006E-2</v>
      </c>
      <c r="X3054">
        <v>0.99473650000000002</v>
      </c>
      <c r="Y3054">
        <v>-0.23933119999999999</v>
      </c>
      <c r="Z3054">
        <v>-7.6270690000000002E-4</v>
      </c>
      <c r="AA3054">
        <v>0.97093770000000001</v>
      </c>
      <c r="AB3054">
        <v>42</v>
      </c>
      <c r="AC3054">
        <v>-74.818399999999997</v>
      </c>
      <c r="AD3054">
        <v>-0.44875670000000001</v>
      </c>
      <c r="AE3054">
        <v>-17.735600000000002</v>
      </c>
      <c r="AF3054">
        <v>-18.458912198172801</v>
      </c>
      <c r="AG3054">
        <v>-0.44875670000000001</v>
      </c>
      <c r="AH3054">
        <v>74.640540604993703</v>
      </c>
      <c r="AI3054">
        <v>90.334397925171203</v>
      </c>
      <c r="AJ3054">
        <v>103.89077425969199</v>
      </c>
      <c r="AK3054">
        <v>76.890461852699005</v>
      </c>
      <c r="AL3054">
        <v>84.337510340845398</v>
      </c>
      <c r="AM3054">
        <v>91.591588077410606</v>
      </c>
      <c r="AN3054">
        <v>1.00000003477609</v>
      </c>
    </row>
    <row r="3055" spans="1:40" x14ac:dyDescent="0.3">
      <c r="A3055" t="str">
        <f>"20200111150012763"</f>
        <v>20200111150012763</v>
      </c>
      <c r="B3055" t="str">
        <f>"1578726012759072"</f>
        <v>1578726012759072</v>
      </c>
      <c r="C3055" t="s">
        <v>40</v>
      </c>
      <c r="D3055">
        <v>4.1977229999999999</v>
      </c>
      <c r="E3055">
        <v>0.41727500000000001</v>
      </c>
      <c r="F3055" t="s">
        <v>65</v>
      </c>
      <c r="G3055">
        <v>-512.82539999999995</v>
      </c>
      <c r="H3055">
        <v>0.59321800000000002</v>
      </c>
      <c r="I3055">
        <v>265.57369999999997</v>
      </c>
      <c r="J3055">
        <v>-438.28579999999999</v>
      </c>
      <c r="K3055">
        <v>1.104314</v>
      </c>
      <c r="L3055">
        <v>283.40499999999997</v>
      </c>
      <c r="M3055">
        <v>-0.99987420000000005</v>
      </c>
      <c r="N3055">
        <v>0</v>
      </c>
      <c r="O3055">
        <v>9.6862340000000002E-3</v>
      </c>
      <c r="P3055">
        <v>-0.99613019999999997</v>
      </c>
      <c r="Q3055">
        <v>8.5994500000000001E-2</v>
      </c>
      <c r="R3055">
        <v>-1.8167260000000001E-2</v>
      </c>
      <c r="S3055">
        <v>-3.0005190000000002</v>
      </c>
      <c r="T3055">
        <v>-2.0493870000000001E-2</v>
      </c>
      <c r="U3055">
        <v>-0.71499630000000003</v>
      </c>
      <c r="V3055">
        <v>-2.781198E-2</v>
      </c>
      <c r="W3055">
        <v>9.850507E-2</v>
      </c>
      <c r="X3055">
        <v>0.99474779999999996</v>
      </c>
      <c r="Y3055">
        <v>-0.24120739999999999</v>
      </c>
      <c r="Z3055">
        <v>-8.7762140000000001E-4</v>
      </c>
      <c r="AA3055">
        <v>0.97047320000000004</v>
      </c>
      <c r="AB3055">
        <v>42</v>
      </c>
      <c r="AC3055">
        <v>-74.539599999999893</v>
      </c>
      <c r="AD3055">
        <v>-0.51109599999999999</v>
      </c>
      <c r="AE3055">
        <v>-17.831299999999999</v>
      </c>
      <c r="AF3055">
        <v>-18.551703334597502</v>
      </c>
      <c r="AG3055">
        <v>-0.51109599999999999</v>
      </c>
      <c r="AH3055">
        <v>74.360064065595594</v>
      </c>
      <c r="AI3055">
        <v>90.382091216126398</v>
      </c>
      <c r="AJ3055">
        <v>104.008455991311</v>
      </c>
      <c r="AK3055">
        <v>76.641020632397797</v>
      </c>
      <c r="AL3055">
        <v>84.346907572833999</v>
      </c>
      <c r="AM3055">
        <v>91.601505482453106</v>
      </c>
      <c r="AN3055">
        <v>0.99999997032603205</v>
      </c>
    </row>
    <row r="3056" spans="1:40" x14ac:dyDescent="0.3">
      <c r="A3056" t="str">
        <f>"20200111150012775"</f>
        <v>20200111150012775</v>
      </c>
      <c r="B3056" t="str">
        <f>"1578726012768833"</f>
        <v>1578726012768833</v>
      </c>
      <c r="C3056" t="s">
        <v>40</v>
      </c>
      <c r="D3056">
        <v>4.179538</v>
      </c>
      <c r="E3056">
        <v>0.41684690000000002</v>
      </c>
      <c r="F3056" t="s">
        <v>65</v>
      </c>
      <c r="G3056">
        <v>-512.82529999999997</v>
      </c>
      <c r="H3056">
        <v>0.48804399999999998</v>
      </c>
      <c r="I3056">
        <v>265.42239999999998</v>
      </c>
      <c r="J3056">
        <v>-438.5308</v>
      </c>
      <c r="K3056">
        <v>1.1043130000000001</v>
      </c>
      <c r="L3056">
        <v>283.40730000000002</v>
      </c>
      <c r="M3056">
        <v>-0.99987420000000005</v>
      </c>
      <c r="N3056">
        <v>0</v>
      </c>
      <c r="O3056">
        <v>9.6860720000000004E-3</v>
      </c>
      <c r="P3056">
        <v>-0.99613169999999995</v>
      </c>
      <c r="Q3056">
        <v>8.5932960000000003E-2</v>
      </c>
      <c r="R3056">
        <v>-1.8365429999999999E-2</v>
      </c>
      <c r="S3056">
        <v>-3.0005489999999999</v>
      </c>
      <c r="T3056">
        <v>-2.4804469999999999E-2</v>
      </c>
      <c r="U3056">
        <v>-0.72387699999999999</v>
      </c>
      <c r="V3056">
        <v>-2.8010429999999999E-2</v>
      </c>
      <c r="W3056">
        <v>9.8440520000000004E-2</v>
      </c>
      <c r="X3056">
        <v>0.99474870000000004</v>
      </c>
      <c r="Y3056">
        <v>-0.24391750000000001</v>
      </c>
      <c r="Z3056">
        <v>-1.072882E-3</v>
      </c>
      <c r="AA3056">
        <v>0.96979539999999997</v>
      </c>
      <c r="AB3056">
        <v>42</v>
      </c>
      <c r="AC3056">
        <v>-74.2944999999999</v>
      </c>
      <c r="AD3056">
        <v>-0.61626899999999996</v>
      </c>
      <c r="AE3056">
        <v>-17.9849</v>
      </c>
      <c r="AF3056">
        <v>-18.702519210939499</v>
      </c>
      <c r="AG3056">
        <v>-0.61626899999999996</v>
      </c>
      <c r="AH3056">
        <v>74.111980357515307</v>
      </c>
      <c r="AI3056">
        <v>90.461943670397304</v>
      </c>
      <c r="AJ3056">
        <v>104.163160367846</v>
      </c>
      <c r="AK3056">
        <v>76.437880954593794</v>
      </c>
      <c r="AL3056">
        <v>84.350624519824805</v>
      </c>
      <c r="AM3056">
        <v>91.612925414112993</v>
      </c>
      <c r="AN3056">
        <v>1.00000004815917</v>
      </c>
    </row>
    <row r="3057" spans="1:40" x14ac:dyDescent="0.3">
      <c r="A3057" t="str">
        <f>"20200111150012789"</f>
        <v>20200111150012789</v>
      </c>
      <c r="B3057" t="str">
        <f>"1578726012779569"</f>
        <v>1578726012779569</v>
      </c>
      <c r="C3057" t="s">
        <v>40</v>
      </c>
      <c r="D3057">
        <v>4.1845359999999996</v>
      </c>
      <c r="E3057">
        <v>0.41641099999999998</v>
      </c>
      <c r="F3057" t="s">
        <v>65</v>
      </c>
      <c r="G3057">
        <v>-512.82529999999997</v>
      </c>
      <c r="H3057">
        <v>0.4579529</v>
      </c>
      <c r="I3057">
        <v>265.38299999999998</v>
      </c>
      <c r="J3057">
        <v>-438.77109999999999</v>
      </c>
      <c r="K3057">
        <v>1.104311</v>
      </c>
      <c r="L3057">
        <v>283.40969999999999</v>
      </c>
      <c r="M3057">
        <v>-0.99987440000000005</v>
      </c>
      <c r="N3057">
        <v>0</v>
      </c>
      <c r="O3057">
        <v>9.6857309999999995E-3</v>
      </c>
      <c r="P3057">
        <v>-0.99616369999999999</v>
      </c>
      <c r="Q3057">
        <v>8.5588750000000005E-2</v>
      </c>
      <c r="R3057">
        <v>-1.8244860000000002E-2</v>
      </c>
      <c r="S3057">
        <v>-3.0004879999999998</v>
      </c>
      <c r="T3057">
        <v>-2.6100990000000001E-2</v>
      </c>
      <c r="U3057">
        <v>-0.72793580000000002</v>
      </c>
      <c r="V3057">
        <v>-2.7889480000000001E-2</v>
      </c>
      <c r="W3057">
        <v>9.8094580000000001E-2</v>
      </c>
      <c r="X3057">
        <v>0.99478619999999995</v>
      </c>
      <c r="Y3057">
        <v>-0.24515989999999999</v>
      </c>
      <c r="Z3057">
        <v>-1.1341280000000001E-3</v>
      </c>
      <c r="AA3057">
        <v>0.96948199999999995</v>
      </c>
      <c r="AB3057">
        <v>42</v>
      </c>
      <c r="AC3057">
        <v>-74.054199999999895</v>
      </c>
      <c r="AD3057">
        <v>-0.64635810000000005</v>
      </c>
      <c r="AE3057">
        <v>-18.026700000000002</v>
      </c>
      <c r="AF3057">
        <v>-18.741831878880198</v>
      </c>
      <c r="AG3057">
        <v>-0.64635810000000005</v>
      </c>
      <c r="AH3057">
        <v>73.870797483832902</v>
      </c>
      <c r="AI3057">
        <v>90.485921893407607</v>
      </c>
      <c r="AJ3057">
        <v>104.23618390404999</v>
      </c>
      <c r="AK3057">
        <v>76.213966973692607</v>
      </c>
      <c r="AL3057">
        <v>84.370541416540902</v>
      </c>
      <c r="AM3057">
        <v>91.605903894272103</v>
      </c>
      <c r="AN3057">
        <v>0.99999997671524299</v>
      </c>
    </row>
    <row r="3058" spans="1:40" x14ac:dyDescent="0.3">
      <c r="A3058" t="str">
        <f>"20200111150012803"</f>
        <v>20200111150012803</v>
      </c>
      <c r="B3058" t="str">
        <f>"1578726012799089"</f>
        <v>1578726012799089</v>
      </c>
      <c r="C3058" t="s">
        <v>40</v>
      </c>
      <c r="D3058">
        <v>4.2104549999999996</v>
      </c>
      <c r="E3058">
        <v>0.41558469999999997</v>
      </c>
      <c r="F3058" t="s">
        <v>65</v>
      </c>
      <c r="G3058">
        <v>-512.82529999999997</v>
      </c>
      <c r="H3058">
        <v>0.37441679999999999</v>
      </c>
      <c r="I3058">
        <v>265.36590000000001</v>
      </c>
      <c r="J3058">
        <v>-439.04239999999999</v>
      </c>
      <c r="K3058">
        <v>1.1043080000000001</v>
      </c>
      <c r="L3058">
        <v>283.41230000000002</v>
      </c>
      <c r="M3058">
        <v>-0.99987440000000005</v>
      </c>
      <c r="N3058">
        <v>0</v>
      </c>
      <c r="O3058">
        <v>9.6855689999999998E-3</v>
      </c>
      <c r="P3058">
        <v>-0.99618090000000004</v>
      </c>
      <c r="Q3058">
        <v>8.5396479999999997E-2</v>
      </c>
      <c r="R3058">
        <v>-1.8214419999999999E-2</v>
      </c>
      <c r="S3058">
        <v>-3.000702</v>
      </c>
      <c r="T3058">
        <v>-2.9572370000000001E-2</v>
      </c>
      <c r="U3058">
        <v>-0.73114009999999996</v>
      </c>
      <c r="V3058">
        <v>-2.7859189999999999E-2</v>
      </c>
      <c r="W3058">
        <v>9.7899559999999997E-2</v>
      </c>
      <c r="X3058">
        <v>0.99480630000000003</v>
      </c>
      <c r="Y3058">
        <v>-0.2461187</v>
      </c>
      <c r="Z3058">
        <v>-1.2893640000000001E-3</v>
      </c>
      <c r="AA3058">
        <v>0.96923879999999996</v>
      </c>
      <c r="AB3058">
        <v>42</v>
      </c>
      <c r="AC3058">
        <v>-73.782899999999898</v>
      </c>
      <c r="AD3058">
        <v>-0.72989119999999996</v>
      </c>
      <c r="AE3058">
        <v>-18.046399999999998</v>
      </c>
      <c r="AF3058">
        <v>-18.7585068991215</v>
      </c>
      <c r="AG3058">
        <v>-0.72989119999999996</v>
      </c>
      <c r="AH3058">
        <v>73.597839435091004</v>
      </c>
      <c r="AI3058">
        <v>90.550598540713096</v>
      </c>
      <c r="AJ3058">
        <v>104.29901523503599</v>
      </c>
      <c r="AK3058">
        <v>75.954303971280396</v>
      </c>
      <c r="AL3058">
        <v>84.381769506570194</v>
      </c>
      <c r="AM3058">
        <v>91.604128282836896</v>
      </c>
      <c r="AN3058">
        <v>1.0000000164176599</v>
      </c>
    </row>
    <row r="3059" spans="1:40" x14ac:dyDescent="0.3">
      <c r="A3059" t="str">
        <f>"20200111150012815"</f>
        <v>20200111150012815</v>
      </c>
      <c r="B3059" t="str">
        <f>"1578726012808848"</f>
        <v>1578726012808848</v>
      </c>
      <c r="C3059" t="s">
        <v>40</v>
      </c>
      <c r="D3059">
        <v>4.1390570000000002</v>
      </c>
      <c r="E3059">
        <v>0.41528540000000003</v>
      </c>
      <c r="F3059" t="s">
        <v>65</v>
      </c>
      <c r="G3059">
        <v>-512.82529999999997</v>
      </c>
      <c r="H3059">
        <v>0.29690559999999899</v>
      </c>
      <c r="I3059">
        <v>265.27550000000002</v>
      </c>
      <c r="J3059">
        <v>-439.27659999999997</v>
      </c>
      <c r="K3059">
        <v>1.104306</v>
      </c>
      <c r="L3059">
        <v>283.41460000000001</v>
      </c>
      <c r="M3059">
        <v>-0.99987429999999999</v>
      </c>
      <c r="N3059">
        <v>0</v>
      </c>
      <c r="O3059">
        <v>9.6854639999999995E-3</v>
      </c>
      <c r="P3059">
        <v>-0.99621119999999996</v>
      </c>
      <c r="Q3059">
        <v>8.5088179999999999E-2</v>
      </c>
      <c r="R3059">
        <v>-1.798522E-2</v>
      </c>
      <c r="S3059">
        <v>-3.0008240000000002</v>
      </c>
      <c r="T3059">
        <v>-3.283465E-2</v>
      </c>
      <c r="U3059">
        <v>-0.73764039999999997</v>
      </c>
      <c r="V3059">
        <v>-2.762997E-2</v>
      </c>
      <c r="W3059">
        <v>9.7589200000000001E-2</v>
      </c>
      <c r="X3059">
        <v>0.99484320000000004</v>
      </c>
      <c r="Y3059">
        <v>-0.2480871</v>
      </c>
      <c r="Z3059">
        <v>-1.4417830000000001E-3</v>
      </c>
      <c r="AA3059">
        <v>0.96873659999999995</v>
      </c>
      <c r="AB3059">
        <v>42</v>
      </c>
      <c r="AC3059">
        <v>-73.548699999999997</v>
      </c>
      <c r="AD3059">
        <v>-0.80740040000000002</v>
      </c>
      <c r="AE3059">
        <v>-18.1390999999999</v>
      </c>
      <c r="AF3059">
        <v>-18.8485172447499</v>
      </c>
      <c r="AG3059">
        <v>-0.80740040000000002</v>
      </c>
      <c r="AH3059">
        <v>73.361216248763398</v>
      </c>
      <c r="AI3059">
        <v>90.610727706365097</v>
      </c>
      <c r="AJ3059">
        <v>104.409201216553</v>
      </c>
      <c r="AK3059">
        <v>75.748178507667006</v>
      </c>
      <c r="AL3059">
        <v>84.3996374595595</v>
      </c>
      <c r="AM3059">
        <v>91.590877658769102</v>
      </c>
      <c r="AN3059">
        <v>1.00000002989254</v>
      </c>
    </row>
    <row r="3060" spans="1:40" x14ac:dyDescent="0.3">
      <c r="A3060" t="str">
        <f>"20200111150012837"</f>
        <v>20200111150012837</v>
      </c>
      <c r="B3060" t="str">
        <f>"1578726012829018"</f>
        <v>1578726012829018</v>
      </c>
      <c r="C3060" t="s">
        <v>40</v>
      </c>
      <c r="D3060">
        <v>4.1762259999999998</v>
      </c>
      <c r="E3060">
        <v>0.4147131</v>
      </c>
      <c r="F3060" t="s">
        <v>65</v>
      </c>
      <c r="G3060">
        <v>-512.82529999999997</v>
      </c>
      <c r="H3060">
        <v>0.25239309999999998</v>
      </c>
      <c r="I3060">
        <v>265.29899999999998</v>
      </c>
      <c r="J3060">
        <v>-439.68689999999998</v>
      </c>
      <c r="K3060">
        <v>1.104303</v>
      </c>
      <c r="L3060">
        <v>283.41849999999999</v>
      </c>
      <c r="M3060">
        <v>-0.99987440000000005</v>
      </c>
      <c r="N3060">
        <v>0</v>
      </c>
      <c r="O3060">
        <v>9.6849469999999993E-3</v>
      </c>
      <c r="P3060">
        <v>-0.99622010000000005</v>
      </c>
      <c r="Q3060">
        <v>8.4984699999999996E-2</v>
      </c>
      <c r="R3060">
        <v>-1.7989829999999998E-2</v>
      </c>
      <c r="S3060">
        <v>-3.001007</v>
      </c>
      <c r="T3060">
        <v>-3.4757379999999997E-2</v>
      </c>
      <c r="U3060">
        <v>-0.73916630000000005</v>
      </c>
      <c r="V3060">
        <v>-2.7634530000000001E-2</v>
      </c>
      <c r="W3060">
        <v>9.7482899999999997E-2</v>
      </c>
      <c r="X3060">
        <v>0.9948534</v>
      </c>
      <c r="Y3060">
        <v>-0.24853549999999999</v>
      </c>
      <c r="Z3060">
        <v>-1.528576E-3</v>
      </c>
      <c r="AA3060">
        <v>0.96862159999999997</v>
      </c>
      <c r="AB3060">
        <v>42</v>
      </c>
      <c r="AC3060">
        <v>-73.138399999999905</v>
      </c>
      <c r="AD3060">
        <v>-0.8519099</v>
      </c>
      <c r="AE3060">
        <v>-18.119499999999899</v>
      </c>
      <c r="AF3060">
        <v>-18.8246410121309</v>
      </c>
      <c r="AG3060">
        <v>-0.8519099</v>
      </c>
      <c r="AH3060">
        <v>72.950143953839202</v>
      </c>
      <c r="AI3060">
        <v>90.647848009775004</v>
      </c>
      <c r="AJ3060">
        <v>104.469408546349</v>
      </c>
      <c r="AK3060">
        <v>75.344650524102704</v>
      </c>
      <c r="AL3060">
        <v>84.4057566485601</v>
      </c>
      <c r="AM3060">
        <v>91.591123774164402</v>
      </c>
      <c r="AN3060">
        <v>0.99999993526614295</v>
      </c>
    </row>
    <row r="3061" spans="1:40" x14ac:dyDescent="0.3">
      <c r="A3061" t="str">
        <f>"20200111150012853"</f>
        <v>20200111150012853</v>
      </c>
      <c r="B3061" t="str">
        <f>"1578726012848527"</f>
        <v>1578726012848527</v>
      </c>
      <c r="C3061" t="s">
        <v>40</v>
      </c>
      <c r="D3061">
        <v>4.2316260000000003</v>
      </c>
      <c r="E3061">
        <v>0.41413499999999998</v>
      </c>
      <c r="F3061" t="s">
        <v>65</v>
      </c>
      <c r="G3061">
        <v>-512.82529999999997</v>
      </c>
      <c r="H3061">
        <v>0.24515519999999999</v>
      </c>
      <c r="I3061">
        <v>265.2921</v>
      </c>
      <c r="J3061">
        <v>-439.96769999999998</v>
      </c>
      <c r="K3061">
        <v>1.1042959999999999</v>
      </c>
      <c r="L3061">
        <v>283.42129999999997</v>
      </c>
      <c r="M3061">
        <v>-0.99987440000000005</v>
      </c>
      <c r="N3061">
        <v>0</v>
      </c>
      <c r="O3061">
        <v>9.6847800000000005E-3</v>
      </c>
      <c r="P3061">
        <v>-0.9962453</v>
      </c>
      <c r="Q3061">
        <v>8.4637939999999995E-2</v>
      </c>
      <c r="R3061">
        <v>-1.8224980000000002E-2</v>
      </c>
      <c r="S3061">
        <v>-3.0009459999999999</v>
      </c>
      <c r="T3061">
        <v>-3.5248519999999998E-2</v>
      </c>
      <c r="U3061">
        <v>-0.74374390000000001</v>
      </c>
      <c r="V3061">
        <v>-2.7869830000000002E-2</v>
      </c>
      <c r="W3061">
        <v>9.7134579999999998E-2</v>
      </c>
      <c r="X3061">
        <v>0.99488100000000002</v>
      </c>
      <c r="Y3061">
        <v>-0.24993170000000001</v>
      </c>
      <c r="Z3061">
        <v>-1.558001E-3</v>
      </c>
      <c r="AA3061">
        <v>0.96826219999999996</v>
      </c>
      <c r="AB3061">
        <v>42</v>
      </c>
      <c r="AC3061">
        <v>-72.857599999999906</v>
      </c>
      <c r="AD3061">
        <v>-0.85914079999999904</v>
      </c>
      <c r="AE3061">
        <v>-18.129199999999901</v>
      </c>
      <c r="AF3061">
        <v>-18.831549099003801</v>
      </c>
      <c r="AG3061">
        <v>-0.85914079999999904</v>
      </c>
      <c r="AH3061">
        <v>72.669075768259106</v>
      </c>
      <c r="AI3061">
        <v>90.655699423431798</v>
      </c>
      <c r="AJ3061">
        <v>104.52811485842599</v>
      </c>
      <c r="AK3061">
        <v>75.074362717211301</v>
      </c>
      <c r="AL3061">
        <v>84.425809604598001</v>
      </c>
      <c r="AM3061">
        <v>91.604620184351603</v>
      </c>
      <c r="AN3061">
        <v>1.0000000291085001</v>
      </c>
    </row>
    <row r="3062" spans="1:40" x14ac:dyDescent="0.3">
      <c r="A3062" t="str">
        <f>"20200111150012866"</f>
        <v>20200111150012866</v>
      </c>
      <c r="B3062" t="str">
        <f>"1578726012859262"</f>
        <v>1578726012859262</v>
      </c>
      <c r="C3062" t="s">
        <v>40</v>
      </c>
      <c r="D3062">
        <v>4.1687539999999998</v>
      </c>
      <c r="E3062">
        <v>0.41383829999999999</v>
      </c>
      <c r="F3062" t="s">
        <v>65</v>
      </c>
      <c r="G3062">
        <v>-512.8252</v>
      </c>
      <c r="H3062">
        <v>0.1771076</v>
      </c>
      <c r="I3062">
        <v>265.23630000000003</v>
      </c>
      <c r="J3062">
        <v>-440.21609999999998</v>
      </c>
      <c r="K3062">
        <v>1.1042959999999999</v>
      </c>
      <c r="L3062">
        <v>283.4237</v>
      </c>
      <c r="M3062">
        <v>-0.99987440000000005</v>
      </c>
      <c r="N3062">
        <v>0</v>
      </c>
      <c r="O3062">
        <v>9.6846689999999999E-3</v>
      </c>
      <c r="P3062">
        <v>-0.99625209999999997</v>
      </c>
      <c r="Q3062">
        <v>8.4591609999999998E-2</v>
      </c>
      <c r="R3062">
        <v>-1.8068890000000001E-2</v>
      </c>
      <c r="S3062">
        <v>-3.0008240000000002</v>
      </c>
      <c r="T3062">
        <v>-3.8185360000000002E-2</v>
      </c>
      <c r="U3062">
        <v>-0.74899289999999996</v>
      </c>
      <c r="V3062">
        <v>-2.7713399999999999E-2</v>
      </c>
      <c r="W3062">
        <v>9.7087099999999996E-2</v>
      </c>
      <c r="X3062">
        <v>0.99489000000000005</v>
      </c>
      <c r="Y3062">
        <v>-0.25153239999999999</v>
      </c>
      <c r="Z3062">
        <v>-1.6975460000000001E-3</v>
      </c>
      <c r="AA3062">
        <v>0.96784740000000002</v>
      </c>
      <c r="AB3062">
        <v>42</v>
      </c>
      <c r="AC3062">
        <v>-72.609099999999998</v>
      </c>
      <c r="AD3062">
        <v>-0.92718840000000002</v>
      </c>
      <c r="AE3062">
        <v>-18.187399999999901</v>
      </c>
      <c r="AF3062">
        <v>-18.886899445154999</v>
      </c>
      <c r="AG3062">
        <v>-0.92718840000000002</v>
      </c>
      <c r="AH3062">
        <v>72.4184299049289</v>
      </c>
      <c r="AI3062">
        <v>90.709790262497805</v>
      </c>
      <c r="AJ3062">
        <v>104.617270195781</v>
      </c>
      <c r="AK3062">
        <v>74.846533913572799</v>
      </c>
      <c r="AL3062">
        <v>84.428542902970804</v>
      </c>
      <c r="AM3062">
        <v>91.595603886726195</v>
      </c>
      <c r="AN3062">
        <v>1.0000000248129799</v>
      </c>
    </row>
    <row r="3063" spans="1:40" x14ac:dyDescent="0.3">
      <c r="A3063" t="str">
        <f>"20200111150012878"</f>
        <v>20200111150012878</v>
      </c>
      <c r="B3063" t="str">
        <f>"1578726012869022"</f>
        <v>1578726012869022</v>
      </c>
      <c r="C3063" t="s">
        <v>40</v>
      </c>
      <c r="D3063">
        <v>4.148657</v>
      </c>
      <c r="E3063">
        <v>0.41361490000000001</v>
      </c>
      <c r="F3063" t="s">
        <v>65</v>
      </c>
      <c r="G3063">
        <v>-512.8252</v>
      </c>
      <c r="H3063">
        <v>0.18424280000000001</v>
      </c>
      <c r="I3063">
        <v>265.25549999999998</v>
      </c>
      <c r="J3063">
        <v>-440.45499999999998</v>
      </c>
      <c r="K3063">
        <v>1.1042959999999999</v>
      </c>
      <c r="L3063">
        <v>283.42599999999999</v>
      </c>
      <c r="M3063">
        <v>-0.99987440000000005</v>
      </c>
      <c r="N3063">
        <v>0</v>
      </c>
      <c r="O3063">
        <v>9.6844970000000002E-3</v>
      </c>
      <c r="P3063">
        <v>-0.99626190000000003</v>
      </c>
      <c r="Q3063">
        <v>8.4543060000000003E-2</v>
      </c>
      <c r="R3063">
        <v>-1.7747590000000001E-2</v>
      </c>
      <c r="S3063">
        <v>-3.0009160000000001</v>
      </c>
      <c r="T3063">
        <v>-3.8022279999999999E-2</v>
      </c>
      <c r="U3063">
        <v>-0.75088500000000002</v>
      </c>
      <c r="V3063">
        <v>-2.7391889999999999E-2</v>
      </c>
      <c r="W3063">
        <v>9.703726E-2</v>
      </c>
      <c r="X3063">
        <v>0.99490369999999995</v>
      </c>
      <c r="Y3063">
        <v>-0.25209959999999998</v>
      </c>
      <c r="Z3063">
        <v>-1.693656E-3</v>
      </c>
      <c r="AA3063">
        <v>0.9676998</v>
      </c>
      <c r="AB3063">
        <v>42</v>
      </c>
      <c r="AC3063">
        <v>-72.370199999999997</v>
      </c>
      <c r="AD3063">
        <v>-0.92005320000000002</v>
      </c>
      <c r="AE3063">
        <v>-18.170500000000001</v>
      </c>
      <c r="AF3063">
        <v>-18.867703253929101</v>
      </c>
      <c r="AG3063">
        <v>-0.92005320000000002</v>
      </c>
      <c r="AH3063">
        <v>72.179845403377499</v>
      </c>
      <c r="AI3063">
        <v>90.706553521665398</v>
      </c>
      <c r="AJ3063">
        <v>104.649245018984</v>
      </c>
      <c r="AK3063">
        <v>74.610768702812805</v>
      </c>
      <c r="AL3063">
        <v>84.431411703478702</v>
      </c>
      <c r="AM3063">
        <v>91.577080589263701</v>
      </c>
      <c r="AN3063">
        <v>0.99999995886988302</v>
      </c>
    </row>
    <row r="3064" spans="1:40" x14ac:dyDescent="0.3">
      <c r="A3064" t="str">
        <f>"20200111150012891"</f>
        <v>20200111150012891</v>
      </c>
      <c r="B3064" t="str">
        <f>"1578726012888543"</f>
        <v>1578726012888543</v>
      </c>
      <c r="C3064" t="s">
        <v>40</v>
      </c>
      <c r="D3064">
        <v>4.1335059999999997</v>
      </c>
      <c r="E3064">
        <v>0.41314699999999999</v>
      </c>
      <c r="F3064" t="s">
        <v>65</v>
      </c>
      <c r="G3064">
        <v>-512.8252</v>
      </c>
      <c r="H3064">
        <v>0.1923108</v>
      </c>
      <c r="I3064">
        <v>265.28699999999998</v>
      </c>
      <c r="J3064">
        <v>-440.68549999999999</v>
      </c>
      <c r="K3064">
        <v>1.104301</v>
      </c>
      <c r="L3064">
        <v>283.4282</v>
      </c>
      <c r="M3064">
        <v>-0.9998745</v>
      </c>
      <c r="N3064">
        <v>0</v>
      </c>
      <c r="O3064">
        <v>9.684326E-3</v>
      </c>
      <c r="P3064">
        <v>-0.99627299999999996</v>
      </c>
      <c r="Q3064">
        <v>8.4525230000000007E-2</v>
      </c>
      <c r="R3064">
        <v>-1.719182E-2</v>
      </c>
      <c r="S3064">
        <v>-3.001099</v>
      </c>
      <c r="T3064">
        <v>-3.781557E-2</v>
      </c>
      <c r="U3064">
        <v>-0.75219729999999996</v>
      </c>
      <c r="V3064">
        <v>-2.683688E-2</v>
      </c>
      <c r="W3064">
        <v>9.7018279999999998E-2</v>
      </c>
      <c r="X3064">
        <v>0.99492069999999999</v>
      </c>
      <c r="Y3064">
        <v>-0.25248389999999998</v>
      </c>
      <c r="Z3064">
        <v>-1.6866439999999999E-3</v>
      </c>
      <c r="AA3064">
        <v>0.9675996</v>
      </c>
      <c r="AB3064">
        <v>42</v>
      </c>
      <c r="AC3064">
        <v>-72.139700000000005</v>
      </c>
      <c r="AD3064">
        <v>-0.91199019999999997</v>
      </c>
      <c r="AE3064">
        <v>-18.141199999999898</v>
      </c>
      <c r="AF3064">
        <v>-18.836197085928202</v>
      </c>
      <c r="AG3064">
        <v>-0.91199019999999997</v>
      </c>
      <c r="AH3064">
        <v>71.949802331949499</v>
      </c>
      <c r="AI3064">
        <v>90.702532761960995</v>
      </c>
      <c r="AJ3064">
        <v>104.67058124582201</v>
      </c>
      <c r="AK3064">
        <v>74.3801593329258</v>
      </c>
      <c r="AL3064">
        <v>84.4325044621811</v>
      </c>
      <c r="AM3064">
        <v>91.545115302012405</v>
      </c>
      <c r="AN3064">
        <v>0.99999998203539098</v>
      </c>
    </row>
    <row r="3065" spans="1:40" x14ac:dyDescent="0.3">
      <c r="A3065" t="str">
        <f>"20200111150012905"</f>
        <v>20200111150012905</v>
      </c>
      <c r="B3065" t="str">
        <f>"1578726012899279"</f>
        <v>1578726012899279</v>
      </c>
      <c r="C3065" t="s">
        <v>40</v>
      </c>
      <c r="D3065">
        <v>4.1418419999999996</v>
      </c>
      <c r="E3065">
        <v>0.41314699999999999</v>
      </c>
      <c r="F3065" t="s">
        <v>65</v>
      </c>
      <c r="G3065">
        <v>-512.8252</v>
      </c>
      <c r="H3065">
        <v>0.1932971</v>
      </c>
      <c r="I3065">
        <v>265.2878</v>
      </c>
      <c r="J3065">
        <v>-440.9393</v>
      </c>
      <c r="K3065">
        <v>1.104303</v>
      </c>
      <c r="L3065">
        <v>283.4307</v>
      </c>
      <c r="M3065">
        <v>-0.9998745</v>
      </c>
      <c r="N3065">
        <v>0</v>
      </c>
      <c r="O3065">
        <v>9.6841549999999998E-3</v>
      </c>
      <c r="P3065">
        <v>-0.99628799999999995</v>
      </c>
      <c r="Q3065">
        <v>8.4467319999999999E-2</v>
      </c>
      <c r="R3065">
        <v>-1.6617030000000001E-2</v>
      </c>
      <c r="S3065">
        <v>-3.0013730000000001</v>
      </c>
      <c r="T3065">
        <v>-3.7899019999999999E-2</v>
      </c>
      <c r="U3065">
        <v>-0.75473020000000002</v>
      </c>
      <c r="V3065">
        <v>-2.626156E-2</v>
      </c>
      <c r="W3065">
        <v>9.6959429999999999E-2</v>
      </c>
      <c r="X3065">
        <v>0.99494179999999999</v>
      </c>
      <c r="Y3065">
        <v>-0.25323089999999998</v>
      </c>
      <c r="Z3065">
        <v>-1.6946859999999999E-3</v>
      </c>
      <c r="AA3065">
        <v>0.96740440000000005</v>
      </c>
      <c r="AB3065">
        <v>42</v>
      </c>
      <c r="AC3065">
        <v>-71.885899999999907</v>
      </c>
      <c r="AD3065">
        <v>-0.91100590000000004</v>
      </c>
      <c r="AE3065">
        <v>-18.142900000000001</v>
      </c>
      <c r="AF3065">
        <v>-18.8354141390558</v>
      </c>
      <c r="AG3065">
        <v>-0.91100590000000004</v>
      </c>
      <c r="AH3065">
        <v>71.6959910021409</v>
      </c>
      <c r="AI3065">
        <v>90.704100472004498</v>
      </c>
      <c r="AJ3065">
        <v>104.719679656561</v>
      </c>
      <c r="AK3065">
        <v>74.134458137351004</v>
      </c>
      <c r="AL3065">
        <v>84.435892352059199</v>
      </c>
      <c r="AM3065">
        <v>91.511975134099501</v>
      </c>
      <c r="AN3065">
        <v>0.99999999299339903</v>
      </c>
    </row>
    <row r="3066" spans="1:40" x14ac:dyDescent="0.3">
      <c r="A3066" t="str">
        <f>"20200111150012915"</f>
        <v>20200111150012915</v>
      </c>
      <c r="B3066" t="str">
        <f>"1578726012909038"</f>
        <v>1578726012909038</v>
      </c>
      <c r="C3066" t="s">
        <v>40</v>
      </c>
      <c r="D3066">
        <v>4.252777</v>
      </c>
      <c r="E3066">
        <v>0.44289790000000001</v>
      </c>
      <c r="F3066" t="s">
        <v>65</v>
      </c>
      <c r="G3066">
        <v>-512.8252</v>
      </c>
      <c r="H3066">
        <v>0.1939785</v>
      </c>
      <c r="I3066">
        <v>265.39830000000001</v>
      </c>
      <c r="J3066">
        <v>-441.15559999999999</v>
      </c>
      <c r="K3066">
        <v>1.104303</v>
      </c>
      <c r="L3066">
        <v>283.43279999999999</v>
      </c>
      <c r="M3066">
        <v>-0.9998745</v>
      </c>
      <c r="N3066">
        <v>0</v>
      </c>
      <c r="O3066">
        <v>9.6839820000000007E-3</v>
      </c>
      <c r="P3066">
        <v>-0.99629710000000005</v>
      </c>
      <c r="Q3066">
        <v>8.4466979999999997E-2</v>
      </c>
      <c r="R3066">
        <v>-1.6050120000000001E-2</v>
      </c>
      <c r="S3066">
        <v>-3.0018009999999999</v>
      </c>
      <c r="T3066">
        <v>-3.8009880000000003E-2</v>
      </c>
      <c r="U3066">
        <v>-0.75299069999999901</v>
      </c>
      <c r="V3066">
        <v>-2.5695099999999998E-2</v>
      </c>
      <c r="W3066">
        <v>9.6958489999999994E-2</v>
      </c>
      <c r="X3066">
        <v>0.99495670000000003</v>
      </c>
      <c r="Y3066">
        <v>-0.25267070000000003</v>
      </c>
      <c r="Z3066">
        <v>-1.6960320000000001E-3</v>
      </c>
      <c r="AA3066">
        <v>0.96755089999999999</v>
      </c>
      <c r="AB3066">
        <v>42</v>
      </c>
      <c r="AC3066">
        <v>-71.669600000000003</v>
      </c>
      <c r="AD3066">
        <v>-0.91032449999999998</v>
      </c>
      <c r="AE3066">
        <v>-18.034499999999898</v>
      </c>
      <c r="AF3066">
        <v>-18.724914842757201</v>
      </c>
      <c r="AG3066">
        <v>-0.91032449999999998</v>
      </c>
      <c r="AH3066">
        <v>71.480733867771704</v>
      </c>
      <c r="AI3066">
        <v>90.705823135599601</v>
      </c>
      <c r="AJ3066">
        <v>104.67922118267801</v>
      </c>
      <c r="AK3066">
        <v>73.898216763593297</v>
      </c>
      <c r="AL3066">
        <v>84.435946565061201</v>
      </c>
      <c r="AM3066">
        <v>91.479354444897893</v>
      </c>
      <c r="AN3066">
        <v>1.0000000109109899</v>
      </c>
    </row>
    <row r="3067" spans="1:40" x14ac:dyDescent="0.3">
      <c r="A3067" t="str">
        <f>"20200111150012931"</f>
        <v>20200111150012931</v>
      </c>
      <c r="B3067" t="str">
        <f>"1578726012918798"</f>
        <v>1578726012918798</v>
      </c>
      <c r="C3067" t="s">
        <v>40</v>
      </c>
      <c r="D3067">
        <v>4.1316329999999999</v>
      </c>
      <c r="E3067">
        <v>0.4509166</v>
      </c>
      <c r="F3067" t="s">
        <v>62</v>
      </c>
      <c r="G3067">
        <v>-467.9384</v>
      </c>
      <c r="H3067">
        <v>8.0000849999999998E-2</v>
      </c>
      <c r="I3067">
        <v>278.846</v>
      </c>
      <c r="J3067">
        <v>-441.42849999999999</v>
      </c>
      <c r="K3067">
        <v>1.104303</v>
      </c>
      <c r="L3067">
        <v>283.43540000000002</v>
      </c>
      <c r="M3067">
        <v>-0.9998745</v>
      </c>
      <c r="N3067">
        <v>0</v>
      </c>
      <c r="O3067">
        <v>9.6836909999999995E-3</v>
      </c>
      <c r="P3067">
        <v>-0.99631110000000001</v>
      </c>
      <c r="Q3067">
        <v>8.4352330000000003E-2</v>
      </c>
      <c r="R3067">
        <v>-1.5792179999999999E-2</v>
      </c>
      <c r="S3067">
        <v>-3.0125730000000002</v>
      </c>
      <c r="T3067">
        <v>-0.1152151</v>
      </c>
      <c r="U3067">
        <v>-0.51593020000000001</v>
      </c>
      <c r="V3067">
        <v>-2.543635E-2</v>
      </c>
      <c r="W3067">
        <v>9.6842700000000004E-2</v>
      </c>
      <c r="X3067">
        <v>0.99497460000000004</v>
      </c>
      <c r="Y3067">
        <v>-0.17820549999999999</v>
      </c>
      <c r="Z3067">
        <v>-3.749516E-3</v>
      </c>
      <c r="AA3067">
        <v>0.98398609999999997</v>
      </c>
      <c r="AB3067">
        <v>42</v>
      </c>
      <c r="AC3067">
        <v>-26.509899999999998</v>
      </c>
      <c r="AD3067">
        <v>-1.02430215</v>
      </c>
      <c r="AE3067">
        <v>-4.5894000000000101</v>
      </c>
      <c r="AF3067">
        <v>-4.8389046967949998</v>
      </c>
      <c r="AG3067">
        <v>-1.02430215</v>
      </c>
      <c r="AH3067">
        <v>26.4259069003616</v>
      </c>
      <c r="AI3067">
        <v>92.183478642710497</v>
      </c>
      <c r="AJ3067">
        <v>100.376596705189</v>
      </c>
      <c r="AK3067">
        <v>26.884805170685901</v>
      </c>
      <c r="AL3067">
        <v>84.442612069991</v>
      </c>
      <c r="AM3067">
        <v>91.464437511367294</v>
      </c>
      <c r="AN3067">
        <v>0.99999998554488601</v>
      </c>
    </row>
    <row r="3068" spans="1:40" x14ac:dyDescent="0.3">
      <c r="A3068" t="str">
        <f>"20200111150012944"</f>
        <v>20200111150012944</v>
      </c>
      <c r="B3068" t="str">
        <f>"1578726012939073"</f>
        <v>1578726012939073</v>
      </c>
      <c r="C3068" t="s">
        <v>40</v>
      </c>
      <c r="D3068">
        <v>4.1275709999999997</v>
      </c>
      <c r="E3068">
        <v>0.4571501</v>
      </c>
      <c r="F3068" t="s">
        <v>52</v>
      </c>
      <c r="G3068">
        <v>-470.20920000000001</v>
      </c>
      <c r="H3068">
        <v>8.0000799999999997E-2</v>
      </c>
      <c r="I3068">
        <v>279.12959999999998</v>
      </c>
      <c r="J3068">
        <v>-441.69110000000001</v>
      </c>
      <c r="K3068">
        <v>1.1043019999999999</v>
      </c>
      <c r="L3068">
        <v>283.43799999999999</v>
      </c>
      <c r="M3068">
        <v>-0.9998745</v>
      </c>
      <c r="N3068">
        <v>0</v>
      </c>
      <c r="O3068">
        <v>9.6835210000000005E-3</v>
      </c>
      <c r="P3068">
        <v>-0.99632209999999999</v>
      </c>
      <c r="Q3068">
        <v>8.4275100000000006E-2</v>
      </c>
      <c r="R3068">
        <v>-1.55E-2</v>
      </c>
      <c r="S3068">
        <v>-3.0130620000000001</v>
      </c>
      <c r="T3068">
        <v>-0.1072346</v>
      </c>
      <c r="U3068">
        <v>-0.45077509999999998</v>
      </c>
      <c r="V3068">
        <v>-2.5144280000000001E-2</v>
      </c>
      <c r="W3068">
        <v>9.6764359999999994E-2</v>
      </c>
      <c r="X3068">
        <v>0.99498960000000003</v>
      </c>
      <c r="Y3068">
        <v>-0.1574276</v>
      </c>
      <c r="Z3068">
        <v>-3.127754E-3</v>
      </c>
      <c r="AA3068">
        <v>0.9875256</v>
      </c>
      <c r="AB3068">
        <v>42</v>
      </c>
      <c r="AC3068">
        <v>-28.5181</v>
      </c>
      <c r="AD3068">
        <v>-1.02430119999999</v>
      </c>
      <c r="AE3068">
        <v>-4.3083999999999998</v>
      </c>
      <c r="AF3068">
        <v>-4.5786003725648303</v>
      </c>
      <c r="AG3068">
        <v>-1.02430119999999</v>
      </c>
      <c r="AH3068">
        <v>28.439169014414201</v>
      </c>
      <c r="AI3068">
        <v>92.036543800752696</v>
      </c>
      <c r="AJ3068">
        <v>99.145925965086803</v>
      </c>
      <c r="AK3068">
        <v>28.823585976598899</v>
      </c>
      <c r="AL3068">
        <v>84.447121548444599</v>
      </c>
      <c r="AM3068">
        <v>91.447607656257105</v>
      </c>
      <c r="AN3068">
        <v>0.99999994014554205</v>
      </c>
    </row>
    <row r="3069" spans="1:40" x14ac:dyDescent="0.3">
      <c r="A3069" t="str">
        <f>"20200111150012961"</f>
        <v>20200111150012961</v>
      </c>
      <c r="B3069" t="str">
        <f>"1578726012948833"</f>
        <v>1578726012948833</v>
      </c>
      <c r="C3069" t="s">
        <v>40</v>
      </c>
      <c r="D3069">
        <v>4.0705179999999999</v>
      </c>
      <c r="E3069">
        <v>0.4586325</v>
      </c>
      <c r="F3069" t="s">
        <v>52</v>
      </c>
      <c r="G3069">
        <v>-470.5317</v>
      </c>
      <c r="H3069">
        <v>5.8385939999999997E-2</v>
      </c>
      <c r="I3069">
        <v>279.60789999999997</v>
      </c>
      <c r="J3069">
        <v>-441.98770000000002</v>
      </c>
      <c r="K3069">
        <v>1.104303</v>
      </c>
      <c r="L3069">
        <v>283.4409</v>
      </c>
      <c r="M3069">
        <v>-0.9998745</v>
      </c>
      <c r="N3069">
        <v>0</v>
      </c>
      <c r="O3069">
        <v>9.6833490000000008E-3</v>
      </c>
      <c r="P3069">
        <v>-0.99636029999999998</v>
      </c>
      <c r="Q3069">
        <v>8.3914489999999994E-2</v>
      </c>
      <c r="R3069">
        <v>-1.500285E-2</v>
      </c>
      <c r="S3069">
        <v>-3.0140690000000001</v>
      </c>
      <c r="T3069">
        <v>-0.1093063</v>
      </c>
      <c r="U3069">
        <v>-0.40026859999999997</v>
      </c>
      <c r="V3069">
        <v>-2.4647450000000001E-2</v>
      </c>
      <c r="W3069">
        <v>9.6403219999999998E-2</v>
      </c>
      <c r="X3069">
        <v>0.99503710000000001</v>
      </c>
      <c r="Y3069">
        <v>-0.1411405</v>
      </c>
      <c r="Z3069">
        <v>-2.8968470000000001E-3</v>
      </c>
      <c r="AA3069">
        <v>0.98998529999999996</v>
      </c>
      <c r="AB3069">
        <v>42</v>
      </c>
      <c r="AC3069">
        <v>-28.543999999999901</v>
      </c>
      <c r="AD3069">
        <v>-1.0459170600000001</v>
      </c>
      <c r="AE3069">
        <v>-3.8330000000000202</v>
      </c>
      <c r="AF3069">
        <v>-4.1038310701782201</v>
      </c>
      <c r="AG3069">
        <v>-1.0459170600000001</v>
      </c>
      <c r="AH3069">
        <v>28.4679966150232</v>
      </c>
      <c r="AI3069">
        <v>92.082597665202996</v>
      </c>
      <c r="AJ3069">
        <v>98.203016848684697</v>
      </c>
      <c r="AK3069">
        <v>28.781282167789801</v>
      </c>
      <c r="AL3069">
        <v>84.467910615990604</v>
      </c>
      <c r="AM3069">
        <v>91.418948237570405</v>
      </c>
      <c r="AN3069">
        <v>0.99999995399713903</v>
      </c>
    </row>
    <row r="3070" spans="1:40" x14ac:dyDescent="0.3">
      <c r="A3070" t="str">
        <f>"20200111150012976"</f>
        <v>20200111150012976</v>
      </c>
      <c r="B3070" t="str">
        <f>"1578726012969330"</f>
        <v>1578726012969330</v>
      </c>
      <c r="C3070" t="s">
        <v>40</v>
      </c>
      <c r="D3070">
        <v>4.0520170000000002</v>
      </c>
      <c r="E3070">
        <v>0.45945560000000002</v>
      </c>
      <c r="F3070" t="s">
        <v>52</v>
      </c>
      <c r="G3070">
        <v>-471.77159999999998</v>
      </c>
      <c r="H3070">
        <v>1.045773E-2</v>
      </c>
      <c r="I3070">
        <v>279.61630000000002</v>
      </c>
      <c r="J3070">
        <v>-442.26979999999998</v>
      </c>
      <c r="K3070">
        <v>1.104301</v>
      </c>
      <c r="L3070">
        <v>283.4436</v>
      </c>
      <c r="M3070">
        <v>-0.9998745</v>
      </c>
      <c r="N3070">
        <v>0</v>
      </c>
      <c r="O3070">
        <v>9.6831769999999994E-3</v>
      </c>
      <c r="P3070">
        <v>-0.99635929999999995</v>
      </c>
      <c r="Q3070">
        <v>8.3905190000000004E-2</v>
      </c>
      <c r="R3070">
        <v>-1.5101460000000001E-2</v>
      </c>
      <c r="S3070">
        <v>-3.014465</v>
      </c>
      <c r="T3070">
        <v>-0.11070969999999999</v>
      </c>
      <c r="U3070">
        <v>-0.38708500000000001</v>
      </c>
      <c r="V3070">
        <v>-2.474616E-2</v>
      </c>
      <c r="W3070">
        <v>9.6392759999999994E-2</v>
      </c>
      <c r="X3070">
        <v>0.99503569999999997</v>
      </c>
      <c r="Y3070">
        <v>-0.136865299999999</v>
      </c>
      <c r="Z3070">
        <v>-2.85629E-3</v>
      </c>
      <c r="AA3070">
        <v>0.99058559999999996</v>
      </c>
      <c r="AB3070">
        <v>42</v>
      </c>
      <c r="AC3070">
        <v>-29.501799999999999</v>
      </c>
      <c r="AD3070">
        <v>-1.09384327</v>
      </c>
      <c r="AE3070">
        <v>-3.8272999999999802</v>
      </c>
      <c r="AF3070">
        <v>-4.1072612821602998</v>
      </c>
      <c r="AG3070">
        <v>-1.09384327</v>
      </c>
      <c r="AH3070">
        <v>29.423573732654901</v>
      </c>
      <c r="AI3070">
        <v>92.108606941981606</v>
      </c>
      <c r="AJ3070">
        <v>97.946616441580503</v>
      </c>
      <c r="AK3070">
        <v>29.728988875174299</v>
      </c>
      <c r="AL3070">
        <v>84.468512936253106</v>
      </c>
      <c r="AM3070">
        <v>91.424630616777904</v>
      </c>
      <c r="AN3070">
        <v>0.99999999044482601</v>
      </c>
    </row>
    <row r="3071" spans="1:40" x14ac:dyDescent="0.3">
      <c r="A3071" t="str">
        <f>"20200111150012994"</f>
        <v>20200111150012994</v>
      </c>
      <c r="B3071" t="str">
        <f>"1578726012988849"</f>
        <v>1578726012988849</v>
      </c>
      <c r="C3071" t="s">
        <v>40</v>
      </c>
      <c r="D3071">
        <v>4.1520279999999996</v>
      </c>
      <c r="E3071">
        <v>0.46044309999999999</v>
      </c>
      <c r="F3071" t="s">
        <v>52</v>
      </c>
      <c r="G3071">
        <v>-472.1653</v>
      </c>
      <c r="H3071" s="1">
        <v>5.2211749999999899E-6</v>
      </c>
      <c r="I3071">
        <v>279.66660000000002</v>
      </c>
      <c r="J3071">
        <v>-442.6268</v>
      </c>
      <c r="K3071">
        <v>1.104303</v>
      </c>
      <c r="L3071">
        <v>283.447</v>
      </c>
      <c r="M3071">
        <v>-0.99987470000000001</v>
      </c>
      <c r="N3071">
        <v>0</v>
      </c>
      <c r="O3071">
        <v>9.6828859999999999E-3</v>
      </c>
      <c r="P3071">
        <v>-0.99633369999999999</v>
      </c>
      <c r="Q3071">
        <v>8.4069389999999994E-2</v>
      </c>
      <c r="R3071">
        <v>-1.5878159999999999E-2</v>
      </c>
      <c r="S3071">
        <v>-3.0145569999999999</v>
      </c>
      <c r="T3071">
        <v>-0.11135340000000001</v>
      </c>
      <c r="U3071">
        <v>-0.38085940000000001</v>
      </c>
      <c r="V3071">
        <v>-2.5521510000000001E-2</v>
      </c>
      <c r="W3071">
        <v>9.6555559999999999E-2</v>
      </c>
      <c r="X3071">
        <v>0.99500040000000001</v>
      </c>
      <c r="Y3071">
        <v>-0.134848</v>
      </c>
      <c r="Z3071">
        <v>-2.8360640000000001E-3</v>
      </c>
      <c r="AA3071">
        <v>0.99086229999999997</v>
      </c>
      <c r="AB3071">
        <v>42</v>
      </c>
      <c r="AC3071">
        <v>-29.538499999999999</v>
      </c>
      <c r="AD3071">
        <v>-1.1042977788249999</v>
      </c>
      <c r="AE3071">
        <v>-3.7803999999999802</v>
      </c>
      <c r="AF3071">
        <v>-4.0606791953430603</v>
      </c>
      <c r="AG3071">
        <v>-1.1042977788249999</v>
      </c>
      <c r="AH3071">
        <v>29.459996015996101</v>
      </c>
      <c r="AI3071">
        <v>92.126619341459005</v>
      </c>
      <c r="AJ3071">
        <v>97.848029335708702</v>
      </c>
      <c r="AK3071">
        <v>29.7590314757439</v>
      </c>
      <c r="AL3071">
        <v>84.459141855543905</v>
      </c>
      <c r="AM3071">
        <v>91.469300167904805</v>
      </c>
      <c r="AN3071">
        <v>1.0000000598198699</v>
      </c>
    </row>
    <row r="3072" spans="1:40" x14ac:dyDescent="0.3">
      <c r="A3072" t="str">
        <f>"20200111150013018"</f>
        <v>20200111150013018</v>
      </c>
      <c r="B3072" t="str">
        <f>"1578726013009345"</f>
        <v>1578726013009345</v>
      </c>
      <c r="C3072" t="s">
        <v>40</v>
      </c>
      <c r="D3072">
        <v>3.9976379999999998</v>
      </c>
      <c r="E3072">
        <v>0.4616133</v>
      </c>
      <c r="F3072" t="s">
        <v>52</v>
      </c>
      <c r="G3072">
        <v>-472.51679999999999</v>
      </c>
      <c r="H3072" s="1">
        <v>5.0705699999999998E-6</v>
      </c>
      <c r="I3072">
        <v>279.7269</v>
      </c>
      <c r="J3072">
        <v>-443.0532</v>
      </c>
      <c r="K3072">
        <v>1.104298</v>
      </c>
      <c r="L3072">
        <v>283.45119999999997</v>
      </c>
      <c r="M3072">
        <v>-0.9998745</v>
      </c>
      <c r="N3072">
        <v>0</v>
      </c>
      <c r="O3072">
        <v>9.6827149999999997E-3</v>
      </c>
      <c r="P3072">
        <v>-0.99633150000000004</v>
      </c>
      <c r="Q3072">
        <v>8.3990350000000005E-2</v>
      </c>
      <c r="R3072">
        <v>-1.6419130000000001E-2</v>
      </c>
      <c r="S3072">
        <v>-3.0144959999999998</v>
      </c>
      <c r="T3072">
        <v>-0.11137180000000001</v>
      </c>
      <c r="U3072">
        <v>-0.37518309999999999</v>
      </c>
      <c r="V3072">
        <v>-2.6063059999999999E-2</v>
      </c>
      <c r="W3072">
        <v>9.6474870000000004E-2</v>
      </c>
      <c r="X3072">
        <v>0.99499409999999999</v>
      </c>
      <c r="Y3072">
        <v>-0.1330144</v>
      </c>
      <c r="Z3072">
        <v>-2.803182E-3</v>
      </c>
      <c r="AA3072">
        <v>0.99111009999999999</v>
      </c>
      <c r="AB3072">
        <v>42</v>
      </c>
      <c r="AC3072">
        <v>-29.4635999999999</v>
      </c>
      <c r="AD3072">
        <v>-1.1042929294299999</v>
      </c>
      <c r="AE3072">
        <v>-3.7242999999999702</v>
      </c>
      <c r="AF3072">
        <v>-4.0038994570918396</v>
      </c>
      <c r="AG3072">
        <v>-1.1042929294299999</v>
      </c>
      <c r="AH3072">
        <v>29.385524460302999</v>
      </c>
      <c r="AI3072">
        <v>92.132448098487103</v>
      </c>
      <c r="AJ3072">
        <v>97.759006956908493</v>
      </c>
      <c r="AK3072">
        <v>29.677596289854002</v>
      </c>
      <c r="AL3072">
        <v>84.463786244904497</v>
      </c>
      <c r="AM3072">
        <v>91.500473162263205</v>
      </c>
      <c r="AN3072">
        <v>0.99999997133644403</v>
      </c>
    </row>
    <row r="3073" spans="1:40" x14ac:dyDescent="0.3">
      <c r="A3073" t="str">
        <f>"20200111150013039"</f>
        <v>20200111150013039</v>
      </c>
      <c r="B3073" t="str">
        <f>"1578726013028865"</f>
        <v>1578726013028865</v>
      </c>
      <c r="C3073" t="s">
        <v>40</v>
      </c>
      <c r="D3073">
        <v>4.0053789999999996</v>
      </c>
      <c r="E3073">
        <v>0.46194849999999998</v>
      </c>
      <c r="F3073" t="s">
        <v>52</v>
      </c>
      <c r="G3073">
        <v>-474.5215</v>
      </c>
      <c r="H3073">
        <v>3.431737E-2</v>
      </c>
      <c r="I3073">
        <v>279.61630000000002</v>
      </c>
      <c r="J3073">
        <v>-443.46039999999999</v>
      </c>
      <c r="K3073">
        <v>1.1042989999999999</v>
      </c>
      <c r="L3073">
        <v>283.45510000000002</v>
      </c>
      <c r="M3073">
        <v>-0.99987459999999995</v>
      </c>
      <c r="N3073">
        <v>0</v>
      </c>
      <c r="O3073">
        <v>9.6823640000000006E-3</v>
      </c>
      <c r="P3073">
        <v>-0.9963436</v>
      </c>
      <c r="Q3073">
        <v>8.3800120000000006E-2</v>
      </c>
      <c r="R3073">
        <v>-1.6654309999999999E-2</v>
      </c>
      <c r="S3073">
        <v>-3.013611</v>
      </c>
      <c r="T3073">
        <v>-0.1024685</v>
      </c>
      <c r="U3073">
        <v>-0.36724849999999998</v>
      </c>
      <c r="V3073">
        <v>-2.629745E-2</v>
      </c>
      <c r="W3073">
        <v>9.6284069999999999E-2</v>
      </c>
      <c r="X3073">
        <v>0.99500639999999996</v>
      </c>
      <c r="Y3073">
        <v>-0.1304949</v>
      </c>
      <c r="Z3073">
        <v>-2.5377109999999998E-3</v>
      </c>
      <c r="AA3073">
        <v>0.99144569999999999</v>
      </c>
      <c r="AB3073">
        <v>42</v>
      </c>
      <c r="AC3073">
        <v>-31.0611</v>
      </c>
      <c r="AD3073">
        <v>-1.06998163</v>
      </c>
      <c r="AE3073">
        <v>-3.8387999999999902</v>
      </c>
      <c r="AF3073">
        <v>-4.1345561019237698</v>
      </c>
      <c r="AG3073">
        <v>-1.06998163</v>
      </c>
      <c r="AH3073">
        <v>30.986255842932799</v>
      </c>
      <c r="AI3073">
        <v>91.960325767184997</v>
      </c>
      <c r="AJ3073">
        <v>97.600194123668999</v>
      </c>
      <c r="AK3073">
        <v>31.279185827194699</v>
      </c>
      <c r="AL3073">
        <v>84.474769330996395</v>
      </c>
      <c r="AM3073">
        <v>91.513942240883097</v>
      </c>
      <c r="AN3073">
        <v>0.99999995702661204</v>
      </c>
    </row>
    <row r="3074" spans="1:40" x14ac:dyDescent="0.3">
      <c r="A3074" t="str">
        <f>"20200111150013055"</f>
        <v>20200111150013055</v>
      </c>
      <c r="B3074" t="str">
        <f>"1578726013049362"</f>
        <v>1578726013049362</v>
      </c>
      <c r="C3074" t="s">
        <v>40</v>
      </c>
      <c r="D3074">
        <v>4.0172509999999999</v>
      </c>
      <c r="E3074">
        <v>0.461974</v>
      </c>
      <c r="F3074" t="s">
        <v>52</v>
      </c>
      <c r="G3074">
        <v>-475.12959999999998</v>
      </c>
      <c r="H3074">
        <v>2.2992240000000001E-2</v>
      </c>
      <c r="I3074">
        <v>279.61619999999999</v>
      </c>
      <c r="J3074">
        <v>-443.74979999999999</v>
      </c>
      <c r="K3074">
        <v>1.104303</v>
      </c>
      <c r="L3074">
        <v>283.4579</v>
      </c>
      <c r="M3074">
        <v>-0.99987470000000001</v>
      </c>
      <c r="N3074">
        <v>0</v>
      </c>
      <c r="O3074">
        <v>9.6821900000000002E-3</v>
      </c>
      <c r="P3074">
        <v>-0.99634710000000004</v>
      </c>
      <c r="Q3074">
        <v>8.3751510000000001E-2</v>
      </c>
      <c r="R3074">
        <v>-1.6685930000000002E-2</v>
      </c>
      <c r="S3074">
        <v>-3.01355</v>
      </c>
      <c r="T3074">
        <v>-0.1028941</v>
      </c>
      <c r="U3074">
        <v>-0.36529539999999999</v>
      </c>
      <c r="V3074">
        <v>-2.6329370000000001E-2</v>
      </c>
      <c r="W3074">
        <v>9.6234719999999996E-2</v>
      </c>
      <c r="X3074">
        <v>0.99501039999999996</v>
      </c>
      <c r="Y3074">
        <v>-0.1298636</v>
      </c>
      <c r="Z3074">
        <v>-2.5376539999999999E-3</v>
      </c>
      <c r="AA3074">
        <v>0.99152859999999998</v>
      </c>
      <c r="AB3074">
        <v>42</v>
      </c>
      <c r="AC3074">
        <v>-31.3797999999999</v>
      </c>
      <c r="AD3074">
        <v>-1.08131076</v>
      </c>
      <c r="AE3074">
        <v>-3.8416999999999999</v>
      </c>
      <c r="AF3074">
        <v>-4.1405250122819703</v>
      </c>
      <c r="AG3074">
        <v>-1.08131076</v>
      </c>
      <c r="AH3074">
        <v>31.304507515911499</v>
      </c>
      <c r="AI3074">
        <v>91.961239435553793</v>
      </c>
      <c r="AJ3074">
        <v>97.534554913974702</v>
      </c>
      <c r="AK3074">
        <v>31.595654308002299</v>
      </c>
      <c r="AL3074">
        <v>84.477610454737501</v>
      </c>
      <c r="AM3074">
        <v>91.515772925450804</v>
      </c>
      <c r="AN3074">
        <v>1.0000000265831099</v>
      </c>
    </row>
    <row r="3075" spans="1:40" x14ac:dyDescent="0.3">
      <c r="A3075" t="str">
        <f>"20200111150013068"</f>
        <v>20200111150013068</v>
      </c>
      <c r="B3075" t="str">
        <f>"1578726013059122"</f>
        <v>1578726013059122</v>
      </c>
      <c r="C3075" t="s">
        <v>40</v>
      </c>
      <c r="D3075">
        <v>4.0303329999999997</v>
      </c>
      <c r="E3075">
        <v>0.46221129999999999</v>
      </c>
      <c r="F3075" t="s">
        <v>52</v>
      </c>
      <c r="G3075">
        <v>-475.4504</v>
      </c>
      <c r="H3075">
        <v>1.0321359999999999E-3</v>
      </c>
      <c r="I3075">
        <v>279.61610000000002</v>
      </c>
      <c r="J3075">
        <v>-444.00049999999999</v>
      </c>
      <c r="K3075">
        <v>1.104304</v>
      </c>
      <c r="L3075">
        <v>283.46039999999999</v>
      </c>
      <c r="M3075">
        <v>-0.99987459999999995</v>
      </c>
      <c r="N3075">
        <v>0</v>
      </c>
      <c r="O3075">
        <v>9.6821930000000004E-3</v>
      </c>
      <c r="P3075">
        <v>-0.99632949999999998</v>
      </c>
      <c r="Q3075">
        <v>8.4001279999999998E-2</v>
      </c>
      <c r="R3075">
        <v>-1.6476020000000001E-2</v>
      </c>
      <c r="S3075">
        <v>-3.0136720000000001</v>
      </c>
      <c r="T3075">
        <v>-0.1048844</v>
      </c>
      <c r="U3075">
        <v>-0.36523440000000001</v>
      </c>
      <c r="V3075">
        <v>-2.6119030000000001E-2</v>
      </c>
      <c r="W3075">
        <v>9.6483899999999997E-2</v>
      </c>
      <c r="X3075">
        <v>0.99499179999999998</v>
      </c>
      <c r="Y3075">
        <v>-0.1298359</v>
      </c>
      <c r="Z3075">
        <v>-2.5861310000000002E-3</v>
      </c>
      <c r="AA3075">
        <v>0.99153210000000003</v>
      </c>
      <c r="AB3075">
        <v>42</v>
      </c>
      <c r="AC3075">
        <v>-31.4499</v>
      </c>
      <c r="AD3075">
        <v>-1.1032718640000001</v>
      </c>
      <c r="AE3075">
        <v>-3.8442999999999699</v>
      </c>
      <c r="AF3075">
        <v>-4.14362350276852</v>
      </c>
      <c r="AG3075">
        <v>-1.1032718640000001</v>
      </c>
      <c r="AH3075">
        <v>31.373161135653401</v>
      </c>
      <c r="AI3075">
        <v>91.996713678601793</v>
      </c>
      <c r="AJ3075">
        <v>97.523817651280098</v>
      </c>
      <c r="AK3075">
        <v>31.664839557184902</v>
      </c>
      <c r="AL3075">
        <v>84.463266678147804</v>
      </c>
      <c r="AM3075">
        <v>91.5036974006306</v>
      </c>
      <c r="AN3075">
        <v>1.00000001437729</v>
      </c>
    </row>
    <row r="3076" spans="1:40" x14ac:dyDescent="0.3">
      <c r="A3076" t="str">
        <f>"20200111150013082"</f>
        <v>20200111150013082</v>
      </c>
      <c r="B3076" t="str">
        <f>"1578726013079250"</f>
        <v>1578726013079250</v>
      </c>
      <c r="C3076" t="s">
        <v>40</v>
      </c>
      <c r="D3076">
        <v>4.0772409999999999</v>
      </c>
      <c r="E3076">
        <v>0.46208549999999998</v>
      </c>
      <c r="F3076" t="s">
        <v>52</v>
      </c>
      <c r="G3076">
        <v>-475.96010000000001</v>
      </c>
      <c r="H3076">
        <v>2.456186E-3</v>
      </c>
      <c r="I3076">
        <v>279.6157</v>
      </c>
      <c r="J3076">
        <v>-444.26369999999997</v>
      </c>
      <c r="K3076">
        <v>1.1043050000000001</v>
      </c>
      <c r="L3076">
        <v>283.46289999999999</v>
      </c>
      <c r="M3076">
        <v>-0.99987459999999995</v>
      </c>
      <c r="N3076">
        <v>0</v>
      </c>
      <c r="O3076">
        <v>9.6818990000000008E-3</v>
      </c>
      <c r="P3076">
        <v>-0.99630399999999997</v>
      </c>
      <c r="Q3076">
        <v>8.4313589999999994E-2</v>
      </c>
      <c r="R3076">
        <v>-1.642097E-2</v>
      </c>
      <c r="S3076">
        <v>-3.0137939999999999</v>
      </c>
      <c r="T3076">
        <v>-0.10390439999999899</v>
      </c>
      <c r="U3076">
        <v>-0.3625488</v>
      </c>
      <c r="V3076">
        <v>-2.6063670000000001E-2</v>
      </c>
      <c r="W3076">
        <v>9.6795240000000005E-2</v>
      </c>
      <c r="X3076">
        <v>0.99496300000000004</v>
      </c>
      <c r="Y3076">
        <v>-0.12896189999999999</v>
      </c>
      <c r="Z3076">
        <v>-2.5469970000000001E-3</v>
      </c>
      <c r="AA3076">
        <v>0.99164629999999998</v>
      </c>
      <c r="AB3076">
        <v>42</v>
      </c>
      <c r="AC3076">
        <v>-31.696400000000001</v>
      </c>
      <c r="AD3076">
        <v>-1.10184881399999</v>
      </c>
      <c r="AE3076">
        <v>-3.84719999999998</v>
      </c>
      <c r="AF3076">
        <v>-4.1489840989255597</v>
      </c>
      <c r="AG3076">
        <v>-1.10184881399999</v>
      </c>
      <c r="AH3076">
        <v>31.620006969267202</v>
      </c>
      <c r="AI3076">
        <v>91.978805623030595</v>
      </c>
      <c r="AJ3076">
        <v>97.475296353034196</v>
      </c>
      <c r="AK3076">
        <v>31.9100764743451</v>
      </c>
      <c r="AL3076">
        <v>84.445344256856401</v>
      </c>
      <c r="AM3076">
        <v>91.500555145051194</v>
      </c>
      <c r="AN3076">
        <v>1.0000000023747599</v>
      </c>
    </row>
    <row r="3077" spans="1:40" x14ac:dyDescent="0.3">
      <c r="A3077" t="str">
        <f>"20200111150013094"</f>
        <v>20200111150013094</v>
      </c>
      <c r="B3077" t="str">
        <f>"1578726013089010"</f>
        <v>1578726013089010</v>
      </c>
      <c r="C3077" t="s">
        <v>40</v>
      </c>
      <c r="D3077">
        <v>4.1009580000000003</v>
      </c>
      <c r="E3077">
        <v>0.46211590000000002</v>
      </c>
      <c r="F3077" t="s">
        <v>52</v>
      </c>
      <c r="G3077">
        <v>-476.1651</v>
      </c>
      <c r="H3077">
        <v>2.015606E-2</v>
      </c>
      <c r="I3077">
        <v>279.61559999999997</v>
      </c>
      <c r="J3077">
        <v>-444.50889999999998</v>
      </c>
      <c r="K3077">
        <v>1.104306</v>
      </c>
      <c r="L3077">
        <v>283.46530000000001</v>
      </c>
      <c r="M3077">
        <v>-0.99987459999999995</v>
      </c>
      <c r="N3077">
        <v>0</v>
      </c>
      <c r="O3077">
        <v>9.6817229999999997E-3</v>
      </c>
      <c r="P3077">
        <v>-0.99627370000000004</v>
      </c>
      <c r="Q3077">
        <v>8.4688139999999995E-2</v>
      </c>
      <c r="R3077">
        <v>-1.6335530000000001E-2</v>
      </c>
      <c r="S3077">
        <v>-3.0138240000000001</v>
      </c>
      <c r="T3077">
        <v>-0.10242270000000001</v>
      </c>
      <c r="U3077">
        <v>-0.36346440000000002</v>
      </c>
      <c r="V3077">
        <v>-2.5977799999999999E-2</v>
      </c>
      <c r="W3077">
        <v>9.7169210000000006E-2</v>
      </c>
      <c r="X3077">
        <v>0.99492879999999995</v>
      </c>
      <c r="Y3077">
        <v>-0.12925970000000001</v>
      </c>
      <c r="Z3077">
        <v>-2.5156610000000002E-3</v>
      </c>
      <c r="AA3077">
        <v>0.99160760000000003</v>
      </c>
      <c r="AB3077">
        <v>42</v>
      </c>
      <c r="AC3077">
        <v>-31.656199999999998</v>
      </c>
      <c r="AD3077">
        <v>-1.0841499400000001</v>
      </c>
      <c r="AE3077">
        <v>-3.8497000000000399</v>
      </c>
      <c r="AF3077">
        <v>-4.1512321449223801</v>
      </c>
      <c r="AG3077">
        <v>-1.0841499400000001</v>
      </c>
      <c r="AH3077">
        <v>31.580939936844199</v>
      </c>
      <c r="AI3077">
        <v>91.949392956843297</v>
      </c>
      <c r="AJ3077">
        <v>97.488448140240806</v>
      </c>
      <c r="AK3077">
        <v>31.871050762533699</v>
      </c>
      <c r="AL3077">
        <v>84.423815910308093</v>
      </c>
      <c r="AM3077">
        <v>91.495665016131596</v>
      </c>
      <c r="AN3077">
        <v>1.0000000092671499</v>
      </c>
    </row>
    <row r="3078" spans="1:40" x14ac:dyDescent="0.3">
      <c r="A3078" t="str">
        <f>"20200111150013109"</f>
        <v>20200111150013109</v>
      </c>
      <c r="B3078" t="str">
        <f>"1578726013098769"</f>
        <v>1578726013098769</v>
      </c>
      <c r="C3078" t="s">
        <v>40</v>
      </c>
      <c r="D3078">
        <v>3.9974660000000002</v>
      </c>
      <c r="E3078">
        <v>0.4621691</v>
      </c>
      <c r="F3078" t="s">
        <v>52</v>
      </c>
      <c r="G3078">
        <v>-476.99790000000002</v>
      </c>
      <c r="H3078">
        <v>5.2117250000000004E-3</v>
      </c>
      <c r="I3078">
        <v>279.55380000000002</v>
      </c>
      <c r="J3078">
        <v>-444.77679999999998</v>
      </c>
      <c r="K3078">
        <v>1.104309</v>
      </c>
      <c r="L3078">
        <v>283.46789999999999</v>
      </c>
      <c r="M3078">
        <v>-0.99987459999999995</v>
      </c>
      <c r="N3078">
        <v>0</v>
      </c>
      <c r="O3078">
        <v>9.6815479999999999E-3</v>
      </c>
      <c r="P3078">
        <v>-0.9962588</v>
      </c>
      <c r="Q3078">
        <v>8.490847E-2</v>
      </c>
      <c r="R3078">
        <v>-1.6101589999999999E-2</v>
      </c>
      <c r="S3078">
        <v>-3.013916</v>
      </c>
      <c r="T3078">
        <v>-0.1019597</v>
      </c>
      <c r="U3078">
        <v>-0.36285400000000001</v>
      </c>
      <c r="V3078">
        <v>-2.5742879999999999E-2</v>
      </c>
      <c r="W3078">
        <v>9.7388479999999999E-2</v>
      </c>
      <c r="X3078">
        <v>0.99491350000000001</v>
      </c>
      <c r="Y3078">
        <v>-0.1290588</v>
      </c>
      <c r="Z3078">
        <v>-2.5008589999999998E-3</v>
      </c>
      <c r="AA3078">
        <v>0.99163380000000001</v>
      </c>
      <c r="AB3078">
        <v>42</v>
      </c>
      <c r="AC3078">
        <v>-32.2211</v>
      </c>
      <c r="AD3078">
        <v>-1.0990972750000001</v>
      </c>
      <c r="AE3078">
        <v>-3.9140999999999599</v>
      </c>
      <c r="AF3078">
        <v>-4.2210510981509799</v>
      </c>
      <c r="AG3078">
        <v>-1.0990972750000001</v>
      </c>
      <c r="AH3078">
        <v>32.1448333509788</v>
      </c>
      <c r="AI3078">
        <v>91.941640787729597</v>
      </c>
      <c r="AJ3078">
        <v>97.480907863664996</v>
      </c>
      <c r="AK3078">
        <v>32.4394142726917</v>
      </c>
      <c r="AL3078">
        <v>84.411192980098804</v>
      </c>
      <c r="AM3078">
        <v>91.482168401979294</v>
      </c>
      <c r="AN3078">
        <v>1.0000000421948201</v>
      </c>
    </row>
    <row r="3079" spans="1:40" x14ac:dyDescent="0.3">
      <c r="A3079" t="str">
        <f>"20200111150013125"</f>
        <v>20200111150013125</v>
      </c>
      <c r="B3079" t="str">
        <f>"1578726013119265"</f>
        <v>1578726013119265</v>
      </c>
      <c r="C3079" t="s">
        <v>40</v>
      </c>
      <c r="D3079">
        <v>4.1086559999999999</v>
      </c>
      <c r="E3079">
        <v>0.46211259999999998</v>
      </c>
      <c r="F3079" t="s">
        <v>52</v>
      </c>
      <c r="G3079">
        <v>-477.68020000000001</v>
      </c>
      <c r="H3079" s="1">
        <v>2.7581720000000002E-6</v>
      </c>
      <c r="I3079">
        <v>279.51830000000001</v>
      </c>
      <c r="J3079">
        <v>-445.05259999999998</v>
      </c>
      <c r="K3079">
        <v>1.104309</v>
      </c>
      <c r="L3079">
        <v>283.47059999999999</v>
      </c>
      <c r="M3079">
        <v>-0.9998745</v>
      </c>
      <c r="N3079">
        <v>0</v>
      </c>
      <c r="O3079">
        <v>9.6813720000000006E-3</v>
      </c>
      <c r="P3079">
        <v>-0.99624179999999996</v>
      </c>
      <c r="Q3079">
        <v>8.5152720000000001E-2</v>
      </c>
      <c r="R3079">
        <v>-1.5846720000000002E-2</v>
      </c>
      <c r="S3079">
        <v>-3.0140380000000002</v>
      </c>
      <c r="T3079">
        <v>-0.1011572</v>
      </c>
      <c r="U3079">
        <v>-0.36178589999999999</v>
      </c>
      <c r="V3079">
        <v>-2.548798E-2</v>
      </c>
      <c r="W3079">
        <v>9.7632389999999999E-2</v>
      </c>
      <c r="X3079">
        <v>0.99489609999999995</v>
      </c>
      <c r="Y3079">
        <v>-0.12870879999999901</v>
      </c>
      <c r="Z3079">
        <v>-2.475283E-3</v>
      </c>
      <c r="AA3079">
        <v>0.99167930000000004</v>
      </c>
      <c r="AB3079">
        <v>42</v>
      </c>
      <c r="AC3079">
        <v>-32.627600000000001</v>
      </c>
      <c r="AD3079">
        <v>-1.1043062418279901</v>
      </c>
      <c r="AE3079">
        <v>-3.9522999999999802</v>
      </c>
      <c r="AF3079">
        <v>-4.2632064832003902</v>
      </c>
      <c r="AG3079">
        <v>-1.1043062418279901</v>
      </c>
      <c r="AH3079">
        <v>32.551054776818198</v>
      </c>
      <c r="AI3079">
        <v>91.926594010792897</v>
      </c>
      <c r="AJ3079">
        <v>97.461549670493994</v>
      </c>
      <c r="AK3079">
        <v>32.8476116160302</v>
      </c>
      <c r="AL3079">
        <v>84.397150730213298</v>
      </c>
      <c r="AM3079">
        <v>91.467524419700098</v>
      </c>
      <c r="AN3079">
        <v>0.99999998524840095</v>
      </c>
    </row>
    <row r="3080" spans="1:40" x14ac:dyDescent="0.3">
      <c r="A3080" t="str">
        <f>"20200111150013139"</f>
        <v>20200111150013139</v>
      </c>
      <c r="B3080" t="str">
        <f>"1578726013129026"</f>
        <v>1578726013129026</v>
      </c>
      <c r="C3080" t="s">
        <v>40</v>
      </c>
      <c r="D3080">
        <v>4.0742960000000004</v>
      </c>
      <c r="E3080">
        <v>0.46215650000000003</v>
      </c>
      <c r="F3080" t="s">
        <v>52</v>
      </c>
      <c r="G3080">
        <v>-478.18110000000001</v>
      </c>
      <c r="H3080" s="1">
        <v>2.53307E-6</v>
      </c>
      <c r="I3080">
        <v>279.49560000000002</v>
      </c>
      <c r="J3080">
        <v>-445.3383</v>
      </c>
      <c r="K3080">
        <v>1.104314</v>
      </c>
      <c r="L3080">
        <v>283.47329999999999</v>
      </c>
      <c r="M3080">
        <v>-0.99987470000000001</v>
      </c>
      <c r="N3080">
        <v>0</v>
      </c>
      <c r="O3080">
        <v>9.6810769999999997E-3</v>
      </c>
      <c r="P3080">
        <v>-0.99620030000000004</v>
      </c>
      <c r="Q3080">
        <v>8.5739019999999999E-2</v>
      </c>
      <c r="R3080">
        <v>-1.530426E-2</v>
      </c>
      <c r="S3080">
        <v>-3.0141909999999998</v>
      </c>
      <c r="T3080">
        <v>-0.1004753</v>
      </c>
      <c r="U3080">
        <v>-0.36166379999999998</v>
      </c>
      <c r="V3080">
        <v>-2.4944770000000002E-2</v>
      </c>
      <c r="W3080">
        <v>9.8217499999999999E-2</v>
      </c>
      <c r="X3080">
        <v>0.99485230000000002</v>
      </c>
      <c r="Y3080">
        <v>-0.1286641</v>
      </c>
      <c r="Z3080">
        <v>-2.4577359999999999E-3</v>
      </c>
      <c r="AA3080">
        <v>0.99168520000000004</v>
      </c>
      <c r="AB3080">
        <v>42</v>
      </c>
      <c r="AC3080">
        <v>-32.842799999999997</v>
      </c>
      <c r="AD3080">
        <v>-1.10431146692999</v>
      </c>
      <c r="AE3080">
        <v>-3.9776999999999698</v>
      </c>
      <c r="AF3080">
        <v>-4.2907112995431298</v>
      </c>
      <c r="AG3080">
        <v>-1.10431146692999</v>
      </c>
      <c r="AH3080">
        <v>32.766239766766503</v>
      </c>
      <c r="AI3080">
        <v>91.913965118582396</v>
      </c>
      <c r="AJ3080">
        <v>97.460384218953706</v>
      </c>
      <c r="AK3080">
        <v>33.064424624137203</v>
      </c>
      <c r="AL3080">
        <v>84.363464626349895</v>
      </c>
      <c r="AM3080">
        <v>91.436324404168204</v>
      </c>
      <c r="AN3080">
        <v>1.00000000883594</v>
      </c>
    </row>
    <row r="3081" spans="1:40" x14ac:dyDescent="0.3">
      <c r="A3081" t="str">
        <f>"20200111150013156"</f>
        <v>20200111150013156</v>
      </c>
      <c r="B3081" t="str">
        <f>"1578726013149521"</f>
        <v>1578726013149521</v>
      </c>
      <c r="C3081" t="s">
        <v>40</v>
      </c>
      <c r="D3081">
        <v>4.1452159999999996</v>
      </c>
      <c r="E3081">
        <v>0.46194540000000001</v>
      </c>
      <c r="F3081" t="s">
        <v>52</v>
      </c>
      <c r="G3081">
        <v>-479.0095</v>
      </c>
      <c r="H3081" s="1">
        <v>2.1599459999999999E-6</v>
      </c>
      <c r="I3081">
        <v>279.452</v>
      </c>
      <c r="J3081">
        <v>-445.649</v>
      </c>
      <c r="K3081">
        <v>1.104317</v>
      </c>
      <c r="L3081">
        <v>283.47629999999998</v>
      </c>
      <c r="M3081">
        <v>-0.99987470000000001</v>
      </c>
      <c r="N3081">
        <v>0</v>
      </c>
      <c r="O3081">
        <v>9.6809010000000004E-3</v>
      </c>
      <c r="P3081">
        <v>-0.99616930000000004</v>
      </c>
      <c r="Q3081">
        <v>8.6147470000000004E-2</v>
      </c>
      <c r="R3081">
        <v>-1.5014080000000001E-2</v>
      </c>
      <c r="S3081">
        <v>-3.014465</v>
      </c>
      <c r="T3081">
        <v>-9.8865270000000005E-2</v>
      </c>
      <c r="U3081">
        <v>-0.3600159</v>
      </c>
      <c r="V3081">
        <v>-2.4654390000000002E-2</v>
      </c>
      <c r="W3081">
        <v>9.8625110000000002E-2</v>
      </c>
      <c r="X3081">
        <v>0.99481920000000001</v>
      </c>
      <c r="Y3081">
        <v>-0.1281214</v>
      </c>
      <c r="Z3081">
        <v>-2.4093629999999999E-3</v>
      </c>
      <c r="AA3081">
        <v>0.99175550000000001</v>
      </c>
      <c r="AB3081">
        <v>42</v>
      </c>
      <c r="AC3081">
        <v>-33.360500000000002</v>
      </c>
      <c r="AD3081">
        <v>-1.1043148400539999</v>
      </c>
      <c r="AE3081">
        <v>-4.0242999999999798</v>
      </c>
      <c r="AF3081">
        <v>-4.342406374296</v>
      </c>
      <c r="AG3081">
        <v>-1.1043148400539999</v>
      </c>
      <c r="AH3081">
        <v>33.284025910778098</v>
      </c>
      <c r="AI3081">
        <v>91.884334829765905</v>
      </c>
      <c r="AJ3081">
        <v>97.433120374496795</v>
      </c>
      <c r="AK3081">
        <v>33.584257997085999</v>
      </c>
      <c r="AL3081">
        <v>84.339996278394395</v>
      </c>
      <c r="AM3081">
        <v>91.419658367693998</v>
      </c>
      <c r="AN3081">
        <v>0.99999999597871203</v>
      </c>
    </row>
    <row r="3082" spans="1:40" x14ac:dyDescent="0.3">
      <c r="A3082" t="str">
        <f>"20200111150013171"</f>
        <v>20200111150013171</v>
      </c>
      <c r="B3082" t="str">
        <f>"1578726013159281"</f>
        <v>1578726013159281</v>
      </c>
      <c r="C3082" t="s">
        <v>40</v>
      </c>
      <c r="D3082">
        <v>4.1442940000000004</v>
      </c>
      <c r="E3082">
        <v>0.46190890000000001</v>
      </c>
      <c r="F3082" t="s">
        <v>52</v>
      </c>
      <c r="G3082">
        <v>-480.29480000000001</v>
      </c>
      <c r="H3082" s="1">
        <v>1.7407549999999999E-6</v>
      </c>
      <c r="I3082">
        <v>279.33080000000001</v>
      </c>
      <c r="J3082">
        <v>-445.93029999999999</v>
      </c>
      <c r="K3082">
        <v>1.1043190000000001</v>
      </c>
      <c r="L3082">
        <v>283.47910000000002</v>
      </c>
      <c r="M3082">
        <v>-0.99987470000000001</v>
      </c>
      <c r="N3082">
        <v>0</v>
      </c>
      <c r="O3082">
        <v>9.6807249999999994E-3</v>
      </c>
      <c r="P3082">
        <v>-0.99615379999999998</v>
      </c>
      <c r="Q3082">
        <v>8.6352209999999999E-2</v>
      </c>
      <c r="R3082">
        <v>-1.486527E-2</v>
      </c>
      <c r="S3082">
        <v>-3.0144350000000002</v>
      </c>
      <c r="T3082">
        <v>-9.6083399999999999E-2</v>
      </c>
      <c r="U3082">
        <v>-0.36068729999999999</v>
      </c>
      <c r="V3082">
        <v>-2.450542E-2</v>
      </c>
      <c r="W3082">
        <v>9.8829150000000004E-2</v>
      </c>
      <c r="X3082">
        <v>0.99480270000000004</v>
      </c>
      <c r="Y3082">
        <v>-0.12834409999999999</v>
      </c>
      <c r="Z3082">
        <v>-2.3451259999999999E-3</v>
      </c>
      <c r="AA3082">
        <v>0.99172689999999997</v>
      </c>
      <c r="AB3082">
        <v>42</v>
      </c>
      <c r="AC3082">
        <v>-34.3645</v>
      </c>
      <c r="AD3082">
        <v>-1.1043172592449999</v>
      </c>
      <c r="AE3082">
        <v>-4.1482999999999999</v>
      </c>
      <c r="AF3082">
        <v>-4.4762487929691401</v>
      </c>
      <c r="AG3082">
        <v>-1.1043172592449999</v>
      </c>
      <c r="AH3082">
        <v>34.287827803484198</v>
      </c>
      <c r="AI3082">
        <v>91.829191848781505</v>
      </c>
      <c r="AJ3082">
        <v>97.437854342082403</v>
      </c>
      <c r="AK3082">
        <v>34.596408127824603</v>
      </c>
      <c r="AL3082">
        <v>84.328248641279899</v>
      </c>
      <c r="AM3082">
        <v>91.411107194865096</v>
      </c>
      <c r="AN3082">
        <v>1.0000000642131901</v>
      </c>
    </row>
    <row r="3083" spans="1:40" x14ac:dyDescent="0.3">
      <c r="A3083" t="str">
        <f>"20200111150013185"</f>
        <v>20200111150013185</v>
      </c>
      <c r="B3083" t="str">
        <f>"1578726013178801"</f>
        <v>1578726013178801</v>
      </c>
      <c r="C3083" t="s">
        <v>40</v>
      </c>
      <c r="D3083">
        <v>4.1907709999999998</v>
      </c>
      <c r="E3083">
        <v>0.46159889999999998</v>
      </c>
      <c r="F3083" t="s">
        <v>52</v>
      </c>
      <c r="G3083">
        <v>-480.7765</v>
      </c>
      <c r="H3083" s="1">
        <v>1.7989850000000001E-6</v>
      </c>
      <c r="I3083">
        <v>279.31259999999997</v>
      </c>
      <c r="J3083">
        <v>-446.1927</v>
      </c>
      <c r="K3083">
        <v>1.104322</v>
      </c>
      <c r="L3083">
        <v>283.48160000000001</v>
      </c>
      <c r="M3083">
        <v>-0.99987470000000001</v>
      </c>
      <c r="N3083">
        <v>0</v>
      </c>
      <c r="O3083">
        <v>9.6805490000000001E-3</v>
      </c>
      <c r="P3083">
        <v>-0.99614309999999995</v>
      </c>
      <c r="Q3083">
        <v>8.6562120000000006E-2</v>
      </c>
      <c r="R3083">
        <v>-1.435733E-2</v>
      </c>
      <c r="S3083">
        <v>-3.014526</v>
      </c>
      <c r="T3083">
        <v>-9.5534090000000002E-2</v>
      </c>
      <c r="U3083">
        <v>-0.36044310000000002</v>
      </c>
      <c r="V3083">
        <v>-2.399687E-2</v>
      </c>
      <c r="W3083">
        <v>9.9038409999999993E-2</v>
      </c>
      <c r="X3083">
        <v>0.99479419999999996</v>
      </c>
      <c r="Y3083">
        <v>-0.12826209999999999</v>
      </c>
      <c r="Z3083">
        <v>-2.330365E-3</v>
      </c>
      <c r="AA3083">
        <v>0.99173750000000005</v>
      </c>
      <c r="AB3083">
        <v>42</v>
      </c>
      <c r="AC3083">
        <v>-34.583799999999997</v>
      </c>
      <c r="AD3083">
        <v>-1.1043202010149999</v>
      </c>
      <c r="AE3083">
        <v>-4.1690000000000396</v>
      </c>
      <c r="AF3083">
        <v>-4.4990993239087</v>
      </c>
      <c r="AG3083">
        <v>-1.1043202010149999</v>
      </c>
      <c r="AH3083">
        <v>34.507137153799697</v>
      </c>
      <c r="AI3083">
        <v>91.817618151663495</v>
      </c>
      <c r="AJ3083">
        <v>97.4284176153364</v>
      </c>
      <c r="AK3083">
        <v>34.816719150200001</v>
      </c>
      <c r="AL3083">
        <v>84.316199326496701</v>
      </c>
      <c r="AM3083">
        <v>91.381846396506603</v>
      </c>
      <c r="AN3083">
        <v>0.99999997838938204</v>
      </c>
    </row>
    <row r="3084" spans="1:40" x14ac:dyDescent="0.3">
      <c r="A3084" t="str">
        <f>"20200111150013207"</f>
        <v>20200111150013207</v>
      </c>
      <c r="B3084" t="str">
        <f>"1578726013199297"</f>
        <v>1578726013199297</v>
      </c>
      <c r="C3084" t="s">
        <v>40</v>
      </c>
      <c r="D3084">
        <v>4.1963599999999897</v>
      </c>
      <c r="E3084">
        <v>0.4613352</v>
      </c>
      <c r="F3084" t="s">
        <v>52</v>
      </c>
      <c r="G3084">
        <v>-481.0274</v>
      </c>
      <c r="H3084" s="1">
        <v>1.8404880000000001E-6</v>
      </c>
      <c r="I3084">
        <v>279.30399999999997</v>
      </c>
      <c r="J3084">
        <v>-446.59280000000001</v>
      </c>
      <c r="K3084">
        <v>1.1043240000000001</v>
      </c>
      <c r="L3084">
        <v>283.4855</v>
      </c>
      <c r="M3084">
        <v>-0.99987470000000001</v>
      </c>
      <c r="N3084">
        <v>0</v>
      </c>
      <c r="O3084">
        <v>9.6802539999999992E-3</v>
      </c>
      <c r="P3084">
        <v>-0.99616320000000003</v>
      </c>
      <c r="Q3084">
        <v>8.6462259999999999E-2</v>
      </c>
      <c r="R3084">
        <v>-1.3536309999999999E-2</v>
      </c>
      <c r="S3084">
        <v>-3.0147089999999999</v>
      </c>
      <c r="T3084">
        <v>-9.5571519999999993E-2</v>
      </c>
      <c r="U3084">
        <v>-0.36154170000000002</v>
      </c>
      <c r="V3084">
        <v>-2.317599E-2</v>
      </c>
      <c r="W3084">
        <v>9.8938289999999998E-2</v>
      </c>
      <c r="X3084">
        <v>0.99482360000000003</v>
      </c>
      <c r="Y3084">
        <v>-0.1286108</v>
      </c>
      <c r="Z3084">
        <v>-2.3365840000000001E-3</v>
      </c>
      <c r="AA3084">
        <v>0.99169240000000003</v>
      </c>
      <c r="AB3084">
        <v>42</v>
      </c>
      <c r="AC3084">
        <v>-34.434599999999897</v>
      </c>
      <c r="AD3084">
        <v>-1.1043221595119901</v>
      </c>
      <c r="AE3084">
        <v>-4.1814999999999696</v>
      </c>
      <c r="AF3084">
        <v>-4.5100946743504302</v>
      </c>
      <c r="AG3084">
        <v>-1.1043221595119901</v>
      </c>
      <c r="AH3084">
        <v>34.357682018972397</v>
      </c>
      <c r="AI3084">
        <v>91.825314483422403</v>
      </c>
      <c r="AJ3084">
        <v>97.478394116651302</v>
      </c>
      <c r="AK3084">
        <v>34.670027330828702</v>
      </c>
      <c r="AL3084">
        <v>84.321963950995695</v>
      </c>
      <c r="AM3084">
        <v>91.334554450628602</v>
      </c>
      <c r="AN3084">
        <v>0.99999995342878101</v>
      </c>
    </row>
    <row r="3085" spans="1:40" x14ac:dyDescent="0.3">
      <c r="A3085" t="str">
        <f>"20200111150013223"</f>
        <v>20200111150013223</v>
      </c>
      <c r="B3085" t="str">
        <f>"1578726013218817"</f>
        <v>1578726013218817</v>
      </c>
      <c r="C3085" t="s">
        <v>40</v>
      </c>
      <c r="D3085">
        <v>4.1774979999999999</v>
      </c>
      <c r="E3085">
        <v>0.4611712</v>
      </c>
      <c r="F3085" t="s">
        <v>52</v>
      </c>
      <c r="G3085">
        <v>-480.79500000000002</v>
      </c>
      <c r="H3085" s="1">
        <v>1.8295630000000001E-6</v>
      </c>
      <c r="I3085">
        <v>279.38979999999998</v>
      </c>
      <c r="J3085">
        <v>-446.90300000000002</v>
      </c>
      <c r="K3085">
        <v>1.1043240000000001</v>
      </c>
      <c r="L3085">
        <v>283.48849999999999</v>
      </c>
      <c r="M3085">
        <v>-0.99987470000000001</v>
      </c>
      <c r="N3085">
        <v>0</v>
      </c>
      <c r="O3085">
        <v>9.6800779999999999E-3</v>
      </c>
      <c r="P3085">
        <v>-0.99616830000000001</v>
      </c>
      <c r="Q3085">
        <v>8.6467550000000004E-2</v>
      </c>
      <c r="R3085">
        <v>-1.3118579999999999E-2</v>
      </c>
      <c r="S3085">
        <v>-3.0150450000000002</v>
      </c>
      <c r="T3085">
        <v>-9.7350119999999998E-2</v>
      </c>
      <c r="U3085">
        <v>-0.36105350000000003</v>
      </c>
      <c r="V3085">
        <v>-2.275806E-2</v>
      </c>
      <c r="W3085">
        <v>9.8943039999999996E-2</v>
      </c>
      <c r="X3085">
        <v>0.99483279999999996</v>
      </c>
      <c r="Y3085">
        <v>-0.12843669999999999</v>
      </c>
      <c r="Z3085">
        <v>-2.3770010000000001E-3</v>
      </c>
      <c r="AA3085">
        <v>0.99171480000000001</v>
      </c>
      <c r="AB3085">
        <v>42</v>
      </c>
      <c r="AC3085">
        <v>-33.892000000000003</v>
      </c>
      <c r="AD3085">
        <v>-1.1043221704369901</v>
      </c>
      <c r="AE3085">
        <v>-4.0987</v>
      </c>
      <c r="AF3085">
        <v>-4.4219837758124996</v>
      </c>
      <c r="AG3085">
        <v>-1.1043221704369901</v>
      </c>
      <c r="AH3085">
        <v>33.815349077254503</v>
      </c>
      <c r="AI3085">
        <v>91.854688186437699</v>
      </c>
      <c r="AJ3085">
        <v>97.450210068279006</v>
      </c>
      <c r="AK3085">
        <v>34.121126903814897</v>
      </c>
      <c r="AL3085">
        <v>84.321690589539799</v>
      </c>
      <c r="AM3085">
        <v>91.310484936084706</v>
      </c>
      <c r="AN3085">
        <v>0.99999997720762202</v>
      </c>
    </row>
    <row r="3086" spans="1:40" x14ac:dyDescent="0.3">
      <c r="A3086" t="str">
        <f>"20200111150013238"</f>
        <v>20200111150013238</v>
      </c>
      <c r="B3086" t="str">
        <f>"1578726013228578"</f>
        <v>1578726013228578</v>
      </c>
      <c r="C3086" t="s">
        <v>40</v>
      </c>
      <c r="D3086">
        <v>4.101915</v>
      </c>
      <c r="E3086">
        <v>0.4611634</v>
      </c>
      <c r="F3086" t="s">
        <v>52</v>
      </c>
      <c r="G3086">
        <v>-480.88049999999998</v>
      </c>
      <c r="H3086" s="1">
        <v>1.8541909999999999E-6</v>
      </c>
      <c r="I3086">
        <v>279.41649999999998</v>
      </c>
      <c r="J3086">
        <v>-447.19049999999999</v>
      </c>
      <c r="K3086">
        <v>1.1043210000000001</v>
      </c>
      <c r="L3086">
        <v>283.49130000000002</v>
      </c>
      <c r="M3086">
        <v>-0.99987470000000001</v>
      </c>
      <c r="N3086">
        <v>0</v>
      </c>
      <c r="O3086">
        <v>9.6799009999999994E-3</v>
      </c>
      <c r="P3086">
        <v>-0.99614279999999999</v>
      </c>
      <c r="Q3086">
        <v>8.6816210000000005E-2</v>
      </c>
      <c r="R3086">
        <v>-1.275009E-2</v>
      </c>
      <c r="S3086">
        <v>-3.0152589999999999</v>
      </c>
      <c r="T3086">
        <v>-9.8000409999999996E-2</v>
      </c>
      <c r="U3086">
        <v>-0.36135859999999997</v>
      </c>
      <c r="V3086">
        <v>-2.2389160000000002E-2</v>
      </c>
      <c r="W3086">
        <v>9.9291309999999994E-2</v>
      </c>
      <c r="X3086">
        <v>0.99480650000000004</v>
      </c>
      <c r="Y3086">
        <v>-0.12852620000000001</v>
      </c>
      <c r="Z3086">
        <v>-2.3941309999999999E-3</v>
      </c>
      <c r="AA3086">
        <v>0.99170320000000001</v>
      </c>
      <c r="AB3086">
        <v>42</v>
      </c>
      <c r="AC3086">
        <v>-33.69</v>
      </c>
      <c r="AD3086">
        <v>-1.10431914580899</v>
      </c>
      <c r="AE3086">
        <v>-4.07480000000003</v>
      </c>
      <c r="AF3086">
        <v>-4.3960952156405799</v>
      </c>
      <c r="AG3086">
        <v>-1.10431914580899</v>
      </c>
      <c r="AH3086">
        <v>33.613379317694701</v>
      </c>
      <c r="AI3086">
        <v>91.865815600137395</v>
      </c>
      <c r="AJ3086">
        <v>97.451086106920101</v>
      </c>
      <c r="AK3086">
        <v>33.917612579248598</v>
      </c>
      <c r="AL3086">
        <v>84.301637603744794</v>
      </c>
      <c r="AM3086">
        <v>91.289283746204703</v>
      </c>
      <c r="AN3086">
        <v>1.0000000055846301</v>
      </c>
    </row>
    <row r="3087" spans="1:40" x14ac:dyDescent="0.3">
      <c r="A3087" t="str">
        <f>"20200111150013251"</f>
        <v>20200111150013251</v>
      </c>
      <c r="B3087" t="str">
        <f>"1578726013239314"</f>
        <v>1578726013239314</v>
      </c>
      <c r="C3087" t="s">
        <v>40</v>
      </c>
      <c r="D3087">
        <v>4.0935100000000002</v>
      </c>
      <c r="E3087">
        <v>0.46118540000000002</v>
      </c>
      <c r="F3087" t="s">
        <v>52</v>
      </c>
      <c r="G3087">
        <v>-481.71519999999998</v>
      </c>
      <c r="H3087" s="1">
        <v>1.9837179999999998E-6</v>
      </c>
      <c r="I3087">
        <v>279.36410000000001</v>
      </c>
      <c r="J3087">
        <v>-447.42809999999997</v>
      </c>
      <c r="K3087">
        <v>1.10432</v>
      </c>
      <c r="L3087">
        <v>283.49360000000001</v>
      </c>
      <c r="M3087">
        <v>-0.99987470000000001</v>
      </c>
      <c r="N3087">
        <v>0</v>
      </c>
      <c r="O3087">
        <v>9.6797240000000007E-3</v>
      </c>
      <c r="P3087">
        <v>-0.99613169999999995</v>
      </c>
      <c r="Q3087">
        <v>8.6977689999999996E-2</v>
      </c>
      <c r="R3087">
        <v>-1.251212E-2</v>
      </c>
      <c r="S3087">
        <v>-3.0154109999999998</v>
      </c>
      <c r="T3087">
        <v>-9.6451999999999996E-2</v>
      </c>
      <c r="U3087">
        <v>-0.36047360000000001</v>
      </c>
      <c r="V3087">
        <v>-2.2150670000000001E-2</v>
      </c>
      <c r="W3087">
        <v>9.9452639999999995E-2</v>
      </c>
      <c r="X3087">
        <v>0.99479569999999995</v>
      </c>
      <c r="Y3087">
        <v>-0.1282355</v>
      </c>
      <c r="Z3087">
        <v>-2.3516090000000002E-3</v>
      </c>
      <c r="AA3087">
        <v>0.99174090000000004</v>
      </c>
      <c r="AB3087">
        <v>42</v>
      </c>
      <c r="AC3087">
        <v>-34.287100000000002</v>
      </c>
      <c r="AD3087">
        <v>-1.1043180162820001</v>
      </c>
      <c r="AE3087">
        <v>-4.1295000000000002</v>
      </c>
      <c r="AF3087">
        <v>-4.4566651712158603</v>
      </c>
      <c r="AG3087">
        <v>-1.1043180162820001</v>
      </c>
      <c r="AH3087">
        <v>34.210536849138002</v>
      </c>
      <c r="AI3087">
        <v>91.8333881246879</v>
      </c>
      <c r="AJ3087">
        <v>97.422220767694697</v>
      </c>
      <c r="AK3087">
        <v>34.517274142603497</v>
      </c>
      <c r="AL3087">
        <v>84.292347962356402</v>
      </c>
      <c r="AM3087">
        <v>91.275568662512498</v>
      </c>
      <c r="AN3087">
        <v>0.99999998226145403</v>
      </c>
    </row>
    <row r="3088" spans="1:40" x14ac:dyDescent="0.3">
      <c r="A3088" t="str">
        <f>"20200111150013265"</f>
        <v>20200111150013265</v>
      </c>
      <c r="B3088" t="str">
        <f>"1578726013258834"</f>
        <v>1578726013258834</v>
      </c>
      <c r="C3088" t="s">
        <v>40</v>
      </c>
      <c r="D3088">
        <v>4.2242670000000002</v>
      </c>
      <c r="E3088">
        <v>0.46129039999999999</v>
      </c>
      <c r="F3088" t="s">
        <v>52</v>
      </c>
      <c r="G3088">
        <v>-482.17399999999998</v>
      </c>
      <c r="H3088" s="1">
        <v>2.059847E-6</v>
      </c>
      <c r="I3088">
        <v>279.3492</v>
      </c>
      <c r="J3088">
        <v>-447.69600000000003</v>
      </c>
      <c r="K3088">
        <v>1.1043210000000001</v>
      </c>
      <c r="L3088">
        <v>283.49619999999999</v>
      </c>
      <c r="M3088">
        <v>-0.99987470000000001</v>
      </c>
      <c r="N3088">
        <v>0</v>
      </c>
      <c r="O3088">
        <v>9.6795479999999996E-3</v>
      </c>
      <c r="P3088">
        <v>-0.99613989999999997</v>
      </c>
      <c r="Q3088">
        <v>8.6905700000000002E-2</v>
      </c>
      <c r="R3088">
        <v>-1.2366719999999999E-2</v>
      </c>
      <c r="S3088">
        <v>-3.015533</v>
      </c>
      <c r="T3088">
        <v>-9.5841999999999997E-2</v>
      </c>
      <c r="U3088">
        <v>-0.35968020000000001</v>
      </c>
      <c r="V3088">
        <v>-2.2005199999999999E-2</v>
      </c>
      <c r="W3088">
        <v>9.938052E-2</v>
      </c>
      <c r="X3088">
        <v>0.99480619999999997</v>
      </c>
      <c r="Y3088">
        <v>-0.12797439999999999</v>
      </c>
      <c r="Z3088">
        <v>-2.3325469999999999E-3</v>
      </c>
      <c r="AA3088">
        <v>0.99177470000000001</v>
      </c>
      <c r="AB3088">
        <v>42</v>
      </c>
      <c r="AC3088">
        <v>-34.478000000000002</v>
      </c>
      <c r="AD3088">
        <v>-1.10431894015299</v>
      </c>
      <c r="AE3088">
        <v>-4.1469999999999896</v>
      </c>
      <c r="AF3088">
        <v>-4.4760368503331902</v>
      </c>
      <c r="AG3088">
        <v>-1.10431894015299</v>
      </c>
      <c r="AH3088">
        <v>34.401451150788198</v>
      </c>
      <c r="AI3088">
        <v>91.823259249983593</v>
      </c>
      <c r="AJ3088">
        <v>97.413214719536498</v>
      </c>
      <c r="AK3088">
        <v>34.708994043146603</v>
      </c>
      <c r="AL3088">
        <v>84.2965010723034</v>
      </c>
      <c r="AM3088">
        <v>91.267180995767006</v>
      </c>
      <c r="AN3088">
        <v>1.0000000460704701</v>
      </c>
    </row>
    <row r="3089" spans="1:40" x14ac:dyDescent="0.3">
      <c r="A3089" t="str">
        <f>"20200111150013285"</f>
        <v>20200111150013285</v>
      </c>
      <c r="B3089" t="str">
        <f>"1578726013279335"</f>
        <v>1578726013279335</v>
      </c>
      <c r="C3089" t="s">
        <v>40</v>
      </c>
      <c r="D3089">
        <v>4.0770249999999999</v>
      </c>
      <c r="E3089">
        <v>0.4613179</v>
      </c>
      <c r="F3089" t="s">
        <v>52</v>
      </c>
      <c r="G3089">
        <v>-481.22199999999998</v>
      </c>
      <c r="H3089" s="1">
        <v>1.9470810000000001E-6</v>
      </c>
      <c r="I3089">
        <v>279.50790000000001</v>
      </c>
      <c r="J3089">
        <v>-448.06790000000001</v>
      </c>
      <c r="K3089">
        <v>1.10432</v>
      </c>
      <c r="L3089">
        <v>283.49979999999999</v>
      </c>
      <c r="M3089">
        <v>-0.99987470000000001</v>
      </c>
      <c r="N3089">
        <v>0</v>
      </c>
      <c r="O3089">
        <v>9.6793710000000008E-3</v>
      </c>
      <c r="P3089">
        <v>-0.99614749999999996</v>
      </c>
      <c r="Q3089">
        <v>8.6882639999999997E-2</v>
      </c>
      <c r="R3089">
        <v>-1.191393E-2</v>
      </c>
      <c r="S3089">
        <v>-3.0158079999999998</v>
      </c>
      <c r="T3089">
        <v>-9.9338049999999997E-2</v>
      </c>
      <c r="U3089">
        <v>-0.35876459999999999</v>
      </c>
      <c r="V3089">
        <v>-2.1552709999999999E-2</v>
      </c>
      <c r="W3089">
        <v>9.9357260000000003E-2</v>
      </c>
      <c r="X3089">
        <v>0.99481839999999999</v>
      </c>
      <c r="Y3089">
        <v>-0.12766179999999999</v>
      </c>
      <c r="Z3089">
        <v>-2.4122760000000001E-3</v>
      </c>
      <c r="AA3089">
        <v>0.99181490000000005</v>
      </c>
      <c r="AB3089">
        <v>42</v>
      </c>
      <c r="AC3089">
        <v>-33.1540999999999</v>
      </c>
      <c r="AD3089">
        <v>-1.104318052919</v>
      </c>
      <c r="AE3089">
        <v>-3.9918999999999798</v>
      </c>
      <c r="AF3089">
        <v>-4.30793776732492</v>
      </c>
      <c r="AG3089">
        <v>-1.104318052919</v>
      </c>
      <c r="AH3089">
        <v>33.077730319656801</v>
      </c>
      <c r="AI3089">
        <v>91.896139267340402</v>
      </c>
      <c r="AJ3089">
        <v>97.420253915237197</v>
      </c>
      <c r="AK3089">
        <v>33.375351522779297</v>
      </c>
      <c r="AL3089">
        <v>84.297840232834503</v>
      </c>
      <c r="AM3089">
        <v>91.241117141574193</v>
      </c>
      <c r="AN3089">
        <v>1.0000000167008001</v>
      </c>
    </row>
    <row r="3090" spans="1:40" x14ac:dyDescent="0.3">
      <c r="A3090" t="str">
        <f>"20200111150013301"</f>
        <v>20200111150013301</v>
      </c>
      <c r="B3090" t="str">
        <f>"1578726013298850"</f>
        <v>1578726013298850</v>
      </c>
      <c r="C3090" t="s">
        <v>40</v>
      </c>
      <c r="D3090">
        <v>4.2813639999999999</v>
      </c>
      <c r="E3090">
        <v>0.46105770000000001</v>
      </c>
      <c r="F3090" t="s">
        <v>52</v>
      </c>
      <c r="G3090">
        <v>-481.7525</v>
      </c>
      <c r="H3090" s="1">
        <v>2.0425849999999999E-6</v>
      </c>
      <c r="I3090">
        <v>279.51190000000003</v>
      </c>
      <c r="J3090">
        <v>-448.36500000000001</v>
      </c>
      <c r="K3090">
        <v>1.1043229999999999</v>
      </c>
      <c r="L3090">
        <v>283.5027</v>
      </c>
      <c r="M3090">
        <v>-0.99987470000000001</v>
      </c>
      <c r="N3090">
        <v>0</v>
      </c>
      <c r="O3090">
        <v>9.6792530000000005E-3</v>
      </c>
      <c r="P3090">
        <v>-0.99614780000000003</v>
      </c>
      <c r="Q3090">
        <v>8.6934090000000006E-2</v>
      </c>
      <c r="R3090">
        <v>-1.150284E-2</v>
      </c>
      <c r="S3090">
        <v>-3.01593</v>
      </c>
      <c r="T3090">
        <v>-9.8874329999999996E-2</v>
      </c>
      <c r="U3090">
        <v>-0.35705569999999998</v>
      </c>
      <c r="V3090">
        <v>-2.114133E-2</v>
      </c>
      <c r="W3090">
        <v>9.9408029999999994E-2</v>
      </c>
      <c r="X3090">
        <v>0.99482210000000004</v>
      </c>
      <c r="Y3090">
        <v>-0.12710369999999999</v>
      </c>
      <c r="Z3090">
        <v>-2.3918870000000001E-3</v>
      </c>
      <c r="AA3090">
        <v>0.99188659999999995</v>
      </c>
      <c r="AB3090">
        <v>42</v>
      </c>
      <c r="AC3090">
        <v>-33.387499999999903</v>
      </c>
      <c r="AD3090">
        <v>-1.1043209574149999</v>
      </c>
      <c r="AE3090">
        <v>-3.9907999999999699</v>
      </c>
      <c r="AF3090">
        <v>-4.3091565644824996</v>
      </c>
      <c r="AG3090">
        <v>-1.1043209574149999</v>
      </c>
      <c r="AH3090">
        <v>33.311374956946501</v>
      </c>
      <c r="AI3090">
        <v>91.883064991347396</v>
      </c>
      <c r="AJ3090">
        <v>97.3708443900573</v>
      </c>
      <c r="AK3090">
        <v>33.607083428891798</v>
      </c>
      <c r="AL3090">
        <v>84.294916537129097</v>
      </c>
      <c r="AM3090">
        <v>91.217430413925598</v>
      </c>
      <c r="AN3090">
        <v>0.99999996145552905</v>
      </c>
    </row>
    <row r="3091" spans="1:40" x14ac:dyDescent="0.3">
      <c r="A3091" t="str">
        <f>"20200111150013314"</f>
        <v>20200111150013314</v>
      </c>
      <c r="B3091" t="str">
        <f>"1578726013308610"</f>
        <v>1578726013308610</v>
      </c>
      <c r="C3091" t="s">
        <v>40</v>
      </c>
      <c r="D3091">
        <v>4.2118979999999997</v>
      </c>
      <c r="E3091">
        <v>0.46095599999999998</v>
      </c>
      <c r="F3091" t="s">
        <v>52</v>
      </c>
      <c r="G3091">
        <v>-481.68470000000002</v>
      </c>
      <c r="H3091" s="1">
        <v>2.0427910000000001E-6</v>
      </c>
      <c r="I3091">
        <v>279.54649999999998</v>
      </c>
      <c r="J3091">
        <v>-448.62380000000002</v>
      </c>
      <c r="K3091">
        <v>1.1043240000000001</v>
      </c>
      <c r="L3091">
        <v>283.5052</v>
      </c>
      <c r="M3091">
        <v>-0.99987470000000001</v>
      </c>
      <c r="N3091">
        <v>0</v>
      </c>
      <c r="O3091">
        <v>9.679076E-3</v>
      </c>
      <c r="P3091">
        <v>-0.99614440000000004</v>
      </c>
      <c r="Q3091">
        <v>8.7014540000000001E-2</v>
      </c>
      <c r="R3091">
        <v>-1.1187890000000001E-2</v>
      </c>
      <c r="S3091">
        <v>-3.0161739999999999</v>
      </c>
      <c r="T3091">
        <v>-9.9965810000000002E-2</v>
      </c>
      <c r="U3091">
        <v>-0.35812379999999999</v>
      </c>
      <c r="V3091">
        <v>-2.082618E-2</v>
      </c>
      <c r="W3091">
        <v>9.9488220000000002E-2</v>
      </c>
      <c r="X3091">
        <v>0.99482079999999995</v>
      </c>
      <c r="Y3091">
        <v>-0.12743879999999999</v>
      </c>
      <c r="Z3091">
        <v>-2.4235580000000001E-3</v>
      </c>
      <c r="AA3091">
        <v>0.99184349999999999</v>
      </c>
      <c r="AB3091">
        <v>42</v>
      </c>
      <c r="AC3091">
        <v>-33.060899999999997</v>
      </c>
      <c r="AD3091">
        <v>-1.1043219572089999</v>
      </c>
      <c r="AE3091">
        <v>-3.9587000000000199</v>
      </c>
      <c r="AF3091">
        <v>-4.2738375235395196</v>
      </c>
      <c r="AG3091">
        <v>-1.1043219572089999</v>
      </c>
      <c r="AH3091">
        <v>32.984749381727397</v>
      </c>
      <c r="AI3091">
        <v>91.901648941693693</v>
      </c>
      <c r="AJ3091">
        <v>97.382689119690696</v>
      </c>
      <c r="AK3091">
        <v>33.278805656726298</v>
      </c>
      <c r="AL3091">
        <v>84.290299490693499</v>
      </c>
      <c r="AM3091">
        <v>91.1992893050612</v>
      </c>
      <c r="AN3091">
        <v>1.0000000299023999</v>
      </c>
    </row>
    <row r="3092" spans="1:40" x14ac:dyDescent="0.3">
      <c r="A3092" t="str">
        <f>"20200111150013327"</f>
        <v>20200111150013327</v>
      </c>
      <c r="B3092" t="str">
        <f>"1578726013319347"</f>
        <v>1578726013319347</v>
      </c>
      <c r="C3092" t="s">
        <v>40</v>
      </c>
      <c r="D3092">
        <v>4.2579830000000003</v>
      </c>
      <c r="E3092">
        <v>0.46076070000000002</v>
      </c>
      <c r="F3092" t="s">
        <v>52</v>
      </c>
      <c r="G3092">
        <v>-481.98599999999999</v>
      </c>
      <c r="H3092" s="1">
        <v>2.0966E-6</v>
      </c>
      <c r="I3092">
        <v>279.54750000000001</v>
      </c>
      <c r="J3092">
        <v>-448.86180000000002</v>
      </c>
      <c r="K3092">
        <v>1.1043240000000001</v>
      </c>
      <c r="L3092">
        <v>283.50749999999999</v>
      </c>
      <c r="M3092">
        <v>-0.99987470000000001</v>
      </c>
      <c r="N3092">
        <v>0</v>
      </c>
      <c r="O3092">
        <v>9.6790780000000007E-3</v>
      </c>
      <c r="P3092">
        <v>-0.99614669999999905</v>
      </c>
      <c r="Q3092">
        <v>8.7026590000000001E-2</v>
      </c>
      <c r="R3092">
        <v>-1.0872700000000001E-2</v>
      </c>
      <c r="S3092">
        <v>-3.016327</v>
      </c>
      <c r="T3092">
        <v>-9.9843500000000002E-2</v>
      </c>
      <c r="U3092">
        <v>-0.35781859999999999</v>
      </c>
      <c r="V3092">
        <v>-2.0511169999999999E-2</v>
      </c>
      <c r="W3092">
        <v>9.9500089999999999E-2</v>
      </c>
      <c r="X3092">
        <v>0.99482610000000005</v>
      </c>
      <c r="Y3092">
        <v>-0.12733419999999901</v>
      </c>
      <c r="Z3092">
        <v>-2.4187639999999999E-3</v>
      </c>
      <c r="AA3092">
        <v>0.99185690000000004</v>
      </c>
      <c r="AB3092">
        <v>42</v>
      </c>
      <c r="AC3092">
        <v>-33.124199999999902</v>
      </c>
      <c r="AD3092">
        <v>-1.1043219034</v>
      </c>
      <c r="AE3092">
        <v>-3.95999999999998</v>
      </c>
      <c r="AF3092">
        <v>-4.2757658905172198</v>
      </c>
      <c r="AG3092">
        <v>-1.1043219034</v>
      </c>
      <c r="AH3092">
        <v>33.048101325747702</v>
      </c>
      <c r="AI3092">
        <v>91.898052025964105</v>
      </c>
      <c r="AJ3092">
        <v>97.371980681270202</v>
      </c>
      <c r="AK3092">
        <v>33.341846110461901</v>
      </c>
      <c r="AL3092">
        <v>84.289615670247997</v>
      </c>
      <c r="AM3092">
        <v>91.181148134089895</v>
      </c>
      <c r="AN3092">
        <v>0.99999997262299301</v>
      </c>
    </row>
    <row r="3093" spans="1:40" x14ac:dyDescent="0.3">
      <c r="A3093" t="str">
        <f>"20200111150013339"</f>
        <v>20200111150013339</v>
      </c>
      <c r="B3093" t="str">
        <f>"1578726013329105"</f>
        <v>1578726013329105</v>
      </c>
      <c r="C3093" t="s">
        <v>40</v>
      </c>
      <c r="D3093">
        <v>4.1430550000000004</v>
      </c>
      <c r="E3093">
        <v>0.46070359999999999</v>
      </c>
      <c r="F3093" t="s">
        <v>52</v>
      </c>
      <c r="G3093">
        <v>-482.00990000000002</v>
      </c>
      <c r="H3093" s="1">
        <v>2.1074010000000002E-6</v>
      </c>
      <c r="I3093">
        <v>279.56610000000001</v>
      </c>
      <c r="J3093">
        <v>-449.10090000000002</v>
      </c>
      <c r="K3093">
        <v>1.104328</v>
      </c>
      <c r="L3093">
        <v>283.50979999999998</v>
      </c>
      <c r="M3093">
        <v>-0.99987470000000001</v>
      </c>
      <c r="N3093">
        <v>0</v>
      </c>
      <c r="O3093">
        <v>9.6789019999999996E-3</v>
      </c>
      <c r="P3093">
        <v>-0.99613609999999997</v>
      </c>
      <c r="Q3093">
        <v>8.7164770000000003E-2</v>
      </c>
      <c r="R3093">
        <v>-1.073817E-2</v>
      </c>
      <c r="S3093">
        <v>-3.0165099999999998</v>
      </c>
      <c r="T3093">
        <v>-0.1004941</v>
      </c>
      <c r="U3093">
        <v>-0.35867310000000002</v>
      </c>
      <c r="V3093">
        <v>-2.03757E-2</v>
      </c>
      <c r="W3093">
        <v>9.9637680000000006E-2</v>
      </c>
      <c r="X3093">
        <v>0.99481509999999995</v>
      </c>
      <c r="Y3093">
        <v>-0.12760289999999999</v>
      </c>
      <c r="Z3093">
        <v>-2.4387839999999998E-3</v>
      </c>
      <c r="AA3093">
        <v>0.99182239999999999</v>
      </c>
      <c r="AB3093">
        <v>42</v>
      </c>
      <c r="AC3093">
        <v>-32.908999999999899</v>
      </c>
      <c r="AD3093">
        <v>-1.104325892599</v>
      </c>
      <c r="AE3093">
        <v>-3.94369999999997</v>
      </c>
      <c r="AF3093">
        <v>-4.2573370340097698</v>
      </c>
      <c r="AG3093">
        <v>-1.104325892599</v>
      </c>
      <c r="AH3093">
        <v>32.832835945588698</v>
      </c>
      <c r="AI3093">
        <v>91.910424340173407</v>
      </c>
      <c r="AJ3093">
        <v>97.388151830324603</v>
      </c>
      <c r="AK3093">
        <v>33.126116140111499</v>
      </c>
      <c r="AL3093">
        <v>84.281692899706698</v>
      </c>
      <c r="AM3093">
        <v>91.173362170822998</v>
      </c>
      <c r="AN3093">
        <v>0.99999995980713996</v>
      </c>
    </row>
    <row r="3094" spans="1:40" x14ac:dyDescent="0.3">
      <c r="A3094" t="str">
        <f>"20200111150013358"</f>
        <v>20200111150013358</v>
      </c>
      <c r="B3094" t="str">
        <f>"1578726013348626"</f>
        <v>1578726013348626</v>
      </c>
      <c r="C3094" t="s">
        <v>40</v>
      </c>
      <c r="D3094">
        <v>4.2340470000000003</v>
      </c>
      <c r="E3094">
        <v>0.46037800000000001</v>
      </c>
      <c r="F3094" t="s">
        <v>52</v>
      </c>
      <c r="G3094">
        <v>-482.4624</v>
      </c>
      <c r="H3094" s="1">
        <v>2.1797500000000002E-6</v>
      </c>
      <c r="I3094">
        <v>279.5437</v>
      </c>
      <c r="J3094">
        <v>-449.43650000000002</v>
      </c>
      <c r="K3094">
        <v>1.1043240000000001</v>
      </c>
      <c r="L3094">
        <v>283.51310000000001</v>
      </c>
      <c r="M3094">
        <v>-0.99987479999999995</v>
      </c>
      <c r="N3094">
        <v>0</v>
      </c>
      <c r="O3094">
        <v>9.6785469999999992E-3</v>
      </c>
      <c r="P3094">
        <v>-0.9961276</v>
      </c>
      <c r="Q3094">
        <v>8.7270570000000006E-2</v>
      </c>
      <c r="R3094">
        <v>-1.067249E-2</v>
      </c>
      <c r="S3094">
        <v>-3.0165099999999998</v>
      </c>
      <c r="T3094">
        <v>-9.9851969999999998E-2</v>
      </c>
      <c r="U3094">
        <v>-0.35861209999999999</v>
      </c>
      <c r="V3094">
        <v>-2.0310020000000002E-2</v>
      </c>
      <c r="W3094">
        <v>9.9743020000000002E-2</v>
      </c>
      <c r="X3094">
        <v>0.99480590000000002</v>
      </c>
      <c r="Y3094">
        <v>-0.12758369999999999</v>
      </c>
      <c r="Z3094">
        <v>-2.4228819999999999E-3</v>
      </c>
      <c r="AA3094">
        <v>0.99182490000000001</v>
      </c>
      <c r="AB3094">
        <v>42</v>
      </c>
      <c r="AC3094">
        <v>-33.025899999999901</v>
      </c>
      <c r="AD3094">
        <v>-1.10432182025</v>
      </c>
      <c r="AE3094">
        <v>-3.9693999999999998</v>
      </c>
      <c r="AF3094">
        <v>-4.2841599029325996</v>
      </c>
      <c r="AG3094">
        <v>-1.10432182025</v>
      </c>
      <c r="AH3094">
        <v>32.949615388233603</v>
      </c>
      <c r="AI3094">
        <v>91.903565319037398</v>
      </c>
      <c r="AJ3094">
        <v>97.408126052562295</v>
      </c>
      <c r="AK3094">
        <v>33.245311052674701</v>
      </c>
      <c r="AL3094">
        <v>84.275627220246704</v>
      </c>
      <c r="AM3094">
        <v>91.169591765049205</v>
      </c>
      <c r="AN3094">
        <v>0.99999997281296504</v>
      </c>
    </row>
    <row r="3095" spans="1:40" x14ac:dyDescent="0.3">
      <c r="A3095" t="str">
        <f>"20200111150013374"</f>
        <v>20200111150013374</v>
      </c>
      <c r="B3095" t="str">
        <f>"1578726013369121"</f>
        <v>1578726013369121</v>
      </c>
      <c r="C3095" t="s">
        <v>40</v>
      </c>
      <c r="D3095">
        <v>4.1141100000000002</v>
      </c>
      <c r="E3095">
        <v>0.46027560000000001</v>
      </c>
      <c r="F3095" t="s">
        <v>52</v>
      </c>
      <c r="G3095">
        <v>-482.68520000000001</v>
      </c>
      <c r="H3095" s="1">
        <v>2.2161599999999998E-6</v>
      </c>
      <c r="I3095">
        <v>279.53489999999999</v>
      </c>
      <c r="J3095">
        <v>-449.73520000000002</v>
      </c>
      <c r="K3095">
        <v>1.1043240000000001</v>
      </c>
      <c r="L3095">
        <v>283.51600000000002</v>
      </c>
      <c r="M3095">
        <v>-0.99987479999999995</v>
      </c>
      <c r="N3095">
        <v>0</v>
      </c>
      <c r="O3095">
        <v>9.67843E-3</v>
      </c>
      <c r="P3095">
        <v>-0.99613059999999998</v>
      </c>
      <c r="Q3095">
        <v>8.7238860000000001E-2</v>
      </c>
      <c r="R3095">
        <v>-1.066374E-2</v>
      </c>
      <c r="S3095">
        <v>-3.0165709999999999</v>
      </c>
      <c r="T3095">
        <v>-0.1001924</v>
      </c>
      <c r="U3095">
        <v>-0.36093140000000001</v>
      </c>
      <c r="V3095">
        <v>-2.0301070000000001E-2</v>
      </c>
      <c r="W3095">
        <v>9.9711220000000003E-2</v>
      </c>
      <c r="X3095">
        <v>0.99480930000000001</v>
      </c>
      <c r="Y3095">
        <v>-0.12833219999999901</v>
      </c>
      <c r="Z3095">
        <v>-2.443359E-3</v>
      </c>
      <c r="AA3095">
        <v>0.99172819999999995</v>
      </c>
      <c r="AB3095">
        <v>42</v>
      </c>
      <c r="AC3095">
        <v>-32.949999999999903</v>
      </c>
      <c r="AD3095">
        <v>-1.1043217838399999</v>
      </c>
      <c r="AE3095">
        <v>-3.9810999999999601</v>
      </c>
      <c r="AF3095">
        <v>-4.2950876803976703</v>
      </c>
      <c r="AG3095">
        <v>-1.1043217838399999</v>
      </c>
      <c r="AH3095">
        <v>32.873528412114297</v>
      </c>
      <c r="AI3095">
        <v>91.90781312208</v>
      </c>
      <c r="AJ3095">
        <v>97.443808634155502</v>
      </c>
      <c r="AK3095">
        <v>33.171315545914801</v>
      </c>
      <c r="AL3095">
        <v>84.277458522776897</v>
      </c>
      <c r="AM3095">
        <v>91.169072510578303</v>
      </c>
      <c r="AN3095">
        <v>1.0000000021017601</v>
      </c>
    </row>
    <row r="3096" spans="1:40" x14ac:dyDescent="0.3">
      <c r="A3096" t="str">
        <f>"20200111150013389"</f>
        <v>20200111150013389</v>
      </c>
      <c r="B3096" t="str">
        <f>"1578726013378883"</f>
        <v>1578726013378883</v>
      </c>
      <c r="C3096" t="s">
        <v>40</v>
      </c>
      <c r="D3096">
        <v>4.2242989999999896</v>
      </c>
      <c r="E3096">
        <v>0.46021319999999999</v>
      </c>
      <c r="F3096" t="s">
        <v>52</v>
      </c>
      <c r="G3096">
        <v>-482.34930000000003</v>
      </c>
      <c r="H3096" s="1">
        <v>2.181614E-6</v>
      </c>
      <c r="I3096">
        <v>279.60570000000001</v>
      </c>
      <c r="J3096">
        <v>-450.02550000000002</v>
      </c>
      <c r="K3096">
        <v>1.104322</v>
      </c>
      <c r="L3096">
        <v>283.5188</v>
      </c>
      <c r="M3096">
        <v>-0.99987470000000001</v>
      </c>
      <c r="N3096">
        <v>0</v>
      </c>
      <c r="O3096">
        <v>9.6784220000000008E-3</v>
      </c>
      <c r="P3096">
        <v>-0.99612699999999998</v>
      </c>
      <c r="Q3096">
        <v>8.7245299999999998E-2</v>
      </c>
      <c r="R3096">
        <v>-1.0920630000000001E-2</v>
      </c>
      <c r="S3096">
        <v>-3.0167540000000002</v>
      </c>
      <c r="T3096">
        <v>-0.10214819999999999</v>
      </c>
      <c r="U3096">
        <v>-0.36169430000000002</v>
      </c>
      <c r="V3096">
        <v>-2.0558159999999999E-2</v>
      </c>
      <c r="W3096">
        <v>9.9718319999999999E-2</v>
      </c>
      <c r="X3096">
        <v>0.99480329999999995</v>
      </c>
      <c r="Y3096">
        <v>-0.1285693</v>
      </c>
      <c r="Z3096">
        <v>-2.4948359999999998E-3</v>
      </c>
      <c r="AA3096">
        <v>0.99169739999999995</v>
      </c>
      <c r="AB3096">
        <v>42</v>
      </c>
      <c r="AC3096">
        <v>-32.323799999999999</v>
      </c>
      <c r="AD3096">
        <v>-1.1043198183859999</v>
      </c>
      <c r="AE3096">
        <v>-3.91309999999998</v>
      </c>
      <c r="AF3096">
        <v>-4.2209291127116604</v>
      </c>
      <c r="AG3096">
        <v>-1.1043198183859999</v>
      </c>
      <c r="AH3096">
        <v>32.247314820059401</v>
      </c>
      <c r="AI3096">
        <v>91.944770136737603</v>
      </c>
      <c r="AJ3096">
        <v>97.457188576614399</v>
      </c>
      <c r="AK3096">
        <v>32.541129020669203</v>
      </c>
      <c r="AL3096">
        <v>84.277049635664298</v>
      </c>
      <c r="AM3096">
        <v>91.183880437594098</v>
      </c>
      <c r="AN3096">
        <v>0.99999999348854895</v>
      </c>
    </row>
    <row r="3097" spans="1:40" x14ac:dyDescent="0.3">
      <c r="A3097" t="str">
        <f>"20200111150013404"</f>
        <v>20200111150013404</v>
      </c>
      <c r="B3097" t="str">
        <f>"1578726013399377"</f>
        <v>1578726013399377</v>
      </c>
      <c r="C3097" t="s">
        <v>40</v>
      </c>
      <c r="D3097">
        <v>4.2800500000000001</v>
      </c>
      <c r="E3097">
        <v>0.45989619999999998</v>
      </c>
      <c r="F3097" t="s">
        <v>52</v>
      </c>
      <c r="G3097">
        <v>-482.47899999999998</v>
      </c>
      <c r="H3097" s="1">
        <v>2.2077289999999998E-6</v>
      </c>
      <c r="I3097">
        <v>279.61450000000002</v>
      </c>
      <c r="J3097">
        <v>-450.28449999999998</v>
      </c>
      <c r="K3097">
        <v>1.1043179999999999</v>
      </c>
      <c r="L3097">
        <v>283.5213</v>
      </c>
      <c r="M3097">
        <v>-0.99987470000000001</v>
      </c>
      <c r="N3097">
        <v>0</v>
      </c>
      <c r="O3097">
        <v>9.6782269999999993E-3</v>
      </c>
      <c r="P3097">
        <v>-0.996139</v>
      </c>
      <c r="Q3097">
        <v>8.7094779999999997E-2</v>
      </c>
      <c r="R3097">
        <v>-1.104846E-2</v>
      </c>
      <c r="S3097">
        <v>-3.0166629999999999</v>
      </c>
      <c r="T3097">
        <v>-0.1026504</v>
      </c>
      <c r="U3097">
        <v>-0.36291499999999999</v>
      </c>
      <c r="V3097">
        <v>-2.0686070000000001E-2</v>
      </c>
      <c r="W3097">
        <v>9.957125E-2</v>
      </c>
      <c r="X3097">
        <v>0.99481540000000002</v>
      </c>
      <c r="Y3097">
        <v>-0.1289672</v>
      </c>
      <c r="Z3097">
        <v>-2.5138489999999999E-3</v>
      </c>
      <c r="AA3097">
        <v>0.99164569999999996</v>
      </c>
      <c r="AB3097">
        <v>42</v>
      </c>
      <c r="AC3097">
        <v>-32.194499999999998</v>
      </c>
      <c r="AD3097">
        <v>-1.1043157922710001</v>
      </c>
      <c r="AE3097">
        <v>-3.9067999999999699</v>
      </c>
      <c r="AF3097">
        <v>-4.2133417124470496</v>
      </c>
      <c r="AG3097">
        <v>-1.1043157922710001</v>
      </c>
      <c r="AH3097">
        <v>32.117936996808297</v>
      </c>
      <c r="AI3097">
        <v>91.952517767688406</v>
      </c>
      <c r="AJ3097">
        <v>97.473581691255205</v>
      </c>
      <c r="AK3097">
        <v>32.411936669780303</v>
      </c>
      <c r="AL3097">
        <v>84.285518389680405</v>
      </c>
      <c r="AM3097">
        <v>91.191229775334094</v>
      </c>
      <c r="AN3097">
        <v>1.0000000136978799</v>
      </c>
    </row>
    <row r="3098" spans="1:40" x14ac:dyDescent="0.3">
      <c r="A3098" t="str">
        <f>"20200111150013416"</f>
        <v>20200111150013416</v>
      </c>
      <c r="B3098" t="str">
        <f>"1578726013409137"</f>
        <v>1578726013409137</v>
      </c>
      <c r="C3098" t="s">
        <v>40</v>
      </c>
      <c r="D3098">
        <v>4.2800770000000004</v>
      </c>
      <c r="E3098">
        <v>0.45977200000000001</v>
      </c>
      <c r="F3098" t="s">
        <v>52</v>
      </c>
      <c r="G3098">
        <v>-481.82229999999998</v>
      </c>
      <c r="H3098" s="1">
        <v>2.0987220000000001E-6</v>
      </c>
      <c r="I3098">
        <v>279.69450000000001</v>
      </c>
      <c r="J3098">
        <v>-450.54489999999998</v>
      </c>
      <c r="K3098">
        <v>1.104317</v>
      </c>
      <c r="L3098">
        <v>283.52379999999999</v>
      </c>
      <c r="M3098">
        <v>-0.9998745</v>
      </c>
      <c r="N3098">
        <v>0</v>
      </c>
      <c r="O3098">
        <v>9.6780210000000002E-3</v>
      </c>
      <c r="P3098">
        <v>-0.99620719999999996</v>
      </c>
      <c r="Q3098">
        <v>8.6269600000000002E-2</v>
      </c>
      <c r="R3098">
        <v>-1.1344079999999999E-2</v>
      </c>
      <c r="S3098">
        <v>-3.0168149999999998</v>
      </c>
      <c r="T3098">
        <v>-0.10563549999999999</v>
      </c>
      <c r="U3098">
        <v>-0.3660583</v>
      </c>
      <c r="V3098">
        <v>-2.0981900000000001E-2</v>
      </c>
      <c r="W3098">
        <v>9.8750859999999996E-2</v>
      </c>
      <c r="X3098">
        <v>0.99489099999999997</v>
      </c>
      <c r="Y3098">
        <v>-0.12997410000000001</v>
      </c>
      <c r="Z3098">
        <v>-2.6041710000000002E-3</v>
      </c>
      <c r="AA3098">
        <v>0.99151400000000001</v>
      </c>
      <c r="AB3098">
        <v>42</v>
      </c>
      <c r="AC3098">
        <v>-31.2774</v>
      </c>
      <c r="AD3098">
        <v>-1.104314901278</v>
      </c>
      <c r="AE3098">
        <v>-3.8292999999999799</v>
      </c>
      <c r="AF3098">
        <v>-4.1267793398818204</v>
      </c>
      <c r="AG3098">
        <v>-1.104314901278</v>
      </c>
      <c r="AH3098">
        <v>31.200551994011899</v>
      </c>
      <c r="AI3098">
        <v>92.009597784724306</v>
      </c>
      <c r="AJ3098">
        <v>97.534562347377701</v>
      </c>
      <c r="AK3098">
        <v>31.491653876103499</v>
      </c>
      <c r="AL3098">
        <v>84.3327562243431</v>
      </c>
      <c r="AM3098">
        <v>91.208168665783901</v>
      </c>
      <c r="AN3098">
        <v>1.00000003717967</v>
      </c>
    </row>
    <row r="3099" spans="1:40" x14ac:dyDescent="0.3">
      <c r="A3099" t="str">
        <f>"20200111150013430"</f>
        <v>20200111150013430</v>
      </c>
      <c r="B3099" t="str">
        <f>"1578726013418898"</f>
        <v>1578726013418898</v>
      </c>
      <c r="C3099" t="s">
        <v>40</v>
      </c>
      <c r="D3099">
        <v>4.2371449999999999</v>
      </c>
      <c r="E3099">
        <v>0.45967629999999998</v>
      </c>
      <c r="F3099" t="s">
        <v>52</v>
      </c>
      <c r="G3099">
        <v>-481.1234</v>
      </c>
      <c r="H3099" s="1">
        <v>1.9833909999999999E-6</v>
      </c>
      <c r="I3099">
        <v>279.79349999999999</v>
      </c>
      <c r="J3099">
        <v>-450.77870000000001</v>
      </c>
      <c r="K3099">
        <v>1.10432</v>
      </c>
      <c r="L3099">
        <v>283.52609999999999</v>
      </c>
      <c r="M3099">
        <v>-0.9998745</v>
      </c>
      <c r="N3099">
        <v>0</v>
      </c>
      <c r="O3099">
        <v>9.6779919999999998E-3</v>
      </c>
      <c r="P3099">
        <v>-0.99628559999999999</v>
      </c>
      <c r="Q3099">
        <v>8.5245310000000005E-2</v>
      </c>
      <c r="R3099">
        <v>-1.2176019999999999E-2</v>
      </c>
      <c r="S3099">
        <v>-3.0166930000000001</v>
      </c>
      <c r="T3099">
        <v>-0.1089454</v>
      </c>
      <c r="U3099">
        <v>-0.36801149999999999</v>
      </c>
      <c r="V3099">
        <v>-2.1814770000000001E-2</v>
      </c>
      <c r="W3099">
        <v>9.7732050000000001E-2</v>
      </c>
      <c r="X3099">
        <v>0.99497369999999996</v>
      </c>
      <c r="Y3099">
        <v>-0.13060569999999999</v>
      </c>
      <c r="Z3099">
        <v>-2.6970760000000001E-3</v>
      </c>
      <c r="AA3099">
        <v>0.9914307</v>
      </c>
      <c r="AB3099">
        <v>42</v>
      </c>
      <c r="AC3099">
        <v>-30.3446999999999</v>
      </c>
      <c r="AD3099">
        <v>-1.1043180166090001</v>
      </c>
      <c r="AE3099">
        <v>-3.7325999999999899</v>
      </c>
      <c r="AF3099">
        <v>-4.0208781122288704</v>
      </c>
      <c r="AG3099">
        <v>-1.1043180166090001</v>
      </c>
      <c r="AH3099">
        <v>30.267662420643799</v>
      </c>
      <c r="AI3099">
        <v>92.071333168863902</v>
      </c>
      <c r="AJ3099">
        <v>97.567096018719695</v>
      </c>
      <c r="AK3099">
        <v>30.553532815130598</v>
      </c>
      <c r="AL3099">
        <v>84.391413562360398</v>
      </c>
      <c r="AM3099">
        <v>91.256007101743606</v>
      </c>
      <c r="AN3099">
        <v>1.0000000507395199</v>
      </c>
    </row>
    <row r="3100" spans="1:40" x14ac:dyDescent="0.3">
      <c r="A3100" t="str">
        <f>"20200111150013446"</f>
        <v>20200111150013446</v>
      </c>
      <c r="B3100" t="str">
        <f>"1578726013439393"</f>
        <v>1578726013439393</v>
      </c>
      <c r="C3100" t="s">
        <v>40</v>
      </c>
      <c r="D3100">
        <v>4.3168360000000003</v>
      </c>
      <c r="E3100">
        <v>0.45943279999999997</v>
      </c>
      <c r="F3100" t="s">
        <v>52</v>
      </c>
      <c r="G3100">
        <v>-480.2946</v>
      </c>
      <c r="H3100" s="1">
        <v>1.8449229999999999E-6</v>
      </c>
      <c r="I3100">
        <v>279.89120000000003</v>
      </c>
      <c r="J3100">
        <v>-451.0779</v>
      </c>
      <c r="K3100">
        <v>1.1043240000000001</v>
      </c>
      <c r="L3100">
        <v>283.529</v>
      </c>
      <c r="M3100">
        <v>-0.9998745</v>
      </c>
      <c r="N3100">
        <v>0</v>
      </c>
      <c r="O3100">
        <v>9.6775920000000005E-3</v>
      </c>
      <c r="P3100">
        <v>-0.99622699999999997</v>
      </c>
      <c r="Q3100">
        <v>8.587641E-2</v>
      </c>
      <c r="R3100">
        <v>-1.253811E-2</v>
      </c>
      <c r="S3100">
        <v>-3.0162960000000001</v>
      </c>
      <c r="T3100">
        <v>-0.11285299999999999</v>
      </c>
      <c r="U3100">
        <v>-0.37146000000000001</v>
      </c>
      <c r="V3100">
        <v>-2.2175839999999999E-2</v>
      </c>
      <c r="W3100">
        <v>9.8369360000000003E-2</v>
      </c>
      <c r="X3100">
        <v>0.99490279999999998</v>
      </c>
      <c r="Y3100">
        <v>-0.13173019999999999</v>
      </c>
      <c r="Z3100">
        <v>-2.8148549999999998E-3</v>
      </c>
      <c r="AA3100">
        <v>0.99128159999999998</v>
      </c>
      <c r="AB3100">
        <v>42</v>
      </c>
      <c r="AC3100">
        <v>-29.216699999999999</v>
      </c>
      <c r="AD3100">
        <v>-1.1043221550769999</v>
      </c>
      <c r="AE3100">
        <v>-3.6377999999999702</v>
      </c>
      <c r="AF3100">
        <v>-3.91489149734578</v>
      </c>
      <c r="AG3100">
        <v>-1.1043221550769999</v>
      </c>
      <c r="AH3100">
        <v>29.1391292747584</v>
      </c>
      <c r="AI3100">
        <v>92.151062856881893</v>
      </c>
      <c r="AJ3100">
        <v>97.651964522658304</v>
      </c>
      <c r="AK3100">
        <v>29.4216715661987</v>
      </c>
      <c r="AL3100">
        <v>84.354720960843395</v>
      </c>
      <c r="AM3100">
        <v>91.276880198857498</v>
      </c>
      <c r="AN3100">
        <v>0.99999994015717497</v>
      </c>
    </row>
    <row r="3101" spans="1:40" x14ac:dyDescent="0.3">
      <c r="A3101" t="str">
        <f>"20200111150013463"</f>
        <v>20200111150013463</v>
      </c>
      <c r="B3101" t="str">
        <f>"1578726013458913"</f>
        <v>1578726013458913</v>
      </c>
      <c r="C3101" t="s">
        <v>40</v>
      </c>
      <c r="D3101">
        <v>4.2636379999999896</v>
      </c>
      <c r="E3101">
        <v>0.45925959999999899</v>
      </c>
      <c r="F3101" t="s">
        <v>52</v>
      </c>
      <c r="G3101">
        <v>-480.39249999999998</v>
      </c>
      <c r="H3101" s="1">
        <v>1.862043E-6</v>
      </c>
      <c r="I3101">
        <v>279.88839999999999</v>
      </c>
      <c r="J3101">
        <v>-451.4169</v>
      </c>
      <c r="K3101">
        <v>1.1043350000000001</v>
      </c>
      <c r="L3101">
        <v>283.53230000000002</v>
      </c>
      <c r="M3101">
        <v>-0.99987429999999999</v>
      </c>
      <c r="N3101">
        <v>0</v>
      </c>
      <c r="O3101">
        <v>9.6773480000000005E-3</v>
      </c>
      <c r="P3101">
        <v>-0.99615069999999994</v>
      </c>
      <c r="Q3101">
        <v>8.6669369999999996E-2</v>
      </c>
      <c r="R3101">
        <v>-1.312469E-2</v>
      </c>
      <c r="S3101">
        <v>-3.0163880000000001</v>
      </c>
      <c r="T3101">
        <v>-0.11363180000000001</v>
      </c>
      <c r="U3101">
        <v>-0.37460329999999997</v>
      </c>
      <c r="V3101">
        <v>-2.276133E-2</v>
      </c>
      <c r="W3101">
        <v>9.9171750000000003E-2</v>
      </c>
      <c r="X3101">
        <v>0.99480999999999997</v>
      </c>
      <c r="Y3101">
        <v>-0.13274169999999999</v>
      </c>
      <c r="Z3101">
        <v>-2.8529649999999998E-3</v>
      </c>
      <c r="AA3101">
        <v>0.99114659999999999</v>
      </c>
      <c r="AB3101">
        <v>42</v>
      </c>
      <c r="AC3101">
        <v>-28.975599999999901</v>
      </c>
      <c r="AD3101">
        <v>-1.1043331379570001</v>
      </c>
      <c r="AE3101">
        <v>-3.6439000000000301</v>
      </c>
      <c r="AF3101">
        <v>-3.9185550873178201</v>
      </c>
      <c r="AG3101">
        <v>-1.1043331379570001</v>
      </c>
      <c r="AH3101">
        <v>28.897654696771301</v>
      </c>
      <c r="AI3101">
        <v>92.168683139611204</v>
      </c>
      <c r="AJ3101">
        <v>97.722271696103107</v>
      </c>
      <c r="AK3101">
        <v>29.183027132663302</v>
      </c>
      <c r="AL3101">
        <v>84.308521976822604</v>
      </c>
      <c r="AM3101">
        <v>91.310703196677196</v>
      </c>
      <c r="AN3101">
        <v>1.00000002512071</v>
      </c>
    </row>
    <row r="3102" spans="1:40" x14ac:dyDescent="0.3">
      <c r="A3102" t="str">
        <f>"20200111150013487"</f>
        <v>20200111150013487</v>
      </c>
      <c r="B3102" t="str">
        <f>"1578726013479410"</f>
        <v>1578726013479410</v>
      </c>
      <c r="C3102" t="s">
        <v>40</v>
      </c>
      <c r="D3102">
        <v>4.3301550000000004</v>
      </c>
      <c r="E3102">
        <v>0.45895599999999998</v>
      </c>
      <c r="F3102" t="s">
        <v>52</v>
      </c>
      <c r="G3102">
        <v>-480.8596</v>
      </c>
      <c r="H3102" s="1">
        <v>1.9413139999999999E-6</v>
      </c>
      <c r="I3102">
        <v>279.84739999999999</v>
      </c>
      <c r="J3102">
        <v>-451.84230000000002</v>
      </c>
      <c r="K3102">
        <v>1.104339</v>
      </c>
      <c r="L3102">
        <v>283.53640000000001</v>
      </c>
      <c r="M3102">
        <v>-0.99987420000000005</v>
      </c>
      <c r="N3102">
        <v>0</v>
      </c>
      <c r="O3102">
        <v>9.6771259999999994E-3</v>
      </c>
      <c r="P3102">
        <v>-0.99611950000000005</v>
      </c>
      <c r="Q3102">
        <v>8.7014869999999994E-2</v>
      </c>
      <c r="R3102">
        <v>-1.3219959999999999E-2</v>
      </c>
      <c r="S3102">
        <v>-3.0164789999999999</v>
      </c>
      <c r="T3102">
        <v>-0.1131418</v>
      </c>
      <c r="U3102">
        <v>-0.37753300000000001</v>
      </c>
      <c r="V3102">
        <v>-2.285585E-2</v>
      </c>
      <c r="W3102">
        <v>9.9532339999999997E-2</v>
      </c>
      <c r="X3102">
        <v>0.99477179999999998</v>
      </c>
      <c r="Y3102">
        <v>-0.13368579999999999</v>
      </c>
      <c r="Z3102">
        <v>-2.8580379999999998E-3</v>
      </c>
      <c r="AA3102">
        <v>0.99101969999999995</v>
      </c>
      <c r="AB3102">
        <v>42</v>
      </c>
      <c r="AC3102">
        <v>-29.017299999999899</v>
      </c>
      <c r="AD3102">
        <v>-1.104337058686</v>
      </c>
      <c r="AE3102">
        <v>-3.68900000000002</v>
      </c>
      <c r="AF3102">
        <v>-3.9640033296574102</v>
      </c>
      <c r="AG3102">
        <v>-1.104337058686</v>
      </c>
      <c r="AH3102">
        <v>28.938990692110998</v>
      </c>
      <c r="AI3102">
        <v>92.165197528546997</v>
      </c>
      <c r="AJ3102">
        <v>97.799717634752</v>
      </c>
      <c r="AK3102">
        <v>29.230088351129002</v>
      </c>
      <c r="AL3102">
        <v>84.287758850466005</v>
      </c>
      <c r="AM3102">
        <v>91.316194710317404</v>
      </c>
      <c r="AN3102">
        <v>1.0000000053301601</v>
      </c>
    </row>
    <row r="3103" spans="1:40" x14ac:dyDescent="0.3">
      <c r="A3103" t="str">
        <f>"20200111150013501"</f>
        <v>20200111150013501</v>
      </c>
      <c r="B3103" t="str">
        <f>"1578726013498930"</f>
        <v>1578726013498930</v>
      </c>
      <c r="C3103" t="s">
        <v>40</v>
      </c>
      <c r="D3103">
        <v>4.1599440000000003</v>
      </c>
      <c r="E3103">
        <v>0.45887149999999999</v>
      </c>
      <c r="F3103" t="s">
        <v>52</v>
      </c>
      <c r="G3103">
        <v>-481.33</v>
      </c>
      <c r="H3103" s="1">
        <v>2.0222459999999999E-6</v>
      </c>
      <c r="I3103">
        <v>279.81869999999998</v>
      </c>
      <c r="J3103">
        <v>-452.12860000000001</v>
      </c>
      <c r="K3103">
        <v>1.104344</v>
      </c>
      <c r="L3103">
        <v>283.53919999999999</v>
      </c>
      <c r="M3103">
        <v>-0.99987389999999998</v>
      </c>
      <c r="N3103">
        <v>0</v>
      </c>
      <c r="O3103">
        <v>9.6773390000000001E-3</v>
      </c>
      <c r="P3103">
        <v>-0.99610909999999997</v>
      </c>
      <c r="Q3103">
        <v>8.7141689999999994E-2</v>
      </c>
      <c r="R3103">
        <v>-1.316019E-2</v>
      </c>
      <c r="S3103">
        <v>-3.0165099999999998</v>
      </c>
      <c r="T3103">
        <v>-0.1129708</v>
      </c>
      <c r="U3103">
        <v>-0.38031009999999998</v>
      </c>
      <c r="V3103">
        <v>-2.2796230000000001E-2</v>
      </c>
      <c r="W3103">
        <v>9.9672780000000002E-2</v>
      </c>
      <c r="X3103">
        <v>0.99475910000000001</v>
      </c>
      <c r="Y3103">
        <v>-0.1345826</v>
      </c>
      <c r="Z3103">
        <v>-2.8702609999999998E-3</v>
      </c>
      <c r="AA3103">
        <v>0.99089819999999995</v>
      </c>
      <c r="AB3103">
        <v>42</v>
      </c>
      <c r="AC3103">
        <v>-29.2013999999999</v>
      </c>
      <c r="AD3103">
        <v>-1.104341977754</v>
      </c>
      <c r="AE3103">
        <v>-3.7205000000000101</v>
      </c>
      <c r="AF3103">
        <v>-3.997314325974</v>
      </c>
      <c r="AG3103">
        <v>-1.104341977754</v>
      </c>
      <c r="AH3103">
        <v>29.123038259767</v>
      </c>
      <c r="AI3103">
        <v>92.151456235288407</v>
      </c>
      <c r="AJ3103">
        <v>97.815360291158598</v>
      </c>
      <c r="AK3103">
        <v>29.416822576619701</v>
      </c>
      <c r="AL3103">
        <v>84.279671982109704</v>
      </c>
      <c r="AM3103">
        <v>91.312779343817795</v>
      </c>
      <c r="AN3103">
        <v>0.99999999910397497</v>
      </c>
    </row>
    <row r="3104" spans="1:40" x14ac:dyDescent="0.3">
      <c r="A3104" t="str">
        <f>"20200111150013519"</f>
        <v>20200111150013519</v>
      </c>
      <c r="B3104" t="str">
        <f>"1578726013508689"</f>
        <v>1578726013508689</v>
      </c>
      <c r="C3104" t="s">
        <v>40</v>
      </c>
      <c r="D3104">
        <v>4.1897630000000001</v>
      </c>
      <c r="E3104">
        <v>0.45881660000000002</v>
      </c>
      <c r="F3104" t="s">
        <v>52</v>
      </c>
      <c r="G3104">
        <v>-481.3039</v>
      </c>
      <c r="H3104" s="1">
        <v>2.0211009999999998E-6</v>
      </c>
      <c r="I3104">
        <v>279.85849999999999</v>
      </c>
      <c r="J3104">
        <v>-452.45179999999999</v>
      </c>
      <c r="K3104">
        <v>1.1043590000000001</v>
      </c>
      <c r="L3104">
        <v>283.54230000000001</v>
      </c>
      <c r="M3104">
        <v>-0.99987380000000003</v>
      </c>
      <c r="N3104">
        <v>0</v>
      </c>
      <c r="O3104">
        <v>9.6770510000000007E-3</v>
      </c>
      <c r="P3104">
        <v>-0.99601490000000004</v>
      </c>
      <c r="Q3104">
        <v>8.8187260000000003E-2</v>
      </c>
      <c r="R3104">
        <v>-1.331892E-2</v>
      </c>
      <c r="S3104">
        <v>-3.016724</v>
      </c>
      <c r="T3104">
        <v>-0.1141889</v>
      </c>
      <c r="U3104">
        <v>-0.3805847</v>
      </c>
      <c r="V3104">
        <v>-2.2953620000000001E-2</v>
      </c>
      <c r="W3104">
        <v>0.10073459999999999</v>
      </c>
      <c r="X3104">
        <v>0.99464850000000005</v>
      </c>
      <c r="Y3104">
        <v>-0.13466029999999901</v>
      </c>
      <c r="Z3104">
        <v>-2.9024200000000002E-3</v>
      </c>
      <c r="AA3104">
        <v>0.99088759999999998</v>
      </c>
      <c r="AB3104">
        <v>42</v>
      </c>
      <c r="AC3104">
        <v>-28.8521</v>
      </c>
      <c r="AD3104">
        <v>-1.104356978899</v>
      </c>
      <c r="AE3104">
        <v>-3.68380000000001</v>
      </c>
      <c r="AF3104">
        <v>-3.9571483088140198</v>
      </c>
      <c r="AG3104">
        <v>-1.104356978899</v>
      </c>
      <c r="AH3104">
        <v>28.773617948079</v>
      </c>
      <c r="AI3104">
        <v>92.177508122170806</v>
      </c>
      <c r="AJ3104">
        <v>97.830592739948003</v>
      </c>
      <c r="AK3104">
        <v>29.065438529236101</v>
      </c>
      <c r="AL3104">
        <v>84.218526334567002</v>
      </c>
      <c r="AM3104">
        <v>91.321986775629298</v>
      </c>
      <c r="AN3104">
        <v>0.99999998343025698</v>
      </c>
    </row>
    <row r="3105" spans="1:40" x14ac:dyDescent="0.3">
      <c r="A3105" t="str">
        <f>"20200111150013536"</f>
        <v>20200111150013536</v>
      </c>
      <c r="B3105" t="str">
        <f>"1578726013529185"</f>
        <v>1578726013529185</v>
      </c>
      <c r="C3105" t="s">
        <v>40</v>
      </c>
      <c r="D3105">
        <v>4.2413150000000002</v>
      </c>
      <c r="E3105">
        <v>0.45859699999999998</v>
      </c>
      <c r="F3105" t="s">
        <v>52</v>
      </c>
      <c r="G3105">
        <v>-482.23129999999998</v>
      </c>
      <c r="H3105" s="1">
        <v>2.1787520000000002E-6</v>
      </c>
      <c r="I3105">
        <v>279.7801</v>
      </c>
      <c r="J3105">
        <v>-452.7808</v>
      </c>
      <c r="K3105">
        <v>1.104368</v>
      </c>
      <c r="L3105">
        <v>283.5455</v>
      </c>
      <c r="M3105">
        <v>-0.99987349999999997</v>
      </c>
      <c r="N3105">
        <v>0</v>
      </c>
      <c r="O3105">
        <v>9.6769179999999996E-3</v>
      </c>
      <c r="P3105">
        <v>-0.99592369999999997</v>
      </c>
      <c r="Q3105">
        <v>8.9147270000000001E-2</v>
      </c>
      <c r="R3105">
        <v>-1.3747830000000001E-2</v>
      </c>
      <c r="S3105">
        <v>-3.0168149999999998</v>
      </c>
      <c r="T3105">
        <v>-0.1118768</v>
      </c>
      <c r="U3105">
        <v>-0.38113399999999997</v>
      </c>
      <c r="V3105">
        <v>-2.338146E-2</v>
      </c>
      <c r="W3105">
        <v>0.1017137</v>
      </c>
      <c r="X3105">
        <v>0.9945389</v>
      </c>
      <c r="Y3105">
        <v>-0.13483789999999901</v>
      </c>
      <c r="Z3105">
        <v>-2.8468500000000002E-3</v>
      </c>
      <c r="AA3105">
        <v>0.99086359999999996</v>
      </c>
      <c r="AB3105">
        <v>42</v>
      </c>
      <c r="AC3105">
        <v>-29.450499999999899</v>
      </c>
      <c r="AD3105">
        <v>-1.1043658212479901</v>
      </c>
      <c r="AE3105">
        <v>-3.7654000000000001</v>
      </c>
      <c r="AF3105">
        <v>-4.0446404379815597</v>
      </c>
      <c r="AG3105">
        <v>-1.1043658212479901</v>
      </c>
      <c r="AH3105">
        <v>29.372042427380201</v>
      </c>
      <c r="AI3105">
        <v>92.133151273649602</v>
      </c>
      <c r="AJ3105">
        <v>97.840533690333103</v>
      </c>
      <c r="AK3105">
        <v>29.669776145018702</v>
      </c>
      <c r="AL3105">
        <v>84.162138481848203</v>
      </c>
      <c r="AM3105">
        <v>91.346767072675704</v>
      </c>
      <c r="AN3105">
        <v>0.99999999652631499</v>
      </c>
    </row>
    <row r="3106" spans="1:40" x14ac:dyDescent="0.3">
      <c r="A3106" t="str">
        <f>"20200111150013553"</f>
        <v>20200111150013553</v>
      </c>
      <c r="B3106" t="str">
        <f>"1578726013548705"</f>
        <v>1578726013548705</v>
      </c>
      <c r="C3106" t="s">
        <v>40</v>
      </c>
      <c r="D3106">
        <v>4.3089449999999996</v>
      </c>
      <c r="E3106">
        <v>0.45837749999999999</v>
      </c>
      <c r="F3106" t="s">
        <v>52</v>
      </c>
      <c r="G3106">
        <v>-482.92149999999998</v>
      </c>
      <c r="H3106" s="1">
        <v>2.294729E-6</v>
      </c>
      <c r="I3106">
        <v>279.7063</v>
      </c>
      <c r="J3106">
        <v>-453.08800000000002</v>
      </c>
      <c r="K3106">
        <v>1.104374</v>
      </c>
      <c r="L3106">
        <v>283.54849999999999</v>
      </c>
      <c r="M3106">
        <v>-0.99987329999999996</v>
      </c>
      <c r="N3106">
        <v>0</v>
      </c>
      <c r="O3106">
        <v>9.6766660000000004E-3</v>
      </c>
      <c r="P3106">
        <v>-0.99595449999999996</v>
      </c>
      <c r="Q3106">
        <v>8.8723049999999998E-2</v>
      </c>
      <c r="R3106">
        <v>-1.4252809999999999E-2</v>
      </c>
      <c r="S3106">
        <v>-3.0168460000000001</v>
      </c>
      <c r="T3106">
        <v>-0.1105381</v>
      </c>
      <c r="U3106">
        <v>-0.38427729999999999</v>
      </c>
      <c r="V3106">
        <v>-2.3887019999999998E-2</v>
      </c>
      <c r="W3106">
        <v>0.1013105</v>
      </c>
      <c r="X3106">
        <v>0.99456800000000001</v>
      </c>
      <c r="Y3106">
        <v>-0.13585410000000001</v>
      </c>
      <c r="Z3106">
        <v>-2.8311220000000002E-3</v>
      </c>
      <c r="AA3106">
        <v>0.99072479999999996</v>
      </c>
      <c r="AB3106">
        <v>42</v>
      </c>
      <c r="AC3106">
        <v>-29.833499999999901</v>
      </c>
      <c r="AD3106">
        <v>-1.104371705271</v>
      </c>
      <c r="AE3106">
        <v>-3.8421999999999898</v>
      </c>
      <c r="AF3106">
        <v>-4.1251713789243603</v>
      </c>
      <c r="AG3106">
        <v>-1.104371705271</v>
      </c>
      <c r="AH3106">
        <v>29.754811941649201</v>
      </c>
      <c r="AI3106">
        <v>92.105479528399002</v>
      </c>
      <c r="AJ3106">
        <v>97.893104283155296</v>
      </c>
      <c r="AK3106">
        <v>30.059699091172</v>
      </c>
      <c r="AL3106">
        <v>84.185359864851506</v>
      </c>
      <c r="AM3106">
        <v>91.375835903752204</v>
      </c>
      <c r="AN3106">
        <v>0.99999995687936405</v>
      </c>
    </row>
    <row r="3107" spans="1:40" x14ac:dyDescent="0.3">
      <c r="A3107" t="str">
        <f>"20200111150013570"</f>
        <v>20200111150013570</v>
      </c>
      <c r="B3107" t="str">
        <f>"1578726013559441"</f>
        <v>1578726013559441</v>
      </c>
      <c r="C3107" t="s">
        <v>40</v>
      </c>
      <c r="D3107">
        <v>4.2634410000000003</v>
      </c>
      <c r="E3107">
        <v>0.45827649999999998</v>
      </c>
      <c r="F3107" t="s">
        <v>52</v>
      </c>
      <c r="G3107">
        <v>-482.66789999999997</v>
      </c>
      <c r="H3107" s="1">
        <v>2.2525640000000001E-6</v>
      </c>
      <c r="I3107">
        <v>279.73860000000002</v>
      </c>
      <c r="J3107">
        <v>-453.39789999999999</v>
      </c>
      <c r="K3107">
        <v>1.104373</v>
      </c>
      <c r="L3107">
        <v>283.55149999999998</v>
      </c>
      <c r="M3107">
        <v>-0.99987300000000001</v>
      </c>
      <c r="N3107">
        <v>0</v>
      </c>
      <c r="O3107">
        <v>9.6766390000000008E-3</v>
      </c>
      <c r="P3107">
        <v>-0.99605520000000003</v>
      </c>
      <c r="Q3107">
        <v>8.7500899999999895E-2</v>
      </c>
      <c r="R3107">
        <v>-1.475738E-2</v>
      </c>
      <c r="S3107">
        <v>-3.0166930000000001</v>
      </c>
      <c r="T3107">
        <v>-0.11262900000000001</v>
      </c>
      <c r="U3107">
        <v>-0.3885498</v>
      </c>
      <c r="V3107">
        <v>-2.4392219999999999E-2</v>
      </c>
      <c r="W3107">
        <v>0.1001131</v>
      </c>
      <c r="X3107">
        <v>0.99467700000000003</v>
      </c>
      <c r="Y3107">
        <v>-0.1372361</v>
      </c>
      <c r="Z3107">
        <v>-2.9102070000000002E-3</v>
      </c>
      <c r="AA3107">
        <v>0.99053409999999997</v>
      </c>
      <c r="AB3107">
        <v>42</v>
      </c>
      <c r="AC3107">
        <v>-29.2699999999999</v>
      </c>
      <c r="AD3107">
        <v>-1.1043707474360001</v>
      </c>
      <c r="AE3107">
        <v>-3.8128999999999502</v>
      </c>
      <c r="AF3107">
        <v>-4.0902537110186303</v>
      </c>
      <c r="AG3107">
        <v>-1.1043707474360001</v>
      </c>
      <c r="AH3107">
        <v>29.190867986560299</v>
      </c>
      <c r="AI3107">
        <v>92.145681689093294</v>
      </c>
      <c r="AJ3107">
        <v>97.976409988482501</v>
      </c>
      <c r="AK3107">
        <v>29.496721580153402</v>
      </c>
      <c r="AL3107">
        <v>84.2543165357595</v>
      </c>
      <c r="AM3107">
        <v>91.404768793907806</v>
      </c>
      <c r="AN3107">
        <v>0.99999997375856797</v>
      </c>
    </row>
    <row r="3108" spans="1:40" x14ac:dyDescent="0.3">
      <c r="A3108" t="str">
        <f>"20200111150013586"</f>
        <v>20200111150013586</v>
      </c>
      <c r="B3108" t="str">
        <f>"1578726013578961"</f>
        <v>1578726013578961</v>
      </c>
      <c r="C3108" t="s">
        <v>40</v>
      </c>
      <c r="D3108">
        <v>4.2183710000000003</v>
      </c>
      <c r="E3108">
        <v>0.45811259999999998</v>
      </c>
      <c r="F3108" t="s">
        <v>52</v>
      </c>
      <c r="G3108">
        <v>-481.91849999999999</v>
      </c>
      <c r="H3108" s="1">
        <v>2.129625E-6</v>
      </c>
      <c r="I3108">
        <v>279.8528</v>
      </c>
      <c r="J3108">
        <v>-453.71069999999997</v>
      </c>
      <c r="K3108">
        <v>1.104374</v>
      </c>
      <c r="L3108">
        <v>283.55459999999999</v>
      </c>
      <c r="M3108">
        <v>-0.99987269999999995</v>
      </c>
      <c r="N3108">
        <v>0</v>
      </c>
      <c r="O3108">
        <v>9.6764799999999995E-3</v>
      </c>
      <c r="P3108">
        <v>-0.99610609999999999</v>
      </c>
      <c r="Q3108">
        <v>8.6859500000000006E-2</v>
      </c>
      <c r="R3108">
        <v>-1.5109340000000001E-2</v>
      </c>
      <c r="S3108">
        <v>-3.0163570000000002</v>
      </c>
      <c r="T3108">
        <v>-0.1167991</v>
      </c>
      <c r="U3108">
        <v>-0.39117429999999997</v>
      </c>
      <c r="V3108">
        <v>-2.4744740000000001E-2</v>
      </c>
      <c r="W3108">
        <v>9.9496280000000006E-2</v>
      </c>
      <c r="X3108">
        <v>0.99473020000000001</v>
      </c>
      <c r="Y3108">
        <v>-0.138089299999999</v>
      </c>
      <c r="Z3108">
        <v>-3.034485E-3</v>
      </c>
      <c r="AA3108">
        <v>0.99041520000000005</v>
      </c>
      <c r="AB3108">
        <v>42</v>
      </c>
      <c r="AC3108">
        <v>-28.207799999999999</v>
      </c>
      <c r="AD3108">
        <v>-1.1043718703749901</v>
      </c>
      <c r="AE3108">
        <v>-3.7017999999999902</v>
      </c>
      <c r="AF3108">
        <v>-3.96862063709513</v>
      </c>
      <c r="AG3108">
        <v>-1.1043718703749901</v>
      </c>
      <c r="AH3108">
        <v>28.128270162211901</v>
      </c>
      <c r="AI3108">
        <v>92.226363762844201</v>
      </c>
      <c r="AJ3108">
        <v>98.030859059553094</v>
      </c>
      <c r="AK3108">
        <v>28.428316329104501</v>
      </c>
      <c r="AL3108">
        <v>84.289835163064097</v>
      </c>
      <c r="AM3108">
        <v>91.424986226289803</v>
      </c>
      <c r="AN3108">
        <v>0.99999999134177298</v>
      </c>
    </row>
    <row r="3109" spans="1:40" x14ac:dyDescent="0.3">
      <c r="A3109" t="str">
        <f>"20200111150013603"</f>
        <v>20200111150013603</v>
      </c>
      <c r="B3109" t="str">
        <f>"1578726013599457"</f>
        <v>1578726013599457</v>
      </c>
      <c r="C3109" t="s">
        <v>40</v>
      </c>
      <c r="D3109">
        <v>4.1376619999999997</v>
      </c>
      <c r="E3109">
        <v>0.45805899999999999</v>
      </c>
      <c r="F3109" t="s">
        <v>52</v>
      </c>
      <c r="G3109">
        <v>-481.42009999999999</v>
      </c>
      <c r="H3109" s="1">
        <v>2.0492440000000002E-6</v>
      </c>
      <c r="I3109">
        <v>279.94459999999998</v>
      </c>
      <c r="J3109">
        <v>-454.01990000000001</v>
      </c>
      <c r="K3109">
        <v>1.104382</v>
      </c>
      <c r="L3109">
        <v>283.55759999999998</v>
      </c>
      <c r="M3109">
        <v>-0.99987239999999999</v>
      </c>
      <c r="N3109">
        <v>0</v>
      </c>
      <c r="O3109">
        <v>9.6764959999999997E-3</v>
      </c>
      <c r="P3109">
        <v>-0.99603600000000003</v>
      </c>
      <c r="Q3109">
        <v>8.7634699999999996E-2</v>
      </c>
      <c r="R3109">
        <v>-1.525575E-2</v>
      </c>
      <c r="S3109">
        <v>-3.0162049999999998</v>
      </c>
      <c r="T3109">
        <v>-0.12021229999999999</v>
      </c>
      <c r="U3109">
        <v>-0.39294430000000002</v>
      </c>
      <c r="V3109">
        <v>-2.4890249999999999E-2</v>
      </c>
      <c r="W3109">
        <v>0.1002962</v>
      </c>
      <c r="X3109">
        <v>0.99464629999999998</v>
      </c>
      <c r="Y3109">
        <v>-0.13866039999999999</v>
      </c>
      <c r="Z3109">
        <v>-3.134459E-3</v>
      </c>
      <c r="AA3109">
        <v>0.99033499999999997</v>
      </c>
      <c r="AB3109">
        <v>42</v>
      </c>
      <c r="AC3109">
        <v>-27.400199999999899</v>
      </c>
      <c r="AD3109">
        <v>-1.1043799507559999</v>
      </c>
      <c r="AE3109">
        <v>-3.613</v>
      </c>
      <c r="AF3109">
        <v>-3.8718077625657599</v>
      </c>
      <c r="AG3109">
        <v>-1.1043799507559999</v>
      </c>
      <c r="AH3109">
        <v>27.320328578971399</v>
      </c>
      <c r="AI3109">
        <v>92.291951751924998</v>
      </c>
      <c r="AJ3109">
        <v>98.066181757720997</v>
      </c>
      <c r="AK3109">
        <v>27.615410626837701</v>
      </c>
      <c r="AL3109">
        <v>84.243773090930603</v>
      </c>
      <c r="AM3109">
        <v>91.433483145059697</v>
      </c>
      <c r="AN3109">
        <v>1.0000000571915899</v>
      </c>
    </row>
    <row r="3110" spans="1:40" x14ac:dyDescent="0.3">
      <c r="A3110" t="str">
        <f>"20200111150013619"</f>
        <v>20200111150013619</v>
      </c>
      <c r="B3110" t="str">
        <f>"1578726013609218"</f>
        <v>1578726013609218</v>
      </c>
      <c r="C3110" t="s">
        <v>40</v>
      </c>
      <c r="D3110">
        <v>4.2584970000000002</v>
      </c>
      <c r="E3110">
        <v>0.457978</v>
      </c>
      <c r="F3110" t="s">
        <v>52</v>
      </c>
      <c r="G3110">
        <v>-482.04829999999998</v>
      </c>
      <c r="H3110" s="1">
        <v>2.1569999999999998E-6</v>
      </c>
      <c r="I3110">
        <v>279.90260000000001</v>
      </c>
      <c r="J3110">
        <v>-454.32960000000003</v>
      </c>
      <c r="K3110">
        <v>1.1044</v>
      </c>
      <c r="L3110">
        <v>283.56049999999999</v>
      </c>
      <c r="M3110">
        <v>-0.99987210000000004</v>
      </c>
      <c r="N3110">
        <v>0</v>
      </c>
      <c r="O3110">
        <v>9.6763360000000007E-3</v>
      </c>
      <c r="P3110">
        <v>-0.99590199999999995</v>
      </c>
      <c r="Q3110">
        <v>8.9195430000000006E-2</v>
      </c>
      <c r="R3110">
        <v>-1.495705E-2</v>
      </c>
      <c r="S3110">
        <v>-3.0163570000000002</v>
      </c>
      <c r="T3110">
        <v>-0.11885080000000001</v>
      </c>
      <c r="U3110">
        <v>-0.3933411</v>
      </c>
      <c r="V3110">
        <v>-2.4589840000000002E-2</v>
      </c>
      <c r="W3110">
        <v>0.1018802</v>
      </c>
      <c r="X3110">
        <v>0.99449270000000001</v>
      </c>
      <c r="Y3110">
        <v>-0.1387844</v>
      </c>
      <c r="Z3110">
        <v>-3.10123E-3</v>
      </c>
      <c r="AA3110">
        <v>0.99031780000000003</v>
      </c>
      <c r="AB3110">
        <v>42</v>
      </c>
      <c r="AC3110">
        <v>-27.718699999999899</v>
      </c>
      <c r="AD3110">
        <v>-1.1043978429999901</v>
      </c>
      <c r="AE3110">
        <v>-3.6578999999999802</v>
      </c>
      <c r="AF3110">
        <v>-3.9198497932760299</v>
      </c>
      <c r="AG3110">
        <v>-1.1043978429999901</v>
      </c>
      <c r="AH3110">
        <v>27.638879281021101</v>
      </c>
      <c r="AI3110">
        <v>92.265567341547495</v>
      </c>
      <c r="AJ3110">
        <v>98.072069694671399</v>
      </c>
      <c r="AK3110">
        <v>27.937297022230499</v>
      </c>
      <c r="AL3110">
        <v>84.152548838484094</v>
      </c>
      <c r="AM3110">
        <v>91.416407616628604</v>
      </c>
      <c r="AN3110">
        <v>0.99999998286827696</v>
      </c>
    </row>
    <row r="3111" spans="1:40" x14ac:dyDescent="0.3">
      <c r="A3111" t="str">
        <f>"20200111150013638"</f>
        <v>20200111150013638</v>
      </c>
      <c r="B3111" t="str">
        <f>"1578726013628739"</f>
        <v>1578726013628739</v>
      </c>
      <c r="C3111" t="s">
        <v>40</v>
      </c>
      <c r="D3111">
        <v>4.2187150000000004</v>
      </c>
      <c r="E3111">
        <v>0.45776260000000002</v>
      </c>
      <c r="F3111" t="s">
        <v>52</v>
      </c>
      <c r="G3111">
        <v>-483.2885</v>
      </c>
      <c r="H3111" s="1">
        <v>2.3667289999999999E-6</v>
      </c>
      <c r="I3111">
        <v>279.78530000000001</v>
      </c>
      <c r="J3111">
        <v>-454.67739999999998</v>
      </c>
      <c r="K3111">
        <v>1.1044069999999999</v>
      </c>
      <c r="L3111">
        <v>283.56389999999999</v>
      </c>
      <c r="M3111">
        <v>-0.99987159999999997</v>
      </c>
      <c r="N3111">
        <v>0</v>
      </c>
      <c r="O3111">
        <v>9.6763289999999991E-3</v>
      </c>
      <c r="P3111">
        <v>-0.99583310000000003</v>
      </c>
      <c r="Q3111">
        <v>8.9998869999999995E-2</v>
      </c>
      <c r="R3111">
        <v>-1.472803E-2</v>
      </c>
      <c r="S3111">
        <v>-3.0167540000000002</v>
      </c>
      <c r="T3111">
        <v>-0.1150494</v>
      </c>
      <c r="U3111">
        <v>-0.39328000000000002</v>
      </c>
      <c r="V3111">
        <v>-2.4360119999999999E-2</v>
      </c>
      <c r="W3111">
        <v>0.1027112</v>
      </c>
      <c r="X3111">
        <v>0.99441290000000004</v>
      </c>
      <c r="Y3111">
        <v>-0.1387552</v>
      </c>
      <c r="Z3111">
        <v>-3.0011679999999998E-3</v>
      </c>
      <c r="AA3111">
        <v>0.99032220000000004</v>
      </c>
      <c r="AB3111">
        <v>42</v>
      </c>
      <c r="AC3111">
        <v>-28.6111</v>
      </c>
      <c r="AD3111">
        <v>-1.104404633271</v>
      </c>
      <c r="AE3111">
        <v>-3.77859999999998</v>
      </c>
      <c r="AF3111">
        <v>-4.0493659357110401</v>
      </c>
      <c r="AG3111">
        <v>-1.104404633271</v>
      </c>
      <c r="AH3111">
        <v>28.531411211274701</v>
      </c>
      <c r="AI3111">
        <v>92.194747435464194</v>
      </c>
      <c r="AJ3111">
        <v>98.077845212533603</v>
      </c>
      <c r="AK3111">
        <v>28.838489901209101</v>
      </c>
      <c r="AL3111">
        <v>84.104685116827994</v>
      </c>
      <c r="AM3111">
        <v>91.403293310930096</v>
      </c>
      <c r="AN3111">
        <v>1.00000001086913</v>
      </c>
    </row>
    <row r="3112" spans="1:40" x14ac:dyDescent="0.3">
      <c r="A3112" t="str">
        <f>"20200111150013653"</f>
        <v>20200111150013653</v>
      </c>
      <c r="B3112" t="str">
        <f>"1578726013649233"</f>
        <v>1578726013649233</v>
      </c>
      <c r="C3112" t="s">
        <v>40</v>
      </c>
      <c r="D3112">
        <v>4.2018079999999998</v>
      </c>
      <c r="E3112">
        <v>0.4575922</v>
      </c>
      <c r="F3112" t="s">
        <v>52</v>
      </c>
      <c r="G3112">
        <v>-483.92360000000002</v>
      </c>
      <c r="H3112" s="1">
        <v>2.4757209999999998E-6</v>
      </c>
      <c r="I3112">
        <v>279.74329999999998</v>
      </c>
      <c r="J3112">
        <v>-454.9461</v>
      </c>
      <c r="K3112">
        <v>1.1044080000000001</v>
      </c>
      <c r="L3112">
        <v>283.56650000000002</v>
      </c>
      <c r="M3112">
        <v>-0.99987130000000002</v>
      </c>
      <c r="N3112">
        <v>0</v>
      </c>
      <c r="O3112">
        <v>9.6761810000000007E-3</v>
      </c>
      <c r="P3112">
        <v>-0.99578339999999999</v>
      </c>
      <c r="Q3112">
        <v>9.0593900000000005E-2</v>
      </c>
      <c r="R3112">
        <v>-1.4428299999999899E-2</v>
      </c>
      <c r="S3112">
        <v>-3.0170590000000002</v>
      </c>
      <c r="T3112">
        <v>-0.1139312</v>
      </c>
      <c r="U3112">
        <v>-0.3941345</v>
      </c>
      <c r="V3112">
        <v>-2.4059850000000001E-2</v>
      </c>
      <c r="W3112">
        <v>0.1033288</v>
      </c>
      <c r="X3112">
        <v>0.99435620000000002</v>
      </c>
      <c r="Y3112">
        <v>-0.139019899999999</v>
      </c>
      <c r="Z3112">
        <v>-2.9766380000000002E-3</v>
      </c>
      <c r="AA3112">
        <v>0.99028510000000003</v>
      </c>
      <c r="AB3112">
        <v>42</v>
      </c>
      <c r="AC3112">
        <v>-28.977499999999999</v>
      </c>
      <c r="AD3112">
        <v>-1.1044055242790001</v>
      </c>
      <c r="AE3112">
        <v>-3.8232000000000399</v>
      </c>
      <c r="AF3112">
        <v>-4.0975853122437202</v>
      </c>
      <c r="AG3112">
        <v>-1.1044055242790001</v>
      </c>
      <c r="AH3112">
        <v>28.897888335243501</v>
      </c>
      <c r="AI3112">
        <v>92.166982066803101</v>
      </c>
      <c r="AJ3112">
        <v>98.070472279925895</v>
      </c>
      <c r="AK3112">
        <v>29.207839139336802</v>
      </c>
      <c r="AL3112">
        <v>84.069109803251607</v>
      </c>
      <c r="AM3112">
        <v>91.386081695881799</v>
      </c>
      <c r="AN3112">
        <v>0.99999998488495101</v>
      </c>
    </row>
    <row r="3113" spans="1:40" x14ac:dyDescent="0.3">
      <c r="A3113" t="str">
        <f>"20200111150013664"</f>
        <v>20200111150013664</v>
      </c>
      <c r="B3113" t="str">
        <f>"1578726013658994"</f>
        <v>1578726013658994</v>
      </c>
      <c r="C3113" t="s">
        <v>40</v>
      </c>
      <c r="D3113">
        <v>4.2490389999999998</v>
      </c>
      <c r="E3113">
        <v>0.45750010000000002</v>
      </c>
      <c r="F3113" t="s">
        <v>52</v>
      </c>
      <c r="G3113">
        <v>-484.37360000000001</v>
      </c>
      <c r="H3113" s="1">
        <v>2.5534899999999999E-6</v>
      </c>
      <c r="I3113">
        <v>279.71980000000002</v>
      </c>
      <c r="J3113">
        <v>-455.17540000000002</v>
      </c>
      <c r="K3113">
        <v>1.104411</v>
      </c>
      <c r="L3113">
        <v>283.56869999999998</v>
      </c>
      <c r="M3113">
        <v>-0.99987099999999995</v>
      </c>
      <c r="N3113">
        <v>0</v>
      </c>
      <c r="O3113">
        <v>9.6760509999999997E-3</v>
      </c>
      <c r="P3113">
        <v>-0.99584950000000005</v>
      </c>
      <c r="Q3113">
        <v>8.9881909999999995E-2</v>
      </c>
      <c r="R3113">
        <v>-1.431935E-2</v>
      </c>
      <c r="S3113">
        <v>-3.017242</v>
      </c>
      <c r="T3113">
        <v>-0.1132362</v>
      </c>
      <c r="U3113">
        <v>-0.39440920000000002</v>
      </c>
      <c r="V3113">
        <v>-2.395156E-2</v>
      </c>
      <c r="W3113">
        <v>0.1026377</v>
      </c>
      <c r="X3113">
        <v>0.99443040000000005</v>
      </c>
      <c r="Y3113">
        <v>-0.1391019</v>
      </c>
      <c r="Z3113">
        <v>-2.9598239999999998E-3</v>
      </c>
      <c r="AA3113">
        <v>0.99027370000000003</v>
      </c>
      <c r="AB3113">
        <v>42</v>
      </c>
      <c r="AC3113">
        <v>-29.1981999999999</v>
      </c>
      <c r="AD3113">
        <v>-1.1044084465099999</v>
      </c>
      <c r="AE3113">
        <v>-3.8488999999999498</v>
      </c>
      <c r="AF3113">
        <v>-4.1254648044294999</v>
      </c>
      <c r="AG3113">
        <v>-1.1044084465099999</v>
      </c>
      <c r="AH3113">
        <v>29.118639299498302</v>
      </c>
      <c r="AI3113">
        <v>92.150610237545607</v>
      </c>
      <c r="AJ3113">
        <v>98.063871602911206</v>
      </c>
      <c r="AK3113">
        <v>29.430160253107701</v>
      </c>
      <c r="AL3113">
        <v>84.108918652525702</v>
      </c>
      <c r="AM3113">
        <v>91.379742636337895</v>
      </c>
      <c r="AN3113">
        <v>0.99999999756594105</v>
      </c>
    </row>
    <row r="3114" spans="1:40" x14ac:dyDescent="0.3">
      <c r="A3114" t="str">
        <f>"20200111150013687"</f>
        <v>20200111150013687</v>
      </c>
      <c r="B3114" t="str">
        <f>"1578726013679489"</f>
        <v>1578726013679489</v>
      </c>
      <c r="C3114" t="s">
        <v>40</v>
      </c>
      <c r="D3114">
        <v>4.1962630000000001</v>
      </c>
      <c r="E3114">
        <v>0.45742680000000002</v>
      </c>
      <c r="F3114" t="s">
        <v>52</v>
      </c>
      <c r="G3114">
        <v>-483.74950000000001</v>
      </c>
      <c r="H3114" s="1">
        <v>2.4526929999999998E-6</v>
      </c>
      <c r="I3114">
        <v>279.8331</v>
      </c>
      <c r="J3114">
        <v>-455.58330000000001</v>
      </c>
      <c r="K3114">
        <v>1.104409</v>
      </c>
      <c r="L3114">
        <v>283.5727</v>
      </c>
      <c r="M3114">
        <v>-0.99987060000000005</v>
      </c>
      <c r="N3114">
        <v>0</v>
      </c>
      <c r="O3114">
        <v>9.6756289999999998E-3</v>
      </c>
      <c r="P3114">
        <v>-0.99582309999999996</v>
      </c>
      <c r="Q3114">
        <v>8.9989620000000006E-2</v>
      </c>
      <c r="R3114">
        <v>-1.544046E-2</v>
      </c>
      <c r="S3114">
        <v>-3.0173649999999999</v>
      </c>
      <c r="T3114">
        <v>-0.1166229</v>
      </c>
      <c r="U3114">
        <v>-0.39447019999999999</v>
      </c>
      <c r="V3114">
        <v>-2.5071659999999999E-2</v>
      </c>
      <c r="W3114">
        <v>0.102782399999999</v>
      </c>
      <c r="X3114">
        <v>0.99438789999999999</v>
      </c>
      <c r="Y3114">
        <v>-0.1391097</v>
      </c>
      <c r="Z3114">
        <v>-3.048294E-3</v>
      </c>
      <c r="AA3114">
        <v>0.99027229999999999</v>
      </c>
      <c r="AB3114">
        <v>42</v>
      </c>
      <c r="AC3114">
        <v>-28.1662</v>
      </c>
      <c r="AD3114">
        <v>-1.1044065473069999</v>
      </c>
      <c r="AE3114">
        <v>-3.73959999999999</v>
      </c>
      <c r="AF3114">
        <v>-4.0059209078298501</v>
      </c>
      <c r="AG3114">
        <v>-1.1044065473069999</v>
      </c>
      <c r="AH3114">
        <v>28.086262083501399</v>
      </c>
      <c r="AI3114">
        <v>92.229283578047699</v>
      </c>
      <c r="AJ3114">
        <v>98.117302617369106</v>
      </c>
      <c r="AK3114">
        <v>28.391992426820799</v>
      </c>
      <c r="AL3114">
        <v>84.100584200232106</v>
      </c>
      <c r="AM3114">
        <v>91.444301588351195</v>
      </c>
      <c r="AN3114">
        <v>1.0000000527756601</v>
      </c>
    </row>
    <row r="3115" spans="1:40" x14ac:dyDescent="0.3">
      <c r="A3115" t="str">
        <f>"20200111150013703"</f>
        <v>20200111150013703</v>
      </c>
      <c r="B3115" t="str">
        <f>"1578726013699010"</f>
        <v>1578726013699010</v>
      </c>
      <c r="C3115" t="s">
        <v>40</v>
      </c>
      <c r="D3115">
        <v>4.2630619999999997</v>
      </c>
      <c r="E3115">
        <v>0.45727089999999998</v>
      </c>
      <c r="F3115" t="s">
        <v>52</v>
      </c>
      <c r="G3115">
        <v>-484.4255</v>
      </c>
      <c r="H3115" s="1">
        <v>2.5659639999999999E-6</v>
      </c>
      <c r="I3115">
        <v>279.75720000000001</v>
      </c>
      <c r="J3115">
        <v>-455.8938</v>
      </c>
      <c r="K3115">
        <v>1.1044099999999999</v>
      </c>
      <c r="L3115">
        <v>283.57569999999998</v>
      </c>
      <c r="M3115">
        <v>-0.99987020000000004</v>
      </c>
      <c r="N3115">
        <v>0</v>
      </c>
      <c r="O3115">
        <v>9.6752620000000004E-3</v>
      </c>
      <c r="P3115">
        <v>-0.99585330000000005</v>
      </c>
      <c r="Q3115">
        <v>8.9464349999999998E-2</v>
      </c>
      <c r="R3115">
        <v>-1.6494990000000001E-2</v>
      </c>
      <c r="S3115">
        <v>-3.016785</v>
      </c>
      <c r="T3115">
        <v>-0.1155168</v>
      </c>
      <c r="U3115">
        <v>-0.3990784</v>
      </c>
      <c r="V3115">
        <v>-2.612658E-2</v>
      </c>
      <c r="W3115">
        <v>0.10228669999999999</v>
      </c>
      <c r="X3115">
        <v>0.99441179999999996</v>
      </c>
      <c r="Y3115">
        <v>-0.14062160000000001</v>
      </c>
      <c r="Z3115">
        <v>-3.0484739999999998E-3</v>
      </c>
      <c r="AA3115">
        <v>0.99005869999999996</v>
      </c>
      <c r="AB3115">
        <v>42</v>
      </c>
      <c r="AC3115">
        <v>-28.531700000000001</v>
      </c>
      <c r="AD3115">
        <v>-1.1044074340359999</v>
      </c>
      <c r="AE3115">
        <v>-3.81849999999997</v>
      </c>
      <c r="AF3115">
        <v>-4.0883779320840201</v>
      </c>
      <c r="AG3115">
        <v>-1.1044074340359999</v>
      </c>
      <c r="AH3115">
        <v>28.451536988324602</v>
      </c>
      <c r="AI3115">
        <v>92.200363951361297</v>
      </c>
      <c r="AJ3115">
        <v>98.177210114805902</v>
      </c>
      <c r="AK3115">
        <v>28.7649875177082</v>
      </c>
      <c r="AL3115">
        <v>84.129135876669594</v>
      </c>
      <c r="AM3115">
        <v>91.505008757297603</v>
      </c>
      <c r="AN3115">
        <v>0.99999999757931302</v>
      </c>
    </row>
    <row r="3116" spans="1:40" x14ac:dyDescent="0.3">
      <c r="A3116" t="str">
        <f>"20200111150013717"</f>
        <v>20200111150013717</v>
      </c>
      <c r="B3116" t="str">
        <f>"1578726013708769"</f>
        <v>1578726013708769</v>
      </c>
      <c r="C3116" t="s">
        <v>40</v>
      </c>
      <c r="D3116">
        <v>4.3102720000000003</v>
      </c>
      <c r="E3116">
        <v>0.45713569999999998</v>
      </c>
      <c r="F3116" t="s">
        <v>52</v>
      </c>
      <c r="G3116">
        <v>-484.03919999999999</v>
      </c>
      <c r="H3116" s="1">
        <v>2.5017920000000001E-6</v>
      </c>
      <c r="I3116">
        <v>279.80709999999999</v>
      </c>
      <c r="J3116">
        <v>-456.15989999999999</v>
      </c>
      <c r="K3116">
        <v>1.1044130000000001</v>
      </c>
      <c r="L3116">
        <v>283.57819999999998</v>
      </c>
      <c r="M3116">
        <v>-0.99986989999999998</v>
      </c>
      <c r="N3116">
        <v>0</v>
      </c>
      <c r="O3116">
        <v>9.6752829999999998E-3</v>
      </c>
      <c r="P3116">
        <v>-0.99580519999999995</v>
      </c>
      <c r="Q3116">
        <v>8.9798520000000007E-2</v>
      </c>
      <c r="R3116">
        <v>-1.7558279999999999E-2</v>
      </c>
      <c r="S3116">
        <v>-3.0164789999999999</v>
      </c>
      <c r="T3116">
        <v>-0.1183649</v>
      </c>
      <c r="U3116">
        <v>-0.40390009999999998</v>
      </c>
      <c r="V3116">
        <v>-2.7189120000000001E-2</v>
      </c>
      <c r="W3116">
        <v>0.1026444</v>
      </c>
      <c r="X3116">
        <v>0.99434639999999996</v>
      </c>
      <c r="Y3116">
        <v>-0.1421829</v>
      </c>
      <c r="Z3116">
        <v>-3.1540510000000002E-3</v>
      </c>
      <c r="AA3116">
        <v>0.98983540000000003</v>
      </c>
      <c r="AB3116">
        <v>42</v>
      </c>
      <c r="AC3116">
        <v>-27.879300000000001</v>
      </c>
      <c r="AD3116">
        <v>-1.1044104982080001</v>
      </c>
      <c r="AE3116">
        <v>-3.7710999999999899</v>
      </c>
      <c r="AF3116">
        <v>-4.0344686362149504</v>
      </c>
      <c r="AG3116">
        <v>-1.1044104982080001</v>
      </c>
      <c r="AH3116">
        <v>27.7986655957314</v>
      </c>
      <c r="AI3116">
        <v>92.251537898144406</v>
      </c>
      <c r="AJ3116">
        <v>98.257779660665193</v>
      </c>
      <c r="AK3116">
        <v>28.1116073647249</v>
      </c>
      <c r="AL3116">
        <v>84.108532404886006</v>
      </c>
      <c r="AM3116">
        <v>91.566288919829603</v>
      </c>
      <c r="AN3116">
        <v>0.99999994214534504</v>
      </c>
    </row>
    <row r="3117" spans="1:40" x14ac:dyDescent="0.3">
      <c r="A3117" t="str">
        <f>"20200111150013730"</f>
        <v>20200111150013730</v>
      </c>
      <c r="B3117" t="str">
        <f>"1578726013719505"</f>
        <v>1578726013719505</v>
      </c>
      <c r="C3117" t="s">
        <v>40</v>
      </c>
      <c r="D3117">
        <v>4.3021729999999998</v>
      </c>
      <c r="E3117">
        <v>0.45700659999999999</v>
      </c>
      <c r="F3117" t="s">
        <v>52</v>
      </c>
      <c r="G3117">
        <v>-484.37639999999999</v>
      </c>
      <c r="H3117" s="1">
        <v>2.5573160000000001E-6</v>
      </c>
      <c r="I3117">
        <v>279.75790000000001</v>
      </c>
      <c r="J3117">
        <v>-456.39870000000002</v>
      </c>
      <c r="K3117">
        <v>1.1044179999999999</v>
      </c>
      <c r="L3117">
        <v>283.58049999999997</v>
      </c>
      <c r="M3117">
        <v>-0.99986969999999997</v>
      </c>
      <c r="N3117">
        <v>0</v>
      </c>
      <c r="O3117">
        <v>9.6749590000000003E-3</v>
      </c>
      <c r="P3117">
        <v>-0.99572799999999995</v>
      </c>
      <c r="Q3117">
        <v>9.0560260000000004E-2</v>
      </c>
      <c r="R3117">
        <v>-1.8029489999999999E-2</v>
      </c>
      <c r="S3117">
        <v>-3.0161129999999998</v>
      </c>
      <c r="T3117">
        <v>-0.11805259999999999</v>
      </c>
      <c r="U3117">
        <v>-0.40835569999999999</v>
      </c>
      <c r="V3117">
        <v>-2.7659110000000001E-2</v>
      </c>
      <c r="W3117">
        <v>0.1034265</v>
      </c>
      <c r="X3117">
        <v>0.99425240000000004</v>
      </c>
      <c r="Y3117">
        <v>-0.14363399999999901</v>
      </c>
      <c r="Z3117">
        <v>-3.1740510000000002E-3</v>
      </c>
      <c r="AA3117">
        <v>0.9896258</v>
      </c>
      <c r="AB3117">
        <v>42</v>
      </c>
      <c r="AC3117">
        <v>-27.977699999999899</v>
      </c>
      <c r="AD3117">
        <v>-1.104415442684</v>
      </c>
      <c r="AE3117">
        <v>-3.82259999999996</v>
      </c>
      <c r="AF3117">
        <v>-4.0868750388341404</v>
      </c>
      <c r="AG3117">
        <v>-1.104415442684</v>
      </c>
      <c r="AH3117">
        <v>27.89672990939</v>
      </c>
      <c r="AI3117">
        <v>92.243203414307203</v>
      </c>
      <c r="AJ3117">
        <v>98.334551412287297</v>
      </c>
      <c r="AK3117">
        <v>28.216126961199699</v>
      </c>
      <c r="AL3117">
        <v>84.063481650578595</v>
      </c>
      <c r="AM3117">
        <v>91.593500449889007</v>
      </c>
      <c r="AN3117">
        <v>0.99999995108699902</v>
      </c>
    </row>
    <row r="3118" spans="1:40" x14ac:dyDescent="0.3">
      <c r="A3118" t="str">
        <f>"20200111150013742"</f>
        <v>20200111150013742</v>
      </c>
      <c r="B3118" t="str">
        <f>"1578726013739025"</f>
        <v>1578726013739025</v>
      </c>
      <c r="C3118" t="s">
        <v>40</v>
      </c>
      <c r="D3118">
        <v>4.262632</v>
      </c>
      <c r="E3118">
        <v>0.45683400000000002</v>
      </c>
      <c r="F3118" t="s">
        <v>52</v>
      </c>
      <c r="G3118">
        <v>-484.92610000000002</v>
      </c>
      <c r="H3118" s="1">
        <v>2.6493140000000002E-6</v>
      </c>
      <c r="I3118">
        <v>279.69499999999999</v>
      </c>
      <c r="J3118">
        <v>-456.6275</v>
      </c>
      <c r="K3118">
        <v>1.1044320000000001</v>
      </c>
      <c r="L3118">
        <v>283.58269999999999</v>
      </c>
      <c r="M3118">
        <v>-0.99986929999999996</v>
      </c>
      <c r="N3118">
        <v>0</v>
      </c>
      <c r="O3118">
        <v>9.6748159999999993E-3</v>
      </c>
      <c r="P3118">
        <v>-0.99545870000000003</v>
      </c>
      <c r="Q3118">
        <v>9.3326229999999996E-2</v>
      </c>
      <c r="R3118">
        <v>-1.8770040000000002E-2</v>
      </c>
      <c r="S3118">
        <v>-3.016022</v>
      </c>
      <c r="T3118">
        <v>-0.1167632</v>
      </c>
      <c r="U3118">
        <v>-0.41079710000000003</v>
      </c>
      <c r="V3118">
        <v>-2.8396959999999999E-2</v>
      </c>
      <c r="W3118">
        <v>0.1062106</v>
      </c>
      <c r="X3118">
        <v>0.99393810000000005</v>
      </c>
      <c r="Y3118">
        <v>-0.14442629999999901</v>
      </c>
      <c r="Z3118">
        <v>-3.154591E-3</v>
      </c>
      <c r="AA3118">
        <v>0.98951049999999996</v>
      </c>
      <c r="AB3118">
        <v>42</v>
      </c>
      <c r="AC3118">
        <v>-28.2986</v>
      </c>
      <c r="AD3118">
        <v>-1.1044293506859999</v>
      </c>
      <c r="AE3118">
        <v>-3.8876999999999899</v>
      </c>
      <c r="AF3118">
        <v>-4.15511306384753</v>
      </c>
      <c r="AG3118">
        <v>-1.1044293506859999</v>
      </c>
      <c r="AH3118">
        <v>28.217475788211299</v>
      </c>
      <c r="AI3118">
        <v>92.217518741756805</v>
      </c>
      <c r="AJ3118">
        <v>98.376785940771697</v>
      </c>
      <c r="AK3118">
        <v>28.543136979356401</v>
      </c>
      <c r="AL3118">
        <v>83.903081196649893</v>
      </c>
      <c r="AM3118">
        <v>91.636503809616698</v>
      </c>
      <c r="AN3118">
        <v>1.0000000127605999</v>
      </c>
    </row>
    <row r="3119" spans="1:40" x14ac:dyDescent="0.3">
      <c r="A3119" t="str">
        <f>"20200111150013757"</f>
        <v>20200111150013757</v>
      </c>
      <c r="B3119" t="str">
        <f>"1578726013748785"</f>
        <v>1578726013748785</v>
      </c>
      <c r="C3119" t="s">
        <v>40</v>
      </c>
      <c r="D3119">
        <v>4.4417070000000001</v>
      </c>
      <c r="E3119">
        <v>0.4566462</v>
      </c>
      <c r="F3119" t="s">
        <v>52</v>
      </c>
      <c r="G3119">
        <v>-487.0437</v>
      </c>
      <c r="H3119" s="1">
        <v>2.9433540000000001E-6</v>
      </c>
      <c r="I3119">
        <v>279.40499999999997</v>
      </c>
      <c r="J3119">
        <v>-456.90769999999998</v>
      </c>
      <c r="K3119">
        <v>1.1044419999999999</v>
      </c>
      <c r="L3119">
        <v>283.58539999999999</v>
      </c>
      <c r="M3119">
        <v>-0.99986900000000001</v>
      </c>
      <c r="N3119">
        <v>0</v>
      </c>
      <c r="O3119">
        <v>9.6746290000000006E-3</v>
      </c>
      <c r="P3119">
        <v>-0.9953727</v>
      </c>
      <c r="Q3119">
        <v>9.4243950000000007E-2</v>
      </c>
      <c r="R3119">
        <v>-1.8745000000000001E-2</v>
      </c>
      <c r="S3119">
        <v>-3.0161440000000002</v>
      </c>
      <c r="T3119">
        <v>-0.10951809999999999</v>
      </c>
      <c r="U3119">
        <v>-0.41427609999999898</v>
      </c>
      <c r="V3119">
        <v>-2.8370840000000001E-2</v>
      </c>
      <c r="W3119">
        <v>0.1071555</v>
      </c>
      <c r="X3119">
        <v>0.99383739999999998</v>
      </c>
      <c r="Y3119">
        <v>-0.14555399999999999</v>
      </c>
      <c r="Z3119">
        <v>-2.9789949999999999E-3</v>
      </c>
      <c r="AA3119">
        <v>0.98934580000000005</v>
      </c>
      <c r="AB3119">
        <v>42</v>
      </c>
      <c r="AC3119">
        <v>-30.135999999999999</v>
      </c>
      <c r="AD3119">
        <v>-1.1044390566459901</v>
      </c>
      <c r="AE3119">
        <v>-4.1804000000000201</v>
      </c>
      <c r="AF3119">
        <v>-4.4658985315376896</v>
      </c>
      <c r="AG3119">
        <v>-1.1044390566459901</v>
      </c>
      <c r="AH3119">
        <v>30.054537642160799</v>
      </c>
      <c r="AI3119">
        <v>92.081712500391106</v>
      </c>
      <c r="AJ3119">
        <v>98.451916765743704</v>
      </c>
      <c r="AK3119">
        <v>30.4045928801538</v>
      </c>
      <c r="AL3119">
        <v>83.8486315439431</v>
      </c>
      <c r="AM3119">
        <v>91.635164918820095</v>
      </c>
      <c r="AN3119">
        <v>0.99999999169065701</v>
      </c>
    </row>
    <row r="3120" spans="1:40" x14ac:dyDescent="0.3">
      <c r="A3120" t="str">
        <f>"20200111150013771"</f>
        <v>20200111150013771</v>
      </c>
      <c r="B3120" t="str">
        <f>"1578726013759522"</f>
        <v>1578726013759522</v>
      </c>
      <c r="C3120" t="s">
        <v>40</v>
      </c>
      <c r="D3120">
        <v>4.2661100000000003</v>
      </c>
      <c r="E3120">
        <v>0.45654909999999999</v>
      </c>
      <c r="F3120" t="s">
        <v>52</v>
      </c>
      <c r="G3120">
        <v>-487.75810000000001</v>
      </c>
      <c r="H3120" s="1">
        <v>3.044752E-6</v>
      </c>
      <c r="I3120">
        <v>279.33330000000001</v>
      </c>
      <c r="J3120">
        <v>-457.15480000000002</v>
      </c>
      <c r="K3120">
        <v>1.104449</v>
      </c>
      <c r="L3120">
        <v>283.58780000000002</v>
      </c>
      <c r="M3120">
        <v>-0.9998686</v>
      </c>
      <c r="N3120">
        <v>0</v>
      </c>
      <c r="O3120">
        <v>9.6744580000000004E-3</v>
      </c>
      <c r="P3120">
        <v>-0.99534339999999999</v>
      </c>
      <c r="Q3120">
        <v>9.449639E-2</v>
      </c>
      <c r="R3120">
        <v>-1.9032629999999998E-2</v>
      </c>
      <c r="S3120">
        <v>-3.016327</v>
      </c>
      <c r="T3120">
        <v>-0.10798389999999999</v>
      </c>
      <c r="U3120">
        <v>-0.41574100000000003</v>
      </c>
      <c r="V3120">
        <v>-2.8658099999999902E-2</v>
      </c>
      <c r="W3120">
        <v>0.1074338</v>
      </c>
      <c r="X3120">
        <v>0.99379910000000005</v>
      </c>
      <c r="Y3120">
        <v>-0.1460197</v>
      </c>
      <c r="Z3120">
        <v>-2.94531E-3</v>
      </c>
      <c r="AA3120">
        <v>0.98927730000000003</v>
      </c>
      <c r="AB3120">
        <v>42</v>
      </c>
      <c r="AC3120">
        <v>-30.603299999999901</v>
      </c>
      <c r="AD3120">
        <v>-1.1044459552479999</v>
      </c>
      <c r="AE3120">
        <v>-4.2545000000000002</v>
      </c>
      <c r="AF3120">
        <v>-4.5445894941577896</v>
      </c>
      <c r="AG3120">
        <v>-1.1044459552479999</v>
      </c>
      <c r="AH3120">
        <v>30.5217056126871</v>
      </c>
      <c r="AI3120">
        <v>92.049799256029701</v>
      </c>
      <c r="AJ3120">
        <v>98.468947370346996</v>
      </c>
      <c r="AK3120">
        <v>30.8779469532222</v>
      </c>
      <c r="AL3120">
        <v>83.832593470492199</v>
      </c>
      <c r="AM3120">
        <v>91.651775760711402</v>
      </c>
      <c r="AN3120">
        <v>0.99999997961942899</v>
      </c>
    </row>
    <row r="3121" spans="1:40" x14ac:dyDescent="0.3">
      <c r="A3121" t="str">
        <f>"20200111150013787"</f>
        <v>20200111150013787</v>
      </c>
      <c r="B3121" t="str">
        <f>"1578726013779041"</f>
        <v>1578726013779041</v>
      </c>
      <c r="C3121" t="s">
        <v>40</v>
      </c>
      <c r="D3121">
        <v>4.321491</v>
      </c>
      <c r="E3121">
        <v>0.45632200000000001</v>
      </c>
      <c r="F3121" t="s">
        <v>52</v>
      </c>
      <c r="G3121">
        <v>-487.9169</v>
      </c>
      <c r="H3121" s="1">
        <v>3.0719979999999999E-6</v>
      </c>
      <c r="I3121">
        <v>279.33069999999998</v>
      </c>
      <c r="J3121">
        <v>-457.46120000000002</v>
      </c>
      <c r="K3121">
        <v>1.104457</v>
      </c>
      <c r="L3121">
        <v>283.5908</v>
      </c>
      <c r="M3121">
        <v>-0.99986819999999998</v>
      </c>
      <c r="N3121">
        <v>0</v>
      </c>
      <c r="O3121">
        <v>9.6742379999999999E-3</v>
      </c>
      <c r="P3121">
        <v>-0.99535439999999997</v>
      </c>
      <c r="Q3121">
        <v>9.4283439999999996E-2</v>
      </c>
      <c r="R3121">
        <v>-1.9507389999999999E-2</v>
      </c>
      <c r="S3121">
        <v>-3.0162960000000001</v>
      </c>
      <c r="T3121">
        <v>-0.1082934</v>
      </c>
      <c r="U3121">
        <v>-0.4174194</v>
      </c>
      <c r="V3121">
        <v>-2.9133019999999999E-2</v>
      </c>
      <c r="W3121">
        <v>0.1072541</v>
      </c>
      <c r="X3121">
        <v>0.99380469999999999</v>
      </c>
      <c r="Y3121">
        <v>-0.1465602</v>
      </c>
      <c r="Z3121">
        <v>-2.963308E-3</v>
      </c>
      <c r="AA3121">
        <v>0.98919729999999995</v>
      </c>
      <c r="AB3121">
        <v>42</v>
      </c>
      <c r="AC3121">
        <v>-30.455699999999901</v>
      </c>
      <c r="AD3121">
        <v>-1.104453928002</v>
      </c>
      <c r="AE3121">
        <v>-4.26010000000002</v>
      </c>
      <c r="AF3121">
        <v>-4.5486941643101</v>
      </c>
      <c r="AG3121">
        <v>-1.104453928002</v>
      </c>
      <c r="AH3121">
        <v>30.3738797492685</v>
      </c>
      <c r="AI3121">
        <v>92.059523205049501</v>
      </c>
      <c r="AJ3121">
        <v>98.517135807792698</v>
      </c>
      <c r="AK3121">
        <v>30.7324422736386</v>
      </c>
      <c r="AL3121">
        <v>83.842949350920605</v>
      </c>
      <c r="AM3121">
        <v>91.679123872175396</v>
      </c>
      <c r="AN3121">
        <v>0.99999997828160903</v>
      </c>
    </row>
    <row r="3122" spans="1:40" x14ac:dyDescent="0.3">
      <c r="A3122" t="str">
        <f>"20200111150013803"</f>
        <v>20200111150013803</v>
      </c>
      <c r="B3122" t="str">
        <f>"1578726013799538"</f>
        <v>1578726013799538</v>
      </c>
      <c r="C3122" t="s">
        <v>40</v>
      </c>
      <c r="D3122">
        <v>4.1732110000000002</v>
      </c>
      <c r="E3122">
        <v>0.4561577</v>
      </c>
      <c r="F3122" t="s">
        <v>52</v>
      </c>
      <c r="G3122">
        <v>-487.49299999999999</v>
      </c>
      <c r="H3122" s="1">
        <v>3.0231369999999999E-6</v>
      </c>
      <c r="I3122">
        <v>279.40519999999998</v>
      </c>
      <c r="J3122">
        <v>-457.75</v>
      </c>
      <c r="K3122">
        <v>1.1044609999999999</v>
      </c>
      <c r="L3122">
        <v>283.59359999999998</v>
      </c>
      <c r="M3122">
        <v>-0.99986790000000003</v>
      </c>
      <c r="N3122">
        <v>0</v>
      </c>
      <c r="O3122">
        <v>9.6739029999999993E-3</v>
      </c>
      <c r="P3122">
        <v>-0.99539630000000001</v>
      </c>
      <c r="Q3122">
        <v>9.3793509999999997E-2</v>
      </c>
      <c r="R3122">
        <v>-1.972635E-2</v>
      </c>
      <c r="S3122">
        <v>-3.0162659999999999</v>
      </c>
      <c r="T3122">
        <v>-0.1109267</v>
      </c>
      <c r="U3122">
        <v>-0.42037960000000002</v>
      </c>
      <c r="V3122">
        <v>-2.935198E-2</v>
      </c>
      <c r="W3122">
        <v>0.10679710000000001</v>
      </c>
      <c r="X3122">
        <v>0.99384749999999999</v>
      </c>
      <c r="Y3122">
        <v>-0.1475081</v>
      </c>
      <c r="Z3122">
        <v>-3.052473E-3</v>
      </c>
      <c r="AA3122">
        <v>0.98905609999999999</v>
      </c>
      <c r="AB3122">
        <v>42</v>
      </c>
      <c r="AC3122">
        <v>-29.742999999999999</v>
      </c>
      <c r="AD3122">
        <v>-1.1044579768629901</v>
      </c>
      <c r="AE3122">
        <v>-4.1883999999999997</v>
      </c>
      <c r="AF3122">
        <v>-4.4699157565665102</v>
      </c>
      <c r="AG3122">
        <v>-1.1044579768629901</v>
      </c>
      <c r="AH3122">
        <v>29.660982465789299</v>
      </c>
      <c r="AI3122">
        <v>92.108695064044696</v>
      </c>
      <c r="AJ3122">
        <v>98.569996835003593</v>
      </c>
      <c r="AK3122">
        <v>30.016226530483799</v>
      </c>
      <c r="AL3122">
        <v>83.869284959021897</v>
      </c>
      <c r="AM3122">
        <v>91.691663830958007</v>
      </c>
      <c r="AN3122">
        <v>1.00000000627729</v>
      </c>
    </row>
    <row r="3123" spans="1:40" x14ac:dyDescent="0.3">
      <c r="A3123" t="str">
        <f>"20200111150013816"</f>
        <v>20200111150013816</v>
      </c>
      <c r="B3123" t="str">
        <f>"1578726013809297"</f>
        <v>1578726013809297</v>
      </c>
      <c r="C3123" t="s">
        <v>40</v>
      </c>
      <c r="D3123">
        <v>4.314978</v>
      </c>
      <c r="E3123">
        <v>0.4561327</v>
      </c>
      <c r="F3123" t="s">
        <v>52</v>
      </c>
      <c r="G3123">
        <v>-487.10300000000001</v>
      </c>
      <c r="H3123" s="1">
        <v>2.9821689999999998E-6</v>
      </c>
      <c r="I3123">
        <v>279.48500000000001</v>
      </c>
      <c r="J3123">
        <v>-457.99689999999998</v>
      </c>
      <c r="K3123">
        <v>1.1044670000000001</v>
      </c>
      <c r="L3123">
        <v>283.59589999999997</v>
      </c>
      <c r="M3123">
        <v>-0.99986739999999996</v>
      </c>
      <c r="N3123">
        <v>0</v>
      </c>
      <c r="O3123">
        <v>9.6738239999999993E-3</v>
      </c>
      <c r="P3123">
        <v>-0.99541659999999998</v>
      </c>
      <c r="Q3123">
        <v>9.3543459999999995E-2</v>
      </c>
      <c r="R3123">
        <v>-1.98815E-2</v>
      </c>
      <c r="S3123">
        <v>-3.0162049999999998</v>
      </c>
      <c r="T3123">
        <v>-0.11348999999999999</v>
      </c>
      <c r="U3123">
        <v>-0.42218020000000001</v>
      </c>
      <c r="V3123">
        <v>-2.9507169999999999E-2</v>
      </c>
      <c r="W3123">
        <v>0.10657709999999999</v>
      </c>
      <c r="X3123">
        <v>0.99386649999999999</v>
      </c>
      <c r="Y3123">
        <v>-0.14808460000000001</v>
      </c>
      <c r="Z3123">
        <v>-3.1336810000000001E-3</v>
      </c>
      <c r="AA3123">
        <v>0.98896969999999995</v>
      </c>
      <c r="AB3123">
        <v>42</v>
      </c>
      <c r="AC3123">
        <v>-29.106100000000001</v>
      </c>
      <c r="AD3123">
        <v>-1.1044640178309999</v>
      </c>
      <c r="AE3123">
        <v>-4.1108999999999503</v>
      </c>
      <c r="AF3123">
        <v>-4.3861069833161803</v>
      </c>
      <c r="AG3123">
        <v>-1.1044640178309999</v>
      </c>
      <c r="AH3123">
        <v>29.023991741842099</v>
      </c>
      <c r="AI3123">
        <v>92.154809924718805</v>
      </c>
      <c r="AJ3123">
        <v>98.5935170742694</v>
      </c>
      <c r="AK3123">
        <v>29.3743063214486</v>
      </c>
      <c r="AL3123">
        <v>83.881962257892894</v>
      </c>
      <c r="AM3123">
        <v>91.700570278074693</v>
      </c>
      <c r="AN3123">
        <v>0.99999998557403402</v>
      </c>
    </row>
    <row r="3124" spans="1:40" x14ac:dyDescent="0.3">
      <c r="A3124" t="str">
        <f>"20200111150013829"</f>
        <v>20200111150013829</v>
      </c>
      <c r="B3124" t="str">
        <f>"1578726013819059"</f>
        <v>1578726013819059</v>
      </c>
      <c r="C3124" t="s">
        <v>40</v>
      </c>
      <c r="D3124">
        <v>4.5051809999999897</v>
      </c>
      <c r="E3124">
        <v>0.45610879999999998</v>
      </c>
      <c r="F3124" t="s">
        <v>52</v>
      </c>
      <c r="G3124">
        <v>-487.2808</v>
      </c>
      <c r="H3124" s="1">
        <v>3.0149670000000001E-6</v>
      </c>
      <c r="I3124">
        <v>279.48860000000002</v>
      </c>
      <c r="J3124">
        <v>-458.25069999999999</v>
      </c>
      <c r="K3124">
        <v>1.1044700000000001</v>
      </c>
      <c r="L3124">
        <v>283.59840000000003</v>
      </c>
      <c r="M3124">
        <v>-0.9998669</v>
      </c>
      <c r="N3124">
        <v>0</v>
      </c>
      <c r="O3124">
        <v>9.6736059999999995E-3</v>
      </c>
      <c r="P3124">
        <v>-0.9954094</v>
      </c>
      <c r="Q3124">
        <v>9.362885E-2</v>
      </c>
      <c r="R3124">
        <v>-1.984056E-2</v>
      </c>
      <c r="S3124">
        <v>-3.0160520000000002</v>
      </c>
      <c r="T3124">
        <v>-0.1137527</v>
      </c>
      <c r="U3124">
        <v>-0.42303469999999999</v>
      </c>
      <c r="V3124">
        <v>-2.9466039999999999E-2</v>
      </c>
      <c r="W3124">
        <v>0.1066951</v>
      </c>
      <c r="X3124">
        <v>0.99385509999999999</v>
      </c>
      <c r="Y3124">
        <v>-0.14836529999999901</v>
      </c>
      <c r="Z3124">
        <v>-3.146285E-3</v>
      </c>
      <c r="AA3124">
        <v>0.98892760000000002</v>
      </c>
      <c r="AB3124">
        <v>42</v>
      </c>
      <c r="AC3124">
        <v>-29.030100000000001</v>
      </c>
      <c r="AD3124">
        <v>-1.104466985033</v>
      </c>
      <c r="AE3124">
        <v>-4.1097999999999999</v>
      </c>
      <c r="AF3124">
        <v>-4.3842363114919802</v>
      </c>
      <c r="AG3124">
        <v>-1.104466985033</v>
      </c>
      <c r="AH3124">
        <v>28.9479035950711</v>
      </c>
      <c r="AI3124">
        <v>92.160368004328703</v>
      </c>
      <c r="AJ3124">
        <v>98.612146670110107</v>
      </c>
      <c r="AK3124">
        <v>29.298848064481401</v>
      </c>
      <c r="AL3124">
        <v>83.875162832401799</v>
      </c>
      <c r="AM3124">
        <v>91.698220712474097</v>
      </c>
      <c r="AN3124">
        <v>1.0000000258366499</v>
      </c>
    </row>
    <row r="3125" spans="1:40" x14ac:dyDescent="0.3">
      <c r="A3125" t="str">
        <f>"20200111150013844"</f>
        <v>20200111150013844</v>
      </c>
      <c r="B3125" t="str">
        <f>"1578726013838577"</f>
        <v>1578726013838577</v>
      </c>
      <c r="C3125" t="s">
        <v>40</v>
      </c>
      <c r="D3125">
        <v>4.3732930000000003</v>
      </c>
      <c r="E3125">
        <v>0.45602110000000001</v>
      </c>
      <c r="F3125" t="s">
        <v>52</v>
      </c>
      <c r="G3125">
        <v>-487.69529999999997</v>
      </c>
      <c r="H3125" s="1">
        <v>3.0812700000000001E-6</v>
      </c>
      <c r="I3125">
        <v>279.46820000000002</v>
      </c>
      <c r="J3125">
        <v>-458.51100000000002</v>
      </c>
      <c r="K3125">
        <v>1.104471</v>
      </c>
      <c r="L3125">
        <v>283.60090000000002</v>
      </c>
      <c r="M3125">
        <v>-0.99986649999999999</v>
      </c>
      <c r="N3125">
        <v>0</v>
      </c>
      <c r="O3125">
        <v>9.6732429999999998E-3</v>
      </c>
      <c r="P3125">
        <v>-0.99538680000000002</v>
      </c>
      <c r="Q3125">
        <v>9.3807160000000001E-2</v>
      </c>
      <c r="R3125">
        <v>-2.0138739999999999E-2</v>
      </c>
      <c r="S3125">
        <v>-3.0160520000000002</v>
      </c>
      <c r="T3125">
        <v>-0.1131321</v>
      </c>
      <c r="U3125">
        <v>-0.42306519999999997</v>
      </c>
      <c r="V3125">
        <v>-2.9763439999999999E-2</v>
      </c>
      <c r="W3125">
        <v>0.1069099</v>
      </c>
      <c r="X3125">
        <v>0.99382309999999996</v>
      </c>
      <c r="Y3125">
        <v>-0.14837600000000001</v>
      </c>
      <c r="Z3125">
        <v>-3.129316E-3</v>
      </c>
      <c r="AA3125">
        <v>0.98892610000000003</v>
      </c>
      <c r="AB3125">
        <v>42</v>
      </c>
      <c r="AC3125">
        <v>-29.1843</v>
      </c>
      <c r="AD3125">
        <v>-1.1044679187299999</v>
      </c>
      <c r="AE3125">
        <v>-4.1326999999999998</v>
      </c>
      <c r="AF3125">
        <v>-4.4086479182868601</v>
      </c>
      <c r="AG3125">
        <v>-1.1044679187299999</v>
      </c>
      <c r="AH3125">
        <v>29.102093209284501</v>
      </c>
      <c r="AI3125">
        <v>92.148922879948998</v>
      </c>
      <c r="AJ3125">
        <v>98.614185203826196</v>
      </c>
      <c r="AK3125">
        <v>29.454844338628</v>
      </c>
      <c r="AL3125">
        <v>83.862784566422803</v>
      </c>
      <c r="AM3125">
        <v>91.715405821761493</v>
      </c>
      <c r="AN3125">
        <v>0.99999997158612597</v>
      </c>
    </row>
    <row r="3126" spans="1:40" x14ac:dyDescent="0.3">
      <c r="A3126" t="str">
        <f>"20200111150013865"</f>
        <v>20200111150013865</v>
      </c>
      <c r="B3126" t="str">
        <f>"1578726013859076"</f>
        <v>1578726013859076</v>
      </c>
      <c r="C3126" t="s">
        <v>40</v>
      </c>
      <c r="D3126">
        <v>4.2686089999999997</v>
      </c>
      <c r="E3126">
        <v>0.45582479999999997</v>
      </c>
      <c r="F3126" t="s">
        <v>52</v>
      </c>
      <c r="G3126">
        <v>-487.9907</v>
      </c>
      <c r="H3126" s="1">
        <v>3.1266860000000001E-6</v>
      </c>
      <c r="I3126">
        <v>279.44839999999999</v>
      </c>
      <c r="J3126">
        <v>-458.92309999999998</v>
      </c>
      <c r="K3126">
        <v>1.1044799999999999</v>
      </c>
      <c r="L3126">
        <v>283.60489999999999</v>
      </c>
      <c r="M3126">
        <v>-0.99986560000000002</v>
      </c>
      <c r="N3126">
        <v>0</v>
      </c>
      <c r="O3126">
        <v>9.6720490000000003E-3</v>
      </c>
      <c r="P3126">
        <v>-0.99539670000000002</v>
      </c>
      <c r="Q3126">
        <v>9.3608150000000001E-2</v>
      </c>
      <c r="R3126">
        <v>-2.0575530000000002E-2</v>
      </c>
      <c r="S3126">
        <v>-3.0159910000000001</v>
      </c>
      <c r="T3126">
        <v>-0.1129955</v>
      </c>
      <c r="U3126">
        <v>-0.42483520000000002</v>
      </c>
      <c r="V3126">
        <v>-3.0199360000000001E-2</v>
      </c>
      <c r="W3126">
        <v>0.106781399999999</v>
      </c>
      <c r="X3126">
        <v>0.99382380000000003</v>
      </c>
      <c r="Y3126">
        <v>-0.14894649999999901</v>
      </c>
      <c r="Z3126">
        <v>-3.1360630000000001E-3</v>
      </c>
      <c r="AA3126">
        <v>0.98884030000000001</v>
      </c>
      <c r="AB3126">
        <v>42</v>
      </c>
      <c r="AC3126">
        <v>-29.067599999999999</v>
      </c>
      <c r="AD3126">
        <v>-1.10447687331399</v>
      </c>
      <c r="AE3126">
        <v>-4.1564999999999896</v>
      </c>
      <c r="AF3126">
        <v>-4.4312040308058798</v>
      </c>
      <c r="AG3126">
        <v>-1.10447687331399</v>
      </c>
      <c r="AH3126">
        <v>28.985025832189301</v>
      </c>
      <c r="AI3126">
        <v>92.157165808431202</v>
      </c>
      <c r="AJ3126">
        <v>98.692026198553194</v>
      </c>
      <c r="AK3126">
        <v>29.342582722367801</v>
      </c>
      <c r="AL3126">
        <v>83.870189681209396</v>
      </c>
      <c r="AM3126">
        <v>91.740513356540305</v>
      </c>
      <c r="AN3126">
        <v>1.0000000070884001</v>
      </c>
    </row>
    <row r="3127" spans="1:40" x14ac:dyDescent="0.3">
      <c r="A3127" t="str">
        <f>"20200111150013882"</f>
        <v>20200111150013882</v>
      </c>
      <c r="B3127" t="str">
        <f>"1578726013879571"</f>
        <v>1578726013879571</v>
      </c>
      <c r="C3127" t="s">
        <v>40</v>
      </c>
      <c r="D3127">
        <v>4.1741489999999999</v>
      </c>
      <c r="E3127">
        <v>0.45567649999999998</v>
      </c>
      <c r="F3127" t="s">
        <v>52</v>
      </c>
      <c r="G3127">
        <v>-487.95429999999999</v>
      </c>
      <c r="H3127" s="1">
        <v>3.1336080000000002E-6</v>
      </c>
      <c r="I3127">
        <v>279.4862</v>
      </c>
      <c r="J3127">
        <v>-459.2278</v>
      </c>
      <c r="K3127">
        <v>1.1044860000000001</v>
      </c>
      <c r="L3127">
        <v>283.6078</v>
      </c>
      <c r="M3127">
        <v>-0.99986489999999995</v>
      </c>
      <c r="N3127">
        <v>0</v>
      </c>
      <c r="O3127">
        <v>9.6688109999999994E-3</v>
      </c>
      <c r="P3127">
        <v>-0.99539350000000004</v>
      </c>
      <c r="Q3127">
        <v>9.3600900000000001E-2</v>
      </c>
      <c r="R3127">
        <v>-2.076445E-2</v>
      </c>
      <c r="S3127">
        <v>-3.0158079999999998</v>
      </c>
      <c r="T3127">
        <v>-0.1147347</v>
      </c>
      <c r="U3127">
        <v>-0.42785640000000003</v>
      </c>
      <c r="V3127">
        <v>-3.0384950000000001E-2</v>
      </c>
      <c r="W3127">
        <v>0.1068355</v>
      </c>
      <c r="X3127">
        <v>0.99381229999999998</v>
      </c>
      <c r="Y3127">
        <v>-0.14991869999999999</v>
      </c>
      <c r="Z3127">
        <v>-3.2025399999999998E-3</v>
      </c>
      <c r="AA3127">
        <v>0.98869309999999999</v>
      </c>
      <c r="AB3127">
        <v>42</v>
      </c>
      <c r="AC3127">
        <v>-28.726499999999898</v>
      </c>
      <c r="AD3127">
        <v>-1.1044828663920001</v>
      </c>
      <c r="AE3127">
        <v>-4.1215999999999999</v>
      </c>
      <c r="AF3127">
        <v>-4.3928201732827601</v>
      </c>
      <c r="AG3127">
        <v>-1.1044828663920001</v>
      </c>
      <c r="AH3127">
        <v>28.643813390022999</v>
      </c>
      <c r="AI3127">
        <v>92.182692683258395</v>
      </c>
      <c r="AJ3127">
        <v>98.718959426312495</v>
      </c>
      <c r="AK3127">
        <v>28.999737878115599</v>
      </c>
      <c r="AL3127">
        <v>83.867071969682996</v>
      </c>
      <c r="AM3127">
        <v>91.751223283446095</v>
      </c>
      <c r="AN3127">
        <v>0.999999978439021</v>
      </c>
    </row>
    <row r="3128" spans="1:40" x14ac:dyDescent="0.3">
      <c r="A3128" t="str">
        <f>"20200111150013895"</f>
        <v>20200111150013895</v>
      </c>
      <c r="B3128" t="str">
        <f>"1578726013889329"</f>
        <v>1578726013889329</v>
      </c>
      <c r="C3128" t="s">
        <v>40</v>
      </c>
      <c r="D3128">
        <v>4.277196</v>
      </c>
      <c r="E3128">
        <v>0.45556760000000002</v>
      </c>
      <c r="F3128" t="s">
        <v>52</v>
      </c>
      <c r="G3128">
        <v>-488.01650000000001</v>
      </c>
      <c r="H3128" s="1">
        <v>3.15114E-6</v>
      </c>
      <c r="I3128">
        <v>279.50459999999998</v>
      </c>
      <c r="J3128">
        <v>-459.48099999999999</v>
      </c>
      <c r="K3128">
        <v>1.1044969999999901</v>
      </c>
      <c r="L3128">
        <v>283.6103</v>
      </c>
      <c r="M3128">
        <v>-0.99986399999999998</v>
      </c>
      <c r="N3128">
        <v>0</v>
      </c>
      <c r="O3128">
        <v>9.661279E-3</v>
      </c>
      <c r="P3128">
        <v>-0.99540390000000001</v>
      </c>
      <c r="Q3128">
        <v>9.343841E-2</v>
      </c>
      <c r="R3128">
        <v>-2.098997E-2</v>
      </c>
      <c r="S3128">
        <v>-3.0158079999999998</v>
      </c>
      <c r="T3128">
        <v>-0.1157017</v>
      </c>
      <c r="U3128">
        <v>-0.4298401</v>
      </c>
      <c r="V3128">
        <v>-3.0603760000000001E-2</v>
      </c>
      <c r="W3128">
        <v>0.1067302</v>
      </c>
      <c r="X3128">
        <v>0.9938169</v>
      </c>
      <c r="Y3128">
        <v>-0.15054629999999999</v>
      </c>
      <c r="Z3128">
        <v>-3.2410519999999999E-3</v>
      </c>
      <c r="AA3128">
        <v>0.98859759999999997</v>
      </c>
      <c r="AB3128">
        <v>42</v>
      </c>
      <c r="AC3128">
        <v>-28.535499999999999</v>
      </c>
      <c r="AD3128">
        <v>-1.10449384885999</v>
      </c>
      <c r="AE3128">
        <v>-4.1057000000000103</v>
      </c>
      <c r="AF3128">
        <v>-4.3748012177958602</v>
      </c>
      <c r="AG3128">
        <v>-1.10449384885999</v>
      </c>
      <c r="AH3128">
        <v>28.452736157356401</v>
      </c>
      <c r="AI3128">
        <v>92.197227673685404</v>
      </c>
      <c r="AJ3128">
        <v>98.741160093936699</v>
      </c>
      <c r="AK3128">
        <v>28.8082798375317</v>
      </c>
      <c r="AL3128">
        <v>83.873139908325896</v>
      </c>
      <c r="AM3128">
        <v>91.763818205425096</v>
      </c>
      <c r="AN3128">
        <v>0.99999997822189302</v>
      </c>
    </row>
    <row r="3129" spans="1:40" x14ac:dyDescent="0.3">
      <c r="A3129" t="str">
        <f>"20200111150013908"</f>
        <v>20200111150013908</v>
      </c>
      <c r="B3129" t="str">
        <f>"1578726013899090"</f>
        <v>1578726013899090</v>
      </c>
      <c r="C3129" t="s">
        <v>40</v>
      </c>
      <c r="D3129">
        <v>4.2953060000000001</v>
      </c>
      <c r="E3129">
        <v>0.45547179999999998</v>
      </c>
      <c r="F3129" t="s">
        <v>52</v>
      </c>
      <c r="G3129">
        <v>-488.08010000000002</v>
      </c>
      <c r="H3129" s="1">
        <v>3.1667320000000001E-6</v>
      </c>
      <c r="I3129">
        <v>279.51679999999999</v>
      </c>
      <c r="J3129">
        <v>-459.71559999999999</v>
      </c>
      <c r="K3129">
        <v>1.104511</v>
      </c>
      <c r="L3129">
        <v>283.61250000000001</v>
      </c>
      <c r="M3129">
        <v>-0.99986339999999996</v>
      </c>
      <c r="N3129">
        <v>0</v>
      </c>
      <c r="O3129">
        <v>9.6474030000000006E-3</v>
      </c>
      <c r="P3129">
        <v>-0.99540320000000004</v>
      </c>
      <c r="Q3129">
        <v>9.3377600000000005E-2</v>
      </c>
      <c r="R3129">
        <v>-2.128671E-2</v>
      </c>
      <c r="S3129">
        <v>-3.0156559999999999</v>
      </c>
      <c r="T3129">
        <v>-0.1164645</v>
      </c>
      <c r="U3129">
        <v>-0.43164059999999999</v>
      </c>
      <c r="V3129">
        <v>-3.0888579999999999E-2</v>
      </c>
      <c r="W3129">
        <v>0.1067245</v>
      </c>
      <c r="X3129">
        <v>0.99380869999999999</v>
      </c>
      <c r="Y3129">
        <v>-0.1511161</v>
      </c>
      <c r="Z3129">
        <v>-3.272839E-3</v>
      </c>
      <c r="AA3129">
        <v>0.98851060000000002</v>
      </c>
      <c r="AB3129">
        <v>42</v>
      </c>
      <c r="AC3129">
        <v>-28.3645</v>
      </c>
      <c r="AD3129">
        <v>-1.1045078332680001</v>
      </c>
      <c r="AE3129">
        <v>-4.0957000000000203</v>
      </c>
      <c r="AF3129">
        <v>-4.36269768918718</v>
      </c>
      <c r="AG3129">
        <v>-1.1045078332680001</v>
      </c>
      <c r="AH3129">
        <v>28.281655499980499</v>
      </c>
      <c r="AI3129">
        <v>92.2103670860607</v>
      </c>
      <c r="AJ3129">
        <v>98.7692638822448</v>
      </c>
      <c r="AK3129">
        <v>28.6374773068538</v>
      </c>
      <c r="AL3129">
        <v>83.873468367351407</v>
      </c>
      <c r="AM3129">
        <v>91.780237696752593</v>
      </c>
      <c r="AN3129">
        <v>0.99999997773517801</v>
      </c>
    </row>
    <row r="3130" spans="1:40" x14ac:dyDescent="0.3">
      <c r="A3130" t="str">
        <f>"20200111150013921"</f>
        <v>20200111150013921</v>
      </c>
      <c r="B3130" t="str">
        <f>"1578726013908849"</f>
        <v>1578726013908849</v>
      </c>
      <c r="C3130" t="s">
        <v>40</v>
      </c>
      <c r="D3130">
        <v>4.2800699999999896</v>
      </c>
      <c r="E3130">
        <v>0.4553912</v>
      </c>
      <c r="F3130" t="s">
        <v>52</v>
      </c>
      <c r="G3130">
        <v>-488.13560000000001</v>
      </c>
      <c r="H3130" s="1">
        <v>3.1798730000000001E-6</v>
      </c>
      <c r="I3130">
        <v>279.52609999999999</v>
      </c>
      <c r="J3130">
        <v>-459.95010000000002</v>
      </c>
      <c r="K3130">
        <v>1.104522</v>
      </c>
      <c r="L3130">
        <v>283.6148</v>
      </c>
      <c r="M3130">
        <v>-0.9998629</v>
      </c>
      <c r="N3130">
        <v>0</v>
      </c>
      <c r="O3130">
        <v>9.6283010000000006E-3</v>
      </c>
      <c r="P3130">
        <v>-0.99539140000000004</v>
      </c>
      <c r="Q3130">
        <v>9.3108830000000004E-2</v>
      </c>
      <c r="R3130">
        <v>-2.295604E-2</v>
      </c>
      <c r="S3130">
        <v>-3.015533</v>
      </c>
      <c r="T3130">
        <v>-0.117194699999999</v>
      </c>
      <c r="U3130">
        <v>-0.43359379999999997</v>
      </c>
      <c r="V3130">
        <v>-3.2540300000000001E-2</v>
      </c>
      <c r="W3130">
        <v>0.1065116</v>
      </c>
      <c r="X3130">
        <v>0.99377879999999996</v>
      </c>
      <c r="Y3130">
        <v>-0.15172820000000001</v>
      </c>
      <c r="Z3130">
        <v>-3.304417E-3</v>
      </c>
      <c r="AA3130">
        <v>0.98841670000000004</v>
      </c>
      <c r="AB3130">
        <v>42</v>
      </c>
      <c r="AC3130">
        <v>-28.185499999999902</v>
      </c>
      <c r="AD3130">
        <v>-1.104518820127</v>
      </c>
      <c r="AE3130">
        <v>-4.08870000000001</v>
      </c>
      <c r="AF3130">
        <v>-4.3533660445801798</v>
      </c>
      <c r="AG3130">
        <v>-1.104518820127</v>
      </c>
      <c r="AH3130">
        <v>28.102555966628799</v>
      </c>
      <c r="AI3130">
        <v>92.224243488983802</v>
      </c>
      <c r="AJ3130">
        <v>98.805695486120101</v>
      </c>
      <c r="AK3130">
        <v>28.459188491586001</v>
      </c>
      <c r="AL3130">
        <v>83.885736382842396</v>
      </c>
      <c r="AM3130">
        <v>91.875423340371697</v>
      </c>
      <c r="AN3130">
        <v>0.99999994769404299</v>
      </c>
    </row>
    <row r="3131" spans="1:40" x14ac:dyDescent="0.3">
      <c r="A3131" t="str">
        <f>"20200111150013938"</f>
        <v>20200111150013938</v>
      </c>
      <c r="B3131" t="str">
        <f>"1578726013929346"</f>
        <v>1578726013929346</v>
      </c>
      <c r="C3131" t="s">
        <v>40</v>
      </c>
      <c r="D3131">
        <v>4.3194089999999896</v>
      </c>
      <c r="E3131">
        <v>0.45534790000000003</v>
      </c>
      <c r="F3131" t="s">
        <v>52</v>
      </c>
      <c r="G3131">
        <v>-488.0471</v>
      </c>
      <c r="H3131" s="1">
        <v>3.1613140000000001E-6</v>
      </c>
      <c r="I3131">
        <v>279.5181</v>
      </c>
      <c r="J3131">
        <v>-460.27280000000002</v>
      </c>
      <c r="K3131">
        <v>1.104557</v>
      </c>
      <c r="L3131">
        <v>283.61790000000002</v>
      </c>
      <c r="M3131">
        <v>-0.99986240000000004</v>
      </c>
      <c r="N3131">
        <v>0</v>
      </c>
      <c r="O3131">
        <v>9.5706560000000003E-3</v>
      </c>
      <c r="P3131">
        <v>-0.99542090000000005</v>
      </c>
      <c r="Q3131">
        <v>9.2444540000000006E-2</v>
      </c>
      <c r="R3131">
        <v>-2.4319670000000002E-2</v>
      </c>
      <c r="S3131">
        <v>-3.0147710000000001</v>
      </c>
      <c r="T3131">
        <v>-0.11851349999999999</v>
      </c>
      <c r="U3131">
        <v>-0.4395752</v>
      </c>
      <c r="V3131">
        <v>-3.3852649999999998E-2</v>
      </c>
      <c r="W3131">
        <v>0.1059266</v>
      </c>
      <c r="X3131">
        <v>0.9937975</v>
      </c>
      <c r="Y3131">
        <v>-0.15362290000000001</v>
      </c>
      <c r="Z3131">
        <v>-3.3767139999999998E-3</v>
      </c>
      <c r="AA3131">
        <v>0.9881238</v>
      </c>
      <c r="AB3131">
        <v>42</v>
      </c>
      <c r="AC3131">
        <v>-27.774299999999901</v>
      </c>
      <c r="AD3131">
        <v>-1.1045538386859901</v>
      </c>
      <c r="AE3131">
        <v>-4.0998000000000099</v>
      </c>
      <c r="AF3131">
        <v>-4.3587082835868101</v>
      </c>
      <c r="AG3131">
        <v>-1.1045538386859901</v>
      </c>
      <c r="AH3131">
        <v>27.690925189909599</v>
      </c>
      <c r="AI3131">
        <v>92.256487083289002</v>
      </c>
      <c r="AJ3131">
        <v>98.945283989868599</v>
      </c>
      <c r="AK3131">
        <v>28.0536221361366</v>
      </c>
      <c r="AL3131">
        <v>83.919445182381196</v>
      </c>
      <c r="AM3131">
        <v>91.950965142218394</v>
      </c>
      <c r="AN3131">
        <v>0.99999995875291503</v>
      </c>
    </row>
    <row r="3132" spans="1:40" x14ac:dyDescent="0.3">
      <c r="A3132" t="str">
        <f>"20200111150013952"</f>
        <v>20200111150013952</v>
      </c>
      <c r="B3132" t="str">
        <f>"1578726013948865"</f>
        <v>1578726013948865</v>
      </c>
      <c r="C3132" t="s">
        <v>40</v>
      </c>
      <c r="D3132">
        <v>4.3213330000000001</v>
      </c>
      <c r="E3132">
        <v>0.45528030000000003</v>
      </c>
      <c r="F3132" t="s">
        <v>52</v>
      </c>
      <c r="G3132">
        <v>-487.81439999999998</v>
      </c>
      <c r="H3132" s="1">
        <v>3.1343880000000001E-6</v>
      </c>
      <c r="I3132">
        <v>279.55869999999999</v>
      </c>
      <c r="J3132">
        <v>-460.52980000000002</v>
      </c>
      <c r="K3132">
        <v>1.104589</v>
      </c>
      <c r="L3132">
        <v>283.62029999999999</v>
      </c>
      <c r="M3132">
        <v>-0.99986209999999998</v>
      </c>
      <c r="N3132">
        <v>0</v>
      </c>
      <c r="O3132">
        <v>9.4939480000000003E-3</v>
      </c>
      <c r="P3132">
        <v>-0.99547030000000003</v>
      </c>
      <c r="Q3132">
        <v>9.1330010000000003E-2</v>
      </c>
      <c r="R3132">
        <v>-2.6418629999999999E-2</v>
      </c>
      <c r="S3132">
        <v>-3.01416</v>
      </c>
      <c r="T3132">
        <v>-0.1208827</v>
      </c>
      <c r="U3132">
        <v>-0.44424439999999998</v>
      </c>
      <c r="V3132">
        <v>-3.5881950000000003E-2</v>
      </c>
      <c r="W3132">
        <v>0.1048777</v>
      </c>
      <c r="X3132">
        <v>0.99383759999999999</v>
      </c>
      <c r="Y3132">
        <v>-0.15506789999999901</v>
      </c>
      <c r="Z3132">
        <v>-3.4702219999999998E-3</v>
      </c>
      <c r="AA3132">
        <v>0.98789780000000005</v>
      </c>
      <c r="AB3132">
        <v>42</v>
      </c>
      <c r="AC3132">
        <v>-27.284599999999902</v>
      </c>
      <c r="AD3132">
        <v>-1.104585865612</v>
      </c>
      <c r="AE3132">
        <v>-4.0615999999999897</v>
      </c>
      <c r="AF3132">
        <v>-4.3135631184399097</v>
      </c>
      <c r="AG3132">
        <v>-1.104585865612</v>
      </c>
      <c r="AH3132">
        <v>27.2011911792254</v>
      </c>
      <c r="AI3132">
        <v>92.296721267908495</v>
      </c>
      <c r="AJ3132">
        <v>99.010926559226604</v>
      </c>
      <c r="AK3132">
        <v>27.563231637093001</v>
      </c>
      <c r="AL3132">
        <v>83.979879682792699</v>
      </c>
      <c r="AM3132">
        <v>92.067733894380595</v>
      </c>
      <c r="AN3132">
        <v>1.0000000107334199</v>
      </c>
    </row>
    <row r="3133" spans="1:40" x14ac:dyDescent="0.3">
      <c r="A3133" t="str">
        <f>"20200111150013966"</f>
        <v>20200111150013966</v>
      </c>
      <c r="B3133" t="str">
        <f>"1578726013958625"</f>
        <v>1578726013958625</v>
      </c>
      <c r="C3133" t="s">
        <v>40</v>
      </c>
      <c r="D3133">
        <v>4.2773529999999997</v>
      </c>
      <c r="E3133">
        <v>0.45519419999999999</v>
      </c>
      <c r="F3133" t="s">
        <v>52</v>
      </c>
      <c r="G3133">
        <v>-487.2022</v>
      </c>
      <c r="H3133" s="1">
        <v>3.0471410000000001E-6</v>
      </c>
      <c r="I3133">
        <v>279.62729999999999</v>
      </c>
      <c r="J3133">
        <v>-460.79309999999998</v>
      </c>
      <c r="K3133">
        <v>1.1046309999999999</v>
      </c>
      <c r="L3133">
        <v>283.62270000000001</v>
      </c>
      <c r="M3133">
        <v>-0.99986229999999998</v>
      </c>
      <c r="N3133">
        <v>0</v>
      </c>
      <c r="O3133">
        <v>9.3780470000000005E-3</v>
      </c>
      <c r="P3133">
        <v>-0.9955541</v>
      </c>
      <c r="Q3133">
        <v>8.9354900000000001E-2</v>
      </c>
      <c r="R3133">
        <v>-2.9800159999999999E-2</v>
      </c>
      <c r="S3133">
        <v>-3.0131230000000002</v>
      </c>
      <c r="T3133">
        <v>-0.12478259999999999</v>
      </c>
      <c r="U3133">
        <v>-0.45108029999999999</v>
      </c>
      <c r="V3133">
        <v>-3.9158070000000003E-2</v>
      </c>
      <c r="W3133">
        <v>0.1029735</v>
      </c>
      <c r="X3133">
        <v>0.99391300000000005</v>
      </c>
      <c r="Y3133">
        <v>-0.15718470000000001</v>
      </c>
      <c r="Z3133">
        <v>-3.6215090000000002E-3</v>
      </c>
      <c r="AA3133">
        <v>0.98756259999999996</v>
      </c>
      <c r="AB3133">
        <v>41</v>
      </c>
      <c r="AC3133">
        <v>-26.409099999999999</v>
      </c>
      <c r="AD3133">
        <v>-1.104627952859</v>
      </c>
      <c r="AE3133">
        <v>-3.9954000000000098</v>
      </c>
      <c r="AF3133">
        <v>-4.23566859440258</v>
      </c>
      <c r="AG3133">
        <v>-1.104627952859</v>
      </c>
      <c r="AH3133">
        <v>26.325438962000401</v>
      </c>
      <c r="AI3133">
        <v>92.372274113098101</v>
      </c>
      <c r="AJ3133">
        <v>99.140348350203894</v>
      </c>
      <c r="AK3133">
        <v>26.686884941818398</v>
      </c>
      <c r="AL3133">
        <v>84.089576102612099</v>
      </c>
      <c r="AM3133">
        <v>92.256165675655097</v>
      </c>
      <c r="AN3133">
        <v>0.999999973858687</v>
      </c>
    </row>
    <row r="3134" spans="1:40" x14ac:dyDescent="0.3">
      <c r="A3134" t="str">
        <f>"20200111150013984"</f>
        <v>20200111150013984</v>
      </c>
      <c r="B3134" t="str">
        <f>"1578726013979122"</f>
        <v>1578726013979122</v>
      </c>
      <c r="C3134" t="s">
        <v>40</v>
      </c>
      <c r="D3134">
        <v>4.3459719999999997</v>
      </c>
      <c r="E3134">
        <v>0.45504109999999998</v>
      </c>
      <c r="F3134" t="s">
        <v>52</v>
      </c>
      <c r="G3134">
        <v>-486.24099999999999</v>
      </c>
      <c r="H3134" s="1">
        <v>2.8843169999999999E-6</v>
      </c>
      <c r="I3134">
        <v>279.71499999999997</v>
      </c>
      <c r="J3134">
        <v>-461.12150000000003</v>
      </c>
      <c r="K3134">
        <v>1.104716</v>
      </c>
      <c r="L3134">
        <v>283.62560000000002</v>
      </c>
      <c r="M3134">
        <v>-0.99986280000000005</v>
      </c>
      <c r="N3134">
        <v>0</v>
      </c>
      <c r="O3134">
        <v>9.153217E-3</v>
      </c>
      <c r="P3134">
        <v>-0.99557209999999996</v>
      </c>
      <c r="Q3134">
        <v>8.877264E-2</v>
      </c>
      <c r="R3134">
        <v>-3.0907500000000001E-2</v>
      </c>
      <c r="S3134">
        <v>-3.0113219999999998</v>
      </c>
      <c r="T3134">
        <v>-0.13071369999999999</v>
      </c>
      <c r="U3134">
        <v>-0.46240229999999999</v>
      </c>
      <c r="V3134">
        <v>-4.0060070000000003E-2</v>
      </c>
      <c r="W3134">
        <v>0.1024888</v>
      </c>
      <c r="X3134">
        <v>0.99392720000000001</v>
      </c>
      <c r="Y3134">
        <v>-0.1606611</v>
      </c>
      <c r="Z3134">
        <v>-3.8599440000000001E-3</v>
      </c>
      <c r="AA3134">
        <v>0.98700209999999999</v>
      </c>
      <c r="AB3134">
        <v>41</v>
      </c>
      <c r="AC3134">
        <v>-25.119499999999899</v>
      </c>
      <c r="AD3134">
        <v>-1.1047131156829999</v>
      </c>
      <c r="AE3134">
        <v>-3.91060000000004</v>
      </c>
      <c r="AF3134">
        <v>-4.1325786423322501</v>
      </c>
      <c r="AG3134">
        <v>-1.1047131156829999</v>
      </c>
      <c r="AH3134">
        <v>25.035374580002198</v>
      </c>
      <c r="AI3134">
        <v>92.4929078937149</v>
      </c>
      <c r="AJ3134">
        <v>99.373265755859606</v>
      </c>
      <c r="AK3134">
        <v>25.398200283958001</v>
      </c>
      <c r="AL3134">
        <v>84.117495361824396</v>
      </c>
      <c r="AM3134">
        <v>92.308047584710195</v>
      </c>
      <c r="AN3134">
        <v>1.0000000211168401</v>
      </c>
    </row>
    <row r="3135" spans="1:40" x14ac:dyDescent="0.3">
      <c r="A3135" t="str">
        <f>"20200111150013999"</f>
        <v>20200111150013999</v>
      </c>
      <c r="B3135" t="str">
        <f>"1578726013988883"</f>
        <v>1578726013988883</v>
      </c>
      <c r="C3135" t="s">
        <v>40</v>
      </c>
      <c r="D3135">
        <v>4.2682969999999996</v>
      </c>
      <c r="E3135">
        <v>0.45504109999999998</v>
      </c>
      <c r="F3135" t="s">
        <v>52</v>
      </c>
      <c r="G3135">
        <v>-486.2783</v>
      </c>
      <c r="H3135" s="1">
        <v>2.8913129999999999E-6</v>
      </c>
      <c r="I3135">
        <v>279.71949999999998</v>
      </c>
      <c r="J3135">
        <v>-461.40429999999998</v>
      </c>
      <c r="K3135">
        <v>1.104814</v>
      </c>
      <c r="L3135">
        <v>283.62810000000002</v>
      </c>
      <c r="M3135">
        <v>-0.99986390000000003</v>
      </c>
      <c r="N3135">
        <v>0</v>
      </c>
      <c r="O3135">
        <v>8.8739300000000004E-3</v>
      </c>
      <c r="P3135">
        <v>-0.99548380000000003</v>
      </c>
      <c r="Q3135">
        <v>8.9640490000000003E-2</v>
      </c>
      <c r="R3135">
        <v>-3.125178E-2</v>
      </c>
      <c r="S3135">
        <v>-3.0106199999999999</v>
      </c>
      <c r="T3135">
        <v>-0.13220560000000001</v>
      </c>
      <c r="U3135">
        <v>-0.4674683</v>
      </c>
      <c r="V3135">
        <v>-4.0147059999999998E-2</v>
      </c>
      <c r="W3135">
        <v>0.10344589999999899</v>
      </c>
      <c r="X3135">
        <v>0.9938245</v>
      </c>
      <c r="Y3135">
        <v>-0.1620373</v>
      </c>
      <c r="Z3135">
        <v>-3.922193E-3</v>
      </c>
      <c r="AA3135">
        <v>0.98677680000000001</v>
      </c>
      <c r="AB3135">
        <v>41</v>
      </c>
      <c r="AC3135">
        <v>-24.873999999999999</v>
      </c>
      <c r="AD3135">
        <v>-1.1048111086870001</v>
      </c>
      <c r="AE3135">
        <v>-3.9086000000000301</v>
      </c>
      <c r="AF3135">
        <v>-4.1212630161057602</v>
      </c>
      <c r="AG3135">
        <v>-1.1048111086870001</v>
      </c>
      <c r="AH3135">
        <v>24.7906038224715</v>
      </c>
      <c r="AI3135">
        <v>92.517237551015</v>
      </c>
      <c r="AJ3135">
        <v>99.438699334373993</v>
      </c>
      <c r="AK3135">
        <v>25.155107917012401</v>
      </c>
      <c r="AL3135">
        <v>84.062364342353007</v>
      </c>
      <c r="AM3135">
        <v>92.313292813839894</v>
      </c>
      <c r="AN3135">
        <v>0.99999998872685103</v>
      </c>
    </row>
    <row r="3136" spans="1:40" x14ac:dyDescent="0.3">
      <c r="A3136" t="str">
        <f>"20200111150014023"</f>
        <v>20200111150014023</v>
      </c>
      <c r="B3136" t="str">
        <f>"1578726014019137"</f>
        <v>1578726014019137</v>
      </c>
      <c r="C3136" t="s">
        <v>40</v>
      </c>
      <c r="D3136">
        <v>4.2281510000000004</v>
      </c>
      <c r="E3136">
        <v>0.4155626</v>
      </c>
      <c r="F3136" t="s">
        <v>52</v>
      </c>
      <c r="G3136">
        <v>-487.2355</v>
      </c>
      <c r="H3136" s="1">
        <v>3.0462249999999998E-6</v>
      </c>
      <c r="I3136">
        <v>279.59969999999998</v>
      </c>
      <c r="J3136">
        <v>-461.81819999999999</v>
      </c>
      <c r="K3136">
        <v>1.1050089999999999</v>
      </c>
      <c r="L3136">
        <v>283.63119999999998</v>
      </c>
      <c r="M3136">
        <v>-0.99986730000000001</v>
      </c>
      <c r="N3136">
        <v>0</v>
      </c>
      <c r="O3136">
        <v>8.2544379999999994E-3</v>
      </c>
      <c r="P3136">
        <v>-0.99538360000000004</v>
      </c>
      <c r="Q3136">
        <v>9.0750150000000002E-2</v>
      </c>
      <c r="R3136">
        <v>-3.1240359999999998E-2</v>
      </c>
      <c r="S3136">
        <v>-3.0104980000000001</v>
      </c>
      <c r="T3136">
        <v>-0.12875989999999901</v>
      </c>
      <c r="U3136">
        <v>-0.46948240000000002</v>
      </c>
      <c r="V3136">
        <v>-3.9562340000000001E-2</v>
      </c>
      <c r="W3136">
        <v>0.10468330000000001</v>
      </c>
      <c r="X3136">
        <v>0.9937184</v>
      </c>
      <c r="Y3136">
        <v>-0.16208529999999999</v>
      </c>
      <c r="Z3136">
        <v>-3.7947039999999999E-3</v>
      </c>
      <c r="AA3136">
        <v>0.98676940000000002</v>
      </c>
      <c r="AB3136">
        <v>41</v>
      </c>
      <c r="AC3136">
        <v>-25.417300000000001</v>
      </c>
      <c r="AD3136">
        <v>-1.1050059537750001</v>
      </c>
      <c r="AE3136">
        <v>-4.0314999999999896</v>
      </c>
      <c r="AF3136">
        <v>-4.2333839484732101</v>
      </c>
      <c r="AG3136">
        <v>-1.1050059537750001</v>
      </c>
      <c r="AH3136">
        <v>25.336441196915601</v>
      </c>
      <c r="AI3136">
        <v>92.463171992845005</v>
      </c>
      <c r="AJ3136">
        <v>99.485739831084899</v>
      </c>
      <c r="AK3136">
        <v>25.7114338444559</v>
      </c>
      <c r="AL3136">
        <v>83.991079661152199</v>
      </c>
      <c r="AM3136">
        <v>92.279879916641505</v>
      </c>
      <c r="AN3136">
        <v>1.00000001527186</v>
      </c>
    </row>
    <row r="3137" spans="1:40" x14ac:dyDescent="0.3">
      <c r="A3137" t="str">
        <f>"20200111150014039"</f>
        <v>20200111150014039</v>
      </c>
      <c r="B3137" t="str">
        <f>"1578726014028897"</f>
        <v>1578726014028897</v>
      </c>
      <c r="C3137" t="s">
        <v>40</v>
      </c>
      <c r="D3137">
        <v>4.2437399999999998</v>
      </c>
      <c r="E3137">
        <v>0.41520410000000002</v>
      </c>
      <c r="F3137" t="s">
        <v>52</v>
      </c>
      <c r="G3137">
        <v>-482.33240000000001</v>
      </c>
      <c r="H3137" s="1">
        <v>1.7334110000000001E-6</v>
      </c>
      <c r="I3137">
        <v>278.26299999999998</v>
      </c>
      <c r="J3137">
        <v>-462.1397</v>
      </c>
      <c r="K3137">
        <v>1.1052150000000001</v>
      </c>
      <c r="L3137">
        <v>283.63330000000002</v>
      </c>
      <c r="M3137">
        <v>-0.99987130000000002</v>
      </c>
      <c r="N3137">
        <v>0</v>
      </c>
      <c r="O3137">
        <v>7.5411569999999997E-3</v>
      </c>
      <c r="P3137">
        <v>-0.99538899999999997</v>
      </c>
      <c r="Q3137">
        <v>9.0741779999999994E-2</v>
      </c>
      <c r="R3137">
        <v>-3.1087980000000001E-2</v>
      </c>
      <c r="S3137">
        <v>-3.0040279999999999</v>
      </c>
      <c r="T3137">
        <v>-0.16181300000000001</v>
      </c>
      <c r="U3137">
        <v>-0.78610230000000003</v>
      </c>
      <c r="V3137">
        <v>-3.8748390000000001E-2</v>
      </c>
      <c r="W3137">
        <v>0.1047662</v>
      </c>
      <c r="X3137">
        <v>0.99374169999999995</v>
      </c>
      <c r="Y3137">
        <v>-0.26008409999999998</v>
      </c>
      <c r="Z3137">
        <v>-7.2833739999999996E-3</v>
      </c>
      <c r="AA3137">
        <v>0.96555849999999999</v>
      </c>
      <c r="AB3137">
        <v>41</v>
      </c>
      <c r="AC3137">
        <v>-20.192699999999999</v>
      </c>
      <c r="AD3137">
        <v>-1.105213266589</v>
      </c>
      <c r="AE3137">
        <v>-5.3703000000000403</v>
      </c>
      <c r="AF3137">
        <v>-5.5070310550577304</v>
      </c>
      <c r="AG3137">
        <v>-1.105213266589</v>
      </c>
      <c r="AH3137">
        <v>20.095399626665401</v>
      </c>
      <c r="AI3137">
        <v>93.036272717302197</v>
      </c>
      <c r="AJ3137">
        <v>105.325334667718</v>
      </c>
      <c r="AK3137">
        <v>20.865617018468399</v>
      </c>
      <c r="AL3137">
        <v>83.986303367838502</v>
      </c>
      <c r="AM3137">
        <v>92.232969666578299</v>
      </c>
      <c r="AN3137">
        <v>0.99999998035446003</v>
      </c>
    </row>
    <row r="3138" spans="1:40" x14ac:dyDescent="0.3">
      <c r="A3138" t="str">
        <f>"20200111150014056"</f>
        <v>20200111150014056</v>
      </c>
      <c r="B3138" t="str">
        <f>"1578726014049393"</f>
        <v>1578726014049393</v>
      </c>
      <c r="C3138" t="s">
        <v>40</v>
      </c>
      <c r="D3138">
        <v>4.2003219999999999</v>
      </c>
      <c r="E3138">
        <v>0.41504930000000001</v>
      </c>
      <c r="F3138" t="s">
        <v>52</v>
      </c>
      <c r="G3138">
        <v>-481.87450000000001</v>
      </c>
      <c r="H3138" s="1">
        <v>1.7265440000000001E-6</v>
      </c>
      <c r="I3138">
        <v>278.45460000000003</v>
      </c>
      <c r="J3138">
        <v>-462.44009999999997</v>
      </c>
      <c r="K3138">
        <v>1.105437</v>
      </c>
      <c r="L3138">
        <v>283.63479999999998</v>
      </c>
      <c r="M3138">
        <v>-0.99987619999999999</v>
      </c>
      <c r="N3138">
        <v>0</v>
      </c>
      <c r="O3138">
        <v>6.6699940000000003E-3</v>
      </c>
      <c r="P3138">
        <v>-0.99539489999999997</v>
      </c>
      <c r="Q3138">
        <v>9.0971650000000001E-2</v>
      </c>
      <c r="R3138">
        <v>-3.0217919999999999E-2</v>
      </c>
      <c r="S3138">
        <v>-3.0046080000000002</v>
      </c>
      <c r="T3138">
        <v>-0.16826820000000001</v>
      </c>
      <c r="U3138">
        <v>-0.78845209999999999</v>
      </c>
      <c r="V3138">
        <v>-3.7064949999999999E-2</v>
      </c>
      <c r="W3138">
        <v>0.1050759</v>
      </c>
      <c r="X3138">
        <v>0.99377320000000002</v>
      </c>
      <c r="Y3138">
        <v>-0.2598762</v>
      </c>
      <c r="Z3138">
        <v>-7.5176690000000003E-3</v>
      </c>
      <c r="AA3138">
        <v>0.96561260000000004</v>
      </c>
      <c r="AB3138">
        <v>41</v>
      </c>
      <c r="AC3138">
        <v>-19.4344</v>
      </c>
      <c r="AD3138">
        <v>-1.105435273456</v>
      </c>
      <c r="AE3138">
        <v>-5.1801999999999504</v>
      </c>
      <c r="AF3138">
        <v>-5.2937341677827101</v>
      </c>
      <c r="AG3138">
        <v>-1.105435273456</v>
      </c>
      <c r="AH3138">
        <v>19.340987803365898</v>
      </c>
      <c r="AI3138">
        <v>93.155374671574606</v>
      </c>
      <c r="AJ3138">
        <v>105.307272195839</v>
      </c>
      <c r="AK3138">
        <v>20.0828139908952</v>
      </c>
      <c r="AL3138">
        <v>83.968460283056402</v>
      </c>
      <c r="AM3138">
        <v>92.135981624549402</v>
      </c>
      <c r="AN3138">
        <v>0.99999996415877501</v>
      </c>
    </row>
    <row r="3139" spans="1:40" x14ac:dyDescent="0.3">
      <c r="A3139" t="str">
        <f>"20200111150014072"</f>
        <v>20200111150014072</v>
      </c>
      <c r="B3139" t="str">
        <f>"1578726014068914"</f>
        <v>1578726014068914</v>
      </c>
      <c r="C3139" t="s">
        <v>40</v>
      </c>
      <c r="D3139">
        <v>4.136393</v>
      </c>
      <c r="E3139">
        <v>0.41481380000000001</v>
      </c>
      <c r="F3139" t="s">
        <v>52</v>
      </c>
      <c r="G3139">
        <v>-482.11419999999998</v>
      </c>
      <c r="H3139" s="1">
        <v>1.753321E-6</v>
      </c>
      <c r="I3139">
        <v>278.48590000000002</v>
      </c>
      <c r="J3139">
        <v>-462.75099999999998</v>
      </c>
      <c r="K3139">
        <v>1.105707</v>
      </c>
      <c r="L3139">
        <v>283.63600000000002</v>
      </c>
      <c r="M3139">
        <v>-0.99988189999999999</v>
      </c>
      <c r="N3139">
        <v>0</v>
      </c>
      <c r="O3139">
        <v>5.5214799999999996E-3</v>
      </c>
      <c r="P3139">
        <v>-0.99541959999999996</v>
      </c>
      <c r="Q3139">
        <v>9.0699989999999994E-2</v>
      </c>
      <c r="R3139">
        <v>-3.022934E-2</v>
      </c>
      <c r="S3139">
        <v>-3.0054630000000002</v>
      </c>
      <c r="T3139">
        <v>-0.1688693</v>
      </c>
      <c r="U3139">
        <v>-0.78656009999999998</v>
      </c>
      <c r="V3139">
        <v>-3.599948E-2</v>
      </c>
      <c r="W3139">
        <v>0.1048777</v>
      </c>
      <c r="X3139">
        <v>0.99383339999999998</v>
      </c>
      <c r="Y3139">
        <v>-0.25813209999999998</v>
      </c>
      <c r="Z3139">
        <v>-7.4314050000000003E-3</v>
      </c>
      <c r="AA3139">
        <v>0.96608099999999997</v>
      </c>
      <c r="AB3139">
        <v>41</v>
      </c>
      <c r="AC3139">
        <v>-19.363199999999999</v>
      </c>
      <c r="AD3139">
        <v>-1.1057052466790001</v>
      </c>
      <c r="AE3139">
        <v>-5.1500999999999504</v>
      </c>
      <c r="AF3139">
        <v>-5.2409852732611597</v>
      </c>
      <c r="AG3139">
        <v>-1.1057052466790001</v>
      </c>
      <c r="AH3139">
        <v>19.275763899270999</v>
      </c>
      <c r="AI3139">
        <v>93.168254601020294</v>
      </c>
      <c r="AJ3139">
        <v>105.21072894436099</v>
      </c>
      <c r="AK3139">
        <v>20.006138673604902</v>
      </c>
      <c r="AL3139">
        <v>83.979879984930193</v>
      </c>
      <c r="AM3139">
        <v>92.074509531640601</v>
      </c>
      <c r="AN3139">
        <v>1.00000006073655</v>
      </c>
    </row>
    <row r="3140" spans="1:40" x14ac:dyDescent="0.3">
      <c r="A3140" t="str">
        <f>"20200111150014088"</f>
        <v>20200111150014088</v>
      </c>
      <c r="B3140" t="str">
        <f>"1578726014078674"</f>
        <v>1578726014078674</v>
      </c>
      <c r="C3140" t="s">
        <v>40</v>
      </c>
      <c r="D3140">
        <v>4.2319430000000002</v>
      </c>
      <c r="E3140">
        <v>0.415018</v>
      </c>
      <c r="F3140" t="s">
        <v>52</v>
      </c>
      <c r="G3140">
        <v>-483.21440000000001</v>
      </c>
      <c r="H3140" s="1">
        <v>1.8619929999999999E-6</v>
      </c>
      <c r="I3140">
        <v>278.26740000000001</v>
      </c>
      <c r="J3140">
        <v>-463.04480000000001</v>
      </c>
      <c r="K3140">
        <v>1.105998</v>
      </c>
      <c r="L3140">
        <v>283.63650000000001</v>
      </c>
      <c r="M3140">
        <v>-0.99988710000000003</v>
      </c>
      <c r="N3140">
        <v>0</v>
      </c>
      <c r="O3140">
        <v>4.1773979999999997E-3</v>
      </c>
      <c r="P3140">
        <v>-0.99547260000000004</v>
      </c>
      <c r="Q3140">
        <v>9.0453420000000007E-2</v>
      </c>
      <c r="R3140">
        <v>-2.9203710000000001E-2</v>
      </c>
      <c r="S3140">
        <v>-3.0046689999999998</v>
      </c>
      <c r="T3140">
        <v>-0.16235179999999999</v>
      </c>
      <c r="U3140">
        <v>-0.788269</v>
      </c>
      <c r="V3140">
        <v>-3.3707790000000001E-2</v>
      </c>
      <c r="W3140">
        <v>0.1046989</v>
      </c>
      <c r="X3140">
        <v>0.9939325</v>
      </c>
      <c r="Y3140">
        <v>-0.25744230000000001</v>
      </c>
      <c r="Z3140">
        <v>-7.056606E-3</v>
      </c>
      <c r="AA3140">
        <v>0.96626789999999996</v>
      </c>
      <c r="AB3140">
        <v>41</v>
      </c>
      <c r="AC3140">
        <v>-20.169599999999999</v>
      </c>
      <c r="AD3140">
        <v>-1.105996138007</v>
      </c>
      <c r="AE3140">
        <v>-5.3691000000000004</v>
      </c>
      <c r="AF3140">
        <v>-5.4380489462607304</v>
      </c>
      <c r="AG3140">
        <v>-1.105996138007</v>
      </c>
      <c r="AH3140">
        <v>20.090580711403799</v>
      </c>
      <c r="AI3140">
        <v>93.041738253050696</v>
      </c>
      <c r="AJ3140">
        <v>105.14569823763</v>
      </c>
      <c r="AK3140">
        <v>20.842913354918601</v>
      </c>
      <c r="AL3140">
        <v>83.9901804822522</v>
      </c>
      <c r="AM3140">
        <v>91.942359459765697</v>
      </c>
      <c r="AN3140">
        <v>0.99999994466206998</v>
      </c>
    </row>
    <row r="3141" spans="1:40" x14ac:dyDescent="0.3">
      <c r="A3141" t="str">
        <f>"20200111150014110"</f>
        <v>20200111150014110</v>
      </c>
      <c r="B3141" t="str">
        <f>"1578726014108929"</f>
        <v>1578726014108929</v>
      </c>
      <c r="C3141" t="s">
        <v>40</v>
      </c>
      <c r="D3141">
        <v>4.1859339999999996</v>
      </c>
      <c r="E3141">
        <v>0.41346450000000001</v>
      </c>
      <c r="F3141" t="s">
        <v>52</v>
      </c>
      <c r="G3141">
        <v>-484.47640000000001</v>
      </c>
      <c r="H3141" s="1">
        <v>2.009362E-6</v>
      </c>
      <c r="I3141">
        <v>278.05110000000002</v>
      </c>
      <c r="J3141">
        <v>-463.4545</v>
      </c>
      <c r="K3141">
        <v>1.1064510000000001</v>
      </c>
      <c r="L3141">
        <v>283.63619999999997</v>
      </c>
      <c r="M3141">
        <v>-0.99989249999999996</v>
      </c>
      <c r="N3141">
        <v>0</v>
      </c>
      <c r="O3141">
        <v>1.853609E-3</v>
      </c>
      <c r="P3141">
        <v>-0.99540600000000001</v>
      </c>
      <c r="Q3141">
        <v>9.1017639999999997E-2</v>
      </c>
      <c r="R3141">
        <v>-2.971704E-2</v>
      </c>
      <c r="S3141">
        <v>-3.0048219999999999</v>
      </c>
      <c r="T3141">
        <v>-0.1550665</v>
      </c>
      <c r="U3141">
        <v>-0.78311160000000002</v>
      </c>
      <c r="V3141">
        <v>-3.2022090000000003E-2</v>
      </c>
      <c r="W3141">
        <v>0.1053457</v>
      </c>
      <c r="X3141">
        <v>0.99392000000000003</v>
      </c>
      <c r="Y3141">
        <v>-0.25366919999999998</v>
      </c>
      <c r="Z3141">
        <v>-6.5278569999999998E-3</v>
      </c>
      <c r="AA3141">
        <v>0.96726900000000005</v>
      </c>
      <c r="AB3141">
        <v>41</v>
      </c>
      <c r="AC3141">
        <v>-21.021899999999999</v>
      </c>
      <c r="AD3141">
        <v>-1.106448990638</v>
      </c>
      <c r="AE3141">
        <v>-5.58509999999995</v>
      </c>
      <c r="AF3141">
        <v>-5.6095456415829101</v>
      </c>
      <c r="AG3141">
        <v>-1.106448990638</v>
      </c>
      <c r="AH3141">
        <v>20.9572811057844</v>
      </c>
      <c r="AI3141">
        <v>92.919560785297406</v>
      </c>
      <c r="AJ3141">
        <v>104.98484490304701</v>
      </c>
      <c r="AK3141">
        <v>21.723233254300599</v>
      </c>
      <c r="AL3141">
        <v>83.952916119681106</v>
      </c>
      <c r="AM3141">
        <v>91.845315707231904</v>
      </c>
      <c r="AN3141">
        <v>1.0000000485782199</v>
      </c>
    </row>
    <row r="3142" spans="1:40" x14ac:dyDescent="0.3">
      <c r="A3142" t="str">
        <f>"20200111150014134"</f>
        <v>20200111150014134</v>
      </c>
      <c r="B3142" t="str">
        <f>"1578726014129425"</f>
        <v>1578726014129425</v>
      </c>
      <c r="C3142" t="s">
        <v>40</v>
      </c>
      <c r="D3142">
        <v>4.1741099999999998</v>
      </c>
      <c r="E3142">
        <v>0.41280719999999999</v>
      </c>
      <c r="F3142" t="s">
        <v>52</v>
      </c>
      <c r="G3142">
        <v>-486.1687</v>
      </c>
      <c r="H3142" s="1">
        <v>2.1542449999999998E-6</v>
      </c>
      <c r="I3142">
        <v>277.61180000000002</v>
      </c>
      <c r="J3142">
        <v>-463.88189999999997</v>
      </c>
      <c r="K3142">
        <v>1.106941</v>
      </c>
      <c r="L3142">
        <v>283.63440000000003</v>
      </c>
      <c r="M3142">
        <v>-0.99989220000000001</v>
      </c>
      <c r="N3142">
        <v>0</v>
      </c>
      <c r="O3142">
        <v>-1.111103E-3</v>
      </c>
      <c r="P3142">
        <v>-0.99517259999999996</v>
      </c>
      <c r="Q3142">
        <v>9.2957590000000007E-2</v>
      </c>
      <c r="R3142">
        <v>-3.1477039999999998E-2</v>
      </c>
      <c r="S3142">
        <v>-3.0034480000000001</v>
      </c>
      <c r="T3142">
        <v>-0.14630370000000001</v>
      </c>
      <c r="U3142">
        <v>-0.79660030000000004</v>
      </c>
      <c r="V3142">
        <v>-3.0965119999999999E-2</v>
      </c>
      <c r="W3142">
        <v>0.10736030000000001</v>
      </c>
      <c r="X3142">
        <v>0.99373789999999995</v>
      </c>
      <c r="Y3142">
        <v>-0.25500919999999999</v>
      </c>
      <c r="Z3142">
        <v>-6.0488269999999997E-3</v>
      </c>
      <c r="AA3142">
        <v>0.96691970000000005</v>
      </c>
      <c r="AB3142">
        <v>41</v>
      </c>
      <c r="AC3142">
        <v>-22.286799999999999</v>
      </c>
      <c r="AD3142">
        <v>-1.106938845755</v>
      </c>
      <c r="AE3142">
        <v>-6.0226000000000104</v>
      </c>
      <c r="AF3142">
        <v>-5.9840732192775397</v>
      </c>
      <c r="AG3142">
        <v>-1.106938845755</v>
      </c>
      <c r="AH3142">
        <v>22.242343192745</v>
      </c>
      <c r="AI3142">
        <v>92.751419928862802</v>
      </c>
      <c r="AJ3142">
        <v>105.058279817101</v>
      </c>
      <c r="AK3142">
        <v>23.059841209465599</v>
      </c>
      <c r="AL3142">
        <v>83.836829602892706</v>
      </c>
      <c r="AM3142">
        <v>91.784773233975002</v>
      </c>
      <c r="AN3142">
        <v>1.0000000432845499</v>
      </c>
    </row>
    <row r="3143" spans="1:40" x14ac:dyDescent="0.3">
      <c r="A3143" t="str">
        <f>"20200111150014149"</f>
        <v>20200111150014149</v>
      </c>
      <c r="B3143" t="str">
        <f>"1578726014139186"</f>
        <v>1578726014139186</v>
      </c>
      <c r="C3143" t="s">
        <v>40</v>
      </c>
      <c r="D3143">
        <v>4.1773870000000004</v>
      </c>
      <c r="E3143">
        <v>0.4124699</v>
      </c>
      <c r="F3143" t="s">
        <v>52</v>
      </c>
      <c r="G3143">
        <v>-487.40879999999999</v>
      </c>
      <c r="H3143" s="1">
        <v>2.2687699999999998E-6</v>
      </c>
      <c r="I3143">
        <v>277.3134</v>
      </c>
      <c r="J3143">
        <v>-464.16289999999998</v>
      </c>
      <c r="K3143">
        <v>1.1072660000000001</v>
      </c>
      <c r="L3143">
        <v>283.63220000000001</v>
      </c>
      <c r="M3143">
        <v>-0.99988600000000005</v>
      </c>
      <c r="N3143">
        <v>0</v>
      </c>
      <c r="O3143">
        <v>-3.3721850000000002E-3</v>
      </c>
      <c r="P3143">
        <v>-0.99497950000000002</v>
      </c>
      <c r="Q3143">
        <v>9.4047179999999994E-2</v>
      </c>
      <c r="R3143">
        <v>-3.4222509999999998E-2</v>
      </c>
      <c r="S3143">
        <v>-3.0022579999999999</v>
      </c>
      <c r="T3143">
        <v>-0.1412563</v>
      </c>
      <c r="U3143">
        <v>-0.8066101</v>
      </c>
      <c r="V3143">
        <v>-3.1550700000000001E-2</v>
      </c>
      <c r="W3143">
        <v>0.1084871</v>
      </c>
      <c r="X3143">
        <v>0.99359699999999995</v>
      </c>
      <c r="Y3143">
        <v>-0.25594739999999999</v>
      </c>
      <c r="Z3143">
        <v>-5.7573449999999997E-3</v>
      </c>
      <c r="AA3143">
        <v>0.96667360000000002</v>
      </c>
      <c r="AB3143">
        <v>41</v>
      </c>
      <c r="AC3143">
        <v>-23.245899999999999</v>
      </c>
      <c r="AD3143">
        <v>-1.10726373123</v>
      </c>
      <c r="AE3143">
        <v>-6.3188000000000004</v>
      </c>
      <c r="AF3143">
        <v>-6.2272094959795696</v>
      </c>
      <c r="AG3143">
        <v>-1.10726373123</v>
      </c>
      <c r="AH3143">
        <v>23.2180241474334</v>
      </c>
      <c r="AI3143">
        <v>92.637287556464997</v>
      </c>
      <c r="AJ3143">
        <v>105.013718505993</v>
      </c>
      <c r="AK3143">
        <v>24.064098079672899</v>
      </c>
      <c r="AL3143">
        <v>83.771888817864806</v>
      </c>
      <c r="AM3143">
        <v>91.818760253804697</v>
      </c>
      <c r="AN3143">
        <v>0.999999947972948</v>
      </c>
    </row>
    <row r="3144" spans="1:40" x14ac:dyDescent="0.3">
      <c r="A3144" t="str">
        <f>"20200111150014164"</f>
        <v>20200111150014164</v>
      </c>
      <c r="B3144" t="str">
        <f>"1578726014158705"</f>
        <v>1578726014158705</v>
      </c>
      <c r="C3144" t="s">
        <v>40</v>
      </c>
      <c r="D3144">
        <v>4.2573249999999998</v>
      </c>
      <c r="E3144">
        <v>0.41153070000000003</v>
      </c>
      <c r="F3144" t="s">
        <v>52</v>
      </c>
      <c r="G3144">
        <v>-488.70370000000003</v>
      </c>
      <c r="H3144" s="1">
        <v>2.3689279999999998E-6</v>
      </c>
      <c r="I3144">
        <v>276.947</v>
      </c>
      <c r="J3144">
        <v>-464.42500000000001</v>
      </c>
      <c r="K3144">
        <v>1.1075630000000001</v>
      </c>
      <c r="L3144">
        <v>283.62950000000001</v>
      </c>
      <c r="M3144">
        <v>-0.99987470000000001</v>
      </c>
      <c r="N3144">
        <v>0</v>
      </c>
      <c r="O3144">
        <v>-5.6668959999999899E-3</v>
      </c>
      <c r="P3144">
        <v>-0.99475650000000004</v>
      </c>
      <c r="Q3144">
        <v>9.5072589999999998E-2</v>
      </c>
      <c r="R3144">
        <v>-3.7694539999999999E-2</v>
      </c>
      <c r="S3144">
        <v>-2.9998779999999998</v>
      </c>
      <c r="T3144">
        <v>-0.13535229999999901</v>
      </c>
      <c r="U3144">
        <v>-0.81719969999999997</v>
      </c>
      <c r="V3144">
        <v>-3.2825130000000001E-2</v>
      </c>
      <c r="W3144">
        <v>0.109538</v>
      </c>
      <c r="X3144">
        <v>0.9934404</v>
      </c>
      <c r="Y3144">
        <v>-0.25712289999999999</v>
      </c>
      <c r="Z3144">
        <v>-5.4430889999999999E-3</v>
      </c>
      <c r="AA3144">
        <v>0.96636339999999998</v>
      </c>
      <c r="AB3144">
        <v>41</v>
      </c>
      <c r="AC3144">
        <v>-24.278700000000001</v>
      </c>
      <c r="AD3144">
        <v>-1.1075606310720001</v>
      </c>
      <c r="AE3144">
        <v>-6.6825000000000001</v>
      </c>
      <c r="AF3144">
        <v>-6.5321562924299803</v>
      </c>
      <c r="AG3144">
        <v>-1.1075606310720001</v>
      </c>
      <c r="AH3144">
        <v>24.2692343060932</v>
      </c>
      <c r="AI3144">
        <v>92.523282688299602</v>
      </c>
      <c r="AJ3144">
        <v>105.06437536637</v>
      </c>
      <c r="AK3144">
        <v>25.1573347194071</v>
      </c>
      <c r="AL3144">
        <v>83.711315668083699</v>
      </c>
      <c r="AM3144">
        <v>91.892471270799405</v>
      </c>
      <c r="AN3144">
        <v>0.99999994547783699</v>
      </c>
    </row>
    <row r="3145" spans="1:40" x14ac:dyDescent="0.3">
      <c r="A3145" t="str">
        <f>"20200111150014177"</f>
        <v>20200111150014177</v>
      </c>
      <c r="B3145" t="str">
        <f>"1578726014169441"</f>
        <v>1578726014169441</v>
      </c>
      <c r="C3145" t="s">
        <v>40</v>
      </c>
      <c r="D3145">
        <v>4.2181920000000002</v>
      </c>
      <c r="E3145">
        <v>0.4110103</v>
      </c>
      <c r="F3145" t="s">
        <v>52</v>
      </c>
      <c r="G3145">
        <v>-489.59129999999999</v>
      </c>
      <c r="H3145" s="1">
        <v>2.410029E-6</v>
      </c>
      <c r="I3145">
        <v>276.61790000000002</v>
      </c>
      <c r="J3145">
        <v>-464.67520000000002</v>
      </c>
      <c r="K3145">
        <v>1.1078460000000001</v>
      </c>
      <c r="L3145">
        <v>283.62619999999998</v>
      </c>
      <c r="M3145">
        <v>-0.99985760000000001</v>
      </c>
      <c r="N3145">
        <v>0</v>
      </c>
      <c r="O3145">
        <v>-8.0561480000000008E-3</v>
      </c>
      <c r="P3145">
        <v>-0.99451469999999997</v>
      </c>
      <c r="Q3145">
        <v>9.4862119999999994E-2</v>
      </c>
      <c r="R3145">
        <v>-4.4068280000000001E-2</v>
      </c>
      <c r="S3145">
        <v>-2.9967649999999999</v>
      </c>
      <c r="T3145">
        <v>-0.13188649999999999</v>
      </c>
      <c r="U3145">
        <v>-0.83493039999999996</v>
      </c>
      <c r="V3145">
        <v>-3.6894410000000002E-2</v>
      </c>
      <c r="W3145">
        <v>0.1093237</v>
      </c>
      <c r="X3145">
        <v>0.99332120000000002</v>
      </c>
      <c r="Y3145">
        <v>-0.26039190000000001</v>
      </c>
      <c r="Z3145">
        <v>-5.2725259999999996E-3</v>
      </c>
      <c r="AA3145">
        <v>0.96548860000000003</v>
      </c>
      <c r="AB3145">
        <v>41</v>
      </c>
      <c r="AC3145">
        <v>-24.916099999999901</v>
      </c>
      <c r="AD3145">
        <v>-1.107843589971</v>
      </c>
      <c r="AE3145">
        <v>-7.0082999999999602</v>
      </c>
      <c r="AF3145">
        <v>-6.7948743622971399</v>
      </c>
      <c r="AG3145">
        <v>-1.107843589971</v>
      </c>
      <c r="AH3145">
        <v>24.926092445596002</v>
      </c>
      <c r="AI3145">
        <v>92.455363809249107</v>
      </c>
      <c r="AJ3145">
        <v>105.248377271487</v>
      </c>
      <c r="AK3145">
        <v>25.859383589437002</v>
      </c>
      <c r="AL3145">
        <v>83.7236682898873</v>
      </c>
      <c r="AM3145">
        <v>92.127129372378604</v>
      </c>
      <c r="AN3145">
        <v>0.99999993762018702</v>
      </c>
    </row>
    <row r="3146" spans="1:40" x14ac:dyDescent="0.3">
      <c r="A3146" t="str">
        <f>"20200111150014195"</f>
        <v>20200111150014195</v>
      </c>
      <c r="B3146" t="str">
        <f>"1578726014188961"</f>
        <v>1578726014188961</v>
      </c>
      <c r="C3146" t="s">
        <v>40</v>
      </c>
      <c r="D3146">
        <v>4.1800569999999997</v>
      </c>
      <c r="E3146">
        <v>0.41002539999999998</v>
      </c>
      <c r="F3146" t="s">
        <v>52</v>
      </c>
      <c r="G3146">
        <v>-489.68349999999998</v>
      </c>
      <c r="H3146" s="1">
        <v>2.3684640000000001E-6</v>
      </c>
      <c r="I3146">
        <v>276.45400000000001</v>
      </c>
      <c r="J3146">
        <v>-464.97969999999998</v>
      </c>
      <c r="K3146">
        <v>1.1081719999999999</v>
      </c>
      <c r="L3146">
        <v>283.62110000000001</v>
      </c>
      <c r="M3146">
        <v>-0.9998264</v>
      </c>
      <c r="N3146">
        <v>0</v>
      </c>
      <c r="O3146">
        <v>-1.12175E-2</v>
      </c>
      <c r="P3146">
        <v>-0.99435700000000005</v>
      </c>
      <c r="Q3146">
        <v>9.3440200000000001E-2</v>
      </c>
      <c r="R3146">
        <v>-5.0231749999999999E-2</v>
      </c>
      <c r="S3146">
        <v>-2.9911799999999999</v>
      </c>
      <c r="T3146">
        <v>-0.1325064</v>
      </c>
      <c r="U3146">
        <v>-0.85784910000000003</v>
      </c>
      <c r="V3146">
        <v>-3.9989150000000001E-2</v>
      </c>
      <c r="W3146">
        <v>0.1079055</v>
      </c>
      <c r="X3146">
        <v>0.99335660000000003</v>
      </c>
      <c r="Y3146">
        <v>-0.26464870000000001</v>
      </c>
      <c r="Z3146">
        <v>-5.2566339999999996E-3</v>
      </c>
      <c r="AA3146">
        <v>0.96433060000000004</v>
      </c>
      <c r="AB3146">
        <v>41</v>
      </c>
      <c r="AC3146">
        <v>-24.703800000000001</v>
      </c>
      <c r="AD3146">
        <v>-1.1081696315359999</v>
      </c>
      <c r="AE3146">
        <v>-7.1670999999999996</v>
      </c>
      <c r="AF3146">
        <v>-6.87673990322648</v>
      </c>
      <c r="AG3146">
        <v>-1.1081696315359999</v>
      </c>
      <c r="AH3146">
        <v>24.736738796398502</v>
      </c>
      <c r="AI3146">
        <v>92.471452065097495</v>
      </c>
      <c r="AJ3146">
        <v>105.535772660996</v>
      </c>
      <c r="AK3146">
        <v>25.698712767571301</v>
      </c>
      <c r="AL3146">
        <v>83.805409344980603</v>
      </c>
      <c r="AM3146">
        <v>92.305287967391905</v>
      </c>
      <c r="AN3146">
        <v>1.00000003190576</v>
      </c>
    </row>
    <row r="3147" spans="1:40" x14ac:dyDescent="0.3">
      <c r="A3147" t="str">
        <f>"20200111150014210"</f>
        <v>20200111150014210</v>
      </c>
      <c r="B3147" t="str">
        <f>"1578726014198722"</f>
        <v>1578726014198722</v>
      </c>
      <c r="C3147" t="s">
        <v>40</v>
      </c>
      <c r="D3147">
        <v>4.1765119999999998</v>
      </c>
      <c r="E3147">
        <v>0.40966659999999999</v>
      </c>
      <c r="F3147" t="s">
        <v>52</v>
      </c>
      <c r="G3147">
        <v>-489.4051</v>
      </c>
      <c r="H3147" s="1">
        <v>2.2957470000000001E-6</v>
      </c>
      <c r="I3147">
        <v>276.38799999999998</v>
      </c>
      <c r="J3147">
        <v>-465.2595</v>
      </c>
      <c r="K3147">
        <v>1.10846</v>
      </c>
      <c r="L3147">
        <v>283.6155</v>
      </c>
      <c r="M3147">
        <v>-0.99978579999999995</v>
      </c>
      <c r="N3147">
        <v>0</v>
      </c>
      <c r="O3147">
        <v>-1.432958E-2</v>
      </c>
      <c r="P3147">
        <v>-0.99418059999999997</v>
      </c>
      <c r="Q3147">
        <v>9.1790090000000005E-2</v>
      </c>
      <c r="R3147">
        <v>-5.6385329999999997E-2</v>
      </c>
      <c r="S3147">
        <v>-2.985077</v>
      </c>
      <c r="T3147">
        <v>-0.13543179999999999</v>
      </c>
      <c r="U3147">
        <v>-0.88397219999999999</v>
      </c>
      <c r="V3147">
        <v>-4.311106E-2</v>
      </c>
      <c r="W3147">
        <v>0.106249</v>
      </c>
      <c r="X3147">
        <v>0.99340459999999997</v>
      </c>
      <c r="Y3147">
        <v>-0.26993010000000001</v>
      </c>
      <c r="Z3147">
        <v>-5.3558729999999997E-3</v>
      </c>
      <c r="AA3147">
        <v>0.96286499999999997</v>
      </c>
      <c r="AB3147">
        <v>41</v>
      </c>
      <c r="AC3147">
        <v>-24.145600000000002</v>
      </c>
      <c r="AD3147">
        <v>-1.1084577042529999</v>
      </c>
      <c r="AE3147">
        <v>-7.2275000000000098</v>
      </c>
      <c r="AF3147">
        <v>-6.8674400336144004</v>
      </c>
      <c r="AG3147">
        <v>-1.1084577042529999</v>
      </c>
      <c r="AH3147">
        <v>24.199892089156801</v>
      </c>
      <c r="AI3147">
        <v>92.523067518643998</v>
      </c>
      <c r="AJ3147">
        <v>105.842869772296</v>
      </c>
      <c r="AK3147">
        <v>25.1798567951496</v>
      </c>
      <c r="AL3147">
        <v>83.900868785702002</v>
      </c>
      <c r="AM3147">
        <v>92.484921937487002</v>
      </c>
      <c r="AN3147">
        <v>1.0000000563982401</v>
      </c>
    </row>
    <row r="3148" spans="1:40" x14ac:dyDescent="0.3">
      <c r="A3148" t="str">
        <f>"20200111150014224"</f>
        <v>20200111150014224</v>
      </c>
      <c r="B3148" t="str">
        <f>"1578726014219217"</f>
        <v>1578726014219217</v>
      </c>
      <c r="C3148" t="s">
        <v>40</v>
      </c>
      <c r="D3148">
        <v>4.16709</v>
      </c>
      <c r="E3148">
        <v>0.4093926</v>
      </c>
      <c r="F3148" t="s">
        <v>52</v>
      </c>
      <c r="G3148">
        <v>-488.99759999999998</v>
      </c>
      <c r="H3148" s="1">
        <v>2.2282460000000001E-6</v>
      </c>
      <c r="I3148">
        <v>276.40159999999997</v>
      </c>
      <c r="J3148">
        <v>-465.49849999999998</v>
      </c>
      <c r="K3148">
        <v>1.108698</v>
      </c>
      <c r="L3148">
        <v>283.61009999999999</v>
      </c>
      <c r="M3148">
        <v>-0.99974130000000005</v>
      </c>
      <c r="N3148">
        <v>0</v>
      </c>
      <c r="O3148">
        <v>-1.7118120000000001E-2</v>
      </c>
      <c r="P3148">
        <v>-0.99394870000000002</v>
      </c>
      <c r="Q3148">
        <v>8.9350970000000002E-2</v>
      </c>
      <c r="R3148">
        <v>-6.3895049999999995E-2</v>
      </c>
      <c r="S3148">
        <v>-2.9790649999999999</v>
      </c>
      <c r="T3148">
        <v>-0.1391087</v>
      </c>
      <c r="U3148">
        <v>-0.90533450000000004</v>
      </c>
      <c r="V3148">
        <v>-4.7888930000000003E-2</v>
      </c>
      <c r="W3148">
        <v>0.10377749999999999</v>
      </c>
      <c r="X3148">
        <v>0.99344690000000002</v>
      </c>
      <c r="Y3148">
        <v>-0.27408949999999999</v>
      </c>
      <c r="Z3148">
        <v>-5.4740209999999999E-3</v>
      </c>
      <c r="AA3148">
        <v>0.9616886</v>
      </c>
      <c r="AB3148">
        <v>41</v>
      </c>
      <c r="AC3148">
        <v>-23.499099999999999</v>
      </c>
      <c r="AD3148">
        <v>-1.108695771754</v>
      </c>
      <c r="AE3148">
        <v>-7.2085000000000097</v>
      </c>
      <c r="AF3148">
        <v>-6.7913208061678398</v>
      </c>
      <c r="AG3148">
        <v>-1.108695771754</v>
      </c>
      <c r="AH3148">
        <v>23.5711095291235</v>
      </c>
      <c r="AI3148">
        <v>92.587870893448894</v>
      </c>
      <c r="AJ3148">
        <v>106.07277779239701</v>
      </c>
      <c r="AK3148">
        <v>24.555008634503299</v>
      </c>
      <c r="AL3148">
        <v>84.043261906354701</v>
      </c>
      <c r="AM3148">
        <v>92.759796468461204</v>
      </c>
      <c r="AN3148">
        <v>0.9999999311212</v>
      </c>
    </row>
    <row r="3149" spans="1:40" x14ac:dyDescent="0.3">
      <c r="A3149" t="str">
        <f>"20200111150014245"</f>
        <v>20200111150014245</v>
      </c>
      <c r="B3149" t="str">
        <f>"1578726014238737"</f>
        <v>1578726014238737</v>
      </c>
      <c r="C3149" t="s">
        <v>40</v>
      </c>
      <c r="D3149">
        <v>4.2361069999999996</v>
      </c>
      <c r="E3149">
        <v>0.40915230000000002</v>
      </c>
      <c r="F3149" t="s">
        <v>52</v>
      </c>
      <c r="G3149">
        <v>-487.93389999999999</v>
      </c>
      <c r="H3149" s="1">
        <v>2.1043290000000001E-6</v>
      </c>
      <c r="I3149">
        <v>276.5847</v>
      </c>
      <c r="J3149">
        <v>-465.90410000000003</v>
      </c>
      <c r="K3149">
        <v>1.109119</v>
      </c>
      <c r="L3149">
        <v>283.59879999999998</v>
      </c>
      <c r="M3149">
        <v>-0.99964010000000003</v>
      </c>
      <c r="N3149">
        <v>0</v>
      </c>
      <c r="O3149">
        <v>-2.2211990000000001E-2</v>
      </c>
      <c r="P3149">
        <v>-0.99345309999999998</v>
      </c>
      <c r="Q3149">
        <v>8.9514880000000005E-2</v>
      </c>
      <c r="R3149">
        <v>-7.0978810000000003E-2</v>
      </c>
      <c r="S3149">
        <v>-2.9716800000000001</v>
      </c>
      <c r="T3149">
        <v>-0.14685239999999999</v>
      </c>
      <c r="U3149">
        <v>-0.93054199999999998</v>
      </c>
      <c r="V3149">
        <v>-5.001924E-2</v>
      </c>
      <c r="W3149">
        <v>0.1039316</v>
      </c>
      <c r="X3149">
        <v>0.99332589999999998</v>
      </c>
      <c r="Y3149">
        <v>-0.27727239999999997</v>
      </c>
      <c r="Z3149">
        <v>-5.6165099999999999E-3</v>
      </c>
      <c r="AA3149">
        <v>0.96077500000000005</v>
      </c>
      <c r="AB3149">
        <v>41</v>
      </c>
      <c r="AC3149">
        <v>-22.029799999999899</v>
      </c>
      <c r="AD3149">
        <v>-1.109116895671</v>
      </c>
      <c r="AE3149">
        <v>-7.0140999999999796</v>
      </c>
      <c r="AF3149">
        <v>-6.5080102647294096</v>
      </c>
      <c r="AG3149">
        <v>-1.109116895671</v>
      </c>
      <c r="AH3149">
        <v>22.129249330934702</v>
      </c>
      <c r="AI3149">
        <v>92.752872825913002</v>
      </c>
      <c r="AJ3149">
        <v>106.38812844443</v>
      </c>
      <c r="AK3149">
        <v>23.093029551030298</v>
      </c>
      <c r="AL3149">
        <v>84.034385170640107</v>
      </c>
      <c r="AM3149">
        <v>92.882712228086802</v>
      </c>
      <c r="AN3149">
        <v>1.0000000227297701</v>
      </c>
    </row>
    <row r="3150" spans="1:40" x14ac:dyDescent="0.3">
      <c r="A3150" t="str">
        <f>"20200111150014268"</f>
        <v>20200111150014268</v>
      </c>
      <c r="B3150" t="str">
        <f>"1578726014259233"</f>
        <v>1578726014259233</v>
      </c>
      <c r="C3150" t="s">
        <v>40</v>
      </c>
      <c r="D3150">
        <v>4.1393529999999998</v>
      </c>
      <c r="E3150">
        <v>0.40913739999999998</v>
      </c>
      <c r="F3150" t="s">
        <v>52</v>
      </c>
      <c r="G3150">
        <v>-488.32709999999997</v>
      </c>
      <c r="H3150" s="1">
        <v>2.1005309999999998E-6</v>
      </c>
      <c r="I3150">
        <v>276.37670000000003</v>
      </c>
      <c r="J3150">
        <v>-466.30349999999999</v>
      </c>
      <c r="K3150">
        <v>1.109531</v>
      </c>
      <c r="L3150">
        <v>283.58550000000002</v>
      </c>
      <c r="M3150">
        <v>-0.99950570000000005</v>
      </c>
      <c r="N3150">
        <v>0</v>
      </c>
      <c r="O3150">
        <v>-2.75807E-2</v>
      </c>
      <c r="P3150">
        <v>-0.99282969999999904</v>
      </c>
      <c r="Q3150">
        <v>9.2521030000000004E-2</v>
      </c>
      <c r="R3150">
        <v>-7.5692010000000004E-2</v>
      </c>
      <c r="S3150">
        <v>-2.9647220000000001</v>
      </c>
      <c r="T3150">
        <v>-0.14664489999999999</v>
      </c>
      <c r="U3150">
        <v>-0.95489500000000005</v>
      </c>
      <c r="V3150">
        <v>-4.9540540000000001E-2</v>
      </c>
      <c r="W3150">
        <v>0.1069483</v>
      </c>
      <c r="X3150">
        <v>0.99302959999999996</v>
      </c>
      <c r="Y3150">
        <v>-0.27992509999999998</v>
      </c>
      <c r="Z3150">
        <v>-5.419976E-3</v>
      </c>
      <c r="AA3150">
        <v>0.96000649999999998</v>
      </c>
      <c r="AB3150">
        <v>41</v>
      </c>
      <c r="AC3150">
        <v>-22.023599999999899</v>
      </c>
      <c r="AD3150">
        <v>-1.109528899469</v>
      </c>
      <c r="AE3150">
        <v>-7.2087999999999903</v>
      </c>
      <c r="AF3150">
        <v>-6.5834693252753196</v>
      </c>
      <c r="AG3150">
        <v>-1.109528899469</v>
      </c>
      <c r="AH3150">
        <v>22.163258285787901</v>
      </c>
      <c r="AI3150">
        <v>92.747471402057798</v>
      </c>
      <c r="AJ3150">
        <v>106.54375142604501</v>
      </c>
      <c r="AK3150">
        <v>23.146989881583899</v>
      </c>
      <c r="AL3150">
        <v>83.860571867102095</v>
      </c>
      <c r="AM3150">
        <v>92.856020141793394</v>
      </c>
      <c r="AN3150">
        <v>0.99999999522627003</v>
      </c>
    </row>
    <row r="3151" spans="1:40" x14ac:dyDescent="0.3">
      <c r="A3151" t="str">
        <f>"20200111150014283"</f>
        <v>20200111150014283</v>
      </c>
      <c r="B3151" t="str">
        <f>"1578726014278753"</f>
        <v>1578726014278753</v>
      </c>
      <c r="C3151" t="s">
        <v>40</v>
      </c>
      <c r="D3151">
        <v>4.1531549999999999</v>
      </c>
      <c r="E3151">
        <v>0.40898129999999999</v>
      </c>
      <c r="F3151" t="s">
        <v>52</v>
      </c>
      <c r="G3151">
        <v>-490.20269999999999</v>
      </c>
      <c r="H3151" s="1">
        <v>2.1498510000000001E-6</v>
      </c>
      <c r="I3151">
        <v>275.75940000000003</v>
      </c>
      <c r="J3151">
        <v>-466.58170000000001</v>
      </c>
      <c r="K3151">
        <v>1.1098079999999999</v>
      </c>
      <c r="L3151">
        <v>283.57499999999999</v>
      </c>
      <c r="M3151">
        <v>-0.99938919999999998</v>
      </c>
      <c r="N3151">
        <v>0</v>
      </c>
      <c r="O3151">
        <v>-3.1502750000000003E-2</v>
      </c>
      <c r="P3151">
        <v>-0.99243400000000004</v>
      </c>
      <c r="Q3151">
        <v>9.4098609999999999E-2</v>
      </c>
      <c r="R3151">
        <v>-7.8870010000000004E-2</v>
      </c>
      <c r="S3151">
        <v>-2.9606020000000002</v>
      </c>
      <c r="T3151">
        <v>-0.13744679999999901</v>
      </c>
      <c r="U3151">
        <v>-0.96948239999999997</v>
      </c>
      <c r="V3151">
        <v>-4.8916969999999997E-2</v>
      </c>
      <c r="W3151">
        <v>0.10853640000000001</v>
      </c>
      <c r="X3151">
        <v>0.9928882</v>
      </c>
      <c r="Y3151">
        <v>-0.28086260000000002</v>
      </c>
      <c r="Z3151">
        <v>-4.9276290000000002E-3</v>
      </c>
      <c r="AA3151">
        <v>0.95973529999999996</v>
      </c>
      <c r="AB3151">
        <v>41</v>
      </c>
      <c r="AC3151">
        <v>-23.620999999999899</v>
      </c>
      <c r="AD3151">
        <v>-1.10980585014899</v>
      </c>
      <c r="AE3151">
        <v>-7.8155999999999599</v>
      </c>
      <c r="AF3151">
        <v>-7.0534743474480601</v>
      </c>
      <c r="AG3151">
        <v>-1.10980585014899</v>
      </c>
      <c r="AH3151">
        <v>23.808144368865602</v>
      </c>
      <c r="AI3151">
        <v>92.5590941479701</v>
      </c>
      <c r="AJ3151">
        <v>106.50261217948101</v>
      </c>
      <c r="AK3151">
        <v>24.8558022941099</v>
      </c>
      <c r="AL3151">
        <v>83.769047675947903</v>
      </c>
      <c r="AM3151">
        <v>92.820530606740505</v>
      </c>
      <c r="AN3151">
        <v>0.99999999888908997</v>
      </c>
    </row>
    <row r="3152" spans="1:40" x14ac:dyDescent="0.3">
      <c r="A3152" t="str">
        <f>"20200111150014297"</f>
        <v>20200111150014297</v>
      </c>
      <c r="B3152" t="str">
        <f>"1578726014289489"</f>
        <v>1578726014289489</v>
      </c>
      <c r="C3152" t="s">
        <v>40</v>
      </c>
      <c r="D3152">
        <v>4.1787299999999998</v>
      </c>
      <c r="E3152">
        <v>0.4089486</v>
      </c>
      <c r="F3152" t="s">
        <v>52</v>
      </c>
      <c r="G3152">
        <v>-491.65609999999998</v>
      </c>
      <c r="H3152" s="1">
        <v>1.8448980000000001E-6</v>
      </c>
      <c r="I3152">
        <v>275.26139999999998</v>
      </c>
      <c r="J3152">
        <v>-466.83960000000002</v>
      </c>
      <c r="K3152">
        <v>1.110063</v>
      </c>
      <c r="L3152">
        <v>283.56389999999999</v>
      </c>
      <c r="M3152">
        <v>-0.99926139999999997</v>
      </c>
      <c r="N3152">
        <v>0</v>
      </c>
      <c r="O3152">
        <v>-3.5309489999999999E-2</v>
      </c>
      <c r="P3152">
        <v>-0.99203070000000004</v>
      </c>
      <c r="Q3152">
        <v>9.5876489999999995E-2</v>
      </c>
      <c r="R3152">
        <v>-8.1748119999999994E-2</v>
      </c>
      <c r="S3152">
        <v>-2.9573670000000001</v>
      </c>
      <c r="T3152">
        <v>-0.13089480000000001</v>
      </c>
      <c r="U3152">
        <v>-0.98052980000000001</v>
      </c>
      <c r="V3152">
        <v>-4.8108709999999999E-2</v>
      </c>
      <c r="W3152">
        <v>0.1103257</v>
      </c>
      <c r="X3152">
        <v>0.99273049999999996</v>
      </c>
      <c r="Y3152">
        <v>-0.28077679999999999</v>
      </c>
      <c r="Z3152">
        <v>-4.5297899999999997E-3</v>
      </c>
      <c r="AA3152">
        <v>0.95976240000000002</v>
      </c>
      <c r="AB3152">
        <v>41</v>
      </c>
      <c r="AC3152">
        <v>-24.816499999999898</v>
      </c>
      <c r="AD3152">
        <v>-1.1100611551019901</v>
      </c>
      <c r="AE3152">
        <v>-8.3025000000000002</v>
      </c>
      <c r="AF3152">
        <v>-7.4076333243075503</v>
      </c>
      <c r="AG3152">
        <v>-1.1100611551019901</v>
      </c>
      <c r="AH3152">
        <v>25.049137940435099</v>
      </c>
      <c r="AI3152">
        <v>92.433382217942096</v>
      </c>
      <c r="AJ3152">
        <v>106.47421721576799</v>
      </c>
      <c r="AK3152">
        <v>26.145067963086401</v>
      </c>
      <c r="AL3152">
        <v>83.665909089701103</v>
      </c>
      <c r="AM3152">
        <v>92.774440075345694</v>
      </c>
      <c r="AN3152">
        <v>1.0000000268442999</v>
      </c>
    </row>
    <row r="3153" spans="1:40" x14ac:dyDescent="0.3">
      <c r="A3153" t="str">
        <f>"20200111150014311"</f>
        <v>20200111150014311</v>
      </c>
      <c r="B3153" t="str">
        <f>"1578726014309010"</f>
        <v>1578726014309010</v>
      </c>
      <c r="C3153" t="s">
        <v>40</v>
      </c>
      <c r="D3153">
        <v>4.1164139999999998</v>
      </c>
      <c r="E3153">
        <v>0.40886830000000002</v>
      </c>
      <c r="F3153" t="s">
        <v>52</v>
      </c>
      <c r="G3153">
        <v>-492.96210000000002</v>
      </c>
      <c r="H3153" s="1">
        <v>1.5704199999999999E-6</v>
      </c>
      <c r="I3153">
        <v>274.81259999999997</v>
      </c>
      <c r="J3153">
        <v>-467.09480000000002</v>
      </c>
      <c r="K3153">
        <v>1.11032</v>
      </c>
      <c r="L3153">
        <v>283.55189999999999</v>
      </c>
      <c r="M3153">
        <v>-0.9991139</v>
      </c>
      <c r="N3153">
        <v>0</v>
      </c>
      <c r="O3153">
        <v>-3.9250889999999997E-2</v>
      </c>
      <c r="P3153">
        <v>-0.99161580000000005</v>
      </c>
      <c r="Q3153">
        <v>9.7331070000000006E-2</v>
      </c>
      <c r="R3153">
        <v>-8.499756E-2</v>
      </c>
      <c r="S3153">
        <v>-2.9546510000000001</v>
      </c>
      <c r="T3153">
        <v>-0.12555619999999901</v>
      </c>
      <c r="U3153">
        <v>-0.98983759999999998</v>
      </c>
      <c r="V3153">
        <v>-4.7538049999999998E-2</v>
      </c>
      <c r="W3153">
        <v>0.1117881</v>
      </c>
      <c r="X3153">
        <v>0.99259439999999999</v>
      </c>
      <c r="Y3153">
        <v>-0.27999649999999998</v>
      </c>
      <c r="Z3153">
        <v>-4.1683620000000001E-3</v>
      </c>
      <c r="AA3153">
        <v>0.95999199999999996</v>
      </c>
      <c r="AB3153">
        <v>41</v>
      </c>
      <c r="AC3153">
        <v>-25.8673</v>
      </c>
      <c r="AD3153">
        <v>-1.1103184295799999</v>
      </c>
      <c r="AE3153">
        <v>-8.7393000000000107</v>
      </c>
      <c r="AF3153">
        <v>-7.7043914931579298</v>
      </c>
      <c r="AG3153">
        <v>-1.1103184295799999</v>
      </c>
      <c r="AH3153">
        <v>26.147187497353599</v>
      </c>
      <c r="AI3153">
        <v>92.332523869717207</v>
      </c>
      <c r="AJ3153">
        <v>106.417856779533</v>
      </c>
      <c r="AK3153">
        <v>27.2812365796837</v>
      </c>
      <c r="AL3153">
        <v>83.581598305040899</v>
      </c>
      <c r="AM3153">
        <v>92.741955835976796</v>
      </c>
      <c r="AN3153">
        <v>1.00000004420538</v>
      </c>
    </row>
    <row r="3154" spans="1:40" x14ac:dyDescent="0.3">
      <c r="A3154" t="str">
        <f>"20200111150014324"</f>
        <v>20200111150014324</v>
      </c>
      <c r="B3154" t="str">
        <f>"1578726014318769"</f>
        <v>1578726014318769</v>
      </c>
      <c r="C3154" t="s">
        <v>40</v>
      </c>
      <c r="D3154">
        <v>4.1629180000000003</v>
      </c>
      <c r="E3154">
        <v>0.40885840000000001</v>
      </c>
      <c r="F3154" t="s">
        <v>52</v>
      </c>
      <c r="G3154">
        <v>-494.19839999999999</v>
      </c>
      <c r="H3154" s="1">
        <v>1.3468730000000001E-6</v>
      </c>
      <c r="I3154">
        <v>274.36360000000002</v>
      </c>
      <c r="J3154">
        <v>-467.3143</v>
      </c>
      <c r="K3154">
        <v>1.1105480000000001</v>
      </c>
      <c r="L3154">
        <v>283.54090000000002</v>
      </c>
      <c r="M3154">
        <v>-0.99897020000000003</v>
      </c>
      <c r="N3154">
        <v>0</v>
      </c>
      <c r="O3154">
        <v>-4.2740529999999999E-2</v>
      </c>
      <c r="P3154">
        <v>-0.99118870000000003</v>
      </c>
      <c r="Q3154">
        <v>9.912174E-2</v>
      </c>
      <c r="R3154">
        <v>-8.7861800000000004E-2</v>
      </c>
      <c r="S3154">
        <v>-2.951508</v>
      </c>
      <c r="T3154">
        <v>-0.1209108</v>
      </c>
      <c r="U3154">
        <v>-1.00058</v>
      </c>
      <c r="V3154">
        <v>-4.7031429999999999E-2</v>
      </c>
      <c r="W3154">
        <v>0.1135843</v>
      </c>
      <c r="X3154">
        <v>0.99241449999999998</v>
      </c>
      <c r="Y3154">
        <v>-0.2801052</v>
      </c>
      <c r="Z3154">
        <v>-3.879754E-3</v>
      </c>
      <c r="AA3154">
        <v>0.95996150000000002</v>
      </c>
      <c r="AB3154">
        <v>41</v>
      </c>
      <c r="AC3154">
        <v>-26.884099999999901</v>
      </c>
      <c r="AD3154">
        <v>-1.1105466531269901</v>
      </c>
      <c r="AE3154">
        <v>-9.1773000000000007</v>
      </c>
      <c r="AF3154">
        <v>-8.0075000611188294</v>
      </c>
      <c r="AG3154">
        <v>-1.1105466531269901</v>
      </c>
      <c r="AH3154">
        <v>27.210230177250502</v>
      </c>
      <c r="AI3154">
        <v>92.242178259884795</v>
      </c>
      <c r="AJ3154">
        <v>106.39824395947799</v>
      </c>
      <c r="AK3154">
        <v>28.385735808616001</v>
      </c>
      <c r="AL3154">
        <v>83.478023256871893</v>
      </c>
      <c r="AM3154">
        <v>92.713269319067507</v>
      </c>
      <c r="AN3154">
        <v>0.99999994421228999</v>
      </c>
    </row>
    <row r="3155" spans="1:40" x14ac:dyDescent="0.3">
      <c r="A3155" t="str">
        <f>"20200111150014341"</f>
        <v>20200111150014341</v>
      </c>
      <c r="B3155" t="str">
        <f>"1578726014329505"</f>
        <v>1578726014329505</v>
      </c>
      <c r="C3155" t="s">
        <v>40</v>
      </c>
      <c r="D3155">
        <v>4.1756659999999997</v>
      </c>
      <c r="E3155">
        <v>0.4088138</v>
      </c>
      <c r="F3155" t="s">
        <v>52</v>
      </c>
      <c r="G3155">
        <v>-495.6728</v>
      </c>
      <c r="H3155" s="1">
        <v>1.1226310000000001E-6</v>
      </c>
      <c r="I3155">
        <v>273.83280000000002</v>
      </c>
      <c r="J3155">
        <v>-467.62400000000002</v>
      </c>
      <c r="K3155">
        <v>1.1108800000000001</v>
      </c>
      <c r="L3155">
        <v>283.52379999999999</v>
      </c>
      <c r="M3155">
        <v>-0.9987355</v>
      </c>
      <c r="N3155">
        <v>0</v>
      </c>
      <c r="O3155">
        <v>-4.7902350000000003E-2</v>
      </c>
      <c r="P3155">
        <v>-0.9907511</v>
      </c>
      <c r="Q3155">
        <v>9.9147109999999997E-2</v>
      </c>
      <c r="R3155">
        <v>-9.2642059999999998E-2</v>
      </c>
      <c r="S3155">
        <v>-2.9487610000000002</v>
      </c>
      <c r="T3155">
        <v>-0.1154765</v>
      </c>
      <c r="U3155">
        <v>-1.00946</v>
      </c>
      <c r="V3155">
        <v>-4.6781410000000002E-2</v>
      </c>
      <c r="W3155">
        <v>0.1136127</v>
      </c>
      <c r="X3155">
        <v>0.9924231</v>
      </c>
      <c r="Y3155">
        <v>-0.27802650000000001</v>
      </c>
      <c r="Z3155">
        <v>-3.4718800000000001E-3</v>
      </c>
      <c r="AA3155">
        <v>0.96056710000000001</v>
      </c>
      <c r="AB3155">
        <v>41</v>
      </c>
      <c r="AC3155">
        <v>-28.0487999999999</v>
      </c>
      <c r="AD3155">
        <v>-1.1108788773689999</v>
      </c>
      <c r="AE3155">
        <v>-9.6909999999999705</v>
      </c>
      <c r="AF3155">
        <v>-8.3244475221557401</v>
      </c>
      <c r="AG3155">
        <v>-1.1108788773689999</v>
      </c>
      <c r="AH3155">
        <v>28.4410145787541</v>
      </c>
      <c r="AI3155">
        <v>92.146803792542499</v>
      </c>
      <c r="AJ3155">
        <v>106.314312859149</v>
      </c>
      <c r="AK3155">
        <v>29.6550465974716</v>
      </c>
      <c r="AL3155">
        <v>83.476385673922394</v>
      </c>
      <c r="AM3155">
        <v>92.698843556556596</v>
      </c>
      <c r="AN3155">
        <v>0.999999977668243</v>
      </c>
    </row>
    <row r="3156" spans="1:40" x14ac:dyDescent="0.3">
      <c r="A3156" t="str">
        <f>"20200111150014354"</f>
        <v>20200111150014354</v>
      </c>
      <c r="B3156" t="str">
        <f>"1578726014349025"</f>
        <v>1578726014349025</v>
      </c>
      <c r="C3156" t="s">
        <v>40</v>
      </c>
      <c r="D3156">
        <v>4.2120309999999996</v>
      </c>
      <c r="E3156">
        <v>0.40870020000000001</v>
      </c>
      <c r="F3156" t="s">
        <v>52</v>
      </c>
      <c r="G3156">
        <v>-495.87419999999997</v>
      </c>
      <c r="H3156" s="1">
        <v>1.0802019999999999E-6</v>
      </c>
      <c r="I3156">
        <v>273.6934</v>
      </c>
      <c r="J3156">
        <v>-467.88650000000001</v>
      </c>
      <c r="K3156">
        <v>1.11117</v>
      </c>
      <c r="L3156">
        <v>283.50760000000002</v>
      </c>
      <c r="M3156">
        <v>-0.998502</v>
      </c>
      <c r="N3156">
        <v>0</v>
      </c>
      <c r="O3156">
        <v>-5.2536409999999999E-2</v>
      </c>
      <c r="P3156">
        <v>-0.99040410000000001</v>
      </c>
      <c r="Q3156">
        <v>9.8395860000000002E-2</v>
      </c>
      <c r="R3156">
        <v>-9.7047339999999996E-2</v>
      </c>
      <c r="S3156">
        <v>-2.9438170000000001</v>
      </c>
      <c r="T3156">
        <v>-0.1157593</v>
      </c>
      <c r="U3156">
        <v>-1.024384</v>
      </c>
      <c r="V3156">
        <v>-4.6656690000000001E-2</v>
      </c>
      <c r="W3156">
        <v>0.11286599999999999</v>
      </c>
      <c r="X3156">
        <v>0.99251420000000001</v>
      </c>
      <c r="Y3156">
        <v>-0.27841569999999999</v>
      </c>
      <c r="Z3156">
        <v>-3.3145230000000002E-3</v>
      </c>
      <c r="AA3156">
        <v>0.9604549</v>
      </c>
      <c r="AB3156">
        <v>41</v>
      </c>
      <c r="AC3156">
        <v>-27.987699999999901</v>
      </c>
      <c r="AD3156">
        <v>-1.1111689197979999</v>
      </c>
      <c r="AE3156">
        <v>-9.8142000000000191</v>
      </c>
      <c r="AF3156">
        <v>-8.3184222083681298</v>
      </c>
      <c r="AG3156">
        <v>-1.1111689197979999</v>
      </c>
      <c r="AH3156">
        <v>28.4248046906954</v>
      </c>
      <c r="AI3156">
        <v>92.148613293067896</v>
      </c>
      <c r="AJ3156">
        <v>106.31193481679099</v>
      </c>
      <c r="AK3156">
        <v>29.637819860933998</v>
      </c>
      <c r="AL3156">
        <v>83.519445609510299</v>
      </c>
      <c r="AM3156">
        <v>92.691412295188002</v>
      </c>
      <c r="AN3156">
        <v>1.0000000089396901</v>
      </c>
    </row>
    <row r="3157" spans="1:40" x14ac:dyDescent="0.3">
      <c r="A3157" t="str">
        <f>"20200111150014368"</f>
        <v>20200111150014368</v>
      </c>
      <c r="B3157" t="str">
        <f>"1578726014358785"</f>
        <v>1578726014358785</v>
      </c>
      <c r="C3157" t="s">
        <v>40</v>
      </c>
      <c r="D3157">
        <v>4.2155670000000001</v>
      </c>
      <c r="E3157">
        <v>0.40858899999999998</v>
      </c>
      <c r="F3157" t="s">
        <v>52</v>
      </c>
      <c r="G3157">
        <v>-495.4341</v>
      </c>
      <c r="H3157" s="1">
        <v>1.1328889999999999E-6</v>
      </c>
      <c r="I3157">
        <v>273.77089999999998</v>
      </c>
      <c r="J3157">
        <v>-468.10919999999999</v>
      </c>
      <c r="K3157">
        <v>1.1114189999999999</v>
      </c>
      <c r="L3157">
        <v>283.49279999999999</v>
      </c>
      <c r="M3157">
        <v>-0.99827940000000004</v>
      </c>
      <c r="N3157">
        <v>0</v>
      </c>
      <c r="O3157">
        <v>-5.6599570000000002E-2</v>
      </c>
      <c r="P3157">
        <v>-0.99019040000000003</v>
      </c>
      <c r="Q3157">
        <v>9.6335459999999998E-2</v>
      </c>
      <c r="R3157">
        <v>-0.1012054</v>
      </c>
      <c r="S3157">
        <v>-2.9389949999999998</v>
      </c>
      <c r="T3157">
        <v>-0.11854820000000001</v>
      </c>
      <c r="U3157">
        <v>-1.0387879999999901</v>
      </c>
      <c r="V3157">
        <v>-4.6809110000000001E-2</v>
      </c>
      <c r="W3157">
        <v>0.11080810000000001</v>
      </c>
      <c r="X3157">
        <v>0.99273889999999998</v>
      </c>
      <c r="Y3157">
        <v>-0.27918159999999997</v>
      </c>
      <c r="Z3157">
        <v>-3.25384E-3</v>
      </c>
      <c r="AA3157">
        <v>0.9602328</v>
      </c>
      <c r="AB3157">
        <v>41</v>
      </c>
      <c r="AC3157">
        <v>-27.3249</v>
      </c>
      <c r="AD3157">
        <v>-1.111417867111</v>
      </c>
      <c r="AE3157">
        <v>-9.7218999999999998</v>
      </c>
      <c r="AF3157">
        <v>-8.1475878885742592</v>
      </c>
      <c r="AG3157">
        <v>-1.111417867111</v>
      </c>
      <c r="AH3157">
        <v>27.790596307309901</v>
      </c>
      <c r="AI3157">
        <v>92.197776360115</v>
      </c>
      <c r="AJ3157">
        <v>106.339969627976</v>
      </c>
      <c r="AK3157">
        <v>28.981643866303401</v>
      </c>
      <c r="AL3157">
        <v>83.638099086877105</v>
      </c>
      <c r="AM3157">
        <v>92.699581453712398</v>
      </c>
      <c r="AN3157">
        <v>1.0000000256888999</v>
      </c>
    </row>
    <row r="3158" spans="1:40" x14ac:dyDescent="0.3">
      <c r="A3158" t="str">
        <f>"20200111150014385"</f>
        <v>20200111150014385</v>
      </c>
      <c r="B3158" t="str">
        <f>"1578726014379281"</f>
        <v>1578726014379281</v>
      </c>
      <c r="C3158" t="s">
        <v>40</v>
      </c>
      <c r="D3158">
        <v>4.1943250000000001</v>
      </c>
      <c r="E3158">
        <v>0.408522</v>
      </c>
      <c r="F3158" t="s">
        <v>52</v>
      </c>
      <c r="G3158">
        <v>-494.36759999999998</v>
      </c>
      <c r="H3158" s="1">
        <v>1.2811150000000001E-6</v>
      </c>
      <c r="I3158">
        <v>274.07549999999998</v>
      </c>
      <c r="J3158">
        <v>-468.40859999999998</v>
      </c>
      <c r="K3158">
        <v>1.1117589999999999</v>
      </c>
      <c r="L3158">
        <v>283.47160000000002</v>
      </c>
      <c r="M3158">
        <v>-0.99794170000000004</v>
      </c>
      <c r="N3158">
        <v>0</v>
      </c>
      <c r="O3158">
        <v>-6.2259950000000001E-2</v>
      </c>
      <c r="P3158">
        <v>-0.98956449999999996</v>
      </c>
      <c r="Q3158">
        <v>9.5953289999999997E-2</v>
      </c>
      <c r="R3158">
        <v>-0.1074946</v>
      </c>
      <c r="S3158">
        <v>-2.9342350000000001</v>
      </c>
      <c r="T3158">
        <v>-0.12419470000000001</v>
      </c>
      <c r="U3158">
        <v>-1.052338</v>
      </c>
      <c r="V3158">
        <v>-4.7571420000000003E-2</v>
      </c>
      <c r="W3158">
        <v>0.11041620000000001</v>
      </c>
      <c r="X3158">
        <v>0.99274629999999997</v>
      </c>
      <c r="Y3158">
        <v>-0.2781497</v>
      </c>
      <c r="Z3158">
        <v>-3.1594829999999998E-3</v>
      </c>
      <c r="AA3158">
        <v>0.96053250000000001</v>
      </c>
      <c r="AB3158">
        <v>40</v>
      </c>
      <c r="AC3158">
        <v>-25.959</v>
      </c>
      <c r="AD3158">
        <v>-1.1117577188850001</v>
      </c>
      <c r="AE3158">
        <v>-9.3961000000000396</v>
      </c>
      <c r="AF3158">
        <v>-7.7489035516708897</v>
      </c>
      <c r="AG3158">
        <v>-1.1117577188850001</v>
      </c>
      <c r="AH3158">
        <v>26.450800742085601</v>
      </c>
      <c r="AI3158">
        <v>92.309825182839802</v>
      </c>
      <c r="AJ3158">
        <v>106.32822840283799</v>
      </c>
      <c r="AK3158">
        <v>27.5848938982211</v>
      </c>
      <c r="AL3158">
        <v>83.660691755554097</v>
      </c>
      <c r="AM3158">
        <v>92.743458450868403</v>
      </c>
      <c r="AN3158">
        <v>0.99999999669347295</v>
      </c>
    </row>
    <row r="3159" spans="1:40" x14ac:dyDescent="0.3">
      <c r="A3159" t="str">
        <f>"20200111150014402"</f>
        <v>20200111150014402</v>
      </c>
      <c r="B3159" t="str">
        <f>"1578726014398801"</f>
        <v>1578726014398801</v>
      </c>
      <c r="C3159" t="s">
        <v>40</v>
      </c>
      <c r="D3159">
        <v>4.2006100000000002</v>
      </c>
      <c r="E3159">
        <v>0.40845379999999998</v>
      </c>
      <c r="F3159" t="s">
        <v>52</v>
      </c>
      <c r="G3159">
        <v>-494.04570000000001</v>
      </c>
      <c r="H3159" s="1">
        <v>1.311046E-6</v>
      </c>
      <c r="I3159">
        <v>274.08330000000001</v>
      </c>
      <c r="J3159">
        <v>-468.71210000000002</v>
      </c>
      <c r="K3159">
        <v>1.1121179999999999</v>
      </c>
      <c r="L3159">
        <v>283.44830000000002</v>
      </c>
      <c r="M3159">
        <v>-0.99754770000000004</v>
      </c>
      <c r="N3159">
        <v>0</v>
      </c>
      <c r="O3159">
        <v>-6.8274500000000002E-2</v>
      </c>
      <c r="P3159">
        <v>-0.98851549999999999</v>
      </c>
      <c r="Q3159">
        <v>9.6772440000000001E-2</v>
      </c>
      <c r="R3159">
        <v>-0.116070699999999</v>
      </c>
      <c r="S3159">
        <v>-2.9274900000000001</v>
      </c>
      <c r="T3159">
        <v>-0.12695100000000001</v>
      </c>
      <c r="U3159">
        <v>-1.072052</v>
      </c>
      <c r="V3159">
        <v>-5.031534E-2</v>
      </c>
      <c r="W3159">
        <v>0.1111839</v>
      </c>
      <c r="X3159">
        <v>0.99252530000000005</v>
      </c>
      <c r="Y3159">
        <v>-0.2787752</v>
      </c>
      <c r="Z3159">
        <v>-2.9955239999999998E-3</v>
      </c>
      <c r="AA3159">
        <v>0.96035170000000003</v>
      </c>
      <c r="AB3159">
        <v>40</v>
      </c>
      <c r="AC3159">
        <v>-25.333599999999901</v>
      </c>
      <c r="AD3159">
        <v>-1.112116688954</v>
      </c>
      <c r="AE3159">
        <v>-9.3650000000000002</v>
      </c>
      <c r="AF3159">
        <v>-7.6004123154875503</v>
      </c>
      <c r="AG3159">
        <v>-1.112116688954</v>
      </c>
      <c r="AH3159">
        <v>25.8700776200753</v>
      </c>
      <c r="AI3159">
        <v>92.361845996741394</v>
      </c>
      <c r="AJ3159">
        <v>106.37234671732701</v>
      </c>
      <c r="AK3159">
        <v>26.986366686977</v>
      </c>
      <c r="AL3159">
        <v>83.616433178846094</v>
      </c>
      <c r="AM3159">
        <v>92.902083068831999</v>
      </c>
      <c r="AN3159">
        <v>0.99999998209930696</v>
      </c>
    </row>
    <row r="3160" spans="1:40" x14ac:dyDescent="0.3">
      <c r="A3160" t="str">
        <f>"20200111150014417"</f>
        <v>20200111150014417</v>
      </c>
      <c r="B3160" t="str">
        <f>"1578726014409538"</f>
        <v>1578726014409538</v>
      </c>
      <c r="C3160" t="s">
        <v>40</v>
      </c>
      <c r="D3160">
        <v>4.2165660000000003</v>
      </c>
      <c r="E3160">
        <v>0.40837869999999998</v>
      </c>
      <c r="F3160" t="s">
        <v>52</v>
      </c>
      <c r="G3160">
        <v>-494.29360000000003</v>
      </c>
      <c r="H3160" s="1">
        <v>1.243154E-6</v>
      </c>
      <c r="I3160">
        <v>273.82260000000002</v>
      </c>
      <c r="J3160">
        <v>-468.99579999999997</v>
      </c>
      <c r="K3160">
        <v>1.1124540000000001</v>
      </c>
      <c r="L3160">
        <v>283.42439999999999</v>
      </c>
      <c r="M3160">
        <v>-0.99712500000000004</v>
      </c>
      <c r="N3160">
        <v>0</v>
      </c>
      <c r="O3160">
        <v>-7.4185680000000004E-2</v>
      </c>
      <c r="P3160">
        <v>-0.98755280000000001</v>
      </c>
      <c r="Q3160">
        <v>9.7876619999999998E-2</v>
      </c>
      <c r="R3160">
        <v>-0.1231266</v>
      </c>
      <c r="S3160">
        <v>-2.918304</v>
      </c>
      <c r="T3160">
        <v>-0.1268688</v>
      </c>
      <c r="U3160">
        <v>-1.0980829999999999</v>
      </c>
      <c r="V3160">
        <v>-5.1642210000000001E-2</v>
      </c>
      <c r="W3160">
        <v>0.1122614</v>
      </c>
      <c r="X3160">
        <v>0.99233590000000005</v>
      </c>
      <c r="Y3160">
        <v>-0.28158650000000002</v>
      </c>
      <c r="Z3160">
        <v>-2.8108669999999999E-3</v>
      </c>
      <c r="AA3160">
        <v>0.95953169999999999</v>
      </c>
      <c r="AB3160">
        <v>40</v>
      </c>
      <c r="AC3160">
        <v>-25.297799999999999</v>
      </c>
      <c r="AD3160">
        <v>-1.1124527568459901</v>
      </c>
      <c r="AE3160">
        <v>-9.6017999999999599</v>
      </c>
      <c r="AF3160">
        <v>-7.6853871586305704</v>
      </c>
      <c r="AG3160">
        <v>-1.1124527568459901</v>
      </c>
      <c r="AH3160">
        <v>25.89670309529</v>
      </c>
      <c r="AI3160">
        <v>92.358225814082203</v>
      </c>
      <c r="AJ3160">
        <v>106.52935483580001</v>
      </c>
      <c r="AK3160">
        <v>27.035938269641399</v>
      </c>
      <c r="AL3160">
        <v>83.554308402182201</v>
      </c>
      <c r="AM3160">
        <v>92.979045562023899</v>
      </c>
      <c r="AN3160">
        <v>1.00000003910622</v>
      </c>
    </row>
    <row r="3161" spans="1:40" x14ac:dyDescent="0.3">
      <c r="A3161" t="str">
        <f>"20200111150014431"</f>
        <v>20200111150014431</v>
      </c>
      <c r="B3161" t="str">
        <f>"1578726014419298"</f>
        <v>1578726014419298</v>
      </c>
      <c r="C3161" t="s">
        <v>40</v>
      </c>
      <c r="D3161">
        <v>4.2027659999999996</v>
      </c>
      <c r="E3161">
        <v>0.40839370000000003</v>
      </c>
      <c r="F3161" t="s">
        <v>52</v>
      </c>
      <c r="G3161">
        <v>-495.1019</v>
      </c>
      <c r="H3161" s="1">
        <v>1.0940649999999999E-6</v>
      </c>
      <c r="I3161">
        <v>273.38310000000001</v>
      </c>
      <c r="J3161">
        <v>-469.22309999999999</v>
      </c>
      <c r="K3161">
        <v>1.112724</v>
      </c>
      <c r="L3161">
        <v>283.40370000000001</v>
      </c>
      <c r="M3161">
        <v>-0.99674510000000005</v>
      </c>
      <c r="N3161">
        <v>0</v>
      </c>
      <c r="O3161">
        <v>-7.9117629999999994E-2</v>
      </c>
      <c r="P3161">
        <v>-0.98663080000000003</v>
      </c>
      <c r="Q3161">
        <v>9.9165749999999997E-2</v>
      </c>
      <c r="R3161">
        <v>-0.12932879999999999</v>
      </c>
      <c r="S3161">
        <v>-2.9105219999999998</v>
      </c>
      <c r="T3161">
        <v>-0.1240252</v>
      </c>
      <c r="U3161">
        <v>-1.1194759999999999</v>
      </c>
      <c r="V3161">
        <v>-5.3078189999999997E-2</v>
      </c>
      <c r="W3161">
        <v>0.11352080000000001</v>
      </c>
      <c r="X3161">
        <v>0.99211680000000002</v>
      </c>
      <c r="Y3161">
        <v>-0.28385270000000001</v>
      </c>
      <c r="Z3161">
        <v>-2.5971380000000001E-3</v>
      </c>
      <c r="AA3161">
        <v>0.95886439999999995</v>
      </c>
      <c r="AB3161">
        <v>40</v>
      </c>
      <c r="AC3161">
        <v>-25.878799999999998</v>
      </c>
      <c r="AD3161">
        <v>-1.1127229059349999</v>
      </c>
      <c r="AE3161">
        <v>-10.0206</v>
      </c>
      <c r="AF3161">
        <v>-7.9287188596016804</v>
      </c>
      <c r="AG3161">
        <v>-1.1127229059349999</v>
      </c>
      <c r="AH3161">
        <v>26.5478772330443</v>
      </c>
      <c r="AI3161">
        <v>92.299818002751394</v>
      </c>
      <c r="AJ3161">
        <v>106.628642259584</v>
      </c>
      <c r="AK3161">
        <v>27.728911276874701</v>
      </c>
      <c r="AL3161">
        <v>83.481685626361795</v>
      </c>
      <c r="AM3161">
        <v>93.062401255418905</v>
      </c>
      <c r="AN3161">
        <v>1.0000000055642699</v>
      </c>
    </row>
    <row r="3162" spans="1:40" x14ac:dyDescent="0.3">
      <c r="A3162" t="str">
        <f>"20200111150014443"</f>
        <v>20200111150014443</v>
      </c>
      <c r="B3162" t="str">
        <f>"1578726014438817"</f>
        <v>1578726014438817</v>
      </c>
      <c r="C3162" t="s">
        <v>40</v>
      </c>
      <c r="D3162">
        <v>4.2550660000000002</v>
      </c>
      <c r="E3162">
        <v>0.4083194</v>
      </c>
      <c r="F3162" t="s">
        <v>52</v>
      </c>
      <c r="G3162">
        <v>-495.88200000000001</v>
      </c>
      <c r="H3162" s="1">
        <v>9.498162E-7</v>
      </c>
      <c r="I3162">
        <v>272.95690000000002</v>
      </c>
      <c r="J3162">
        <v>-469.46570000000003</v>
      </c>
      <c r="K3162">
        <v>1.113011</v>
      </c>
      <c r="L3162">
        <v>283.38069999999999</v>
      </c>
      <c r="M3162">
        <v>-0.9963014</v>
      </c>
      <c r="N3162">
        <v>0</v>
      </c>
      <c r="O3162">
        <v>-8.4516729999999998E-2</v>
      </c>
      <c r="P3162">
        <v>-0.98568750000000005</v>
      </c>
      <c r="Q3162">
        <v>0.1003666</v>
      </c>
      <c r="R3162">
        <v>-0.13545199999999999</v>
      </c>
      <c r="S3162">
        <v>-2.9037169999999999</v>
      </c>
      <c r="T3162">
        <v>-0.1211991</v>
      </c>
      <c r="U3162">
        <v>-1.1378779999999999</v>
      </c>
      <c r="V3162">
        <v>-5.3978640000000001E-2</v>
      </c>
      <c r="W3162">
        <v>0.11470080000000001</v>
      </c>
      <c r="X3162">
        <v>0.99193249999999999</v>
      </c>
      <c r="Y3162">
        <v>-0.28470000000000001</v>
      </c>
      <c r="Z3162">
        <v>-2.3429449999999999E-3</v>
      </c>
      <c r="AA3162">
        <v>0.95861379999999996</v>
      </c>
      <c r="AB3162">
        <v>40</v>
      </c>
      <c r="AC3162">
        <v>-26.4162999999999</v>
      </c>
      <c r="AD3162">
        <v>-1.1130100501838001</v>
      </c>
      <c r="AE3162">
        <v>-10.4237999999999</v>
      </c>
      <c r="AF3162">
        <v>-8.1411023634545501</v>
      </c>
      <c r="AG3162">
        <v>-1.1130100501838001</v>
      </c>
      <c r="AH3162">
        <v>27.161131761689798</v>
      </c>
      <c r="AI3162">
        <v>92.247861468815401</v>
      </c>
      <c r="AJ3162">
        <v>106.685237122315</v>
      </c>
      <c r="AK3162">
        <v>28.3768112662422</v>
      </c>
      <c r="AL3162">
        <v>83.413632213057298</v>
      </c>
      <c r="AM3162">
        <v>93.114829725060105</v>
      </c>
      <c r="AN3162">
        <v>1.00000002582656</v>
      </c>
    </row>
    <row r="3163" spans="1:40" x14ac:dyDescent="0.3">
      <c r="A3163" t="str">
        <f>"20200111150014457"</f>
        <v>20200111150014457</v>
      </c>
      <c r="B3163" t="str">
        <f>"1578726014448577"</f>
        <v>1578726014448577</v>
      </c>
      <c r="C3163" t="s">
        <v>40</v>
      </c>
      <c r="D3163">
        <v>4.259315</v>
      </c>
      <c r="E3163">
        <v>0.40824850000000001</v>
      </c>
      <c r="F3163" t="s">
        <v>52</v>
      </c>
      <c r="G3163">
        <v>-496.72609999999997</v>
      </c>
      <c r="H3163" s="1">
        <v>7.928055E-7</v>
      </c>
      <c r="I3163">
        <v>272.4905</v>
      </c>
      <c r="J3163">
        <v>-469.70870000000002</v>
      </c>
      <c r="K3163">
        <v>1.113308</v>
      </c>
      <c r="L3163">
        <v>283.35610000000003</v>
      </c>
      <c r="M3163">
        <v>-0.9958072</v>
      </c>
      <c r="N3163">
        <v>0</v>
      </c>
      <c r="O3163">
        <v>-9.0146980000000002E-2</v>
      </c>
      <c r="P3163">
        <v>-0.98471089999999994</v>
      </c>
      <c r="Q3163">
        <v>0.100921</v>
      </c>
      <c r="R3163">
        <v>-0.14198529999999901</v>
      </c>
      <c r="S3163">
        <v>-2.8965450000000001</v>
      </c>
      <c r="T3163">
        <v>-0.1182624</v>
      </c>
      <c r="U3163">
        <v>-1.157135</v>
      </c>
      <c r="V3163">
        <v>-5.5051259999999998E-2</v>
      </c>
      <c r="W3163">
        <v>0.1152299</v>
      </c>
      <c r="X3163">
        <v>0.99181220000000003</v>
      </c>
      <c r="Y3163">
        <v>-0.28560629999999998</v>
      </c>
      <c r="Z3163">
        <v>-2.0879850000000001E-3</v>
      </c>
      <c r="AA3163">
        <v>0.9583448</v>
      </c>
      <c r="AB3163">
        <v>40</v>
      </c>
      <c r="AC3163">
        <v>-27.017399999999899</v>
      </c>
      <c r="AD3163">
        <v>-1.1133072071945</v>
      </c>
      <c r="AE3163">
        <v>-10.865600000000001</v>
      </c>
      <c r="AF3163">
        <v>-8.3732799567646392</v>
      </c>
      <c r="AG3163">
        <v>-1.1133072071945</v>
      </c>
      <c r="AH3163">
        <v>27.846290008811</v>
      </c>
      <c r="AI3163">
        <v>92.192611370516801</v>
      </c>
      <c r="AJ3163">
        <v>106.735844940359</v>
      </c>
      <c r="AK3163">
        <v>29.099263520349702</v>
      </c>
      <c r="AL3163">
        <v>83.383114535442104</v>
      </c>
      <c r="AM3163">
        <v>93.176984091357795</v>
      </c>
      <c r="AN3163">
        <v>1.0000000055752101</v>
      </c>
    </row>
    <row r="3164" spans="1:40" x14ac:dyDescent="0.3">
      <c r="A3164" t="str">
        <f>"20200111150014470"</f>
        <v>20200111150014470</v>
      </c>
      <c r="B3164" t="str">
        <f>"1578726014459314"</f>
        <v>1578726014459314</v>
      </c>
      <c r="C3164" t="s">
        <v>40</v>
      </c>
      <c r="D3164">
        <v>4.3030850000000003</v>
      </c>
      <c r="E3164">
        <v>0.40821800000000003</v>
      </c>
      <c r="F3164" t="s">
        <v>52</v>
      </c>
      <c r="G3164">
        <v>-497.31540000000001</v>
      </c>
      <c r="H3164" s="1">
        <v>6.7226510000000004E-7</v>
      </c>
      <c r="I3164">
        <v>272.1028</v>
      </c>
      <c r="J3164">
        <v>-469.91759999999999</v>
      </c>
      <c r="K3164">
        <v>1.1135710000000001</v>
      </c>
      <c r="L3164">
        <v>283.33350000000002</v>
      </c>
      <c r="M3164">
        <v>-0.99533799999999995</v>
      </c>
      <c r="N3164">
        <v>0</v>
      </c>
      <c r="O3164">
        <v>-9.5181299999999996E-2</v>
      </c>
      <c r="P3164">
        <v>-0.98350219999999999</v>
      </c>
      <c r="Q3164">
        <v>0.1017247</v>
      </c>
      <c r="R3164">
        <v>-0.14958440000000001</v>
      </c>
      <c r="S3164">
        <v>-2.8887019999999999</v>
      </c>
      <c r="T3164">
        <v>-0.11649420000000001</v>
      </c>
      <c r="U3164">
        <v>-1.17752099999999</v>
      </c>
      <c r="V3164">
        <v>-5.7795659999999999E-2</v>
      </c>
      <c r="W3164">
        <v>0.11597159999999999</v>
      </c>
      <c r="X3164">
        <v>0.99156960000000005</v>
      </c>
      <c r="Y3164">
        <v>-0.2874758</v>
      </c>
      <c r="Z3164">
        <v>-1.9030690000000001E-3</v>
      </c>
      <c r="AA3164">
        <v>0.95778600000000003</v>
      </c>
      <c r="AB3164">
        <v>40</v>
      </c>
      <c r="AC3164">
        <v>-27.3978</v>
      </c>
      <c r="AD3164">
        <v>-1.1135703277348901</v>
      </c>
      <c r="AE3164">
        <v>-11.230700000000001</v>
      </c>
      <c r="AF3164">
        <v>-8.5595188740024195</v>
      </c>
      <c r="AG3164">
        <v>-1.1135703277348901</v>
      </c>
      <c r="AH3164">
        <v>28.302435898557299</v>
      </c>
      <c r="AI3164">
        <v>92.156783356247601</v>
      </c>
      <c r="AJ3164">
        <v>106.826915899611</v>
      </c>
      <c r="AK3164">
        <v>29.5894116200569</v>
      </c>
      <c r="AL3164">
        <v>83.340331462931999</v>
      </c>
      <c r="AM3164">
        <v>93.3358272953284</v>
      </c>
      <c r="AN3164">
        <v>1.00000001098277</v>
      </c>
    </row>
    <row r="3165" spans="1:40" x14ac:dyDescent="0.3">
      <c r="A3165" t="str">
        <f>"20200111150014484"</f>
        <v>20200111150014484</v>
      </c>
      <c r="B3165" t="str">
        <f>"1578726014478833"</f>
        <v>1578726014478833</v>
      </c>
      <c r="C3165" t="s">
        <v>40</v>
      </c>
      <c r="D3165">
        <v>4.2509959999999998</v>
      </c>
      <c r="E3165">
        <v>0.40819889999999998</v>
      </c>
      <c r="F3165" t="s">
        <v>52</v>
      </c>
      <c r="G3165">
        <v>-497.60120000000001</v>
      </c>
      <c r="H3165" s="1">
        <v>5.9392189999999997E-7</v>
      </c>
      <c r="I3165">
        <v>271.80189999999999</v>
      </c>
      <c r="J3165">
        <v>-470.17349999999999</v>
      </c>
      <c r="K3165">
        <v>1.113888</v>
      </c>
      <c r="L3165">
        <v>283.30459999999999</v>
      </c>
      <c r="M3165">
        <v>-0.99471290000000001</v>
      </c>
      <c r="N3165">
        <v>0</v>
      </c>
      <c r="O3165">
        <v>-0.10149950000000001</v>
      </c>
      <c r="P3165">
        <v>-0.98231190000000002</v>
      </c>
      <c r="Q3165">
        <v>0.10149560000000001</v>
      </c>
      <c r="R3165">
        <v>-0.1573608</v>
      </c>
      <c r="S3165">
        <v>-2.8798219999999999</v>
      </c>
      <c r="T3165">
        <v>-0.1158406</v>
      </c>
      <c r="U3165">
        <v>-1.1995849999999999</v>
      </c>
      <c r="V3165">
        <v>-5.9429139999999998E-2</v>
      </c>
      <c r="W3165">
        <v>0.115704</v>
      </c>
      <c r="X3165">
        <v>0.99150430000000001</v>
      </c>
      <c r="Y3165">
        <v>-0.28870089999999998</v>
      </c>
      <c r="Z3165">
        <v>-1.678447E-3</v>
      </c>
      <c r="AA3165">
        <v>0.95741779999999999</v>
      </c>
      <c r="AB3165">
        <v>40</v>
      </c>
      <c r="AC3165">
        <v>-27.427700000000002</v>
      </c>
      <c r="AD3165">
        <v>-1.1138874060781001</v>
      </c>
      <c r="AE3165">
        <v>-11.502700000000001</v>
      </c>
      <c r="AF3165">
        <v>-8.6469147919375509</v>
      </c>
      <c r="AG3165">
        <v>-1.1138874060781001</v>
      </c>
      <c r="AH3165">
        <v>28.4138244520292</v>
      </c>
      <c r="AI3165">
        <v>92.147820266015103</v>
      </c>
      <c r="AJ3165">
        <v>106.926090315388</v>
      </c>
      <c r="AK3165">
        <v>29.7212937229048</v>
      </c>
      <c r="AL3165">
        <v>83.355767705610702</v>
      </c>
      <c r="AM3165">
        <v>93.430111209750095</v>
      </c>
      <c r="AN3165">
        <v>1.0000000076078099</v>
      </c>
    </row>
    <row r="3166" spans="1:40" x14ac:dyDescent="0.3">
      <c r="A3166" t="str">
        <f>"20200111150014497"</f>
        <v>20200111150014497</v>
      </c>
      <c r="B3166" t="str">
        <f>"1578726014488593"</f>
        <v>1578726014488593</v>
      </c>
      <c r="C3166" t="s">
        <v>40</v>
      </c>
      <c r="D3166">
        <v>4.2670159999999999</v>
      </c>
      <c r="E3166">
        <v>0.40823009999999998</v>
      </c>
      <c r="F3166" t="s">
        <v>52</v>
      </c>
      <c r="G3166">
        <v>-496.97219999999999</v>
      </c>
      <c r="H3166" s="1">
        <v>6.6659960000000003E-7</v>
      </c>
      <c r="I3166">
        <v>271.89789999999999</v>
      </c>
      <c r="J3166">
        <v>-470.41059999999999</v>
      </c>
      <c r="K3166">
        <v>1.114188</v>
      </c>
      <c r="L3166">
        <v>283.27620000000002</v>
      </c>
      <c r="M3166">
        <v>-0.9940736</v>
      </c>
      <c r="N3166">
        <v>0</v>
      </c>
      <c r="O3166">
        <v>-0.1075754</v>
      </c>
      <c r="P3166">
        <v>-0.98109950000000001</v>
      </c>
      <c r="Q3166">
        <v>0.1013754</v>
      </c>
      <c r="R3166">
        <v>-0.16482339999999901</v>
      </c>
      <c r="S3166">
        <v>-2.8706049999999999</v>
      </c>
      <c r="T3166">
        <v>-0.11931659999999999</v>
      </c>
      <c r="U3166">
        <v>-1.2218629999999999</v>
      </c>
      <c r="V3166">
        <v>-6.0990860000000001E-2</v>
      </c>
      <c r="W3166">
        <v>0.1155458</v>
      </c>
      <c r="X3166">
        <v>0.99142790000000003</v>
      </c>
      <c r="Y3166">
        <v>-0.29024470000000002</v>
      </c>
      <c r="Z3166">
        <v>-1.5240919999999999E-3</v>
      </c>
      <c r="AA3166">
        <v>0.95695129999999995</v>
      </c>
      <c r="AB3166">
        <v>40</v>
      </c>
      <c r="AC3166">
        <v>-26.561599999999999</v>
      </c>
      <c r="AD3166">
        <v>-1.11418733340039</v>
      </c>
      <c r="AE3166">
        <v>-11.378299999999999</v>
      </c>
      <c r="AF3166">
        <v>-8.44197841758203</v>
      </c>
      <c r="AG3166">
        <v>-1.11418733340039</v>
      </c>
      <c r="AH3166">
        <v>27.590578194010401</v>
      </c>
      <c r="AI3166">
        <v>92.211419683406604</v>
      </c>
      <c r="AJ3166">
        <v>107.01270838351699</v>
      </c>
      <c r="AK3166">
        <v>28.874702043426101</v>
      </c>
      <c r="AL3166">
        <v>83.364893044333002</v>
      </c>
      <c r="AM3166">
        <v>93.520296863909195</v>
      </c>
      <c r="AN3166">
        <v>0.99999999889979396</v>
      </c>
    </row>
    <row r="3167" spans="1:40" x14ac:dyDescent="0.3">
      <c r="A3167" t="str">
        <f>"20200111150014511"</f>
        <v>20200111150014511</v>
      </c>
      <c r="B3167" t="str">
        <f>"1578726014509090"</f>
        <v>1578726014509090</v>
      </c>
      <c r="C3167" t="s">
        <v>40</v>
      </c>
      <c r="D3167">
        <v>4.2939080000000001</v>
      </c>
      <c r="E3167">
        <v>0.40833039999999998</v>
      </c>
      <c r="F3167" t="s">
        <v>52</v>
      </c>
      <c r="G3167">
        <v>-496.70299999999997</v>
      </c>
      <c r="H3167" s="1">
        <v>6.8199029999999996E-7</v>
      </c>
      <c r="I3167">
        <v>271.84960000000001</v>
      </c>
      <c r="J3167">
        <v>-470.64</v>
      </c>
      <c r="K3167">
        <v>1.1144780000000001</v>
      </c>
      <c r="L3167">
        <v>283.24689999999998</v>
      </c>
      <c r="M3167">
        <v>-0.99339440000000001</v>
      </c>
      <c r="N3167">
        <v>0</v>
      </c>
      <c r="O3167">
        <v>-0.1136704</v>
      </c>
      <c r="P3167">
        <v>-0.97987860000000004</v>
      </c>
      <c r="Q3167">
        <v>0.1013884</v>
      </c>
      <c r="R3167">
        <v>-0.17192489999999999</v>
      </c>
      <c r="S3167">
        <v>-2.8614199999999999</v>
      </c>
      <c r="T3167">
        <v>-0.1212579</v>
      </c>
      <c r="U3167">
        <v>-1.2435609999999999</v>
      </c>
      <c r="V3167">
        <v>-6.2174699999999902E-2</v>
      </c>
      <c r="W3167">
        <v>0.1155302</v>
      </c>
      <c r="X3167">
        <v>0.99135620000000002</v>
      </c>
      <c r="Y3167">
        <v>-0.2916012</v>
      </c>
      <c r="Z3167">
        <v>-1.3360309999999999E-3</v>
      </c>
      <c r="AA3167">
        <v>0.95653900000000003</v>
      </c>
      <c r="AB3167">
        <v>40</v>
      </c>
      <c r="AC3167">
        <v>-26.062999999999999</v>
      </c>
      <c r="AD3167">
        <v>-1.1144773180096901</v>
      </c>
      <c r="AE3167">
        <v>-11.3972999999999</v>
      </c>
      <c r="AF3167">
        <v>-8.3476399669857404</v>
      </c>
      <c r="AG3167">
        <v>-1.1144773180096901</v>
      </c>
      <c r="AH3167">
        <v>27.148055395443599</v>
      </c>
      <c r="AI3167">
        <v>92.247062198561096</v>
      </c>
      <c r="AJ3167">
        <v>107.09191661522399</v>
      </c>
      <c r="AK3167">
        <v>28.424321706328399</v>
      </c>
      <c r="AL3167">
        <v>83.365793010990203</v>
      </c>
      <c r="AM3167">
        <v>93.588708259889898</v>
      </c>
      <c r="AN3167">
        <v>1.0000000178552799</v>
      </c>
    </row>
    <row r="3168" spans="1:40" x14ac:dyDescent="0.3">
      <c r="A3168" t="str">
        <f>"20200111150014524"</f>
        <v>20200111150014524</v>
      </c>
      <c r="B3168" t="str">
        <f>"1578726014518849"</f>
        <v>1578726014518849</v>
      </c>
      <c r="C3168" t="s">
        <v>40</v>
      </c>
      <c r="D3168">
        <v>4.2724510000000002</v>
      </c>
      <c r="E3168">
        <v>0.40838390000000002</v>
      </c>
      <c r="F3168" t="s">
        <v>52</v>
      </c>
      <c r="G3168">
        <v>-496.35210000000001</v>
      </c>
      <c r="H3168" s="1">
        <v>7.1485959999999896E-7</v>
      </c>
      <c r="I3168">
        <v>271.85950000000003</v>
      </c>
      <c r="J3168">
        <v>-470.8777</v>
      </c>
      <c r="K3168">
        <v>1.114781</v>
      </c>
      <c r="L3168">
        <v>283.21530000000001</v>
      </c>
      <c r="M3168">
        <v>-0.99263330000000005</v>
      </c>
      <c r="N3168">
        <v>0</v>
      </c>
      <c r="O3168">
        <v>-0.1201296</v>
      </c>
      <c r="P3168">
        <v>-0.97855380000000003</v>
      </c>
      <c r="Q3168">
        <v>0.101447</v>
      </c>
      <c r="R3168">
        <v>-0.17927889999999999</v>
      </c>
      <c r="S3168">
        <v>-2.8527529999999999</v>
      </c>
      <c r="T3168">
        <v>-0.12365139999999999</v>
      </c>
      <c r="U3168">
        <v>-1.263428</v>
      </c>
      <c r="V3168">
        <v>-6.3260259999999999E-2</v>
      </c>
      <c r="W3168">
        <v>0.1155615</v>
      </c>
      <c r="X3168">
        <v>0.99128380000000005</v>
      </c>
      <c r="Y3168">
        <v>-0.2920239</v>
      </c>
      <c r="Z3168">
        <v>-1.1108310000000001E-3</v>
      </c>
      <c r="AA3168">
        <v>0.95641030000000005</v>
      </c>
      <c r="AB3168">
        <v>40</v>
      </c>
      <c r="AC3168">
        <v>-25.474399999999999</v>
      </c>
      <c r="AD3168">
        <v>-1.1147802851403901</v>
      </c>
      <c r="AE3168">
        <v>-11.355799999999901</v>
      </c>
      <c r="AF3168">
        <v>-8.1998345895118092</v>
      </c>
      <c r="AG3168">
        <v>-1.1147802851403901</v>
      </c>
      <c r="AH3168">
        <v>26.6116973318031</v>
      </c>
      <c r="AI3168">
        <v>92.292512132118802</v>
      </c>
      <c r="AJ3168">
        <v>107.125580684417</v>
      </c>
      <c r="AK3168">
        <v>27.868664432638099</v>
      </c>
      <c r="AL3168">
        <v>83.363987084572798</v>
      </c>
      <c r="AM3168">
        <v>93.651464415402003</v>
      </c>
      <c r="AN3168">
        <v>0.99999994645997703</v>
      </c>
    </row>
    <row r="3169" spans="1:40" x14ac:dyDescent="0.3">
      <c r="A3169" t="str">
        <f>"20200111150014536"</f>
        <v>20200111150014536</v>
      </c>
      <c r="B3169" t="str">
        <f>"1578726014528610"</f>
        <v>1578726014528610</v>
      </c>
      <c r="C3169" t="s">
        <v>40</v>
      </c>
      <c r="D3169">
        <v>4.2834649999999996</v>
      </c>
      <c r="E3169">
        <v>0.40843499999999999</v>
      </c>
      <c r="F3169" t="s">
        <v>52</v>
      </c>
      <c r="G3169">
        <v>-496.33690000000001</v>
      </c>
      <c r="H3169" s="1">
        <v>6.905338E-7</v>
      </c>
      <c r="I3169">
        <v>271.71379999999999</v>
      </c>
      <c r="J3169">
        <v>-471.08780000000002</v>
      </c>
      <c r="K3169">
        <v>1.1150519999999999</v>
      </c>
      <c r="L3169">
        <v>283.1859</v>
      </c>
      <c r="M3169">
        <v>-0.99190060000000002</v>
      </c>
      <c r="N3169">
        <v>0</v>
      </c>
      <c r="O3169">
        <v>-0.12603139999999999</v>
      </c>
      <c r="P3169">
        <v>-0.97689959999999998</v>
      </c>
      <c r="Q3169">
        <v>0.1038675</v>
      </c>
      <c r="R3169">
        <v>-0.18675929999999999</v>
      </c>
      <c r="S3169">
        <v>-2.8433229999999998</v>
      </c>
      <c r="T3169">
        <v>-0.1245006</v>
      </c>
      <c r="U3169">
        <v>-1.2845150000000001</v>
      </c>
      <c r="V3169">
        <v>-6.5117939999999999E-2</v>
      </c>
      <c r="W3169">
        <v>0.1179317</v>
      </c>
      <c r="X3169">
        <v>0.9908844</v>
      </c>
      <c r="Y3169">
        <v>-0.29341790000000001</v>
      </c>
      <c r="Z3169">
        <v>-9.0813639999999995E-4</v>
      </c>
      <c r="AA3169">
        <v>0.95598380000000005</v>
      </c>
      <c r="AB3169">
        <v>40</v>
      </c>
      <c r="AC3169">
        <v>-25.249099999999999</v>
      </c>
      <c r="AD3169">
        <v>-1.1150513094662</v>
      </c>
      <c r="AE3169">
        <v>-11.472099999999999</v>
      </c>
      <c r="AF3169">
        <v>-8.1847941211836499</v>
      </c>
      <c r="AG3169">
        <v>-1.1150513094662</v>
      </c>
      <c r="AH3169">
        <v>26.4509850931959</v>
      </c>
      <c r="AI3169">
        <v>92.306139554217594</v>
      </c>
      <c r="AJ3169">
        <v>107.193766204022</v>
      </c>
      <c r="AK3169">
        <v>27.710806675904902</v>
      </c>
      <c r="AL3169">
        <v>83.2272503328971</v>
      </c>
      <c r="AM3169">
        <v>93.759899722048104</v>
      </c>
      <c r="AN3169">
        <v>1.00000006306904</v>
      </c>
    </row>
    <row r="3170" spans="1:40" x14ac:dyDescent="0.3">
      <c r="A3170" t="str">
        <f>"20200111150014550"</f>
        <v>20200111150014550</v>
      </c>
      <c r="B3170" t="str">
        <f>"1578726014539346"</f>
        <v>1578726014539346</v>
      </c>
      <c r="C3170" t="s">
        <v>40</v>
      </c>
      <c r="D3170">
        <v>4.2620909999999999</v>
      </c>
      <c r="E3170">
        <v>0.40849239999999998</v>
      </c>
      <c r="F3170" t="s">
        <v>52</v>
      </c>
      <c r="G3170">
        <v>-497.72930000000002</v>
      </c>
      <c r="H3170" s="1">
        <v>4.249013E-7</v>
      </c>
      <c r="I3170">
        <v>270.9067</v>
      </c>
      <c r="J3170">
        <v>-471.31900000000002</v>
      </c>
      <c r="K3170">
        <v>1.115343</v>
      </c>
      <c r="L3170">
        <v>283.15179999999998</v>
      </c>
      <c r="M3170">
        <v>-0.99102829999999997</v>
      </c>
      <c r="N3170">
        <v>0</v>
      </c>
      <c r="O3170">
        <v>-0.13271069999999999</v>
      </c>
      <c r="P3170">
        <v>-0.97513970000000005</v>
      </c>
      <c r="Q3170">
        <v>0.1058211</v>
      </c>
      <c r="R3170">
        <v>-0.19469210000000001</v>
      </c>
      <c r="S3170">
        <v>-2.8338930000000002</v>
      </c>
      <c r="T3170">
        <v>-0.1186097</v>
      </c>
      <c r="U3170">
        <v>-1.306152</v>
      </c>
      <c r="V3170">
        <v>-6.6659350000000006E-2</v>
      </c>
      <c r="W3170">
        <v>0.11984259999999999</v>
      </c>
      <c r="X3170">
        <v>0.99055249999999995</v>
      </c>
      <c r="Y3170">
        <v>-0.29422429999999999</v>
      </c>
      <c r="Z3170">
        <v>-6.2252909999999996E-4</v>
      </c>
      <c r="AA3170">
        <v>0.95573620000000004</v>
      </c>
      <c r="AB3170">
        <v>40</v>
      </c>
      <c r="AC3170">
        <v>-26.410299999999999</v>
      </c>
      <c r="AD3170">
        <v>-1.1153425750986901</v>
      </c>
      <c r="AE3170">
        <v>-12.2450999999999</v>
      </c>
      <c r="AF3170">
        <v>-8.6187419091637594</v>
      </c>
      <c r="AG3170">
        <v>-1.1153425750986901</v>
      </c>
      <c r="AH3170">
        <v>27.7611454633001</v>
      </c>
      <c r="AI3170">
        <v>92.197347988545104</v>
      </c>
      <c r="AJ3170">
        <v>107.247509782073</v>
      </c>
      <c r="AK3170">
        <v>29.089652775361699</v>
      </c>
      <c r="AL3170">
        <v>83.116981237834693</v>
      </c>
      <c r="AM3170">
        <v>93.849921769004197</v>
      </c>
      <c r="AN3170">
        <v>0.99999998648671595</v>
      </c>
    </row>
    <row r="3171" spans="1:40" x14ac:dyDescent="0.3">
      <c r="A3171" t="str">
        <f>"20200111150014564"</f>
        <v>20200111150014564</v>
      </c>
      <c r="B3171" t="str">
        <f>"1578726014558865"</f>
        <v>1578726014558865</v>
      </c>
      <c r="C3171" t="s">
        <v>40</v>
      </c>
      <c r="D3171">
        <v>4.2756100000000004</v>
      </c>
      <c r="E3171">
        <v>0.40864159999999999</v>
      </c>
      <c r="F3171" t="s">
        <v>52</v>
      </c>
      <c r="G3171">
        <v>-498.8064</v>
      </c>
      <c r="H3171" s="1">
        <v>2.083166E-7</v>
      </c>
      <c r="I3171">
        <v>270.21940000000001</v>
      </c>
      <c r="J3171">
        <v>-471.5702</v>
      </c>
      <c r="K3171">
        <v>1.1156539999999999</v>
      </c>
      <c r="L3171">
        <v>283.11320000000001</v>
      </c>
      <c r="M3171">
        <v>-0.99000480000000002</v>
      </c>
      <c r="N3171">
        <v>0</v>
      </c>
      <c r="O3171">
        <v>-0.14013599999999901</v>
      </c>
      <c r="P3171">
        <v>-0.97308530000000004</v>
      </c>
      <c r="Q3171">
        <v>0.108172</v>
      </c>
      <c r="R3171">
        <v>-0.20347970000000001</v>
      </c>
      <c r="S3171">
        <v>-2.8236690000000002</v>
      </c>
      <c r="T3171">
        <v>-0.11457440000000001</v>
      </c>
      <c r="U3171">
        <v>-1.3284910000000001</v>
      </c>
      <c r="V3171">
        <v>-6.8361569999999997E-2</v>
      </c>
      <c r="W3171">
        <v>0.1221449</v>
      </c>
      <c r="X3171">
        <v>0.99015520000000001</v>
      </c>
      <c r="Y3171">
        <v>-0.29459629999999998</v>
      </c>
      <c r="Z3171">
        <v>-3.303383E-4</v>
      </c>
      <c r="AA3171">
        <v>0.95562179999999997</v>
      </c>
      <c r="AB3171">
        <v>40</v>
      </c>
      <c r="AC3171">
        <v>-27.2362</v>
      </c>
      <c r="AD3171">
        <v>-1.1156537916834</v>
      </c>
      <c r="AE3171">
        <v>-12.893800000000001</v>
      </c>
      <c r="AF3171">
        <v>-8.9370311921670105</v>
      </c>
      <c r="AG3171">
        <v>-1.1156537916834</v>
      </c>
      <c r="AH3171">
        <v>28.7350984777812</v>
      </c>
      <c r="AI3171">
        <v>92.123198857043704</v>
      </c>
      <c r="AJ3171">
        <v>107.276449328548</v>
      </c>
      <c r="AK3171">
        <v>30.1134703154659</v>
      </c>
      <c r="AL3171">
        <v>82.984092935216196</v>
      </c>
      <c r="AM3171">
        <v>93.949505829790496</v>
      </c>
      <c r="AN3171">
        <v>1.0000000004679499</v>
      </c>
    </row>
    <row r="3172" spans="1:40" x14ac:dyDescent="0.3">
      <c r="A3172" t="str">
        <f>"20200111150014577"</f>
        <v>20200111150014577</v>
      </c>
      <c r="B3172" t="str">
        <f>"1578726014568625"</f>
        <v>1578726014568625</v>
      </c>
      <c r="C3172" t="s">
        <v>40</v>
      </c>
      <c r="D3172">
        <v>4.2510240000000001</v>
      </c>
      <c r="E3172">
        <v>0.40872700000000001</v>
      </c>
      <c r="F3172" t="s">
        <v>42</v>
      </c>
      <c r="G3172">
        <v>-499.95780000000002</v>
      </c>
      <c r="H3172">
        <v>2.6900470000000001E-3</v>
      </c>
      <c r="I3172">
        <v>269.45429999999999</v>
      </c>
      <c r="J3172">
        <v>-471.81729999999999</v>
      </c>
      <c r="K3172">
        <v>1.1159589999999999</v>
      </c>
      <c r="L3172">
        <v>283.07310000000001</v>
      </c>
      <c r="M3172">
        <v>-0.98890829999999996</v>
      </c>
      <c r="N3172">
        <v>0</v>
      </c>
      <c r="O3172">
        <v>-0.14767040000000001</v>
      </c>
      <c r="P3172">
        <v>-0.97105940000000002</v>
      </c>
      <c r="Q3172">
        <v>0.109789899999999</v>
      </c>
      <c r="R3172">
        <v>-0.21210909999999999</v>
      </c>
      <c r="S3172">
        <v>-2.8122859999999998</v>
      </c>
      <c r="T3172">
        <v>-0.1102585</v>
      </c>
      <c r="U3172">
        <v>-1.3531489999999999</v>
      </c>
      <c r="V3172">
        <v>-6.9775050000000005E-2</v>
      </c>
      <c r="W3172">
        <v>0.1237221</v>
      </c>
      <c r="X3172">
        <v>0.98986070000000004</v>
      </c>
      <c r="Y3172">
        <v>-0.29564679999999999</v>
      </c>
      <c r="Z3172" s="1">
        <v>-6.5543219999999994E-5</v>
      </c>
      <c r="AA3172">
        <v>0.95529730000000002</v>
      </c>
      <c r="AB3172">
        <v>40</v>
      </c>
      <c r="AC3172">
        <v>-28.140499999999999</v>
      </c>
      <c r="AD3172">
        <v>-1.113268953</v>
      </c>
      <c r="AE3172">
        <v>-13.6188</v>
      </c>
      <c r="AF3172">
        <v>-9.3016123701839195</v>
      </c>
      <c r="AG3172">
        <v>-1.113268953</v>
      </c>
      <c r="AH3172">
        <v>29.805459774449101</v>
      </c>
      <c r="AI3172">
        <v>92.042029461441203</v>
      </c>
      <c r="AJ3172">
        <v>107.331966450442</v>
      </c>
      <c r="AK3172">
        <v>31.242995900092101</v>
      </c>
      <c r="AL3172">
        <v>82.893035056477501</v>
      </c>
      <c r="AM3172">
        <v>94.032096730527797</v>
      </c>
      <c r="AN3172">
        <v>0.99999996051770002</v>
      </c>
    </row>
    <row r="3173" spans="1:40" x14ac:dyDescent="0.3">
      <c r="A3173" t="str">
        <f>"20200111150014591"</f>
        <v>20200111150014591</v>
      </c>
      <c r="B3173" t="str">
        <f>"1578726014579362"</f>
        <v>1578726014579362</v>
      </c>
      <c r="C3173" t="s">
        <v>40</v>
      </c>
      <c r="D3173">
        <v>4.268554</v>
      </c>
      <c r="E3173">
        <v>0.40882810000000003</v>
      </c>
      <c r="F3173" t="s">
        <v>42</v>
      </c>
      <c r="G3173">
        <v>-499.95780000000002</v>
      </c>
      <c r="H3173">
        <v>3.9798729999999997E-2</v>
      </c>
      <c r="I3173">
        <v>269.23489999999998</v>
      </c>
      <c r="J3173">
        <v>-472.03590000000003</v>
      </c>
      <c r="K3173">
        <v>1.1162219999999901</v>
      </c>
      <c r="L3173">
        <v>283.03559999999999</v>
      </c>
      <c r="M3173">
        <v>-0.98785730000000005</v>
      </c>
      <c r="N3173">
        <v>0</v>
      </c>
      <c r="O3173">
        <v>-0.15453989999999901</v>
      </c>
      <c r="P3173">
        <v>-0.96922410000000003</v>
      </c>
      <c r="Q3173">
        <v>0.1112278</v>
      </c>
      <c r="R3173">
        <v>-0.21962090000000001</v>
      </c>
      <c r="S3173">
        <v>-2.8006899999999999</v>
      </c>
      <c r="T3173">
        <v>-0.1071054</v>
      </c>
      <c r="U3173">
        <v>-1.3772580000000001</v>
      </c>
      <c r="V3173">
        <v>-7.0706870000000005E-2</v>
      </c>
      <c r="W3173">
        <v>0.12513440000000001</v>
      </c>
      <c r="X3173">
        <v>0.98961699999999997</v>
      </c>
      <c r="Y3173">
        <v>-0.29720370000000002</v>
      </c>
      <c r="Z3173">
        <v>1.492319E-4</v>
      </c>
      <c r="AA3173">
        <v>0.9548141</v>
      </c>
      <c r="AB3173">
        <v>40</v>
      </c>
      <c r="AC3173">
        <v>-27.921899999999901</v>
      </c>
      <c r="AD3173">
        <v>-1.0764232699999901</v>
      </c>
      <c r="AE3173">
        <v>-13.800700000000001</v>
      </c>
      <c r="AF3173">
        <v>-9.3081468911883807</v>
      </c>
      <c r="AG3173">
        <v>-1.0764232699999901</v>
      </c>
      <c r="AH3173">
        <v>29.6839517699146</v>
      </c>
      <c r="AI3173">
        <v>91.981729949700096</v>
      </c>
      <c r="AJ3173">
        <v>107.410123625983</v>
      </c>
      <c r="AK3173">
        <v>31.1277573603167</v>
      </c>
      <c r="AL3173">
        <v>82.811482313514205</v>
      </c>
      <c r="AM3173">
        <v>94.086765465043101</v>
      </c>
      <c r="AN3173">
        <v>0.99999994310877605</v>
      </c>
    </row>
    <row r="3174" spans="1:40" x14ac:dyDescent="0.3">
      <c r="A3174" t="str">
        <f>"20200111150014602"</f>
        <v>20200111150014602</v>
      </c>
      <c r="B3174" t="str">
        <f>"1578726014598881"</f>
        <v>1578726014598881</v>
      </c>
      <c r="C3174" t="s">
        <v>40</v>
      </c>
      <c r="D3174">
        <v>4.2985049999999996</v>
      </c>
      <c r="E3174">
        <v>0.41467579999999998</v>
      </c>
      <c r="F3174" t="s">
        <v>42</v>
      </c>
      <c r="G3174">
        <v>-499.9796</v>
      </c>
      <c r="H3174">
        <v>7.1787729999999994E-2</v>
      </c>
      <c r="I3174">
        <v>269.03530000000001</v>
      </c>
      <c r="J3174">
        <v>-472.24900000000002</v>
      </c>
      <c r="K3174">
        <v>1.1164799999999999</v>
      </c>
      <c r="L3174">
        <v>282.99810000000002</v>
      </c>
      <c r="M3174">
        <v>-0.9867707</v>
      </c>
      <c r="N3174">
        <v>0</v>
      </c>
      <c r="O3174">
        <v>-0.1613272</v>
      </c>
      <c r="P3174">
        <v>-0.96742530000000004</v>
      </c>
      <c r="Q3174">
        <v>0.1122388</v>
      </c>
      <c r="R3174">
        <v>-0.22691649999999999</v>
      </c>
      <c r="S3174">
        <v>-2.7904360000000001</v>
      </c>
      <c r="T3174">
        <v>-0.10429670000000001</v>
      </c>
      <c r="U3174">
        <v>-1.3980709999999901</v>
      </c>
      <c r="V3174">
        <v>-7.1486830000000001E-2</v>
      </c>
      <c r="W3174">
        <v>0.12612269999999901</v>
      </c>
      <c r="X3174">
        <v>0.98943559999999997</v>
      </c>
      <c r="Y3174">
        <v>-0.297745599999999</v>
      </c>
      <c r="Z3174">
        <v>3.6803870000000002E-4</v>
      </c>
      <c r="AA3174">
        <v>0.95464519999999997</v>
      </c>
      <c r="AB3174">
        <v>40</v>
      </c>
      <c r="AC3174">
        <v>-27.7305999999999</v>
      </c>
      <c r="AD3174">
        <v>-1.0446922700000001</v>
      </c>
      <c r="AE3174">
        <v>-13.9628</v>
      </c>
      <c r="AF3174">
        <v>-9.2950543974582605</v>
      </c>
      <c r="AG3174">
        <v>-1.0446922700000001</v>
      </c>
      <c r="AH3174">
        <v>29.586633155495999</v>
      </c>
      <c r="AI3174">
        <v>91.929353944300701</v>
      </c>
      <c r="AJ3174">
        <v>107.44084030153</v>
      </c>
      <c r="AK3174">
        <v>31.029957777422101</v>
      </c>
      <c r="AL3174">
        <v>82.754405493713406</v>
      </c>
      <c r="AM3174">
        <v>94.132445736799994</v>
      </c>
      <c r="AN3174">
        <v>1.0000000544330401</v>
      </c>
    </row>
    <row r="3175" spans="1:40" x14ac:dyDescent="0.3">
      <c r="A3175" t="str">
        <f>"20200111150014616"</f>
        <v>20200111150014616</v>
      </c>
      <c r="B3175" t="str">
        <f>"1578726014608642"</f>
        <v>1578726014608642</v>
      </c>
      <c r="C3175" t="s">
        <v>40</v>
      </c>
      <c r="D3175">
        <v>4.2960560000000001</v>
      </c>
      <c r="E3175">
        <v>0.41546319999999998</v>
      </c>
      <c r="F3175" t="s">
        <v>52</v>
      </c>
      <c r="G3175">
        <v>-488.6653</v>
      </c>
      <c r="H3175" s="1">
        <v>1.7043759999999999E-6</v>
      </c>
      <c r="I3175">
        <v>274.90879999999999</v>
      </c>
      <c r="J3175">
        <v>-472.47859999999997</v>
      </c>
      <c r="K3175">
        <v>1.1167480000000001</v>
      </c>
      <c r="L3175">
        <v>282.9554</v>
      </c>
      <c r="M3175">
        <v>-0.98550890000000002</v>
      </c>
      <c r="N3175">
        <v>0</v>
      </c>
      <c r="O3175">
        <v>-0.1688595</v>
      </c>
      <c r="P3175">
        <v>-0.96565939999999995</v>
      </c>
      <c r="Q3175">
        <v>0.1123831</v>
      </c>
      <c r="R3175">
        <v>-0.23424829999999999</v>
      </c>
      <c r="S3175">
        <v>-2.7995299999999999</v>
      </c>
      <c r="T3175">
        <v>-0.1903965</v>
      </c>
      <c r="U3175">
        <v>-1.379486</v>
      </c>
      <c r="V3175">
        <v>-7.1526530000000005E-2</v>
      </c>
      <c r="W3175">
        <v>0.12626979999999999</v>
      </c>
      <c r="X3175">
        <v>0.98941389999999996</v>
      </c>
      <c r="Y3175">
        <v>-0.28395870000000001</v>
      </c>
      <c r="Z3175">
        <v>1.5847299999999999E-3</v>
      </c>
      <c r="AA3175">
        <v>0.9588352</v>
      </c>
      <c r="AB3175">
        <v>40</v>
      </c>
      <c r="AC3175">
        <v>-16.186699999999998</v>
      </c>
      <c r="AD3175">
        <v>-1.116746295624</v>
      </c>
      <c r="AE3175">
        <v>-8.0466000000000104</v>
      </c>
      <c r="AF3175">
        <v>-5.1776288354091102</v>
      </c>
      <c r="AG3175">
        <v>-1.116746295624</v>
      </c>
      <c r="AH3175">
        <v>17.2472940120829</v>
      </c>
      <c r="AI3175">
        <v>93.548650811793806</v>
      </c>
      <c r="AJ3175">
        <v>106.70972974294899</v>
      </c>
      <c r="AK3175">
        <v>18.042286811412801</v>
      </c>
      <c r="AL3175">
        <v>82.745908863301196</v>
      </c>
      <c r="AM3175">
        <v>94.134823090352199</v>
      </c>
      <c r="AN3175">
        <v>0.999999986199545</v>
      </c>
    </row>
    <row r="3176" spans="1:40" x14ac:dyDescent="0.3">
      <c r="A3176" t="str">
        <f>"20200111150014631"</f>
        <v>20200111150014631</v>
      </c>
      <c r="B3176" t="str">
        <f>"1578726014619377"</f>
        <v>1578726014619377</v>
      </c>
      <c r="C3176" t="s">
        <v>40</v>
      </c>
      <c r="D3176">
        <v>4.3010650000000004</v>
      </c>
      <c r="E3176">
        <v>0.41625499999999999</v>
      </c>
      <c r="F3176" t="s">
        <v>52</v>
      </c>
      <c r="G3176">
        <v>-488.35829999999999</v>
      </c>
      <c r="H3176" s="1">
        <v>1.6962369999999999E-6</v>
      </c>
      <c r="I3176">
        <v>275.0172</v>
      </c>
      <c r="J3176">
        <v>-472.71809999999999</v>
      </c>
      <c r="K3176">
        <v>1.1170150000000001</v>
      </c>
      <c r="L3176">
        <v>282.90890000000002</v>
      </c>
      <c r="M3176">
        <v>-0.98409800000000003</v>
      </c>
      <c r="N3176">
        <v>0</v>
      </c>
      <c r="O3176">
        <v>-0.17689279999999999</v>
      </c>
      <c r="P3176">
        <v>-0.96371759999999995</v>
      </c>
      <c r="Q3176">
        <v>0.11285820000000001</v>
      </c>
      <c r="R3176">
        <v>-0.2418921</v>
      </c>
      <c r="S3176">
        <v>-2.7910460000000001</v>
      </c>
      <c r="T3176">
        <v>-0.19628100000000001</v>
      </c>
      <c r="U3176">
        <v>-1.3952329999999999</v>
      </c>
      <c r="V3176">
        <v>-7.1405540000000003E-2</v>
      </c>
      <c r="W3176">
        <v>0.12675410000000001</v>
      </c>
      <c r="X3176">
        <v>0.98936069999999998</v>
      </c>
      <c r="Y3176">
        <v>-0.28163589999999999</v>
      </c>
      <c r="Z3176">
        <v>2.2281150000000001E-3</v>
      </c>
      <c r="AA3176">
        <v>0.95951880000000001</v>
      </c>
      <c r="AB3176">
        <v>40</v>
      </c>
      <c r="AC3176">
        <v>-15.640199999999901</v>
      </c>
      <c r="AD3176">
        <v>-1.1170133037629999</v>
      </c>
      <c r="AE3176">
        <v>-7.8917000000000099</v>
      </c>
      <c r="AF3176">
        <v>-4.9799709577696598</v>
      </c>
      <c r="AG3176">
        <v>-1.1170133037629999</v>
      </c>
      <c r="AH3176">
        <v>16.721673747992099</v>
      </c>
      <c r="AI3176">
        <v>93.663161099624304</v>
      </c>
      <c r="AJ3176">
        <v>106.584338801865</v>
      </c>
      <c r="AK3176">
        <v>17.483197716530601</v>
      </c>
      <c r="AL3176">
        <v>82.717935664643804</v>
      </c>
      <c r="AM3176">
        <v>94.128074264175396</v>
      </c>
      <c r="AN3176">
        <v>0.99999997385699502</v>
      </c>
    </row>
    <row r="3177" spans="1:40" x14ac:dyDescent="0.3">
      <c r="A3177" t="str">
        <f>"20200111150014647"</f>
        <v>20200111150014647</v>
      </c>
      <c r="B3177" t="str">
        <f>"1578726014639168"</f>
        <v>1578726014639168</v>
      </c>
      <c r="C3177" t="s">
        <v>40</v>
      </c>
      <c r="D3177">
        <v>4.3138870000000002</v>
      </c>
      <c r="E3177">
        <v>0.41611949999999998</v>
      </c>
      <c r="F3177" t="s">
        <v>52</v>
      </c>
      <c r="G3177">
        <v>-488.13749999999999</v>
      </c>
      <c r="H3177" s="1">
        <v>1.688507E-6</v>
      </c>
      <c r="I3177">
        <v>275.08460000000002</v>
      </c>
      <c r="J3177">
        <v>-473.01280000000003</v>
      </c>
      <c r="K3177">
        <v>1.1173409999999999</v>
      </c>
      <c r="L3177">
        <v>282.84910000000002</v>
      </c>
      <c r="M3177">
        <v>-0.98222609999999999</v>
      </c>
      <c r="N3177">
        <v>0</v>
      </c>
      <c r="O3177">
        <v>-0.18700220000000001</v>
      </c>
      <c r="P3177">
        <v>-0.96114129999999998</v>
      </c>
      <c r="Q3177">
        <v>0.11504589999999899</v>
      </c>
      <c r="R3177">
        <v>-0.25094240000000001</v>
      </c>
      <c r="S3177">
        <v>-2.7821660000000001</v>
      </c>
      <c r="T3177">
        <v>-0.20154610000000001</v>
      </c>
      <c r="U3177">
        <v>-1.4117740000000001</v>
      </c>
      <c r="V3177">
        <v>-7.0753940000000001E-2</v>
      </c>
      <c r="W3177">
        <v>0.12896879999999999</v>
      </c>
      <c r="X3177">
        <v>0.98912129999999998</v>
      </c>
      <c r="Y3177">
        <v>-0.27755609999999997</v>
      </c>
      <c r="Z3177">
        <v>3.0953809999999999E-3</v>
      </c>
      <c r="AA3177">
        <v>0.96070440000000001</v>
      </c>
      <c r="AB3177">
        <v>40</v>
      </c>
      <c r="AC3177">
        <v>-15.124699999999899</v>
      </c>
      <c r="AD3177">
        <v>-1.1173393114929999</v>
      </c>
      <c r="AE3177">
        <v>-7.7644999999999902</v>
      </c>
      <c r="AF3177">
        <v>-4.7781333669412698</v>
      </c>
      <c r="AG3177">
        <v>-1.1173393114929999</v>
      </c>
      <c r="AH3177">
        <v>16.239847348937602</v>
      </c>
      <c r="AI3177">
        <v>93.776313176364297</v>
      </c>
      <c r="AJ3177">
        <v>106.395085339971</v>
      </c>
      <c r="AK3177">
        <v>16.965012452871399</v>
      </c>
      <c r="AL3177">
        <v>82.589992778469494</v>
      </c>
      <c r="AM3177">
        <v>94.091519313194496</v>
      </c>
      <c r="AN3177">
        <v>1.0000000087563199</v>
      </c>
    </row>
    <row r="3178" spans="1:40" x14ac:dyDescent="0.3">
      <c r="A3178" t="str">
        <f>"20200111150014661"</f>
        <v>20200111150014661</v>
      </c>
      <c r="B3178" t="str">
        <f>"1578726014658677"</f>
        <v>1578726014658677</v>
      </c>
      <c r="C3178" t="s">
        <v>40</v>
      </c>
      <c r="D3178">
        <v>4.450812</v>
      </c>
      <c r="E3178">
        <v>0.41630329999999899</v>
      </c>
      <c r="F3178" t="s">
        <v>52</v>
      </c>
      <c r="G3178">
        <v>-488.44639999999998</v>
      </c>
      <c r="H3178" s="1">
        <v>1.670625E-6</v>
      </c>
      <c r="I3178">
        <v>274.82749999999999</v>
      </c>
      <c r="J3178">
        <v>-473.25709999999998</v>
      </c>
      <c r="K3178">
        <v>1.1176090000000001</v>
      </c>
      <c r="L3178">
        <v>282.79739999999998</v>
      </c>
      <c r="M3178">
        <v>-0.98055950000000003</v>
      </c>
      <c r="N3178">
        <v>0</v>
      </c>
      <c r="O3178">
        <v>-0.19554830000000001</v>
      </c>
      <c r="P3178">
        <v>-0.95899319999999999</v>
      </c>
      <c r="Q3178">
        <v>0.1163069</v>
      </c>
      <c r="R3178">
        <v>-0.25846639999999999</v>
      </c>
      <c r="S3178">
        <v>-2.7694399999999999</v>
      </c>
      <c r="T3178">
        <v>-0.2004988</v>
      </c>
      <c r="U3178">
        <v>-1.4394229999999999</v>
      </c>
      <c r="V3178">
        <v>-7.0045860000000001E-2</v>
      </c>
      <c r="W3178">
        <v>0.1302596</v>
      </c>
      <c r="X3178">
        <v>0.98900250000000001</v>
      </c>
      <c r="Y3178">
        <v>-0.27856880000000001</v>
      </c>
      <c r="Z3178">
        <v>3.607818E-3</v>
      </c>
      <c r="AA3178">
        <v>0.96040950000000003</v>
      </c>
      <c r="AB3178">
        <v>40</v>
      </c>
      <c r="AC3178">
        <v>-15.189299999999999</v>
      </c>
      <c r="AD3178">
        <v>-1.117607329375</v>
      </c>
      <c r="AE3178">
        <v>-7.9698999999999902</v>
      </c>
      <c r="AF3178">
        <v>-4.8248768576375003</v>
      </c>
      <c r="AG3178">
        <v>-1.117607329375</v>
      </c>
      <c r="AH3178">
        <v>16.385128282976702</v>
      </c>
      <c r="AI3178">
        <v>93.743574095059103</v>
      </c>
      <c r="AJ3178">
        <v>106.40795264591399</v>
      </c>
      <c r="AK3178">
        <v>17.117269399166499</v>
      </c>
      <c r="AL3178">
        <v>82.515405880490306</v>
      </c>
      <c r="AM3178">
        <v>94.051194802984597</v>
      </c>
      <c r="AN3178">
        <v>0.99999996545077396</v>
      </c>
    </row>
    <row r="3179" spans="1:40" x14ac:dyDescent="0.3">
      <c r="A3179" t="str">
        <f>"20200111150014676"</f>
        <v>20200111150014676</v>
      </c>
      <c r="B3179" t="str">
        <f>"1578726014669414"</f>
        <v>1578726014669414</v>
      </c>
      <c r="C3179" t="s">
        <v>40</v>
      </c>
      <c r="D3179">
        <v>4.3453049999999998</v>
      </c>
      <c r="E3179">
        <v>0.41631669999999998</v>
      </c>
      <c r="F3179" t="s">
        <v>52</v>
      </c>
      <c r="G3179">
        <v>-489.1112</v>
      </c>
      <c r="H3179" s="1">
        <v>1.6190910000000001E-6</v>
      </c>
      <c r="I3179">
        <v>274.40890000000002</v>
      </c>
      <c r="J3179">
        <v>-473.49979999999999</v>
      </c>
      <c r="K3179">
        <v>1.1178650000000001</v>
      </c>
      <c r="L3179">
        <v>282.74310000000003</v>
      </c>
      <c r="M3179">
        <v>-0.97878010000000004</v>
      </c>
      <c r="N3179">
        <v>0</v>
      </c>
      <c r="O3179">
        <v>-0.20426459999999999</v>
      </c>
      <c r="P3179">
        <v>-0.95664539999999998</v>
      </c>
      <c r="Q3179">
        <v>0.1175393</v>
      </c>
      <c r="R3179">
        <v>-0.26648579999999999</v>
      </c>
      <c r="S3179">
        <v>-2.7585139999999999</v>
      </c>
      <c r="T3179">
        <v>-0.19445680000000001</v>
      </c>
      <c r="U3179">
        <v>-1.4595340000000001</v>
      </c>
      <c r="V3179">
        <v>-6.9679089999999999E-2</v>
      </c>
      <c r="W3179">
        <v>0.1315152</v>
      </c>
      <c r="X3179">
        <v>0.98886229999999997</v>
      </c>
      <c r="Y3179">
        <v>-0.27709470000000003</v>
      </c>
      <c r="Z3179">
        <v>4.105755E-3</v>
      </c>
      <c r="AA3179">
        <v>0.96083379999999996</v>
      </c>
      <c r="AB3179">
        <v>40</v>
      </c>
      <c r="AC3179">
        <v>-15.6114</v>
      </c>
      <c r="AD3179">
        <v>-1.1178633809089999</v>
      </c>
      <c r="AE3179">
        <v>-8.3342000000000098</v>
      </c>
      <c r="AF3179">
        <v>-4.94940347094711</v>
      </c>
      <c r="AG3179">
        <v>-1.1178633809089999</v>
      </c>
      <c r="AH3179">
        <v>16.917261810574601</v>
      </c>
      <c r="AI3179">
        <v>93.628826827416702</v>
      </c>
      <c r="AJ3179">
        <v>106.307643530281</v>
      </c>
      <c r="AK3179">
        <v>17.661822115063</v>
      </c>
      <c r="AL3179">
        <v>82.442841569638702</v>
      </c>
      <c r="AM3179">
        <v>94.030621748348196</v>
      </c>
      <c r="AN3179">
        <v>1.0000000358877701</v>
      </c>
    </row>
    <row r="3180" spans="1:40" x14ac:dyDescent="0.3">
      <c r="A3180" t="str">
        <f>"20200111150014688"</f>
        <v>20200111150014688</v>
      </c>
      <c r="B3180" t="str">
        <f>"1578726014679175"</f>
        <v>1578726014679175</v>
      </c>
      <c r="C3180" t="s">
        <v>40</v>
      </c>
      <c r="D3180">
        <v>4.3269120000000001</v>
      </c>
      <c r="E3180">
        <v>0.41636889999999999</v>
      </c>
      <c r="F3180" t="s">
        <v>52</v>
      </c>
      <c r="G3180">
        <v>-489.38440000000003</v>
      </c>
      <c r="H3180" s="1">
        <v>1.5568610000000001E-6</v>
      </c>
      <c r="I3180">
        <v>274.16430000000003</v>
      </c>
      <c r="J3180">
        <v>-473.71730000000002</v>
      </c>
      <c r="K3180">
        <v>1.118088</v>
      </c>
      <c r="L3180">
        <v>282.69260000000003</v>
      </c>
      <c r="M3180">
        <v>-0.97708859999999997</v>
      </c>
      <c r="N3180">
        <v>0</v>
      </c>
      <c r="O3180">
        <v>-0.212204</v>
      </c>
      <c r="P3180">
        <v>-0.954538</v>
      </c>
      <c r="Q3180">
        <v>0.118133</v>
      </c>
      <c r="R3180">
        <v>-0.27368199999999998</v>
      </c>
      <c r="S3180">
        <v>-2.746521</v>
      </c>
      <c r="T3180">
        <v>-0.1932837</v>
      </c>
      <c r="U3180">
        <v>-1.4833069999999999</v>
      </c>
      <c r="V3180">
        <v>-6.9204600000000005E-2</v>
      </c>
      <c r="W3180">
        <v>0.13213629999999901</v>
      </c>
      <c r="X3180">
        <v>0.98881280000000005</v>
      </c>
      <c r="Y3180">
        <v>-0.27750419999999998</v>
      </c>
      <c r="Z3180">
        <v>4.5730420000000003E-3</v>
      </c>
      <c r="AA3180">
        <v>0.96071359999999995</v>
      </c>
      <c r="AB3180">
        <v>40</v>
      </c>
      <c r="AC3180">
        <v>-15.6671</v>
      </c>
      <c r="AD3180">
        <v>-1.1180864431389901</v>
      </c>
      <c r="AE3180">
        <v>-8.5282999999999998</v>
      </c>
      <c r="AF3180">
        <v>-4.9893506255183802</v>
      </c>
      <c r="AG3180">
        <v>-1.1180864431389901</v>
      </c>
      <c r="AH3180">
        <v>17.053173510245699</v>
      </c>
      <c r="AI3180">
        <v>93.600687898051305</v>
      </c>
      <c r="AJ3180">
        <v>106.308213334353</v>
      </c>
      <c r="AK3180">
        <v>17.803214982952898</v>
      </c>
      <c r="AL3180">
        <v>82.406941709149095</v>
      </c>
      <c r="AM3180">
        <v>94.003463934665604</v>
      </c>
      <c r="AN3180">
        <v>1.00000001594134</v>
      </c>
    </row>
    <row r="3181" spans="1:40" x14ac:dyDescent="0.3">
      <c r="A3181" t="str">
        <f>"20200111150014702"</f>
        <v>20200111150014702</v>
      </c>
      <c r="B3181" t="str">
        <f>"1578726014698694"</f>
        <v>1578726014698694</v>
      </c>
      <c r="C3181" t="s">
        <v>40</v>
      </c>
      <c r="D3181">
        <v>4.3005630000000004</v>
      </c>
      <c r="E3181">
        <v>0.41689320000000002</v>
      </c>
      <c r="F3181" t="s">
        <v>52</v>
      </c>
      <c r="G3181">
        <v>-489.58199999999999</v>
      </c>
      <c r="H3181" s="1">
        <v>1.5065859999999999E-6</v>
      </c>
      <c r="I3181">
        <v>273.97250000000003</v>
      </c>
      <c r="J3181">
        <v>-473.9479</v>
      </c>
      <c r="K3181">
        <v>1.118314</v>
      </c>
      <c r="L3181">
        <v>282.63749999999999</v>
      </c>
      <c r="M3181">
        <v>-0.97519880000000003</v>
      </c>
      <c r="N3181">
        <v>0</v>
      </c>
      <c r="O3181">
        <v>-0.22072249999999999</v>
      </c>
      <c r="P3181">
        <v>-0.95226230000000001</v>
      </c>
      <c r="Q3181">
        <v>0.11821329999999999</v>
      </c>
      <c r="R3181">
        <v>-0.28146490000000002</v>
      </c>
      <c r="S3181">
        <v>-2.7356259999999999</v>
      </c>
      <c r="T3181">
        <v>-0.19279650000000001</v>
      </c>
      <c r="U3181">
        <v>-1.5036320000000001</v>
      </c>
      <c r="V3181">
        <v>-6.8727369999999996E-2</v>
      </c>
      <c r="W3181">
        <v>0.132245899999999</v>
      </c>
      <c r="X3181">
        <v>0.98883140000000003</v>
      </c>
      <c r="Y3181">
        <v>-0.27623550000000002</v>
      </c>
      <c r="Z3181">
        <v>5.1439839999999999E-3</v>
      </c>
      <c r="AA3181">
        <v>0.96107620000000005</v>
      </c>
      <c r="AB3181">
        <v>40</v>
      </c>
      <c r="AC3181">
        <v>-15.634099999999901</v>
      </c>
      <c r="AD3181">
        <v>-1.1183124934140001</v>
      </c>
      <c r="AE3181">
        <v>-8.6649999999999601</v>
      </c>
      <c r="AF3181">
        <v>-4.9804775031019402</v>
      </c>
      <c r="AG3181">
        <v>-1.1183124934140001</v>
      </c>
      <c r="AH3181">
        <v>17.094312368865499</v>
      </c>
      <c r="AI3181">
        <v>93.5939489658561</v>
      </c>
      <c r="AJ3181">
        <v>106.24363530665001</v>
      </c>
      <c r="AK3181">
        <v>17.840159594470599</v>
      </c>
      <c r="AL3181">
        <v>82.400606247874904</v>
      </c>
      <c r="AM3181">
        <v>93.975870632998095</v>
      </c>
      <c r="AN3181">
        <v>0.99999998353994302</v>
      </c>
    </row>
    <row r="3182" spans="1:40" x14ac:dyDescent="0.3">
      <c r="A3182" t="str">
        <f>"20200111150014716"</f>
        <v>20200111150014716</v>
      </c>
      <c r="B3182" t="str">
        <f>"1578726014709429"</f>
        <v>1578726014709429</v>
      </c>
      <c r="C3182" t="s">
        <v>40</v>
      </c>
      <c r="D3182">
        <v>4.3725199999999997</v>
      </c>
      <c r="E3182">
        <v>0.41689320000000002</v>
      </c>
      <c r="F3182" t="s">
        <v>52</v>
      </c>
      <c r="G3182">
        <v>-489.1927</v>
      </c>
      <c r="H3182" s="1">
        <v>1.525021E-6</v>
      </c>
      <c r="I3182">
        <v>274.12240000000003</v>
      </c>
      <c r="J3182">
        <v>-474.17579999999998</v>
      </c>
      <c r="K3182">
        <v>1.1185240000000001</v>
      </c>
      <c r="L3182">
        <v>282.5804</v>
      </c>
      <c r="M3182">
        <v>-0.97321329999999995</v>
      </c>
      <c r="N3182">
        <v>0</v>
      </c>
      <c r="O3182">
        <v>-0.22931470000000001</v>
      </c>
      <c r="P3182">
        <v>-0.94999549999999999</v>
      </c>
      <c r="Q3182">
        <v>0.1174125</v>
      </c>
      <c r="R3182">
        <v>-0.28934890000000002</v>
      </c>
      <c r="S3182">
        <v>-2.72525</v>
      </c>
      <c r="T3182">
        <v>-0.1999165</v>
      </c>
      <c r="U3182">
        <v>-1.5222169999999999</v>
      </c>
      <c r="V3182">
        <v>-6.8225140000000004E-2</v>
      </c>
      <c r="W3182">
        <v>0.13147919999999999</v>
      </c>
      <c r="X3182">
        <v>0.98896839999999997</v>
      </c>
      <c r="Y3182">
        <v>-0.27432400000000001</v>
      </c>
      <c r="Z3182">
        <v>5.9644429999999998E-3</v>
      </c>
      <c r="AA3182">
        <v>0.9616188</v>
      </c>
      <c r="AB3182">
        <v>39</v>
      </c>
      <c r="AC3182">
        <v>-15.0169</v>
      </c>
      <c r="AD3182">
        <v>-1.1185224749789999</v>
      </c>
      <c r="AE3182">
        <v>-8.45799999999997</v>
      </c>
      <c r="AF3182">
        <v>-4.7684066518329198</v>
      </c>
      <c r="AG3182">
        <v>-1.1185224749789999</v>
      </c>
      <c r="AH3182">
        <v>16.4869913047152</v>
      </c>
      <c r="AI3182">
        <v>93.728788648089306</v>
      </c>
      <c r="AJ3182">
        <v>106.13105178892199</v>
      </c>
      <c r="AK3182">
        <v>17.1991184892143</v>
      </c>
      <c r="AL3182">
        <v>82.444921807384205</v>
      </c>
      <c r="AM3182">
        <v>93.9463638168248</v>
      </c>
      <c r="AN3182">
        <v>0.99999997297960896</v>
      </c>
    </row>
    <row r="3183" spans="1:40" x14ac:dyDescent="0.3">
      <c r="A3183" t="str">
        <f>"20200111150014729"</f>
        <v>20200111150014729</v>
      </c>
      <c r="B3183" t="str">
        <f>"1578726014719189"</f>
        <v>1578726014719189</v>
      </c>
      <c r="C3183" t="s">
        <v>40</v>
      </c>
      <c r="D3183">
        <v>4.3907920000000003</v>
      </c>
      <c r="E3183">
        <v>0.41738690000000001</v>
      </c>
      <c r="F3183" t="s">
        <v>52</v>
      </c>
      <c r="G3183">
        <v>-489.13529999999997</v>
      </c>
      <c r="H3183" s="1">
        <v>1.49907E-6</v>
      </c>
      <c r="I3183">
        <v>274.0634</v>
      </c>
      <c r="J3183">
        <v>-474.3965</v>
      </c>
      <c r="K3183">
        <v>1.1187149999999999</v>
      </c>
      <c r="L3183">
        <v>282.52300000000002</v>
      </c>
      <c r="M3183">
        <v>-0.97118610000000005</v>
      </c>
      <c r="N3183">
        <v>0</v>
      </c>
      <c r="O3183">
        <v>-0.23775099999999999</v>
      </c>
      <c r="P3183">
        <v>-0.94743219999999995</v>
      </c>
      <c r="Q3183">
        <v>0.117484199999999</v>
      </c>
      <c r="R3183">
        <v>-0.2976067</v>
      </c>
      <c r="S3183">
        <v>-2.7125849999999998</v>
      </c>
      <c r="T3183">
        <v>-0.2028201</v>
      </c>
      <c r="U3183">
        <v>-1.544373</v>
      </c>
      <c r="V3183">
        <v>-6.8322469999999996E-2</v>
      </c>
      <c r="W3183">
        <v>0.13156289999999901</v>
      </c>
      <c r="X3183">
        <v>0.98895060000000001</v>
      </c>
      <c r="Y3183">
        <v>-0.27385599999999999</v>
      </c>
      <c r="Z3183">
        <v>6.6328269999999896E-3</v>
      </c>
      <c r="AA3183">
        <v>0.96174780000000004</v>
      </c>
      <c r="AB3183">
        <v>39</v>
      </c>
      <c r="AC3183">
        <v>-14.7387999999999</v>
      </c>
      <c r="AD3183">
        <v>-1.11871350093</v>
      </c>
      <c r="AE3183">
        <v>-8.4595999999999592</v>
      </c>
      <c r="AF3183">
        <v>-4.6919894358853202</v>
      </c>
      <c r="AG3183">
        <v>-1.11871350093</v>
      </c>
      <c r="AH3183">
        <v>16.257165498614398</v>
      </c>
      <c r="AI3183">
        <v>93.782609460517307</v>
      </c>
      <c r="AJ3183">
        <v>106.09869778605901</v>
      </c>
      <c r="AK3183">
        <v>16.9576447307095</v>
      </c>
      <c r="AL3183">
        <v>82.440084507021695</v>
      </c>
      <c r="AM3183">
        <v>93.952046779384204</v>
      </c>
      <c r="AN3183">
        <v>1.00000002290183</v>
      </c>
    </row>
    <row r="3184" spans="1:40" x14ac:dyDescent="0.3">
      <c r="A3184" t="str">
        <f>"20200111150014747"</f>
        <v>20200111150014747</v>
      </c>
      <c r="B3184" t="str">
        <f>"1578726014739027"</f>
        <v>1578726014739027</v>
      </c>
      <c r="C3184" t="s">
        <v>40</v>
      </c>
      <c r="D3184">
        <v>4.3958930000000001</v>
      </c>
      <c r="E3184">
        <v>0.4179987</v>
      </c>
      <c r="F3184" t="s">
        <v>52</v>
      </c>
      <c r="G3184">
        <v>-488.60910000000001</v>
      </c>
      <c r="H3184" s="1">
        <v>1.5321290000000001E-6</v>
      </c>
      <c r="I3184">
        <v>274.28890000000001</v>
      </c>
      <c r="J3184">
        <v>-474.70979999999997</v>
      </c>
      <c r="K3184">
        <v>1.1189800000000001</v>
      </c>
      <c r="L3184">
        <v>282.43830000000003</v>
      </c>
      <c r="M3184">
        <v>-0.96812949999999998</v>
      </c>
      <c r="N3184">
        <v>0</v>
      </c>
      <c r="O3184">
        <v>-0.2499015</v>
      </c>
      <c r="P3184">
        <v>-0.94284489999999999</v>
      </c>
      <c r="Q3184">
        <v>0.1195866</v>
      </c>
      <c r="R3184">
        <v>-0.31103429999999999</v>
      </c>
      <c r="S3184">
        <v>-2.7012330000000002</v>
      </c>
      <c r="T3184">
        <v>-0.2126218</v>
      </c>
      <c r="U3184">
        <v>-1.564972</v>
      </c>
      <c r="V3184">
        <v>-7.0210369999999994E-2</v>
      </c>
      <c r="W3184">
        <v>0.13361700000000001</v>
      </c>
      <c r="X3184">
        <v>0.9885429</v>
      </c>
      <c r="Y3184">
        <v>-0.26907520000000001</v>
      </c>
      <c r="Z3184">
        <v>7.9740579999999991E-3</v>
      </c>
      <c r="AA3184">
        <v>0.9630862</v>
      </c>
      <c r="AB3184">
        <v>39</v>
      </c>
      <c r="AC3184">
        <v>-13.8993</v>
      </c>
      <c r="AD3184">
        <v>-1.118978467871</v>
      </c>
      <c r="AE3184">
        <v>-8.1494000000000106</v>
      </c>
      <c r="AF3184">
        <v>-4.3956240262646098</v>
      </c>
      <c r="AG3184">
        <v>-1.118978467871</v>
      </c>
      <c r="AH3184">
        <v>15.4206201666194</v>
      </c>
      <c r="AI3184">
        <v>93.991861271222007</v>
      </c>
      <c r="AJ3184">
        <v>105.910119852447</v>
      </c>
      <c r="AK3184">
        <v>16.0738654254347</v>
      </c>
      <c r="AL3184">
        <v>82.321344941715395</v>
      </c>
      <c r="AM3184">
        <v>94.062559262207401</v>
      </c>
      <c r="AN3184">
        <v>1.00000003194247</v>
      </c>
    </row>
    <row r="3185" spans="1:40" x14ac:dyDescent="0.3">
      <c r="A3185" t="str">
        <f>"20200111150014759"</f>
        <v>20200111150014759</v>
      </c>
      <c r="B3185" t="str">
        <f>"1578726014748768"</f>
        <v>1578726014748768</v>
      </c>
      <c r="C3185" t="s">
        <v>40</v>
      </c>
      <c r="D3185">
        <v>4.2847850000000003</v>
      </c>
      <c r="E3185">
        <v>0.41842639999999998</v>
      </c>
      <c r="F3185" t="s">
        <v>52</v>
      </c>
      <c r="G3185">
        <v>-488.73360000000002</v>
      </c>
      <c r="H3185" s="1">
        <v>1.46936E-6</v>
      </c>
      <c r="I3185">
        <v>274.08010000000002</v>
      </c>
      <c r="J3185">
        <v>-474.91399999999999</v>
      </c>
      <c r="K3185">
        <v>1.119146</v>
      </c>
      <c r="L3185">
        <v>282.38139999999999</v>
      </c>
      <c r="M3185">
        <v>-0.96602730000000003</v>
      </c>
      <c r="N3185">
        <v>0</v>
      </c>
      <c r="O3185">
        <v>-0.25790590000000002</v>
      </c>
      <c r="P3185">
        <v>-0.93937159999999997</v>
      </c>
      <c r="Q3185">
        <v>0.1217143</v>
      </c>
      <c r="R3185">
        <v>-0.32057249999999998</v>
      </c>
      <c r="S3185">
        <v>-2.681702</v>
      </c>
      <c r="T3185">
        <v>-0.213977</v>
      </c>
      <c r="U3185">
        <v>-1.5982970000000001</v>
      </c>
      <c r="V3185">
        <v>-7.2251099999999999E-2</v>
      </c>
      <c r="W3185">
        <v>0.13567989999999999</v>
      </c>
      <c r="X3185">
        <v>0.98811479999999996</v>
      </c>
      <c r="Y3185">
        <v>-0.27302549999999998</v>
      </c>
      <c r="Z3185">
        <v>8.4540610000000006E-3</v>
      </c>
      <c r="AA3185">
        <v>0.96196959999999998</v>
      </c>
      <c r="AB3185">
        <v>39</v>
      </c>
      <c r="AC3185">
        <v>-13.819599999999999</v>
      </c>
      <c r="AD3185">
        <v>-1.1191445306399901</v>
      </c>
      <c r="AE3185">
        <v>-8.3012999999999693</v>
      </c>
      <c r="AF3185">
        <v>-4.4343702820306596</v>
      </c>
      <c r="AG3185">
        <v>-1.1191445306399901</v>
      </c>
      <c r="AH3185">
        <v>15.418894560713399</v>
      </c>
      <c r="AI3185">
        <v>93.990217819657801</v>
      </c>
      <c r="AJ3185">
        <v>106.044879086968</v>
      </c>
      <c r="AK3185">
        <v>16.0828614914453</v>
      </c>
      <c r="AL3185">
        <v>82.2020634117128</v>
      </c>
      <c r="AM3185">
        <v>94.182033291892296</v>
      </c>
      <c r="AN3185">
        <v>1.0000000573471199</v>
      </c>
    </row>
    <row r="3186" spans="1:40" x14ac:dyDescent="0.3">
      <c r="A3186" t="str">
        <f>"20200111150014773"</f>
        <v>20200111150014773</v>
      </c>
      <c r="B3186" t="str">
        <f>"1578726014769265"</f>
        <v>1578726014769265</v>
      </c>
      <c r="C3186" t="s">
        <v>40</v>
      </c>
      <c r="D3186">
        <v>4.2815180000000002</v>
      </c>
      <c r="E3186">
        <v>0.4191474</v>
      </c>
      <c r="F3186" t="s">
        <v>52</v>
      </c>
      <c r="G3186">
        <v>-489.00839999999999</v>
      </c>
      <c r="H3186" s="1">
        <v>1.398737E-6</v>
      </c>
      <c r="I3186">
        <v>273.81139999999999</v>
      </c>
      <c r="J3186">
        <v>-475.12060000000002</v>
      </c>
      <c r="K3186">
        <v>1.119302</v>
      </c>
      <c r="L3186">
        <v>282.32080000000002</v>
      </c>
      <c r="M3186">
        <v>-0.96379009999999998</v>
      </c>
      <c r="N3186">
        <v>0</v>
      </c>
      <c r="O3186">
        <v>-0.2661424</v>
      </c>
      <c r="P3186">
        <v>-0.93550350000000004</v>
      </c>
      <c r="Q3186">
        <v>0.1238017</v>
      </c>
      <c r="R3186">
        <v>-0.3309184</v>
      </c>
      <c r="S3186">
        <v>-2.6675420000000001</v>
      </c>
      <c r="T3186">
        <v>-0.21181169999999999</v>
      </c>
      <c r="U3186">
        <v>-1.6219790000000001</v>
      </c>
      <c r="V3186">
        <v>-7.4925969999999995E-2</v>
      </c>
      <c r="W3186">
        <v>0.13768079999999999</v>
      </c>
      <c r="X3186">
        <v>0.98763869999999998</v>
      </c>
      <c r="Y3186">
        <v>-0.27333359999999901</v>
      </c>
      <c r="Z3186">
        <v>8.9370979999999992E-3</v>
      </c>
      <c r="AA3186">
        <v>0.96187780000000001</v>
      </c>
      <c r="AB3186">
        <v>39</v>
      </c>
      <c r="AC3186">
        <v>-13.887799999999899</v>
      </c>
      <c r="AD3186">
        <v>-1.119300601263</v>
      </c>
      <c r="AE3186">
        <v>-8.5094000000000207</v>
      </c>
      <c r="AF3186">
        <v>-4.4845876204029702</v>
      </c>
      <c r="AG3186">
        <v>-1.119300601263</v>
      </c>
      <c r="AH3186">
        <v>15.578232327437901</v>
      </c>
      <c r="AI3186">
        <v>93.949788769205497</v>
      </c>
      <c r="AJ3186">
        <v>106.05980043610801</v>
      </c>
      <c r="AK3186">
        <v>16.249482527412699</v>
      </c>
      <c r="AL3186">
        <v>82.086334140314904</v>
      </c>
      <c r="AM3186">
        <v>94.338362243422495</v>
      </c>
      <c r="AN3186">
        <v>1.0000000527033801</v>
      </c>
    </row>
    <row r="3187" spans="1:40" x14ac:dyDescent="0.3">
      <c r="A3187" t="str">
        <f>"20200111150014784"</f>
        <v>20200111150014784</v>
      </c>
      <c r="B3187" t="str">
        <f>"1578726014779025"</f>
        <v>1578726014779025</v>
      </c>
      <c r="C3187" t="s">
        <v>40</v>
      </c>
      <c r="D3187">
        <v>4.2670159999999999</v>
      </c>
      <c r="E3187">
        <v>0.41963650000000002</v>
      </c>
      <c r="F3187" t="s">
        <v>52</v>
      </c>
      <c r="G3187">
        <v>-489.27350000000001</v>
      </c>
      <c r="H3187" s="1">
        <v>1.3259909999999901E-6</v>
      </c>
      <c r="I3187">
        <v>273.53910000000002</v>
      </c>
      <c r="J3187">
        <v>-475.32319999999999</v>
      </c>
      <c r="K3187">
        <v>1.1194500000000001</v>
      </c>
      <c r="L3187">
        <v>282.26029999999997</v>
      </c>
      <c r="M3187">
        <v>-0.961511</v>
      </c>
      <c r="N3187">
        <v>0</v>
      </c>
      <c r="O3187">
        <v>-0.27425899999999998</v>
      </c>
      <c r="P3187">
        <v>-0.93151899999999999</v>
      </c>
      <c r="Q3187">
        <v>0.12510940000000001</v>
      </c>
      <c r="R3187">
        <v>-0.34149629999999997</v>
      </c>
      <c r="S3187">
        <v>-2.6524350000000001</v>
      </c>
      <c r="T3187">
        <v>-0.20977090000000001</v>
      </c>
      <c r="U3187">
        <v>-1.645813</v>
      </c>
      <c r="V3187">
        <v>-7.7940510000000005E-2</v>
      </c>
      <c r="W3187">
        <v>0.13888689999999901</v>
      </c>
      <c r="X3187">
        <v>0.98723640000000001</v>
      </c>
      <c r="Y3187">
        <v>-0.27393289999999998</v>
      </c>
      <c r="Z3187">
        <v>9.3979530000000006E-3</v>
      </c>
      <c r="AA3187">
        <v>0.96170290000000003</v>
      </c>
      <c r="AB3187">
        <v>39</v>
      </c>
      <c r="AC3187">
        <v>-13.9503</v>
      </c>
      <c r="AD3187">
        <v>-1.1194486740089999</v>
      </c>
      <c r="AE3187">
        <v>-8.7211999999999499</v>
      </c>
      <c r="AF3187">
        <v>-4.5391540252921097</v>
      </c>
      <c r="AG3187">
        <v>-1.1194486740089999</v>
      </c>
      <c r="AH3187">
        <v>15.734587656152</v>
      </c>
      <c r="AI3187">
        <v>93.910547666594695</v>
      </c>
      <c r="AJ3187">
        <v>106.091927921047</v>
      </c>
      <c r="AK3187">
        <v>16.4144550110016</v>
      </c>
      <c r="AL3187">
        <v>82.016558938997406</v>
      </c>
      <c r="AM3187">
        <v>94.5140342657198</v>
      </c>
      <c r="AN3187">
        <v>1.0000000017878099</v>
      </c>
    </row>
    <row r="3188" spans="1:40" x14ac:dyDescent="0.3">
      <c r="A3188" t="str">
        <f>"20200111150014798"</f>
        <v>20200111150014798</v>
      </c>
      <c r="B3188" t="str">
        <f>"1578726014788784"</f>
        <v>1578726014788784</v>
      </c>
      <c r="C3188" t="s">
        <v>40</v>
      </c>
      <c r="D3188">
        <v>4.2527309999999998</v>
      </c>
      <c r="E3188">
        <v>0.41963650000000002</v>
      </c>
      <c r="F3188" t="s">
        <v>52</v>
      </c>
      <c r="G3188">
        <v>-489.45400000000001</v>
      </c>
      <c r="H3188" s="1">
        <v>1.2564449999999999E-6</v>
      </c>
      <c r="I3188">
        <v>273.2971</v>
      </c>
      <c r="J3188">
        <v>-475.54379999999998</v>
      </c>
      <c r="K3188">
        <v>1.1195980000000001</v>
      </c>
      <c r="L3188">
        <v>282.19229999999999</v>
      </c>
      <c r="M3188">
        <v>-0.95892319999999998</v>
      </c>
      <c r="N3188">
        <v>0</v>
      </c>
      <c r="O3188">
        <v>-0.2831727</v>
      </c>
      <c r="P3188">
        <v>-0.92693479999999995</v>
      </c>
      <c r="Q3188">
        <v>0.1256911</v>
      </c>
      <c r="R3188">
        <v>-0.35354479999999999</v>
      </c>
      <c r="S3188">
        <v>-2.6357119999999998</v>
      </c>
      <c r="T3188">
        <v>-0.20880309999999999</v>
      </c>
      <c r="U3188">
        <v>-1.6718440000000001</v>
      </c>
      <c r="V3188">
        <v>-8.1679070000000006E-2</v>
      </c>
      <c r="W3188">
        <v>0.139339299999999</v>
      </c>
      <c r="X3188">
        <v>0.98687029999999998</v>
      </c>
      <c r="Y3188">
        <v>-0.27455420000000003</v>
      </c>
      <c r="Z3188">
        <v>9.9543519999999996E-3</v>
      </c>
      <c r="AA3188">
        <v>0.96152009999999999</v>
      </c>
      <c r="AB3188">
        <v>39</v>
      </c>
      <c r="AC3188">
        <v>-13.9102</v>
      </c>
      <c r="AD3188">
        <v>-1.1195967435549901</v>
      </c>
      <c r="AE3188">
        <v>-8.8951999999999796</v>
      </c>
      <c r="AF3188">
        <v>-4.5704515960816403</v>
      </c>
      <c r="AG3188">
        <v>-1.1195967435549901</v>
      </c>
      <c r="AH3188">
        <v>15.7873180389998</v>
      </c>
      <c r="AI3188">
        <v>93.8969845943096</v>
      </c>
      <c r="AJ3188">
        <v>106.145807074967</v>
      </c>
      <c r="AK3188">
        <v>16.4736740141607</v>
      </c>
      <c r="AL3188">
        <v>81.990383396882905</v>
      </c>
      <c r="AM3188">
        <v>94.731344870235802</v>
      </c>
      <c r="AN3188">
        <v>0.99999995001132103</v>
      </c>
    </row>
    <row r="3189" spans="1:40" x14ac:dyDescent="0.3">
      <c r="A3189" t="str">
        <f>"20200111150014813"</f>
        <v>20200111150014813</v>
      </c>
      <c r="B3189" t="str">
        <f>"1578726014809281"</f>
        <v>1578726014809281</v>
      </c>
      <c r="C3189" t="s">
        <v>40</v>
      </c>
      <c r="D3189">
        <v>4.3732870000000004</v>
      </c>
      <c r="E3189">
        <v>0.43202489999999999</v>
      </c>
      <c r="F3189" t="s">
        <v>52</v>
      </c>
      <c r="G3189">
        <v>-489.61470000000003</v>
      </c>
      <c r="H3189" s="1">
        <v>1.170199E-6</v>
      </c>
      <c r="I3189">
        <v>273.01280000000003</v>
      </c>
      <c r="J3189">
        <v>-475.7826</v>
      </c>
      <c r="K3189">
        <v>1.11974</v>
      </c>
      <c r="L3189">
        <v>282.11559999999997</v>
      </c>
      <c r="M3189">
        <v>-0.95598660000000002</v>
      </c>
      <c r="N3189">
        <v>0</v>
      </c>
      <c r="O3189">
        <v>-0.292931</v>
      </c>
      <c r="P3189">
        <v>-0.92177909999999996</v>
      </c>
      <c r="Q3189">
        <v>0.1257113</v>
      </c>
      <c r="R3189">
        <v>-0.3667704</v>
      </c>
      <c r="S3189">
        <v>-2.6141969999999999</v>
      </c>
      <c r="T3189">
        <v>-0.20800689999999999</v>
      </c>
      <c r="U3189">
        <v>-1.705444</v>
      </c>
      <c r="V3189">
        <v>-8.5802569999999995E-2</v>
      </c>
      <c r="W3189">
        <v>0.13921420000000001</v>
      </c>
      <c r="X3189">
        <v>0.98653809999999997</v>
      </c>
      <c r="Y3189">
        <v>-0.27705819999999998</v>
      </c>
      <c r="Z3189">
        <v>1.05086E-2</v>
      </c>
      <c r="AA3189">
        <v>0.96079570000000003</v>
      </c>
      <c r="AB3189">
        <v>39</v>
      </c>
      <c r="AC3189">
        <v>-13.832100000000001</v>
      </c>
      <c r="AD3189">
        <v>-1.119738829801</v>
      </c>
      <c r="AE3189">
        <v>-9.1027999999999398</v>
      </c>
      <c r="AF3189">
        <v>-4.6297863308401803</v>
      </c>
      <c r="AG3189">
        <v>-1.119738829801</v>
      </c>
      <c r="AH3189">
        <v>15.8196871922594</v>
      </c>
      <c r="AI3189">
        <v>93.886242433466904</v>
      </c>
      <c r="AJ3189">
        <v>106.312631372254</v>
      </c>
      <c r="AK3189">
        <v>16.521236012391299</v>
      </c>
      <c r="AL3189">
        <v>81.997622441224195</v>
      </c>
      <c r="AM3189">
        <v>94.970700361770596</v>
      </c>
      <c r="AN3189">
        <v>1.00000004862592</v>
      </c>
    </row>
    <row r="3190" spans="1:40" x14ac:dyDescent="0.3">
      <c r="A3190" t="str">
        <f>"20200111150014825"</f>
        <v>20200111150014825</v>
      </c>
      <c r="B3190" t="str">
        <f>"1578726014819040"</f>
        <v>1578726014819040</v>
      </c>
      <c r="C3190" t="s">
        <v>40</v>
      </c>
      <c r="D3190">
        <v>4.2501290000000003</v>
      </c>
      <c r="E3190">
        <v>0.39165709999999998</v>
      </c>
      <c r="F3190" t="s">
        <v>52</v>
      </c>
      <c r="G3190">
        <v>-488.7276</v>
      </c>
      <c r="H3190" s="1">
        <v>1.435038E-6</v>
      </c>
      <c r="I3190">
        <v>273.98450000000003</v>
      </c>
      <c r="J3190">
        <v>-475.99680000000001</v>
      </c>
      <c r="K3190">
        <v>1.1198619999999999</v>
      </c>
      <c r="L3190">
        <v>282.04489999999998</v>
      </c>
      <c r="M3190">
        <v>-0.95324430000000004</v>
      </c>
      <c r="N3190">
        <v>0</v>
      </c>
      <c r="O3190">
        <v>-0.30173280000000002</v>
      </c>
      <c r="P3190">
        <v>-0.9170026</v>
      </c>
      <c r="Q3190">
        <v>0.12533559999999999</v>
      </c>
      <c r="R3190">
        <v>-0.37867820000000002</v>
      </c>
      <c r="S3190">
        <v>-2.6286010000000002</v>
      </c>
      <c r="T3190">
        <v>-0.22737350000000001</v>
      </c>
      <c r="U3190">
        <v>-1.6510929999999999</v>
      </c>
      <c r="V3190">
        <v>-8.9506829999999996E-2</v>
      </c>
      <c r="W3190">
        <v>0.1387051</v>
      </c>
      <c r="X3190">
        <v>0.98628059999999995</v>
      </c>
      <c r="Y3190">
        <v>-0.25166699999999997</v>
      </c>
      <c r="Z3190">
        <v>1.315438E-2</v>
      </c>
      <c r="AA3190">
        <v>0.96772449999999999</v>
      </c>
      <c r="AB3190">
        <v>39</v>
      </c>
      <c r="AC3190">
        <v>-12.730799999999901</v>
      </c>
      <c r="AD3190">
        <v>-1.1198605649619999</v>
      </c>
      <c r="AE3190">
        <v>-8.0603999999999498</v>
      </c>
      <c r="AF3190">
        <v>-3.82166429276276</v>
      </c>
      <c r="AG3190">
        <v>-1.1198605649619999</v>
      </c>
      <c r="AH3190">
        <v>14.4896739975913</v>
      </c>
      <c r="AI3190">
        <v>94.273836941977905</v>
      </c>
      <c r="AJ3190">
        <v>104.775333352662</v>
      </c>
      <c r="AK3190">
        <v>15.026971025726001</v>
      </c>
      <c r="AL3190">
        <v>82.027077100144396</v>
      </c>
      <c r="AM3190">
        <v>95.185495745265598</v>
      </c>
      <c r="AN3190">
        <v>0.99999999965950903</v>
      </c>
    </row>
    <row r="3191" spans="1:40" x14ac:dyDescent="0.3">
      <c r="A3191" t="str">
        <f>"20200111150014838"</f>
        <v>20200111150014838</v>
      </c>
      <c r="B3191" t="str">
        <f>"1578726014828800"</f>
        <v>1578726014828800</v>
      </c>
      <c r="C3191" t="s">
        <v>40</v>
      </c>
      <c r="D3191">
        <v>4.3452299999999999</v>
      </c>
      <c r="E3191">
        <v>0.3883066</v>
      </c>
      <c r="F3191" t="s">
        <v>65</v>
      </c>
      <c r="G3191">
        <v>-512.82539999999995</v>
      </c>
      <c r="H3191">
        <v>0.68419359999999996</v>
      </c>
      <c r="I3191">
        <v>252.65539999999999</v>
      </c>
      <c r="J3191">
        <v>-476.19869999999997</v>
      </c>
      <c r="K3191">
        <v>1.1199650000000001</v>
      </c>
      <c r="L3191">
        <v>281.97649999999999</v>
      </c>
      <c r="M3191">
        <v>-0.95056079999999998</v>
      </c>
      <c r="N3191">
        <v>0</v>
      </c>
      <c r="O3191">
        <v>-0.31008170000000002</v>
      </c>
      <c r="P3191">
        <v>-0.9110608</v>
      </c>
      <c r="Q3191">
        <v>0.1227487</v>
      </c>
      <c r="R3191">
        <v>-0.39357490000000001</v>
      </c>
      <c r="S3191">
        <v>-2.463654</v>
      </c>
      <c r="T3191">
        <v>-2.9139040000000001E-2</v>
      </c>
      <c r="U3191">
        <v>-1.9660029999999999</v>
      </c>
      <c r="V3191">
        <v>-9.6777650000000007E-2</v>
      </c>
      <c r="W3191">
        <v>0.1358452</v>
      </c>
      <c r="X3191">
        <v>0.98599199999999998</v>
      </c>
      <c r="Y3191">
        <v>-0.35058430000000002</v>
      </c>
      <c r="Z3191">
        <v>1.2758839999999999E-3</v>
      </c>
      <c r="AA3191">
        <v>0.93653039999999999</v>
      </c>
      <c r="AB3191">
        <v>39</v>
      </c>
      <c r="AC3191">
        <v>-36.6266999999999</v>
      </c>
      <c r="AD3191">
        <v>-0.43577139999999898</v>
      </c>
      <c r="AE3191">
        <v>-29.321100000000001</v>
      </c>
      <c r="AF3191">
        <v>-16.515135572311301</v>
      </c>
      <c r="AG3191">
        <v>-0.43577139999999898</v>
      </c>
      <c r="AH3191">
        <v>43.910279102306099</v>
      </c>
      <c r="AI3191">
        <v>90.5321970084334</v>
      </c>
      <c r="AJ3191">
        <v>110.611828584694</v>
      </c>
      <c r="AK3191">
        <v>46.915372859301698</v>
      </c>
      <c r="AL3191">
        <v>82.192503681672804</v>
      </c>
      <c r="AM3191">
        <v>95.605772227592297</v>
      </c>
      <c r="AN3191">
        <v>1.0000000279832799</v>
      </c>
    </row>
    <row r="3192" spans="1:40" x14ac:dyDescent="0.3">
      <c r="A3192" t="str">
        <f>"20200111150014851"</f>
        <v>20200111150014851</v>
      </c>
      <c r="B3192" t="str">
        <f>"1578726014839544"</f>
        <v>1578726014839544</v>
      </c>
      <c r="C3192" t="s">
        <v>40</v>
      </c>
      <c r="D3192">
        <v>4.3312099999999996</v>
      </c>
      <c r="E3192">
        <v>0.38646710000000001</v>
      </c>
      <c r="F3192" t="s">
        <v>65</v>
      </c>
      <c r="G3192">
        <v>-512.63120000000004</v>
      </c>
      <c r="H3192">
        <v>0.37808259999999999</v>
      </c>
      <c r="I3192">
        <v>251.46780000000001</v>
      </c>
      <c r="J3192">
        <v>-476.39370000000002</v>
      </c>
      <c r="K3192">
        <v>1.120052</v>
      </c>
      <c r="L3192">
        <v>281.90789999999998</v>
      </c>
      <c r="M3192">
        <v>-0.94787010000000005</v>
      </c>
      <c r="N3192">
        <v>0</v>
      </c>
      <c r="O3192">
        <v>-0.31820999999999999</v>
      </c>
      <c r="P3192">
        <v>-0.90681009999999995</v>
      </c>
      <c r="Q3192">
        <v>0.1212172</v>
      </c>
      <c r="R3192">
        <v>-0.4037346</v>
      </c>
      <c r="S3192">
        <v>-2.4230040000000002</v>
      </c>
      <c r="T3192">
        <v>-4.9335120000000003E-2</v>
      </c>
      <c r="U3192">
        <v>-2.0290219999999999</v>
      </c>
      <c r="V3192">
        <v>-9.9273E-2</v>
      </c>
      <c r="W3192">
        <v>0.13422229999999999</v>
      </c>
      <c r="X3192">
        <v>0.98596609999999996</v>
      </c>
      <c r="Y3192">
        <v>-0.36463230000000002</v>
      </c>
      <c r="Z3192">
        <v>2.1737420000000002E-3</v>
      </c>
      <c r="AA3192">
        <v>0.93114909999999995</v>
      </c>
      <c r="AB3192">
        <v>39</v>
      </c>
      <c r="AC3192">
        <v>-36.237499999999997</v>
      </c>
      <c r="AD3192">
        <v>-0.7419694</v>
      </c>
      <c r="AE3192">
        <v>-30.440099999999902</v>
      </c>
      <c r="AF3192">
        <v>-17.320334588156999</v>
      </c>
      <c r="AG3192">
        <v>-0.7419694</v>
      </c>
      <c r="AH3192">
        <v>44.030233620124001</v>
      </c>
      <c r="AI3192">
        <v>90.898419979504098</v>
      </c>
      <c r="AJ3192">
        <v>111.473369765181</v>
      </c>
      <c r="AK3192">
        <v>47.320249169662503</v>
      </c>
      <c r="AL3192">
        <v>82.286347948651496</v>
      </c>
      <c r="AM3192">
        <v>95.749507228451407</v>
      </c>
      <c r="AN3192">
        <v>0.99999995234774797</v>
      </c>
    </row>
    <row r="3193" spans="1:40" x14ac:dyDescent="0.3">
      <c r="A3193" t="str">
        <f>"20200111150014864"</f>
        <v>20200111150014864</v>
      </c>
      <c r="B3193" t="str">
        <f>"1578726014859063"</f>
        <v>1578726014859063</v>
      </c>
      <c r="C3193" t="s">
        <v>40</v>
      </c>
      <c r="D3193">
        <v>4.3577430000000001</v>
      </c>
      <c r="E3193">
        <v>0.3843935</v>
      </c>
      <c r="F3193" t="s">
        <v>65</v>
      </c>
      <c r="G3193">
        <v>-511.95870000000002</v>
      </c>
      <c r="H3193">
        <v>0.22115489999999999</v>
      </c>
      <c r="I3193">
        <v>251.17850000000001</v>
      </c>
      <c r="J3193">
        <v>-476.6</v>
      </c>
      <c r="K3193">
        <v>1.120144</v>
      </c>
      <c r="L3193">
        <v>281.83420000000001</v>
      </c>
      <c r="M3193">
        <v>-0.94493419999999895</v>
      </c>
      <c r="N3193">
        <v>0</v>
      </c>
      <c r="O3193">
        <v>-0.3268239</v>
      </c>
      <c r="P3193">
        <v>-0.9021129</v>
      </c>
      <c r="Q3193">
        <v>0.1204226</v>
      </c>
      <c r="R3193">
        <v>-0.41435549999999999</v>
      </c>
      <c r="S3193">
        <v>-2.3950809999999998</v>
      </c>
      <c r="T3193">
        <v>-6.0529949999999999E-2</v>
      </c>
      <c r="U3193">
        <v>-2.0694270000000001</v>
      </c>
      <c r="V3193">
        <v>-0.101852</v>
      </c>
      <c r="W3193">
        <v>0.1333297</v>
      </c>
      <c r="X3193">
        <v>0.98582420000000004</v>
      </c>
      <c r="Y3193">
        <v>-0.37053439999999999</v>
      </c>
      <c r="Z3193">
        <v>2.7786809999999999E-3</v>
      </c>
      <c r="AA3193">
        <v>0.92881460000000005</v>
      </c>
      <c r="AB3193">
        <v>39</v>
      </c>
      <c r="AC3193">
        <v>-35.358699999999999</v>
      </c>
      <c r="AD3193">
        <v>-0.89898909999999999</v>
      </c>
      <c r="AE3193">
        <v>-30.6557</v>
      </c>
      <c r="AF3193">
        <v>-17.407613170316701</v>
      </c>
      <c r="AG3193">
        <v>-0.89898909999999999</v>
      </c>
      <c r="AH3193">
        <v>43.420837663277197</v>
      </c>
      <c r="AI3193">
        <v>91.100932857072706</v>
      </c>
      <c r="AJ3193">
        <v>111.84607593635999</v>
      </c>
      <c r="AK3193">
        <v>46.788912373231902</v>
      </c>
      <c r="AL3193">
        <v>82.337954358931398</v>
      </c>
      <c r="AM3193">
        <v>95.8986761635081</v>
      </c>
      <c r="AN3193">
        <v>0.99999999605586498</v>
      </c>
    </row>
    <row r="3194" spans="1:40" x14ac:dyDescent="0.3">
      <c r="A3194" t="str">
        <f>"20200111150014882"</f>
        <v>20200111150014882</v>
      </c>
      <c r="B3194" t="str">
        <f>"1578726014879560"</f>
        <v>1578726014879560</v>
      </c>
      <c r="C3194" t="s">
        <v>40</v>
      </c>
      <c r="D3194">
        <v>4.3365349999999996</v>
      </c>
      <c r="E3194">
        <v>0.38398919999999997</v>
      </c>
      <c r="F3194" t="s">
        <v>65</v>
      </c>
      <c r="G3194">
        <v>-511.95859999999999</v>
      </c>
      <c r="H3194">
        <v>5.5616859999999997E-2</v>
      </c>
      <c r="I3194">
        <v>250.2561</v>
      </c>
      <c r="J3194">
        <v>-476.90289999999999</v>
      </c>
      <c r="K3194">
        <v>1.1202730000000001</v>
      </c>
      <c r="L3194">
        <v>281.72160000000002</v>
      </c>
      <c r="M3194">
        <v>-0.94042930000000002</v>
      </c>
      <c r="N3194">
        <v>0</v>
      </c>
      <c r="O3194">
        <v>-0.33956750000000002</v>
      </c>
      <c r="P3194">
        <v>-0.89491359999999998</v>
      </c>
      <c r="Q3194">
        <v>0.11939279999999999</v>
      </c>
      <c r="R3194">
        <v>-0.42997109999999999</v>
      </c>
      <c r="S3194">
        <v>-2.3649290000000001</v>
      </c>
      <c r="T3194">
        <v>-7.1194649999999998E-2</v>
      </c>
      <c r="U3194">
        <v>-2.1120610000000002</v>
      </c>
      <c r="V3194">
        <v>-0.10562589999999999</v>
      </c>
      <c r="W3194">
        <v>0.132152399999999</v>
      </c>
      <c r="X3194">
        <v>0.98558559999999995</v>
      </c>
      <c r="Y3194">
        <v>-0.37320029999999998</v>
      </c>
      <c r="Z3194">
        <v>3.5365990000000001E-3</v>
      </c>
      <c r="AA3194">
        <v>0.92774400000000001</v>
      </c>
      <c r="AB3194">
        <v>39</v>
      </c>
      <c r="AC3194">
        <v>-35.055700000000002</v>
      </c>
      <c r="AD3194">
        <v>-1.0646561400000001</v>
      </c>
      <c r="AE3194">
        <v>-31.465499999999999</v>
      </c>
      <c r="AF3194">
        <v>-17.6808056028373</v>
      </c>
      <c r="AG3194">
        <v>-1.0646561400000001</v>
      </c>
      <c r="AH3194">
        <v>43.636036213451398</v>
      </c>
      <c r="AI3194">
        <v>91.295397643513397</v>
      </c>
      <c r="AJ3194">
        <v>112.057208919879</v>
      </c>
      <c r="AK3194">
        <v>47.094033973353902</v>
      </c>
      <c r="AL3194">
        <v>82.406011202952797</v>
      </c>
      <c r="AM3194">
        <v>96.117080811440402</v>
      </c>
      <c r="AN3194">
        <v>1.0000000312519599</v>
      </c>
    </row>
    <row r="3195" spans="1:40" x14ac:dyDescent="0.3">
      <c r="A3195" t="str">
        <f>"20200111150014893"</f>
        <v>20200111150014893</v>
      </c>
      <c r="B3195" t="str">
        <f>"1578726014889320"</f>
        <v>1578726014889320</v>
      </c>
      <c r="C3195" t="s">
        <v>40</v>
      </c>
      <c r="D3195">
        <v>4.3472299999999997</v>
      </c>
      <c r="E3195">
        <v>0.38392389999999998</v>
      </c>
      <c r="F3195" t="s">
        <v>41</v>
      </c>
      <c r="G3195">
        <v>-477.7312</v>
      </c>
      <c r="H3195">
        <v>1.091126</v>
      </c>
      <c r="I3195">
        <v>280.95519999999999</v>
      </c>
      <c r="J3195">
        <v>-477.09</v>
      </c>
      <c r="K3195">
        <v>1.1203459999999901</v>
      </c>
      <c r="L3195">
        <v>281.64929999999998</v>
      </c>
      <c r="M3195">
        <v>-0.93752950000000002</v>
      </c>
      <c r="N3195">
        <v>0</v>
      </c>
      <c r="O3195">
        <v>-0.3474933</v>
      </c>
      <c r="P3195">
        <v>-0.89056589999999902</v>
      </c>
      <c r="Q3195">
        <v>0.11952939999999899</v>
      </c>
      <c r="R3195">
        <v>-0.4388688</v>
      </c>
      <c r="S3195">
        <v>-2.3279420000000002</v>
      </c>
      <c r="T3195">
        <v>-8.1889749999999997E-2</v>
      </c>
      <c r="U3195">
        <v>-2.1547239999999999</v>
      </c>
      <c r="V3195">
        <v>-0.107169899999999</v>
      </c>
      <c r="W3195">
        <v>0.13222700000000001</v>
      </c>
      <c r="X3195">
        <v>0.98540879999999997</v>
      </c>
      <c r="Y3195">
        <v>-0.38186239999999999</v>
      </c>
      <c r="Z3195">
        <v>4.1675339999999996E-3</v>
      </c>
      <c r="AA3195">
        <v>0.92420979999999997</v>
      </c>
      <c r="AB3195">
        <v>39</v>
      </c>
      <c r="AC3195">
        <v>-0.64120000000002597</v>
      </c>
      <c r="AD3195">
        <v>-2.9219999999999802E-2</v>
      </c>
      <c r="AE3195">
        <v>-0.69409999999999095</v>
      </c>
      <c r="AF3195">
        <v>-0.42757905525320899</v>
      </c>
      <c r="AG3195">
        <v>-2.9219999999999802E-2</v>
      </c>
      <c r="AH3195">
        <v>0.84165505454492195</v>
      </c>
      <c r="AI3195">
        <v>91.772861863152002</v>
      </c>
      <c r="AJ3195">
        <v>116.931559081744</v>
      </c>
      <c r="AK3195">
        <v>0.94448974993498103</v>
      </c>
      <c r="AL3195">
        <v>82.401698361534301</v>
      </c>
      <c r="AM3195">
        <v>96.206910034472997</v>
      </c>
      <c r="AN3195">
        <v>0.99999993505622298</v>
      </c>
    </row>
    <row r="3196" spans="1:40" x14ac:dyDescent="0.3">
      <c r="A3196" t="str">
        <f>"20200111150014904"</f>
        <v>20200111150014904</v>
      </c>
      <c r="B3196" t="str">
        <f>"1578726014899080"</f>
        <v>1578726014899080</v>
      </c>
      <c r="C3196" t="s">
        <v>40</v>
      </c>
      <c r="D3196">
        <v>4.2827650000000004</v>
      </c>
      <c r="E3196">
        <v>0.38395069999999998</v>
      </c>
      <c r="F3196" t="s">
        <v>43</v>
      </c>
      <c r="G3196">
        <v>-509.37729999999999</v>
      </c>
      <c r="H3196">
        <v>-0.05</v>
      </c>
      <c r="I3196">
        <v>251.17009999999999</v>
      </c>
      <c r="J3196">
        <v>-477.2627</v>
      </c>
      <c r="K3196">
        <v>1.120411</v>
      </c>
      <c r="L3196">
        <v>281.58150000000001</v>
      </c>
      <c r="M3196">
        <v>-0.93477949999999999</v>
      </c>
      <c r="N3196">
        <v>0</v>
      </c>
      <c r="O3196">
        <v>-0.35482320000000001</v>
      </c>
      <c r="P3196">
        <v>-0.88643179999999999</v>
      </c>
      <c r="Q3196">
        <v>0.1198258</v>
      </c>
      <c r="R3196">
        <v>-0.44708029999999999</v>
      </c>
      <c r="S3196">
        <v>-2.3067630000000001</v>
      </c>
      <c r="T3196">
        <v>-8.3615179999999997E-2</v>
      </c>
      <c r="U3196">
        <v>-2.1775820000000001</v>
      </c>
      <c r="V3196">
        <v>-0.1086131</v>
      </c>
      <c r="W3196">
        <v>0.13246379999999999</v>
      </c>
      <c r="X3196">
        <v>0.98521899999999996</v>
      </c>
      <c r="Y3196">
        <v>-0.38370490000000002</v>
      </c>
      <c r="Z3196">
        <v>4.4371649999999999E-3</v>
      </c>
      <c r="AA3196">
        <v>0.92344510000000002</v>
      </c>
      <c r="AB3196">
        <v>39</v>
      </c>
      <c r="AC3196">
        <v>-32.114600000000003</v>
      </c>
      <c r="AD3196">
        <v>-1.1704110000000001</v>
      </c>
      <c r="AE3196">
        <v>-30.4114</v>
      </c>
      <c r="AF3196">
        <v>-17.0234786021276</v>
      </c>
      <c r="AG3196">
        <v>-1.1704110000000001</v>
      </c>
      <c r="AH3196">
        <v>40.788051077560901</v>
      </c>
      <c r="AI3196">
        <v>91.516899622673805</v>
      </c>
      <c r="AJ3196">
        <v>112.65391767118901</v>
      </c>
      <c r="AK3196">
        <v>44.213502420999603</v>
      </c>
      <c r="AL3196">
        <v>82.388010589620393</v>
      </c>
      <c r="AM3196">
        <v>96.291031667366198</v>
      </c>
      <c r="AN3196">
        <v>0.99999997088152404</v>
      </c>
    </row>
    <row r="3197" spans="1:40" x14ac:dyDescent="0.3">
      <c r="A3197" t="str">
        <f>"20200111150014917"</f>
        <v>20200111150014917</v>
      </c>
      <c r="B3197" t="str">
        <f>"1578726014908839"</f>
        <v>1578726014908839</v>
      </c>
      <c r="C3197" t="s">
        <v>40</v>
      </c>
      <c r="D3197">
        <v>4.1538969999999997</v>
      </c>
      <c r="E3197">
        <v>0.38395069999999998</v>
      </c>
      <c r="F3197" t="s">
        <v>41</v>
      </c>
      <c r="G3197">
        <v>-478.09339999999997</v>
      </c>
      <c r="H3197">
        <v>1.0897269999999999</v>
      </c>
      <c r="I3197">
        <v>280.78339999999997</v>
      </c>
      <c r="J3197">
        <v>-477.46719999999999</v>
      </c>
      <c r="K3197">
        <v>1.1204860000000001</v>
      </c>
      <c r="L3197">
        <v>281.4991</v>
      </c>
      <c r="M3197">
        <v>-0.93142729999999996</v>
      </c>
      <c r="N3197">
        <v>0</v>
      </c>
      <c r="O3197">
        <v>-0.36353059999999998</v>
      </c>
      <c r="P3197">
        <v>-0.88179240000000003</v>
      </c>
      <c r="Q3197">
        <v>0.1201767</v>
      </c>
      <c r="R3197">
        <v>-0.45606999999999998</v>
      </c>
      <c r="S3197">
        <v>-2.2872919999999999</v>
      </c>
      <c r="T3197">
        <v>-8.4464910000000004E-2</v>
      </c>
      <c r="U3197">
        <v>-2.1978149999999999</v>
      </c>
      <c r="V3197">
        <v>-0.10949489999999901</v>
      </c>
      <c r="W3197">
        <v>0.13277720000000001</v>
      </c>
      <c r="X3197">
        <v>0.98507920000000004</v>
      </c>
      <c r="Y3197">
        <v>-0.38326389999999999</v>
      </c>
      <c r="Z3197">
        <v>4.7382479999999996E-3</v>
      </c>
      <c r="AA3197">
        <v>0.92362670000000002</v>
      </c>
      <c r="AB3197">
        <v>39</v>
      </c>
      <c r="AC3197">
        <v>-0.62619999999998299</v>
      </c>
      <c r="AD3197">
        <v>-3.0758999999999901E-2</v>
      </c>
      <c r="AE3197">
        <v>-0.71570000000002598</v>
      </c>
      <c r="AF3197">
        <v>-0.43858419654254299</v>
      </c>
      <c r="AG3197">
        <v>-3.0758999999999901E-2</v>
      </c>
      <c r="AH3197">
        <v>0.842678803381259</v>
      </c>
      <c r="AI3197">
        <v>91.854506176214201</v>
      </c>
      <c r="AJ3197">
        <v>117.49536586809199</v>
      </c>
      <c r="AK3197">
        <v>0.95047871054849997</v>
      </c>
      <c r="AL3197">
        <v>82.369894091311494</v>
      </c>
      <c r="AM3197">
        <v>96.342585026204304</v>
      </c>
      <c r="AN3197">
        <v>0.99999997411924402</v>
      </c>
    </row>
    <row r="3198" spans="1:40" x14ac:dyDescent="0.3">
      <c r="A3198" t="str">
        <f>"20200111150014929"</f>
        <v>20200111150014929</v>
      </c>
      <c r="B3198" t="str">
        <f>"1578726014919577"</f>
        <v>1578726014919577</v>
      </c>
      <c r="C3198" t="s">
        <v>40</v>
      </c>
      <c r="D3198">
        <v>4.2513480000000001</v>
      </c>
      <c r="E3198">
        <v>0.38449</v>
      </c>
      <c r="F3198" t="s">
        <v>43</v>
      </c>
      <c r="G3198">
        <v>-508.80709999999999</v>
      </c>
      <c r="H3198">
        <v>-0.05</v>
      </c>
      <c r="I3198">
        <v>250.77860000000001</v>
      </c>
      <c r="J3198">
        <v>-477.64760000000001</v>
      </c>
      <c r="K3198">
        <v>1.1205480000000001</v>
      </c>
      <c r="L3198">
        <v>281.42419999999998</v>
      </c>
      <c r="M3198">
        <v>-0.92837630000000004</v>
      </c>
      <c r="N3198">
        <v>0</v>
      </c>
      <c r="O3198">
        <v>-0.37125269999999999</v>
      </c>
      <c r="P3198">
        <v>-0.87788809999999995</v>
      </c>
      <c r="Q3198">
        <v>0.120351399999999</v>
      </c>
      <c r="R3198">
        <v>-0.46349590000000002</v>
      </c>
      <c r="S3198">
        <v>-2.265228</v>
      </c>
      <c r="T3198">
        <v>-8.4602120000000003E-2</v>
      </c>
      <c r="U3198">
        <v>-2.220459</v>
      </c>
      <c r="V3198">
        <v>-0.10966670000000001</v>
      </c>
      <c r="W3198">
        <v>0.13294349999999999</v>
      </c>
      <c r="X3198">
        <v>0.98503770000000002</v>
      </c>
      <c r="Y3198">
        <v>-0.38480110000000001</v>
      </c>
      <c r="Z3198">
        <v>4.9467599999999997E-3</v>
      </c>
      <c r="AA3198">
        <v>0.92298630000000004</v>
      </c>
      <c r="AB3198">
        <v>39</v>
      </c>
      <c r="AC3198">
        <v>-31.159499999999898</v>
      </c>
      <c r="AD3198">
        <v>-1.1705479999999999</v>
      </c>
      <c r="AE3198">
        <v>-30.645599999999899</v>
      </c>
      <c r="AF3198">
        <v>-16.8729355069114</v>
      </c>
      <c r="AG3198">
        <v>-1.1705479999999999</v>
      </c>
      <c r="AH3198">
        <v>40.281929790215599</v>
      </c>
      <c r="AI3198">
        <v>91.535306175656004</v>
      </c>
      <c r="AJ3198">
        <v>112.72740036596301</v>
      </c>
      <c r="AK3198">
        <v>43.688671333247797</v>
      </c>
      <c r="AL3198">
        <v>82.360280889913497</v>
      </c>
      <c r="AM3198">
        <v>96.352720840049798</v>
      </c>
      <c r="AN3198">
        <v>1.00000001485121</v>
      </c>
    </row>
    <row r="3199" spans="1:40" x14ac:dyDescent="0.3">
      <c r="A3199" t="str">
        <f>"20200111150014942"</f>
        <v>20200111150014942</v>
      </c>
      <c r="B3199" t="str">
        <f>"1578726014938986"</f>
        <v>1578726014938986</v>
      </c>
      <c r="C3199" t="s">
        <v>40</v>
      </c>
      <c r="D3199">
        <v>4.2557140000000002</v>
      </c>
      <c r="E3199">
        <v>0.38464510000000002</v>
      </c>
      <c r="F3199" t="s">
        <v>42</v>
      </c>
      <c r="G3199">
        <v>-504.37400000000002</v>
      </c>
      <c r="H3199">
        <v>7.9986940000000006E-2</v>
      </c>
      <c r="I3199">
        <v>254.86070000000001</v>
      </c>
      <c r="J3199">
        <v>-477.84960000000001</v>
      </c>
      <c r="K3199">
        <v>1.1206130000000001</v>
      </c>
      <c r="L3199">
        <v>281.33909999999997</v>
      </c>
      <c r="M3199">
        <v>-0.92486979999999996</v>
      </c>
      <c r="N3199">
        <v>0</v>
      </c>
      <c r="O3199">
        <v>-0.37990299999999999</v>
      </c>
      <c r="P3199">
        <v>-0.87340260000000003</v>
      </c>
      <c r="Q3199">
        <v>0.1204254</v>
      </c>
      <c r="R3199">
        <v>-0.47187519999999999</v>
      </c>
      <c r="S3199">
        <v>-2.2490839999999999</v>
      </c>
      <c r="T3199">
        <v>-8.7565779999999996E-2</v>
      </c>
      <c r="U3199">
        <v>-2.235382</v>
      </c>
      <c r="V3199">
        <v>-0.1099289</v>
      </c>
      <c r="W3199">
        <v>0.1330035</v>
      </c>
      <c r="X3199">
        <v>0.9850004</v>
      </c>
      <c r="Y3199">
        <v>-0.38257770000000002</v>
      </c>
      <c r="Z3199">
        <v>5.4117920000000003E-3</v>
      </c>
      <c r="AA3199">
        <v>0.92390749999999999</v>
      </c>
      <c r="AB3199">
        <v>39</v>
      </c>
      <c r="AC3199">
        <v>-26.5244</v>
      </c>
      <c r="AD3199">
        <v>-1.0406260599999999</v>
      </c>
      <c r="AE3199">
        <v>-26.478399999999901</v>
      </c>
      <c r="AF3199">
        <v>-14.4033563365498</v>
      </c>
      <c r="AG3199">
        <v>-1.0406260599999999</v>
      </c>
      <c r="AH3199">
        <v>34.569198500407502</v>
      </c>
      <c r="AI3199">
        <v>91.591681974738705</v>
      </c>
      <c r="AJ3199">
        <v>112.61919219229</v>
      </c>
      <c r="AK3199">
        <v>37.464237097730397</v>
      </c>
      <c r="AL3199">
        <v>82.356812542383906</v>
      </c>
      <c r="AM3199">
        <v>96.368023976435893</v>
      </c>
      <c r="AN3199">
        <v>1.0000000410337999</v>
      </c>
    </row>
    <row r="3200" spans="1:40" x14ac:dyDescent="0.3">
      <c r="A3200" t="str">
        <f>"20200111150014954"</f>
        <v>20200111150014954</v>
      </c>
      <c r="B3200" t="str">
        <f>"1578726014948729"</f>
        <v>1578726014948729</v>
      </c>
      <c r="C3200" t="s">
        <v>40</v>
      </c>
      <c r="D3200">
        <v>4.255579</v>
      </c>
      <c r="E3200">
        <v>0.37194759999999999</v>
      </c>
      <c r="F3200" t="s">
        <v>41</v>
      </c>
      <c r="G3200">
        <v>-478.64010000000002</v>
      </c>
      <c r="H3200">
        <v>1.089235</v>
      </c>
      <c r="I3200">
        <v>280.53910000000002</v>
      </c>
      <c r="J3200">
        <v>-478.04109999999997</v>
      </c>
      <c r="K3200">
        <v>1.1206670000000001</v>
      </c>
      <c r="L3200">
        <v>281.25549999999998</v>
      </c>
      <c r="M3200">
        <v>-0.92143819999999999</v>
      </c>
      <c r="N3200">
        <v>0</v>
      </c>
      <c r="O3200">
        <v>-0.38815169999999999</v>
      </c>
      <c r="P3200">
        <v>-0.86898519999999901</v>
      </c>
      <c r="Q3200">
        <v>0.120033</v>
      </c>
      <c r="R3200">
        <v>-0.48005999999999999</v>
      </c>
      <c r="S3200">
        <v>-2.2282709999999999</v>
      </c>
      <c r="T3200">
        <v>-8.8440900000000003E-2</v>
      </c>
      <c r="U3200">
        <v>-2.2558590000000001</v>
      </c>
      <c r="V3200">
        <v>-0.1103671</v>
      </c>
      <c r="W3200">
        <v>0.13259189999999901</v>
      </c>
      <c r="X3200">
        <v>0.98500690000000002</v>
      </c>
      <c r="Y3200">
        <v>-0.3828317</v>
      </c>
      <c r="Z3200">
        <v>5.7115930000000001E-3</v>
      </c>
      <c r="AA3200">
        <v>0.92380050000000002</v>
      </c>
      <c r="AB3200">
        <v>39</v>
      </c>
      <c r="AC3200">
        <v>-0.59900000000004605</v>
      </c>
      <c r="AD3200">
        <v>-3.1432000000000099E-2</v>
      </c>
      <c r="AE3200">
        <v>-0.71639999999996395</v>
      </c>
      <c r="AF3200">
        <v>-0.42719346388107199</v>
      </c>
      <c r="AG3200">
        <v>-3.1432000000000099E-2</v>
      </c>
      <c r="AH3200">
        <v>0.82919425714508499</v>
      </c>
      <c r="AI3200">
        <v>91.929995958977997</v>
      </c>
      <c r="AJ3200">
        <v>117.257118675283</v>
      </c>
      <c r="AK3200">
        <v>0.93329809937077401</v>
      </c>
      <c r="AL3200">
        <v>82.380606296594294</v>
      </c>
      <c r="AM3200">
        <v>96.393156672334698</v>
      </c>
      <c r="AN3200">
        <v>1.00000005087781</v>
      </c>
    </row>
    <row r="3201" spans="1:40" x14ac:dyDescent="0.3">
      <c r="A3201" t="str">
        <f>"20200111150014965"</f>
        <v>20200111150014965</v>
      </c>
      <c r="B3201" t="str">
        <f>"1578726014959465"</f>
        <v>1578726014959465</v>
      </c>
      <c r="C3201" t="s">
        <v>40</v>
      </c>
      <c r="D3201">
        <v>4.2175500000000001</v>
      </c>
      <c r="E3201">
        <v>0.37288589999999999</v>
      </c>
      <c r="F3201" t="s">
        <v>65</v>
      </c>
      <c r="G3201">
        <v>-512.82539999999995</v>
      </c>
      <c r="H3201">
        <v>0.81764419999999904</v>
      </c>
      <c r="I3201">
        <v>243.0992</v>
      </c>
      <c r="J3201">
        <v>-478.21629999999999</v>
      </c>
      <c r="K3201">
        <v>1.1207129999999901</v>
      </c>
      <c r="L3201">
        <v>281.17759999999998</v>
      </c>
      <c r="M3201">
        <v>-0.91821549999999996</v>
      </c>
      <c r="N3201">
        <v>0</v>
      </c>
      <c r="O3201">
        <v>-0.39571440000000002</v>
      </c>
      <c r="P3201">
        <v>-0.86495489999999997</v>
      </c>
      <c r="Q3201">
        <v>0.11975</v>
      </c>
      <c r="R3201">
        <v>-0.48735319999999999</v>
      </c>
      <c r="S3201">
        <v>-2.1512449999999999</v>
      </c>
      <c r="T3201">
        <v>-1.8735999999999999E-2</v>
      </c>
      <c r="U3201">
        <v>-2.359772</v>
      </c>
      <c r="V3201">
        <v>-0.1105476</v>
      </c>
      <c r="W3201">
        <v>0.1322989</v>
      </c>
      <c r="X3201">
        <v>0.98502599999999996</v>
      </c>
      <c r="Y3201">
        <v>-0.4120316</v>
      </c>
      <c r="Z3201">
        <v>1.1604880000000001E-3</v>
      </c>
      <c r="AA3201">
        <v>0.9111688</v>
      </c>
      <c r="AB3201">
        <v>39</v>
      </c>
      <c r="AC3201">
        <v>-34.609099999999899</v>
      </c>
      <c r="AD3201">
        <v>-0.30306879999999897</v>
      </c>
      <c r="AE3201">
        <v>-38.078399999999903</v>
      </c>
      <c r="AF3201">
        <v>-21.2712089638644</v>
      </c>
      <c r="AG3201">
        <v>-0.30306879999999897</v>
      </c>
      <c r="AH3201">
        <v>46.851961823908802</v>
      </c>
      <c r="AI3201">
        <v>90.337469913363293</v>
      </c>
      <c r="AJ3201">
        <v>114.418472746261</v>
      </c>
      <c r="AK3201">
        <v>51.455441969056402</v>
      </c>
      <c r="AL3201">
        <v>82.397542746248305</v>
      </c>
      <c r="AM3201">
        <v>96.403402452469905</v>
      </c>
      <c r="AN3201">
        <v>0.99999999574148402</v>
      </c>
    </row>
    <row r="3202" spans="1:40" x14ac:dyDescent="0.3">
      <c r="A3202" t="str">
        <f>"20200111150014978"</f>
        <v>20200111150014978</v>
      </c>
      <c r="B3202" t="str">
        <f>"1578726014969223"</f>
        <v>1578726014969223</v>
      </c>
      <c r="C3202" t="s">
        <v>40</v>
      </c>
      <c r="D3202">
        <v>4.1784679999999996</v>
      </c>
      <c r="E3202">
        <v>0.37394889999999997</v>
      </c>
      <c r="F3202" t="s">
        <v>65</v>
      </c>
      <c r="G3202">
        <v>-512.82539999999995</v>
      </c>
      <c r="H3202">
        <v>0.75437369999999904</v>
      </c>
      <c r="I3202">
        <v>242.7482</v>
      </c>
      <c r="J3202">
        <v>-478.40559999999999</v>
      </c>
      <c r="K3202">
        <v>1.120762</v>
      </c>
      <c r="L3202">
        <v>281.09179999999998</v>
      </c>
      <c r="M3202">
        <v>-0.91464299999999998</v>
      </c>
      <c r="N3202">
        <v>0</v>
      </c>
      <c r="O3202">
        <v>-0.4039026</v>
      </c>
      <c r="P3202">
        <v>-0.86036559999999995</v>
      </c>
      <c r="Q3202">
        <v>0.1193231</v>
      </c>
      <c r="R3202">
        <v>-0.49551319999999999</v>
      </c>
      <c r="S3202">
        <v>-2.1354980000000001</v>
      </c>
      <c r="T3202">
        <v>-2.2599939999999999E-2</v>
      </c>
      <c r="U3202">
        <v>-2.371216</v>
      </c>
      <c r="V3202">
        <v>-0.1110442</v>
      </c>
      <c r="W3202">
        <v>0.13184889999999999</v>
      </c>
      <c r="X3202">
        <v>0.98503050000000003</v>
      </c>
      <c r="Y3202">
        <v>-0.40941290000000002</v>
      </c>
      <c r="Z3202">
        <v>1.473914E-3</v>
      </c>
      <c r="AA3202">
        <v>0.91234800000000005</v>
      </c>
      <c r="AB3202">
        <v>39</v>
      </c>
      <c r="AC3202">
        <v>-34.419799999999903</v>
      </c>
      <c r="AD3202">
        <v>-0.3663883</v>
      </c>
      <c r="AE3202">
        <v>-38.343599999999903</v>
      </c>
      <c r="AF3202">
        <v>-21.1704675279871</v>
      </c>
      <c r="AG3202">
        <v>-0.3663883</v>
      </c>
      <c r="AH3202">
        <v>46.973366254025102</v>
      </c>
      <c r="AI3202">
        <v>90.407427503571498</v>
      </c>
      <c r="AJ3202">
        <v>114.260655066637</v>
      </c>
      <c r="AK3202">
        <v>51.524946122967599</v>
      </c>
      <c r="AL3202">
        <v>82.423553863816096</v>
      </c>
      <c r="AM3202">
        <v>96.431898043062603</v>
      </c>
      <c r="AN3202">
        <v>1.00000001635754</v>
      </c>
    </row>
    <row r="3203" spans="1:40" x14ac:dyDescent="0.3">
      <c r="A3203" t="str">
        <f>"20200111150014990"</f>
        <v>20200111150014990</v>
      </c>
      <c r="B3203" t="str">
        <f>"1578726014978984"</f>
        <v>1578726014978984</v>
      </c>
      <c r="C3203" t="s">
        <v>40</v>
      </c>
      <c r="D3203">
        <v>4.3034420000000004</v>
      </c>
      <c r="E3203">
        <v>0.37618119999999999</v>
      </c>
      <c r="F3203" t="s">
        <v>65</v>
      </c>
      <c r="G3203">
        <v>-512.82539999999995</v>
      </c>
      <c r="H3203">
        <v>0.6387794</v>
      </c>
      <c r="I3203">
        <v>242.35069999999999</v>
      </c>
      <c r="J3203">
        <v>-478.59750000000003</v>
      </c>
      <c r="K3203">
        <v>1.1208129999999901</v>
      </c>
      <c r="L3203">
        <v>281.00200000000001</v>
      </c>
      <c r="M3203">
        <v>-0.91090939999999998</v>
      </c>
      <c r="N3203">
        <v>0</v>
      </c>
      <c r="O3203">
        <v>-0.41225309999999998</v>
      </c>
      <c r="P3203">
        <v>-0.85549010000000003</v>
      </c>
      <c r="Q3203">
        <v>0.1190022</v>
      </c>
      <c r="R3203">
        <v>-0.50395970000000001</v>
      </c>
      <c r="S3203">
        <v>-2.118042</v>
      </c>
      <c r="T3203">
        <v>-2.965462E-2</v>
      </c>
      <c r="U3203">
        <v>-2.3839419999999998</v>
      </c>
      <c r="V3203">
        <v>-0.1117192</v>
      </c>
      <c r="W3203">
        <v>0.13149720000000001</v>
      </c>
      <c r="X3203">
        <v>0.98500109999999996</v>
      </c>
      <c r="Y3203">
        <v>-0.40721259999999998</v>
      </c>
      <c r="Z3203">
        <v>2.0310620000000001E-3</v>
      </c>
      <c r="AA3203">
        <v>0.91333120000000001</v>
      </c>
      <c r="AB3203">
        <v>39</v>
      </c>
      <c r="AC3203">
        <v>-34.227899999999899</v>
      </c>
      <c r="AD3203">
        <v>-0.48203359999999901</v>
      </c>
      <c r="AE3203">
        <v>-38.651299999999999</v>
      </c>
      <c r="AF3203">
        <v>-21.098510432628299</v>
      </c>
      <c r="AG3203">
        <v>-0.48203359999999901</v>
      </c>
      <c r="AH3203">
        <v>47.115393828339599</v>
      </c>
      <c r="AI3203">
        <v>90.534980690305503</v>
      </c>
      <c r="AJ3203">
        <v>114.123075331164</v>
      </c>
      <c r="AK3203">
        <v>51.625960857564699</v>
      </c>
      <c r="AL3203">
        <v>82.443881124997006</v>
      </c>
      <c r="AM3203">
        <v>96.470856263350299</v>
      </c>
      <c r="AN3203">
        <v>0.99999993012884203</v>
      </c>
    </row>
    <row r="3204" spans="1:40" x14ac:dyDescent="0.3">
      <c r="A3204" t="str">
        <f>"20200111150015004"</f>
        <v>20200111150015004</v>
      </c>
      <c r="B3204" t="str">
        <f>"1578726014999480"</f>
        <v>1578726014999480</v>
      </c>
      <c r="C3204" t="s">
        <v>40</v>
      </c>
      <c r="D3204">
        <v>4.1494140000000002</v>
      </c>
      <c r="E3204">
        <v>0.37855729999999999</v>
      </c>
      <c r="F3204" t="s">
        <v>65</v>
      </c>
      <c r="G3204">
        <v>-512.82529999999997</v>
      </c>
      <c r="H3204">
        <v>0.40380579999999999</v>
      </c>
      <c r="I3204">
        <v>242.12459999999999</v>
      </c>
      <c r="J3204">
        <v>-478.81060000000002</v>
      </c>
      <c r="K3204">
        <v>1.1208659999999999</v>
      </c>
      <c r="L3204">
        <v>280.90050000000002</v>
      </c>
      <c r="M3204">
        <v>-0.90665229999999997</v>
      </c>
      <c r="N3204">
        <v>0</v>
      </c>
      <c r="O3204">
        <v>-0.42153279999999899</v>
      </c>
      <c r="P3204">
        <v>-0.85009950000000001</v>
      </c>
      <c r="Q3204">
        <v>0.1187486</v>
      </c>
      <c r="R3204">
        <v>-0.51305909999999999</v>
      </c>
      <c r="S3204">
        <v>-2.1046450000000001</v>
      </c>
      <c r="T3204">
        <v>-4.4083829999999997E-2</v>
      </c>
      <c r="U3204">
        <v>-2.390533</v>
      </c>
      <c r="V3204">
        <v>-0.11216810000000001</v>
      </c>
      <c r="W3204">
        <v>0.13122159999999999</v>
      </c>
      <c r="X3204">
        <v>0.9849869</v>
      </c>
      <c r="Y3204">
        <v>-0.40200780000000003</v>
      </c>
      <c r="Z3204">
        <v>3.2012719999999998E-3</v>
      </c>
      <c r="AA3204">
        <v>0.91563059999999996</v>
      </c>
      <c r="AB3204">
        <v>39</v>
      </c>
      <c r="AC3204">
        <v>-34.014699999999898</v>
      </c>
      <c r="AD3204">
        <v>-0.71706019999999904</v>
      </c>
      <c r="AE3204">
        <v>-38.7759</v>
      </c>
      <c r="AF3204">
        <v>-20.816961170703401</v>
      </c>
      <c r="AG3204">
        <v>-0.71706019999999904</v>
      </c>
      <c r="AH3204">
        <v>47.182584836829299</v>
      </c>
      <c r="AI3204">
        <v>90.796611961622006</v>
      </c>
      <c r="AJ3204">
        <v>113.807076817829</v>
      </c>
      <c r="AK3204">
        <v>51.575734212879603</v>
      </c>
      <c r="AL3204">
        <v>82.459810338323607</v>
      </c>
      <c r="AM3204">
        <v>96.496727886479604</v>
      </c>
      <c r="AN3204">
        <v>0.99999999206788903</v>
      </c>
    </row>
    <row r="3205" spans="1:40" x14ac:dyDescent="0.3">
      <c r="A3205" t="str">
        <f>"20200111150015016"</f>
        <v>20200111150015016</v>
      </c>
      <c r="B3205" t="str">
        <f>"1578726015009239"</f>
        <v>1578726015009239</v>
      </c>
      <c r="C3205" t="s">
        <v>40</v>
      </c>
      <c r="D3205">
        <v>4.0932940000000002</v>
      </c>
      <c r="E3205">
        <v>0.37790659999999998</v>
      </c>
      <c r="F3205" t="s">
        <v>65</v>
      </c>
      <c r="G3205">
        <v>-512.82529999999997</v>
      </c>
      <c r="H3205">
        <v>0.3348294</v>
      </c>
      <c r="I3205">
        <v>241.87729999999999</v>
      </c>
      <c r="J3205">
        <v>-478.9948</v>
      </c>
      <c r="K3205">
        <v>1.120911</v>
      </c>
      <c r="L3205">
        <v>280.81040000000002</v>
      </c>
      <c r="M3205">
        <v>-0.90285970000000004</v>
      </c>
      <c r="N3205">
        <v>0</v>
      </c>
      <c r="O3205">
        <v>-0.42959530000000001</v>
      </c>
      <c r="P3205">
        <v>-0.84489249999999905</v>
      </c>
      <c r="Q3205">
        <v>0.1190124</v>
      </c>
      <c r="R3205">
        <v>-0.52152940000000003</v>
      </c>
      <c r="S3205">
        <v>-2.0892029999999999</v>
      </c>
      <c r="T3205">
        <v>-4.8274400000000002E-2</v>
      </c>
      <c r="U3205">
        <v>-2.39682</v>
      </c>
      <c r="V3205">
        <v>-0.1132803</v>
      </c>
      <c r="W3205">
        <v>0.13143579999999999</v>
      </c>
      <c r="X3205">
        <v>0.98483100000000001</v>
      </c>
      <c r="Y3205">
        <v>-0.39838010000000001</v>
      </c>
      <c r="Z3205">
        <v>3.6743700000000002E-3</v>
      </c>
      <c r="AA3205">
        <v>0.9172131</v>
      </c>
      <c r="AB3205">
        <v>38</v>
      </c>
      <c r="AC3205">
        <v>-33.830499999999901</v>
      </c>
      <c r="AD3205">
        <v>-0.78608159999999905</v>
      </c>
      <c r="AE3205">
        <v>-38.933100000000003</v>
      </c>
      <c r="AF3205">
        <v>-20.6159279036663</v>
      </c>
      <c r="AG3205">
        <v>-0.78608159999999905</v>
      </c>
      <c r="AH3205">
        <v>47.265601703805899</v>
      </c>
      <c r="AI3205">
        <v>90.873359564043</v>
      </c>
      <c r="AJ3205">
        <v>113.565477705326</v>
      </c>
      <c r="AK3205">
        <v>51.572003180348197</v>
      </c>
      <c r="AL3205">
        <v>82.447430017063098</v>
      </c>
      <c r="AM3205">
        <v>96.561616653526002</v>
      </c>
      <c r="AN3205">
        <v>0.99999994722536301</v>
      </c>
    </row>
    <row r="3206" spans="1:40" x14ac:dyDescent="0.3">
      <c r="A3206" t="str">
        <f>"20200111150015029"</f>
        <v>20200111150015029</v>
      </c>
      <c r="B3206" t="str">
        <f>"1578726015019000"</f>
        <v>1578726015019000</v>
      </c>
      <c r="C3206" t="s">
        <v>40</v>
      </c>
      <c r="D3206">
        <v>4.0408530000000003</v>
      </c>
      <c r="E3206">
        <v>0.37733119999999998</v>
      </c>
      <c r="F3206" t="s">
        <v>65</v>
      </c>
      <c r="G3206">
        <v>-512.82529999999997</v>
      </c>
      <c r="H3206">
        <v>0.43883090000000002</v>
      </c>
      <c r="I3206">
        <v>241.07769999999999</v>
      </c>
      <c r="J3206">
        <v>-479.17970000000003</v>
      </c>
      <c r="K3206">
        <v>1.1209530000000001</v>
      </c>
      <c r="L3206">
        <v>280.71769999999998</v>
      </c>
      <c r="M3206">
        <v>-0.898949</v>
      </c>
      <c r="N3206">
        <v>0</v>
      </c>
      <c r="O3206">
        <v>-0.43771949999999998</v>
      </c>
      <c r="P3206">
        <v>-0.83993689999999999</v>
      </c>
      <c r="Q3206">
        <v>0.1191295</v>
      </c>
      <c r="R3206">
        <v>-0.52944749999999996</v>
      </c>
      <c r="S3206">
        <v>-2.0618590000000001</v>
      </c>
      <c r="T3206">
        <v>-4.156613E-2</v>
      </c>
      <c r="U3206">
        <v>-2.42157</v>
      </c>
      <c r="V3206">
        <v>-0.11368549999999999</v>
      </c>
      <c r="W3206">
        <v>0.1315327</v>
      </c>
      <c r="X3206">
        <v>0.98477139999999996</v>
      </c>
      <c r="Y3206">
        <v>-0.40074219999999999</v>
      </c>
      <c r="Z3206">
        <v>3.2639430000000001E-3</v>
      </c>
      <c r="AA3206">
        <v>0.91618500000000003</v>
      </c>
      <c r="AB3206">
        <v>38</v>
      </c>
      <c r="AC3206">
        <v>-33.645599999999902</v>
      </c>
      <c r="AD3206">
        <v>-0.68212209999999995</v>
      </c>
      <c r="AE3206">
        <v>-39.639999999999901</v>
      </c>
      <c r="AF3206">
        <v>-20.906461407933701</v>
      </c>
      <c r="AG3206">
        <v>-0.68212209999999995</v>
      </c>
      <c r="AH3206">
        <v>47.595646122692202</v>
      </c>
      <c r="AI3206">
        <v>90.751766470620893</v>
      </c>
      <c r="AJ3206">
        <v>113.71355719000501</v>
      </c>
      <c r="AK3206">
        <v>51.9893349543661</v>
      </c>
      <c r="AL3206">
        <v>82.4418296605498</v>
      </c>
      <c r="AM3206">
        <v>96.585276607224799</v>
      </c>
      <c r="AN3206">
        <v>0.999999977168749</v>
      </c>
    </row>
    <row r="3207" spans="1:40" x14ac:dyDescent="0.3">
      <c r="A3207" t="str">
        <f>"20200111150015051"</f>
        <v>20200111150015051</v>
      </c>
      <c r="B3207" t="str">
        <f>"1578726015049255"</f>
        <v>1578726015049255</v>
      </c>
      <c r="C3207" t="s">
        <v>40</v>
      </c>
      <c r="D3207">
        <v>4.0936890000000004</v>
      </c>
      <c r="E3207">
        <v>0.37705470000000002</v>
      </c>
      <c r="F3207" t="s">
        <v>65</v>
      </c>
      <c r="G3207">
        <v>-512.82529999999997</v>
      </c>
      <c r="H3207">
        <v>0.51372429999999902</v>
      </c>
      <c r="I3207">
        <v>240.31739999999999</v>
      </c>
      <c r="J3207">
        <v>-479.51060000000001</v>
      </c>
      <c r="K3207">
        <v>1.1210340000000001</v>
      </c>
      <c r="L3207">
        <v>280.54680000000002</v>
      </c>
      <c r="M3207">
        <v>-0.89168979999999998</v>
      </c>
      <c r="N3207">
        <v>0</v>
      </c>
      <c r="O3207">
        <v>-0.45232280000000002</v>
      </c>
      <c r="P3207">
        <v>-0.83094760000000001</v>
      </c>
      <c r="Q3207">
        <v>0.1189646</v>
      </c>
      <c r="R3207">
        <v>-0.54348280000000004</v>
      </c>
      <c r="S3207">
        <v>-2.0359500000000001</v>
      </c>
      <c r="T3207">
        <v>-3.673995E-2</v>
      </c>
      <c r="U3207">
        <v>-2.4446720000000002</v>
      </c>
      <c r="V3207">
        <v>-0.1141814</v>
      </c>
      <c r="W3207">
        <v>0.13134309999999999</v>
      </c>
      <c r="X3207">
        <v>0.98473940000000004</v>
      </c>
      <c r="Y3207">
        <v>-0.39578790000000003</v>
      </c>
      <c r="Z3207">
        <v>3.0993180000000002E-3</v>
      </c>
      <c r="AA3207">
        <v>0.91833670000000001</v>
      </c>
      <c r="AB3207">
        <v>38</v>
      </c>
      <c r="AC3207">
        <v>-33.314699999999903</v>
      </c>
      <c r="AD3207">
        <v>-0.60730969999999995</v>
      </c>
      <c r="AE3207">
        <v>-40.229399999999998</v>
      </c>
      <c r="AF3207">
        <v>-20.8033872625175</v>
      </c>
      <c r="AG3207">
        <v>-0.60730969999999995</v>
      </c>
      <c r="AH3207">
        <v>47.903605691696697</v>
      </c>
      <c r="AI3207">
        <v>90.666235854878707</v>
      </c>
      <c r="AJ3207">
        <v>113.47415032994</v>
      </c>
      <c r="AK3207">
        <v>52.229351756761702</v>
      </c>
      <c r="AL3207">
        <v>82.452788517894305</v>
      </c>
      <c r="AM3207">
        <v>96.613960880901899</v>
      </c>
      <c r="AN3207">
        <v>1.0000000439679599</v>
      </c>
    </row>
    <row r="3208" spans="1:40" x14ac:dyDescent="0.3">
      <c r="A3208" t="str">
        <f>"20200111150015063"</f>
        <v>20200111150015063</v>
      </c>
      <c r="B3208" t="str">
        <f>"1578726015059015"</f>
        <v>1578726015059015</v>
      </c>
      <c r="C3208" t="s">
        <v>40</v>
      </c>
      <c r="D3208">
        <v>4.0914859999999997</v>
      </c>
      <c r="E3208">
        <v>0.37729000000000001</v>
      </c>
      <c r="F3208" t="s">
        <v>65</v>
      </c>
      <c r="G3208">
        <v>-512.82529999999997</v>
      </c>
      <c r="H3208">
        <v>0.55653819999999998</v>
      </c>
      <c r="I3208">
        <v>239.07749999999999</v>
      </c>
      <c r="J3208">
        <v>-479.70260000000002</v>
      </c>
      <c r="K3208">
        <v>1.121075</v>
      </c>
      <c r="L3208">
        <v>280.44479999999999</v>
      </c>
      <c r="M3208">
        <v>-0.88732069999999996</v>
      </c>
      <c r="N3208">
        <v>0</v>
      </c>
      <c r="O3208">
        <v>-0.46083390000000002</v>
      </c>
      <c r="P3208">
        <v>-0.82536209999999899</v>
      </c>
      <c r="Q3208">
        <v>0.11804779999999999</v>
      </c>
      <c r="R3208">
        <v>-0.55212469999999902</v>
      </c>
      <c r="S3208">
        <v>-1.992767</v>
      </c>
      <c r="T3208">
        <v>-3.3761739999999998E-2</v>
      </c>
      <c r="U3208">
        <v>-2.4805299999999999</v>
      </c>
      <c r="V3208">
        <v>-0.11495619999999999</v>
      </c>
      <c r="W3208">
        <v>0.13039239999999999</v>
      </c>
      <c r="X3208">
        <v>0.98477550000000003</v>
      </c>
      <c r="Y3208">
        <v>-0.4031883</v>
      </c>
      <c r="Z3208">
        <v>2.9079570000000001E-3</v>
      </c>
      <c r="AA3208">
        <v>0.91511240000000005</v>
      </c>
      <c r="AB3208">
        <v>38</v>
      </c>
      <c r="AC3208">
        <v>-33.122699999999902</v>
      </c>
      <c r="AD3208">
        <v>-0.56453679999999995</v>
      </c>
      <c r="AE3208">
        <v>-41.3673</v>
      </c>
      <c r="AF3208">
        <v>-21.442718845515099</v>
      </c>
      <c r="AG3208">
        <v>-0.56453679999999995</v>
      </c>
      <c r="AH3208">
        <v>48.455539187799097</v>
      </c>
      <c r="AI3208">
        <v>90.610408859243094</v>
      </c>
      <c r="AJ3208">
        <v>113.87052003675301</v>
      </c>
      <c r="AK3208">
        <v>52.991019722842701</v>
      </c>
      <c r="AL3208">
        <v>82.5077313986056</v>
      </c>
      <c r="AM3208">
        <v>96.658197650627997</v>
      </c>
      <c r="AN3208">
        <v>0.99999994564822303</v>
      </c>
    </row>
    <row r="3209" spans="1:40" x14ac:dyDescent="0.3">
      <c r="A3209" t="str">
        <f>"20200111150015076"</f>
        <v>20200111150015076</v>
      </c>
      <c r="B3209" t="str">
        <f>"1578726015068775"</f>
        <v>1578726015068775</v>
      </c>
      <c r="C3209" t="s">
        <v>40</v>
      </c>
      <c r="D3209">
        <v>4.0708089999999997</v>
      </c>
      <c r="E3209">
        <v>0.37776379999999998</v>
      </c>
      <c r="F3209" t="s">
        <v>65</v>
      </c>
      <c r="G3209">
        <v>-512.82529999999997</v>
      </c>
      <c r="H3209">
        <v>0.51968630000000005</v>
      </c>
      <c r="I3209">
        <v>238.376</v>
      </c>
      <c r="J3209">
        <v>-479.89100000000002</v>
      </c>
      <c r="K3209">
        <v>1.121116</v>
      </c>
      <c r="L3209">
        <v>280.34199999999998</v>
      </c>
      <c r="M3209">
        <v>-0.882911</v>
      </c>
      <c r="N3209">
        <v>0</v>
      </c>
      <c r="O3209">
        <v>-0.46922700000000001</v>
      </c>
      <c r="P3209">
        <v>-0.81994869999999898</v>
      </c>
      <c r="Q3209">
        <v>0.1171827</v>
      </c>
      <c r="R3209">
        <v>-0.5603146</v>
      </c>
      <c r="S3209">
        <v>-1.9678960000000001</v>
      </c>
      <c r="T3209">
        <v>-3.5725590000000002E-2</v>
      </c>
      <c r="U3209">
        <v>-2.49939</v>
      </c>
      <c r="V3209">
        <v>-0.1153462</v>
      </c>
      <c r="W3209">
        <v>0.12951119999999999</v>
      </c>
      <c r="X3209">
        <v>0.9848462</v>
      </c>
      <c r="Y3209">
        <v>-0.40348719999999999</v>
      </c>
      <c r="Z3209">
        <v>3.1807960000000001E-3</v>
      </c>
      <c r="AA3209">
        <v>0.91497980000000001</v>
      </c>
      <c r="AB3209">
        <v>38</v>
      </c>
      <c r="AC3209">
        <v>-32.9343</v>
      </c>
      <c r="AD3209">
        <v>-0.60142969999999996</v>
      </c>
      <c r="AE3209">
        <v>-41.966000000000001</v>
      </c>
      <c r="AF3209">
        <v>-21.599012621594699</v>
      </c>
      <c r="AG3209">
        <v>-0.60142969999999996</v>
      </c>
      <c r="AH3209">
        <v>48.770612348004498</v>
      </c>
      <c r="AI3209">
        <v>90.646012760343595</v>
      </c>
      <c r="AJ3209">
        <v>113.887087830881</v>
      </c>
      <c r="AK3209">
        <v>53.342775450019303</v>
      </c>
      <c r="AL3209">
        <v>82.558652398268094</v>
      </c>
      <c r="AM3209">
        <v>96.680107144649696</v>
      </c>
      <c r="AN3209">
        <v>0.999999967217159</v>
      </c>
    </row>
    <row r="3210" spans="1:40" x14ac:dyDescent="0.3">
      <c r="A3210" t="str">
        <f>"20200111150015087"</f>
        <v>20200111150015087</v>
      </c>
      <c r="B3210" t="str">
        <f>"1578726015079512"</f>
        <v>1578726015079512</v>
      </c>
      <c r="C3210" t="s">
        <v>40</v>
      </c>
      <c r="D3210">
        <v>4.0959620000000001</v>
      </c>
      <c r="E3210">
        <v>0.37823250000000003</v>
      </c>
      <c r="F3210" t="s">
        <v>65</v>
      </c>
      <c r="G3210">
        <v>-512.82529999999997</v>
      </c>
      <c r="H3210">
        <v>0.44960739999999999</v>
      </c>
      <c r="I3210">
        <v>237.73429999999999</v>
      </c>
      <c r="J3210">
        <v>-480.05130000000003</v>
      </c>
      <c r="K3210">
        <v>1.121151</v>
      </c>
      <c r="L3210">
        <v>280.2525</v>
      </c>
      <c r="M3210">
        <v>-0.87905679999999997</v>
      </c>
      <c r="N3210">
        <v>0</v>
      </c>
      <c r="O3210">
        <v>-0.4764082</v>
      </c>
      <c r="P3210">
        <v>-0.81514640000000005</v>
      </c>
      <c r="Q3210">
        <v>0.1161512</v>
      </c>
      <c r="R3210">
        <v>-0.56749079999999996</v>
      </c>
      <c r="S3210">
        <v>-1.944977</v>
      </c>
      <c r="T3210">
        <v>-3.9652470000000002E-2</v>
      </c>
      <c r="U3210">
        <v>-2.516235</v>
      </c>
      <c r="V3210">
        <v>-0.1158665</v>
      </c>
      <c r="W3210">
        <v>0.12845860000000001</v>
      </c>
      <c r="X3210">
        <v>0.98492299999999999</v>
      </c>
      <c r="Y3210">
        <v>-0.40420850000000003</v>
      </c>
      <c r="Z3210">
        <v>3.6264520000000001E-3</v>
      </c>
      <c r="AA3210">
        <v>0.91465969999999996</v>
      </c>
      <c r="AB3210">
        <v>38</v>
      </c>
      <c r="AC3210">
        <v>-32.773999999999901</v>
      </c>
      <c r="AD3210">
        <v>-0.67154359999999902</v>
      </c>
      <c r="AE3210">
        <v>-42.5182</v>
      </c>
      <c r="AF3210">
        <v>-21.761908894425499</v>
      </c>
      <c r="AG3210">
        <v>-0.67154359999999902</v>
      </c>
      <c r="AH3210">
        <v>49.065772169198702</v>
      </c>
      <c r="AI3210">
        <v>90.716803714059594</v>
      </c>
      <c r="AJ3210">
        <v>113.918495207788</v>
      </c>
      <c r="AK3210">
        <v>53.679434126075598</v>
      </c>
      <c r="AL3210">
        <v>82.619470122476201</v>
      </c>
      <c r="AM3210">
        <v>96.709446969922297</v>
      </c>
      <c r="AN3210">
        <v>0.99999998683260505</v>
      </c>
    </row>
    <row r="3211" spans="1:40" x14ac:dyDescent="0.3">
      <c r="A3211" t="str">
        <f>"20200111150015098"</f>
        <v>20200111150015098</v>
      </c>
      <c r="B3211" t="str">
        <f>"1578726015089272"</f>
        <v>1578726015089272</v>
      </c>
      <c r="C3211" t="s">
        <v>40</v>
      </c>
      <c r="D3211">
        <v>4.0967640000000003</v>
      </c>
      <c r="E3211">
        <v>0.3787566</v>
      </c>
      <c r="F3211" t="s">
        <v>65</v>
      </c>
      <c r="G3211">
        <v>-512.82529999999997</v>
      </c>
      <c r="H3211">
        <v>0.40419319999999997</v>
      </c>
      <c r="I3211">
        <v>237.17939999999999</v>
      </c>
      <c r="J3211">
        <v>-480.21300000000002</v>
      </c>
      <c r="K3211">
        <v>1.1211850000000001</v>
      </c>
      <c r="L3211">
        <v>280.16120000000001</v>
      </c>
      <c r="M3211">
        <v>-0.8750947</v>
      </c>
      <c r="N3211">
        <v>0</v>
      </c>
      <c r="O3211">
        <v>-0.48364689999999999</v>
      </c>
      <c r="P3211">
        <v>-0.81046530000000006</v>
      </c>
      <c r="Q3211">
        <v>0.1155375</v>
      </c>
      <c r="R3211">
        <v>-0.57427980000000001</v>
      </c>
      <c r="S3211">
        <v>-1.9250179999999999</v>
      </c>
      <c r="T3211">
        <v>-4.2107110000000003E-2</v>
      </c>
      <c r="U3211">
        <v>-2.529938</v>
      </c>
      <c r="V3211">
        <v>-0.1159115</v>
      </c>
      <c r="W3211">
        <v>0.12784429999999999</v>
      </c>
      <c r="X3211">
        <v>0.98499760000000003</v>
      </c>
      <c r="Y3211">
        <v>-0.40361459999999999</v>
      </c>
      <c r="Z3211">
        <v>3.9633589999999996E-3</v>
      </c>
      <c r="AA3211">
        <v>0.91492050000000003</v>
      </c>
      <c r="AB3211">
        <v>38</v>
      </c>
      <c r="AC3211">
        <v>-32.612299999999898</v>
      </c>
      <c r="AD3211">
        <v>-0.71699179999999996</v>
      </c>
      <c r="AE3211">
        <v>-42.9818</v>
      </c>
      <c r="AF3211">
        <v>-21.839672256322402</v>
      </c>
      <c r="AG3211">
        <v>-0.71699179999999996</v>
      </c>
      <c r="AH3211">
        <v>49.325430318197</v>
      </c>
      <c r="AI3211">
        <v>90.761494973199504</v>
      </c>
      <c r="AJ3211">
        <v>113.882181287007</v>
      </c>
      <c r="AK3211">
        <v>53.948896537187402</v>
      </c>
      <c r="AL3211">
        <v>82.654959320569603</v>
      </c>
      <c r="AM3211">
        <v>96.711525294900397</v>
      </c>
      <c r="AN3211">
        <v>0.99999995644024897</v>
      </c>
    </row>
    <row r="3212" spans="1:40" x14ac:dyDescent="0.3">
      <c r="A3212" t="str">
        <f>"20200111150015109"</f>
        <v>20200111150015109</v>
      </c>
      <c r="B3212" t="str">
        <f>"1578726015099032"</f>
        <v>1578726015099032</v>
      </c>
      <c r="C3212" t="s">
        <v>40</v>
      </c>
      <c r="D3212">
        <v>4.0816749999999997</v>
      </c>
      <c r="E3212">
        <v>0.37931910000000002</v>
      </c>
      <c r="F3212" t="s">
        <v>65</v>
      </c>
      <c r="G3212">
        <v>-512.82529999999997</v>
      </c>
      <c r="H3212">
        <v>0.3879843</v>
      </c>
      <c r="I3212">
        <v>236.65870000000001</v>
      </c>
      <c r="J3212">
        <v>-480.37240000000003</v>
      </c>
      <c r="K3212">
        <v>1.121219</v>
      </c>
      <c r="L3212">
        <v>280.06849999999997</v>
      </c>
      <c r="M3212">
        <v>-0.87107690000000004</v>
      </c>
      <c r="N3212">
        <v>0</v>
      </c>
      <c r="O3212">
        <v>-0.4908458</v>
      </c>
      <c r="P3212">
        <v>-0.80576130000000001</v>
      </c>
      <c r="Q3212">
        <v>0.11499089999999999</v>
      </c>
      <c r="R3212">
        <v>-0.58096969999999903</v>
      </c>
      <c r="S3212">
        <v>-1.906067</v>
      </c>
      <c r="T3212">
        <v>-4.2848589999999999E-2</v>
      </c>
      <c r="U3212">
        <v>-2.5425420000000001</v>
      </c>
      <c r="V3212">
        <v>-0.11589720000000001</v>
      </c>
      <c r="W3212">
        <v>0.12729949999999901</v>
      </c>
      <c r="X3212">
        <v>0.98506990000000005</v>
      </c>
      <c r="Y3212">
        <v>-0.40261089999999999</v>
      </c>
      <c r="Z3212">
        <v>4.1501009999999998E-3</v>
      </c>
      <c r="AA3212">
        <v>0.9153618</v>
      </c>
      <c r="AB3212">
        <v>38</v>
      </c>
      <c r="AC3212">
        <v>-32.4528999999999</v>
      </c>
      <c r="AD3212">
        <v>-0.73323469999999902</v>
      </c>
      <c r="AE3212">
        <v>-43.409799999999898</v>
      </c>
      <c r="AF3212">
        <v>-21.883132700804399</v>
      </c>
      <c r="AG3212">
        <v>-0.73323469999999902</v>
      </c>
      <c r="AH3212">
        <v>49.574741416527402</v>
      </c>
      <c r="AI3212">
        <v>90.775215020345996</v>
      </c>
      <c r="AJ3212">
        <v>113.81747758592201</v>
      </c>
      <c r="AK3212">
        <v>54.1946871606605</v>
      </c>
      <c r="AL3212">
        <v>82.686431645949199</v>
      </c>
      <c r="AM3212">
        <v>96.710216800179296</v>
      </c>
      <c r="AN3212">
        <v>1.0000000157770399</v>
      </c>
    </row>
    <row r="3213" spans="1:40" x14ac:dyDescent="0.3">
      <c r="A3213" t="str">
        <f>"20200111150015124"</f>
        <v>20200111150015124</v>
      </c>
      <c r="B3213" t="str">
        <f>"1578726015119528"</f>
        <v>1578726015119528</v>
      </c>
      <c r="C3213" t="s">
        <v>40</v>
      </c>
      <c r="D3213">
        <v>4.0926470000000004</v>
      </c>
      <c r="E3213">
        <v>0.3802643</v>
      </c>
      <c r="F3213" t="s">
        <v>65</v>
      </c>
      <c r="G3213">
        <v>-512.82529999999997</v>
      </c>
      <c r="H3213">
        <v>0.35967080000000001</v>
      </c>
      <c r="I3213">
        <v>236.1395</v>
      </c>
      <c r="J3213">
        <v>-480.57089999999999</v>
      </c>
      <c r="K3213">
        <v>1.121264</v>
      </c>
      <c r="L3213">
        <v>279.95139999999998</v>
      </c>
      <c r="M3213">
        <v>-0.86595949999999899</v>
      </c>
      <c r="N3213">
        <v>0</v>
      </c>
      <c r="O3213">
        <v>-0.49981799999999998</v>
      </c>
      <c r="P3213">
        <v>-0.79986480000000004</v>
      </c>
      <c r="Q3213">
        <v>0.1148189</v>
      </c>
      <c r="R3213">
        <v>-0.58909540000000005</v>
      </c>
      <c r="S3213">
        <v>-1.887421</v>
      </c>
      <c r="T3213">
        <v>-4.4286489999999998E-2</v>
      </c>
      <c r="U3213">
        <v>-2.55484</v>
      </c>
      <c r="V3213">
        <v>-0.1156877</v>
      </c>
      <c r="W3213">
        <v>0.12713869999999999</v>
      </c>
      <c r="X3213">
        <v>0.98511530000000003</v>
      </c>
      <c r="Y3213">
        <v>-0.39957880000000001</v>
      </c>
      <c r="Z3213">
        <v>4.4520239999999997E-3</v>
      </c>
      <c r="AA3213">
        <v>0.91668799999999995</v>
      </c>
      <c r="AB3213">
        <v>38</v>
      </c>
      <c r="AC3213">
        <v>-32.254399999999897</v>
      </c>
      <c r="AD3213">
        <v>-0.76159319999999997</v>
      </c>
      <c r="AE3213">
        <v>-43.811899999999902</v>
      </c>
      <c r="AF3213">
        <v>-21.8169569443006</v>
      </c>
      <c r="AG3213">
        <v>-0.76159319999999997</v>
      </c>
      <c r="AH3213">
        <v>49.826595139152197</v>
      </c>
      <c r="AI3213">
        <v>90.802174971743398</v>
      </c>
      <c r="AJ3213">
        <v>113.64657622707399</v>
      </c>
      <c r="AK3213">
        <v>54.398981770551003</v>
      </c>
      <c r="AL3213">
        <v>82.695720338347002</v>
      </c>
      <c r="AM3213">
        <v>96.697891592761906</v>
      </c>
      <c r="AN3213">
        <v>1.0000000236315301</v>
      </c>
    </row>
    <row r="3214" spans="1:40" x14ac:dyDescent="0.3">
      <c r="A3214" t="str">
        <f>"20200111150015136"</f>
        <v>20200111150015136</v>
      </c>
      <c r="B3214" t="str">
        <f>"1578726015129288"</f>
        <v>1578726015129288</v>
      </c>
      <c r="C3214" t="s">
        <v>40</v>
      </c>
      <c r="D3214">
        <v>4.0850350000000004</v>
      </c>
      <c r="E3214">
        <v>0.3806138</v>
      </c>
      <c r="F3214" t="s">
        <v>65</v>
      </c>
      <c r="G3214">
        <v>-512.82529999999997</v>
      </c>
      <c r="H3214">
        <v>0.36416120000000002</v>
      </c>
      <c r="I3214">
        <v>235.55799999999999</v>
      </c>
      <c r="J3214">
        <v>-480.75599999999997</v>
      </c>
      <c r="K3214">
        <v>1.1213059999999999</v>
      </c>
      <c r="L3214">
        <v>279.83940000000001</v>
      </c>
      <c r="M3214">
        <v>-0.86104599999999898</v>
      </c>
      <c r="N3214">
        <v>0</v>
      </c>
      <c r="O3214">
        <v>-0.50823549999999995</v>
      </c>
      <c r="P3214">
        <v>-0.79404739999999996</v>
      </c>
      <c r="Q3214">
        <v>0.1151741</v>
      </c>
      <c r="R3214">
        <v>-0.59684510000000002</v>
      </c>
      <c r="S3214">
        <v>-1.8656919999999999</v>
      </c>
      <c r="T3214">
        <v>-4.378903E-2</v>
      </c>
      <c r="U3214">
        <v>-2.567841</v>
      </c>
      <c r="V3214">
        <v>-0.1157195</v>
      </c>
      <c r="W3214">
        <v>0.12749379999999999</v>
      </c>
      <c r="X3214">
        <v>0.98506559999999999</v>
      </c>
      <c r="Y3214">
        <v>-0.39792110000000003</v>
      </c>
      <c r="Z3214">
        <v>4.5467570000000002E-3</v>
      </c>
      <c r="AA3214">
        <v>0.91740829999999995</v>
      </c>
      <c r="AB3214">
        <v>38</v>
      </c>
      <c r="AC3214">
        <v>-32.069299999999998</v>
      </c>
      <c r="AD3214">
        <v>-0.75714479999999895</v>
      </c>
      <c r="AE3214">
        <v>-44.281399999999998</v>
      </c>
      <c r="AF3214">
        <v>-21.828615994128501</v>
      </c>
      <c r="AG3214">
        <v>-0.75714479999999895</v>
      </c>
      <c r="AH3214">
        <v>50.116341700736598</v>
      </c>
      <c r="AI3214">
        <v>90.793548751626901</v>
      </c>
      <c r="AJ3214">
        <v>113.535959447525</v>
      </c>
      <c r="AK3214">
        <v>54.669090443616099</v>
      </c>
      <c r="AL3214">
        <v>82.675207166214406</v>
      </c>
      <c r="AM3214">
        <v>96.7000509123163</v>
      </c>
      <c r="AN3214">
        <v>0.99999995401102304</v>
      </c>
    </row>
    <row r="3215" spans="1:40" x14ac:dyDescent="0.3">
      <c r="A3215" t="str">
        <f>"20200111150015146"</f>
        <v>20200111150015146</v>
      </c>
      <c r="B3215" t="str">
        <f>"1578726015139048"</f>
        <v>1578726015139048</v>
      </c>
      <c r="C3215" t="s">
        <v>40</v>
      </c>
      <c r="D3215">
        <v>4.1010519999999904</v>
      </c>
      <c r="E3215">
        <v>0.38077260000000002</v>
      </c>
      <c r="F3215" t="s">
        <v>61</v>
      </c>
      <c r="G3215">
        <v>-502.42680000000001</v>
      </c>
      <c r="H3215">
        <v>0.63253059999999905</v>
      </c>
      <c r="I3215">
        <v>249.44159999999999</v>
      </c>
      <c r="J3215">
        <v>-480.90530000000001</v>
      </c>
      <c r="K3215">
        <v>1.1213420000000001</v>
      </c>
      <c r="L3215">
        <v>279.74700000000001</v>
      </c>
      <c r="M3215">
        <v>-0.85698129999999995</v>
      </c>
      <c r="N3215">
        <v>0</v>
      </c>
      <c r="O3215">
        <v>-0.51505920000000005</v>
      </c>
      <c r="P3215">
        <v>-0.78926280000000004</v>
      </c>
      <c r="Q3215">
        <v>0.1154541</v>
      </c>
      <c r="R3215">
        <v>-0.60310419999999998</v>
      </c>
      <c r="S3215">
        <v>-1.842041</v>
      </c>
      <c r="T3215">
        <v>-4.1546340000000001E-2</v>
      </c>
      <c r="U3215">
        <v>-2.5838320000000001</v>
      </c>
      <c r="V3215">
        <v>-0.1157275</v>
      </c>
      <c r="W3215">
        <v>0.12777620000000001</v>
      </c>
      <c r="X3215">
        <v>0.98502809999999996</v>
      </c>
      <c r="Y3215">
        <v>-0.39888240000000003</v>
      </c>
      <c r="Z3215">
        <v>4.4093149999999996E-3</v>
      </c>
      <c r="AA3215">
        <v>0.91699149999999996</v>
      </c>
      <c r="AB3215">
        <v>38</v>
      </c>
      <c r="AC3215">
        <v>-21.5215</v>
      </c>
      <c r="AD3215">
        <v>-0.48881140000000001</v>
      </c>
      <c r="AE3215">
        <v>-30.305399999999999</v>
      </c>
      <c r="AF3215">
        <v>-14.8859517423505</v>
      </c>
      <c r="AG3215">
        <v>-0.48881140000000001</v>
      </c>
      <c r="AH3215">
        <v>34.051768278658599</v>
      </c>
      <c r="AI3215">
        <v>90.753570824585594</v>
      </c>
      <c r="AJ3215">
        <v>113.612856291323</v>
      </c>
      <c r="AK3215">
        <v>37.166563182029797</v>
      </c>
      <c r="AL3215">
        <v>82.658893636717593</v>
      </c>
      <c r="AM3215">
        <v>96.700762662043303</v>
      </c>
      <c r="AN3215">
        <v>0.99999998466614903</v>
      </c>
    </row>
    <row r="3216" spans="1:40" x14ac:dyDescent="0.3">
      <c r="A3216" t="str">
        <f>"20200111150015157"</f>
        <v>20200111150015157</v>
      </c>
      <c r="B3216" t="str">
        <f>"1578726015148807"</f>
        <v>1578726015148807</v>
      </c>
      <c r="C3216" t="s">
        <v>40</v>
      </c>
      <c r="D3216">
        <v>4.4821710000000001</v>
      </c>
      <c r="E3216">
        <v>0.38027870000000003</v>
      </c>
      <c r="F3216" t="s">
        <v>61</v>
      </c>
      <c r="G3216">
        <v>-502.16370000000001</v>
      </c>
      <c r="H3216">
        <v>0.63090829999999998</v>
      </c>
      <c r="I3216">
        <v>249.44200000000001</v>
      </c>
      <c r="J3216">
        <v>-481.06619999999998</v>
      </c>
      <c r="K3216">
        <v>1.1213799999999901</v>
      </c>
      <c r="L3216">
        <v>279.64620000000002</v>
      </c>
      <c r="M3216">
        <v>-0.85251270000000001</v>
      </c>
      <c r="N3216">
        <v>0</v>
      </c>
      <c r="O3216">
        <v>-0.52242189999999999</v>
      </c>
      <c r="P3216">
        <v>-0.7839275</v>
      </c>
      <c r="Q3216">
        <v>0.1154095</v>
      </c>
      <c r="R3216">
        <v>-0.61003149999999995</v>
      </c>
      <c r="S3216">
        <v>-1.8222050000000001</v>
      </c>
      <c r="T3216">
        <v>-4.2038560000000003E-2</v>
      </c>
      <c r="U3216">
        <v>-2.5976560000000002</v>
      </c>
      <c r="V3216">
        <v>-0.1159245</v>
      </c>
      <c r="W3216">
        <v>0.12772649999999999</v>
      </c>
      <c r="X3216">
        <v>0.98501139999999998</v>
      </c>
      <c r="Y3216">
        <v>-0.39797090000000002</v>
      </c>
      <c r="Z3216">
        <v>4.5775099999999999E-3</v>
      </c>
      <c r="AA3216">
        <v>0.91738660000000005</v>
      </c>
      <c r="AB3216">
        <v>38</v>
      </c>
      <c r="AC3216">
        <v>-21.0975</v>
      </c>
      <c r="AD3216">
        <v>-0.49047169999999901</v>
      </c>
      <c r="AE3216">
        <v>-30.2042</v>
      </c>
      <c r="AF3216">
        <v>-14.7272489436351</v>
      </c>
      <c r="AG3216">
        <v>-0.49047169999999901</v>
      </c>
      <c r="AH3216">
        <v>33.764261362197097</v>
      </c>
      <c r="AI3216">
        <v>90.762841389587507</v>
      </c>
      <c r="AJ3216">
        <v>113.56580060003699</v>
      </c>
      <c r="AK3216">
        <v>36.839622273729397</v>
      </c>
      <c r="AL3216">
        <v>82.661764899966897</v>
      </c>
      <c r="AM3216">
        <v>96.7121779741599</v>
      </c>
      <c r="AN3216">
        <v>1.00000000331623</v>
      </c>
    </row>
    <row r="3217" spans="1:40" x14ac:dyDescent="0.3">
      <c r="A3217" t="str">
        <f>"20200111150015169"</f>
        <v>20200111150015169</v>
      </c>
      <c r="B3217" t="str">
        <f>"1578726015159545"</f>
        <v>1578726015159545</v>
      </c>
      <c r="C3217" t="s">
        <v>40</v>
      </c>
      <c r="D3217">
        <v>4.1350769999999999</v>
      </c>
      <c r="E3217">
        <v>0.38027870000000003</v>
      </c>
      <c r="F3217" t="s">
        <v>61</v>
      </c>
      <c r="G3217">
        <v>-501.9255</v>
      </c>
      <c r="H3217">
        <v>0.64802590000000004</v>
      </c>
      <c r="I3217">
        <v>249.2653</v>
      </c>
      <c r="J3217">
        <v>-481.22550000000001</v>
      </c>
      <c r="K3217">
        <v>1.121416</v>
      </c>
      <c r="L3217">
        <v>279.5437</v>
      </c>
      <c r="M3217">
        <v>-0.84796640000000001</v>
      </c>
      <c r="N3217">
        <v>0</v>
      </c>
      <c r="O3217">
        <v>-0.52976889999999999</v>
      </c>
      <c r="P3217">
        <v>-0.77857699999999996</v>
      </c>
      <c r="Q3217">
        <v>0.1156384</v>
      </c>
      <c r="R3217">
        <v>-0.61680269999999904</v>
      </c>
      <c r="S3217">
        <v>-1.7966310000000001</v>
      </c>
      <c r="T3217">
        <v>-4.077041E-2</v>
      </c>
      <c r="U3217">
        <v>-2.61673</v>
      </c>
      <c r="V3217">
        <v>-0.1159901</v>
      </c>
      <c r="W3217">
        <v>0.12795680000000001</v>
      </c>
      <c r="X3217">
        <v>0.98497380000000001</v>
      </c>
      <c r="Y3217">
        <v>-0.39926</v>
      </c>
      <c r="Z3217">
        <v>4.5364289999999998E-3</v>
      </c>
      <c r="AA3217">
        <v>0.91682649999999999</v>
      </c>
      <c r="AB3217">
        <v>38</v>
      </c>
      <c r="AC3217">
        <v>-20.6999999999999</v>
      </c>
      <c r="AD3217">
        <v>-0.47339009999999898</v>
      </c>
      <c r="AE3217">
        <v>-30.278400000000001</v>
      </c>
      <c r="AF3217">
        <v>-14.7085907786131</v>
      </c>
      <c r="AG3217">
        <v>-0.47339009999999898</v>
      </c>
      <c r="AH3217">
        <v>33.592867985051903</v>
      </c>
      <c r="AI3217">
        <v>90.739579815547799</v>
      </c>
      <c r="AJ3217">
        <v>113.64614086995699</v>
      </c>
      <c r="AK3217">
        <v>36.674889506862897</v>
      </c>
      <c r="AL3217">
        <v>82.648460610207593</v>
      </c>
      <c r="AM3217">
        <v>96.716195642407698</v>
      </c>
      <c r="AN3217">
        <v>1.00000001632534</v>
      </c>
    </row>
    <row r="3218" spans="1:40" x14ac:dyDescent="0.3">
      <c r="A3218" t="str">
        <f>"20200111150015421"</f>
        <v>20200111150015421</v>
      </c>
      <c r="B3218" t="str">
        <f>"1578726015419284"</f>
        <v>1578726015419284</v>
      </c>
      <c r="C3218" t="s">
        <v>40</v>
      </c>
      <c r="D3218">
        <v>4.3256019999999999</v>
      </c>
      <c r="E3218">
        <v>0.3514872</v>
      </c>
      <c r="F3218" t="s">
        <v>65</v>
      </c>
      <c r="G3218">
        <v>-512.82529999999997</v>
      </c>
      <c r="H3218">
        <v>0.42700589999999999</v>
      </c>
      <c r="I3218">
        <v>232.63460000000001</v>
      </c>
      <c r="J3218">
        <v>-484.45639999999997</v>
      </c>
      <c r="K3218">
        <v>1.122023</v>
      </c>
      <c r="L3218">
        <v>276.97379999999998</v>
      </c>
      <c r="M3218">
        <v>-0.72797299999999998</v>
      </c>
      <c r="N3218">
        <v>0</v>
      </c>
      <c r="O3218">
        <v>-0.68537969999999904</v>
      </c>
      <c r="P3218">
        <v>-0.63339369999999995</v>
      </c>
      <c r="Q3218">
        <v>0.1141187</v>
      </c>
      <c r="R3218">
        <v>-0.76536879999999996</v>
      </c>
      <c r="S3218">
        <v>-1.773407</v>
      </c>
      <c r="T3218">
        <v>-3.8966889999999997E-2</v>
      </c>
      <c r="U3218">
        <v>-2.632568</v>
      </c>
      <c r="V3218">
        <v>-0.1286262</v>
      </c>
      <c r="W3218">
        <v>0.1260318</v>
      </c>
      <c r="X3218">
        <v>0.98365199999999997</v>
      </c>
      <c r="Y3218">
        <v>-0.2208947</v>
      </c>
      <c r="Z3218">
        <v>7.4152209999999996E-3</v>
      </c>
      <c r="AA3218">
        <v>0.97526950000000001</v>
      </c>
      <c r="AB3218">
        <v>37</v>
      </c>
      <c r="AC3218">
        <v>-28.3689</v>
      </c>
      <c r="AD3218">
        <v>-0.69501709999999906</v>
      </c>
      <c r="AE3218">
        <v>-44.339199999999899</v>
      </c>
      <c r="AF3218">
        <v>-12.8340244455961</v>
      </c>
      <c r="AG3218">
        <v>-0.69501709999999906</v>
      </c>
      <c r="AH3218">
        <v>51.039995252976702</v>
      </c>
      <c r="AI3218">
        <v>90.756604983236201</v>
      </c>
      <c r="AJ3218">
        <v>104.11442726232301</v>
      </c>
      <c r="AK3218">
        <v>52.633414744469498</v>
      </c>
      <c r="AL3218">
        <v>82.759655071557802</v>
      </c>
      <c r="AM3218">
        <v>97.449950390209693</v>
      </c>
      <c r="AN3218">
        <v>0.99999998552083902</v>
      </c>
    </row>
    <row r="3219" spans="1:40" x14ac:dyDescent="0.3">
      <c r="A3219" t="str">
        <f>"20200111150015430"</f>
        <v>20200111150015430</v>
      </c>
      <c r="B3219" t="str">
        <f>"1578726015429043"</f>
        <v>1578726015429043</v>
      </c>
      <c r="C3219" t="s">
        <v>40</v>
      </c>
      <c r="D3219">
        <v>4.3479979999999996</v>
      </c>
      <c r="E3219">
        <v>0.35117880000000001</v>
      </c>
      <c r="F3219" t="s">
        <v>72</v>
      </c>
      <c r="G3219">
        <v>-511.92570000000001</v>
      </c>
      <c r="H3219">
        <v>1.632366</v>
      </c>
      <c r="I3219">
        <v>192.45769999999999</v>
      </c>
      <c r="J3219">
        <v>-484.57350000000002</v>
      </c>
      <c r="K3219">
        <v>1.1220410000000001</v>
      </c>
      <c r="L3219">
        <v>276.8578</v>
      </c>
      <c r="M3219">
        <v>-0.72233480000000005</v>
      </c>
      <c r="N3219">
        <v>0</v>
      </c>
      <c r="O3219">
        <v>-0.69131899999999902</v>
      </c>
      <c r="P3219">
        <v>-0.62676200000000004</v>
      </c>
      <c r="Q3219">
        <v>0.113853</v>
      </c>
      <c r="R3219">
        <v>-0.77084819999999998</v>
      </c>
      <c r="S3219">
        <v>-1.0032350000000001</v>
      </c>
      <c r="T3219">
        <v>1.864064E-2</v>
      </c>
      <c r="U3219">
        <v>-3.0866699999999998</v>
      </c>
      <c r="V3219">
        <v>-0.1290867</v>
      </c>
      <c r="W3219">
        <v>0.12575319999999901</v>
      </c>
      <c r="X3219">
        <v>0.98362729999999998</v>
      </c>
      <c r="Y3219">
        <v>-0.47334500000000002</v>
      </c>
      <c r="Z3219">
        <v>-2.9268459999999999E-3</v>
      </c>
      <c r="AA3219">
        <v>0.88087219999999999</v>
      </c>
      <c r="AB3219">
        <v>37</v>
      </c>
      <c r="AC3219">
        <v>-27.3521999999999</v>
      </c>
      <c r="AD3219">
        <v>0.51032499999999903</v>
      </c>
      <c r="AE3219">
        <v>-84.400099999999995</v>
      </c>
      <c r="AF3219">
        <v>-42.061172430260598</v>
      </c>
      <c r="AG3219">
        <v>0.51032499999999903</v>
      </c>
      <c r="AH3219">
        <v>78.114381910624303</v>
      </c>
      <c r="AI3219">
        <v>89.670428414494197</v>
      </c>
      <c r="AJ3219">
        <v>118.300518179533</v>
      </c>
      <c r="AK3219">
        <v>88.720117893815996</v>
      </c>
      <c r="AL3219">
        <v>82.775745468529195</v>
      </c>
      <c r="AM3219">
        <v>97.476506683709005</v>
      </c>
      <c r="AN3219">
        <v>0.99999995436620803</v>
      </c>
    </row>
    <row r="3220" spans="1:40" x14ac:dyDescent="0.3">
      <c r="A3220" t="str">
        <f>"20200111150015451"</f>
        <v>20200111150015451</v>
      </c>
      <c r="B3220" t="str">
        <f>"1578726015449043"</f>
        <v>1578726015449043</v>
      </c>
      <c r="C3220" t="s">
        <v>40</v>
      </c>
      <c r="D3220">
        <v>4.437716</v>
      </c>
      <c r="E3220">
        <v>0.35272239999999999</v>
      </c>
      <c r="F3220" t="s">
        <v>72</v>
      </c>
      <c r="G3220">
        <v>-511.92570000000001</v>
      </c>
      <c r="H3220">
        <v>1.6365909999999999</v>
      </c>
      <c r="I3220">
        <v>189.9282</v>
      </c>
      <c r="J3220">
        <v>-484.81130000000002</v>
      </c>
      <c r="K3220">
        <v>1.1220760000000001</v>
      </c>
      <c r="L3220">
        <v>276.6182</v>
      </c>
      <c r="M3220">
        <v>-0.71060760000000001</v>
      </c>
      <c r="N3220">
        <v>0</v>
      </c>
      <c r="O3220">
        <v>-0.70336699999999996</v>
      </c>
      <c r="P3220">
        <v>-0.6133748</v>
      </c>
      <c r="Q3220">
        <v>0.11255510000000001</v>
      </c>
      <c r="R3220">
        <v>-0.78173079999999995</v>
      </c>
      <c r="S3220">
        <v>-0.97442629999999997</v>
      </c>
      <c r="T3220">
        <v>1.833284E-2</v>
      </c>
      <c r="U3220">
        <v>-3.0968629999999999</v>
      </c>
      <c r="V3220">
        <v>-0.1296021</v>
      </c>
      <c r="W3220">
        <v>0.1244484</v>
      </c>
      <c r="X3220">
        <v>0.98372550000000003</v>
      </c>
      <c r="Y3220">
        <v>-0.46680820000000001</v>
      </c>
      <c r="Z3220">
        <v>-2.9781909999999998E-3</v>
      </c>
      <c r="AA3220">
        <v>0.88435359999999996</v>
      </c>
      <c r="AB3220">
        <v>37</v>
      </c>
      <c r="AC3220">
        <v>-27.1143999999999</v>
      </c>
      <c r="AD3220">
        <v>0.51451499999999895</v>
      </c>
      <c r="AE3220">
        <v>-86.69</v>
      </c>
      <c r="AF3220">
        <v>-42.536463890815</v>
      </c>
      <c r="AG3220">
        <v>0.51451499999999895</v>
      </c>
      <c r="AH3220">
        <v>80.252517724594099</v>
      </c>
      <c r="AI3220">
        <v>89.675440847459001</v>
      </c>
      <c r="AJ3220">
        <v>117.925055315272</v>
      </c>
      <c r="AK3220">
        <v>90.829962496723198</v>
      </c>
      <c r="AL3220">
        <v>82.851097182092502</v>
      </c>
      <c r="AM3220">
        <v>97.505277423059795</v>
      </c>
      <c r="AN3220">
        <v>0.99999998396860901</v>
      </c>
    </row>
    <row r="3221" spans="1:40" x14ac:dyDescent="0.3">
      <c r="A3221" t="str">
        <f>"20200111150015463"</f>
        <v>20200111150015463</v>
      </c>
      <c r="B3221" t="str">
        <f>"1578726015458802"</f>
        <v>1578726015458802</v>
      </c>
      <c r="C3221" t="s">
        <v>40</v>
      </c>
      <c r="D3221">
        <v>4.321472</v>
      </c>
      <c r="E3221">
        <v>0.35326600000000002</v>
      </c>
      <c r="F3221" t="s">
        <v>72</v>
      </c>
      <c r="G3221">
        <v>-511.92559999999997</v>
      </c>
      <c r="H3221">
        <v>1.2828740000000001</v>
      </c>
      <c r="I3221">
        <v>186.09360000000001</v>
      </c>
      <c r="J3221">
        <v>-484.9393</v>
      </c>
      <c r="K3221">
        <v>1.1220969999999999</v>
      </c>
      <c r="L3221">
        <v>276.4862</v>
      </c>
      <c r="M3221">
        <v>-0.70411060000000003</v>
      </c>
      <c r="N3221">
        <v>0</v>
      </c>
      <c r="O3221">
        <v>-0.70987060000000002</v>
      </c>
      <c r="P3221">
        <v>-0.60583359999999997</v>
      </c>
      <c r="Q3221">
        <v>0.111983399999999</v>
      </c>
      <c r="R3221">
        <v>-0.78767089999999995</v>
      </c>
      <c r="S3221">
        <v>-0.93054199999999998</v>
      </c>
      <c r="T3221">
        <v>5.5203439999999999E-3</v>
      </c>
      <c r="U3221">
        <v>-3.1067200000000001</v>
      </c>
      <c r="V3221">
        <v>-0.1300521</v>
      </c>
      <c r="W3221">
        <v>0.123865</v>
      </c>
      <c r="X3221">
        <v>0.98373969999999999</v>
      </c>
      <c r="Y3221">
        <v>-0.47089340000000002</v>
      </c>
      <c r="Z3221">
        <v>-9.086214E-4</v>
      </c>
      <c r="AA3221">
        <v>0.88218960000000002</v>
      </c>
      <c r="AB3221">
        <v>37</v>
      </c>
      <c r="AC3221">
        <v>-26.9862999999999</v>
      </c>
      <c r="AD3221">
        <v>0.160777</v>
      </c>
      <c r="AE3221">
        <v>-90.392600000000002</v>
      </c>
      <c r="AF3221">
        <v>-44.496419474213901</v>
      </c>
      <c r="AG3221">
        <v>0.160777</v>
      </c>
      <c r="AH3221">
        <v>83.181124530524201</v>
      </c>
      <c r="AI3221">
        <v>89.902349431250499</v>
      </c>
      <c r="AJ3221">
        <v>118.143845297703</v>
      </c>
      <c r="AK3221">
        <v>94.334811567265604</v>
      </c>
      <c r="AL3221">
        <v>82.884783890870807</v>
      </c>
      <c r="AM3221">
        <v>97.530930923265103</v>
      </c>
      <c r="AN3221">
        <v>0.99999994214774801</v>
      </c>
    </row>
    <row r="3222" spans="1:40" x14ac:dyDescent="0.3">
      <c r="A3222" t="str">
        <f>"20200111150015474"</f>
        <v>20200111150015474</v>
      </c>
      <c r="B3222" t="str">
        <f>"1578726015468562"</f>
        <v>1578726015468562</v>
      </c>
      <c r="C3222" t="s">
        <v>40</v>
      </c>
      <c r="D3222">
        <v>4.2008700000000001</v>
      </c>
      <c r="E3222">
        <v>0.35289599999999999</v>
      </c>
      <c r="F3222" t="s">
        <v>72</v>
      </c>
      <c r="G3222">
        <v>-511.92559999999997</v>
      </c>
      <c r="H3222">
        <v>1.128439</v>
      </c>
      <c r="I3222">
        <v>183.5556</v>
      </c>
      <c r="J3222">
        <v>-485.0659</v>
      </c>
      <c r="K3222">
        <v>1.122115</v>
      </c>
      <c r="L3222">
        <v>276.3526</v>
      </c>
      <c r="M3222">
        <v>-0.697523</v>
      </c>
      <c r="N3222">
        <v>0</v>
      </c>
      <c r="O3222">
        <v>-0.71634449999999905</v>
      </c>
      <c r="P3222">
        <v>-0.59864399999999995</v>
      </c>
      <c r="Q3222">
        <v>0.1116732</v>
      </c>
      <c r="R3222">
        <v>-0.79319300000000004</v>
      </c>
      <c r="S3222">
        <v>-0.90408330000000003</v>
      </c>
      <c r="T3222">
        <v>2.1421910000000001E-4</v>
      </c>
      <c r="U3222">
        <v>-3.1133120000000001</v>
      </c>
      <c r="V3222">
        <v>-0.12993679999999999</v>
      </c>
      <c r="W3222">
        <v>0.12356830000000001</v>
      </c>
      <c r="X3222">
        <v>0.98379229999999995</v>
      </c>
      <c r="Y3222">
        <v>-0.47015570000000001</v>
      </c>
      <c r="Z3222" s="1">
        <v>-3.5829340000000002E-5</v>
      </c>
      <c r="AA3222">
        <v>0.88258349999999997</v>
      </c>
      <c r="AB3222">
        <v>37</v>
      </c>
      <c r="AC3222">
        <v>-26.859699999999901</v>
      </c>
      <c r="AD3222">
        <v>6.3239999999999902E-3</v>
      </c>
      <c r="AE3222">
        <v>-92.796999999999997</v>
      </c>
      <c r="AF3222">
        <v>-45.494345986961797</v>
      </c>
      <c r="AG3222">
        <v>6.3239999999999902E-3</v>
      </c>
      <c r="AH3222">
        <v>85.223184030653599</v>
      </c>
      <c r="AI3222">
        <v>89.996249318200498</v>
      </c>
      <c r="AJ3222">
        <v>118.094456186972</v>
      </c>
      <c r="AK3222">
        <v>96.606038388379304</v>
      </c>
      <c r="AL3222">
        <v>82.901915523097699</v>
      </c>
      <c r="AM3222">
        <v>97.523933084970395</v>
      </c>
      <c r="AN3222">
        <v>0.99999999314920895</v>
      </c>
    </row>
    <row r="3223" spans="1:40" x14ac:dyDescent="0.3">
      <c r="A3223" t="str">
        <f>"20200111150015486"</f>
        <v>20200111150015486</v>
      </c>
      <c r="B3223" t="str">
        <f>"1578726015479298"</f>
        <v>1578726015479298</v>
      </c>
      <c r="C3223" t="s">
        <v>40</v>
      </c>
      <c r="D3223">
        <v>4.2987729999999997</v>
      </c>
      <c r="E3223">
        <v>0.35287780000000002</v>
      </c>
      <c r="F3223" t="s">
        <v>72</v>
      </c>
      <c r="G3223">
        <v>-511.27780000000001</v>
      </c>
      <c r="H3223">
        <v>1.1481570000000001</v>
      </c>
      <c r="I3223">
        <v>182.61779999999999</v>
      </c>
      <c r="J3223">
        <v>-485.18970000000002</v>
      </c>
      <c r="K3223">
        <v>1.1221380000000001</v>
      </c>
      <c r="L3223">
        <v>276.21969999999999</v>
      </c>
      <c r="M3223">
        <v>-0.69094460000000002</v>
      </c>
      <c r="N3223">
        <v>0</v>
      </c>
      <c r="O3223">
        <v>-0.72269119999999998</v>
      </c>
      <c r="P3223">
        <v>-0.5915068</v>
      </c>
      <c r="Q3223">
        <v>0.1116134</v>
      </c>
      <c r="R3223">
        <v>-0.79853769999999902</v>
      </c>
      <c r="S3223">
        <v>-0.87332149999999997</v>
      </c>
      <c r="T3223">
        <v>8.6939329999999998E-4</v>
      </c>
      <c r="U3223">
        <v>-3.1230159999999998</v>
      </c>
      <c r="V3223">
        <v>-0.1297739</v>
      </c>
      <c r="W3223">
        <v>0.12352390000000001</v>
      </c>
      <c r="X3223">
        <v>0.98381940000000001</v>
      </c>
      <c r="Y3223">
        <v>-0.47086359999999999</v>
      </c>
      <c r="Z3223">
        <v>-1.4743389999999999E-4</v>
      </c>
      <c r="AA3223">
        <v>0.88220599999999905</v>
      </c>
      <c r="AB3223">
        <v>37</v>
      </c>
      <c r="AC3223">
        <v>-26.088100000000001</v>
      </c>
      <c r="AD3223">
        <v>2.6019E-2</v>
      </c>
      <c r="AE3223">
        <v>-93.601900000000001</v>
      </c>
      <c r="AF3223">
        <v>-45.827256053452501</v>
      </c>
      <c r="AG3223">
        <v>2.6019E-2</v>
      </c>
      <c r="AH3223">
        <v>85.684105257945603</v>
      </c>
      <c r="AI3223">
        <v>89.9846579480419</v>
      </c>
      <c r="AJ3223">
        <v>118.13963741354</v>
      </c>
      <c r="AK3223">
        <v>97.169460059381706</v>
      </c>
      <c r="AL3223">
        <v>82.9044792544058</v>
      </c>
      <c r="AM3223">
        <v>97.514403668331795</v>
      </c>
      <c r="AN3223">
        <v>1.00000001540438</v>
      </c>
    </row>
    <row r="3224" spans="1:40" x14ac:dyDescent="0.3">
      <c r="A3224" t="str">
        <f>"20200111150015496"</f>
        <v>20200111150015496</v>
      </c>
      <c r="B3224" t="str">
        <f>"1578726015489058"</f>
        <v>1578726015489058</v>
      </c>
      <c r="C3224" t="s">
        <v>40</v>
      </c>
      <c r="D3224">
        <v>4.2636629999999904</v>
      </c>
      <c r="E3224">
        <v>0.35217379999999998</v>
      </c>
      <c r="F3224" t="s">
        <v>72</v>
      </c>
      <c r="G3224">
        <v>-511.0591</v>
      </c>
      <c r="H3224">
        <v>1.156922</v>
      </c>
      <c r="I3224">
        <v>180.34399999999999</v>
      </c>
      <c r="J3224">
        <v>-485.3091</v>
      </c>
      <c r="K3224">
        <v>1.1221620000000001</v>
      </c>
      <c r="L3224">
        <v>276.08940000000001</v>
      </c>
      <c r="M3224">
        <v>-0.68447049999999998</v>
      </c>
      <c r="N3224">
        <v>0</v>
      </c>
      <c r="O3224">
        <v>-0.72882539999999996</v>
      </c>
      <c r="P3224">
        <v>-0.58445269999999905</v>
      </c>
      <c r="Q3224">
        <v>0.1119541</v>
      </c>
      <c r="R3224">
        <v>-0.80366740000000003</v>
      </c>
      <c r="S3224">
        <v>-0.84478759999999997</v>
      </c>
      <c r="T3224">
        <v>1.1376139999999999E-3</v>
      </c>
      <c r="U3224">
        <v>-3.13089</v>
      </c>
      <c r="V3224">
        <v>-0.1296494</v>
      </c>
      <c r="W3224">
        <v>0.1238783</v>
      </c>
      <c r="X3224">
        <v>0.98379119999999998</v>
      </c>
      <c r="Y3224">
        <v>-0.47104669999999998</v>
      </c>
      <c r="Z3224">
        <v>-1.9561160000000001E-4</v>
      </c>
      <c r="AA3224">
        <v>0.88210820000000001</v>
      </c>
      <c r="AB3224">
        <v>37</v>
      </c>
      <c r="AC3224">
        <v>-25.75</v>
      </c>
      <c r="AD3224">
        <v>3.4759999999999902E-2</v>
      </c>
      <c r="AE3224">
        <v>-95.745400000000004</v>
      </c>
      <c r="AF3224">
        <v>-46.774978563598502</v>
      </c>
      <c r="AG3224">
        <v>3.4759999999999902E-2</v>
      </c>
      <c r="AH3224">
        <v>87.420495794865801</v>
      </c>
      <c r="AI3224">
        <v>89.979912759272693</v>
      </c>
      <c r="AJ3224">
        <v>118.14933572002801</v>
      </c>
      <c r="AK3224">
        <v>99.147581477829505</v>
      </c>
      <c r="AL3224">
        <v>82.884016089161506</v>
      </c>
      <c r="AM3224">
        <v>97.507489647789697</v>
      </c>
      <c r="AN3224">
        <v>0.99999996266434399</v>
      </c>
    </row>
    <row r="3225" spans="1:40" x14ac:dyDescent="0.3">
      <c r="A3225" t="str">
        <f>"20200111150015507"</f>
        <v>20200111150015507</v>
      </c>
      <c r="B3225" t="str">
        <f>"1578726015498818"</f>
        <v>1578726015498818</v>
      </c>
      <c r="C3225" t="s">
        <v>40</v>
      </c>
      <c r="D3225">
        <v>4.1970729999999996</v>
      </c>
      <c r="E3225">
        <v>0.35225800000000002</v>
      </c>
      <c r="F3225" t="s">
        <v>72</v>
      </c>
      <c r="G3225">
        <v>-511.92559999999997</v>
      </c>
      <c r="H3225">
        <v>1.3217299999999901</v>
      </c>
      <c r="I3225">
        <v>173.2071</v>
      </c>
      <c r="J3225">
        <v>-485.42239999999998</v>
      </c>
      <c r="K3225">
        <v>1.122179</v>
      </c>
      <c r="L3225">
        <v>275.96300000000002</v>
      </c>
      <c r="M3225">
        <v>-0.67818159999999905</v>
      </c>
      <c r="N3225">
        <v>0</v>
      </c>
      <c r="O3225">
        <v>-0.73468069999999996</v>
      </c>
      <c r="P3225">
        <v>-0.57763180000000003</v>
      </c>
      <c r="Q3225">
        <v>0.1124864</v>
      </c>
      <c r="R3225">
        <v>-0.80851010000000001</v>
      </c>
      <c r="S3225">
        <v>-0.81262209999999901</v>
      </c>
      <c r="T3225">
        <v>6.0944559999999998E-3</v>
      </c>
      <c r="U3225">
        <v>-3.1410520000000002</v>
      </c>
      <c r="V3225">
        <v>-0.12949739999999901</v>
      </c>
      <c r="W3225">
        <v>0.1244238</v>
      </c>
      <c r="X3225">
        <v>0.98374240000000002</v>
      </c>
      <c r="Y3225">
        <v>-0.4726284</v>
      </c>
      <c r="Z3225">
        <v>-1.0601580000000001E-3</v>
      </c>
      <c r="AA3225">
        <v>0.88126119999999997</v>
      </c>
      <c r="AB3225">
        <v>37</v>
      </c>
      <c r="AC3225">
        <v>-26.5032</v>
      </c>
      <c r="AD3225">
        <v>0.19955099999999901</v>
      </c>
      <c r="AE3225">
        <v>-102.755899999999</v>
      </c>
      <c r="AF3225">
        <v>-50.223478941752603</v>
      </c>
      <c r="AG3225">
        <v>0.19955099999999901</v>
      </c>
      <c r="AH3225">
        <v>93.481105669843998</v>
      </c>
      <c r="AI3225">
        <v>89.892257925561296</v>
      </c>
      <c r="AJ3225">
        <v>118.24727426096599</v>
      </c>
      <c r="AK3225">
        <v>106.118588262711</v>
      </c>
      <c r="AL3225">
        <v>82.852517699923894</v>
      </c>
      <c r="AM3225">
        <v>97.499155902043398</v>
      </c>
      <c r="AN3225">
        <v>0.99999998408547996</v>
      </c>
    </row>
    <row r="3226" spans="1:40" x14ac:dyDescent="0.3">
      <c r="A3226" t="str">
        <f>"20200111150015519"</f>
        <v>20200111150015519</v>
      </c>
      <c r="B3226" t="str">
        <f>"1578726015508578"</f>
        <v>1578726015508578</v>
      </c>
      <c r="C3226" t="s">
        <v>40</v>
      </c>
      <c r="D3226">
        <v>4.1857889999999998</v>
      </c>
      <c r="E3226">
        <v>0.3523771</v>
      </c>
      <c r="F3226" t="s">
        <v>72</v>
      </c>
      <c r="G3226">
        <v>-511.92570000000001</v>
      </c>
      <c r="H3226">
        <v>1.366506</v>
      </c>
      <c r="I3226">
        <v>169.8947</v>
      </c>
      <c r="J3226">
        <v>-485.54500000000002</v>
      </c>
      <c r="K3226">
        <v>1.1221969999999999</v>
      </c>
      <c r="L3226">
        <v>275.82470000000001</v>
      </c>
      <c r="M3226">
        <v>-0.67126490000000005</v>
      </c>
      <c r="N3226">
        <v>0</v>
      </c>
      <c r="O3226">
        <v>-0.74100549999999998</v>
      </c>
      <c r="P3226">
        <v>-0.5697584</v>
      </c>
      <c r="Q3226">
        <v>0.1128917</v>
      </c>
      <c r="R3226">
        <v>-0.81402129999999995</v>
      </c>
      <c r="S3226">
        <v>-0.78649899999999995</v>
      </c>
      <c r="T3226">
        <v>7.2519780000000001E-3</v>
      </c>
      <c r="U3226">
        <v>-3.1476139999999999</v>
      </c>
      <c r="V3226">
        <v>-0.1298089</v>
      </c>
      <c r="W3226">
        <v>0.12482260000000001</v>
      </c>
      <c r="X3226">
        <v>0.98365089999999999</v>
      </c>
      <c r="Y3226">
        <v>-0.47168339999999997</v>
      </c>
      <c r="Z3226">
        <v>-1.2804229999999999E-3</v>
      </c>
      <c r="AA3226">
        <v>0.88176710000000003</v>
      </c>
      <c r="AB3226">
        <v>37</v>
      </c>
      <c r="AC3226">
        <v>-26.380699999999901</v>
      </c>
      <c r="AD3226">
        <v>0.244309</v>
      </c>
      <c r="AE3226">
        <v>-105.93</v>
      </c>
      <c r="AF3226">
        <v>-51.566692735862397</v>
      </c>
      <c r="AG3226">
        <v>0.244309</v>
      </c>
      <c r="AH3226">
        <v>96.217789726728796</v>
      </c>
      <c r="AI3226">
        <v>89.871773395180796</v>
      </c>
      <c r="AJ3226">
        <v>118.188513121605</v>
      </c>
      <c r="AK3226">
        <v>109.165225903212</v>
      </c>
      <c r="AL3226">
        <v>82.829489176445705</v>
      </c>
      <c r="AM3226">
        <v>97.517679972508006</v>
      </c>
      <c r="AN3226">
        <v>1.00000006253038</v>
      </c>
    </row>
    <row r="3227" spans="1:40" x14ac:dyDescent="0.3">
      <c r="A3227" t="str">
        <f>"20200111150015530"</f>
        <v>20200111150015530</v>
      </c>
      <c r="B3227" t="str">
        <f>"1578726015519315"</f>
        <v>1578726015519315</v>
      </c>
      <c r="C3227" t="s">
        <v>40</v>
      </c>
      <c r="D3227">
        <v>4.2271400000000003</v>
      </c>
      <c r="E3227">
        <v>0.35305779999999998</v>
      </c>
      <c r="F3227" t="s">
        <v>72</v>
      </c>
      <c r="G3227">
        <v>-511.92559999999997</v>
      </c>
      <c r="H3227">
        <v>1.3674280000000001</v>
      </c>
      <c r="I3227">
        <v>165.9451</v>
      </c>
      <c r="J3227">
        <v>-485.65699999999998</v>
      </c>
      <c r="K3227">
        <v>1.122209</v>
      </c>
      <c r="L3227">
        <v>275.69470000000001</v>
      </c>
      <c r="M3227">
        <v>-0.66476569999999902</v>
      </c>
      <c r="N3227">
        <v>0</v>
      </c>
      <c r="O3227">
        <v>-0.74684110000000004</v>
      </c>
      <c r="P3227">
        <v>-0.56163379999999996</v>
      </c>
      <c r="Q3227">
        <v>0.1135346</v>
      </c>
      <c r="R3227">
        <v>-0.81955929999999999</v>
      </c>
      <c r="S3227">
        <v>-0.757324199999999</v>
      </c>
      <c r="T3227">
        <v>7.0413350000000001E-3</v>
      </c>
      <c r="U3227">
        <v>-3.1543580000000002</v>
      </c>
      <c r="V3227">
        <v>-0.1309748</v>
      </c>
      <c r="W3227">
        <v>0.12541869999999999</v>
      </c>
      <c r="X3227">
        <v>0.98342039999999997</v>
      </c>
      <c r="Y3227">
        <v>-0.47211819999999999</v>
      </c>
      <c r="Z3227">
        <v>-1.2592089999999901E-3</v>
      </c>
      <c r="AA3227">
        <v>0.88153440000000005</v>
      </c>
      <c r="AB3227">
        <v>37</v>
      </c>
      <c r="AC3227">
        <v>-26.2685999999999</v>
      </c>
      <c r="AD3227">
        <v>0.24521899999999999</v>
      </c>
      <c r="AE3227">
        <v>-109.7496</v>
      </c>
      <c r="AF3227">
        <v>-53.347448855266897</v>
      </c>
      <c r="AG3227">
        <v>0.24521899999999999</v>
      </c>
      <c r="AH3227">
        <v>99.443167100060506</v>
      </c>
      <c r="AI3227">
        <v>89.875497405314405</v>
      </c>
      <c r="AJ3227">
        <v>118.21185333192</v>
      </c>
      <c r="AK3227">
        <v>112.849253052972</v>
      </c>
      <c r="AL3227">
        <v>82.795063939509305</v>
      </c>
      <c r="AM3227">
        <v>97.586175659918098</v>
      </c>
      <c r="AN3227">
        <v>0.99999996584044404</v>
      </c>
    </row>
    <row r="3228" spans="1:40" x14ac:dyDescent="0.3">
      <c r="A3228" t="str">
        <f>"20200111150015542"</f>
        <v>20200111150015542</v>
      </c>
      <c r="B3228" t="str">
        <f>"1578726015538834"</f>
        <v>1578726015538834</v>
      </c>
      <c r="C3228" t="s">
        <v>40</v>
      </c>
      <c r="D3228">
        <v>4.2467969999999999</v>
      </c>
      <c r="E3228">
        <v>0.35413699999999998</v>
      </c>
      <c r="F3228" t="s">
        <v>72</v>
      </c>
      <c r="G3228">
        <v>-511.92559999999997</v>
      </c>
      <c r="H3228">
        <v>1.2608440000000001</v>
      </c>
      <c r="I3228">
        <v>162.17750000000001</v>
      </c>
      <c r="J3228">
        <v>-485.77800000000002</v>
      </c>
      <c r="K3228">
        <v>1.12222</v>
      </c>
      <c r="L3228">
        <v>275.55309999999997</v>
      </c>
      <c r="M3228">
        <v>-0.65764359999999999</v>
      </c>
      <c r="N3228">
        <v>0</v>
      </c>
      <c r="O3228">
        <v>-0.75311989999999995</v>
      </c>
      <c r="P3228">
        <v>-0.55260369999999903</v>
      </c>
      <c r="Q3228">
        <v>0.1135597</v>
      </c>
      <c r="R3228">
        <v>-0.82567190000000001</v>
      </c>
      <c r="S3228">
        <v>-0.7310181</v>
      </c>
      <c r="T3228">
        <v>3.8592819999999999E-3</v>
      </c>
      <c r="U3228">
        <v>-3.1589969999999998</v>
      </c>
      <c r="V3228">
        <v>-0.13243729999999901</v>
      </c>
      <c r="W3228">
        <v>0.125384199999999</v>
      </c>
      <c r="X3228">
        <v>0.98322889999999996</v>
      </c>
      <c r="Y3228">
        <v>-0.47099530000000001</v>
      </c>
      <c r="Z3228">
        <v>-7.0061530000000002E-4</v>
      </c>
      <c r="AA3228">
        <v>0.88213549999999996</v>
      </c>
      <c r="AB3228">
        <v>37</v>
      </c>
      <c r="AC3228">
        <v>-26.147599999999901</v>
      </c>
      <c r="AD3228">
        <v>0.138624</v>
      </c>
      <c r="AE3228">
        <v>-113.375599999999</v>
      </c>
      <c r="AF3228">
        <v>-54.877034318934903</v>
      </c>
      <c r="AG3228">
        <v>0.138624</v>
      </c>
      <c r="AH3228">
        <v>102.59725304477401</v>
      </c>
      <c r="AI3228">
        <v>89.931736484967402</v>
      </c>
      <c r="AJ3228">
        <v>118.141355398191</v>
      </c>
      <c r="AK3228">
        <v>116.351641348923</v>
      </c>
      <c r="AL3228">
        <v>82.797056278499497</v>
      </c>
      <c r="AM3228">
        <v>97.6713580989571</v>
      </c>
      <c r="AN3228">
        <v>0.99999995291806798</v>
      </c>
    </row>
    <row r="3229" spans="1:40" x14ac:dyDescent="0.3">
      <c r="A3229" t="str">
        <f>"20200111150015552"</f>
        <v>20200111150015552</v>
      </c>
      <c r="B3229" t="str">
        <f>"1578726015548593"</f>
        <v>1578726015548593</v>
      </c>
      <c r="C3229" t="s">
        <v>40</v>
      </c>
      <c r="D3229">
        <v>4.1132379999999999</v>
      </c>
      <c r="E3229">
        <v>0.35443019999999997</v>
      </c>
      <c r="F3229" t="s">
        <v>72</v>
      </c>
      <c r="G3229">
        <v>-511.9255</v>
      </c>
      <c r="H3229">
        <v>1.01084</v>
      </c>
      <c r="I3229">
        <v>158.09379999999999</v>
      </c>
      <c r="J3229">
        <v>-485.8956</v>
      </c>
      <c r="K3229">
        <v>1.1222319999999999</v>
      </c>
      <c r="L3229">
        <v>275.41140000000001</v>
      </c>
      <c r="M3229">
        <v>-0.65052159999999903</v>
      </c>
      <c r="N3229">
        <v>0</v>
      </c>
      <c r="O3229">
        <v>-0.7592797</v>
      </c>
      <c r="P3229">
        <v>-0.54330149999999999</v>
      </c>
      <c r="Q3229">
        <v>0.11310530000000001</v>
      </c>
      <c r="R3229">
        <v>-0.83188390000000001</v>
      </c>
      <c r="S3229">
        <v>-0.70404049999999996</v>
      </c>
      <c r="T3229">
        <v>-2.9977559999999999E-3</v>
      </c>
      <c r="U3229">
        <v>-3.1626590000000001</v>
      </c>
      <c r="V3229">
        <v>-0.13424079999999999</v>
      </c>
      <c r="W3229">
        <v>0.1248553</v>
      </c>
      <c r="X3229">
        <v>0.98305169999999997</v>
      </c>
      <c r="Y3229">
        <v>-0.47006789999999998</v>
      </c>
      <c r="Z3229">
        <v>5.5230280000000001E-4</v>
      </c>
      <c r="AA3229">
        <v>0.88263009999999997</v>
      </c>
      <c r="AB3229">
        <v>37</v>
      </c>
      <c r="AC3229">
        <v>-26.029900000000001</v>
      </c>
      <c r="AD3229">
        <v>-0.11139199999999901</v>
      </c>
      <c r="AE3229">
        <v>-117.3176</v>
      </c>
      <c r="AF3229">
        <v>-56.562546771437702</v>
      </c>
      <c r="AG3229">
        <v>-0.11139199999999901</v>
      </c>
      <c r="AH3229">
        <v>106.026545969278</v>
      </c>
      <c r="AI3229">
        <v>90.053110284183902</v>
      </c>
      <c r="AJ3229">
        <v>118.078820742524</v>
      </c>
      <c r="AK3229">
        <v>120.170556109324</v>
      </c>
      <c r="AL3229">
        <v>82.827600681166103</v>
      </c>
      <c r="AM3229">
        <v>97.775939930106503</v>
      </c>
      <c r="AN3229">
        <v>1.0000000415978001</v>
      </c>
    </row>
    <row r="3230" spans="1:40" x14ac:dyDescent="0.3">
      <c r="A3230" t="str">
        <f>"20200111150015565"</f>
        <v>20200111150015565</v>
      </c>
      <c r="B3230" t="str">
        <f>"1578726015559333"</f>
        <v>1578726015559333</v>
      </c>
      <c r="C3230" t="s">
        <v>40</v>
      </c>
      <c r="D3230">
        <v>4.4249029999999996</v>
      </c>
      <c r="E3230">
        <v>0.35510239999999998</v>
      </c>
      <c r="F3230" t="s">
        <v>72</v>
      </c>
      <c r="G3230">
        <v>-511.67899999999997</v>
      </c>
      <c r="H3230">
        <v>0.86741579999999996</v>
      </c>
      <c r="I3230">
        <v>153.596</v>
      </c>
      <c r="J3230">
        <v>-486.01459999999997</v>
      </c>
      <c r="K3230">
        <v>1.122247</v>
      </c>
      <c r="L3230">
        <v>275.26620000000003</v>
      </c>
      <c r="M3230">
        <v>-0.64318549999999997</v>
      </c>
      <c r="N3230">
        <v>0</v>
      </c>
      <c r="O3230">
        <v>-0.76550410000000002</v>
      </c>
      <c r="P3230">
        <v>-0.53382940000000001</v>
      </c>
      <c r="Q3230">
        <v>0.1125072</v>
      </c>
      <c r="R3230">
        <v>-0.8380744</v>
      </c>
      <c r="S3230">
        <v>-0.67077640000000005</v>
      </c>
      <c r="T3230">
        <v>-6.6280360000000003E-3</v>
      </c>
      <c r="U3230">
        <v>-3.169098</v>
      </c>
      <c r="V3230">
        <v>-0.1359659</v>
      </c>
      <c r="W3230">
        <v>0.1241863</v>
      </c>
      <c r="X3230">
        <v>0.98289930000000003</v>
      </c>
      <c r="Y3230">
        <v>-0.47080319999999998</v>
      </c>
      <c r="Z3230">
        <v>1.2373320000000001E-3</v>
      </c>
      <c r="AA3230">
        <v>0.88223739999999995</v>
      </c>
      <c r="AB3230">
        <v>37</v>
      </c>
      <c r="AC3230">
        <v>-25.664400000000001</v>
      </c>
      <c r="AD3230">
        <v>-0.25483119999999898</v>
      </c>
      <c r="AE3230">
        <v>-121.67019999999999</v>
      </c>
      <c r="AF3230">
        <v>-58.619318072883097</v>
      </c>
      <c r="AG3230">
        <v>-0.25483119999999898</v>
      </c>
      <c r="AH3230">
        <v>109.66286822351201</v>
      </c>
      <c r="AI3230">
        <v>90.117419280321798</v>
      </c>
      <c r="AJ3230">
        <v>118.126338490829</v>
      </c>
      <c r="AK3230">
        <v>124.34723180383899</v>
      </c>
      <c r="AL3230">
        <v>82.866231917199102</v>
      </c>
      <c r="AM3230">
        <v>97.875826712217702</v>
      </c>
      <c r="AN3230">
        <v>0.99999999850549504</v>
      </c>
    </row>
    <row r="3231" spans="1:40" x14ac:dyDescent="0.3">
      <c r="A3231" t="str">
        <f>"20200111150015574"</f>
        <v>20200111150015574</v>
      </c>
      <c r="B3231" t="str">
        <f>"1578726015569090"</f>
        <v>1578726015569090</v>
      </c>
      <c r="C3231" t="s">
        <v>40</v>
      </c>
      <c r="D3231">
        <v>4.421983</v>
      </c>
      <c r="E3231">
        <v>0.35558269999999997</v>
      </c>
      <c r="F3231" t="s">
        <v>72</v>
      </c>
      <c r="G3231">
        <v>-511.05889999999999</v>
      </c>
      <c r="H3231">
        <v>0.71651140000000002</v>
      </c>
      <c r="I3231">
        <v>150.86670000000001</v>
      </c>
      <c r="J3231">
        <v>-486.12369999999999</v>
      </c>
      <c r="K3231">
        <v>1.1222639999999999</v>
      </c>
      <c r="L3231">
        <v>275.13010000000003</v>
      </c>
      <c r="M3231">
        <v>-0.63629749999999996</v>
      </c>
      <c r="N3231">
        <v>0</v>
      </c>
      <c r="O3231">
        <v>-0.77123850000000005</v>
      </c>
      <c r="P3231">
        <v>-0.52521099999999998</v>
      </c>
      <c r="Q3231">
        <v>0.1121383</v>
      </c>
      <c r="R3231">
        <v>-0.84355149999999901</v>
      </c>
      <c r="S3231">
        <v>-0.63900760000000001</v>
      </c>
      <c r="T3231">
        <v>-1.035118E-2</v>
      </c>
      <c r="U3231">
        <v>-3.174042</v>
      </c>
      <c r="V3231">
        <v>-0.13725119999999999</v>
      </c>
      <c r="W3231">
        <v>0.12376520000000001</v>
      </c>
      <c r="X3231">
        <v>0.98277380000000003</v>
      </c>
      <c r="Y3231">
        <v>-0.47164279999999997</v>
      </c>
      <c r="Z3231">
        <v>1.9561309999999998E-3</v>
      </c>
      <c r="AA3231">
        <v>0.88178749999999995</v>
      </c>
      <c r="AB3231">
        <v>37</v>
      </c>
      <c r="AC3231">
        <v>-24.935199999999998</v>
      </c>
      <c r="AD3231">
        <v>-0.40575259999999902</v>
      </c>
      <c r="AE3231">
        <v>-124.2634</v>
      </c>
      <c r="AF3231">
        <v>-59.846367686990703</v>
      </c>
      <c r="AG3231">
        <v>-0.40575259999999902</v>
      </c>
      <c r="AH3231">
        <v>111.719469153728</v>
      </c>
      <c r="AI3231">
        <v>90.183430462945694</v>
      </c>
      <c r="AJ3231">
        <v>118.177255972458</v>
      </c>
      <c r="AK3231">
        <v>126.73986014072101</v>
      </c>
      <c r="AL3231">
        <v>82.890546973165897</v>
      </c>
      <c r="AM3231">
        <v>97.950332497431404</v>
      </c>
      <c r="AN3231">
        <v>1.00000002929945</v>
      </c>
    </row>
    <row r="3232" spans="1:40" x14ac:dyDescent="0.3">
      <c r="A3232" t="str">
        <f>"20200111150015586"</f>
        <v>20200111150015586</v>
      </c>
      <c r="B3232" t="str">
        <f>"1578726015578850"</f>
        <v>1578726015578850</v>
      </c>
      <c r="C3232" t="s">
        <v>40</v>
      </c>
      <c r="D3232">
        <v>4.390199</v>
      </c>
      <c r="E3232">
        <v>0.35606789999999999</v>
      </c>
      <c r="F3232" t="s">
        <v>43</v>
      </c>
      <c r="G3232">
        <v>-550.31679999999994</v>
      </c>
      <c r="H3232">
        <v>-0.05</v>
      </c>
      <c r="I3232">
        <v>-59.907780000000002</v>
      </c>
      <c r="J3232">
        <v>-486.2328</v>
      </c>
      <c r="K3232">
        <v>1.122277</v>
      </c>
      <c r="L3232">
        <v>274.9914</v>
      </c>
      <c r="M3232">
        <v>-0.62926519999999897</v>
      </c>
      <c r="N3232">
        <v>0</v>
      </c>
      <c r="O3232">
        <v>-0.77698669999999903</v>
      </c>
      <c r="P3232">
        <v>-0.51633169999999995</v>
      </c>
      <c r="Q3232">
        <v>0.1116249</v>
      </c>
      <c r="R3232">
        <v>-0.84908300000000003</v>
      </c>
      <c r="S3232">
        <v>-0.60903929999999995</v>
      </c>
      <c r="T3232">
        <v>-1.112199E-2</v>
      </c>
      <c r="U3232">
        <v>-3.1787109999999998</v>
      </c>
      <c r="V3232">
        <v>-0.1386598</v>
      </c>
      <c r="W3232">
        <v>0.1231936</v>
      </c>
      <c r="X3232">
        <v>0.98264779999999996</v>
      </c>
      <c r="Y3232">
        <v>-0.47188790000000003</v>
      </c>
      <c r="Z3232">
        <v>2.1280639999999998E-3</v>
      </c>
      <c r="AA3232">
        <v>0.881656</v>
      </c>
      <c r="AB3232">
        <v>37</v>
      </c>
      <c r="AC3232">
        <v>-64.083999999999904</v>
      </c>
      <c r="AD3232">
        <v>-1.172277</v>
      </c>
      <c r="AE3232">
        <v>-334.89918</v>
      </c>
      <c r="AF3232">
        <v>-160.97159552614201</v>
      </c>
      <c r="AG3232">
        <v>-1.172277</v>
      </c>
      <c r="AH3232">
        <v>300.58212993529702</v>
      </c>
      <c r="AI3232">
        <v>90.196985045890699</v>
      </c>
      <c r="AJ3232">
        <v>118.17051076435</v>
      </c>
      <c r="AK3232">
        <v>340.97337965893502</v>
      </c>
      <c r="AL3232">
        <v>82.923549249741697</v>
      </c>
      <c r="AM3232">
        <v>98.031883368546204</v>
      </c>
      <c r="AN3232">
        <v>0.99999995103091799</v>
      </c>
    </row>
    <row r="3233" spans="1:40" x14ac:dyDescent="0.3">
      <c r="A3233" t="str">
        <f>"20200111150015596"</f>
        <v>20200111150015596</v>
      </c>
      <c r="B3233" t="str">
        <f>"1578726015588611"</f>
        <v>1578726015588611</v>
      </c>
      <c r="C3233" t="s">
        <v>40</v>
      </c>
      <c r="D3233">
        <v>4.5172049999999997</v>
      </c>
      <c r="E3233">
        <v>0.35736499999999999</v>
      </c>
      <c r="F3233" t="s">
        <v>43</v>
      </c>
      <c r="G3233">
        <v>-539.43409999999994</v>
      </c>
      <c r="H3233">
        <v>-0.05</v>
      </c>
      <c r="I3233">
        <v>-17.664899999999999</v>
      </c>
      <c r="J3233">
        <v>-486.33589999999998</v>
      </c>
      <c r="K3233">
        <v>1.1222890000000001</v>
      </c>
      <c r="L3233">
        <v>274.85849999999999</v>
      </c>
      <c r="M3233">
        <v>-0.62250240000000001</v>
      </c>
      <c r="N3233">
        <v>0</v>
      </c>
      <c r="O3233">
        <v>-0.78241519999999898</v>
      </c>
      <c r="P3233">
        <v>-0.50776940000000004</v>
      </c>
      <c r="Q3233">
        <v>0.11126759999999999</v>
      </c>
      <c r="R3233">
        <v>-0.85427759999999997</v>
      </c>
      <c r="S3233">
        <v>-0.57864380000000004</v>
      </c>
      <c r="T3233">
        <v>-1.2750269999999999E-2</v>
      </c>
      <c r="U3233">
        <v>-3.1830750000000001</v>
      </c>
      <c r="V3233">
        <v>-0.14003460000000001</v>
      </c>
      <c r="W3233">
        <v>0.122779</v>
      </c>
      <c r="X3233">
        <v>0.98250479999999996</v>
      </c>
      <c r="Y3233">
        <v>-0.47260020000000003</v>
      </c>
      <c r="Z3233">
        <v>2.467613E-3</v>
      </c>
      <c r="AA3233">
        <v>0.88127350000000004</v>
      </c>
      <c r="AB3233">
        <v>36</v>
      </c>
      <c r="AC3233">
        <v>-53.098199999999899</v>
      </c>
      <c r="AD3233">
        <v>-1.1722889999999999</v>
      </c>
      <c r="AE3233">
        <v>-292.52339999999998</v>
      </c>
      <c r="AF3233">
        <v>-140.57179218151401</v>
      </c>
      <c r="AG3233">
        <v>-1.1722889999999999</v>
      </c>
      <c r="AH3233">
        <v>261.96599240126</v>
      </c>
      <c r="AI3233">
        <v>90.225923721357105</v>
      </c>
      <c r="AJ3233">
        <v>118.218149637366</v>
      </c>
      <c r="AK3233">
        <v>297.30116749417402</v>
      </c>
      <c r="AL3233">
        <v>82.947486337459594</v>
      </c>
      <c r="AM3233">
        <v>98.111629084992103</v>
      </c>
      <c r="AN3233">
        <v>1.00000002703059</v>
      </c>
    </row>
    <row r="3234" spans="1:40" x14ac:dyDescent="0.3">
      <c r="A3234" t="str">
        <f>"20200111150015609"</f>
        <v>20200111150015609</v>
      </c>
      <c r="B3234" t="str">
        <f>"1578726015599347"</f>
        <v>1578726015599347</v>
      </c>
      <c r="C3234" t="s">
        <v>40</v>
      </c>
      <c r="D3234">
        <v>4.5343429999999998</v>
      </c>
      <c r="E3234">
        <v>0.35869089999999998</v>
      </c>
      <c r="F3234" t="s">
        <v>43</v>
      </c>
      <c r="G3234">
        <v>-519.1979</v>
      </c>
      <c r="H3234">
        <v>-0.05</v>
      </c>
      <c r="I3234">
        <v>86.495829999999998</v>
      </c>
      <c r="J3234">
        <v>-486.44499999999999</v>
      </c>
      <c r="K3234">
        <v>1.1222939999999999</v>
      </c>
      <c r="L3234">
        <v>274.71420000000001</v>
      </c>
      <c r="M3234">
        <v>-0.615156699999999</v>
      </c>
      <c r="N3234">
        <v>0</v>
      </c>
      <c r="O3234">
        <v>-0.78820349999999995</v>
      </c>
      <c r="P3234">
        <v>-0.49847639999999999</v>
      </c>
      <c r="Q3234">
        <v>0.1110635</v>
      </c>
      <c r="R3234">
        <v>-0.85975939999999995</v>
      </c>
      <c r="S3234">
        <v>-0.55551149999999905</v>
      </c>
      <c r="T3234">
        <v>-1.9816759999999999E-2</v>
      </c>
      <c r="U3234">
        <v>-3.1841430000000002</v>
      </c>
      <c r="V3234">
        <v>-0.1415102</v>
      </c>
      <c r="W3234">
        <v>0.1225131</v>
      </c>
      <c r="X3234">
        <v>0.98232649999999999</v>
      </c>
      <c r="Y3234">
        <v>-0.47061350000000002</v>
      </c>
      <c r="Z3234">
        <v>3.8900739999999999E-3</v>
      </c>
      <c r="AA3234">
        <v>0.88233090000000003</v>
      </c>
      <c r="AB3234">
        <v>36</v>
      </c>
      <c r="AC3234">
        <v>-32.752899999999997</v>
      </c>
      <c r="AD3234">
        <v>-1.1722939999999999</v>
      </c>
      <c r="AE3234">
        <v>-188.21836999999999</v>
      </c>
      <c r="AF3234">
        <v>-89.978737796649398</v>
      </c>
      <c r="AG3234">
        <v>-1.1722939999999999</v>
      </c>
      <c r="AH3234">
        <v>168.52295279032501</v>
      </c>
      <c r="AI3234">
        <v>90.351584843118104</v>
      </c>
      <c r="AJ3234">
        <v>118.09890499566301</v>
      </c>
      <c r="AK3234">
        <v>191.04327558401701</v>
      </c>
      <c r="AL3234">
        <v>82.962836804780906</v>
      </c>
      <c r="AM3234">
        <v>98.197416618542306</v>
      </c>
      <c r="AN3234">
        <v>0.99999997448894895</v>
      </c>
    </row>
    <row r="3235" spans="1:40" x14ac:dyDescent="0.3">
      <c r="A3235" t="str">
        <f>"20200111150015619"</f>
        <v>20200111150015619</v>
      </c>
      <c r="B3235" t="str">
        <f>"1578726015609106"</f>
        <v>1578726015609106</v>
      </c>
      <c r="C3235" t="s">
        <v>40</v>
      </c>
      <c r="D3235">
        <v>4.4788480000000002</v>
      </c>
      <c r="E3235">
        <v>0.35869089999999998</v>
      </c>
      <c r="F3235" t="s">
        <v>43</v>
      </c>
      <c r="G3235">
        <v>-508.42419999999998</v>
      </c>
      <c r="H3235">
        <v>-0.05</v>
      </c>
      <c r="I3235">
        <v>142.88630000000001</v>
      </c>
      <c r="J3235">
        <v>-486.55360000000002</v>
      </c>
      <c r="K3235">
        <v>1.1223019999999999</v>
      </c>
      <c r="L3235">
        <v>274.56920000000002</v>
      </c>
      <c r="M3235">
        <v>-0.60774209999999995</v>
      </c>
      <c r="N3235">
        <v>0</v>
      </c>
      <c r="O3235">
        <v>-0.79393440000000004</v>
      </c>
      <c r="P3235">
        <v>-0.48911179999999899</v>
      </c>
      <c r="Q3235">
        <v>0.1107978</v>
      </c>
      <c r="R3235">
        <v>-0.86515580000000003</v>
      </c>
      <c r="S3235">
        <v>-0.53103639999999996</v>
      </c>
      <c r="T3235">
        <v>-2.8323770000000002E-2</v>
      </c>
      <c r="U3235">
        <v>-3.1850890000000001</v>
      </c>
      <c r="V3235">
        <v>-0.14298339999999901</v>
      </c>
      <c r="W3235">
        <v>0.12218560000000001</v>
      </c>
      <c r="X3235">
        <v>0.98215399999999997</v>
      </c>
      <c r="Y3235">
        <v>-0.46897660000000002</v>
      </c>
      <c r="Z3235">
        <v>5.6371969999999896E-3</v>
      </c>
      <c r="AA3235">
        <v>0.88319269999999905</v>
      </c>
      <c r="AB3235">
        <v>36</v>
      </c>
      <c r="AC3235">
        <v>-21.8705999999999</v>
      </c>
      <c r="AD3235">
        <v>-1.172302</v>
      </c>
      <c r="AE3235">
        <v>-131.68289999999999</v>
      </c>
      <c r="AF3235">
        <v>-62.670543978632203</v>
      </c>
      <c r="AG3235">
        <v>-1.172302</v>
      </c>
      <c r="AH3235">
        <v>117.84890304191801</v>
      </c>
      <c r="AI3235">
        <v>90.503206618673801</v>
      </c>
      <c r="AJ3235">
        <v>118.003475812812</v>
      </c>
      <c r="AK3235">
        <v>133.48159169990601</v>
      </c>
      <c r="AL3235">
        <v>82.981743582891099</v>
      </c>
      <c r="AM3235">
        <v>98.283012949000295</v>
      </c>
      <c r="AN3235">
        <v>1.00000002661945</v>
      </c>
    </row>
    <row r="3236" spans="1:40" x14ac:dyDescent="0.3">
      <c r="A3236" t="str">
        <f>"20200111150015631"</f>
        <v>20200111150015631</v>
      </c>
      <c r="B3236" t="str">
        <f>"1578726015628626"</f>
        <v>1578726015628626</v>
      </c>
      <c r="C3236" t="s">
        <v>40</v>
      </c>
      <c r="D3236">
        <v>4.473897</v>
      </c>
      <c r="E3236">
        <v>0.38547510000000001</v>
      </c>
      <c r="F3236" t="s">
        <v>42</v>
      </c>
      <c r="G3236">
        <v>-503.91230000000002</v>
      </c>
      <c r="H3236">
        <v>7.9985890000000004E-2</v>
      </c>
      <c r="I3236">
        <v>162.8493</v>
      </c>
      <c r="J3236">
        <v>-486.6567</v>
      </c>
      <c r="K3236">
        <v>1.1223050000000001</v>
      </c>
      <c r="L3236">
        <v>274.42680000000001</v>
      </c>
      <c r="M3236">
        <v>-0.60046809999999995</v>
      </c>
      <c r="N3236">
        <v>0</v>
      </c>
      <c r="O3236">
        <v>-0.79944979999999999</v>
      </c>
      <c r="P3236">
        <v>-0.48007159999999899</v>
      </c>
      <c r="Q3236">
        <v>0.11062279999999999</v>
      </c>
      <c r="R3236">
        <v>-0.87022659999999996</v>
      </c>
      <c r="S3236">
        <v>-0.49581910000000001</v>
      </c>
      <c r="T3236">
        <v>-2.9771800000000001E-2</v>
      </c>
      <c r="U3236">
        <v>-3.191071</v>
      </c>
      <c r="V3236">
        <v>-0.1442589</v>
      </c>
      <c r="W3236">
        <v>0.121957</v>
      </c>
      <c r="X3236">
        <v>0.98199590000000003</v>
      </c>
      <c r="Y3236">
        <v>-0.47068169999999998</v>
      </c>
      <c r="Z3236">
        <v>5.9866889999999999E-3</v>
      </c>
      <c r="AA3236">
        <v>0.88228280000000003</v>
      </c>
      <c r="AB3236">
        <v>36</v>
      </c>
      <c r="AC3236">
        <v>-17.255600000000001</v>
      </c>
      <c r="AD3236">
        <v>-1.04231910999999</v>
      </c>
      <c r="AE3236">
        <v>-111.5775</v>
      </c>
      <c r="AF3236">
        <v>-53.207672157544003</v>
      </c>
      <c r="AG3236">
        <v>-1.04231910999999</v>
      </c>
      <c r="AH3236">
        <v>99.569399318680496</v>
      </c>
      <c r="AI3236">
        <v>90.528979693081297</v>
      </c>
      <c r="AJ3236">
        <v>118.11905574490299</v>
      </c>
      <c r="AK3236">
        <v>112.899105781377</v>
      </c>
      <c r="AL3236">
        <v>82.994940211326806</v>
      </c>
      <c r="AM3236">
        <v>98.3571900857456</v>
      </c>
      <c r="AN3236">
        <v>1.0000000438475001</v>
      </c>
    </row>
    <row r="3237" spans="1:40" x14ac:dyDescent="0.3">
      <c r="A3237" t="str">
        <f>"20200111150015642"</f>
        <v>20200111150015642</v>
      </c>
      <c r="B3237" t="str">
        <f>"1578726015639362"</f>
        <v>1578726015639362</v>
      </c>
      <c r="C3237" t="s">
        <v>40</v>
      </c>
      <c r="D3237">
        <v>4.4552440000000004</v>
      </c>
      <c r="E3237">
        <v>0.38602769999999997</v>
      </c>
      <c r="F3237" t="s">
        <v>42</v>
      </c>
      <c r="G3237">
        <v>-491.07499999999999</v>
      </c>
      <c r="H3237" s="1">
        <v>-1.9354269999999998E-6</v>
      </c>
      <c r="I3237">
        <v>253.43389999999999</v>
      </c>
      <c r="J3237">
        <v>-486.75869999999998</v>
      </c>
      <c r="K3237">
        <v>1.122309</v>
      </c>
      <c r="L3237">
        <v>274.28500000000003</v>
      </c>
      <c r="M3237">
        <v>-0.59318549999999903</v>
      </c>
      <c r="N3237">
        <v>0</v>
      </c>
      <c r="O3237">
        <v>-0.80486800000000003</v>
      </c>
      <c r="P3237">
        <v>-0.47134160000000003</v>
      </c>
      <c r="Q3237">
        <v>0.110567899999999</v>
      </c>
      <c r="R3237">
        <v>-0.87499269999999996</v>
      </c>
      <c r="S3237">
        <v>-0.65405269999999904</v>
      </c>
      <c r="T3237">
        <v>-0.1661378</v>
      </c>
      <c r="U3237">
        <v>-3.1076350000000001</v>
      </c>
      <c r="V3237">
        <v>-0.1451731</v>
      </c>
      <c r="W3237">
        <v>0.12186520000000001</v>
      </c>
      <c r="X3237">
        <v>0.98187250000000004</v>
      </c>
      <c r="Y3237">
        <v>-0.41488520000000001</v>
      </c>
      <c r="Z3237">
        <v>3.5329670000000001E-2</v>
      </c>
      <c r="AA3237">
        <v>0.90918759999999998</v>
      </c>
      <c r="AB3237">
        <v>36</v>
      </c>
      <c r="AC3237">
        <v>-4.3163000000000098</v>
      </c>
      <c r="AD3237">
        <v>-1.122310935427</v>
      </c>
      <c r="AE3237">
        <v>-20.851099999999999</v>
      </c>
      <c r="AF3237">
        <v>-8.8712898418531694</v>
      </c>
      <c r="AG3237">
        <v>-1.122310935427</v>
      </c>
      <c r="AH3237">
        <v>19.292234932944702</v>
      </c>
      <c r="AI3237">
        <v>93.025495789416794</v>
      </c>
      <c r="AJ3237">
        <v>114.694737293144</v>
      </c>
      <c r="AK3237">
        <v>21.263811840821901</v>
      </c>
      <c r="AL3237">
        <v>83.000239049406602</v>
      </c>
      <c r="AM3237">
        <v>98.410438186224397</v>
      </c>
      <c r="AN3237">
        <v>0.99999998109544896</v>
      </c>
    </row>
    <row r="3238" spans="1:40" x14ac:dyDescent="0.3">
      <c r="A3238" t="str">
        <f>"20200111150015654"</f>
        <v>20200111150015654</v>
      </c>
      <c r="B3238" t="str">
        <f>"1578726015649122"</f>
        <v>1578726015649122</v>
      </c>
      <c r="C3238" t="s">
        <v>40</v>
      </c>
      <c r="D3238">
        <v>4.4423269999999997</v>
      </c>
      <c r="E3238">
        <v>0.38616909999999999</v>
      </c>
      <c r="F3238" t="s">
        <v>41</v>
      </c>
      <c r="G3238">
        <v>-486.9778</v>
      </c>
      <c r="H3238">
        <v>1.063032</v>
      </c>
      <c r="I3238">
        <v>273.19659999999999</v>
      </c>
      <c r="J3238">
        <v>-486.86610000000002</v>
      </c>
      <c r="K3238">
        <v>1.122312</v>
      </c>
      <c r="L3238">
        <v>274.13130000000001</v>
      </c>
      <c r="M3238">
        <v>-0.58529219999999904</v>
      </c>
      <c r="N3238">
        <v>0</v>
      </c>
      <c r="O3238">
        <v>-0.81062590000000001</v>
      </c>
      <c r="P3238">
        <v>-0.46214280000000002</v>
      </c>
      <c r="Q3238">
        <v>0.1105787</v>
      </c>
      <c r="R3238">
        <v>-0.87988449999999996</v>
      </c>
      <c r="S3238">
        <v>-0.62649540000000004</v>
      </c>
      <c r="T3238">
        <v>-0.1695316</v>
      </c>
      <c r="U3238">
        <v>-3.1124879999999999</v>
      </c>
      <c r="V3238">
        <v>-0.1458747</v>
      </c>
      <c r="W3238">
        <v>0.1218481</v>
      </c>
      <c r="X3238">
        <v>0.98177060000000005</v>
      </c>
      <c r="Y3238">
        <v>-0.41400989999999999</v>
      </c>
      <c r="Z3238">
        <v>3.6472820000000003E-2</v>
      </c>
      <c r="AA3238">
        <v>0.90954140000000006</v>
      </c>
      <c r="AB3238">
        <v>36</v>
      </c>
      <c r="AC3238">
        <v>-0.11169999999998401</v>
      </c>
      <c r="AD3238">
        <v>-5.9279999999999902E-2</v>
      </c>
      <c r="AE3238">
        <v>-0.93470000000001996</v>
      </c>
      <c r="AF3238">
        <v>-0.45479491491034901</v>
      </c>
      <c r="AG3238">
        <v>-5.9279999999999902E-2</v>
      </c>
      <c r="AH3238">
        <v>0.81994872755456705</v>
      </c>
      <c r="AI3238">
        <v>93.6176006210504</v>
      </c>
      <c r="AJ3238">
        <v>119.01549450745</v>
      </c>
      <c r="AK3238">
        <v>0.93950436339948196</v>
      </c>
      <c r="AL3238">
        <v>83.001225939866103</v>
      </c>
      <c r="AM3238">
        <v>98.451363495237402</v>
      </c>
      <c r="AN3238">
        <v>0.99999994929902802</v>
      </c>
    </row>
    <row r="3239" spans="1:40" x14ac:dyDescent="0.3">
      <c r="A3239" t="str">
        <f>"20200111150015665"</f>
        <v>20200111150015665</v>
      </c>
      <c r="B3239" t="str">
        <f>"1578726015658882"</f>
        <v>1578726015658882</v>
      </c>
      <c r="C3239" t="s">
        <v>40</v>
      </c>
      <c r="D3239">
        <v>4.4685100000000002</v>
      </c>
      <c r="E3239">
        <v>0.38609589999999999</v>
      </c>
      <c r="F3239" t="s">
        <v>42</v>
      </c>
      <c r="G3239">
        <v>-490.8141</v>
      </c>
      <c r="H3239" s="1">
        <v>-1.8656580000000001E-6</v>
      </c>
      <c r="I3239">
        <v>253.43299999999999</v>
      </c>
      <c r="J3239">
        <v>-486.97039999999998</v>
      </c>
      <c r="K3239">
        <v>1.122315</v>
      </c>
      <c r="L3239">
        <v>273.97969999999998</v>
      </c>
      <c r="M3239">
        <v>-0.5774861</v>
      </c>
      <c r="N3239">
        <v>0</v>
      </c>
      <c r="O3239">
        <v>-0.81620509999999902</v>
      </c>
      <c r="P3239">
        <v>-0.45337620000000001</v>
      </c>
      <c r="Q3239">
        <v>0.1104291</v>
      </c>
      <c r="R3239">
        <v>-0.88445219999999902</v>
      </c>
      <c r="S3239">
        <v>-0.59481809999999902</v>
      </c>
      <c r="T3239">
        <v>-0.16908860000000001</v>
      </c>
      <c r="U3239">
        <v>-3.1184080000000001</v>
      </c>
      <c r="V3239">
        <v>-0.1462156</v>
      </c>
      <c r="W3239">
        <v>0.1216877</v>
      </c>
      <c r="X3239">
        <v>0.98173980000000005</v>
      </c>
      <c r="Y3239">
        <v>-0.41450809999999999</v>
      </c>
      <c r="Z3239">
        <v>3.6758779999999998E-2</v>
      </c>
      <c r="AA3239">
        <v>0.90930290000000003</v>
      </c>
      <c r="AB3239">
        <v>36</v>
      </c>
      <c r="AC3239">
        <v>-3.8437000000000099</v>
      </c>
      <c r="AD3239">
        <v>-1.122316865658</v>
      </c>
      <c r="AE3239">
        <v>-20.546699999999898</v>
      </c>
      <c r="AF3239">
        <v>-8.7044858263412106</v>
      </c>
      <c r="AG3239">
        <v>-1.122316865658</v>
      </c>
      <c r="AH3239">
        <v>18.938439703183299</v>
      </c>
      <c r="AI3239">
        <v>93.082178075965899</v>
      </c>
      <c r="AJ3239">
        <v>114.68445810599</v>
      </c>
      <c r="AK3239">
        <v>20.873240453725099</v>
      </c>
      <c r="AL3239">
        <v>83.010485204903006</v>
      </c>
      <c r="AM3239">
        <v>98.471089481674596</v>
      </c>
      <c r="AN3239">
        <v>0.99999996645934397</v>
      </c>
    </row>
    <row r="3240" spans="1:40" x14ac:dyDescent="0.3">
      <c r="A3240" t="str">
        <f>"20200111150015676"</f>
        <v>20200111150015676</v>
      </c>
      <c r="B3240" t="str">
        <f>"1578726015668642"</f>
        <v>1578726015668642</v>
      </c>
      <c r="C3240" t="s">
        <v>40</v>
      </c>
      <c r="D3240">
        <v>4.4468870000000003</v>
      </c>
      <c r="E3240">
        <v>0.386353</v>
      </c>
      <c r="F3240" t="s">
        <v>41</v>
      </c>
      <c r="G3240">
        <v>-487.15769999999998</v>
      </c>
      <c r="H3240">
        <v>1.066762</v>
      </c>
      <c r="I3240">
        <v>272.94069999999999</v>
      </c>
      <c r="J3240">
        <v>-487.07060000000001</v>
      </c>
      <c r="K3240">
        <v>1.122323</v>
      </c>
      <c r="L3240">
        <v>273.83089999999999</v>
      </c>
      <c r="M3240">
        <v>-0.56980819999999999</v>
      </c>
      <c r="N3240">
        <v>0</v>
      </c>
      <c r="O3240">
        <v>-0.82158339999999996</v>
      </c>
      <c r="P3240">
        <v>-0.44476470000000001</v>
      </c>
      <c r="Q3240">
        <v>0.110704</v>
      </c>
      <c r="R3240">
        <v>-0.88877949999999994</v>
      </c>
      <c r="S3240">
        <v>-0.56292719999999996</v>
      </c>
      <c r="T3240">
        <v>-0.16698370000000001</v>
      </c>
      <c r="U3240">
        <v>-3.1242070000000002</v>
      </c>
      <c r="V3240">
        <v>-0.146540899999999</v>
      </c>
      <c r="W3240">
        <v>0.1219513</v>
      </c>
      <c r="X3240">
        <v>0.98165860000000005</v>
      </c>
      <c r="Y3240">
        <v>-0.41525919999999999</v>
      </c>
      <c r="Z3240">
        <v>3.666059E-2</v>
      </c>
      <c r="AA3240">
        <v>0.9089642</v>
      </c>
      <c r="AB3240">
        <v>36</v>
      </c>
      <c r="AC3240">
        <v>-8.7099999999963901E-2</v>
      </c>
      <c r="AD3240">
        <v>-5.5560999999999902E-2</v>
      </c>
      <c r="AE3240">
        <v>-0.890199999999992</v>
      </c>
      <c r="AF3240">
        <v>-0.434078002962552</v>
      </c>
      <c r="AG3240">
        <v>-5.5560999999999902E-2</v>
      </c>
      <c r="AH3240">
        <v>0.77812610770914103</v>
      </c>
      <c r="AI3240">
        <v>93.568179922759697</v>
      </c>
      <c r="AJ3240">
        <v>119.15498290647101</v>
      </c>
      <c r="AK3240">
        <v>0.89274351124807105</v>
      </c>
      <c r="AL3240">
        <v>82.995268810518198</v>
      </c>
      <c r="AM3240">
        <v>98.4903535963347</v>
      </c>
      <c r="AN3240">
        <v>0.99999998094922904</v>
      </c>
    </row>
    <row r="3241" spans="1:40" x14ac:dyDescent="0.3">
      <c r="A3241" t="str">
        <f>"20200111150015689"</f>
        <v>20200111150015689</v>
      </c>
      <c r="B3241" t="str">
        <f>"1578726015679378"</f>
        <v>1578726015679378</v>
      </c>
      <c r="C3241" t="s">
        <v>40</v>
      </c>
      <c r="D3241">
        <v>4.3446089999999904</v>
      </c>
      <c r="E3241">
        <v>0.386353</v>
      </c>
      <c r="F3241" t="s">
        <v>42</v>
      </c>
      <c r="G3241">
        <v>-490.68209999999999</v>
      </c>
      <c r="H3241" s="1">
        <v>-1.516753E-6</v>
      </c>
      <c r="I3241">
        <v>252.70169999999999</v>
      </c>
      <c r="J3241">
        <v>-487.17059999999998</v>
      </c>
      <c r="K3241">
        <v>1.1223240000000001</v>
      </c>
      <c r="L3241">
        <v>273.67860000000002</v>
      </c>
      <c r="M3241">
        <v>-0.56194669999999902</v>
      </c>
      <c r="N3241">
        <v>0</v>
      </c>
      <c r="O3241">
        <v>-0.82698050000000001</v>
      </c>
      <c r="P3241">
        <v>-0.43609019999999998</v>
      </c>
      <c r="Q3241">
        <v>0.1110228</v>
      </c>
      <c r="R3241">
        <v>-0.8930285</v>
      </c>
      <c r="S3241">
        <v>-0.53472900000000001</v>
      </c>
      <c r="T3241">
        <v>-0.16617609999999999</v>
      </c>
      <c r="U3241">
        <v>-3.128479</v>
      </c>
      <c r="V3241">
        <v>-0.1467299</v>
      </c>
      <c r="W3241">
        <v>0.1222646</v>
      </c>
      <c r="X3241">
        <v>0.9815914</v>
      </c>
      <c r="Y3241">
        <v>-0.41474909999999998</v>
      </c>
      <c r="Z3241">
        <v>3.687145E-2</v>
      </c>
      <c r="AA3241">
        <v>0.90918840000000001</v>
      </c>
      <c r="AB3241">
        <v>36</v>
      </c>
      <c r="AC3241">
        <v>-3.5115000000000101</v>
      </c>
      <c r="AD3241">
        <v>-1.122325516753</v>
      </c>
      <c r="AE3241">
        <v>-20.976900000000001</v>
      </c>
      <c r="AF3241">
        <v>-8.8607028126269096</v>
      </c>
      <c r="AG3241">
        <v>-1.122325516753</v>
      </c>
      <c r="AH3241">
        <v>19.270188524862998</v>
      </c>
      <c r="AI3241">
        <v>93.029016755180805</v>
      </c>
      <c r="AJ3241">
        <v>114.69363463692601</v>
      </c>
      <c r="AK3241">
        <v>21.239393463162099</v>
      </c>
      <c r="AL3241">
        <v>82.977182738342293</v>
      </c>
      <c r="AM3241">
        <v>98.501717545610902</v>
      </c>
      <c r="AN3241">
        <v>0.99999998626056497</v>
      </c>
    </row>
    <row r="3242" spans="1:40" x14ac:dyDescent="0.3">
      <c r="A3242" t="str">
        <f>"20200111150015699"</f>
        <v>20200111150015699</v>
      </c>
      <c r="B3242" t="str">
        <f>"1578726015689139"</f>
        <v>1578726015689139</v>
      </c>
      <c r="C3242" t="s">
        <v>40</v>
      </c>
      <c r="D3242">
        <v>4.3010120000000001</v>
      </c>
      <c r="E3242">
        <v>0.37647320000000001</v>
      </c>
      <c r="F3242" t="s">
        <v>41</v>
      </c>
      <c r="G3242">
        <v>-487.33629999999999</v>
      </c>
      <c r="H3242">
        <v>1.0680879999999999</v>
      </c>
      <c r="I3242">
        <v>272.649</v>
      </c>
      <c r="J3242">
        <v>-487.27179999999998</v>
      </c>
      <c r="K3242">
        <v>1.1223240000000001</v>
      </c>
      <c r="L3242">
        <v>273.52280000000002</v>
      </c>
      <c r="M3242">
        <v>-0.55386950000000001</v>
      </c>
      <c r="N3242">
        <v>0</v>
      </c>
      <c r="O3242">
        <v>-0.83241149999999997</v>
      </c>
      <c r="P3242">
        <v>-0.42709200000000003</v>
      </c>
      <c r="Q3242">
        <v>0.11125690000000001</v>
      </c>
      <c r="R3242">
        <v>-0.89733759999999996</v>
      </c>
      <c r="S3242">
        <v>-0.50411989999999995</v>
      </c>
      <c r="T3242">
        <v>-0.1650655</v>
      </c>
      <c r="U3242">
        <v>-3.1336979999999999</v>
      </c>
      <c r="V3242">
        <v>-0.14703620000000001</v>
      </c>
      <c r="W3242">
        <v>0.1224885</v>
      </c>
      <c r="X3242">
        <v>0.98151770000000005</v>
      </c>
      <c r="Y3242">
        <v>-0.4147864</v>
      </c>
      <c r="Z3242">
        <v>3.6996439999999998E-2</v>
      </c>
      <c r="AA3242">
        <v>0.90916640000000004</v>
      </c>
      <c r="AB3242">
        <v>36</v>
      </c>
      <c r="AC3242">
        <v>-6.4500000000009494E-2</v>
      </c>
      <c r="AD3242">
        <v>-5.4235999999999902E-2</v>
      </c>
      <c r="AE3242">
        <v>-0.87380000000001701</v>
      </c>
      <c r="AF3242">
        <v>-0.42870674325003899</v>
      </c>
      <c r="AG3242">
        <v>-5.4235999999999902E-2</v>
      </c>
      <c r="AH3242">
        <v>0.76029452996623603</v>
      </c>
      <c r="AI3242">
        <v>93.555667672632097</v>
      </c>
      <c r="AJ3242">
        <v>119.417316552522</v>
      </c>
      <c r="AK3242">
        <v>0.87451631642905003</v>
      </c>
      <c r="AL3242">
        <v>82.964257412658796</v>
      </c>
      <c r="AM3242">
        <v>98.519835102737702</v>
      </c>
      <c r="AN3242">
        <v>1.0000000360779799</v>
      </c>
    </row>
    <row r="3243" spans="1:40" x14ac:dyDescent="0.3">
      <c r="A3243" t="str">
        <f>"20200111150015712"</f>
        <v>20200111150015712</v>
      </c>
      <c r="B3243" t="str">
        <f>"1578726015708658"</f>
        <v>1578726015708658</v>
      </c>
      <c r="C3243" t="s">
        <v>40</v>
      </c>
      <c r="D3243">
        <v>4.3084930000000004</v>
      </c>
      <c r="E3243">
        <v>0.3779845</v>
      </c>
      <c r="F3243" t="s">
        <v>52</v>
      </c>
      <c r="G3243">
        <v>-493.21129999999999</v>
      </c>
      <c r="H3243" s="1">
        <v>4.9574059999999999E-6</v>
      </c>
      <c r="I3243">
        <v>226.5367</v>
      </c>
      <c r="J3243">
        <v>-487.36939999999998</v>
      </c>
      <c r="K3243">
        <v>1.1223270000000001</v>
      </c>
      <c r="L3243">
        <v>273.36709999999999</v>
      </c>
      <c r="M3243">
        <v>-0.54580629999999997</v>
      </c>
      <c r="N3243">
        <v>0</v>
      </c>
      <c r="O3243">
        <v>-0.83772069999999998</v>
      </c>
      <c r="P3243">
        <v>-0.41817270000000001</v>
      </c>
      <c r="Q3243">
        <v>0.1111108</v>
      </c>
      <c r="R3243">
        <v>-0.90154679999999998</v>
      </c>
      <c r="S3243">
        <v>-0.39974979999999999</v>
      </c>
      <c r="T3243">
        <v>-7.5535770000000002E-2</v>
      </c>
      <c r="U3243">
        <v>-3.1623230000000002</v>
      </c>
      <c r="V3243">
        <v>-0.14729690000000001</v>
      </c>
      <c r="W3243">
        <v>0.1223342</v>
      </c>
      <c r="X3243">
        <v>0.98149779999999998</v>
      </c>
      <c r="Y3243">
        <v>-0.43651909999999999</v>
      </c>
      <c r="Z3243">
        <v>1.6878359999999999E-2</v>
      </c>
      <c r="AA3243">
        <v>0.89953669999999997</v>
      </c>
      <c r="AB3243">
        <v>36</v>
      </c>
      <c r="AC3243">
        <v>-5.8419000000000096</v>
      </c>
      <c r="AD3243">
        <v>-1.1223220425939999</v>
      </c>
      <c r="AE3243">
        <v>-46.830399999999997</v>
      </c>
      <c r="AF3243">
        <v>-20.658065948068302</v>
      </c>
      <c r="AG3243">
        <v>-1.1223220425939999</v>
      </c>
      <c r="AH3243">
        <v>42.402139014817699</v>
      </c>
      <c r="AI3243">
        <v>91.363084369640205</v>
      </c>
      <c r="AJ3243">
        <v>115.975064051692</v>
      </c>
      <c r="AK3243">
        <v>47.180045448409302</v>
      </c>
      <c r="AL3243">
        <v>82.973164762496495</v>
      </c>
      <c r="AM3243">
        <v>98.534889270524999</v>
      </c>
      <c r="AN3243">
        <v>0.99999998232204401</v>
      </c>
    </row>
    <row r="3244" spans="1:40" x14ac:dyDescent="0.3">
      <c r="A3244" t="str">
        <f>"20200111150015724"</f>
        <v>20200111150015724</v>
      </c>
      <c r="B3244" t="str">
        <f>"1578726015719394"</f>
        <v>1578726015719394</v>
      </c>
      <c r="C3244" t="s">
        <v>40</v>
      </c>
      <c r="D3244">
        <v>4.3203800000000001</v>
      </c>
      <c r="E3244">
        <v>0.3779845</v>
      </c>
      <c r="F3244" t="s">
        <v>41</v>
      </c>
      <c r="G3244">
        <v>-487.49439999999998</v>
      </c>
      <c r="H3244">
        <v>1.09677</v>
      </c>
      <c r="I3244">
        <v>272.3261</v>
      </c>
      <c r="J3244">
        <v>-487.46809999999999</v>
      </c>
      <c r="K3244">
        <v>1.1223270000000001</v>
      </c>
      <c r="L3244">
        <v>273.20780000000002</v>
      </c>
      <c r="M3244">
        <v>-0.53752769999999905</v>
      </c>
      <c r="N3244">
        <v>0</v>
      </c>
      <c r="O3244">
        <v>-0.84305659999999905</v>
      </c>
      <c r="P3244">
        <v>-0.40905550000000002</v>
      </c>
      <c r="Q3244">
        <v>0.11102579999999999</v>
      </c>
      <c r="R3244">
        <v>-0.90573029999999999</v>
      </c>
      <c r="S3244">
        <v>-0.37908940000000002</v>
      </c>
      <c r="T3244">
        <v>-7.7566739999999995E-2</v>
      </c>
      <c r="U3244">
        <v>-3.161346</v>
      </c>
      <c r="V3244">
        <v>-0.1475339</v>
      </c>
      <c r="W3244">
        <v>0.1222414</v>
      </c>
      <c r="X3244">
        <v>0.98147379999999995</v>
      </c>
      <c r="Y3244">
        <v>-0.4334113</v>
      </c>
      <c r="Z3244">
        <v>1.7551029999999999E-2</v>
      </c>
      <c r="AA3244">
        <v>0.90102539999999998</v>
      </c>
      <c r="AB3244">
        <v>36</v>
      </c>
      <c r="AC3244">
        <v>-2.6299999999992E-2</v>
      </c>
      <c r="AD3244">
        <v>-2.5557E-2</v>
      </c>
      <c r="AE3244">
        <v>-0.88170000000002302</v>
      </c>
      <c r="AF3244">
        <v>-0.45145900600809102</v>
      </c>
      <c r="AG3244">
        <v>-2.5557E-2</v>
      </c>
      <c r="AH3244">
        <v>0.75694561788269799</v>
      </c>
      <c r="AI3244">
        <v>91.660968033358898</v>
      </c>
      <c r="AJ3244">
        <v>120.812779362388</v>
      </c>
      <c r="AK3244">
        <v>0.88172278114304903</v>
      </c>
      <c r="AL3244">
        <v>82.978522255127203</v>
      </c>
      <c r="AM3244">
        <v>98.548625084579896</v>
      </c>
      <c r="AN3244">
        <v>1.0000000158047999</v>
      </c>
    </row>
    <row r="3245" spans="1:40" x14ac:dyDescent="0.3">
      <c r="A3245" t="str">
        <f>"20200111150015735"</f>
        <v>20200111150015735</v>
      </c>
      <c r="B3245" t="str">
        <f>"1578726015729154"</f>
        <v>1578726015729154</v>
      </c>
      <c r="C3245" t="s">
        <v>40</v>
      </c>
      <c r="D3245">
        <v>4.2669069999999998</v>
      </c>
      <c r="E3245">
        <v>0.39542159999999998</v>
      </c>
      <c r="F3245" t="s">
        <v>41</v>
      </c>
      <c r="G3245">
        <v>-487.5865</v>
      </c>
      <c r="H3245">
        <v>1.0958559999999999</v>
      </c>
      <c r="I3245">
        <v>272.12569999999999</v>
      </c>
      <c r="J3245">
        <v>-487.5675</v>
      </c>
      <c r="K3245">
        <v>1.1223270000000001</v>
      </c>
      <c r="L3245">
        <v>273.04289999999997</v>
      </c>
      <c r="M3245">
        <v>-0.52894799999999997</v>
      </c>
      <c r="N3245">
        <v>0</v>
      </c>
      <c r="O3245">
        <v>-0.84846549999999998</v>
      </c>
      <c r="P3245">
        <v>-0.39956700000000001</v>
      </c>
      <c r="Q3245">
        <v>0.110634</v>
      </c>
      <c r="R3245">
        <v>-0.91000349999999997</v>
      </c>
      <c r="S3245">
        <v>-0.34683229999999998</v>
      </c>
      <c r="T3245">
        <v>-7.7462429999999999E-2</v>
      </c>
      <c r="U3245">
        <v>-3.1651609999999999</v>
      </c>
      <c r="V3245">
        <v>-0.14784369999999999</v>
      </c>
      <c r="W3245">
        <v>0.12183910000000001</v>
      </c>
      <c r="X3245">
        <v>0.98147720000000005</v>
      </c>
      <c r="Y3245">
        <v>-0.4334616</v>
      </c>
      <c r="Z3245">
        <v>1.770557E-2</v>
      </c>
      <c r="AA3245">
        <v>0.90099810000000002</v>
      </c>
      <c r="AB3245">
        <v>36</v>
      </c>
      <c r="AC3245">
        <v>-1.9000000000005401E-2</v>
      </c>
      <c r="AD3245">
        <v>-2.6471000000000099E-2</v>
      </c>
      <c r="AE3245">
        <v>-0.91719999999997903</v>
      </c>
      <c r="AF3245">
        <v>-0.46871515322833701</v>
      </c>
      <c r="AG3245">
        <v>-2.6471000000000099E-2</v>
      </c>
      <c r="AH3245">
        <v>0.78773299138313702</v>
      </c>
      <c r="AI3245">
        <v>91.654156215863097</v>
      </c>
      <c r="AJ3245">
        <v>120.753398846777</v>
      </c>
      <c r="AK3245">
        <v>0.91701574382356699</v>
      </c>
      <c r="AL3245">
        <v>83.001745899846696</v>
      </c>
      <c r="AM3245">
        <v>98.566280692323801</v>
      </c>
      <c r="AN3245">
        <v>1.0000000100191699</v>
      </c>
    </row>
    <row r="3246" spans="1:40" x14ac:dyDescent="0.3">
      <c r="A3246" t="str">
        <f>"20200111150015747"</f>
        <v>20200111150015747</v>
      </c>
      <c r="B3246" t="str">
        <f>"1578726015738915"</f>
        <v>1578726015738915</v>
      </c>
      <c r="C3246" t="s">
        <v>40</v>
      </c>
      <c r="D3246">
        <v>4.2828569999999999</v>
      </c>
      <c r="E3246">
        <v>0.39427669999999998</v>
      </c>
      <c r="F3246" t="s">
        <v>42</v>
      </c>
      <c r="G3246">
        <v>-490.55650000000003</v>
      </c>
      <c r="H3246" s="1">
        <v>-1.1619029999999999E-6</v>
      </c>
      <c r="I3246">
        <v>251.95240000000001</v>
      </c>
      <c r="J3246">
        <v>-487.65940000000001</v>
      </c>
      <c r="K3246">
        <v>1.1223299999999901</v>
      </c>
      <c r="L3246">
        <v>272.88670000000002</v>
      </c>
      <c r="M3246">
        <v>-0.52081259999999996</v>
      </c>
      <c r="N3246">
        <v>0</v>
      </c>
      <c r="O3246">
        <v>-0.85348349999999995</v>
      </c>
      <c r="P3246">
        <v>-0.3907177</v>
      </c>
      <c r="Q3246">
        <v>0.110418</v>
      </c>
      <c r="R3246">
        <v>-0.91386440000000002</v>
      </c>
      <c r="S3246">
        <v>-0.44253540000000002</v>
      </c>
      <c r="T3246">
        <v>-0.16616639999999999</v>
      </c>
      <c r="U3246">
        <v>-3.1225589999999999</v>
      </c>
      <c r="V3246">
        <v>-0.14798900000000001</v>
      </c>
      <c r="W3246">
        <v>0.12161950000000001</v>
      </c>
      <c r="X3246">
        <v>0.98148250000000004</v>
      </c>
      <c r="Y3246">
        <v>-0.39605620000000002</v>
      </c>
      <c r="Z3246">
        <v>3.9260320000000001E-2</v>
      </c>
      <c r="AA3246">
        <v>0.91738649999999999</v>
      </c>
      <c r="AB3246">
        <v>36</v>
      </c>
      <c r="AC3246">
        <v>-2.89710000000002</v>
      </c>
      <c r="AD3246">
        <v>-1.1223311619030001</v>
      </c>
      <c r="AE3246">
        <v>-20.9343</v>
      </c>
      <c r="AF3246">
        <v>-8.40785777189474</v>
      </c>
      <c r="AG3246">
        <v>-1.1223311619030001</v>
      </c>
      <c r="AH3246">
        <v>19.324528339332499</v>
      </c>
      <c r="AI3246">
        <v>93.048447955838</v>
      </c>
      <c r="AJ3246">
        <v>113.513248400533</v>
      </c>
      <c r="AK3246">
        <v>21.1042435326892</v>
      </c>
      <c r="AL3246">
        <v>83.014422058791894</v>
      </c>
      <c r="AM3246">
        <v>98.574528892297494</v>
      </c>
      <c r="AN3246">
        <v>0.99999997235374904</v>
      </c>
    </row>
    <row r="3247" spans="1:40" x14ac:dyDescent="0.3">
      <c r="A3247" t="str">
        <f>"20200111150015758"</f>
        <v>20200111150015758</v>
      </c>
      <c r="B3247" t="str">
        <f>"1578726015748674"</f>
        <v>1578726015748674</v>
      </c>
      <c r="C3247" t="s">
        <v>40</v>
      </c>
      <c r="D3247">
        <v>4.2852769999999998</v>
      </c>
      <c r="E3247">
        <v>0.3935707</v>
      </c>
      <c r="F3247" t="s">
        <v>42</v>
      </c>
      <c r="G3247">
        <v>-490.55689999999998</v>
      </c>
      <c r="H3247" s="1">
        <v>-5.0410229999999899E-7</v>
      </c>
      <c r="I3247">
        <v>250.4188</v>
      </c>
      <c r="J3247">
        <v>-487.74919999999997</v>
      </c>
      <c r="K3247">
        <v>1.1223259999999999</v>
      </c>
      <c r="L3247">
        <v>272.73200000000003</v>
      </c>
      <c r="M3247">
        <v>-0.51272629999999997</v>
      </c>
      <c r="N3247">
        <v>0</v>
      </c>
      <c r="O3247">
        <v>-0.85836579999999996</v>
      </c>
      <c r="P3247">
        <v>-0.38198330000000003</v>
      </c>
      <c r="Q3247">
        <v>0.1103151</v>
      </c>
      <c r="R3247">
        <v>-0.91756179999999998</v>
      </c>
      <c r="S3247">
        <v>-0.4035339</v>
      </c>
      <c r="T3247">
        <v>-0.15630720000000001</v>
      </c>
      <c r="U3247">
        <v>-3.1291199999999999</v>
      </c>
      <c r="V3247">
        <v>-0.14807979999999901</v>
      </c>
      <c r="W3247">
        <v>0.1215154</v>
      </c>
      <c r="X3247">
        <v>0.98148170000000001</v>
      </c>
      <c r="Y3247">
        <v>-0.39886670000000002</v>
      </c>
      <c r="Z3247">
        <v>3.7204849999999998E-2</v>
      </c>
      <c r="AA3247">
        <v>0.91625389999999995</v>
      </c>
      <c r="AB3247">
        <v>36</v>
      </c>
      <c r="AC3247">
        <v>-2.8077000000000099</v>
      </c>
      <c r="AD3247">
        <v>-1.1223265041022901</v>
      </c>
      <c r="AE3247">
        <v>-22.313199999999998</v>
      </c>
      <c r="AF3247">
        <v>-9.0095370334961604</v>
      </c>
      <c r="AG3247">
        <v>-1.1223265041022901</v>
      </c>
      <c r="AH3247">
        <v>20.544596919918899</v>
      </c>
      <c r="AI3247">
        <v>92.864092595423301</v>
      </c>
      <c r="AJ3247">
        <v>113.679161463051</v>
      </c>
      <c r="AK3247">
        <v>22.461340942643801</v>
      </c>
      <c r="AL3247">
        <v>83.020431125941599</v>
      </c>
      <c r="AM3247">
        <v>98.579718491445306</v>
      </c>
      <c r="AN3247">
        <v>0.99999997352004399</v>
      </c>
    </row>
    <row r="3248" spans="1:40" x14ac:dyDescent="0.3">
      <c r="A3248" t="str">
        <f>"20200111150015770"</f>
        <v>20200111150015770</v>
      </c>
      <c r="B3248" t="str">
        <f>"1578726015759409"</f>
        <v>1578726015759409</v>
      </c>
      <c r="C3248" t="s">
        <v>40</v>
      </c>
      <c r="D3248">
        <v>4.2986329999999997</v>
      </c>
      <c r="E3248">
        <v>0.39328790000000002</v>
      </c>
      <c r="F3248" t="s">
        <v>42</v>
      </c>
      <c r="G3248">
        <v>-490.54950000000002</v>
      </c>
      <c r="H3248" s="1">
        <v>-4.1423649999999996E-6</v>
      </c>
      <c r="I3248">
        <v>248.9042</v>
      </c>
      <c r="J3248">
        <v>-487.83190000000002</v>
      </c>
      <c r="K3248">
        <v>1.1223209999999999</v>
      </c>
      <c r="L3248">
        <v>272.5847</v>
      </c>
      <c r="M3248">
        <v>-0.50503710000000002</v>
      </c>
      <c r="N3248">
        <v>0</v>
      </c>
      <c r="O3248">
        <v>-0.86291200000000001</v>
      </c>
      <c r="P3248">
        <v>-0.3738088</v>
      </c>
      <c r="Q3248">
        <v>0.11024829999999999</v>
      </c>
      <c r="R3248">
        <v>-0.92093020000000003</v>
      </c>
      <c r="S3248">
        <v>-0.3683167</v>
      </c>
      <c r="T3248">
        <v>-0.1476172</v>
      </c>
      <c r="U3248">
        <v>-3.1340029999999999</v>
      </c>
      <c r="V3248">
        <v>-0.1480389</v>
      </c>
      <c r="W3248">
        <v>0.1214525</v>
      </c>
      <c r="X3248">
        <v>0.98149569999999997</v>
      </c>
      <c r="Y3248">
        <v>-0.40098980000000001</v>
      </c>
      <c r="Z3248">
        <v>3.5393239999999999E-2</v>
      </c>
      <c r="AA3248">
        <v>0.9153985</v>
      </c>
      <c r="AB3248">
        <v>36</v>
      </c>
      <c r="AC3248">
        <v>-2.7176</v>
      </c>
      <c r="AD3248">
        <v>-1.12232514236499</v>
      </c>
      <c r="AE3248">
        <v>-23.680499999999899</v>
      </c>
      <c r="AF3248">
        <v>-9.5947501107791808</v>
      </c>
      <c r="AG3248">
        <v>-1.12232514236499</v>
      </c>
      <c r="AH3248">
        <v>21.7619237663334</v>
      </c>
      <c r="AI3248">
        <v>92.701773832703196</v>
      </c>
      <c r="AJ3248">
        <v>113.79250147542101</v>
      </c>
      <c r="AK3248">
        <v>23.8096654622694</v>
      </c>
      <c r="AL3248">
        <v>83.024062230025294</v>
      </c>
      <c r="AM3248">
        <v>98.577263476943898</v>
      </c>
      <c r="AN3248">
        <v>1.00000001739397</v>
      </c>
    </row>
    <row r="3249" spans="1:40" x14ac:dyDescent="0.3">
      <c r="A3249" t="str">
        <f>"20200111150015781"</f>
        <v>20200111150015781</v>
      </c>
      <c r="B3249" t="str">
        <f>"1578726015778930"</f>
        <v>1578726015778930</v>
      </c>
      <c r="C3249" t="s">
        <v>40</v>
      </c>
      <c r="D3249">
        <v>4.3054030000000001</v>
      </c>
      <c r="E3249">
        <v>0.39380340000000003</v>
      </c>
      <c r="F3249" t="s">
        <v>42</v>
      </c>
      <c r="G3249">
        <v>-490.46730000000002</v>
      </c>
      <c r="H3249" s="1">
        <v>-3.7826049999999999E-6</v>
      </c>
      <c r="I3249">
        <v>248.11660000000001</v>
      </c>
      <c r="J3249">
        <v>-487.92160000000001</v>
      </c>
      <c r="K3249">
        <v>1.122317</v>
      </c>
      <c r="L3249">
        <v>272.42329999999998</v>
      </c>
      <c r="M3249">
        <v>-0.49658059999999998</v>
      </c>
      <c r="N3249">
        <v>0</v>
      </c>
      <c r="O3249">
        <v>-0.86780610000000002</v>
      </c>
      <c r="P3249">
        <v>-0.36499860000000001</v>
      </c>
      <c r="Q3249">
        <v>0.10959240000000001</v>
      </c>
      <c r="R3249">
        <v>-0.92453529999999995</v>
      </c>
      <c r="S3249">
        <v>-0.33795170000000002</v>
      </c>
      <c r="T3249">
        <v>-0.14392160000000001</v>
      </c>
      <c r="U3249">
        <v>-3.1376650000000001</v>
      </c>
      <c r="V3249">
        <v>-0.14782819999999999</v>
      </c>
      <c r="W3249">
        <v>0.12080920000000001</v>
      </c>
      <c r="X3249">
        <v>0.9816068</v>
      </c>
      <c r="Y3249">
        <v>-0.40090799999999999</v>
      </c>
      <c r="Z3249">
        <v>3.4810790000000001E-2</v>
      </c>
      <c r="AA3249">
        <v>0.91545670000000001</v>
      </c>
      <c r="AB3249">
        <v>36</v>
      </c>
      <c r="AC3249">
        <v>-2.5457000000000098</v>
      </c>
      <c r="AD3249">
        <v>-1.1223207826049999</v>
      </c>
      <c r="AE3249">
        <v>-24.3066999999999</v>
      </c>
      <c r="AF3249">
        <v>-9.8418862221092702</v>
      </c>
      <c r="AG3249">
        <v>-1.1223207826049999</v>
      </c>
      <c r="AH3249">
        <v>22.314171901847899</v>
      </c>
      <c r="AI3249">
        <v>92.634834506140393</v>
      </c>
      <c r="AJ3249">
        <v>113.800352012628</v>
      </c>
      <c r="AK3249">
        <v>24.414024576321498</v>
      </c>
      <c r="AL3249">
        <v>83.061193725211993</v>
      </c>
      <c r="AM3249">
        <v>98.564281816144103</v>
      </c>
      <c r="AN3249">
        <v>0.99999997466305901</v>
      </c>
    </row>
    <row r="3250" spans="1:40" x14ac:dyDescent="0.3">
      <c r="A3250" t="str">
        <f>"20200111150015793"</f>
        <v>20200111150015793</v>
      </c>
      <c r="B3250" t="str">
        <f>"1578726015789667"</f>
        <v>1578726015789667</v>
      </c>
      <c r="C3250" t="s">
        <v>40</v>
      </c>
      <c r="D3250">
        <v>4.3299180000000002</v>
      </c>
      <c r="E3250">
        <v>0.39425080000000001</v>
      </c>
      <c r="F3250" t="s">
        <v>41</v>
      </c>
      <c r="G3250">
        <v>-488.03149999999999</v>
      </c>
      <c r="H3250">
        <v>1.072406</v>
      </c>
      <c r="I3250">
        <v>271.31779999999998</v>
      </c>
      <c r="J3250">
        <v>-488.00850000000003</v>
      </c>
      <c r="K3250">
        <v>1.1223099999999999</v>
      </c>
      <c r="L3250">
        <v>272.26119999999997</v>
      </c>
      <c r="M3250">
        <v>-0.48809059999999999</v>
      </c>
      <c r="N3250">
        <v>0</v>
      </c>
      <c r="O3250">
        <v>-0.87260949999999904</v>
      </c>
      <c r="P3250">
        <v>-0.35656769999999999</v>
      </c>
      <c r="Q3250">
        <v>0.1097089</v>
      </c>
      <c r="R3250">
        <v>-0.92780580000000001</v>
      </c>
      <c r="S3250">
        <v>-0.31182860000000001</v>
      </c>
      <c r="T3250">
        <v>-0.14167769999999999</v>
      </c>
      <c r="U3250">
        <v>-3.1385190000000001</v>
      </c>
      <c r="V3250">
        <v>-0.14718290000000001</v>
      </c>
      <c r="W3250">
        <v>0.1209578</v>
      </c>
      <c r="X3250">
        <v>0.98168549999999999</v>
      </c>
      <c r="Y3250">
        <v>-0.39953499999999997</v>
      </c>
      <c r="Z3250">
        <v>3.4601350000000003E-2</v>
      </c>
      <c r="AA3250">
        <v>0.91606469999999995</v>
      </c>
      <c r="AB3250">
        <v>36</v>
      </c>
      <c r="AC3250">
        <v>-2.2999999999967699E-2</v>
      </c>
      <c r="AD3250">
        <v>-4.9904000000000101E-2</v>
      </c>
      <c r="AE3250">
        <v>-0.94339999999999602</v>
      </c>
      <c r="AF3250">
        <v>-0.43923684049921602</v>
      </c>
      <c r="AG3250">
        <v>-4.9904000000000101E-2</v>
      </c>
      <c r="AH3250">
        <v>0.83225209850285498</v>
      </c>
      <c r="AI3250">
        <v>93.035563359702095</v>
      </c>
      <c r="AJ3250">
        <v>117.823702093051</v>
      </c>
      <c r="AK3250">
        <v>0.94237092841945203</v>
      </c>
      <c r="AL3250">
        <v>83.052616908014699</v>
      </c>
      <c r="AM3250">
        <v>98.526774221905896</v>
      </c>
      <c r="AN3250">
        <v>1.0000000081717499</v>
      </c>
    </row>
    <row r="3251" spans="1:40" x14ac:dyDescent="0.3">
      <c r="A3251" t="str">
        <f>"20200111150015804"</f>
        <v>20200111150015804</v>
      </c>
      <c r="B3251" t="str">
        <f>"1578726015799426"</f>
        <v>1578726015799426</v>
      </c>
      <c r="C3251" t="s">
        <v>40</v>
      </c>
      <c r="D3251">
        <v>4.2837420000000002</v>
      </c>
      <c r="E3251">
        <v>0.39453539999999998</v>
      </c>
      <c r="F3251" t="s">
        <v>42</v>
      </c>
      <c r="G3251">
        <v>-490.30579999999998</v>
      </c>
      <c r="H3251" s="1">
        <v>-3.2895410000000001E-6</v>
      </c>
      <c r="I3251">
        <v>247.0675</v>
      </c>
      <c r="J3251">
        <v>-488.09230000000002</v>
      </c>
      <c r="K3251">
        <v>1.122304</v>
      </c>
      <c r="L3251">
        <v>272.10230000000001</v>
      </c>
      <c r="M3251">
        <v>-0.47975020000000002</v>
      </c>
      <c r="N3251">
        <v>0</v>
      </c>
      <c r="O3251">
        <v>-0.87722239999999996</v>
      </c>
      <c r="P3251">
        <v>-0.34853810000000002</v>
      </c>
      <c r="Q3251">
        <v>0.1094</v>
      </c>
      <c r="R3251">
        <v>-0.9308883</v>
      </c>
      <c r="S3251">
        <v>-0.28631590000000001</v>
      </c>
      <c r="T3251">
        <v>-0.13987659999999999</v>
      </c>
      <c r="U3251">
        <v>-3.1399539999999999</v>
      </c>
      <c r="V3251">
        <v>-0.14630799999999999</v>
      </c>
      <c r="W3251">
        <v>0.1206918</v>
      </c>
      <c r="X3251">
        <v>0.98184899999999997</v>
      </c>
      <c r="Y3251">
        <v>-0.39821329999999999</v>
      </c>
      <c r="Z3251">
        <v>3.447041E-2</v>
      </c>
      <c r="AA3251">
        <v>0.91664489999999998</v>
      </c>
      <c r="AB3251">
        <v>36</v>
      </c>
      <c r="AC3251">
        <v>-2.2134999999999501</v>
      </c>
      <c r="AD3251">
        <v>-1.122307289541</v>
      </c>
      <c r="AE3251">
        <v>-25.034800000000001</v>
      </c>
      <c r="AF3251">
        <v>-10.0502913769507</v>
      </c>
      <c r="AG3251">
        <v>-1.122307289541</v>
      </c>
      <c r="AH3251">
        <v>22.9808791063017</v>
      </c>
      <c r="AI3251">
        <v>92.561975232632804</v>
      </c>
      <c r="AJ3251">
        <v>113.621334706057</v>
      </c>
      <c r="AK3251">
        <v>25.107543386644199</v>
      </c>
      <c r="AL3251">
        <v>83.067970008806995</v>
      </c>
      <c r="AM3251">
        <v>98.475435950465197</v>
      </c>
      <c r="AN3251">
        <v>1.00000000012611</v>
      </c>
    </row>
    <row r="3252" spans="1:40" x14ac:dyDescent="0.3">
      <c r="A3252" t="str">
        <f>"20200111150015816"</f>
        <v>20200111150015816</v>
      </c>
      <c r="B3252" t="str">
        <f>"1578726015809186"</f>
        <v>1578726015809186</v>
      </c>
      <c r="C3252" t="s">
        <v>40</v>
      </c>
      <c r="D3252">
        <v>4.2894459999999999</v>
      </c>
      <c r="E3252">
        <v>0.39484360000000002</v>
      </c>
      <c r="F3252" t="s">
        <v>41</v>
      </c>
      <c r="G3252">
        <v>-488.18400000000003</v>
      </c>
      <c r="H3252">
        <v>1.0738639999999999</v>
      </c>
      <c r="I3252">
        <v>270.99770000000001</v>
      </c>
      <c r="J3252">
        <v>-488.17219999999998</v>
      </c>
      <c r="K3252">
        <v>1.122298</v>
      </c>
      <c r="L3252">
        <v>271.947</v>
      </c>
      <c r="M3252">
        <v>-0.47158679999999997</v>
      </c>
      <c r="N3252">
        <v>0</v>
      </c>
      <c r="O3252">
        <v>-0.88163789999999997</v>
      </c>
      <c r="P3252">
        <v>-0.34058040000000001</v>
      </c>
      <c r="Q3252">
        <v>0.1092475</v>
      </c>
      <c r="R3252">
        <v>-0.93384679999999998</v>
      </c>
      <c r="S3252">
        <v>-0.26086429999999999</v>
      </c>
      <c r="T3252">
        <v>-0.13777429999999999</v>
      </c>
      <c r="U3252">
        <v>-3.141235</v>
      </c>
      <c r="V3252">
        <v>-0.14557310000000001</v>
      </c>
      <c r="W3252">
        <v>0.1205749</v>
      </c>
      <c r="X3252">
        <v>0.98197259999999997</v>
      </c>
      <c r="Y3252">
        <v>-0.39710309999999999</v>
      </c>
      <c r="Z3252">
        <v>3.424307E-2</v>
      </c>
      <c r="AA3252">
        <v>0.91713489999999998</v>
      </c>
      <c r="AB3252">
        <v>36</v>
      </c>
      <c r="AC3252">
        <v>-1.18000000000506E-2</v>
      </c>
      <c r="AD3252">
        <v>-4.8433999999999998E-2</v>
      </c>
      <c r="AE3252">
        <v>-0.94929999999999304</v>
      </c>
      <c r="AF3252">
        <v>-0.43620878561250698</v>
      </c>
      <c r="AG3252">
        <v>-4.8433999999999998E-2</v>
      </c>
      <c r="AH3252">
        <v>0.8404511729063</v>
      </c>
      <c r="AI3252">
        <v>92.928104012266601</v>
      </c>
      <c r="AJ3252">
        <v>117.430098134635</v>
      </c>
      <c r="AK3252">
        <v>0.94814668223915299</v>
      </c>
      <c r="AL3252">
        <v>83.074717231542905</v>
      </c>
      <c r="AM3252">
        <v>98.432431622260694</v>
      </c>
      <c r="AN3252">
        <v>1.00000001055219</v>
      </c>
    </row>
    <row r="3253" spans="1:40" x14ac:dyDescent="0.3">
      <c r="A3253" t="str">
        <f>"20200111150015826"</f>
        <v>20200111150015826</v>
      </c>
      <c r="B3253" t="str">
        <f>"1578726015818947"</f>
        <v>1578726015818947</v>
      </c>
      <c r="C3253" t="s">
        <v>40</v>
      </c>
      <c r="D3253">
        <v>4.2628389999999996</v>
      </c>
      <c r="E3253">
        <v>0.39490629999999999</v>
      </c>
      <c r="F3253" t="s">
        <v>42</v>
      </c>
      <c r="G3253">
        <v>-490.11579999999998</v>
      </c>
      <c r="H3253" s="1">
        <v>-2.8083989999999998E-6</v>
      </c>
      <c r="I3253">
        <v>246.06370000000001</v>
      </c>
      <c r="J3253">
        <v>-488.24849999999998</v>
      </c>
      <c r="K3253">
        <v>1.12229</v>
      </c>
      <c r="L3253">
        <v>271.79489999999998</v>
      </c>
      <c r="M3253">
        <v>-0.46358480000000002</v>
      </c>
      <c r="N3253">
        <v>0</v>
      </c>
      <c r="O3253">
        <v>-0.88587179999999999</v>
      </c>
      <c r="P3253">
        <v>-0.33304820000000002</v>
      </c>
      <c r="Q3253">
        <v>0.10946699999999999</v>
      </c>
      <c r="R3253">
        <v>-0.93653419999999998</v>
      </c>
      <c r="S3253">
        <v>-0.2359619</v>
      </c>
      <c r="T3253">
        <v>-0.13625470000000001</v>
      </c>
      <c r="U3253">
        <v>-3.142395</v>
      </c>
      <c r="V3253">
        <v>-0.14458499999999999</v>
      </c>
      <c r="W3253">
        <v>0.1208414</v>
      </c>
      <c r="X3253">
        <v>0.98208580000000001</v>
      </c>
      <c r="Y3253">
        <v>-0.3960437</v>
      </c>
      <c r="Z3253">
        <v>3.414114E-2</v>
      </c>
      <c r="AA3253">
        <v>0.91759679999999999</v>
      </c>
      <c r="AB3253">
        <v>36</v>
      </c>
      <c r="AC3253">
        <v>-1.8673</v>
      </c>
      <c r="AD3253">
        <v>-1.122292808399</v>
      </c>
      <c r="AE3253">
        <v>-25.731199999999902</v>
      </c>
      <c r="AF3253">
        <v>-10.2566409819349</v>
      </c>
      <c r="AG3253">
        <v>-1.122292808399</v>
      </c>
      <c r="AH3253">
        <v>23.6192893381597</v>
      </c>
      <c r="AI3253">
        <v>92.495597366977194</v>
      </c>
      <c r="AJ3253">
        <v>113.472823718852</v>
      </c>
      <c r="AK3253">
        <v>25.774581552758399</v>
      </c>
      <c r="AL3253">
        <v>83.059335308507002</v>
      </c>
      <c r="AM3253">
        <v>98.375058126629398</v>
      </c>
      <c r="AN3253">
        <v>0.99999999237030002</v>
      </c>
    </row>
    <row r="3254" spans="1:40" x14ac:dyDescent="0.3">
      <c r="A3254" t="str">
        <f>"20200111150015837"</f>
        <v>20200111150015837</v>
      </c>
      <c r="B3254" t="str">
        <f>"1578726015829683"</f>
        <v>1578726015829683</v>
      </c>
      <c r="C3254" t="s">
        <v>40</v>
      </c>
      <c r="D3254">
        <v>4.2631309999999996</v>
      </c>
      <c r="E3254">
        <v>0.39535880000000001</v>
      </c>
      <c r="F3254" t="s">
        <v>42</v>
      </c>
      <c r="G3254">
        <v>-490.05169999999998</v>
      </c>
      <c r="H3254" s="1">
        <v>-2.3137570000000001E-6</v>
      </c>
      <c r="I3254">
        <v>244.95050000000001</v>
      </c>
      <c r="J3254">
        <v>-488.32819999999998</v>
      </c>
      <c r="K3254">
        <v>1.1222810000000001</v>
      </c>
      <c r="L3254">
        <v>271.63339999999999</v>
      </c>
      <c r="M3254">
        <v>-0.45506770000000002</v>
      </c>
      <c r="N3254">
        <v>0</v>
      </c>
      <c r="O3254">
        <v>-0.89027690000000004</v>
      </c>
      <c r="P3254">
        <v>-0.32474239999999999</v>
      </c>
      <c r="Q3254">
        <v>0.109273</v>
      </c>
      <c r="R3254">
        <v>-0.939469</v>
      </c>
      <c r="S3254">
        <v>-0.21115110000000001</v>
      </c>
      <c r="T3254">
        <v>-0.1314234</v>
      </c>
      <c r="U3254">
        <v>-3.1435550000000001</v>
      </c>
      <c r="V3254">
        <v>-0.14386189999999999</v>
      </c>
      <c r="W3254">
        <v>0.12068280000000001</v>
      </c>
      <c r="X3254">
        <v>0.98221150000000002</v>
      </c>
      <c r="Y3254">
        <v>-0.39446700000000001</v>
      </c>
      <c r="Z3254">
        <v>3.3212650000000003E-2</v>
      </c>
      <c r="AA3254">
        <v>0.91830970000000001</v>
      </c>
      <c r="AB3254">
        <v>36</v>
      </c>
      <c r="AC3254">
        <v>-1.7235</v>
      </c>
      <c r="AD3254">
        <v>-1.1222833137570001</v>
      </c>
      <c r="AE3254">
        <v>-26.682899999999901</v>
      </c>
      <c r="AF3254">
        <v>-10.5911752608135</v>
      </c>
      <c r="AG3254">
        <v>-1.1222833137570001</v>
      </c>
      <c r="AH3254">
        <v>24.5002492365061</v>
      </c>
      <c r="AI3254">
        <v>92.407668644413405</v>
      </c>
      <c r="AJ3254">
        <v>113.378271706885</v>
      </c>
      <c r="AK3254">
        <v>26.715065522894001</v>
      </c>
      <c r="AL3254">
        <v>83.068489519897497</v>
      </c>
      <c r="AM3254">
        <v>98.332710856622001</v>
      </c>
      <c r="AN3254">
        <v>1.0000000076098401</v>
      </c>
    </row>
    <row r="3255" spans="1:40" x14ac:dyDescent="0.3">
      <c r="A3255" t="str">
        <f>"20200111150015849"</f>
        <v>20200111150015849</v>
      </c>
      <c r="B3255" t="str">
        <f>"1578726015839442"</f>
        <v>1578726015839442</v>
      </c>
      <c r="C3255" t="s">
        <v>40</v>
      </c>
      <c r="D3255">
        <v>4.2848889999999997</v>
      </c>
      <c r="E3255">
        <v>0.39546900000000001</v>
      </c>
      <c r="F3255" t="s">
        <v>42</v>
      </c>
      <c r="G3255">
        <v>-489.91899999999998</v>
      </c>
      <c r="H3255" s="1">
        <v>-2.2578670000000002E-6</v>
      </c>
      <c r="I3255">
        <v>244.86240000000001</v>
      </c>
      <c r="J3255">
        <v>-488.39850000000001</v>
      </c>
      <c r="K3255">
        <v>1.122268</v>
      </c>
      <c r="L3255">
        <v>271.48570000000001</v>
      </c>
      <c r="M3255">
        <v>-0.44728200000000001</v>
      </c>
      <c r="N3255">
        <v>0</v>
      </c>
      <c r="O3255">
        <v>-0.89421399999999995</v>
      </c>
      <c r="P3255">
        <v>-0.3167238</v>
      </c>
      <c r="Q3255">
        <v>0.10932509999999999</v>
      </c>
      <c r="R3255">
        <v>-0.94219609999999998</v>
      </c>
      <c r="S3255">
        <v>-0.18682860000000001</v>
      </c>
      <c r="T3255">
        <v>-0.13180459999999999</v>
      </c>
      <c r="U3255">
        <v>-3.1440730000000001</v>
      </c>
      <c r="V3255">
        <v>-0.14365899999999901</v>
      </c>
      <c r="W3255">
        <v>0.1207453</v>
      </c>
      <c r="X3255">
        <v>0.98223349999999998</v>
      </c>
      <c r="Y3255">
        <v>-0.39353500000000002</v>
      </c>
      <c r="Z3255">
        <v>3.3560970000000002E-2</v>
      </c>
      <c r="AA3255">
        <v>0.91869679999999998</v>
      </c>
      <c r="AB3255">
        <v>36</v>
      </c>
      <c r="AC3255">
        <v>-1.5205000000000199</v>
      </c>
      <c r="AD3255">
        <v>-1.1222702578669901</v>
      </c>
      <c r="AE3255">
        <v>-26.6233</v>
      </c>
      <c r="AF3255">
        <v>-10.531506410913501</v>
      </c>
      <c r="AG3255">
        <v>-1.1222702578669901</v>
      </c>
      <c r="AH3255">
        <v>24.447639789723699</v>
      </c>
      <c r="AI3255">
        <v>92.414140188907595</v>
      </c>
      <c r="AJ3255">
        <v>113.305316387801</v>
      </c>
      <c r="AK3255">
        <v>26.643183163858001</v>
      </c>
      <c r="AL3255">
        <v>83.064882046370599</v>
      </c>
      <c r="AM3255">
        <v>98.320939469538999</v>
      </c>
      <c r="AN3255">
        <v>0.99999999213766999</v>
      </c>
    </row>
    <row r="3256" spans="1:40" x14ac:dyDescent="0.3">
      <c r="A3256" t="str">
        <f>"20200111150015859"</f>
        <v>20200111150015859</v>
      </c>
      <c r="B3256" t="str">
        <f>"1578726015849203"</f>
        <v>1578726015849203</v>
      </c>
      <c r="C3256" t="s">
        <v>40</v>
      </c>
      <c r="D3256">
        <v>4.2930489999999999</v>
      </c>
      <c r="E3256">
        <v>0.39539819999999998</v>
      </c>
      <c r="F3256" t="s">
        <v>42</v>
      </c>
      <c r="G3256">
        <v>-489.79669999999999</v>
      </c>
      <c r="H3256" s="1">
        <v>-1.9492590000000001E-6</v>
      </c>
      <c r="I3256">
        <v>244.0925</v>
      </c>
      <c r="J3256">
        <v>-488.47480000000002</v>
      </c>
      <c r="K3256">
        <v>1.122258</v>
      </c>
      <c r="L3256">
        <v>271.32429999999999</v>
      </c>
      <c r="M3256">
        <v>-0.4387413</v>
      </c>
      <c r="N3256">
        <v>0</v>
      </c>
      <c r="O3256">
        <v>-0.898435399999999</v>
      </c>
      <c r="P3256">
        <v>-0.3079229</v>
      </c>
      <c r="Q3256">
        <v>0.1090995</v>
      </c>
      <c r="R3256">
        <v>-0.94513539999999996</v>
      </c>
      <c r="S3256">
        <v>-0.16052249999999901</v>
      </c>
      <c r="T3256">
        <v>-0.12884889999999999</v>
      </c>
      <c r="U3256">
        <v>-3.1450499999999999</v>
      </c>
      <c r="V3256">
        <v>-0.143459</v>
      </c>
      <c r="W3256">
        <v>0.120530399999999</v>
      </c>
      <c r="X3256">
        <v>0.98228910000000003</v>
      </c>
      <c r="Y3256">
        <v>-0.39245269999999999</v>
      </c>
      <c r="Z3256">
        <v>3.3069609999999999E-2</v>
      </c>
      <c r="AA3256">
        <v>0.91917749999999998</v>
      </c>
      <c r="AB3256">
        <v>36</v>
      </c>
      <c r="AC3256">
        <v>-1.3218999999999701</v>
      </c>
      <c r="AD3256">
        <v>-1.122259949259</v>
      </c>
      <c r="AE3256">
        <v>-27.2318</v>
      </c>
      <c r="AF3256">
        <v>-10.743591305869201</v>
      </c>
      <c r="AG3256">
        <v>-1.122259949259</v>
      </c>
      <c r="AH3256">
        <v>25.0076198297599</v>
      </c>
      <c r="AI3256">
        <v>92.361119513837707</v>
      </c>
      <c r="AJ3256">
        <v>113.248974751543</v>
      </c>
      <c r="AK3256">
        <v>27.240875005973201</v>
      </c>
      <c r="AL3256">
        <v>83.077285336048405</v>
      </c>
      <c r="AM3256">
        <v>98.309053269718007</v>
      </c>
      <c r="AN3256">
        <v>0.99999996899198396</v>
      </c>
    </row>
    <row r="3257" spans="1:40" x14ac:dyDescent="0.3">
      <c r="A3257" t="str">
        <f>"20200111150015873"</f>
        <v>20200111150015873</v>
      </c>
      <c r="B3257" t="str">
        <f>"1578726015868724"</f>
        <v>1578726015868724</v>
      </c>
      <c r="C3257" t="s">
        <v>40</v>
      </c>
      <c r="D3257">
        <v>4.2624620000000002</v>
      </c>
      <c r="E3257">
        <v>0.39450380000000002</v>
      </c>
      <c r="F3257" t="s">
        <v>42</v>
      </c>
      <c r="G3257">
        <v>-489.63830000000002</v>
      </c>
      <c r="H3257" s="1">
        <v>-1.6141909999999999E-6</v>
      </c>
      <c r="I3257">
        <v>243.24590000000001</v>
      </c>
      <c r="J3257">
        <v>-488.55259999999998</v>
      </c>
      <c r="K3257">
        <v>1.1222490000000001</v>
      </c>
      <c r="L3257">
        <v>271.15199999999999</v>
      </c>
      <c r="M3257">
        <v>-0.42963249999999997</v>
      </c>
      <c r="N3257">
        <v>0</v>
      </c>
      <c r="O3257">
        <v>-0.90282680000000004</v>
      </c>
      <c r="P3257">
        <v>-0.29830289999999998</v>
      </c>
      <c r="Q3257">
        <v>0.1088998</v>
      </c>
      <c r="R3257">
        <v>-0.94823840000000004</v>
      </c>
      <c r="S3257">
        <v>-0.13037109999999999</v>
      </c>
      <c r="T3257">
        <v>-0.1257491</v>
      </c>
      <c r="U3257">
        <v>-3.1461790000000001</v>
      </c>
      <c r="V3257">
        <v>-0.1435042</v>
      </c>
      <c r="W3257">
        <v>0.1203297</v>
      </c>
      <c r="X3257">
        <v>0.98230709999999999</v>
      </c>
      <c r="Y3257">
        <v>-0.39195740000000001</v>
      </c>
      <c r="Z3257">
        <v>3.2532239999999997E-2</v>
      </c>
      <c r="AA3257">
        <v>0.919408</v>
      </c>
      <c r="AB3257">
        <v>36</v>
      </c>
      <c r="AC3257">
        <v>-1.0857000000000301</v>
      </c>
      <c r="AD3257">
        <v>-1.122250614191</v>
      </c>
      <c r="AE3257">
        <v>-27.906099999999899</v>
      </c>
      <c r="AF3257">
        <v>-10.993176583047701</v>
      </c>
      <c r="AG3257">
        <v>-1.122250614191</v>
      </c>
      <c r="AH3257">
        <v>25.6235521672033</v>
      </c>
      <c r="AI3257">
        <v>92.304895747504602</v>
      </c>
      <c r="AJ3257">
        <v>113.22060270466601</v>
      </c>
      <c r="AK3257">
        <v>27.904763096871299</v>
      </c>
      <c r="AL3257">
        <v>83.088868881902002</v>
      </c>
      <c r="AM3257">
        <v>98.311484480088296</v>
      </c>
      <c r="AN3257">
        <v>0.99999996541506897</v>
      </c>
    </row>
    <row r="3258" spans="1:40" x14ac:dyDescent="0.3">
      <c r="A3258" t="str">
        <f>"20200111150015889"</f>
        <v>20200111150015889</v>
      </c>
      <c r="B3258" t="str">
        <f>"1578726015879458"</f>
        <v>1578726015879458</v>
      </c>
      <c r="C3258" t="s">
        <v>40</v>
      </c>
      <c r="D3258">
        <v>4.2579209999999996</v>
      </c>
      <c r="E3258">
        <v>0.39432020000000001</v>
      </c>
      <c r="F3258" t="s">
        <v>42</v>
      </c>
      <c r="G3258">
        <v>-489.3836</v>
      </c>
      <c r="H3258" s="1">
        <v>-1.3934000000000001E-6</v>
      </c>
      <c r="I3258">
        <v>242.6259</v>
      </c>
      <c r="J3258">
        <v>-488.65210000000002</v>
      </c>
      <c r="K3258">
        <v>1.122236</v>
      </c>
      <c r="L3258">
        <v>270.92669999999998</v>
      </c>
      <c r="M3258">
        <v>-0.41769260000000002</v>
      </c>
      <c r="N3258">
        <v>0</v>
      </c>
      <c r="O3258">
        <v>-0.90841260000000001</v>
      </c>
      <c r="P3258">
        <v>-0.28646949999999999</v>
      </c>
      <c r="Q3258">
        <v>0.1087617</v>
      </c>
      <c r="R3258">
        <v>-0.95189650000000003</v>
      </c>
      <c r="S3258">
        <v>-9.1735839999999999E-2</v>
      </c>
      <c r="T3258">
        <v>-0.1238911</v>
      </c>
      <c r="U3258">
        <v>-3.1491389999999999</v>
      </c>
      <c r="V3258">
        <v>-0.1427842</v>
      </c>
      <c r="W3258">
        <v>0.120226</v>
      </c>
      <c r="X3258">
        <v>0.98242470000000004</v>
      </c>
      <c r="Y3258">
        <v>-0.39112999999999998</v>
      </c>
      <c r="Z3258">
        <v>3.2358959999999999E-2</v>
      </c>
      <c r="AA3258">
        <v>0.91976639999999998</v>
      </c>
      <c r="AB3258">
        <v>35</v>
      </c>
      <c r="AC3258">
        <v>-0.73149999999998205</v>
      </c>
      <c r="AD3258">
        <v>-1.1222373934000001</v>
      </c>
      <c r="AE3258">
        <v>-28.300799999999899</v>
      </c>
      <c r="AF3258">
        <v>-11.1408067934043</v>
      </c>
      <c r="AG3258">
        <v>-1.1222373934000001</v>
      </c>
      <c r="AH3258">
        <v>25.977680574109701</v>
      </c>
      <c r="AI3258">
        <v>92.273617995389699</v>
      </c>
      <c r="AJ3258">
        <v>113.212592211458</v>
      </c>
      <c r="AK3258">
        <v>28.288104934505402</v>
      </c>
      <c r="AL3258">
        <v>83.094853831895605</v>
      </c>
      <c r="AM3258">
        <v>98.269385430300801</v>
      </c>
      <c r="AN3258">
        <v>0.99999995500786398</v>
      </c>
    </row>
    <row r="3259" spans="1:40" x14ac:dyDescent="0.3">
      <c r="A3259" t="str">
        <f>"20200111150015899"</f>
        <v>20200111150015899</v>
      </c>
      <c r="B3259" t="str">
        <f>"1578726015889219"</f>
        <v>1578726015889219</v>
      </c>
      <c r="C3259" t="s">
        <v>40</v>
      </c>
      <c r="D3259">
        <v>4.2419830000000003</v>
      </c>
      <c r="E3259">
        <v>0.39416830000000003</v>
      </c>
      <c r="F3259" t="s">
        <v>42</v>
      </c>
      <c r="G3259">
        <v>-489.11939999999998</v>
      </c>
      <c r="H3259" s="1">
        <v>-1.2632189999999999E-6</v>
      </c>
      <c r="I3259">
        <v>242.2132</v>
      </c>
      <c r="J3259">
        <v>-488.72070000000002</v>
      </c>
      <c r="K3259">
        <v>1.1222259999999999</v>
      </c>
      <c r="L3259">
        <v>270.76780000000002</v>
      </c>
      <c r="M3259">
        <v>-0.40924890000000003</v>
      </c>
      <c r="N3259">
        <v>0</v>
      </c>
      <c r="O3259">
        <v>-0.91224780000000005</v>
      </c>
      <c r="P3259">
        <v>-0.27816149999999901</v>
      </c>
      <c r="Q3259">
        <v>0.1084536</v>
      </c>
      <c r="R3259">
        <v>-0.95439240000000003</v>
      </c>
      <c r="S3259">
        <v>-5.1269530000000001E-2</v>
      </c>
      <c r="T3259">
        <v>-0.12312629999999999</v>
      </c>
      <c r="U3259">
        <v>-3.150299</v>
      </c>
      <c r="V3259">
        <v>-0.1422329</v>
      </c>
      <c r="W3259">
        <v>0.1199448</v>
      </c>
      <c r="X3259">
        <v>0.9825391</v>
      </c>
      <c r="Y3259">
        <v>-0.39440930000000002</v>
      </c>
      <c r="Z3259">
        <v>3.2344199999999997E-2</v>
      </c>
      <c r="AA3259">
        <v>0.91836549999999995</v>
      </c>
      <c r="AB3259">
        <v>35</v>
      </c>
      <c r="AC3259">
        <v>-0.39869999999996197</v>
      </c>
      <c r="AD3259">
        <v>-1.122227263219</v>
      </c>
      <c r="AE3259">
        <v>-28.554600000000001</v>
      </c>
      <c r="AF3259">
        <v>-11.306572942790099</v>
      </c>
      <c r="AG3259">
        <v>-1.122227263219</v>
      </c>
      <c r="AH3259">
        <v>26.1758015281812</v>
      </c>
      <c r="AI3259">
        <v>92.253881568236594</v>
      </c>
      <c r="AJ3259">
        <v>113.361811163781</v>
      </c>
      <c r="AK3259">
        <v>28.5354266024477</v>
      </c>
      <c r="AL3259">
        <v>83.111083281854803</v>
      </c>
      <c r="AM3259">
        <v>98.236949780663096</v>
      </c>
      <c r="AN3259">
        <v>1.00000001795913</v>
      </c>
    </row>
    <row r="3260" spans="1:40" x14ac:dyDescent="0.3">
      <c r="A3260" t="str">
        <f>"20200111150015911"</f>
        <v>20200111150015911</v>
      </c>
      <c r="B3260" t="str">
        <f>"1578726015898978"</f>
        <v>1578726015898978</v>
      </c>
      <c r="C3260" t="s">
        <v>40</v>
      </c>
      <c r="D3260">
        <v>4.2360680000000004</v>
      </c>
      <c r="E3260">
        <v>0.39420090000000002</v>
      </c>
      <c r="F3260" t="s">
        <v>42</v>
      </c>
      <c r="G3260">
        <v>-488.92450000000002</v>
      </c>
      <c r="H3260" s="1">
        <v>-1.1323449999999999E-6</v>
      </c>
      <c r="I3260">
        <v>241.82759999999999</v>
      </c>
      <c r="J3260">
        <v>-488.78559999999999</v>
      </c>
      <c r="K3260">
        <v>1.1222160000000001</v>
      </c>
      <c r="L3260">
        <v>270.61070000000001</v>
      </c>
      <c r="M3260">
        <v>-0.40090199999999998</v>
      </c>
      <c r="N3260">
        <v>0</v>
      </c>
      <c r="O3260">
        <v>-0.9159465</v>
      </c>
      <c r="P3260">
        <v>-0.27036490000000002</v>
      </c>
      <c r="Q3260">
        <v>0.10834870000000001</v>
      </c>
      <c r="R3260">
        <v>-0.9566422</v>
      </c>
      <c r="S3260">
        <v>-2.2186279999999999E-2</v>
      </c>
      <c r="T3260">
        <v>-0.1221782</v>
      </c>
      <c r="U3260">
        <v>-3.150757</v>
      </c>
      <c r="V3260">
        <v>-0.14127390000000001</v>
      </c>
      <c r="W3260">
        <v>0.119885199999999</v>
      </c>
      <c r="X3260">
        <v>0.98268469999999997</v>
      </c>
      <c r="Y3260">
        <v>-0.39449679999999998</v>
      </c>
      <c r="Z3260">
        <v>3.2303279999999997E-2</v>
      </c>
      <c r="AA3260">
        <v>0.91832939999999996</v>
      </c>
      <c r="AB3260">
        <v>35</v>
      </c>
      <c r="AC3260">
        <v>-0.138900000000035</v>
      </c>
      <c r="AD3260">
        <v>-1.1222171323450001</v>
      </c>
      <c r="AE3260">
        <v>-28.783100000000001</v>
      </c>
      <c r="AF3260">
        <v>-11.3964777914543</v>
      </c>
      <c r="AG3260">
        <v>-1.1222171323450001</v>
      </c>
      <c r="AH3260">
        <v>26.383582426005798</v>
      </c>
      <c r="AI3260">
        <v>92.236124546083602</v>
      </c>
      <c r="AJ3260">
        <v>113.362093745781</v>
      </c>
      <c r="AK3260">
        <v>28.761649795745001</v>
      </c>
      <c r="AL3260">
        <v>83.114522790768802</v>
      </c>
      <c r="AM3260">
        <v>98.180971041269601</v>
      </c>
      <c r="AN3260">
        <v>0.99999999780716997</v>
      </c>
    </row>
    <row r="3261" spans="1:40" x14ac:dyDescent="0.3">
      <c r="A3261" t="str">
        <f>"20200111150015922"</f>
        <v>20200111150015922</v>
      </c>
      <c r="B3261" t="str">
        <f>"1578726015919474"</f>
        <v>1578726015919474</v>
      </c>
      <c r="C3261" t="s">
        <v>40</v>
      </c>
      <c r="D3261">
        <v>4.2218099999999996</v>
      </c>
      <c r="E3261">
        <v>0.3942483</v>
      </c>
      <c r="F3261" t="s">
        <v>42</v>
      </c>
      <c r="G3261">
        <v>-488.75170000000003</v>
      </c>
      <c r="H3261" s="1">
        <v>-1.000924E-6</v>
      </c>
      <c r="I3261">
        <v>241.44980000000001</v>
      </c>
      <c r="J3261">
        <v>-488.85079999999999</v>
      </c>
      <c r="K3261">
        <v>1.1222049999999999</v>
      </c>
      <c r="L3261">
        <v>270.45119999999997</v>
      </c>
      <c r="M3261">
        <v>-0.3924011</v>
      </c>
      <c r="N3261">
        <v>0</v>
      </c>
      <c r="O3261">
        <v>-0.91962049999999995</v>
      </c>
      <c r="P3261">
        <v>-0.26225039999999999</v>
      </c>
      <c r="Q3261">
        <v>0.10800559999999999</v>
      </c>
      <c r="R3261">
        <v>-0.95893700000000004</v>
      </c>
      <c r="S3261">
        <v>3.6621090000000002E-3</v>
      </c>
      <c r="T3261">
        <v>-0.1212512</v>
      </c>
      <c r="U3261">
        <v>-3.1507260000000001</v>
      </c>
      <c r="V3261">
        <v>-0.140493799999999</v>
      </c>
      <c r="W3261">
        <v>0.1195794</v>
      </c>
      <c r="X3261">
        <v>0.98283379999999998</v>
      </c>
      <c r="Y3261">
        <v>-0.39351969999999997</v>
      </c>
      <c r="Z3261">
        <v>3.2276449999999998E-2</v>
      </c>
      <c r="AA3261">
        <v>0.91874940000000005</v>
      </c>
      <c r="AB3261">
        <v>35</v>
      </c>
      <c r="AC3261">
        <v>9.9099999999964397E-2</v>
      </c>
      <c r="AD3261">
        <v>-1.12220600092399</v>
      </c>
      <c r="AE3261">
        <v>-29.001399999999901</v>
      </c>
      <c r="AF3261">
        <v>-11.4559959078018</v>
      </c>
      <c r="AG3261">
        <v>-1.12220600092399</v>
      </c>
      <c r="AH3261">
        <v>26.595829248447501</v>
      </c>
      <c r="AI3261">
        <v>92.219250017106106</v>
      </c>
      <c r="AJ3261">
        <v>113.303674872953</v>
      </c>
      <c r="AK3261">
        <v>28.979946893682499</v>
      </c>
      <c r="AL3261">
        <v>83.132170877511001</v>
      </c>
      <c r="AM3261">
        <v>98.135185278940696</v>
      </c>
      <c r="AN3261">
        <v>1.00000000958262</v>
      </c>
    </row>
    <row r="3262" spans="1:40" x14ac:dyDescent="0.3">
      <c r="A3262" t="str">
        <f>"20200111150015934"</f>
        <v>20200111150015934</v>
      </c>
      <c r="B3262" t="str">
        <f>"1578726015929235"</f>
        <v>1578726015929235</v>
      </c>
      <c r="C3262" t="s">
        <v>40</v>
      </c>
      <c r="D3262">
        <v>4.2745610000000003</v>
      </c>
      <c r="E3262">
        <v>0.39409539999999998</v>
      </c>
      <c r="F3262" t="s">
        <v>41</v>
      </c>
      <c r="G3262">
        <v>-488.84039999999999</v>
      </c>
      <c r="H3262">
        <v>1.0797749999999999</v>
      </c>
      <c r="I3262">
        <v>269.34059999999999</v>
      </c>
      <c r="J3262">
        <v>-488.91730000000001</v>
      </c>
      <c r="K3262">
        <v>1.122193</v>
      </c>
      <c r="L3262">
        <v>270.28160000000003</v>
      </c>
      <c r="M3262">
        <v>-0.3833607</v>
      </c>
      <c r="N3262">
        <v>0</v>
      </c>
      <c r="O3262">
        <v>-0.92342579999999996</v>
      </c>
      <c r="P3262">
        <v>-0.25365870000000001</v>
      </c>
      <c r="Q3262">
        <v>0.1078441</v>
      </c>
      <c r="R3262">
        <v>-0.96126319999999998</v>
      </c>
      <c r="S3262">
        <v>2.996826E-2</v>
      </c>
      <c r="T3262">
        <v>-0.12033629999999999</v>
      </c>
      <c r="U3262">
        <v>-3.1502379999999999</v>
      </c>
      <c r="V3262">
        <v>-0.13964279999999901</v>
      </c>
      <c r="W3262">
        <v>0.1194582</v>
      </c>
      <c r="X3262">
        <v>0.9829698</v>
      </c>
      <c r="Y3262">
        <v>-0.3921732</v>
      </c>
      <c r="Z3262">
        <v>3.2263899999999998E-2</v>
      </c>
      <c r="AA3262">
        <v>0.91932539999999996</v>
      </c>
      <c r="AB3262">
        <v>35</v>
      </c>
      <c r="AC3262">
        <v>7.69000000000232E-2</v>
      </c>
      <c r="AD3262">
        <v>-4.2417999999999997E-2</v>
      </c>
      <c r="AE3262">
        <v>-0.94100000000003003</v>
      </c>
      <c r="AF3262">
        <v>-0.430952941148946</v>
      </c>
      <c r="AG3262">
        <v>-4.2417999999999997E-2</v>
      </c>
      <c r="AH3262">
        <v>0.83790600035948903</v>
      </c>
      <c r="AI3262">
        <v>92.577629117871894</v>
      </c>
      <c r="AJ3262">
        <v>117.217726014069</v>
      </c>
      <c r="AK3262">
        <v>0.94318937104240297</v>
      </c>
      <c r="AL3262">
        <v>83.139165198982695</v>
      </c>
      <c r="AM3262">
        <v>98.085458472347696</v>
      </c>
      <c r="AN3262">
        <v>1.00000000042556</v>
      </c>
    </row>
    <row r="3263" spans="1:40" x14ac:dyDescent="0.3">
      <c r="A3263" t="str">
        <f>"20200111150015944"</f>
        <v>20200111150015944</v>
      </c>
      <c r="B3263" t="str">
        <f>"1578726015938994"</f>
        <v>1578726015938994</v>
      </c>
      <c r="C3263" t="s">
        <v>40</v>
      </c>
      <c r="D3263">
        <v>4.2531589999999904</v>
      </c>
      <c r="E3263">
        <v>0.39413480000000001</v>
      </c>
      <c r="F3263" t="s">
        <v>42</v>
      </c>
      <c r="G3263">
        <v>-488.35149999999999</v>
      </c>
      <c r="H3263" s="1">
        <v>-6.8703529999999999E-7</v>
      </c>
      <c r="I3263">
        <v>240.37799999999999</v>
      </c>
      <c r="J3263">
        <v>-488.9794</v>
      </c>
      <c r="K3263">
        <v>1.1221840000000001</v>
      </c>
      <c r="L3263">
        <v>270.12</v>
      </c>
      <c r="M3263">
        <v>-0.3747297</v>
      </c>
      <c r="N3263">
        <v>0</v>
      </c>
      <c r="O3263">
        <v>-0.92696190000000001</v>
      </c>
      <c r="P3263">
        <v>-0.2455521</v>
      </c>
      <c r="Q3263">
        <v>0.1073467</v>
      </c>
      <c r="R3263">
        <v>-0.96342150000000004</v>
      </c>
      <c r="S3263">
        <v>5.960083E-2</v>
      </c>
      <c r="T3263">
        <v>-0.1182066</v>
      </c>
      <c r="U3263">
        <v>-3.149902</v>
      </c>
      <c r="V3263">
        <v>-0.1387476</v>
      </c>
      <c r="W3263">
        <v>0.1190041</v>
      </c>
      <c r="X3263">
        <v>0.98315160000000001</v>
      </c>
      <c r="Y3263">
        <v>-0.39224039999999999</v>
      </c>
      <c r="Z3263">
        <v>3.189094E-2</v>
      </c>
      <c r="AA3263">
        <v>0.91930979999999995</v>
      </c>
      <c r="AB3263">
        <v>35</v>
      </c>
      <c r="AC3263">
        <v>0.627900000000011</v>
      </c>
      <c r="AD3263">
        <v>-1.1221846870353001</v>
      </c>
      <c r="AE3263">
        <v>-29.742000000000001</v>
      </c>
      <c r="AF3263">
        <v>-11.712456308939</v>
      </c>
      <c r="AG3263">
        <v>-1.1221846870353001</v>
      </c>
      <c r="AH3263">
        <v>27.299925976393101</v>
      </c>
      <c r="AI3263">
        <v>92.163371647124194</v>
      </c>
      <c r="AJ3263">
        <v>113.220729174826</v>
      </c>
      <c r="AK3263">
        <v>29.7275442910639</v>
      </c>
      <c r="AL3263">
        <v>83.165369939228597</v>
      </c>
      <c r="AM3263">
        <v>98.032838152546503</v>
      </c>
      <c r="AN3263">
        <v>0.99999997045256395</v>
      </c>
    </row>
    <row r="3264" spans="1:40" x14ac:dyDescent="0.3">
      <c r="A3264" t="str">
        <f>"20200111150015956"</f>
        <v>20200111150015956</v>
      </c>
      <c r="B3264" t="str">
        <f>"1578726015948756"</f>
        <v>1578726015948756</v>
      </c>
      <c r="C3264" t="s">
        <v>40</v>
      </c>
      <c r="D3264">
        <v>4.2428179999999998</v>
      </c>
      <c r="E3264">
        <v>0.3941173</v>
      </c>
      <c r="F3264" t="s">
        <v>41</v>
      </c>
      <c r="G3264">
        <v>-488.9479</v>
      </c>
      <c r="H3264">
        <v>1.0791389999999901</v>
      </c>
      <c r="I3264">
        <v>268.9676</v>
      </c>
      <c r="J3264">
        <v>-489.04320000000001</v>
      </c>
      <c r="K3264">
        <v>1.1221719999999999</v>
      </c>
      <c r="L3264">
        <v>269.94869999999997</v>
      </c>
      <c r="M3264">
        <v>-0.36556539999999998</v>
      </c>
      <c r="N3264">
        <v>0</v>
      </c>
      <c r="O3264">
        <v>-0.93061430000000001</v>
      </c>
      <c r="P3264">
        <v>-0.23700779999999999</v>
      </c>
      <c r="Q3264">
        <v>0.10698239999999901</v>
      </c>
      <c r="R3264">
        <v>-0.9655996</v>
      </c>
      <c r="S3264">
        <v>8.6303710000000006E-2</v>
      </c>
      <c r="T3264">
        <v>-0.1175891</v>
      </c>
      <c r="U3264">
        <v>-3.1489560000000001</v>
      </c>
      <c r="V3264">
        <v>-0.13775100000000001</v>
      </c>
      <c r="W3264">
        <v>0.1186874</v>
      </c>
      <c r="X3264">
        <v>0.98333009999999998</v>
      </c>
      <c r="Y3264">
        <v>-0.3909609</v>
      </c>
      <c r="Z3264">
        <v>3.1943779999999998E-2</v>
      </c>
      <c r="AA3264">
        <v>0.91985280000000003</v>
      </c>
      <c r="AB3264">
        <v>35</v>
      </c>
      <c r="AC3264">
        <v>9.5300000000008794E-2</v>
      </c>
      <c r="AD3264">
        <v>-4.3033000000000099E-2</v>
      </c>
      <c r="AE3264">
        <v>-0.981099999999969</v>
      </c>
      <c r="AF3264">
        <v>-0.446564014283582</v>
      </c>
      <c r="AG3264">
        <v>-4.3033000000000099E-2</v>
      </c>
      <c r="AH3264">
        <v>0.87665658289854398</v>
      </c>
      <c r="AI3264">
        <v>92.504505101701</v>
      </c>
      <c r="AJ3264">
        <v>116.994041800939</v>
      </c>
      <c r="AK3264">
        <v>0.98478323619028996</v>
      </c>
      <c r="AL3264">
        <v>83.183645655564504</v>
      </c>
      <c r="AM3264">
        <v>97.974455602888298</v>
      </c>
      <c r="AN3264">
        <v>1.0000000612428801</v>
      </c>
    </row>
    <row r="3265" spans="1:40" x14ac:dyDescent="0.3">
      <c r="A3265" t="str">
        <f>"20200111150015970"</f>
        <v>20200111150015970</v>
      </c>
      <c r="B3265" t="str">
        <f>"1578726015959492"</f>
        <v>1578726015959492</v>
      </c>
      <c r="C3265" t="s">
        <v>40</v>
      </c>
      <c r="D3265">
        <v>4.2337369999999996</v>
      </c>
      <c r="E3265">
        <v>0.39421519999999999</v>
      </c>
      <c r="F3265" t="s">
        <v>42</v>
      </c>
      <c r="G3265">
        <v>-487.94380000000001</v>
      </c>
      <c r="H3265" s="1">
        <v>-5.6503220000000001E-7</v>
      </c>
      <c r="I3265">
        <v>239.70079999999999</v>
      </c>
      <c r="J3265">
        <v>-489.10820000000001</v>
      </c>
      <c r="K3265">
        <v>1.122161</v>
      </c>
      <c r="L3265">
        <v>269.76769999999999</v>
      </c>
      <c r="M3265">
        <v>-0.35587089999999999</v>
      </c>
      <c r="N3265">
        <v>0</v>
      </c>
      <c r="O3265">
        <v>-0.93436439999999998</v>
      </c>
      <c r="P3265">
        <v>-0.2280025</v>
      </c>
      <c r="Q3265">
        <v>0.1066545</v>
      </c>
      <c r="R3265">
        <v>-0.96780160000000004</v>
      </c>
      <c r="S3265">
        <v>0.1144104</v>
      </c>
      <c r="T3265">
        <v>-0.116783</v>
      </c>
      <c r="U3265">
        <v>-3.1478579999999998</v>
      </c>
      <c r="V3265">
        <v>-0.13668169999999999</v>
      </c>
      <c r="W3265">
        <v>0.1184099</v>
      </c>
      <c r="X3265">
        <v>0.98351270000000002</v>
      </c>
      <c r="Y3265">
        <v>-0.38960610000000001</v>
      </c>
      <c r="Z3265">
        <v>3.1949270000000002E-2</v>
      </c>
      <c r="AA3265">
        <v>0.92042729999999995</v>
      </c>
      <c r="AB3265">
        <v>35</v>
      </c>
      <c r="AC3265">
        <v>1.1644000000000001</v>
      </c>
      <c r="AD3265">
        <v>-1.1221615650322001</v>
      </c>
      <c r="AE3265">
        <v>-30.0669</v>
      </c>
      <c r="AF3265">
        <v>-11.7734145667962</v>
      </c>
      <c r="AG3265">
        <v>-1.1221615650322001</v>
      </c>
      <c r="AH3265">
        <v>27.645031449115798</v>
      </c>
      <c r="AI3265">
        <v>92.138778335886798</v>
      </c>
      <c r="AJ3265">
        <v>113.068094691285</v>
      </c>
      <c r="AK3265">
        <v>30.068593265437102</v>
      </c>
      <c r="AL3265">
        <v>83.199657808375804</v>
      </c>
      <c r="AM3265">
        <v>97.911890058933807</v>
      </c>
      <c r="AN3265">
        <v>1.0000000112970899</v>
      </c>
    </row>
    <row r="3266" spans="1:40" x14ac:dyDescent="0.3">
      <c r="A3266" t="str">
        <f>"20200111150015983"</f>
        <v>20200111150015983</v>
      </c>
      <c r="B3266" t="str">
        <f>"1578726015979011"</f>
        <v>1578726015979011</v>
      </c>
      <c r="C3266" t="s">
        <v>40</v>
      </c>
      <c r="D3266">
        <v>4.2448569999999997</v>
      </c>
      <c r="E3266">
        <v>0.39465660000000002</v>
      </c>
      <c r="F3266" t="s">
        <v>42</v>
      </c>
      <c r="G3266">
        <v>-487.72770000000003</v>
      </c>
      <c r="H3266" s="1">
        <v>-4.6079070000000004E-6</v>
      </c>
      <c r="I3266">
        <v>239.43440000000001</v>
      </c>
      <c r="J3266">
        <v>-489.17770000000002</v>
      </c>
      <c r="K3266">
        <v>1.1221449999999999</v>
      </c>
      <c r="L3266">
        <v>269.56869999999998</v>
      </c>
      <c r="M3266">
        <v>-0.34518320000000002</v>
      </c>
      <c r="N3266">
        <v>0</v>
      </c>
      <c r="O3266">
        <v>-0.93836520000000001</v>
      </c>
      <c r="P3266">
        <v>-0.21808230000000001</v>
      </c>
      <c r="Q3266">
        <v>0.1063486</v>
      </c>
      <c r="R3266">
        <v>-0.97011860000000005</v>
      </c>
      <c r="S3266">
        <v>0.1431885</v>
      </c>
      <c r="T3266">
        <v>-0.116398</v>
      </c>
      <c r="U3266">
        <v>-3.1463619999999999</v>
      </c>
      <c r="V3266">
        <v>-0.13551750000000001</v>
      </c>
      <c r="W3266">
        <v>0.11816</v>
      </c>
      <c r="X3266">
        <v>0.98370389999999996</v>
      </c>
      <c r="Y3266">
        <v>-0.38751390000000002</v>
      </c>
      <c r="Z3266">
        <v>3.2090130000000001E-2</v>
      </c>
      <c r="AA3266">
        <v>0.92130520000000005</v>
      </c>
      <c r="AB3266">
        <v>35</v>
      </c>
      <c r="AC3266">
        <v>1.44999999999998</v>
      </c>
      <c r="AD3266">
        <v>-1.1221496079069999</v>
      </c>
      <c r="AE3266">
        <v>-30.1342999999999</v>
      </c>
      <c r="AF3266">
        <v>-11.748108682074101</v>
      </c>
      <c r="AG3266">
        <v>-1.1221496079069999</v>
      </c>
      <c r="AH3266">
        <v>27.742517119317899</v>
      </c>
      <c r="AI3266">
        <v>92.133093099196699</v>
      </c>
      <c r="AJ3266">
        <v>112.95117382731</v>
      </c>
      <c r="AK3266">
        <v>30.148375303886599</v>
      </c>
      <c r="AL3266">
        <v>83.2140776570714</v>
      </c>
      <c r="AM3266">
        <v>97.843836565359993</v>
      </c>
      <c r="AN3266">
        <v>1.0000000706407199</v>
      </c>
    </row>
    <row r="3267" spans="1:40" x14ac:dyDescent="0.3">
      <c r="A3267" t="str">
        <f>"20200111150015996"</f>
        <v>20200111150015996</v>
      </c>
      <c r="B3267" t="str">
        <f>"1578726015988770"</f>
        <v>1578726015988770</v>
      </c>
      <c r="C3267" t="s">
        <v>40</v>
      </c>
      <c r="D3267">
        <v>4.2135910000000001</v>
      </c>
      <c r="E3267">
        <v>0.39465660000000002</v>
      </c>
      <c r="F3267" t="s">
        <v>41</v>
      </c>
      <c r="G3267">
        <v>-489.11450000000002</v>
      </c>
      <c r="H3267">
        <v>1.0796490000000001</v>
      </c>
      <c r="I3267">
        <v>268.40800000000002</v>
      </c>
      <c r="J3267">
        <v>-489.24560000000002</v>
      </c>
      <c r="K3267">
        <v>1.122131</v>
      </c>
      <c r="L3267">
        <v>269.36590000000001</v>
      </c>
      <c r="M3267">
        <v>-0.33428140000000001</v>
      </c>
      <c r="N3267">
        <v>0</v>
      </c>
      <c r="O3267">
        <v>-0.94230400000000003</v>
      </c>
      <c r="P3267">
        <v>-0.20859949999999999</v>
      </c>
      <c r="Q3267">
        <v>0.1059816</v>
      </c>
      <c r="R3267">
        <v>-0.97224200000000005</v>
      </c>
      <c r="S3267">
        <v>0.17208860000000001</v>
      </c>
      <c r="T3267">
        <v>-0.11504300000000001</v>
      </c>
      <c r="U3267">
        <v>-3.1436769999999998</v>
      </c>
      <c r="V3267">
        <v>-0.1337092</v>
      </c>
      <c r="W3267">
        <v>0.1178782</v>
      </c>
      <c r="X3267">
        <v>0.98398509999999995</v>
      </c>
      <c r="Y3267">
        <v>-0.3853104</v>
      </c>
      <c r="Z3267">
        <v>3.1968740000000002E-2</v>
      </c>
      <c r="AA3267">
        <v>0.92223310000000003</v>
      </c>
      <c r="AB3267">
        <v>35</v>
      </c>
      <c r="AC3267">
        <v>0.13110000000000299</v>
      </c>
      <c r="AD3267">
        <v>-4.2481999999999902E-2</v>
      </c>
      <c r="AE3267">
        <v>-0.95789999999999498</v>
      </c>
      <c r="AF3267">
        <v>-0.442959814613129</v>
      </c>
      <c r="AG3267">
        <v>-4.2481999999999902E-2</v>
      </c>
      <c r="AH3267">
        <v>0.85729062058935301</v>
      </c>
      <c r="AI3267">
        <v>92.520780036392907</v>
      </c>
      <c r="AJ3267">
        <v>117.32528009593</v>
      </c>
      <c r="AK3267">
        <v>0.96590130232678295</v>
      </c>
      <c r="AL3267">
        <v>83.230337089739905</v>
      </c>
      <c r="AM3267">
        <v>97.738263083231203</v>
      </c>
      <c r="AN3267">
        <v>1.0000000486109399</v>
      </c>
    </row>
    <row r="3268" spans="1:40" x14ac:dyDescent="0.3">
      <c r="A3268" t="str">
        <f>"20200111150016013"</f>
        <v>20200111150016013</v>
      </c>
      <c r="B3268" t="str">
        <f>"1578726016009266"</f>
        <v>1578726016009266</v>
      </c>
      <c r="C3268" t="s">
        <v>40</v>
      </c>
      <c r="D3268">
        <v>4.1792550000000004</v>
      </c>
      <c r="E3268">
        <v>0.40651720000000002</v>
      </c>
      <c r="F3268" t="s">
        <v>42</v>
      </c>
      <c r="G3268">
        <v>-487.27890000000002</v>
      </c>
      <c r="H3268" s="1">
        <v>-4.4626880000000002E-6</v>
      </c>
      <c r="I3268">
        <v>238.91030000000001</v>
      </c>
      <c r="J3268">
        <v>-489.31709999999998</v>
      </c>
      <c r="K3268">
        <v>1.122115</v>
      </c>
      <c r="L3268">
        <v>269.1422</v>
      </c>
      <c r="M3268">
        <v>-0.32222859999999998</v>
      </c>
      <c r="N3268">
        <v>0</v>
      </c>
      <c r="O3268">
        <v>-0.94649340000000004</v>
      </c>
      <c r="P3268">
        <v>-0.1994051</v>
      </c>
      <c r="Q3268">
        <v>0.10539229999999999</v>
      </c>
      <c r="R3268">
        <v>-0.97423329999999997</v>
      </c>
      <c r="S3268">
        <v>0.2028809</v>
      </c>
      <c r="T3268">
        <v>-0.1157588</v>
      </c>
      <c r="U3268">
        <v>-3.141785</v>
      </c>
      <c r="V3268">
        <v>-0.13043370000000001</v>
      </c>
      <c r="W3268">
        <v>0.11744159999999999</v>
      </c>
      <c r="X3268">
        <v>0.98447669999999998</v>
      </c>
      <c r="Y3268">
        <v>-0.38256849999999998</v>
      </c>
      <c r="Z3268">
        <v>3.2428869999999999E-2</v>
      </c>
      <c r="AA3268">
        <v>0.92335780000000001</v>
      </c>
      <c r="AB3268">
        <v>35</v>
      </c>
      <c r="AC3268">
        <v>2.0381999999999598</v>
      </c>
      <c r="AD3268">
        <v>-1.122119462688</v>
      </c>
      <c r="AE3268">
        <v>-30.2319</v>
      </c>
      <c r="AF3268">
        <v>-11.6566010648421</v>
      </c>
      <c r="AG3268">
        <v>-1.122119462688</v>
      </c>
      <c r="AH3268">
        <v>27.923691650590602</v>
      </c>
      <c r="AI3268">
        <v>92.123771364323503</v>
      </c>
      <c r="AJ3268">
        <v>112.65784505313999</v>
      </c>
      <c r="AK3268">
        <v>30.279829191570499</v>
      </c>
      <c r="AL3268">
        <v>83.255526569592902</v>
      </c>
      <c r="AM3268">
        <v>97.547184550307094</v>
      </c>
      <c r="AN3268">
        <v>0.99999992617456701</v>
      </c>
    </row>
    <row r="3269" spans="1:40" x14ac:dyDescent="0.3">
      <c r="A3269" t="str">
        <f>"20200111150016026"</f>
        <v>20200111150016026</v>
      </c>
      <c r="B3269" t="str">
        <f>"1578726016019027"</f>
        <v>1578726016019027</v>
      </c>
      <c r="C3269" t="s">
        <v>40</v>
      </c>
      <c r="D3269">
        <v>4.2957769999999904</v>
      </c>
      <c r="E3269">
        <v>0.40746860000000001</v>
      </c>
      <c r="F3269" t="s">
        <v>42</v>
      </c>
      <c r="G3269">
        <v>-488.0247</v>
      </c>
      <c r="H3269" s="1">
        <v>-8.1560360000000001E-7</v>
      </c>
      <c r="I3269">
        <v>240.50040000000001</v>
      </c>
      <c r="J3269">
        <v>-489.3793</v>
      </c>
      <c r="K3269">
        <v>1.1221019999999999</v>
      </c>
      <c r="L3269">
        <v>268.9402</v>
      </c>
      <c r="M3269">
        <v>-0.31131819999999999</v>
      </c>
      <c r="N3269">
        <v>0</v>
      </c>
      <c r="O3269">
        <v>-0.95013809999999999</v>
      </c>
      <c r="P3269">
        <v>-0.1901215</v>
      </c>
      <c r="Q3269">
        <v>0.10496900000000001</v>
      </c>
      <c r="R3269">
        <v>-0.97613300000000003</v>
      </c>
      <c r="S3269">
        <v>0.14083860000000001</v>
      </c>
      <c r="T3269">
        <v>-0.12228840000000001</v>
      </c>
      <c r="U3269">
        <v>-3.1213989999999998</v>
      </c>
      <c r="V3269">
        <v>-0.12846830000000001</v>
      </c>
      <c r="W3269">
        <v>0.1171106</v>
      </c>
      <c r="X3269">
        <v>0.98477460000000006</v>
      </c>
      <c r="Y3269">
        <v>-0.35384840000000001</v>
      </c>
      <c r="Z3269">
        <v>3.4937839999999998E-2</v>
      </c>
      <c r="AA3269">
        <v>0.93464999999999998</v>
      </c>
      <c r="AB3269">
        <v>35</v>
      </c>
      <c r="AC3269">
        <v>1.3546</v>
      </c>
      <c r="AD3269">
        <v>-1.1221028156035999</v>
      </c>
      <c r="AE3269">
        <v>-28.439799999999899</v>
      </c>
      <c r="AF3269">
        <v>-10.1267711615673</v>
      </c>
      <c r="AG3269">
        <v>-1.1221028156035999</v>
      </c>
      <c r="AH3269">
        <v>26.563006163412201</v>
      </c>
      <c r="AI3269">
        <v>92.260400005422198</v>
      </c>
      <c r="AJ3269">
        <v>110.86864169133</v>
      </c>
      <c r="AK3269">
        <v>28.450024698144201</v>
      </c>
      <c r="AL3269">
        <v>83.274623784713995</v>
      </c>
      <c r="AM3269">
        <v>97.432520048341203</v>
      </c>
      <c r="AN3269">
        <v>1.0000000047712001</v>
      </c>
    </row>
    <row r="3270" spans="1:40" x14ac:dyDescent="0.3">
      <c r="A3270" t="str">
        <f>"20200111150016047"</f>
        <v>20200111150016047</v>
      </c>
      <c r="B3270" t="str">
        <f>"1578726016039521"</f>
        <v>1578726016039521</v>
      </c>
      <c r="C3270" t="s">
        <v>40</v>
      </c>
      <c r="D3270">
        <v>4.2587289999999998</v>
      </c>
      <c r="E3270">
        <v>0.40998220000000002</v>
      </c>
      <c r="F3270" t="s">
        <v>42</v>
      </c>
      <c r="G3270">
        <v>-488.05560000000003</v>
      </c>
      <c r="H3270" s="1">
        <v>-2.041598E-6</v>
      </c>
      <c r="I3270">
        <v>243.58779999999999</v>
      </c>
      <c r="J3270">
        <v>-489.46550000000002</v>
      </c>
      <c r="K3270">
        <v>1.122077</v>
      </c>
      <c r="L3270">
        <v>268.64449999999999</v>
      </c>
      <c r="M3270">
        <v>-0.29531180000000001</v>
      </c>
      <c r="N3270">
        <v>0</v>
      </c>
      <c r="O3270">
        <v>-0.95523420000000003</v>
      </c>
      <c r="P3270">
        <v>-0.1788025</v>
      </c>
      <c r="Q3270">
        <v>0.10371900000000001</v>
      </c>
      <c r="R3270">
        <v>-0.97840309999999997</v>
      </c>
      <c r="S3270">
        <v>0.16290279999999999</v>
      </c>
      <c r="T3270">
        <v>-0.13808889999999999</v>
      </c>
      <c r="U3270">
        <v>-3.1199340000000002</v>
      </c>
      <c r="V3270">
        <v>-0.1233009</v>
      </c>
      <c r="W3270">
        <v>0.11610090000000001</v>
      </c>
      <c r="X3270">
        <v>0.98555440000000005</v>
      </c>
      <c r="Y3270">
        <v>-0.344721</v>
      </c>
      <c r="Z3270">
        <v>3.9868679999999997E-2</v>
      </c>
      <c r="AA3270">
        <v>0.93785819999999998</v>
      </c>
      <c r="AB3270">
        <v>35</v>
      </c>
      <c r="AC3270">
        <v>1.4098999999999899</v>
      </c>
      <c r="AD3270">
        <v>-1.122079041598</v>
      </c>
      <c r="AE3270">
        <v>-25.056699999999999</v>
      </c>
      <c r="AF3270">
        <v>-8.7302650000261099</v>
      </c>
      <c r="AG3270">
        <v>-1.122079041598</v>
      </c>
      <c r="AH3270">
        <v>23.475474732750001</v>
      </c>
      <c r="AI3270">
        <v>92.565150168582505</v>
      </c>
      <c r="AJ3270">
        <v>110.399601634471</v>
      </c>
      <c r="AK3270">
        <v>25.071388120211001</v>
      </c>
      <c r="AL3270">
        <v>83.332872682331796</v>
      </c>
      <c r="AM3270">
        <v>97.131118178429304</v>
      </c>
      <c r="AN3270">
        <v>1.0000000031404901</v>
      </c>
    </row>
    <row r="3271" spans="1:40" x14ac:dyDescent="0.3">
      <c r="A3271" t="str">
        <f>"20200111150016060"</f>
        <v>20200111150016060</v>
      </c>
      <c r="B3271" t="str">
        <f>"1578726016049283"</f>
        <v>1578726016049283</v>
      </c>
      <c r="C3271" t="s">
        <v>40</v>
      </c>
      <c r="D3271">
        <v>4.202261</v>
      </c>
      <c r="E3271">
        <v>0.41106169999999997</v>
      </c>
      <c r="F3271" t="s">
        <v>42</v>
      </c>
      <c r="G3271">
        <v>-488.08330000000001</v>
      </c>
      <c r="H3271" s="1">
        <v>-2.5438710000000002E-6</v>
      </c>
      <c r="I3271">
        <v>244.77010000000001</v>
      </c>
      <c r="J3271">
        <v>-489.52269999999999</v>
      </c>
      <c r="K3271">
        <v>1.122061</v>
      </c>
      <c r="L3271">
        <v>268.43920000000003</v>
      </c>
      <c r="M3271">
        <v>-0.28417100000000001</v>
      </c>
      <c r="N3271">
        <v>0</v>
      </c>
      <c r="O3271">
        <v>-0.95860769999999995</v>
      </c>
      <c r="P3271">
        <v>-0.169792</v>
      </c>
      <c r="Q3271">
        <v>0.10347290000000001</v>
      </c>
      <c r="R3271">
        <v>-0.98003289999999998</v>
      </c>
      <c r="S3271">
        <v>0.1803284</v>
      </c>
      <c r="T3271">
        <v>-0.1463904</v>
      </c>
      <c r="U3271">
        <v>-3.1147459999999998</v>
      </c>
      <c r="V3271">
        <v>-0.12088450000000001</v>
      </c>
      <c r="W3271">
        <v>0.115966899999999</v>
      </c>
      <c r="X3271">
        <v>0.98586949999999995</v>
      </c>
      <c r="Y3271">
        <v>-0.3390917</v>
      </c>
      <c r="Z3271">
        <v>4.2609550000000003E-2</v>
      </c>
      <c r="AA3271">
        <v>0.93978790000000001</v>
      </c>
      <c r="AB3271">
        <v>35</v>
      </c>
      <c r="AC3271">
        <v>1.43939999999997</v>
      </c>
      <c r="AD3271">
        <v>-1.122063543871</v>
      </c>
      <c r="AE3271">
        <v>-23.6691</v>
      </c>
      <c r="AF3271">
        <v>-8.0890693552702295</v>
      </c>
      <c r="AG3271">
        <v>-1.122063543871</v>
      </c>
      <c r="AH3271">
        <v>22.2341067489102</v>
      </c>
      <c r="AI3271">
        <v>92.715206129669596</v>
      </c>
      <c r="AJ3271">
        <v>109.99207251273501</v>
      </c>
      <c r="AK3271">
        <v>23.6864428007413</v>
      </c>
      <c r="AL3271">
        <v>83.340602693771601</v>
      </c>
      <c r="AM3271">
        <v>96.990549852554196</v>
      </c>
      <c r="AN3271">
        <v>1.0000000276330501</v>
      </c>
    </row>
    <row r="3272" spans="1:40" x14ac:dyDescent="0.3">
      <c r="A3272" t="str">
        <f>"20200111150016074"</f>
        <v>20200111150016074</v>
      </c>
      <c r="B3272" t="str">
        <f>"1578726016068802"</f>
        <v>1578726016068802</v>
      </c>
      <c r="C3272" t="s">
        <v>40</v>
      </c>
      <c r="D3272">
        <v>4.2103440000000001</v>
      </c>
      <c r="E3272">
        <v>0.43955179999999999</v>
      </c>
      <c r="F3272" t="s">
        <v>42</v>
      </c>
      <c r="G3272">
        <v>-487.98439999999999</v>
      </c>
      <c r="H3272" s="1">
        <v>-2.4809630000000001E-6</v>
      </c>
      <c r="I3272">
        <v>244.58250000000001</v>
      </c>
      <c r="J3272">
        <v>-489.57639999999998</v>
      </c>
      <c r="K3272">
        <v>1.1220429999999999</v>
      </c>
      <c r="L3272">
        <v>268.23320000000001</v>
      </c>
      <c r="M3272">
        <v>-0.27297949999999999</v>
      </c>
      <c r="N3272">
        <v>0</v>
      </c>
      <c r="O3272">
        <v>-0.96185449999999995</v>
      </c>
      <c r="P3272">
        <v>-0.16031329999999999</v>
      </c>
      <c r="Q3272">
        <v>0.1039326</v>
      </c>
      <c r="R3272">
        <v>-0.98157950000000005</v>
      </c>
      <c r="S3272">
        <v>0.20062260000000001</v>
      </c>
      <c r="T3272">
        <v>-0.14633679999999999</v>
      </c>
      <c r="U3272">
        <v>-3.1113279999999999</v>
      </c>
      <c r="V3272">
        <v>-0.118921</v>
      </c>
      <c r="W3272">
        <v>0.1165177</v>
      </c>
      <c r="X3272">
        <v>0.98604329999999996</v>
      </c>
      <c r="Y3272">
        <v>-0.33428980000000003</v>
      </c>
      <c r="Z3272">
        <v>4.2901050000000003E-2</v>
      </c>
      <c r="AA3272">
        <v>0.94149340000000004</v>
      </c>
      <c r="AB3272">
        <v>35</v>
      </c>
      <c r="AC3272">
        <v>1.5919999999999801</v>
      </c>
      <c r="AD3272">
        <v>-1.1220454809630001</v>
      </c>
      <c r="AE3272">
        <v>-23.650700000000001</v>
      </c>
      <c r="AF3272">
        <v>-7.97083970341619</v>
      </c>
      <c r="AG3272">
        <v>-1.1220454809630001</v>
      </c>
      <c r="AH3272">
        <v>22.267605491661602</v>
      </c>
      <c r="AI3272">
        <v>92.716151027950204</v>
      </c>
      <c r="AJ3272">
        <v>109.69517085956799</v>
      </c>
      <c r="AK3272">
        <v>23.677827729147399</v>
      </c>
      <c r="AL3272">
        <v>83.308828487026602</v>
      </c>
      <c r="AM3272">
        <v>96.876899753682693</v>
      </c>
      <c r="AN3272">
        <v>0.99999998406458901</v>
      </c>
    </row>
    <row r="3273" spans="1:40" x14ac:dyDescent="0.3">
      <c r="A3273" t="str">
        <f>"20200111150016088"</f>
        <v>20200111150016088</v>
      </c>
      <c r="B3273" t="str">
        <f>"1578726016079538"</f>
        <v>1578726016079538</v>
      </c>
      <c r="C3273" t="s">
        <v>40</v>
      </c>
      <c r="D3273">
        <v>4.3883169999999998</v>
      </c>
      <c r="E3273">
        <v>0.43941439999999998</v>
      </c>
      <c r="F3273" t="s">
        <v>42</v>
      </c>
      <c r="G3273">
        <v>-489.51690000000002</v>
      </c>
      <c r="H3273" s="1">
        <v>-1.481617E-6</v>
      </c>
      <c r="I3273">
        <v>232.88669999999999</v>
      </c>
      <c r="J3273">
        <v>-489.62479999999999</v>
      </c>
      <c r="K3273">
        <v>1.122026</v>
      </c>
      <c r="L3273">
        <v>268.03960000000001</v>
      </c>
      <c r="M3273">
        <v>-0.26243620000000001</v>
      </c>
      <c r="N3273">
        <v>0</v>
      </c>
      <c r="O3273">
        <v>-0.96478439999999999</v>
      </c>
      <c r="P3273">
        <v>-0.1514036</v>
      </c>
      <c r="Q3273">
        <v>0.1044341</v>
      </c>
      <c r="R3273">
        <v>-0.98294000000000004</v>
      </c>
      <c r="S3273">
        <v>5.1574709999999899E-3</v>
      </c>
      <c r="T3273">
        <v>-9.7373249999999995E-2</v>
      </c>
      <c r="U3273">
        <v>-3.0674440000000001</v>
      </c>
      <c r="V3273">
        <v>-0.1170728</v>
      </c>
      <c r="W3273">
        <v>0.1171049</v>
      </c>
      <c r="X3273">
        <v>0.98619489999999999</v>
      </c>
      <c r="Y3273">
        <v>-0.26409680000000002</v>
      </c>
      <c r="Z3273">
        <v>2.9496330000000001E-2</v>
      </c>
      <c r="AA3273">
        <v>0.96404500000000004</v>
      </c>
      <c r="AB3273">
        <v>35</v>
      </c>
      <c r="AC3273">
        <v>0.107899999999972</v>
      </c>
      <c r="AD3273">
        <v>-1.1220274816169999</v>
      </c>
      <c r="AE3273">
        <v>-35.152900000000002</v>
      </c>
      <c r="AF3273">
        <v>-9.3214823431664193</v>
      </c>
      <c r="AG3273">
        <v>-1.1220274816169999</v>
      </c>
      <c r="AH3273">
        <v>33.857553646925901</v>
      </c>
      <c r="AI3273">
        <v>91.830026710388594</v>
      </c>
      <c r="AJ3273">
        <v>105.39301334579601</v>
      </c>
      <c r="AK3273">
        <v>35.135209088575699</v>
      </c>
      <c r="AL3273">
        <v>83.2749525298469</v>
      </c>
      <c r="AM3273">
        <v>96.769991854095196</v>
      </c>
      <c r="AN3273">
        <v>0.99999998944492896</v>
      </c>
    </row>
    <row r="3274" spans="1:40" x14ac:dyDescent="0.3">
      <c r="A3274" t="str">
        <f>"20200111150016103"</f>
        <v>20200111150016103</v>
      </c>
      <c r="B3274" t="str">
        <f>"1578726016099058"</f>
        <v>1578726016099058</v>
      </c>
      <c r="C3274" t="s">
        <v>40</v>
      </c>
      <c r="D3274">
        <v>4.1964620000000004</v>
      </c>
      <c r="E3274">
        <v>0.44323940000000001</v>
      </c>
      <c r="F3274" t="s">
        <v>42</v>
      </c>
      <c r="G3274">
        <v>-489.26530000000002</v>
      </c>
      <c r="H3274" s="1">
        <v>-2.79778E-6</v>
      </c>
      <c r="I3274">
        <v>235.85069999999999</v>
      </c>
      <c r="J3274">
        <v>-489.67989999999998</v>
      </c>
      <c r="K3274">
        <v>1.1220000000000001</v>
      </c>
      <c r="L3274">
        <v>267.80950000000001</v>
      </c>
      <c r="M3274">
        <v>-0.24989239999999999</v>
      </c>
      <c r="N3274">
        <v>0</v>
      </c>
      <c r="O3274">
        <v>-0.96810929999999995</v>
      </c>
      <c r="P3274">
        <v>-0.14214499999999999</v>
      </c>
      <c r="Q3274">
        <v>0.1054539</v>
      </c>
      <c r="R3274">
        <v>-0.98421259999999999</v>
      </c>
      <c r="S3274">
        <v>3.4271240000000001E-2</v>
      </c>
      <c r="T3274">
        <v>-0.1069686</v>
      </c>
      <c r="U3274">
        <v>-3.0687259999999998</v>
      </c>
      <c r="V3274">
        <v>-0.1135607</v>
      </c>
      <c r="W3274">
        <v>0.1182854</v>
      </c>
      <c r="X3274">
        <v>0.98646469999999997</v>
      </c>
      <c r="Y3274">
        <v>-0.26072060000000002</v>
      </c>
      <c r="Z3274">
        <v>3.2574230000000003E-2</v>
      </c>
      <c r="AA3274">
        <v>0.96486459999999996</v>
      </c>
      <c r="AB3274">
        <v>35</v>
      </c>
      <c r="AC3274">
        <v>0.41459999999995001</v>
      </c>
      <c r="AD3274">
        <v>-1.12200279778</v>
      </c>
      <c r="AE3274">
        <v>-31.9588</v>
      </c>
      <c r="AF3274">
        <v>-8.3786485992358006</v>
      </c>
      <c r="AG3274">
        <v>-1.12200279778</v>
      </c>
      <c r="AH3274">
        <v>30.802952849305498</v>
      </c>
      <c r="AI3274">
        <v>92.013008895230101</v>
      </c>
      <c r="AJ3274">
        <v>105.216751770832</v>
      </c>
      <c r="AK3274">
        <v>31.941861981798201</v>
      </c>
      <c r="AL3274">
        <v>83.206841790350893</v>
      </c>
      <c r="AM3274">
        <v>96.566918073301196</v>
      </c>
      <c r="AN3274">
        <v>1.00000003639186</v>
      </c>
    </row>
    <row r="3275" spans="1:40" x14ac:dyDescent="0.3">
      <c r="A3275" t="str">
        <f>"20200111150016115"</f>
        <v>20200111150016115</v>
      </c>
      <c r="B3275" t="str">
        <f>"1578726016108819"</f>
        <v>1578726016108819</v>
      </c>
      <c r="C3275" t="s">
        <v>40</v>
      </c>
      <c r="D3275">
        <v>4.1542960000000004</v>
      </c>
      <c r="E3275">
        <v>0.44427840000000002</v>
      </c>
      <c r="F3275" t="s">
        <v>42</v>
      </c>
      <c r="G3275">
        <v>-489.34120000000001</v>
      </c>
      <c r="H3275" s="1">
        <v>-2.601484E-6</v>
      </c>
      <c r="I3275">
        <v>235.42449999999999</v>
      </c>
      <c r="J3275">
        <v>-489.72019999999998</v>
      </c>
      <c r="K3275">
        <v>1.121982</v>
      </c>
      <c r="L3275">
        <v>267.62979999999999</v>
      </c>
      <c r="M3275">
        <v>-0.24008589999999999</v>
      </c>
      <c r="N3275">
        <v>0</v>
      </c>
      <c r="O3275">
        <v>-0.9705878</v>
      </c>
      <c r="P3275">
        <v>-0.13442660000000001</v>
      </c>
      <c r="Q3275">
        <v>0.1050466</v>
      </c>
      <c r="R3275">
        <v>-0.98533999999999999</v>
      </c>
      <c r="S3275">
        <v>3.2043460000000003E-2</v>
      </c>
      <c r="T3275">
        <v>-0.10615860000000001</v>
      </c>
      <c r="U3275">
        <v>-3.064117</v>
      </c>
      <c r="V3275">
        <v>-0.111296699999999</v>
      </c>
      <c r="W3275">
        <v>0.1179829</v>
      </c>
      <c r="X3275">
        <v>0.98675889999999999</v>
      </c>
      <c r="Y3275">
        <v>-0.25025409999999998</v>
      </c>
      <c r="Z3275">
        <v>3.2553260000000001E-2</v>
      </c>
      <c r="AA3275">
        <v>0.96763279999999996</v>
      </c>
      <c r="AB3275">
        <v>35</v>
      </c>
      <c r="AC3275">
        <v>0.37899999999996198</v>
      </c>
      <c r="AD3275">
        <v>-1.121984601484</v>
      </c>
      <c r="AE3275">
        <v>-32.205299999999902</v>
      </c>
      <c r="AF3275">
        <v>-8.0913604388112699</v>
      </c>
      <c r="AG3275">
        <v>-1.121984601484</v>
      </c>
      <c r="AH3275">
        <v>31.1342536780082</v>
      </c>
      <c r="AI3275">
        <v>91.997573717181695</v>
      </c>
      <c r="AJ3275">
        <v>104.568104424125</v>
      </c>
      <c r="AK3275">
        <v>32.188052368593198</v>
      </c>
      <c r="AL3275">
        <v>83.224295895281003</v>
      </c>
      <c r="AM3275">
        <v>96.435203696086802</v>
      </c>
      <c r="AN3275">
        <v>1.0000000234262501</v>
      </c>
    </row>
    <row r="3276" spans="1:40" x14ac:dyDescent="0.3">
      <c r="A3276" t="str">
        <f>"20200111150016128"</f>
        <v>20200111150016128</v>
      </c>
      <c r="B3276" t="str">
        <f>"1578726016119555"</f>
        <v>1578726016119555</v>
      </c>
      <c r="C3276" t="s">
        <v>40</v>
      </c>
      <c r="D3276">
        <v>4.1359240000000002</v>
      </c>
      <c r="E3276">
        <v>0.44576060000000001</v>
      </c>
      <c r="F3276" t="s">
        <v>42</v>
      </c>
      <c r="G3276">
        <v>-489.21350000000001</v>
      </c>
      <c r="H3276" s="1">
        <v>-2.4749600000000002E-6</v>
      </c>
      <c r="I3276">
        <v>235.07679999999999</v>
      </c>
      <c r="J3276">
        <v>-489.76159999999999</v>
      </c>
      <c r="K3276">
        <v>1.121955</v>
      </c>
      <c r="L3276">
        <v>267.43619999999999</v>
      </c>
      <c r="M3276">
        <v>-0.22951079999999999</v>
      </c>
      <c r="N3276">
        <v>0</v>
      </c>
      <c r="O3276">
        <v>-0.97314290000000003</v>
      </c>
      <c r="P3276">
        <v>-0.12621979999999999</v>
      </c>
      <c r="Q3276">
        <v>0.1042626</v>
      </c>
      <c r="R3276">
        <v>-0.98650800000000005</v>
      </c>
      <c r="S3276">
        <v>4.7668460000000003E-2</v>
      </c>
      <c r="T3276">
        <v>-0.1055478</v>
      </c>
      <c r="U3276">
        <v>-3.0623469999999999</v>
      </c>
      <c r="V3276">
        <v>-0.1087486</v>
      </c>
      <c r="W3276">
        <v>0.11731709999999999</v>
      </c>
      <c r="X3276">
        <v>0.98712230000000001</v>
      </c>
      <c r="Y3276">
        <v>-0.2446574</v>
      </c>
      <c r="Z3276">
        <v>3.2540199999999998E-2</v>
      </c>
      <c r="AA3276">
        <v>0.96906340000000002</v>
      </c>
      <c r="AB3276">
        <v>35</v>
      </c>
      <c r="AC3276">
        <v>0.54809999999997605</v>
      </c>
      <c r="AD3276">
        <v>-1.1219574749600001</v>
      </c>
      <c r="AE3276">
        <v>-32.359399999999901</v>
      </c>
      <c r="AF3276">
        <v>-7.9519196325504202</v>
      </c>
      <c r="AG3276">
        <v>-1.1219574749600001</v>
      </c>
      <c r="AH3276">
        <v>31.331854558898499</v>
      </c>
      <c r="AI3276">
        <v>91.9878499144084</v>
      </c>
      <c r="AJ3276">
        <v>104.24079572602901</v>
      </c>
      <c r="AK3276">
        <v>32.344658361437801</v>
      </c>
      <c r="AL3276">
        <v>83.262710032686698</v>
      </c>
      <c r="AM3276">
        <v>96.286769384832397</v>
      </c>
      <c r="AN3276">
        <v>0.99999999755583002</v>
      </c>
    </row>
    <row r="3277" spans="1:40" x14ac:dyDescent="0.3">
      <c r="A3277" t="str">
        <f>"20200111150016142"</f>
        <v>20200111150016142</v>
      </c>
      <c r="B3277" t="str">
        <f>"1578726016139074"</f>
        <v>1578726016139074</v>
      </c>
      <c r="C3277" t="s">
        <v>40</v>
      </c>
      <c r="D3277">
        <v>4.1194879999999996</v>
      </c>
      <c r="E3277">
        <v>0.44757609999999998</v>
      </c>
      <c r="F3277" t="s">
        <v>42</v>
      </c>
      <c r="G3277">
        <v>-489.11320000000001</v>
      </c>
      <c r="H3277" s="1">
        <v>-2.5060210000000002E-6</v>
      </c>
      <c r="I3277">
        <v>235.10769999999999</v>
      </c>
      <c r="J3277">
        <v>-489.80149999999998</v>
      </c>
      <c r="K3277">
        <v>1.121928</v>
      </c>
      <c r="L3277">
        <v>267.24149999999997</v>
      </c>
      <c r="M3277">
        <v>-0.2188725</v>
      </c>
      <c r="N3277">
        <v>0</v>
      </c>
      <c r="O3277">
        <v>-0.97559059999999997</v>
      </c>
      <c r="P3277">
        <v>-0.1182305</v>
      </c>
      <c r="Q3277">
        <v>0.103536</v>
      </c>
      <c r="R3277">
        <v>-0.98757399999999995</v>
      </c>
      <c r="S3277">
        <v>6.1370849999999998E-2</v>
      </c>
      <c r="T3277">
        <v>-0.1061991</v>
      </c>
      <c r="U3277">
        <v>-3.0600589999999999</v>
      </c>
      <c r="V3277">
        <v>-0.10593619999999999</v>
      </c>
      <c r="W3277">
        <v>0.1167195</v>
      </c>
      <c r="X3277">
        <v>0.98749889999999996</v>
      </c>
      <c r="Y3277">
        <v>-0.2384153</v>
      </c>
      <c r="Z3277">
        <v>3.2918099999999999E-2</v>
      </c>
      <c r="AA3277">
        <v>0.9706053</v>
      </c>
      <c r="AB3277">
        <v>35</v>
      </c>
      <c r="AC3277">
        <v>0.68829999999996905</v>
      </c>
      <c r="AD3277">
        <v>-1.1219305060210001</v>
      </c>
      <c r="AE3277">
        <v>-32.133799999999901</v>
      </c>
      <c r="AF3277">
        <v>-7.6965508780940297</v>
      </c>
      <c r="AG3277">
        <v>-1.1219305060210001</v>
      </c>
      <c r="AH3277">
        <v>31.165768102629801</v>
      </c>
      <c r="AI3277">
        <v>92.001607945242</v>
      </c>
      <c r="AJ3277">
        <v>103.87193815396201</v>
      </c>
      <c r="AK3277">
        <v>32.121655077320199</v>
      </c>
      <c r="AL3277">
        <v>83.297186863791893</v>
      </c>
      <c r="AM3277">
        <v>96.123118139139194</v>
      </c>
      <c r="AN3277">
        <v>0.99999999882595003</v>
      </c>
    </row>
    <row r="3278" spans="1:40" x14ac:dyDescent="0.3">
      <c r="A3278" t="str">
        <f>"20200111150016157"</f>
        <v>20200111150016157</v>
      </c>
      <c r="B3278" t="str">
        <f>"1578726016148834"</f>
        <v>1578726016148834</v>
      </c>
      <c r="C3278" t="s">
        <v>40</v>
      </c>
      <c r="D3278">
        <v>4.017963</v>
      </c>
      <c r="E3278">
        <v>0.44757609999999998</v>
      </c>
      <c r="F3278" t="s">
        <v>42</v>
      </c>
      <c r="G3278">
        <v>-489.04649999999998</v>
      </c>
      <c r="H3278" s="1">
        <v>-2.3528580000000001E-6</v>
      </c>
      <c r="I3278">
        <v>234.72309999999999</v>
      </c>
      <c r="J3278">
        <v>-489.84629999999999</v>
      </c>
      <c r="K3278">
        <v>1.1218809999999999</v>
      </c>
      <c r="L3278">
        <v>267.005</v>
      </c>
      <c r="M3278">
        <v>-0.20595250000000001</v>
      </c>
      <c r="N3278">
        <v>0</v>
      </c>
      <c r="O3278">
        <v>-0.97839980000000004</v>
      </c>
      <c r="P3278">
        <v>-0.11167920000000001</v>
      </c>
      <c r="Q3278">
        <v>0.1023831</v>
      </c>
      <c r="R3278">
        <v>-0.98845620000000001</v>
      </c>
      <c r="S3278">
        <v>7.0983889999999994E-2</v>
      </c>
      <c r="T3278">
        <v>-0.1054802</v>
      </c>
      <c r="U3278">
        <v>-3.0572810000000001</v>
      </c>
      <c r="V3278">
        <v>-9.9380410000000002E-2</v>
      </c>
      <c r="W3278">
        <v>0.1158627</v>
      </c>
      <c r="X3278">
        <v>0.98828099999999997</v>
      </c>
      <c r="Y3278">
        <v>-0.2286292</v>
      </c>
      <c r="Z3278">
        <v>3.2909859999999999E-2</v>
      </c>
      <c r="AA3278">
        <v>0.97295719999999997</v>
      </c>
      <c r="AB3278">
        <v>35</v>
      </c>
      <c r="AC3278">
        <v>0.79980000000000395</v>
      </c>
      <c r="AD3278">
        <v>-1.1218833528579999</v>
      </c>
      <c r="AE3278">
        <v>-32.2819</v>
      </c>
      <c r="AF3278">
        <v>-7.4232817842819196</v>
      </c>
      <c r="AG3278">
        <v>-1.1218833528579999</v>
      </c>
      <c r="AH3278">
        <v>31.3869868077565</v>
      </c>
      <c r="AI3278">
        <v>91.992171934272505</v>
      </c>
      <c r="AJ3278">
        <v>103.30641821219299</v>
      </c>
      <c r="AK3278">
        <v>32.2723825519058</v>
      </c>
      <c r="AL3278">
        <v>83.346613133296202</v>
      </c>
      <c r="AM3278">
        <v>95.742294625303302</v>
      </c>
      <c r="AN3278">
        <v>0.99999998305202797</v>
      </c>
    </row>
    <row r="3279" spans="1:40" x14ac:dyDescent="0.3">
      <c r="A3279" t="str">
        <f>"20200111150016170"</f>
        <v>20200111150016170</v>
      </c>
      <c r="B3279" t="str">
        <f>"1578726016159570"</f>
        <v>1578726016159570</v>
      </c>
      <c r="C3279" t="s">
        <v>40</v>
      </c>
      <c r="D3279">
        <v>4.2418490000000002</v>
      </c>
      <c r="E3279">
        <v>0.46415050000000002</v>
      </c>
      <c r="F3279" t="s">
        <v>42</v>
      </c>
      <c r="G3279">
        <v>-488.90010000000001</v>
      </c>
      <c r="H3279" s="1">
        <v>-2.7115990000000002E-6</v>
      </c>
      <c r="I3279">
        <v>235.49879999999999</v>
      </c>
      <c r="J3279">
        <v>-489.87860000000001</v>
      </c>
      <c r="K3279">
        <v>1.1218399999999999</v>
      </c>
      <c r="L3279">
        <v>266.82119999999998</v>
      </c>
      <c r="M3279">
        <v>-0.19592380000000001</v>
      </c>
      <c r="N3279">
        <v>0</v>
      </c>
      <c r="O3279">
        <v>-0.98045740000000003</v>
      </c>
      <c r="P3279">
        <v>-0.10481269999999999</v>
      </c>
      <c r="Q3279">
        <v>0.1020185</v>
      </c>
      <c r="R3279">
        <v>-0.98924559999999995</v>
      </c>
      <c r="S3279">
        <v>9.1796879999999997E-2</v>
      </c>
      <c r="T3279">
        <v>-0.1088451</v>
      </c>
      <c r="U3279">
        <v>-3.0567319999999998</v>
      </c>
      <c r="V3279">
        <v>-9.6100539999999998E-2</v>
      </c>
      <c r="W3279">
        <v>0.11564480000000001</v>
      </c>
      <c r="X3279">
        <v>0.98863080000000003</v>
      </c>
      <c r="Y3279">
        <v>-0.2252827</v>
      </c>
      <c r="Z3279">
        <v>3.4085009999999999E-2</v>
      </c>
      <c r="AA3279">
        <v>0.97369700000000003</v>
      </c>
      <c r="AB3279">
        <v>35</v>
      </c>
      <c r="AC3279">
        <v>0.97849999999999604</v>
      </c>
      <c r="AD3279">
        <v>-1.121842711599</v>
      </c>
      <c r="AE3279">
        <v>-31.322399999999899</v>
      </c>
      <c r="AF3279">
        <v>-7.0882229473946001</v>
      </c>
      <c r="AG3279">
        <v>-1.121842711599</v>
      </c>
      <c r="AH3279">
        <v>30.484341351205298</v>
      </c>
      <c r="AI3279">
        <v>92.052854039612299</v>
      </c>
      <c r="AJ3279">
        <v>103.089826881053</v>
      </c>
      <c r="AK3279">
        <v>31.317670782456702</v>
      </c>
      <c r="AL3279">
        <v>83.359182128786202</v>
      </c>
      <c r="AM3279">
        <v>95.552032727921201</v>
      </c>
      <c r="AN3279">
        <v>0.99999994613198395</v>
      </c>
    </row>
    <row r="3280" spans="1:40" x14ac:dyDescent="0.3">
      <c r="A3280" t="str">
        <f>"20200111150016183"</f>
        <v>20200111150016183</v>
      </c>
      <c r="B3280" t="str">
        <f>"1578726016179090"</f>
        <v>1578726016179090</v>
      </c>
      <c r="C3280" t="s">
        <v>40</v>
      </c>
      <c r="D3280">
        <v>4.0814899999999996</v>
      </c>
      <c r="E3280">
        <v>0.46453440000000001</v>
      </c>
      <c r="F3280" t="s">
        <v>42</v>
      </c>
      <c r="G3280">
        <v>-490.09379999999999</v>
      </c>
      <c r="H3280" s="1">
        <v>-9.4414330000000004E-7</v>
      </c>
      <c r="I3280">
        <v>231.73179999999999</v>
      </c>
      <c r="J3280">
        <v>-489.9128</v>
      </c>
      <c r="K3280">
        <v>1.121793</v>
      </c>
      <c r="L3280">
        <v>266.61750000000001</v>
      </c>
      <c r="M3280">
        <v>-0.18481349999999999</v>
      </c>
      <c r="N3280">
        <v>0</v>
      </c>
      <c r="O3280">
        <v>-0.98261259999999995</v>
      </c>
      <c r="P3280">
        <v>-9.6159469999999997E-2</v>
      </c>
      <c r="Q3280">
        <v>0.10172580000000001</v>
      </c>
      <c r="R3280">
        <v>-0.99015439999999999</v>
      </c>
      <c r="S3280">
        <v>-1.8646240000000001E-2</v>
      </c>
      <c r="T3280">
        <v>-9.7213270000000004E-2</v>
      </c>
      <c r="U3280">
        <v>-3.04068</v>
      </c>
      <c r="V3280">
        <v>-9.3530600000000005E-2</v>
      </c>
      <c r="W3280">
        <v>0.11546530000000001</v>
      </c>
      <c r="X3280">
        <v>0.98889830000000001</v>
      </c>
      <c r="Y3280">
        <v>-0.178815</v>
      </c>
      <c r="Z3280">
        <v>3.0871119999999998E-2</v>
      </c>
      <c r="AA3280">
        <v>0.98339829999999995</v>
      </c>
      <c r="AB3280">
        <v>34</v>
      </c>
      <c r="AC3280">
        <v>-0.18099999999998301</v>
      </c>
      <c r="AD3280">
        <v>-1.1217939441433</v>
      </c>
      <c r="AE3280">
        <v>-34.8857</v>
      </c>
      <c r="AF3280">
        <v>-6.2640106850121198</v>
      </c>
      <c r="AG3280">
        <v>-1.1217939441433</v>
      </c>
      <c r="AH3280">
        <v>34.282561901972798</v>
      </c>
      <c r="AI3280">
        <v>91.843662130106594</v>
      </c>
      <c r="AJ3280">
        <v>100.354695289444</v>
      </c>
      <c r="AK3280">
        <v>34.8681846685149</v>
      </c>
      <c r="AL3280">
        <v>83.369536628652199</v>
      </c>
      <c r="AM3280">
        <v>95.402996952060704</v>
      </c>
      <c r="AN3280">
        <v>1.0000000281916599</v>
      </c>
    </row>
    <row r="3281" spans="1:40" x14ac:dyDescent="0.3">
      <c r="A3281" t="str">
        <f>"20200111150016195"</f>
        <v>20200111150016195</v>
      </c>
      <c r="B3281" t="str">
        <f>"1578726016188850"</f>
        <v>1578726016188850</v>
      </c>
      <c r="C3281" t="s">
        <v>40</v>
      </c>
      <c r="D3281">
        <v>4.2434120000000002</v>
      </c>
      <c r="E3281">
        <v>0.4634278</v>
      </c>
      <c r="F3281" t="s">
        <v>52</v>
      </c>
      <c r="G3281">
        <v>-489.85379999999998</v>
      </c>
      <c r="H3281" s="1">
        <v>5.0849430000000004E-6</v>
      </c>
      <c r="I3281">
        <v>224.7089</v>
      </c>
      <c r="J3281">
        <v>-489.94069999999999</v>
      </c>
      <c r="K3281">
        <v>1.121737</v>
      </c>
      <c r="L3281">
        <v>266.43720000000002</v>
      </c>
      <c r="M3281">
        <v>-0.17501220000000001</v>
      </c>
      <c r="N3281">
        <v>0</v>
      </c>
      <c r="O3281">
        <v>-0.98440570000000005</v>
      </c>
      <c r="P3281">
        <v>-8.8390709999999997E-2</v>
      </c>
      <c r="Q3281">
        <v>0.1012449</v>
      </c>
      <c r="R3281">
        <v>-0.99092720000000001</v>
      </c>
      <c r="S3281">
        <v>4.272461E-3</v>
      </c>
      <c r="T3281">
        <v>-8.1335899999999905E-2</v>
      </c>
      <c r="U3281">
        <v>-3.038605</v>
      </c>
      <c r="V3281">
        <v>-9.1403159999999997E-2</v>
      </c>
      <c r="W3281">
        <v>0.115077399999999</v>
      </c>
      <c r="X3281">
        <v>0.98914239999999998</v>
      </c>
      <c r="Y3281">
        <v>-0.1764231</v>
      </c>
      <c r="Z3281">
        <v>2.5928449999999999E-2</v>
      </c>
      <c r="AA3281">
        <v>0.98397279999999998</v>
      </c>
      <c r="AB3281">
        <v>34</v>
      </c>
      <c r="AC3281">
        <v>8.6900000000014105E-2</v>
      </c>
      <c r="AD3281">
        <v>-1.121731915057</v>
      </c>
      <c r="AE3281">
        <v>-41.728299999999997</v>
      </c>
      <c r="AF3281">
        <v>-7.3843385160967099</v>
      </c>
      <c r="AG3281">
        <v>-1.121731915057</v>
      </c>
      <c r="AH3281">
        <v>41.039204151474401</v>
      </c>
      <c r="AI3281">
        <v>91.540951839466899</v>
      </c>
      <c r="AJ3281">
        <v>100.20029779277699</v>
      </c>
      <c r="AK3281">
        <v>41.713343371108003</v>
      </c>
      <c r="AL3281">
        <v>83.3919107292175</v>
      </c>
      <c r="AM3281">
        <v>95.279507778498001</v>
      </c>
      <c r="AN3281">
        <v>1.0000000165632501</v>
      </c>
    </row>
    <row r="3282" spans="1:40" x14ac:dyDescent="0.3">
      <c r="A3282" t="str">
        <f>"20200111150016207"</f>
        <v>20200111150016207</v>
      </c>
      <c r="B3282" t="str">
        <f>"1578726016199587"</f>
        <v>1578726016199587</v>
      </c>
      <c r="C3282" t="s">
        <v>40</v>
      </c>
      <c r="D3282">
        <v>4.2635630000000004</v>
      </c>
      <c r="E3282">
        <v>0.46294459999999998</v>
      </c>
      <c r="F3282" t="s">
        <v>42</v>
      </c>
      <c r="G3282">
        <v>-489.50560000000002</v>
      </c>
      <c r="H3282" s="1">
        <v>-3.3027270000000001E-7</v>
      </c>
      <c r="I3282">
        <v>230.19820000000001</v>
      </c>
      <c r="J3282">
        <v>-489.96530000000001</v>
      </c>
      <c r="K3282">
        <v>1.121678</v>
      </c>
      <c r="L3282">
        <v>266.26690000000002</v>
      </c>
      <c r="M3282">
        <v>-0.16578780000000001</v>
      </c>
      <c r="N3282">
        <v>0</v>
      </c>
      <c r="O3282">
        <v>-0.98600129999999997</v>
      </c>
      <c r="P3282">
        <v>-8.093272E-2</v>
      </c>
      <c r="Q3282">
        <v>0.1003372</v>
      </c>
      <c r="R3282">
        <v>-0.9916568</v>
      </c>
      <c r="S3282">
        <v>3.649902E-2</v>
      </c>
      <c r="T3282">
        <v>-9.4109650000000003E-2</v>
      </c>
      <c r="U3282">
        <v>-3.040314</v>
      </c>
      <c r="V3282">
        <v>-8.9543369999999997E-2</v>
      </c>
      <c r="W3282">
        <v>0.1142489</v>
      </c>
      <c r="X3282">
        <v>0.98940850000000002</v>
      </c>
      <c r="Y3282">
        <v>-0.17763389999999901</v>
      </c>
      <c r="Z3282">
        <v>3.004946E-2</v>
      </c>
      <c r="AA3282">
        <v>0.98363780000000001</v>
      </c>
      <c r="AB3282">
        <v>34</v>
      </c>
      <c r="AC3282">
        <v>0.459699999999998</v>
      </c>
      <c r="AD3282">
        <v>-1.1216783302727</v>
      </c>
      <c r="AE3282">
        <v>-36.0687</v>
      </c>
      <c r="AF3282">
        <v>-6.4278159749178396</v>
      </c>
      <c r="AG3282">
        <v>-1.1216783302727</v>
      </c>
      <c r="AH3282">
        <v>35.458890931175802</v>
      </c>
      <c r="AI3282">
        <v>91.782808717448802</v>
      </c>
      <c r="AJ3282">
        <v>100.27472610813</v>
      </c>
      <c r="AK3282">
        <v>36.054235903053502</v>
      </c>
      <c r="AL3282">
        <v>83.4396953617143</v>
      </c>
      <c r="AM3282">
        <v>95.171290169989504</v>
      </c>
      <c r="AN3282">
        <v>1.0000000030672</v>
      </c>
    </row>
    <row r="3283" spans="1:40" x14ac:dyDescent="0.3">
      <c r="A3283" t="str">
        <f>"20200111150016218"</f>
        <v>20200111150016218</v>
      </c>
      <c r="B3283" t="str">
        <f>"1578726016209346"</f>
        <v>1578726016209346</v>
      </c>
      <c r="C3283" t="s">
        <v>40</v>
      </c>
      <c r="D3283">
        <v>4.2763519999999904</v>
      </c>
      <c r="E3283">
        <v>0.46239350000000001</v>
      </c>
      <c r="F3283" t="s">
        <v>42</v>
      </c>
      <c r="G3283">
        <v>-489.28100000000001</v>
      </c>
      <c r="H3283" s="1">
        <v>-1.8144960000000001E-6</v>
      </c>
      <c r="I3283">
        <v>233.5651</v>
      </c>
      <c r="J3283">
        <v>-489.98860000000002</v>
      </c>
      <c r="K3283">
        <v>1.1216140000000001</v>
      </c>
      <c r="L3283">
        <v>266.09789999999998</v>
      </c>
      <c r="M3283">
        <v>-0.15664459999999999</v>
      </c>
      <c r="N3283">
        <v>0</v>
      </c>
      <c r="O3283">
        <v>-0.98749540000000002</v>
      </c>
      <c r="P3283">
        <v>-7.354492E-2</v>
      </c>
      <c r="Q3283">
        <v>9.9520739999999996E-2</v>
      </c>
      <c r="R3283">
        <v>-0.99231400000000003</v>
      </c>
      <c r="S3283">
        <v>6.3629149999999995E-2</v>
      </c>
      <c r="T3283">
        <v>-0.1043066</v>
      </c>
      <c r="U3283">
        <v>-3.040985</v>
      </c>
      <c r="V3283">
        <v>-8.7704110000000002E-2</v>
      </c>
      <c r="W3283">
        <v>0.1135104</v>
      </c>
      <c r="X3283">
        <v>0.98965820000000004</v>
      </c>
      <c r="Y3283">
        <v>-0.17728350000000001</v>
      </c>
      <c r="Z3283">
        <v>3.336973E-2</v>
      </c>
      <c r="AA3283">
        <v>0.98359390000000002</v>
      </c>
      <c r="AB3283">
        <v>34</v>
      </c>
      <c r="AC3283">
        <v>0.707600000000013</v>
      </c>
      <c r="AD3283">
        <v>-1.12161581449599</v>
      </c>
      <c r="AE3283">
        <v>-32.532799999999902</v>
      </c>
      <c r="AF3283">
        <v>-5.7888754164230196</v>
      </c>
      <c r="AG3283">
        <v>-1.12161581449599</v>
      </c>
      <c r="AH3283">
        <v>31.9822001695244</v>
      </c>
      <c r="AI3283">
        <v>91.976450598043598</v>
      </c>
      <c r="AJ3283">
        <v>100.259630269637</v>
      </c>
      <c r="AK3283">
        <v>32.5212273493133</v>
      </c>
      <c r="AL3283">
        <v>83.482285259732905</v>
      </c>
      <c r="AM3283">
        <v>95.064356557306297</v>
      </c>
      <c r="AN3283">
        <v>0.99999998732314599</v>
      </c>
    </row>
    <row r="3284" spans="1:40" x14ac:dyDescent="0.3">
      <c r="A3284" t="str">
        <f>"20200111150016236"</f>
        <v>20200111150016236</v>
      </c>
      <c r="B3284" t="str">
        <f>"1578726016228868"</f>
        <v>1578726016228868</v>
      </c>
      <c r="C3284" t="s">
        <v>40</v>
      </c>
      <c r="D3284">
        <v>4.1831319999999996</v>
      </c>
      <c r="E3284">
        <v>0.4634199</v>
      </c>
      <c r="F3284" t="s">
        <v>42</v>
      </c>
      <c r="G3284">
        <v>-489.03960000000001</v>
      </c>
      <c r="H3284" s="1">
        <v>-2.0733519999999999E-6</v>
      </c>
      <c r="I3284">
        <v>234.06870000000001</v>
      </c>
      <c r="J3284">
        <v>-490.0215</v>
      </c>
      <c r="K3284">
        <v>1.1214869999999999</v>
      </c>
      <c r="L3284">
        <v>265.82979999999998</v>
      </c>
      <c r="M3284">
        <v>-0.14226329999999901</v>
      </c>
      <c r="N3284">
        <v>0</v>
      </c>
      <c r="O3284">
        <v>-0.9896703</v>
      </c>
      <c r="P3284">
        <v>-6.5028509999999998E-2</v>
      </c>
      <c r="Q3284">
        <v>9.8832580000000003E-2</v>
      </c>
      <c r="R3284">
        <v>-0.99297709999999995</v>
      </c>
      <c r="S3284">
        <v>9.0087890000000004E-2</v>
      </c>
      <c r="T3284">
        <v>-0.1064782</v>
      </c>
      <c r="U3284">
        <v>-3.040619</v>
      </c>
      <c r="V3284">
        <v>-8.1738019999999995E-2</v>
      </c>
      <c r="W3284">
        <v>0.113071699999999</v>
      </c>
      <c r="X3284">
        <v>0.99021899999999996</v>
      </c>
      <c r="Y3284">
        <v>-0.171518899999999</v>
      </c>
      <c r="Z3284">
        <v>3.4195950000000003E-2</v>
      </c>
      <c r="AA3284">
        <v>0.9845872</v>
      </c>
      <c r="AB3284">
        <v>34</v>
      </c>
      <c r="AC3284">
        <v>0.981899999999996</v>
      </c>
      <c r="AD3284">
        <v>-1.121489073352</v>
      </c>
      <c r="AE3284">
        <v>-31.7610999999999</v>
      </c>
      <c r="AF3284">
        <v>-5.4842266792240197</v>
      </c>
      <c r="AG3284">
        <v>-1.121489073352</v>
      </c>
      <c r="AH3284">
        <v>31.259303818996202</v>
      </c>
      <c r="AI3284">
        <v>92.023832935393202</v>
      </c>
      <c r="AJ3284">
        <v>99.950872593378406</v>
      </c>
      <c r="AK3284">
        <v>31.7565513754103</v>
      </c>
      <c r="AL3284">
        <v>83.507583816069399</v>
      </c>
      <c r="AM3284">
        <v>94.718804670344795</v>
      </c>
      <c r="AN3284">
        <v>0.99999999060770495</v>
      </c>
    </row>
    <row r="3285" spans="1:40" x14ac:dyDescent="0.3">
      <c r="A3285" t="str">
        <f>"20200111150016249"</f>
        <v>20200111150016249</v>
      </c>
      <c r="B3285" t="str">
        <f>"1578726016239602"</f>
        <v>1578726016239602</v>
      </c>
      <c r="C3285" t="s">
        <v>40</v>
      </c>
      <c r="D3285">
        <v>4.183249</v>
      </c>
      <c r="E3285">
        <v>0.46360790000000002</v>
      </c>
      <c r="F3285" t="s">
        <v>42</v>
      </c>
      <c r="G3285">
        <v>-488.89260000000002</v>
      </c>
      <c r="H3285" s="1">
        <v>-2.264204E-6</v>
      </c>
      <c r="I3285">
        <v>234.4528</v>
      </c>
      <c r="J3285">
        <v>-490.0412</v>
      </c>
      <c r="K3285">
        <v>1.121389</v>
      </c>
      <c r="L3285">
        <v>265.65120000000002</v>
      </c>
      <c r="M3285">
        <v>-0.13276789999999999</v>
      </c>
      <c r="N3285">
        <v>0</v>
      </c>
      <c r="O3285">
        <v>-0.99098929999999996</v>
      </c>
      <c r="P3285">
        <v>-5.914349E-2</v>
      </c>
      <c r="Q3285">
        <v>9.8863999999999994E-2</v>
      </c>
      <c r="R3285">
        <v>-0.99334180000000005</v>
      </c>
      <c r="S3285">
        <v>0.1093445</v>
      </c>
      <c r="T3285">
        <v>-0.1086266</v>
      </c>
      <c r="U3285">
        <v>-3.0391539999999999</v>
      </c>
      <c r="V3285">
        <v>-7.808031E-2</v>
      </c>
      <c r="W3285">
        <v>0.1132493</v>
      </c>
      <c r="X3285">
        <v>0.99049379999999998</v>
      </c>
      <c r="Y3285">
        <v>-0.16831689999999999</v>
      </c>
      <c r="Z3285">
        <v>3.4978679999999998E-2</v>
      </c>
      <c r="AA3285">
        <v>0.98511210000000005</v>
      </c>
      <c r="AB3285">
        <v>34</v>
      </c>
      <c r="AC3285">
        <v>1.1485999999999801</v>
      </c>
      <c r="AD3285">
        <v>-1.121391264204</v>
      </c>
      <c r="AE3285">
        <v>-31.198399999999999</v>
      </c>
      <c r="AF3285">
        <v>-5.2744175296734399</v>
      </c>
      <c r="AG3285">
        <v>-1.121391264204</v>
      </c>
      <c r="AH3285">
        <v>30.729949341772901</v>
      </c>
      <c r="AI3285">
        <v>92.059805292122306</v>
      </c>
      <c r="AJ3285">
        <v>99.739217716803907</v>
      </c>
      <c r="AK3285">
        <v>31.1994677068807</v>
      </c>
      <c r="AL3285">
        <v>83.497342057764001</v>
      </c>
      <c r="AM3285">
        <v>94.507287153801101</v>
      </c>
      <c r="AN3285">
        <v>0.99999995329931102</v>
      </c>
    </row>
    <row r="3286" spans="1:40" x14ac:dyDescent="0.3">
      <c r="A3286" t="str">
        <f>"20200111150016262"</f>
        <v>20200111150016262</v>
      </c>
      <c r="B3286" t="str">
        <f>"1578726016259122"</f>
        <v>1578726016259122</v>
      </c>
      <c r="C3286" t="s">
        <v>40</v>
      </c>
      <c r="D3286">
        <v>4.2023679999999999</v>
      </c>
      <c r="E3286">
        <v>0.4636151</v>
      </c>
      <c r="F3286" t="s">
        <v>42</v>
      </c>
      <c r="G3286">
        <v>-488.75229999999999</v>
      </c>
      <c r="H3286" s="1">
        <v>-2.393429E-6</v>
      </c>
      <c r="I3286">
        <v>234.696</v>
      </c>
      <c r="J3286">
        <v>-490.06060000000002</v>
      </c>
      <c r="K3286">
        <v>1.1212770000000001</v>
      </c>
      <c r="L3286">
        <v>265.46440000000001</v>
      </c>
      <c r="M3286">
        <v>-0.1228856</v>
      </c>
      <c r="N3286">
        <v>0</v>
      </c>
      <c r="O3286">
        <v>-0.99226360000000002</v>
      </c>
      <c r="P3286">
        <v>-5.2660100000000001E-2</v>
      </c>
      <c r="Q3286">
        <v>9.9101590000000003E-2</v>
      </c>
      <c r="R3286">
        <v>-0.99368279999999998</v>
      </c>
      <c r="S3286">
        <v>0.1265259</v>
      </c>
      <c r="T3286">
        <v>-0.1100785</v>
      </c>
      <c r="U3286">
        <v>-3.0386350000000002</v>
      </c>
      <c r="V3286">
        <v>-7.46449E-2</v>
      </c>
      <c r="W3286">
        <v>0.11362070000000001</v>
      </c>
      <c r="X3286">
        <v>0.99071620000000005</v>
      </c>
      <c r="Y3286">
        <v>-0.16405899999999901</v>
      </c>
      <c r="Z3286">
        <v>3.5529909999999998E-2</v>
      </c>
      <c r="AA3286">
        <v>0.98581050000000003</v>
      </c>
      <c r="AB3286">
        <v>34</v>
      </c>
      <c r="AC3286">
        <v>1.30830000000003</v>
      </c>
      <c r="AD3286">
        <v>-1.121279393429</v>
      </c>
      <c r="AE3286">
        <v>-30.7684</v>
      </c>
      <c r="AF3286">
        <v>-5.0732390872402702</v>
      </c>
      <c r="AG3286">
        <v>-1.121279393429</v>
      </c>
      <c r="AH3286">
        <v>30.334119222015399</v>
      </c>
      <c r="AI3286">
        <v>92.087960825317893</v>
      </c>
      <c r="AJ3286">
        <v>99.494576792330705</v>
      </c>
      <c r="AK3286">
        <v>30.7758641030577</v>
      </c>
      <c r="AL3286">
        <v>83.475924838452499</v>
      </c>
      <c r="AM3286">
        <v>94.308774099614396</v>
      </c>
      <c r="AN3286">
        <v>1.0000000567534599</v>
      </c>
    </row>
    <row r="3287" spans="1:40" x14ac:dyDescent="0.3">
      <c r="A3287" t="str">
        <f>"20200111150016273"</f>
        <v>20200111150016273</v>
      </c>
      <c r="B3287" t="str">
        <f>"1578726016268882"</f>
        <v>1578726016268882</v>
      </c>
      <c r="C3287" t="s">
        <v>40</v>
      </c>
      <c r="D3287">
        <v>4.227258</v>
      </c>
      <c r="E3287">
        <v>0.4641111</v>
      </c>
      <c r="F3287" t="s">
        <v>42</v>
      </c>
      <c r="G3287">
        <v>-488.66449999999998</v>
      </c>
      <c r="H3287" s="1">
        <v>-3.2466719999999998E-6</v>
      </c>
      <c r="I3287">
        <v>236.64859999999999</v>
      </c>
      <c r="J3287">
        <v>-490.07729999999998</v>
      </c>
      <c r="K3287">
        <v>1.121138</v>
      </c>
      <c r="L3287">
        <v>265.27760000000001</v>
      </c>
      <c r="M3287">
        <v>-0.1131557</v>
      </c>
      <c r="N3287">
        <v>0</v>
      </c>
      <c r="O3287">
        <v>-0.99342109999999995</v>
      </c>
      <c r="P3287">
        <v>-4.618013E-2</v>
      </c>
      <c r="Q3287">
        <v>9.9257250000000005E-2</v>
      </c>
      <c r="R3287">
        <v>-0.99398960000000003</v>
      </c>
      <c r="S3287">
        <v>0.14721679999999901</v>
      </c>
      <c r="T3287">
        <v>-0.1182396</v>
      </c>
      <c r="U3287">
        <v>-3.0386350000000002</v>
      </c>
      <c r="V3287">
        <v>-7.1357550000000006E-2</v>
      </c>
      <c r="W3287">
        <v>0.1138965</v>
      </c>
      <c r="X3287">
        <v>0.99092670000000005</v>
      </c>
      <c r="Y3287">
        <v>-0.16108510000000001</v>
      </c>
      <c r="Z3287">
        <v>3.8231370000000001E-2</v>
      </c>
      <c r="AA3287">
        <v>0.98619970000000001</v>
      </c>
      <c r="AB3287">
        <v>34</v>
      </c>
      <c r="AC3287">
        <v>1.4128000000000001</v>
      </c>
      <c r="AD3287">
        <v>-1.1211412466720001</v>
      </c>
      <c r="AE3287">
        <v>-28.629000000000001</v>
      </c>
      <c r="AF3287">
        <v>-4.6366669580475497</v>
      </c>
      <c r="AG3287">
        <v>-1.1211412466720001</v>
      </c>
      <c r="AH3287">
        <v>28.241968878543499</v>
      </c>
      <c r="AI3287">
        <v>92.243316313675393</v>
      </c>
      <c r="AJ3287">
        <v>99.323445194004606</v>
      </c>
      <c r="AK3287">
        <v>28.642004893363499</v>
      </c>
      <c r="AL3287">
        <v>83.460019162106505</v>
      </c>
      <c r="AM3287">
        <v>94.118812530941597</v>
      </c>
      <c r="AN3287">
        <v>1.00000001871357</v>
      </c>
    </row>
    <row r="3288" spans="1:40" x14ac:dyDescent="0.3">
      <c r="A3288" t="str">
        <f>"20200111150016286"</f>
        <v>20200111150016286</v>
      </c>
      <c r="B3288" t="str">
        <f>"1578726016279619"</f>
        <v>1578726016279619</v>
      </c>
      <c r="C3288" t="s">
        <v>40</v>
      </c>
      <c r="D3288">
        <v>4.203767</v>
      </c>
      <c r="E3288">
        <v>0.46478350000000002</v>
      </c>
      <c r="F3288" t="s">
        <v>42</v>
      </c>
      <c r="G3288">
        <v>-488.56959999999998</v>
      </c>
      <c r="H3288" s="1">
        <v>-3.4777089999999998E-6</v>
      </c>
      <c r="I3288">
        <v>237.148</v>
      </c>
      <c r="J3288">
        <v>-490.0917</v>
      </c>
      <c r="K3288">
        <v>1.1209990000000001</v>
      </c>
      <c r="L3288">
        <v>265.10169999999999</v>
      </c>
      <c r="M3288">
        <v>-0.1040711</v>
      </c>
      <c r="N3288">
        <v>0</v>
      </c>
      <c r="O3288">
        <v>-0.99441469999999998</v>
      </c>
      <c r="P3288">
        <v>-3.9797699999999998E-2</v>
      </c>
      <c r="Q3288">
        <v>9.875254E-2</v>
      </c>
      <c r="R3288">
        <v>-0.99431630000000004</v>
      </c>
      <c r="S3288">
        <v>0.16281129999999999</v>
      </c>
      <c r="T3288">
        <v>-0.1210735</v>
      </c>
      <c r="U3288">
        <v>-3.03775</v>
      </c>
      <c r="V3288">
        <v>-6.8603899999999995E-2</v>
      </c>
      <c r="W3288">
        <v>0.11348709999999999</v>
      </c>
      <c r="X3288">
        <v>0.9911681</v>
      </c>
      <c r="Y3288">
        <v>-0.1571245</v>
      </c>
      <c r="Z3288">
        <v>3.9224509999999997E-2</v>
      </c>
      <c r="AA3288">
        <v>0.98679950000000005</v>
      </c>
      <c r="AB3288">
        <v>34</v>
      </c>
      <c r="AC3288">
        <v>1.52210000000002</v>
      </c>
      <c r="AD3288">
        <v>-1.121002477709</v>
      </c>
      <c r="AE3288">
        <v>-27.953700000000001</v>
      </c>
      <c r="AF3288">
        <v>-4.4163722135348698</v>
      </c>
      <c r="AG3288">
        <v>-1.121002477709</v>
      </c>
      <c r="AH3288">
        <v>27.599176208392699</v>
      </c>
      <c r="AI3288">
        <v>92.296731039340202</v>
      </c>
      <c r="AJ3288">
        <v>99.091297144031401</v>
      </c>
      <c r="AK3288">
        <v>27.972763851028802</v>
      </c>
      <c r="AL3288">
        <v>83.483629080560107</v>
      </c>
      <c r="AM3288">
        <v>93.959424132643704</v>
      </c>
      <c r="AN3288">
        <v>1.00000000970961</v>
      </c>
    </row>
    <row r="3289" spans="1:40" x14ac:dyDescent="0.3">
      <c r="A3289" t="str">
        <f>"20200111150016300"</f>
        <v>20200111150016300</v>
      </c>
      <c r="B3289" t="str">
        <f>"1578726016289377"</f>
        <v>1578726016289377</v>
      </c>
      <c r="C3289" t="s">
        <v>40</v>
      </c>
      <c r="D3289">
        <v>4.2822180000000003</v>
      </c>
      <c r="E3289">
        <v>0.46537889999999998</v>
      </c>
      <c r="F3289" t="s">
        <v>42</v>
      </c>
      <c r="G3289">
        <v>-488.50259999999997</v>
      </c>
      <c r="H3289" s="1">
        <v>-3.7920970000000002E-6</v>
      </c>
      <c r="I3289">
        <v>237.85310000000001</v>
      </c>
      <c r="J3289">
        <v>-490.1071</v>
      </c>
      <c r="K3289">
        <v>1.120816</v>
      </c>
      <c r="L3289">
        <v>264.89319999999998</v>
      </c>
      <c r="M3289">
        <v>-9.3404360000000006E-2</v>
      </c>
      <c r="N3289">
        <v>0</v>
      </c>
      <c r="O3289">
        <v>-0.99547430000000003</v>
      </c>
      <c r="P3289">
        <v>-3.1605649999999999E-2</v>
      </c>
      <c r="Q3289">
        <v>9.7872790000000001E-2</v>
      </c>
      <c r="R3289">
        <v>-0.99469730000000001</v>
      </c>
      <c r="S3289">
        <v>0.17709349999999999</v>
      </c>
      <c r="T3289">
        <v>-0.12492449999999999</v>
      </c>
      <c r="U3289">
        <v>-3.036591</v>
      </c>
      <c r="V3289">
        <v>-6.6061339999999996E-2</v>
      </c>
      <c r="W3289">
        <v>0.1126846</v>
      </c>
      <c r="X3289">
        <v>0.99143239999999999</v>
      </c>
      <c r="Y3289">
        <v>-0.1511779</v>
      </c>
      <c r="Z3289">
        <v>4.0564469999999998E-2</v>
      </c>
      <c r="AA3289">
        <v>0.98767389999999999</v>
      </c>
      <c r="AB3289">
        <v>34</v>
      </c>
      <c r="AC3289">
        <v>1.60450000000003</v>
      </c>
      <c r="AD3289">
        <v>-1.120819792097</v>
      </c>
      <c r="AE3289">
        <v>-27.040099999999899</v>
      </c>
      <c r="AF3289">
        <v>-4.11648599285272</v>
      </c>
      <c r="AG3289">
        <v>-1.120819792097</v>
      </c>
      <c r="AH3289">
        <v>26.7262031538583</v>
      </c>
      <c r="AI3289">
        <v>92.373456662257297</v>
      </c>
      <c r="AJ3289">
        <v>98.756135657210805</v>
      </c>
      <c r="AK3289">
        <v>27.0645825564891</v>
      </c>
      <c r="AL3289">
        <v>83.529906137520499</v>
      </c>
      <c r="AM3289">
        <v>93.812109811039505</v>
      </c>
      <c r="AN3289">
        <v>1.00000006174475</v>
      </c>
    </row>
    <row r="3290" spans="1:40" x14ac:dyDescent="0.3">
      <c r="A3290" t="str">
        <f>"20200111150016314"</f>
        <v>20200111150016314</v>
      </c>
      <c r="B3290" t="str">
        <f>"1578726016308897"</f>
        <v>1578726016308897</v>
      </c>
      <c r="C3290" t="s">
        <v>40</v>
      </c>
      <c r="D3290">
        <v>4.2223579999999998</v>
      </c>
      <c r="E3290">
        <v>0.46641460000000001</v>
      </c>
      <c r="F3290" t="s">
        <v>42</v>
      </c>
      <c r="G3290">
        <v>-488.41329999999999</v>
      </c>
      <c r="H3290" s="1">
        <v>-4.2036720000000002E-6</v>
      </c>
      <c r="I3290">
        <v>238.7756</v>
      </c>
      <c r="J3290">
        <v>-490.12</v>
      </c>
      <c r="K3290">
        <v>1.1205830000000001</v>
      </c>
      <c r="L3290">
        <v>264.6782</v>
      </c>
      <c r="M3290">
        <v>-8.2674590000000006E-2</v>
      </c>
      <c r="N3290">
        <v>0</v>
      </c>
      <c r="O3290">
        <v>-0.99642379999999997</v>
      </c>
      <c r="P3290">
        <v>-2.7055429999999998E-2</v>
      </c>
      <c r="Q3290">
        <v>9.4861490000000007E-2</v>
      </c>
      <c r="R3290">
        <v>-0.99512270000000003</v>
      </c>
      <c r="S3290">
        <v>0.1968384</v>
      </c>
      <c r="T3290">
        <v>-0.13024910000000001</v>
      </c>
      <c r="U3290">
        <v>-3.0350950000000001</v>
      </c>
      <c r="V3290">
        <v>-5.9748639999999999E-2</v>
      </c>
      <c r="W3290">
        <v>0.1098986</v>
      </c>
      <c r="X3290">
        <v>0.99214539999999996</v>
      </c>
      <c r="Y3290">
        <v>-0.14695159999999999</v>
      </c>
      <c r="Z3290">
        <v>4.2377310000000001E-2</v>
      </c>
      <c r="AA3290">
        <v>0.98823550000000004</v>
      </c>
      <c r="AB3290">
        <v>34</v>
      </c>
      <c r="AC3290">
        <v>1.7067000000000101</v>
      </c>
      <c r="AD3290">
        <v>-1.1205872036719999</v>
      </c>
      <c r="AE3290">
        <v>-25.9026</v>
      </c>
      <c r="AF3290">
        <v>-3.8355210770785901</v>
      </c>
      <c r="AG3290">
        <v>-1.1205872036719999</v>
      </c>
      <c r="AH3290">
        <v>25.6250241157495</v>
      </c>
      <c r="AI3290">
        <v>92.476408265559201</v>
      </c>
      <c r="AJ3290">
        <v>98.512762424631404</v>
      </c>
      <c r="AK3290">
        <v>25.934702592212101</v>
      </c>
      <c r="AL3290">
        <v>83.690529968437502</v>
      </c>
      <c r="AM3290">
        <v>93.446284650674599</v>
      </c>
      <c r="AN3290">
        <v>1.00000004850248</v>
      </c>
    </row>
    <row r="3291" spans="1:40" x14ac:dyDescent="0.3">
      <c r="A3291" t="str">
        <f>"20200111150016328"</f>
        <v>20200111150016328</v>
      </c>
      <c r="B3291" t="str">
        <f>"1578726016319635"</f>
        <v>1578726016319635</v>
      </c>
      <c r="C3291" t="s">
        <v>40</v>
      </c>
      <c r="D3291">
        <v>4.3211130000000004</v>
      </c>
      <c r="E3291">
        <v>0.46683839999999999</v>
      </c>
      <c r="F3291" t="s">
        <v>42</v>
      </c>
      <c r="G3291">
        <v>-488.52179999999998</v>
      </c>
      <c r="H3291" s="1">
        <v>-8.148401E-7</v>
      </c>
      <c r="I3291">
        <v>240.88669999999999</v>
      </c>
      <c r="J3291">
        <v>-490.13060000000002</v>
      </c>
      <c r="K3291">
        <v>1.1203379999999901</v>
      </c>
      <c r="L3291">
        <v>264.47059999999999</v>
      </c>
      <c r="M3291">
        <v>-7.2509249999999997E-2</v>
      </c>
      <c r="N3291">
        <v>0</v>
      </c>
      <c r="O3291">
        <v>-0.9972162</v>
      </c>
      <c r="P3291">
        <v>-2.0830270000000001E-2</v>
      </c>
      <c r="Q3291">
        <v>9.3399410000000002E-2</v>
      </c>
      <c r="R3291">
        <v>-0.99541069999999998</v>
      </c>
      <c r="S3291">
        <v>0.20379639999999999</v>
      </c>
      <c r="T3291">
        <v>-0.14289649999999901</v>
      </c>
      <c r="U3291">
        <v>-3.0338750000000001</v>
      </c>
      <c r="V3291">
        <v>-5.5718089999999998E-2</v>
      </c>
      <c r="W3291">
        <v>0.10856109999999999</v>
      </c>
      <c r="X3291">
        <v>0.9925271</v>
      </c>
      <c r="Y3291">
        <v>-0.1391299</v>
      </c>
      <c r="Z3291">
        <v>4.6581049999999999E-2</v>
      </c>
      <c r="AA3291">
        <v>0.989178</v>
      </c>
      <c r="AB3291">
        <v>34</v>
      </c>
      <c r="AC3291">
        <v>1.60880000000003</v>
      </c>
      <c r="AD3291">
        <v>-1.1203388148400999</v>
      </c>
      <c r="AE3291">
        <v>-23.5839</v>
      </c>
      <c r="AF3291">
        <v>-3.3074441076007801</v>
      </c>
      <c r="AG3291">
        <v>-1.1203388148400999</v>
      </c>
      <c r="AH3291">
        <v>23.352676609208199</v>
      </c>
      <c r="AI3291">
        <v>92.719545715321502</v>
      </c>
      <c r="AJ3291">
        <v>98.061197513613294</v>
      </c>
      <c r="AK3291">
        <v>23.612324121085599</v>
      </c>
      <c r="AL3291">
        <v>83.767624259827201</v>
      </c>
      <c r="AM3291">
        <v>93.213075161853993</v>
      </c>
      <c r="AN3291">
        <v>1.00000003111043</v>
      </c>
    </row>
    <row r="3292" spans="1:40" x14ac:dyDescent="0.3">
      <c r="A3292" t="str">
        <f>"20200111150016342"</f>
        <v>20200111150016342</v>
      </c>
      <c r="B3292" t="str">
        <f>"1578726016339154"</f>
        <v>1578726016339154</v>
      </c>
      <c r="C3292" t="s">
        <v>40</v>
      </c>
      <c r="D3292">
        <v>4.2439039999999997</v>
      </c>
      <c r="E3292">
        <v>0.46748580000000001</v>
      </c>
      <c r="F3292" t="s">
        <v>42</v>
      </c>
      <c r="G3292">
        <v>-488.47160000000002</v>
      </c>
      <c r="H3292" s="1">
        <v>-1.1125989999999999E-6</v>
      </c>
      <c r="I3292">
        <v>241.5943</v>
      </c>
      <c r="J3292">
        <v>-490.13920000000002</v>
      </c>
      <c r="K3292">
        <v>1.1200829999999999</v>
      </c>
      <c r="L3292">
        <v>264.27249999999998</v>
      </c>
      <c r="M3292">
        <v>-6.297664E-2</v>
      </c>
      <c r="N3292">
        <v>0</v>
      </c>
      <c r="O3292">
        <v>-0.997865</v>
      </c>
      <c r="P3292">
        <v>-1.4936899999999999E-2</v>
      </c>
      <c r="Q3292">
        <v>9.2707929999999994E-2</v>
      </c>
      <c r="R3292">
        <v>-0.9955813</v>
      </c>
      <c r="S3292">
        <v>0.21990970000000001</v>
      </c>
      <c r="T3292">
        <v>-0.1485069</v>
      </c>
      <c r="U3292">
        <v>-3.0323790000000002</v>
      </c>
      <c r="V3292">
        <v>-5.2012460000000003E-2</v>
      </c>
      <c r="W3292">
        <v>0.10797710000000001</v>
      </c>
      <c r="X3292">
        <v>0.9927918</v>
      </c>
      <c r="Y3292">
        <v>-0.1349225</v>
      </c>
      <c r="Z3292">
        <v>4.8482150000000002E-2</v>
      </c>
      <c r="AA3292">
        <v>0.98966929999999997</v>
      </c>
      <c r="AB3292">
        <v>34</v>
      </c>
      <c r="AC3292">
        <v>1.66759999999999</v>
      </c>
      <c r="AD3292">
        <v>-1.120084112599</v>
      </c>
      <c r="AE3292">
        <v>-22.678199999999901</v>
      </c>
      <c r="AF3292">
        <v>-3.0852138851679798</v>
      </c>
      <c r="AG3292">
        <v>-1.120084112599</v>
      </c>
      <c r="AH3292">
        <v>22.4736073198195</v>
      </c>
      <c r="AI3292">
        <v>92.826790221444995</v>
      </c>
      <c r="AJ3292">
        <v>97.816797730497598</v>
      </c>
      <c r="AK3292">
        <v>22.712026750203801</v>
      </c>
      <c r="AL3292">
        <v>83.801282373363904</v>
      </c>
      <c r="AM3292">
        <v>92.998989728523696</v>
      </c>
      <c r="AN3292">
        <v>0.999999954133449</v>
      </c>
    </row>
    <row r="3293" spans="1:40" x14ac:dyDescent="0.3">
      <c r="A3293" t="str">
        <f>"20200111150016353"</f>
        <v>20200111150016353</v>
      </c>
      <c r="B3293" t="str">
        <f>"1578726016348917"</f>
        <v>1578726016348917</v>
      </c>
      <c r="C3293" t="s">
        <v>40</v>
      </c>
      <c r="D3293">
        <v>4.230086</v>
      </c>
      <c r="E3293">
        <v>0.48305510000000002</v>
      </c>
      <c r="F3293" t="s">
        <v>42</v>
      </c>
      <c r="G3293">
        <v>-488.4135</v>
      </c>
      <c r="H3293" s="1">
        <v>-1.2680449999999999E-6</v>
      </c>
      <c r="I3293">
        <v>241.93260000000001</v>
      </c>
      <c r="J3293">
        <v>-490.14479999999998</v>
      </c>
      <c r="K3293">
        <v>1.11981</v>
      </c>
      <c r="L3293">
        <v>264.09030000000001</v>
      </c>
      <c r="M3293">
        <v>-5.4516309999999998E-2</v>
      </c>
      <c r="N3293">
        <v>0</v>
      </c>
      <c r="O3293">
        <v>-0.99836420000000003</v>
      </c>
      <c r="P3293">
        <v>-1.006482E-2</v>
      </c>
      <c r="Q3293">
        <v>9.2827119999999999E-2</v>
      </c>
      <c r="R3293">
        <v>-0.9956315</v>
      </c>
      <c r="S3293">
        <v>0.2341309</v>
      </c>
      <c r="T3293">
        <v>-0.15196989999999999</v>
      </c>
      <c r="U3293">
        <v>-3.0310060000000001</v>
      </c>
      <c r="V3293">
        <v>-4.8381430000000003E-2</v>
      </c>
      <c r="W3293">
        <v>0.1081913</v>
      </c>
      <c r="X3293">
        <v>0.9929521</v>
      </c>
      <c r="Y3293">
        <v>-0.13116820000000001</v>
      </c>
      <c r="Z3293">
        <v>4.9673580000000002E-2</v>
      </c>
      <c r="AA3293">
        <v>0.99011490000000002</v>
      </c>
      <c r="AB3293">
        <v>34</v>
      </c>
      <c r="AC3293">
        <v>1.7312999999999701</v>
      </c>
      <c r="AD3293">
        <v>-1.1198112680450001</v>
      </c>
      <c r="AE3293">
        <v>-22.157699999999998</v>
      </c>
      <c r="AF3293">
        <v>-2.92942330534752</v>
      </c>
      <c r="AG3293">
        <v>-1.1198112680450001</v>
      </c>
      <c r="AH3293">
        <v>21.9745560001044</v>
      </c>
      <c r="AI3293">
        <v>92.891700111193501</v>
      </c>
      <c r="AJ3293">
        <v>97.593317633422998</v>
      </c>
      <c r="AK3293">
        <v>22.197220762511702</v>
      </c>
      <c r="AL3293">
        <v>83.788937560527202</v>
      </c>
      <c r="AM3293">
        <v>92.789521414954706</v>
      </c>
      <c r="AN3293">
        <v>0.99999999652947202</v>
      </c>
    </row>
    <row r="3294" spans="1:40" x14ac:dyDescent="0.3">
      <c r="A3294" t="str">
        <f>"20200111150016370"</f>
        <v>20200111150016370</v>
      </c>
      <c r="B3294" t="str">
        <f>"1578726016359650"</f>
        <v>1578726016359650</v>
      </c>
      <c r="C3294" t="s">
        <v>40</v>
      </c>
      <c r="D3294">
        <v>4.2047650000000001</v>
      </c>
      <c r="E3294">
        <v>0.48435319999999998</v>
      </c>
      <c r="F3294" t="s">
        <v>42</v>
      </c>
      <c r="G3294">
        <v>-489.33350000000002</v>
      </c>
      <c r="H3294" s="1">
        <v>-2.2550049999999999E-6</v>
      </c>
      <c r="I3294">
        <v>244.61359999999999</v>
      </c>
      <c r="J3294">
        <v>-490.15050000000002</v>
      </c>
      <c r="K3294">
        <v>1.1194390000000001</v>
      </c>
      <c r="L3294">
        <v>263.84809999999999</v>
      </c>
      <c r="M3294">
        <v>-4.3542480000000001E-2</v>
      </c>
      <c r="N3294">
        <v>0</v>
      </c>
      <c r="O3294">
        <v>-0.99890489999999998</v>
      </c>
      <c r="P3294">
        <v>-4.1939530000000003E-3</v>
      </c>
      <c r="Q3294">
        <v>9.5025109999999996E-2</v>
      </c>
      <c r="R3294">
        <v>-0.99546610000000002</v>
      </c>
      <c r="S3294">
        <v>0.12625120000000001</v>
      </c>
      <c r="T3294">
        <v>-0.17424890000000001</v>
      </c>
      <c r="U3294">
        <v>-3.0306700000000002</v>
      </c>
      <c r="V3294">
        <v>-4.3286440000000002E-2</v>
      </c>
      <c r="W3294">
        <v>0.1105138</v>
      </c>
      <c r="X3294">
        <v>0.99293149999999997</v>
      </c>
      <c r="Y3294">
        <v>-8.5025089999999998E-2</v>
      </c>
      <c r="Z3294">
        <v>5.7190030000000003E-2</v>
      </c>
      <c r="AA3294">
        <v>0.99473610000000001</v>
      </c>
      <c r="AB3294">
        <v>34</v>
      </c>
      <c r="AC3294">
        <v>0.81700000000000705</v>
      </c>
      <c r="AD3294">
        <v>-1.1194412550049999</v>
      </c>
      <c r="AE3294">
        <v>-19.234500000000001</v>
      </c>
      <c r="AF3294">
        <v>-1.64829244689715</v>
      </c>
      <c r="AG3294">
        <v>-1.1194412550049999</v>
      </c>
      <c r="AH3294">
        <v>19.116039543086</v>
      </c>
      <c r="AI3294">
        <v>93.339069655797104</v>
      </c>
      <c r="AJ3294">
        <v>94.928175060784199</v>
      </c>
      <c r="AK3294">
        <v>19.2195989689362</v>
      </c>
      <c r="AL3294">
        <v>83.655065209330104</v>
      </c>
      <c r="AM3294">
        <v>92.496205386316603</v>
      </c>
      <c r="AN3294">
        <v>0.99999998978528104</v>
      </c>
    </row>
    <row r="3295" spans="1:40" x14ac:dyDescent="0.3">
      <c r="A3295" t="str">
        <f>"20200111150016382"</f>
        <v>20200111150016382</v>
      </c>
      <c r="B3295" t="str">
        <f>"1578726016379170"</f>
        <v>1578726016379170</v>
      </c>
      <c r="C3295" t="s">
        <v>40</v>
      </c>
      <c r="D3295">
        <v>4.2330269999999999</v>
      </c>
      <c r="E3295">
        <v>0.48641859999999998</v>
      </c>
      <c r="F3295" t="s">
        <v>42</v>
      </c>
      <c r="G3295">
        <v>-489.23579999999998</v>
      </c>
      <c r="H3295" s="1">
        <v>-1.6008E-6</v>
      </c>
      <c r="I3295">
        <v>243.04830000000001</v>
      </c>
      <c r="J3295">
        <v>-490.15339999999998</v>
      </c>
      <c r="K3295">
        <v>1.1191629999999999</v>
      </c>
      <c r="L3295">
        <v>263.67250000000001</v>
      </c>
      <c r="M3295">
        <v>-3.5773409999999999E-2</v>
      </c>
      <c r="N3295">
        <v>0</v>
      </c>
      <c r="O3295">
        <v>-0.99921459999999995</v>
      </c>
      <c r="P3295">
        <v>1.28735E-3</v>
      </c>
      <c r="Q3295">
        <v>9.5887539999999993E-2</v>
      </c>
      <c r="R3295">
        <v>-0.99539149999999998</v>
      </c>
      <c r="S3295">
        <v>0.13323969999999999</v>
      </c>
      <c r="T3295">
        <v>-0.16306399999999999</v>
      </c>
      <c r="U3295">
        <v>-3.0298159999999998</v>
      </c>
      <c r="V3295">
        <v>-4.0975940000000002E-2</v>
      </c>
      <c r="W3295">
        <v>0.11141040000000001</v>
      </c>
      <c r="X3295">
        <v>0.99292930000000001</v>
      </c>
      <c r="Y3295">
        <v>-7.9586420000000005E-2</v>
      </c>
      <c r="Z3295">
        <v>5.3579309999999998E-2</v>
      </c>
      <c r="AA3295">
        <v>0.99538700000000002</v>
      </c>
      <c r="AB3295">
        <v>34</v>
      </c>
      <c r="AC3295">
        <v>0.91759999999999298</v>
      </c>
      <c r="AD3295">
        <v>-1.11916460079999</v>
      </c>
      <c r="AE3295">
        <v>-20.624199999999998</v>
      </c>
      <c r="AF3295">
        <v>-1.6500683542922301</v>
      </c>
      <c r="AG3295">
        <v>-1.11916460079999</v>
      </c>
      <c r="AH3295">
        <v>20.517866137334</v>
      </c>
      <c r="AI3295">
        <v>93.112125635715202</v>
      </c>
      <c r="AJ3295">
        <v>94.597891473707804</v>
      </c>
      <c r="AK3295">
        <v>20.614511534525299</v>
      </c>
      <c r="AL3295">
        <v>83.603374346342207</v>
      </c>
      <c r="AM3295">
        <v>92.363125980005407</v>
      </c>
      <c r="AN3295">
        <v>0.99999994984276497</v>
      </c>
    </row>
    <row r="3296" spans="1:40" x14ac:dyDescent="0.3">
      <c r="A3296" t="str">
        <f>"20200111150016392"</f>
        <v>20200111150016392</v>
      </c>
      <c r="B3296" t="str">
        <f>"1578726016388930"</f>
        <v>1578726016388930</v>
      </c>
      <c r="C3296" t="s">
        <v>40</v>
      </c>
      <c r="D3296">
        <v>4.2023519999999897</v>
      </c>
      <c r="E3296">
        <v>0.48774719999999999</v>
      </c>
      <c r="F3296" t="s">
        <v>42</v>
      </c>
      <c r="G3296">
        <v>-489.22890000000001</v>
      </c>
      <c r="H3296" s="1">
        <v>-1.4416380000000001E-6</v>
      </c>
      <c r="I3296">
        <v>242.67449999999999</v>
      </c>
      <c r="J3296">
        <v>-490.15440000000001</v>
      </c>
      <c r="K3296">
        <v>1.1188720000000001</v>
      </c>
      <c r="L3296">
        <v>263.50790000000001</v>
      </c>
      <c r="M3296">
        <v>-2.8821820000000001E-2</v>
      </c>
      <c r="N3296">
        <v>0</v>
      </c>
      <c r="O3296">
        <v>-0.99944069999999996</v>
      </c>
      <c r="P3296">
        <v>6.0727680000000001E-3</v>
      </c>
      <c r="Q3296">
        <v>9.6878530000000004E-2</v>
      </c>
      <c r="R3296">
        <v>-0.99527779999999999</v>
      </c>
      <c r="S3296">
        <v>0.1333618</v>
      </c>
      <c r="T3296">
        <v>-0.16145519999999999</v>
      </c>
      <c r="U3296">
        <v>-3.0292659999999998</v>
      </c>
      <c r="V3296">
        <v>-3.8786330000000001E-2</v>
      </c>
      <c r="W3296">
        <v>0.11242779999999999</v>
      </c>
      <c r="X3296">
        <v>0.99290259999999997</v>
      </c>
      <c r="Y3296">
        <v>-7.2699550000000002E-2</v>
      </c>
      <c r="Z3296">
        <v>5.3093649999999999E-2</v>
      </c>
      <c r="AA3296">
        <v>0.99593969999999998</v>
      </c>
      <c r="AB3296">
        <v>34</v>
      </c>
      <c r="AC3296">
        <v>0.92549999999999899</v>
      </c>
      <c r="AD3296">
        <v>-1.118873441638</v>
      </c>
      <c r="AE3296">
        <v>-20.833400000000001</v>
      </c>
      <c r="AF3296">
        <v>-1.5212790752807599</v>
      </c>
      <c r="AG3296">
        <v>-1.118873441638</v>
      </c>
      <c r="AH3296">
        <v>20.738366135017301</v>
      </c>
      <c r="AI3296">
        <v>93.079960212612704</v>
      </c>
      <c r="AJ3296">
        <v>94.195462147779807</v>
      </c>
      <c r="AK3296">
        <v>20.824168596928899</v>
      </c>
      <c r="AL3296">
        <v>83.544713268924198</v>
      </c>
      <c r="AM3296">
        <v>92.237040840112797</v>
      </c>
      <c r="AN3296">
        <v>0.999999981347234</v>
      </c>
    </row>
    <row r="3297" spans="1:40" x14ac:dyDescent="0.3">
      <c r="A3297" t="str">
        <f>"20200111150016404"</f>
        <v>20200111150016404</v>
      </c>
      <c r="B3297" t="str">
        <f>"1578726016399667"</f>
        <v>1578726016399667</v>
      </c>
      <c r="C3297" t="s">
        <v>40</v>
      </c>
      <c r="D3297">
        <v>4.1961779999999997</v>
      </c>
      <c r="E3297">
        <v>0.48908210000000002</v>
      </c>
      <c r="F3297" t="s">
        <v>42</v>
      </c>
      <c r="G3297">
        <v>-489.18819999999999</v>
      </c>
      <c r="H3297" s="1">
        <v>-1.211577E-6</v>
      </c>
      <c r="I3297">
        <v>242.12129999999999</v>
      </c>
      <c r="J3297">
        <v>-490.15480000000002</v>
      </c>
      <c r="K3297">
        <v>1.1185560000000001</v>
      </c>
      <c r="L3297">
        <v>263.33600000000001</v>
      </c>
      <c r="M3297">
        <v>-2.1704959999999999E-2</v>
      </c>
      <c r="N3297">
        <v>0</v>
      </c>
      <c r="O3297">
        <v>-0.99962200000000001</v>
      </c>
      <c r="P3297">
        <v>1.063118E-2</v>
      </c>
      <c r="Q3297">
        <v>9.7673629999999997E-2</v>
      </c>
      <c r="R3297">
        <v>-0.99516170000000004</v>
      </c>
      <c r="S3297">
        <v>0.13684079999999901</v>
      </c>
      <c r="T3297">
        <v>-0.1584566</v>
      </c>
      <c r="U3297">
        <v>-3.0288089999999999</v>
      </c>
      <c r="V3297">
        <v>-3.6192969999999998E-2</v>
      </c>
      <c r="W3297">
        <v>0.11326020000000001</v>
      </c>
      <c r="X3297">
        <v>0.99290590000000001</v>
      </c>
      <c r="Y3297">
        <v>-6.6747580000000001E-2</v>
      </c>
      <c r="Z3297">
        <v>5.214179E-2</v>
      </c>
      <c r="AA3297">
        <v>0.99640660000000003</v>
      </c>
      <c r="AB3297">
        <v>34</v>
      </c>
      <c r="AC3297">
        <v>0.96660000000002799</v>
      </c>
      <c r="AD3297">
        <v>-1.1185572115769999</v>
      </c>
      <c r="AE3297">
        <v>-21.214700000000001</v>
      </c>
      <c r="AF3297">
        <v>-1.42295441272469</v>
      </c>
      <c r="AG3297">
        <v>-1.1185572115769999</v>
      </c>
      <c r="AH3297">
        <v>21.130098121488999</v>
      </c>
      <c r="AI3297">
        <v>93.023384804534004</v>
      </c>
      <c r="AJ3297">
        <v>93.852626264327895</v>
      </c>
      <c r="AK3297">
        <v>21.207475477293801</v>
      </c>
      <c r="AL3297">
        <v>83.496713566711605</v>
      </c>
      <c r="AM3297">
        <v>92.087596322682501</v>
      </c>
      <c r="AN3297">
        <v>0.99999996511813405</v>
      </c>
    </row>
    <row r="3298" spans="1:40" x14ac:dyDescent="0.3">
      <c r="A3298" t="str">
        <f>"20200111150016415"</f>
        <v>20200111150016415</v>
      </c>
      <c r="B3298" t="str">
        <f>"1578726016409426"</f>
        <v>1578726016409426</v>
      </c>
      <c r="C3298" t="s">
        <v>40</v>
      </c>
      <c r="D3298">
        <v>4.2038769999999896</v>
      </c>
      <c r="E3298">
        <v>0.48908210000000002</v>
      </c>
      <c r="F3298" t="s">
        <v>42</v>
      </c>
      <c r="G3298">
        <v>-489.14440000000002</v>
      </c>
      <c r="H3298" s="1">
        <v>-9.9328799999999997E-7</v>
      </c>
      <c r="I3298">
        <v>241.59440000000001</v>
      </c>
      <c r="J3298">
        <v>-490.154</v>
      </c>
      <c r="K3298">
        <v>1.1182190000000001</v>
      </c>
      <c r="L3298">
        <v>263.16579999999999</v>
      </c>
      <c r="M3298">
        <v>-1.4933190000000001E-2</v>
      </c>
      <c r="N3298">
        <v>0</v>
      </c>
      <c r="O3298">
        <v>-0.99974730000000001</v>
      </c>
      <c r="P3298">
        <v>1.430066E-2</v>
      </c>
      <c r="Q3298">
        <v>9.8291760000000006E-2</v>
      </c>
      <c r="R3298">
        <v>-0.99505469999999896</v>
      </c>
      <c r="S3298">
        <v>0.14074710000000001</v>
      </c>
      <c r="T3298">
        <v>-0.1558031</v>
      </c>
      <c r="U3298">
        <v>-3.028381</v>
      </c>
      <c r="V3298">
        <v>-3.3044619999999997E-2</v>
      </c>
      <c r="W3298">
        <v>0.11393060000000001</v>
      </c>
      <c r="X3298">
        <v>0.99293900000000002</v>
      </c>
      <c r="Y3298">
        <v>-6.1278760000000002E-2</v>
      </c>
      <c r="Z3298">
        <v>5.1295189999999997E-2</v>
      </c>
      <c r="AA3298">
        <v>0.99680170000000001</v>
      </c>
      <c r="AB3298">
        <v>34</v>
      </c>
      <c r="AC3298">
        <v>1.0095999999999701</v>
      </c>
      <c r="AD3298">
        <v>-1.1182199932879999</v>
      </c>
      <c r="AE3298">
        <v>-21.571399999999901</v>
      </c>
      <c r="AF3298">
        <v>-1.3281016336831</v>
      </c>
      <c r="AG3298">
        <v>-1.1182199932879999</v>
      </c>
      <c r="AH3298">
        <v>21.4962770426785</v>
      </c>
      <c r="AI3298">
        <v>92.972141939092694</v>
      </c>
      <c r="AJ3298">
        <v>93.535403760158999</v>
      </c>
      <c r="AK3298">
        <v>21.5662745182929</v>
      </c>
      <c r="AL3298">
        <v>83.458052406752799</v>
      </c>
      <c r="AM3298">
        <v>91.906077569459995</v>
      </c>
      <c r="AN3298">
        <v>0.999999993124152</v>
      </c>
    </row>
    <row r="3299" spans="1:40" x14ac:dyDescent="0.3">
      <c r="A3299" t="str">
        <f>"20200111150016427"</f>
        <v>20200111150016427</v>
      </c>
      <c r="B3299" t="str">
        <f>"1578726016419186"</f>
        <v>1578726016419186</v>
      </c>
      <c r="C3299" t="s">
        <v>40</v>
      </c>
      <c r="D3299">
        <v>4.2373440000000002</v>
      </c>
      <c r="E3299">
        <v>0.49941479999999999</v>
      </c>
      <c r="F3299" t="s">
        <v>42</v>
      </c>
      <c r="G3299">
        <v>-489.0455</v>
      </c>
      <c r="H3299" s="1">
        <v>-8.1722080000000005E-7</v>
      </c>
      <c r="I3299">
        <v>241.1431</v>
      </c>
      <c r="J3299">
        <v>-490.15199999999999</v>
      </c>
      <c r="K3299">
        <v>1.1178490000000001</v>
      </c>
      <c r="L3299">
        <v>262.99209999999999</v>
      </c>
      <c r="M3299">
        <v>-8.3067249999999992E-3</v>
      </c>
      <c r="N3299">
        <v>0</v>
      </c>
      <c r="O3299">
        <v>-0.99982590000000005</v>
      </c>
      <c r="P3299">
        <v>1.8035389999999998E-2</v>
      </c>
      <c r="Q3299">
        <v>9.9272520000000003E-2</v>
      </c>
      <c r="R3299">
        <v>-0.99489680000000003</v>
      </c>
      <c r="S3299">
        <v>0.15240479999999901</v>
      </c>
      <c r="T3299">
        <v>-0.15374299999999999</v>
      </c>
      <c r="U3299">
        <v>-3.0278930000000002</v>
      </c>
      <c r="V3299">
        <v>-3.0109190000000001E-2</v>
      </c>
      <c r="W3299">
        <v>0.1149486</v>
      </c>
      <c r="X3299">
        <v>0.99291499999999999</v>
      </c>
      <c r="Y3299">
        <v>-5.8501129999999998E-2</v>
      </c>
      <c r="Z3299">
        <v>5.0632240000000002E-2</v>
      </c>
      <c r="AA3299">
        <v>0.99700250000000001</v>
      </c>
      <c r="AB3299">
        <v>34</v>
      </c>
      <c r="AC3299">
        <v>1.1064999999999801</v>
      </c>
      <c r="AD3299">
        <v>-1.11784981722079</v>
      </c>
      <c r="AE3299">
        <v>-21.848999999999901</v>
      </c>
      <c r="AF3299">
        <v>-1.28462674619892</v>
      </c>
      <c r="AG3299">
        <v>-1.11784981722079</v>
      </c>
      <c r="AH3299">
        <v>21.782182045385898</v>
      </c>
      <c r="AI3299">
        <v>92.932724259731401</v>
      </c>
      <c r="AJ3299">
        <v>93.375168421958904</v>
      </c>
      <c r="AK3299">
        <v>21.8486454671506</v>
      </c>
      <c r="AL3299">
        <v>83.399339419639801</v>
      </c>
      <c r="AM3299">
        <v>91.736907009967396</v>
      </c>
      <c r="AN3299">
        <v>0.99999997059470702</v>
      </c>
    </row>
    <row r="3300" spans="1:40" x14ac:dyDescent="0.3">
      <c r="A3300" t="str">
        <f>"20200111150016439"</f>
        <v>20200111150016439</v>
      </c>
      <c r="B3300" t="str">
        <f>"1578726016428946"</f>
        <v>1578726016428946</v>
      </c>
      <c r="C3300" t="s">
        <v>40</v>
      </c>
      <c r="D3300">
        <v>4.2689500000000002</v>
      </c>
      <c r="E3300">
        <v>0.49941479999999999</v>
      </c>
      <c r="F3300" t="s">
        <v>42</v>
      </c>
      <c r="G3300">
        <v>-489.57650000000001</v>
      </c>
      <c r="H3300" s="1">
        <v>-1.0415380000000001E-6</v>
      </c>
      <c r="I3300">
        <v>241.88550000000001</v>
      </c>
      <c r="J3300">
        <v>-490.149</v>
      </c>
      <c r="K3300">
        <v>1.117432</v>
      </c>
      <c r="L3300">
        <v>262.80369999999999</v>
      </c>
      <c r="M3300">
        <v>-1.3247160000000001E-3</v>
      </c>
      <c r="N3300">
        <v>0</v>
      </c>
      <c r="O3300">
        <v>-0.99986109999999995</v>
      </c>
      <c r="P3300">
        <v>2.2141250000000001E-2</v>
      </c>
      <c r="Q3300">
        <v>0.1008318</v>
      </c>
      <c r="R3300">
        <v>-0.99465709999999996</v>
      </c>
      <c r="S3300">
        <v>8.2611080000000003E-2</v>
      </c>
      <c r="T3300">
        <v>-0.1604689</v>
      </c>
      <c r="U3300">
        <v>-3.0298769999999999</v>
      </c>
      <c r="V3300">
        <v>-2.7196020000000001E-2</v>
      </c>
      <c r="W3300">
        <v>0.1165347</v>
      </c>
      <c r="X3300">
        <v>0.99281419999999998</v>
      </c>
      <c r="Y3300">
        <v>-2.8541629999999998E-2</v>
      </c>
      <c r="Z3300">
        <v>5.2867440000000002E-2</v>
      </c>
      <c r="AA3300">
        <v>0.99819360000000001</v>
      </c>
      <c r="AB3300">
        <v>34</v>
      </c>
      <c r="AC3300">
        <v>0.57249999999999002</v>
      </c>
      <c r="AD3300">
        <v>-1.117433041538</v>
      </c>
      <c r="AE3300">
        <v>-20.918199999999899</v>
      </c>
      <c r="AF3300">
        <v>-0.59850736956695905</v>
      </c>
      <c r="AG3300">
        <v>-1.117433041538</v>
      </c>
      <c r="AH3300">
        <v>20.857947269038199</v>
      </c>
      <c r="AI3300">
        <v>93.065344016162499</v>
      </c>
      <c r="AJ3300">
        <v>91.643619998504406</v>
      </c>
      <c r="AK3300">
        <v>20.896431081687801</v>
      </c>
      <c r="AL3300">
        <v>83.307847869896307</v>
      </c>
      <c r="AM3300">
        <v>91.569102854396107</v>
      </c>
      <c r="AN3300">
        <v>0.99999999776478499</v>
      </c>
    </row>
    <row r="3301" spans="1:40" x14ac:dyDescent="0.3">
      <c r="A3301" t="str">
        <f>"20200111150016452"</f>
        <v>20200111150016452</v>
      </c>
      <c r="B3301" t="str">
        <f>"1578726016449443"</f>
        <v>1578726016449443</v>
      </c>
      <c r="C3301" t="s">
        <v>40</v>
      </c>
      <c r="D3301">
        <v>4.1463380000000001</v>
      </c>
      <c r="E3301">
        <v>0.5016929</v>
      </c>
      <c r="F3301" t="s">
        <v>42</v>
      </c>
      <c r="G3301">
        <v>-489.46859999999998</v>
      </c>
      <c r="H3301" s="1">
        <v>-7.0751279999999995E-7</v>
      </c>
      <c r="I3301">
        <v>241.06229999999999</v>
      </c>
      <c r="J3301">
        <v>-490.1447</v>
      </c>
      <c r="K3301">
        <v>1.117005</v>
      </c>
      <c r="L3301">
        <v>262.62790000000001</v>
      </c>
      <c r="M3301">
        <v>4.6683000000000002E-3</v>
      </c>
      <c r="N3301">
        <v>0</v>
      </c>
      <c r="O3301">
        <v>-0.99985259999999998</v>
      </c>
      <c r="P3301">
        <v>2.6105730000000001E-2</v>
      </c>
      <c r="Q3301">
        <v>0.10217859999999999</v>
      </c>
      <c r="R3301">
        <v>-0.99442370000000002</v>
      </c>
      <c r="S3301">
        <v>9.4818120000000006E-2</v>
      </c>
      <c r="T3301">
        <v>-0.15571860000000001</v>
      </c>
      <c r="U3301">
        <v>-3.0297550000000002</v>
      </c>
      <c r="V3301">
        <v>-2.5112740000000001E-2</v>
      </c>
      <c r="W3301">
        <v>0.1178782</v>
      </c>
      <c r="X3301">
        <v>0.99271050000000005</v>
      </c>
      <c r="Y3301">
        <v>-2.6572129999999999E-2</v>
      </c>
      <c r="Z3301">
        <v>5.1306249999999998E-2</v>
      </c>
      <c r="AA3301">
        <v>0.99832940000000003</v>
      </c>
      <c r="AB3301">
        <v>34</v>
      </c>
      <c r="AC3301">
        <v>0.67610000000001902</v>
      </c>
      <c r="AD3301">
        <v>-1.1170057075127999</v>
      </c>
      <c r="AE3301">
        <v>-21.5656</v>
      </c>
      <c r="AF3301">
        <v>-0.57386614194348295</v>
      </c>
      <c r="AG3301">
        <v>-1.1170057075127999</v>
      </c>
      <c r="AH3301">
        <v>21.510868999595601</v>
      </c>
      <c r="AI3301">
        <v>92.971501518107004</v>
      </c>
      <c r="AJ3301">
        <v>91.528172146906599</v>
      </c>
      <c r="AK3301">
        <v>21.547494267715901</v>
      </c>
      <c r="AL3301">
        <v>83.230336951447896</v>
      </c>
      <c r="AM3301">
        <v>91.4491104933781</v>
      </c>
      <c r="AN3301">
        <v>1.00000002827789</v>
      </c>
    </row>
    <row r="3302" spans="1:40" x14ac:dyDescent="0.3">
      <c r="A3302" t="str">
        <f>"20200111150016464"</f>
        <v>20200111150016464</v>
      </c>
      <c r="B3302" t="str">
        <f>"1578726016459202"</f>
        <v>1578726016459202</v>
      </c>
      <c r="C3302" t="s">
        <v>40</v>
      </c>
      <c r="D3302">
        <v>4.2238850000000001</v>
      </c>
      <c r="E3302">
        <v>0.50251129999999999</v>
      </c>
      <c r="F3302" t="s">
        <v>42</v>
      </c>
      <c r="G3302">
        <v>-489.459</v>
      </c>
      <c r="H3302" s="1">
        <v>-4.1264080000000002E-6</v>
      </c>
      <c r="I3302">
        <v>239.02780000000001</v>
      </c>
      <c r="J3302">
        <v>-490.13979999999998</v>
      </c>
      <c r="K3302">
        <v>1.116557</v>
      </c>
      <c r="L3302">
        <v>262.45080000000002</v>
      </c>
      <c r="M3302">
        <v>1.051976E-2</v>
      </c>
      <c r="N3302">
        <v>0</v>
      </c>
      <c r="O3302">
        <v>-0.99980979999999997</v>
      </c>
      <c r="P3302">
        <v>2.9777080000000001E-2</v>
      </c>
      <c r="Q3302">
        <v>0.1032363</v>
      </c>
      <c r="R3302">
        <v>-0.99421130000000002</v>
      </c>
      <c r="S3302">
        <v>8.8012699999999999E-2</v>
      </c>
      <c r="T3302">
        <v>-0.14337620000000001</v>
      </c>
      <c r="U3302">
        <v>-3.029236</v>
      </c>
      <c r="V3302">
        <v>-2.2861300000000001E-2</v>
      </c>
      <c r="W3302">
        <v>0.118936</v>
      </c>
      <c r="X3302">
        <v>0.99263869999999998</v>
      </c>
      <c r="Y3302">
        <v>-1.849137E-2</v>
      </c>
      <c r="Z3302">
        <v>4.7259969999999998E-2</v>
      </c>
      <c r="AA3302">
        <v>0.99871149999999997</v>
      </c>
      <c r="AB3302">
        <v>34</v>
      </c>
      <c r="AC3302">
        <v>0.68079999999997598</v>
      </c>
      <c r="AD3302">
        <v>-1.116561126408</v>
      </c>
      <c r="AE3302">
        <v>-23.422999999999998</v>
      </c>
      <c r="AF3302">
        <v>-0.433340863980753</v>
      </c>
      <c r="AG3302">
        <v>-1.116561126408</v>
      </c>
      <c r="AH3302">
        <v>23.375792649624199</v>
      </c>
      <c r="AI3302">
        <v>92.734225488766597</v>
      </c>
      <c r="AJ3302">
        <v>91.062028542583505</v>
      </c>
      <c r="AK3302">
        <v>23.4064558413192</v>
      </c>
      <c r="AL3302">
        <v>83.169299893998598</v>
      </c>
      <c r="AM3302">
        <v>91.319336518741096</v>
      </c>
      <c r="AN3302">
        <v>0.99999999993569</v>
      </c>
    </row>
    <row r="3303" spans="1:40" x14ac:dyDescent="0.3">
      <c r="A3303" t="str">
        <f>"20200111150016482"</f>
        <v>20200111150016482</v>
      </c>
      <c r="B3303" t="str">
        <f>"1578726016478723"</f>
        <v>1578726016478723</v>
      </c>
      <c r="C3303" t="s">
        <v>40</v>
      </c>
      <c r="D3303">
        <v>4.2035229999999997</v>
      </c>
      <c r="E3303">
        <v>0.50340119999999999</v>
      </c>
      <c r="F3303" t="s">
        <v>42</v>
      </c>
      <c r="G3303">
        <v>-489.41989999999998</v>
      </c>
      <c r="H3303" s="1">
        <v>-3.9717919999999996E-6</v>
      </c>
      <c r="I3303">
        <v>238.65119999999999</v>
      </c>
      <c r="J3303">
        <v>-490.1311</v>
      </c>
      <c r="K3303">
        <v>1.1158440000000001</v>
      </c>
      <c r="L3303">
        <v>262.18849999999998</v>
      </c>
      <c r="M3303">
        <v>1.8521880000000001E-2</v>
      </c>
      <c r="N3303">
        <v>0</v>
      </c>
      <c r="O3303">
        <v>-0.99969569999999996</v>
      </c>
      <c r="P3303">
        <v>3.291649E-2</v>
      </c>
      <c r="Q3303">
        <v>0.1025636</v>
      </c>
      <c r="R3303">
        <v>-0.9941816</v>
      </c>
      <c r="S3303">
        <v>9.1644290000000003E-2</v>
      </c>
      <c r="T3303">
        <v>-0.14213000000000001</v>
      </c>
      <c r="U3303">
        <v>-3.0295100000000001</v>
      </c>
      <c r="V3303">
        <v>-1.7804879999999999E-2</v>
      </c>
      <c r="W3303">
        <v>0.1183063</v>
      </c>
      <c r="X3303">
        <v>0.99281750000000002</v>
      </c>
      <c r="Y3303">
        <v>-1.168245E-2</v>
      </c>
      <c r="Z3303">
        <v>4.6839289999999999E-2</v>
      </c>
      <c r="AA3303">
        <v>0.99883409999999995</v>
      </c>
      <c r="AB3303">
        <v>34</v>
      </c>
      <c r="AC3303">
        <v>0.71120000000001904</v>
      </c>
      <c r="AD3303">
        <v>-1.115847971792</v>
      </c>
      <c r="AE3303">
        <v>-23.537299999999899</v>
      </c>
      <c r="AF3303">
        <v>-0.274448788933499</v>
      </c>
      <c r="AG3303">
        <v>-1.115847971792</v>
      </c>
      <c r="AH3303">
        <v>23.493682207005701</v>
      </c>
      <c r="AI3303">
        <v>92.719072185241203</v>
      </c>
      <c r="AJ3303">
        <v>90.669288105914305</v>
      </c>
      <c r="AK3303">
        <v>23.5217674182378</v>
      </c>
      <c r="AL3303">
        <v>83.205635533352506</v>
      </c>
      <c r="AM3303">
        <v>91.027414539431803</v>
      </c>
      <c r="AN3303">
        <v>0.99999999133887696</v>
      </c>
    </row>
    <row r="3304" spans="1:40" x14ac:dyDescent="0.3">
      <c r="A3304" t="str">
        <f>"20200111150016494"</f>
        <v>20200111150016494</v>
      </c>
      <c r="B3304" t="str">
        <f>"1578726016489459"</f>
        <v>1578726016489459</v>
      </c>
      <c r="C3304" t="s">
        <v>40</v>
      </c>
      <c r="D3304">
        <v>4.2911700000000002</v>
      </c>
      <c r="E3304">
        <v>0.50342449999999905</v>
      </c>
      <c r="F3304" t="s">
        <v>42</v>
      </c>
      <c r="G3304">
        <v>-489.44349999999997</v>
      </c>
      <c r="H3304" s="1">
        <v>-2.804013E-7</v>
      </c>
      <c r="I3304">
        <v>240.0369</v>
      </c>
      <c r="J3304">
        <v>-490.12329999999997</v>
      </c>
      <c r="K3304">
        <v>1.1152959999999901</v>
      </c>
      <c r="L3304">
        <v>261.99509999999998</v>
      </c>
      <c r="M3304">
        <v>2.3841080000000001E-2</v>
      </c>
      <c r="N3304">
        <v>0</v>
      </c>
      <c r="O3304">
        <v>-0.99958460000000005</v>
      </c>
      <c r="P3304">
        <v>3.5736179999999999E-2</v>
      </c>
      <c r="Q3304">
        <v>0.1004105</v>
      </c>
      <c r="R3304">
        <v>-0.99430419999999997</v>
      </c>
      <c r="S3304">
        <v>9.4055180000000002E-2</v>
      </c>
      <c r="T3304">
        <v>-0.15264150000000001</v>
      </c>
      <c r="U3304">
        <v>-3.0302120000000001</v>
      </c>
      <c r="V3304">
        <v>-1.510456E-2</v>
      </c>
      <c r="W3304">
        <v>0.11614919999999999</v>
      </c>
      <c r="X3304">
        <v>0.99311689999999997</v>
      </c>
      <c r="Y3304">
        <v>-7.143394E-3</v>
      </c>
      <c r="Z3304">
        <v>5.0275269999999997E-2</v>
      </c>
      <c r="AA3304">
        <v>0.99870990000000004</v>
      </c>
      <c r="AB3304">
        <v>34</v>
      </c>
      <c r="AC3304">
        <v>0.67979999999999996</v>
      </c>
      <c r="AD3304">
        <v>-1.11529628040129</v>
      </c>
      <c r="AE3304">
        <v>-21.958199999999898</v>
      </c>
      <c r="AF3304">
        <v>-0.15562975745372301</v>
      </c>
      <c r="AG3304">
        <v>-1.11529628040129</v>
      </c>
      <c r="AH3304">
        <v>21.911692491942301</v>
      </c>
      <c r="AI3304">
        <v>92.913744016999601</v>
      </c>
      <c r="AJ3304">
        <v>90.406941560225206</v>
      </c>
      <c r="AK3304">
        <v>21.940610161887498</v>
      </c>
      <c r="AL3304">
        <v>83.330086296032704</v>
      </c>
      <c r="AM3304">
        <v>90.871358465541107</v>
      </c>
      <c r="AN3304">
        <v>0.99999998072952101</v>
      </c>
    </row>
    <row r="3305" spans="1:40" x14ac:dyDescent="0.3">
      <c r="A3305" t="str">
        <f>"20200111150016507"</f>
        <v>20200111150016507</v>
      </c>
      <c r="B3305" t="str">
        <f>"1578726016499219"</f>
        <v>1578726016499219</v>
      </c>
      <c r="C3305" t="s">
        <v>40</v>
      </c>
      <c r="D3305">
        <v>4.2662389999999997</v>
      </c>
      <c r="E3305">
        <v>0.50405869999999997</v>
      </c>
      <c r="F3305" t="s">
        <v>42</v>
      </c>
      <c r="G3305">
        <v>-489.41419999999999</v>
      </c>
      <c r="H3305" s="1">
        <v>-6.6573820000000001E-7</v>
      </c>
      <c r="I3305">
        <v>240.94239999999999</v>
      </c>
      <c r="J3305">
        <v>-490.11520000000002</v>
      </c>
      <c r="K3305">
        <v>1.1147659999999999</v>
      </c>
      <c r="L3305">
        <v>261.80869999999999</v>
      </c>
      <c r="M3305">
        <v>2.867975E-2</v>
      </c>
      <c r="N3305">
        <v>0</v>
      </c>
      <c r="O3305">
        <v>-0.99945910000000004</v>
      </c>
      <c r="P3305">
        <v>3.7896619999999999E-2</v>
      </c>
      <c r="Q3305">
        <v>9.8546529999999993E-2</v>
      </c>
      <c r="R3305">
        <v>-0.99441080000000004</v>
      </c>
      <c r="S3305">
        <v>0.1020508</v>
      </c>
      <c r="T3305">
        <v>-0.16050510000000001</v>
      </c>
      <c r="U3305">
        <v>-3.0297550000000002</v>
      </c>
      <c r="V3305">
        <v>-1.224215E-2</v>
      </c>
      <c r="W3305">
        <v>0.1142854</v>
      </c>
      <c r="X3305">
        <v>0.99337249999999999</v>
      </c>
      <c r="Y3305">
        <v>-4.9356299999999999E-3</v>
      </c>
      <c r="Z3305">
        <v>5.28541999999999E-2</v>
      </c>
      <c r="AA3305">
        <v>0.99859010000000004</v>
      </c>
      <c r="AB3305">
        <v>34</v>
      </c>
      <c r="AC3305">
        <v>0.70100000000002105</v>
      </c>
      <c r="AD3305">
        <v>-1.1147666657381901</v>
      </c>
      <c r="AE3305">
        <v>-20.866299999999899</v>
      </c>
      <c r="AF3305">
        <v>-0.10190327604909601</v>
      </c>
      <c r="AG3305">
        <v>-1.1147666657381901</v>
      </c>
      <c r="AH3305">
        <v>20.818469476010598</v>
      </c>
      <c r="AI3305">
        <v>93.0650534236933</v>
      </c>
      <c r="AJ3305">
        <v>90.280451981028904</v>
      </c>
      <c r="AK3305">
        <v>20.848543362074299</v>
      </c>
      <c r="AL3305">
        <v>83.437590081538602</v>
      </c>
      <c r="AM3305">
        <v>90.706067482681604</v>
      </c>
      <c r="AN3305">
        <v>0.99999997332301505</v>
      </c>
    </row>
    <row r="3306" spans="1:40" x14ac:dyDescent="0.3">
      <c r="A3306" t="str">
        <f>"20200111150016519"</f>
        <v>20200111150016519</v>
      </c>
      <c r="B3306" t="str">
        <f>"1578726016508978"</f>
        <v>1578726016508978</v>
      </c>
      <c r="C3306" t="s">
        <v>40</v>
      </c>
      <c r="D3306">
        <v>4.2527589999999904</v>
      </c>
      <c r="E3306">
        <v>0.50463530000000001</v>
      </c>
      <c r="F3306" t="s">
        <v>42</v>
      </c>
      <c r="G3306">
        <v>-489.44310000000002</v>
      </c>
      <c r="H3306" s="1">
        <v>-1.107822E-6</v>
      </c>
      <c r="I3306">
        <v>241.98480000000001</v>
      </c>
      <c r="J3306">
        <v>-490.10649999999998</v>
      </c>
      <c r="K3306">
        <v>1.1142339999999999</v>
      </c>
      <c r="L3306">
        <v>261.62150000000003</v>
      </c>
      <c r="M3306">
        <v>3.3273709999999998E-2</v>
      </c>
      <c r="N3306">
        <v>0</v>
      </c>
      <c r="O3306">
        <v>-0.99931789999999998</v>
      </c>
      <c r="P3306">
        <v>4.0761499999999999E-2</v>
      </c>
      <c r="Q3306">
        <v>9.660523E-2</v>
      </c>
      <c r="R3306">
        <v>-0.99448820000000004</v>
      </c>
      <c r="S3306">
        <v>0.1027222</v>
      </c>
      <c r="T3306">
        <v>-0.17037959999999999</v>
      </c>
      <c r="U3306">
        <v>-3.029846</v>
      </c>
      <c r="V3306">
        <v>-1.032891E-2</v>
      </c>
      <c r="W3306">
        <v>0.1123183</v>
      </c>
      <c r="X3306">
        <v>0.99361860000000002</v>
      </c>
      <c r="Y3306">
        <v>-5.529644E-4</v>
      </c>
      <c r="Z3306">
        <v>5.6082390000000003E-2</v>
      </c>
      <c r="AA3306">
        <v>0.99842600000000004</v>
      </c>
      <c r="AB3306">
        <v>34</v>
      </c>
      <c r="AC3306">
        <v>0.66339999999996702</v>
      </c>
      <c r="AD3306">
        <v>-1.1142351078220001</v>
      </c>
      <c r="AE3306">
        <v>-19.636700000000001</v>
      </c>
      <c r="AF3306">
        <v>-9.5322047328628701E-3</v>
      </c>
      <c r="AG3306">
        <v>-1.1142351078220001</v>
      </c>
      <c r="AH3306">
        <v>19.584914679572599</v>
      </c>
      <c r="AI3306">
        <v>93.256190632447399</v>
      </c>
      <c r="AJ3306">
        <v>90.027886517069703</v>
      </c>
      <c r="AK3306">
        <v>19.6165872094146</v>
      </c>
      <c r="AL3306">
        <v>83.551027298921795</v>
      </c>
      <c r="AM3306">
        <v>90.595582283166294</v>
      </c>
      <c r="AN3306">
        <v>1.00000000458131</v>
      </c>
    </row>
    <row r="3307" spans="1:40" x14ac:dyDescent="0.3">
      <c r="A3307" t="str">
        <f>"20200111150016531"</f>
        <v>20200111150016531</v>
      </c>
      <c r="B3307" t="str">
        <f>"1578726016518737"</f>
        <v>1578726016518737</v>
      </c>
      <c r="C3307" t="s">
        <v>40</v>
      </c>
      <c r="D3307">
        <v>4.2910919999999999</v>
      </c>
      <c r="E3307">
        <v>0.50510279999999996</v>
      </c>
      <c r="F3307" t="s">
        <v>42</v>
      </c>
      <c r="G3307">
        <v>-489.44439999999997</v>
      </c>
      <c r="H3307" s="1">
        <v>-1.4157930000000001E-6</v>
      </c>
      <c r="I3307">
        <v>242.70330000000001</v>
      </c>
      <c r="J3307">
        <v>-490.09769999999997</v>
      </c>
      <c r="K3307">
        <v>1.11374</v>
      </c>
      <c r="L3307">
        <v>261.45170000000002</v>
      </c>
      <c r="M3307">
        <v>3.6919970000000003E-2</v>
      </c>
      <c r="N3307">
        <v>0</v>
      </c>
      <c r="O3307">
        <v>-0.99919119999999995</v>
      </c>
      <c r="P3307">
        <v>4.3429820000000001E-2</v>
      </c>
      <c r="Q3307">
        <v>9.529659E-2</v>
      </c>
      <c r="R3307">
        <v>-0.99450139999999998</v>
      </c>
      <c r="S3307">
        <v>0.1060181</v>
      </c>
      <c r="T3307">
        <v>-0.17843410000000001</v>
      </c>
      <c r="U3307">
        <v>-3.0295719999999999</v>
      </c>
      <c r="V3307">
        <v>-9.1936770000000008E-3</v>
      </c>
      <c r="W3307">
        <v>0.1109702</v>
      </c>
      <c r="X3307">
        <v>0.99378120000000003</v>
      </c>
      <c r="Y3307">
        <v>2.0133019999999998E-3</v>
      </c>
      <c r="Z3307">
        <v>5.8717569999999997E-2</v>
      </c>
      <c r="AA3307">
        <v>0.99827259999999995</v>
      </c>
      <c r="AB3307">
        <v>34</v>
      </c>
      <c r="AC3307">
        <v>0.65330000000000099</v>
      </c>
      <c r="AD3307">
        <v>-1.1137414157929999</v>
      </c>
      <c r="AE3307">
        <v>-18.7484</v>
      </c>
      <c r="AF3307">
        <v>3.9285292945352303E-2</v>
      </c>
      <c r="AG3307">
        <v>-1.1137414157929999</v>
      </c>
      <c r="AH3307">
        <v>18.6938485850816</v>
      </c>
      <c r="AI3307">
        <v>93.409528034296201</v>
      </c>
      <c r="AJ3307">
        <v>89.879592575123496</v>
      </c>
      <c r="AK3307">
        <v>18.727037624714001</v>
      </c>
      <c r="AL3307">
        <v>83.628753586398403</v>
      </c>
      <c r="AM3307">
        <v>90.5300400767794</v>
      </c>
      <c r="AN3307">
        <v>0.99999999122912997</v>
      </c>
    </row>
    <row r="3308" spans="1:40" x14ac:dyDescent="0.3">
      <c r="A3308" t="str">
        <f>"20200111150016544"</f>
        <v>20200111150016544</v>
      </c>
      <c r="B3308" t="str">
        <f>"1578726016539234"</f>
        <v>1578726016539234</v>
      </c>
      <c r="C3308" t="s">
        <v>40</v>
      </c>
      <c r="D3308">
        <v>4.2869109999999999</v>
      </c>
      <c r="E3308">
        <v>0.50640339999999995</v>
      </c>
      <c r="F3308" t="s">
        <v>42</v>
      </c>
      <c r="G3308">
        <v>-489.42200000000003</v>
      </c>
      <c r="H3308" s="1">
        <v>-1.456432E-6</v>
      </c>
      <c r="I3308">
        <v>242.78870000000001</v>
      </c>
      <c r="J3308">
        <v>-490.08730000000003</v>
      </c>
      <c r="K3308">
        <v>1.1131629999999999</v>
      </c>
      <c r="L3308">
        <v>261.25560000000002</v>
      </c>
      <c r="M3308">
        <v>4.0878570000000003E-2</v>
      </c>
      <c r="N3308">
        <v>0</v>
      </c>
      <c r="O3308">
        <v>-0.99903830000000005</v>
      </c>
      <c r="P3308">
        <v>4.6618199999999999E-2</v>
      </c>
      <c r="Q3308">
        <v>9.4437460000000001E-2</v>
      </c>
      <c r="R3308">
        <v>-0.99443879999999996</v>
      </c>
      <c r="S3308">
        <v>0.10968020000000001</v>
      </c>
      <c r="T3308">
        <v>-0.1807655</v>
      </c>
      <c r="U3308">
        <v>-3.029083</v>
      </c>
      <c r="V3308">
        <v>-8.2557759999999994E-3</v>
      </c>
      <c r="W3308">
        <v>0.1100569</v>
      </c>
      <c r="X3308">
        <v>0.99389099999999997</v>
      </c>
      <c r="Y3308">
        <v>4.7659820000000002E-3</v>
      </c>
      <c r="Z3308">
        <v>5.9476290000000001E-2</v>
      </c>
      <c r="AA3308">
        <v>0.99821839999999995</v>
      </c>
      <c r="AB3308">
        <v>34</v>
      </c>
      <c r="AC3308">
        <v>0.66530000000005796</v>
      </c>
      <c r="AD3308">
        <v>-1.11316445643199</v>
      </c>
      <c r="AE3308">
        <v>-18.466899999999999</v>
      </c>
      <c r="AF3308">
        <v>8.9925305287855695E-2</v>
      </c>
      <c r="AG3308">
        <v>-1.11316445643199</v>
      </c>
      <c r="AH3308">
        <v>18.4118463985773</v>
      </c>
      <c r="AI3308">
        <v>93.459801073156399</v>
      </c>
      <c r="AJ3308">
        <v>89.720163888795</v>
      </c>
      <c r="AK3308">
        <v>18.4456853890659</v>
      </c>
      <c r="AL3308">
        <v>83.681404382480906</v>
      </c>
      <c r="AM3308">
        <v>90.475917623401998</v>
      </c>
      <c r="AN3308">
        <v>0.99999999947798601</v>
      </c>
    </row>
    <row r="3309" spans="1:40" x14ac:dyDescent="0.3">
      <c r="A3309" t="str">
        <f>"20200111150016559"</f>
        <v>20200111150016559</v>
      </c>
      <c r="B3309" t="str">
        <f>"1578726016548993"</f>
        <v>1578726016548993</v>
      </c>
      <c r="C3309" t="s">
        <v>40</v>
      </c>
      <c r="D3309">
        <v>4.31243</v>
      </c>
      <c r="E3309">
        <v>0.50640339999999995</v>
      </c>
      <c r="F3309" t="s">
        <v>42</v>
      </c>
      <c r="G3309">
        <v>-489.43959999999998</v>
      </c>
      <c r="H3309" s="1">
        <v>-1.5635060000000001E-6</v>
      </c>
      <c r="I3309">
        <v>243.04560000000001</v>
      </c>
      <c r="J3309">
        <v>-490.0745</v>
      </c>
      <c r="K3309">
        <v>1.112457</v>
      </c>
      <c r="L3309">
        <v>261.02440000000001</v>
      </c>
      <c r="M3309">
        <v>4.4945899999999997E-2</v>
      </c>
      <c r="N3309">
        <v>0</v>
      </c>
      <c r="O3309">
        <v>-0.99886529999999996</v>
      </c>
      <c r="P3309">
        <v>4.8784300000000003E-2</v>
      </c>
      <c r="Q3309">
        <v>9.4216209999999995E-2</v>
      </c>
      <c r="R3309">
        <v>-0.99435580000000001</v>
      </c>
      <c r="S3309">
        <v>0.1077576</v>
      </c>
      <c r="T3309">
        <v>-0.18518100000000001</v>
      </c>
      <c r="U3309">
        <v>-3.0293269999999999</v>
      </c>
      <c r="V3309">
        <v>-6.1649890000000001E-3</v>
      </c>
      <c r="W3309">
        <v>0.1097896</v>
      </c>
      <c r="X3309">
        <v>0.99393569999999998</v>
      </c>
      <c r="Y3309">
        <v>9.4760839999999992E-3</v>
      </c>
      <c r="Z3309">
        <v>6.090255E-2</v>
      </c>
      <c r="AA3309">
        <v>0.99809870000000001</v>
      </c>
      <c r="AB3309">
        <v>34</v>
      </c>
      <c r="AC3309">
        <v>0.63490000000001601</v>
      </c>
      <c r="AD3309">
        <v>-1.112458563506</v>
      </c>
      <c r="AE3309">
        <v>-17.9788</v>
      </c>
      <c r="AF3309">
        <v>0.17325283369578701</v>
      </c>
      <c r="AG3309">
        <v>-1.112458563506</v>
      </c>
      <c r="AH3309">
        <v>17.920639711527901</v>
      </c>
      <c r="AI3309">
        <v>93.552023215762603</v>
      </c>
      <c r="AJ3309">
        <v>89.446094164701407</v>
      </c>
      <c r="AK3309">
        <v>17.955971381974599</v>
      </c>
      <c r="AL3309">
        <v>83.696812729494496</v>
      </c>
      <c r="AM3309">
        <v>90.355378442208107</v>
      </c>
      <c r="AN3309">
        <v>0.999999969546009</v>
      </c>
    </row>
    <row r="3310" spans="1:40" x14ac:dyDescent="0.3">
      <c r="A3310" t="str">
        <f>"20200111150016571"</f>
        <v>20200111150016571</v>
      </c>
      <c r="B3310" t="str">
        <f>"1578726016569491"</f>
        <v>1578726016569491</v>
      </c>
      <c r="C3310" t="s">
        <v>40</v>
      </c>
      <c r="D3310">
        <v>4.3047800000000001</v>
      </c>
      <c r="E3310">
        <v>0.51817599999999997</v>
      </c>
      <c r="F3310" t="s">
        <v>42</v>
      </c>
      <c r="G3310">
        <v>-489.39789999999999</v>
      </c>
      <c r="H3310" s="1">
        <v>-1.5001419999999999E-6</v>
      </c>
      <c r="I3310">
        <v>242.88069999999999</v>
      </c>
      <c r="J3310">
        <v>-490.06420000000003</v>
      </c>
      <c r="K3310">
        <v>1.111918</v>
      </c>
      <c r="L3310">
        <v>260.85079999999999</v>
      </c>
      <c r="M3310">
        <v>4.7470289999999998E-2</v>
      </c>
      <c r="N3310">
        <v>0</v>
      </c>
      <c r="O3310">
        <v>-0.99874969999999996</v>
      </c>
      <c r="P3310">
        <v>4.9494799999999999E-2</v>
      </c>
      <c r="Q3310">
        <v>9.4746830000000004E-2</v>
      </c>
      <c r="R3310">
        <v>-0.99427069999999995</v>
      </c>
      <c r="S3310">
        <v>0.11294559999999999</v>
      </c>
      <c r="T3310">
        <v>-0.18572240000000001</v>
      </c>
      <c r="U3310">
        <v>-3.0290530000000002</v>
      </c>
      <c r="V3310">
        <v>-4.2187229999999997E-3</v>
      </c>
      <c r="W3310">
        <v>0.1102892</v>
      </c>
      <c r="X3310">
        <v>0.99389059999999996</v>
      </c>
      <c r="Y3310">
        <v>1.029328E-2</v>
      </c>
      <c r="Z3310">
        <v>6.1072639999999997E-2</v>
      </c>
      <c r="AA3310">
        <v>0.99808030000000003</v>
      </c>
      <c r="AB3310">
        <v>34</v>
      </c>
      <c r="AC3310">
        <v>0.66630000000003498</v>
      </c>
      <c r="AD3310">
        <v>-1.1119195001419999</v>
      </c>
      <c r="AE3310">
        <v>-17.970099999999999</v>
      </c>
      <c r="AF3310">
        <v>0.18688742867172201</v>
      </c>
      <c r="AG3310">
        <v>-1.1119195001419999</v>
      </c>
      <c r="AH3310">
        <v>17.912981388368198</v>
      </c>
      <c r="AI3310">
        <v>93.551793146488805</v>
      </c>
      <c r="AJ3310">
        <v>89.402250681398897</v>
      </c>
      <c r="AK3310">
        <v>17.948431522164199</v>
      </c>
      <c r="AL3310">
        <v>83.668013150847898</v>
      </c>
      <c r="AM3310">
        <v>90.243199373434706</v>
      </c>
      <c r="AN3310">
        <v>1.00000001501437</v>
      </c>
    </row>
    <row r="3311" spans="1:40" x14ac:dyDescent="0.3">
      <c r="A3311" t="str">
        <f>"20200111150016584"</f>
        <v>20200111150016584</v>
      </c>
      <c r="B3311" t="str">
        <f>"1578726016579250"</f>
        <v>1578726016579250</v>
      </c>
      <c r="C3311" t="s">
        <v>40</v>
      </c>
      <c r="D3311">
        <v>4.3249550000000001</v>
      </c>
      <c r="E3311">
        <v>0.5187235</v>
      </c>
      <c r="F3311" t="s">
        <v>42</v>
      </c>
      <c r="G3311">
        <v>-489.94189999999998</v>
      </c>
      <c r="H3311" s="1">
        <v>-1.5591410000000001E-6</v>
      </c>
      <c r="I3311">
        <v>243.2431</v>
      </c>
      <c r="J3311">
        <v>-490.0532</v>
      </c>
      <c r="K3311">
        <v>1.111324</v>
      </c>
      <c r="L3311">
        <v>260.66430000000003</v>
      </c>
      <c r="M3311">
        <v>4.9975310000000002E-2</v>
      </c>
      <c r="N3311">
        <v>0</v>
      </c>
      <c r="O3311">
        <v>-0.99862859999999998</v>
      </c>
      <c r="P3311">
        <v>5.0098330000000003E-2</v>
      </c>
      <c r="Q3311">
        <v>9.5576469999999997E-2</v>
      </c>
      <c r="R3311">
        <v>-0.99416079999999996</v>
      </c>
      <c r="S3311">
        <v>2.1087649999999999E-2</v>
      </c>
      <c r="T3311">
        <v>-0.19162889999999999</v>
      </c>
      <c r="U3311">
        <v>-3.0345149999999999</v>
      </c>
      <c r="V3311">
        <v>-2.1759100000000001E-3</v>
      </c>
      <c r="W3311">
        <v>0.111082</v>
      </c>
      <c r="X3311">
        <v>0.9938089</v>
      </c>
      <c r="Y3311">
        <v>4.305349E-2</v>
      </c>
      <c r="Z3311">
        <v>6.2876180000000004E-2</v>
      </c>
      <c r="AA3311">
        <v>0.99709219999999998</v>
      </c>
      <c r="AB3311">
        <v>34</v>
      </c>
      <c r="AC3311">
        <v>0.111300000000028</v>
      </c>
      <c r="AD3311">
        <v>-1.1113255591410001</v>
      </c>
      <c r="AE3311">
        <v>-17.421199999999999</v>
      </c>
      <c r="AF3311">
        <v>0.75649661462705198</v>
      </c>
      <c r="AG3311">
        <v>-1.1113255591410001</v>
      </c>
      <c r="AH3311">
        <v>17.334451723005401</v>
      </c>
      <c r="AI3311">
        <v>93.664779269858599</v>
      </c>
      <c r="AJ3311">
        <v>87.501127912076498</v>
      </c>
      <c r="AK3311">
        <v>17.3865047713319</v>
      </c>
      <c r="AL3311">
        <v>83.622308365130806</v>
      </c>
      <c r="AM3311">
        <v>90.125446914781605</v>
      </c>
      <c r="AN3311">
        <v>1.0000000375137601</v>
      </c>
    </row>
    <row r="3312" spans="1:40" x14ac:dyDescent="0.3">
      <c r="A3312" t="str">
        <f>"20200111150016596"</f>
        <v>20200111150016596</v>
      </c>
      <c r="B3312" t="str">
        <f>"1578726016589010"</f>
        <v>1578726016589010</v>
      </c>
      <c r="C3312" t="s">
        <v>40</v>
      </c>
      <c r="D3312">
        <v>4.3775959999999996</v>
      </c>
      <c r="E3312">
        <v>0.51975720000000003</v>
      </c>
      <c r="F3312" t="s">
        <v>41</v>
      </c>
      <c r="G3312">
        <v>-490.04770000000002</v>
      </c>
      <c r="H3312">
        <v>1.050249</v>
      </c>
      <c r="I3312">
        <v>259.69</v>
      </c>
      <c r="J3312">
        <v>-490.04149999999998</v>
      </c>
      <c r="K3312">
        <v>1.110703</v>
      </c>
      <c r="L3312">
        <v>260.47219999999999</v>
      </c>
      <c r="M3312">
        <v>5.2103160000000003E-2</v>
      </c>
      <c r="N3312">
        <v>0</v>
      </c>
      <c r="O3312">
        <v>-0.99852099999999999</v>
      </c>
      <c r="P3312">
        <v>5.0226369999999999E-2</v>
      </c>
      <c r="Q3312">
        <v>9.6865380000000001E-2</v>
      </c>
      <c r="R3312">
        <v>-0.99402959999999996</v>
      </c>
      <c r="S3312">
        <v>1.8096919999999999E-2</v>
      </c>
      <c r="T3312">
        <v>-0.19039220000000001</v>
      </c>
      <c r="U3312">
        <v>-3.0349430000000002</v>
      </c>
      <c r="V3312" s="1">
        <v>-3.133039E-5</v>
      </c>
      <c r="W3312">
        <v>0.1123301</v>
      </c>
      <c r="X3312">
        <v>0.99367090000000002</v>
      </c>
      <c r="Y3312">
        <v>4.6165459999999998E-2</v>
      </c>
      <c r="Z3312">
        <v>6.2448869999999997E-2</v>
      </c>
      <c r="AA3312">
        <v>0.99697990000000003</v>
      </c>
      <c r="AB3312">
        <v>34</v>
      </c>
      <c r="AC3312">
        <v>-6.2000000000352797E-3</v>
      </c>
      <c r="AD3312">
        <v>-6.0454000000000001E-2</v>
      </c>
      <c r="AE3312">
        <v>-0.78219999999998802</v>
      </c>
      <c r="AF3312">
        <v>4.6672808421577498E-2</v>
      </c>
      <c r="AG3312">
        <v>-6.0454000000000001E-2</v>
      </c>
      <c r="AH3312">
        <v>0.77617815388441302</v>
      </c>
      <c r="AI3312">
        <v>94.445593683766106</v>
      </c>
      <c r="AJ3312">
        <v>86.558858520994406</v>
      </c>
      <c r="AK3312">
        <v>0.77992663996645994</v>
      </c>
      <c r="AL3312">
        <v>83.550346581305902</v>
      </c>
      <c r="AM3312">
        <v>90.001806532843901</v>
      </c>
      <c r="AN3312">
        <v>0.99999995492720495</v>
      </c>
    </row>
    <row r="3313" spans="1:40" x14ac:dyDescent="0.3">
      <c r="A3313" t="str">
        <f>"20200111150016608"</f>
        <v>20200111150016608</v>
      </c>
      <c r="B3313" t="str">
        <f>"1578726016598770"</f>
        <v>1578726016598770</v>
      </c>
      <c r="C3313" t="s">
        <v>40</v>
      </c>
      <c r="D3313">
        <v>4.2876789999999998</v>
      </c>
      <c r="E3313">
        <v>0.51960459999999997</v>
      </c>
      <c r="F3313" t="s">
        <v>42</v>
      </c>
      <c r="G3313">
        <v>-489.98349999999999</v>
      </c>
      <c r="H3313" s="1">
        <v>-1.451776E-6</v>
      </c>
      <c r="I3313">
        <v>242.98349999999999</v>
      </c>
      <c r="J3313">
        <v>-490.0308</v>
      </c>
      <c r="K3313">
        <v>1.1101460000000001</v>
      </c>
      <c r="L3313">
        <v>260.29860000000002</v>
      </c>
      <c r="M3313">
        <v>5.3664110000000001E-2</v>
      </c>
      <c r="N3313">
        <v>0</v>
      </c>
      <c r="O3313">
        <v>-0.99843919999999997</v>
      </c>
      <c r="P3313">
        <v>4.983547E-2</v>
      </c>
      <c r="Q3313">
        <v>9.7895819999999995E-2</v>
      </c>
      <c r="R3313">
        <v>-0.99394830000000001</v>
      </c>
      <c r="S3313">
        <v>1.00708E-2</v>
      </c>
      <c r="T3313">
        <v>-0.19283339999999999</v>
      </c>
      <c r="U3313">
        <v>-3.0362849999999999</v>
      </c>
      <c r="V3313">
        <v>2.0580440000000002E-3</v>
      </c>
      <c r="W3313">
        <v>0.1133256</v>
      </c>
      <c r="X3313">
        <v>0.99355579999999999</v>
      </c>
      <c r="Y3313">
        <v>5.0364800000000001E-2</v>
      </c>
      <c r="Z3313">
        <v>6.3204650000000001E-2</v>
      </c>
      <c r="AA3313">
        <v>0.99672899999999998</v>
      </c>
      <c r="AB3313">
        <v>34</v>
      </c>
      <c r="AC3313">
        <v>4.7300000000007003E-2</v>
      </c>
      <c r="AD3313">
        <v>-1.1101474517759999</v>
      </c>
      <c r="AE3313">
        <v>-17.315100000000001</v>
      </c>
      <c r="AF3313">
        <v>0.87846776253044101</v>
      </c>
      <c r="AG3313">
        <v>-1.1101474517759999</v>
      </c>
      <c r="AH3313">
        <v>17.221889566369999</v>
      </c>
      <c r="AI3313">
        <v>93.683488650743101</v>
      </c>
      <c r="AJ3313">
        <v>87.079942375573694</v>
      </c>
      <c r="AK3313">
        <v>17.279977234091898</v>
      </c>
      <c r="AL3313">
        <v>83.492942548039807</v>
      </c>
      <c r="AM3313">
        <v>89.881318123647603</v>
      </c>
      <c r="AN3313">
        <v>1.00000002743705</v>
      </c>
    </row>
    <row r="3314" spans="1:40" x14ac:dyDescent="0.3">
      <c r="A3314" t="str">
        <f>"20200111150016620"</f>
        <v>20200111150016620</v>
      </c>
      <c r="B3314" t="str">
        <f>"1578726016609506"</f>
        <v>1578726016609506</v>
      </c>
      <c r="C3314" t="s">
        <v>40</v>
      </c>
      <c r="D3314">
        <v>4.2696389999999997</v>
      </c>
      <c r="E3314">
        <v>0.51967739999999996</v>
      </c>
      <c r="F3314" t="s">
        <v>41</v>
      </c>
      <c r="G3314">
        <v>-490.02789999999999</v>
      </c>
      <c r="H3314">
        <v>1.053269</v>
      </c>
      <c r="I3314">
        <v>259.38900000000001</v>
      </c>
      <c r="J3314">
        <v>-490.01990000000001</v>
      </c>
      <c r="K3314">
        <v>1.109586</v>
      </c>
      <c r="L3314">
        <v>260.12209999999999</v>
      </c>
      <c r="M3314">
        <v>5.5088409999999997E-2</v>
      </c>
      <c r="N3314">
        <v>0</v>
      </c>
      <c r="O3314">
        <v>-0.99836259999999999</v>
      </c>
      <c r="P3314">
        <v>4.9953539999999998E-2</v>
      </c>
      <c r="Q3314">
        <v>9.8671889999999998E-2</v>
      </c>
      <c r="R3314">
        <v>-0.99386569999999996</v>
      </c>
      <c r="S3314">
        <v>1.004028E-2</v>
      </c>
      <c r="T3314">
        <v>-0.18988360000000001</v>
      </c>
      <c r="U3314">
        <v>-3.0364689999999999</v>
      </c>
      <c r="V3314">
        <v>3.5108330000000001E-3</v>
      </c>
      <c r="W3314">
        <v>0.11405559999999999</v>
      </c>
      <c r="X3314">
        <v>0.99346820000000002</v>
      </c>
      <c r="Y3314">
        <v>5.1799459999999999E-2</v>
      </c>
      <c r="Z3314">
        <v>6.22283E-2</v>
      </c>
      <c r="AA3314">
        <v>0.99671690000000002</v>
      </c>
      <c r="AB3314">
        <v>33</v>
      </c>
      <c r="AC3314">
        <v>-7.9999999999813502E-3</v>
      </c>
      <c r="AD3314">
        <v>-5.6316999999999902E-2</v>
      </c>
      <c r="AE3314">
        <v>-0.73309999999997899</v>
      </c>
      <c r="AF3314">
        <v>4.8094169114238597E-2</v>
      </c>
      <c r="AG3314">
        <v>-5.6316999999999902E-2</v>
      </c>
      <c r="AH3314">
        <v>0.72725446520185499</v>
      </c>
      <c r="AI3314">
        <v>94.418410591421804</v>
      </c>
      <c r="AJ3314">
        <v>86.216473721811198</v>
      </c>
      <c r="AK3314">
        <v>0.73101553386219198</v>
      </c>
      <c r="AL3314">
        <v>83.4508437192043</v>
      </c>
      <c r="AM3314">
        <v>89.797522380586599</v>
      </c>
      <c r="AN3314">
        <v>1.0000000351254701</v>
      </c>
    </row>
    <row r="3315" spans="1:40" x14ac:dyDescent="0.3">
      <c r="A3315" t="str">
        <f>"20200111150016632"</f>
        <v>20200111150016632</v>
      </c>
      <c r="B3315" t="str">
        <f>"1578726016629026"</f>
        <v>1578726016629026</v>
      </c>
      <c r="C3315" t="s">
        <v>40</v>
      </c>
      <c r="D3315">
        <v>4.3784210000000003</v>
      </c>
      <c r="E3315">
        <v>0.52100340000000001</v>
      </c>
      <c r="F3315" t="s">
        <v>42</v>
      </c>
      <c r="G3315">
        <v>-489.96510000000001</v>
      </c>
      <c r="H3315" s="1">
        <v>-1.0742299999999901E-6</v>
      </c>
      <c r="I3315">
        <v>242.1148</v>
      </c>
      <c r="J3315">
        <v>-490.00900000000001</v>
      </c>
      <c r="K3315">
        <v>1.1090359999999999</v>
      </c>
      <c r="L3315">
        <v>259.94510000000002</v>
      </c>
      <c r="M3315">
        <v>5.601192E-2</v>
      </c>
      <c r="N3315">
        <v>0</v>
      </c>
      <c r="O3315">
        <v>-0.99831190000000003</v>
      </c>
      <c r="P3315">
        <v>4.973814E-2</v>
      </c>
      <c r="Q3315">
        <v>9.9387500000000004E-2</v>
      </c>
      <c r="R3315">
        <v>-0.9938051</v>
      </c>
      <c r="S3315">
        <v>9.2468259999999997E-3</v>
      </c>
      <c r="T3315">
        <v>-0.18711530000000001</v>
      </c>
      <c r="U3315">
        <v>-3.0366520000000001</v>
      </c>
      <c r="V3315">
        <v>4.7972199999999996E-3</v>
      </c>
      <c r="W3315">
        <v>0.11472449999999999</v>
      </c>
      <c r="X3315">
        <v>0.99338579999999999</v>
      </c>
      <c r="Y3315">
        <v>5.2983669999999997E-2</v>
      </c>
      <c r="Z3315">
        <v>6.1314220000000003E-2</v>
      </c>
      <c r="AA3315">
        <v>0.99671129999999997</v>
      </c>
      <c r="AB3315">
        <v>33</v>
      </c>
      <c r="AC3315">
        <v>4.3900000000007801E-2</v>
      </c>
      <c r="AD3315">
        <v>-1.10903707423</v>
      </c>
      <c r="AE3315">
        <v>-17.830300000000001</v>
      </c>
      <c r="AF3315">
        <v>0.95131573248960999</v>
      </c>
      <c r="AG3315">
        <v>-1.10903707423</v>
      </c>
      <c r="AH3315">
        <v>17.7361438661706</v>
      </c>
      <c r="AI3315">
        <v>93.5729111764512</v>
      </c>
      <c r="AJ3315">
        <v>86.9297612622657</v>
      </c>
      <c r="AK3315">
        <v>17.796228929084901</v>
      </c>
      <c r="AL3315">
        <v>83.4122653464607</v>
      </c>
      <c r="AM3315">
        <v>89.723311604846003</v>
      </c>
      <c r="AN3315">
        <v>1.0000000359307999</v>
      </c>
    </row>
    <row r="3316" spans="1:40" x14ac:dyDescent="0.3">
      <c r="A3316" t="str">
        <f>"20200111150016650"</f>
        <v>20200111150016650</v>
      </c>
      <c r="B3316" t="str">
        <f>"1578726016638786"</f>
        <v>1578726016638786</v>
      </c>
      <c r="C3316" t="s">
        <v>40</v>
      </c>
      <c r="D3316">
        <v>4.3467739999999999</v>
      </c>
      <c r="E3316">
        <v>0.52164379999999999</v>
      </c>
      <c r="F3316" t="s">
        <v>41</v>
      </c>
      <c r="G3316">
        <v>-490.00990000000002</v>
      </c>
      <c r="H3316">
        <v>1.0553490000000001</v>
      </c>
      <c r="I3316">
        <v>259.07850000000002</v>
      </c>
      <c r="J3316">
        <v>-489.99329999999998</v>
      </c>
      <c r="K3316">
        <v>1.108268</v>
      </c>
      <c r="L3316">
        <v>259.6884</v>
      </c>
      <c r="M3316">
        <v>5.6976350000000002E-2</v>
      </c>
      <c r="N3316">
        <v>0</v>
      </c>
      <c r="O3316">
        <v>-0.99825839999999999</v>
      </c>
      <c r="P3316">
        <v>4.8355870000000002E-2</v>
      </c>
      <c r="Q3316">
        <v>0.1016301</v>
      </c>
      <c r="R3316">
        <v>-0.99364640000000004</v>
      </c>
      <c r="S3316">
        <v>-2.5939940000000001E-3</v>
      </c>
      <c r="T3316">
        <v>-0.1881883</v>
      </c>
      <c r="U3316">
        <v>-3.0376590000000001</v>
      </c>
      <c r="V3316">
        <v>7.3417469999999896E-3</v>
      </c>
      <c r="W3316">
        <v>0.1169018</v>
      </c>
      <c r="X3316">
        <v>0.99311629999999995</v>
      </c>
      <c r="Y3316">
        <v>5.7833839999999997E-2</v>
      </c>
      <c r="Z3316">
        <v>6.1630860000000003E-2</v>
      </c>
      <c r="AA3316">
        <v>0.99642209999999998</v>
      </c>
      <c r="AB3316">
        <v>33</v>
      </c>
      <c r="AC3316">
        <v>-1.6600000000039399E-2</v>
      </c>
      <c r="AD3316">
        <v>-5.2919000000000098E-2</v>
      </c>
      <c r="AE3316">
        <v>-0.60989999999998101</v>
      </c>
      <c r="AF3316">
        <v>5.0943723637127902E-2</v>
      </c>
      <c r="AG3316">
        <v>-5.2919000000000098E-2</v>
      </c>
      <c r="AH3316">
        <v>0.60342359879482299</v>
      </c>
      <c r="AI3316">
        <v>94.9942225324465</v>
      </c>
      <c r="AJ3316">
        <v>85.174276991692295</v>
      </c>
      <c r="AK3316">
        <v>0.60787804954736702</v>
      </c>
      <c r="AL3316">
        <v>83.2866695752368</v>
      </c>
      <c r="AM3316">
        <v>89.576440891571295</v>
      </c>
      <c r="AN3316">
        <v>0.99999995870896996</v>
      </c>
    </row>
    <row r="3317" spans="1:40" x14ac:dyDescent="0.3">
      <c r="A3317" t="str">
        <f>"20200111150016662"</f>
        <v>20200111150016662</v>
      </c>
      <c r="B3317" t="str">
        <f>"1578726016659282"</f>
        <v>1578726016659282</v>
      </c>
      <c r="C3317" t="s">
        <v>40</v>
      </c>
      <c r="D3317">
        <v>4.3021580000000004</v>
      </c>
      <c r="E3317">
        <v>0.52275169999999904</v>
      </c>
      <c r="F3317" t="s">
        <v>41</v>
      </c>
      <c r="G3317">
        <v>-489.9973</v>
      </c>
      <c r="H3317">
        <v>1.0541560000000001</v>
      </c>
      <c r="I3317">
        <v>258.79169999999999</v>
      </c>
      <c r="J3317">
        <v>-489.98230000000001</v>
      </c>
      <c r="K3317">
        <v>1.1077379999999999</v>
      </c>
      <c r="L3317">
        <v>259.50920000000002</v>
      </c>
      <c r="M3317">
        <v>5.7375570000000001E-2</v>
      </c>
      <c r="N3317">
        <v>0</v>
      </c>
      <c r="O3317">
        <v>-0.99823620000000002</v>
      </c>
      <c r="P3317">
        <v>4.7005539999999998E-2</v>
      </c>
      <c r="Q3317">
        <v>0.1033713</v>
      </c>
      <c r="R3317">
        <v>-0.99353159999999896</v>
      </c>
      <c r="S3317">
        <v>-1.260376E-2</v>
      </c>
      <c r="T3317">
        <v>-0.1834083</v>
      </c>
      <c r="U3317">
        <v>-3.0385439999999999</v>
      </c>
      <c r="V3317">
        <v>9.2292980000000004E-3</v>
      </c>
      <c r="W3317">
        <v>0.11859509999999999</v>
      </c>
      <c r="X3317">
        <v>0.9928998</v>
      </c>
      <c r="Y3317">
        <v>6.1515239999999999E-2</v>
      </c>
      <c r="Z3317">
        <v>6.0044779999999999E-2</v>
      </c>
      <c r="AA3317">
        <v>0.99629840000000003</v>
      </c>
      <c r="AB3317">
        <v>33</v>
      </c>
      <c r="AC3317">
        <v>-1.49999999999863E-2</v>
      </c>
      <c r="AD3317">
        <v>-5.3581999999999998E-2</v>
      </c>
      <c r="AE3317">
        <v>-0.717500000000029</v>
      </c>
      <c r="AF3317">
        <v>5.5835787467072698E-2</v>
      </c>
      <c r="AG3317">
        <v>-5.3581999999999998E-2</v>
      </c>
      <c r="AH3317">
        <v>0.71149083795356605</v>
      </c>
      <c r="AI3317">
        <v>94.2936335927524</v>
      </c>
      <c r="AJ3317">
        <v>85.512786040030207</v>
      </c>
      <c r="AK3317">
        <v>0.71568699749117703</v>
      </c>
      <c r="AL3317">
        <v>83.188971220836194</v>
      </c>
      <c r="AM3317">
        <v>89.467434081287905</v>
      </c>
      <c r="AN3317">
        <v>0.99999999526281103</v>
      </c>
    </row>
    <row r="3318" spans="1:40" x14ac:dyDescent="0.3">
      <c r="A3318" t="str">
        <f>"20200111150016673"</f>
        <v>20200111150016673</v>
      </c>
      <c r="B3318" t="str">
        <f>"1578726016669043"</f>
        <v>1578726016669043</v>
      </c>
      <c r="C3318" t="s">
        <v>40</v>
      </c>
      <c r="D3318">
        <v>4.3300970000000003</v>
      </c>
      <c r="E3318">
        <v>0.52320949999999999</v>
      </c>
      <c r="F3318" t="s">
        <v>41</v>
      </c>
      <c r="G3318">
        <v>-489.9914</v>
      </c>
      <c r="H3318">
        <v>1.0483279999999999</v>
      </c>
      <c r="I3318">
        <v>258.4982</v>
      </c>
      <c r="J3318">
        <v>-489.97160000000002</v>
      </c>
      <c r="K3318">
        <v>1.107237</v>
      </c>
      <c r="L3318">
        <v>259.32799999999997</v>
      </c>
      <c r="M3318">
        <v>5.7390049999999998E-2</v>
      </c>
      <c r="N3318">
        <v>0</v>
      </c>
      <c r="O3318">
        <v>-0.99823589999999995</v>
      </c>
      <c r="P3318">
        <v>4.5127090000000002E-2</v>
      </c>
      <c r="Q3318">
        <v>0.1057942</v>
      </c>
      <c r="R3318">
        <v>-0.99336389999999997</v>
      </c>
      <c r="S3318">
        <v>-2.5695800000000001E-2</v>
      </c>
      <c r="T3318">
        <v>-0.17859349999999999</v>
      </c>
      <c r="U3318">
        <v>-3.039307</v>
      </c>
      <c r="V3318">
        <v>1.1249749999999999E-2</v>
      </c>
      <c r="W3318">
        <v>0.1209692</v>
      </c>
      <c r="X3318">
        <v>0.99259249999999999</v>
      </c>
      <c r="Y3318">
        <v>6.5820310000000007E-2</v>
      </c>
      <c r="Z3318">
        <v>5.8450420000000003E-2</v>
      </c>
      <c r="AA3318">
        <v>0.99611810000000001</v>
      </c>
      <c r="AB3318">
        <v>33</v>
      </c>
      <c r="AC3318">
        <v>-1.9799999999975101E-2</v>
      </c>
      <c r="AD3318">
        <v>-5.8908999999999802E-2</v>
      </c>
      <c r="AE3318">
        <v>-0.829799999999977</v>
      </c>
      <c r="AF3318">
        <v>6.7057368880480098E-2</v>
      </c>
      <c r="AG3318">
        <v>-5.8908999999999802E-2</v>
      </c>
      <c r="AH3318">
        <v>0.82314940179192098</v>
      </c>
      <c r="AI3318">
        <v>94.079945569700598</v>
      </c>
      <c r="AJ3318">
        <v>85.342718358035597</v>
      </c>
      <c r="AK3318">
        <v>0.82797457610277503</v>
      </c>
      <c r="AL3318">
        <v>83.051958761024807</v>
      </c>
      <c r="AM3318">
        <v>89.350654373226504</v>
      </c>
      <c r="AN3318">
        <v>0.999999987639976</v>
      </c>
    </row>
    <row r="3319" spans="1:40" x14ac:dyDescent="0.3">
      <c r="A3319" t="str">
        <f>"20200111150016685"</f>
        <v>20200111150016685</v>
      </c>
      <c r="B3319" t="str">
        <f>"1578726016678802"</f>
        <v>1578726016678802</v>
      </c>
      <c r="C3319" t="s">
        <v>40</v>
      </c>
      <c r="D3319">
        <v>4.3271759999999997</v>
      </c>
      <c r="E3319">
        <v>0.5235976</v>
      </c>
      <c r="F3319" t="s">
        <v>42</v>
      </c>
      <c r="G3319">
        <v>-490.19589999999999</v>
      </c>
      <c r="H3319" s="1">
        <v>-1.025595E-7</v>
      </c>
      <c r="I3319">
        <v>239.70670000000001</v>
      </c>
      <c r="J3319">
        <v>-489.96129999999999</v>
      </c>
      <c r="K3319">
        <v>1.1067750000000001</v>
      </c>
      <c r="L3319">
        <v>259.15269999999998</v>
      </c>
      <c r="M3319">
        <v>5.7247850000000003E-2</v>
      </c>
      <c r="N3319">
        <v>0</v>
      </c>
      <c r="O3319">
        <v>-0.9982451</v>
      </c>
      <c r="P3319">
        <v>4.3320409999999997E-2</v>
      </c>
      <c r="Q3319">
        <v>0.1082753</v>
      </c>
      <c r="R3319">
        <v>-0.99317719999999998</v>
      </c>
      <c r="S3319">
        <v>-3.4759520000000002E-2</v>
      </c>
      <c r="T3319">
        <v>-0.17154129999999901</v>
      </c>
      <c r="U3319">
        <v>-3.0398860000000001</v>
      </c>
      <c r="V3319">
        <v>1.303605E-2</v>
      </c>
      <c r="W3319">
        <v>0.12339990000000001</v>
      </c>
      <c r="X3319">
        <v>0.99227140000000003</v>
      </c>
      <c r="Y3319">
        <v>6.8647490000000005E-2</v>
      </c>
      <c r="Z3319">
        <v>5.6133660000000002E-2</v>
      </c>
      <c r="AA3319">
        <v>0.99606050000000002</v>
      </c>
      <c r="AB3319">
        <v>33</v>
      </c>
      <c r="AC3319">
        <v>-0.2346</v>
      </c>
      <c r="AD3319">
        <v>-1.1067751025595001</v>
      </c>
      <c r="AE3319">
        <v>-19.445999999999898</v>
      </c>
      <c r="AF3319">
        <v>1.3432339959744399</v>
      </c>
      <c r="AG3319">
        <v>-1.1067751025595001</v>
      </c>
      <c r="AH3319">
        <v>19.3380356953923</v>
      </c>
      <c r="AI3319">
        <v>93.267783170957401</v>
      </c>
      <c r="AJ3319">
        <v>86.026575681431197</v>
      </c>
      <c r="AK3319">
        <v>19.4162007934573</v>
      </c>
      <c r="AL3319">
        <v>82.911638614371199</v>
      </c>
      <c r="AM3319">
        <v>89.247315119964099</v>
      </c>
      <c r="AN3319">
        <v>1.0000000025887801</v>
      </c>
    </row>
    <row r="3320" spans="1:40" x14ac:dyDescent="0.3">
      <c r="A3320" t="str">
        <f>"20200111150016698"</f>
        <v>20200111150016698</v>
      </c>
      <c r="B3320" t="str">
        <f>"1578726016689539"</f>
        <v>1578726016689539</v>
      </c>
      <c r="C3320" t="s">
        <v>40</v>
      </c>
      <c r="D3320">
        <v>4.4095510000000004</v>
      </c>
      <c r="E3320">
        <v>0.5235976</v>
      </c>
      <c r="F3320" t="s">
        <v>41</v>
      </c>
      <c r="G3320">
        <v>-489.97489999999999</v>
      </c>
      <c r="H3320">
        <v>1.0538879999999999</v>
      </c>
      <c r="I3320">
        <v>258.18759999999997</v>
      </c>
      <c r="J3320">
        <v>-489.9504</v>
      </c>
      <c r="K3320">
        <v>1.1062970000000001</v>
      </c>
      <c r="L3320">
        <v>258.96390000000002</v>
      </c>
      <c r="M3320">
        <v>5.6877039999999997E-2</v>
      </c>
      <c r="N3320">
        <v>0</v>
      </c>
      <c r="O3320">
        <v>-0.99826689999999996</v>
      </c>
      <c r="P3320">
        <v>4.1463340000000001E-2</v>
      </c>
      <c r="Q3320">
        <v>0.1103589</v>
      </c>
      <c r="R3320">
        <v>-0.99302679999999999</v>
      </c>
      <c r="S3320">
        <v>-4.2755130000000002E-2</v>
      </c>
      <c r="T3320">
        <v>-0.16659209999999999</v>
      </c>
      <c r="U3320">
        <v>-3.0406490000000002</v>
      </c>
      <c r="V3320">
        <v>1.465753E-2</v>
      </c>
      <c r="W3320">
        <v>0.12542719999999999</v>
      </c>
      <c r="X3320">
        <v>0.99199459999999995</v>
      </c>
      <c r="Y3320">
        <v>7.0893899999999996E-2</v>
      </c>
      <c r="Z3320">
        <v>5.4501920000000002E-2</v>
      </c>
      <c r="AA3320">
        <v>0.99599380000000004</v>
      </c>
      <c r="AB3320">
        <v>33</v>
      </c>
      <c r="AC3320">
        <v>-2.4499999999988999E-2</v>
      </c>
      <c r="AD3320">
        <v>-5.24089999999999E-2</v>
      </c>
      <c r="AE3320">
        <v>-0.77630000000004795</v>
      </c>
      <c r="AF3320">
        <v>6.8307992581190802E-2</v>
      </c>
      <c r="AG3320">
        <v>-5.24089999999999E-2</v>
      </c>
      <c r="AH3320">
        <v>0.77014274278765904</v>
      </c>
      <c r="AI3320">
        <v>93.877857578980098</v>
      </c>
      <c r="AJ3320">
        <v>84.931400821355595</v>
      </c>
      <c r="AK3320">
        <v>0.77494033925197803</v>
      </c>
      <c r="AL3320">
        <v>82.794573702482396</v>
      </c>
      <c r="AM3320">
        <v>89.153469688591301</v>
      </c>
      <c r="AN3320">
        <v>1.0000000560573401</v>
      </c>
    </row>
    <row r="3321" spans="1:40" x14ac:dyDescent="0.3">
      <c r="A3321" t="str">
        <f>"20200111150016711"</f>
        <v>20200111150016711</v>
      </c>
      <c r="B3321" t="str">
        <f>"1578726016699298"</f>
        <v>1578726016699298</v>
      </c>
      <c r="C3321" t="s">
        <v>40</v>
      </c>
      <c r="D3321">
        <v>4.3901760000000003</v>
      </c>
      <c r="E3321">
        <v>0.5235398</v>
      </c>
      <c r="F3321" t="s">
        <v>42</v>
      </c>
      <c r="G3321">
        <v>-490.28070000000002</v>
      </c>
      <c r="H3321" s="1">
        <v>-3.6771689999999999E-6</v>
      </c>
      <c r="I3321">
        <v>237.98660000000001</v>
      </c>
      <c r="J3321">
        <v>-489.9402</v>
      </c>
      <c r="K3321">
        <v>1.105869</v>
      </c>
      <c r="L3321">
        <v>258.7801</v>
      </c>
      <c r="M3321">
        <v>5.6244170000000003E-2</v>
      </c>
      <c r="N3321">
        <v>0</v>
      </c>
      <c r="O3321">
        <v>-0.99830319999999995</v>
      </c>
      <c r="P3321">
        <v>3.9825899999999997E-2</v>
      </c>
      <c r="Q3321">
        <v>0.11190799999999999</v>
      </c>
      <c r="R3321">
        <v>-0.99292049999999998</v>
      </c>
      <c r="S3321">
        <v>-4.788208E-2</v>
      </c>
      <c r="T3321">
        <v>-0.1603706</v>
      </c>
      <c r="U3321">
        <v>-3.0408940000000002</v>
      </c>
      <c r="V3321">
        <v>1.5791220000000002E-2</v>
      </c>
      <c r="W3321">
        <v>0.12692200000000001</v>
      </c>
      <c r="X3321">
        <v>0.99178699999999997</v>
      </c>
      <c r="Y3321">
        <v>7.1940939999999995E-2</v>
      </c>
      <c r="Z3321">
        <v>5.2468269999999997E-2</v>
      </c>
      <c r="AA3321">
        <v>0.99602789999999997</v>
      </c>
      <c r="AB3321">
        <v>33</v>
      </c>
      <c r="AC3321">
        <v>-0.34050000000002001</v>
      </c>
      <c r="AD3321">
        <v>-1.105872677169</v>
      </c>
      <c r="AE3321">
        <v>-20.793499999999899</v>
      </c>
      <c r="AF3321">
        <v>1.5053502450677101</v>
      </c>
      <c r="AG3321">
        <v>-1.105872677169</v>
      </c>
      <c r="AH3321">
        <v>20.682938136941001</v>
      </c>
      <c r="AI3321">
        <v>93.052510112117901</v>
      </c>
      <c r="AJ3321">
        <v>85.837225784495402</v>
      </c>
      <c r="AK3321">
        <v>20.767112551218101</v>
      </c>
      <c r="AL3321">
        <v>82.708237602784706</v>
      </c>
      <c r="AM3321">
        <v>89.087814404722096</v>
      </c>
      <c r="AN3321">
        <v>1.00000000504104</v>
      </c>
    </row>
    <row r="3322" spans="1:40" x14ac:dyDescent="0.3">
      <c r="A3322" t="str">
        <f>"20200111150016728"</f>
        <v>20200111150016728</v>
      </c>
      <c r="B3322" t="str">
        <f>"1578726016718821"</f>
        <v>1578726016718821</v>
      </c>
      <c r="C3322" t="s">
        <v>40</v>
      </c>
      <c r="D3322">
        <v>4.065277</v>
      </c>
      <c r="E3322">
        <v>0.46808729999999998</v>
      </c>
      <c r="F3322" t="s">
        <v>42</v>
      </c>
      <c r="G3322">
        <v>-490.29910000000001</v>
      </c>
      <c r="H3322" s="1">
        <v>-3.6333809999999999E-6</v>
      </c>
      <c r="I3322">
        <v>237.87309999999999</v>
      </c>
      <c r="J3322">
        <v>-489.92630000000003</v>
      </c>
      <c r="K3322">
        <v>1.105313</v>
      </c>
      <c r="L3322">
        <v>258.52280000000002</v>
      </c>
      <c r="M3322">
        <v>5.5104970000000003E-2</v>
      </c>
      <c r="N3322">
        <v>0</v>
      </c>
      <c r="O3322">
        <v>-0.99836729999999996</v>
      </c>
      <c r="P3322">
        <v>3.8561119999999997E-2</v>
      </c>
      <c r="Q3322">
        <v>0.115133</v>
      </c>
      <c r="R3322">
        <v>-0.99260130000000002</v>
      </c>
      <c r="S3322">
        <v>-5.2215579999999998E-2</v>
      </c>
      <c r="T3322">
        <v>-0.16088640000000001</v>
      </c>
      <c r="U3322">
        <v>-3.0416259999999999</v>
      </c>
      <c r="V3322">
        <v>1.6083489999999999E-2</v>
      </c>
      <c r="W3322">
        <v>0.13006760000000001</v>
      </c>
      <c r="X3322">
        <v>0.99137470000000005</v>
      </c>
      <c r="Y3322">
        <v>7.2217550000000005E-2</v>
      </c>
      <c r="Z3322">
        <v>5.2627809999999997E-2</v>
      </c>
      <c r="AA3322">
        <v>0.99599950000000004</v>
      </c>
      <c r="AB3322">
        <v>33</v>
      </c>
      <c r="AC3322">
        <v>-0.37279999999998298</v>
      </c>
      <c r="AD3322">
        <v>-1.1053166333810001</v>
      </c>
      <c r="AE3322">
        <v>-20.649699999999999</v>
      </c>
      <c r="AF3322">
        <v>1.5059498791053301</v>
      </c>
      <c r="AG3322">
        <v>-1.1053166333810001</v>
      </c>
      <c r="AH3322">
        <v>20.538943815164401</v>
      </c>
      <c r="AI3322">
        <v>93.072206926556305</v>
      </c>
      <c r="AJ3322">
        <v>85.806481291033506</v>
      </c>
      <c r="AK3322">
        <v>20.6237199103577</v>
      </c>
      <c r="AL3322">
        <v>82.526501528937899</v>
      </c>
      <c r="AM3322">
        <v>89.070547934997805</v>
      </c>
      <c r="AN3322">
        <v>1.0000000275102101</v>
      </c>
    </row>
    <row r="3323" spans="1:40" x14ac:dyDescent="0.3">
      <c r="A3323" t="str">
        <f>"20200111150016741"</f>
        <v>20200111150016741</v>
      </c>
      <c r="B3323" t="str">
        <f>"1578726016729554"</f>
        <v>1578726016729554</v>
      </c>
      <c r="C3323" t="s">
        <v>40</v>
      </c>
      <c r="D3323">
        <v>4.3681729999999996</v>
      </c>
      <c r="E3323">
        <v>0.45024570000000003</v>
      </c>
      <c r="F3323" t="s">
        <v>52</v>
      </c>
      <c r="G3323">
        <v>-485.53489999999999</v>
      </c>
      <c r="H3323" s="1">
        <v>3.9298339999999997E-6</v>
      </c>
      <c r="I3323">
        <v>224.0566</v>
      </c>
      <c r="J3323">
        <v>-489.91660000000002</v>
      </c>
      <c r="K3323">
        <v>1.1049260000000001</v>
      </c>
      <c r="L3323">
        <v>258.33609999999999</v>
      </c>
      <c r="M3323">
        <v>5.4113130000000002E-2</v>
      </c>
      <c r="N3323">
        <v>0</v>
      </c>
      <c r="O3323">
        <v>-0.99842240000000004</v>
      </c>
      <c r="P3323">
        <v>3.8405380000000003E-2</v>
      </c>
      <c r="Q3323">
        <v>0.1167593</v>
      </c>
      <c r="R3323">
        <v>-0.99241749999999995</v>
      </c>
      <c r="S3323">
        <v>0.38461299999999998</v>
      </c>
      <c r="T3323">
        <v>-9.6805929999999998E-2</v>
      </c>
      <c r="U3323">
        <v>-3.0186459999999999</v>
      </c>
      <c r="V3323">
        <v>1.537055E-2</v>
      </c>
      <c r="W3323">
        <v>0.13164039999999999</v>
      </c>
      <c r="X3323">
        <v>0.99117829999999996</v>
      </c>
      <c r="Y3323">
        <v>-7.2456199999999998E-2</v>
      </c>
      <c r="Z3323">
        <v>3.181192E-2</v>
      </c>
      <c r="AA3323">
        <v>0.99686410000000003</v>
      </c>
      <c r="AB3323">
        <v>33</v>
      </c>
      <c r="AC3323">
        <v>4.3817000000000199</v>
      </c>
      <c r="AD3323">
        <v>-1.1049220701660001</v>
      </c>
      <c r="AE3323">
        <v>-34.279499999999899</v>
      </c>
      <c r="AF3323">
        <v>-2.5175257290650501</v>
      </c>
      <c r="AG3323">
        <v>-1.1049220701660001</v>
      </c>
      <c r="AH3323">
        <v>34.431199699173</v>
      </c>
      <c r="AI3323">
        <v>91.833141913367101</v>
      </c>
      <c r="AJ3323">
        <v>94.181886516865006</v>
      </c>
      <c r="AK3323">
        <v>34.540791845323596</v>
      </c>
      <c r="AL3323">
        <v>82.4356044610129</v>
      </c>
      <c r="AM3323">
        <v>89.111565436546698</v>
      </c>
      <c r="AN3323">
        <v>0.99999993555517397</v>
      </c>
    </row>
    <row r="3324" spans="1:40" x14ac:dyDescent="0.3">
      <c r="A3324" t="str">
        <f>"20200111150016752"</f>
        <v>20200111150016752</v>
      </c>
      <c r="B3324" t="str">
        <f>"1578726016749074"</f>
        <v>1578726016749074</v>
      </c>
      <c r="C3324" t="s">
        <v>40</v>
      </c>
      <c r="D3324">
        <v>4.4644000000000004</v>
      </c>
      <c r="E3324">
        <v>0.39304739999999999</v>
      </c>
      <c r="F3324" t="s">
        <v>52</v>
      </c>
      <c r="G3324">
        <v>-482.97489999999999</v>
      </c>
      <c r="H3324" s="1">
        <v>2.251902E-6</v>
      </c>
      <c r="I3324">
        <v>218.59989999999999</v>
      </c>
      <c r="J3324">
        <v>-489.90750000000003</v>
      </c>
      <c r="K3324">
        <v>1.104595</v>
      </c>
      <c r="L3324">
        <v>258.154</v>
      </c>
      <c r="M3324">
        <v>5.2924329999999999E-2</v>
      </c>
      <c r="N3324">
        <v>0</v>
      </c>
      <c r="O3324">
        <v>-0.99848650000000005</v>
      </c>
      <c r="P3324">
        <v>3.7978240000000003E-2</v>
      </c>
      <c r="Q3324">
        <v>0.11782960000000001</v>
      </c>
      <c r="R3324">
        <v>-0.99230750000000001</v>
      </c>
      <c r="S3324">
        <v>0.52624510000000002</v>
      </c>
      <c r="T3324">
        <v>-8.3763599999999994E-2</v>
      </c>
      <c r="U3324">
        <v>-3.012375</v>
      </c>
      <c r="V3324">
        <v>1.4720789999999999E-2</v>
      </c>
      <c r="W3324">
        <v>0.13266610000000001</v>
      </c>
      <c r="X3324">
        <v>0.99105140000000003</v>
      </c>
      <c r="Y3324">
        <v>-0.1196416</v>
      </c>
      <c r="Z3324">
        <v>2.7430059999999999E-2</v>
      </c>
      <c r="AA3324">
        <v>0.99243809999999999</v>
      </c>
      <c r="AB3324">
        <v>33</v>
      </c>
      <c r="AC3324">
        <v>6.9326000000000301</v>
      </c>
      <c r="AD3324">
        <v>-1.104592748098</v>
      </c>
      <c r="AE3324">
        <v>-39.554099999999998</v>
      </c>
      <c r="AF3324">
        <v>-4.8256223232986697</v>
      </c>
      <c r="AG3324">
        <v>-1.104592748098</v>
      </c>
      <c r="AH3324">
        <v>39.835457261425397</v>
      </c>
      <c r="AI3324">
        <v>91.576819386170698</v>
      </c>
      <c r="AJ3324">
        <v>96.907090931753004</v>
      </c>
      <c r="AK3324">
        <v>40.141878520730998</v>
      </c>
      <c r="AL3324">
        <v>82.376316181338296</v>
      </c>
      <c r="AM3324">
        <v>89.149007694026295</v>
      </c>
      <c r="AN3324">
        <v>0.99999993659469499</v>
      </c>
    </row>
    <row r="3325" spans="1:40" x14ac:dyDescent="0.3">
      <c r="A3325" t="str">
        <f>"20200111150016765"</f>
        <v>20200111150016765</v>
      </c>
      <c r="B3325" t="str">
        <f>"1578726016758834"</f>
        <v>1578726016758834</v>
      </c>
      <c r="C3325" t="s">
        <v>40</v>
      </c>
      <c r="D3325">
        <v>4.4639059999999997</v>
      </c>
      <c r="E3325">
        <v>0.3938373</v>
      </c>
      <c r="F3325" t="s">
        <v>73</v>
      </c>
      <c r="G3325">
        <v>-470.03730000000002</v>
      </c>
      <c r="H3325">
        <v>1.0386200000000001</v>
      </c>
      <c r="I3325">
        <v>197.51820000000001</v>
      </c>
      <c r="J3325">
        <v>-489.89870000000002</v>
      </c>
      <c r="K3325">
        <v>1.1042749999999999</v>
      </c>
      <c r="L3325">
        <v>257.97199999999998</v>
      </c>
      <c r="M3325">
        <v>5.1670290000000001E-2</v>
      </c>
      <c r="N3325">
        <v>0</v>
      </c>
      <c r="O3325">
        <v>-0.99855240000000001</v>
      </c>
      <c r="P3325">
        <v>3.8382359999999997E-2</v>
      </c>
      <c r="Q3325">
        <v>0.1187928</v>
      </c>
      <c r="R3325">
        <v>-0.99217690000000003</v>
      </c>
      <c r="S3325">
        <v>0.97857669999999997</v>
      </c>
      <c r="T3325">
        <v>-3.2473799999999998E-3</v>
      </c>
      <c r="U3325">
        <v>-2.9861909999999998</v>
      </c>
      <c r="V3325">
        <v>1.3170970000000001E-2</v>
      </c>
      <c r="W3325">
        <v>0.13358909999999999</v>
      </c>
      <c r="X3325">
        <v>0.99094930000000003</v>
      </c>
      <c r="Y3325">
        <v>-0.26188349999999999</v>
      </c>
      <c r="Z3325">
        <v>1.039129E-3</v>
      </c>
      <c r="AA3325">
        <v>0.96509889999999998</v>
      </c>
      <c r="AB3325">
        <v>33</v>
      </c>
      <c r="AC3325">
        <v>19.8614</v>
      </c>
      <c r="AD3325">
        <v>-6.5654999999999797E-2</v>
      </c>
      <c r="AE3325">
        <v>-60.453799999999902</v>
      </c>
      <c r="AF3325">
        <v>-16.710831219961101</v>
      </c>
      <c r="AG3325">
        <v>-6.5654999999999797E-2</v>
      </c>
      <c r="AH3325">
        <v>61.399321194893297</v>
      </c>
      <c r="AI3325">
        <v>90.059116607443102</v>
      </c>
      <c r="AJ3325">
        <v>105.225202719623</v>
      </c>
      <c r="AK3325">
        <v>63.632796841210201</v>
      </c>
      <c r="AL3325">
        <v>82.322957851875898</v>
      </c>
      <c r="AM3325">
        <v>89.238511435367201</v>
      </c>
      <c r="AN3325">
        <v>1.00000001863002</v>
      </c>
    </row>
    <row r="3326" spans="1:40" x14ac:dyDescent="0.3">
      <c r="A3326" t="str">
        <f>"20200111150016777"</f>
        <v>20200111150016777</v>
      </c>
      <c r="B3326" t="str">
        <f>"1578726016769570"</f>
        <v>1578726016769570</v>
      </c>
      <c r="C3326" t="s">
        <v>40</v>
      </c>
      <c r="D3326">
        <v>4.4819199999999997</v>
      </c>
      <c r="E3326">
        <v>0.39424409999999999</v>
      </c>
      <c r="F3326" t="s">
        <v>73</v>
      </c>
      <c r="G3326">
        <v>-470.19889999999998</v>
      </c>
      <c r="H3326">
        <v>0.73456999999999995</v>
      </c>
      <c r="I3326">
        <v>197.51820000000001</v>
      </c>
      <c r="J3326">
        <v>-489.89010000000002</v>
      </c>
      <c r="K3326">
        <v>1.1039730000000001</v>
      </c>
      <c r="L3326">
        <v>257.78539999999998</v>
      </c>
      <c r="M3326">
        <v>5.027218E-2</v>
      </c>
      <c r="N3326">
        <v>0</v>
      </c>
      <c r="O3326">
        <v>-0.99862430000000002</v>
      </c>
      <c r="P3326">
        <v>3.8204349999999998E-2</v>
      </c>
      <c r="Q3326">
        <v>0.1194958</v>
      </c>
      <c r="R3326">
        <v>-0.99209950000000002</v>
      </c>
      <c r="S3326">
        <v>0.97375489999999998</v>
      </c>
      <c r="T3326">
        <v>-1.8272400000000001E-2</v>
      </c>
      <c r="U3326">
        <v>-2.9881739999999999</v>
      </c>
      <c r="V3326">
        <v>1.205576E-2</v>
      </c>
      <c r="W3326">
        <v>0.13425580000000001</v>
      </c>
      <c r="X3326">
        <v>0.99087340000000002</v>
      </c>
      <c r="Y3326">
        <v>-0.261632899999999</v>
      </c>
      <c r="Z3326">
        <v>5.8454609999999997E-3</v>
      </c>
      <c r="AA3326">
        <v>0.96514979999999995</v>
      </c>
      <c r="AB3326">
        <v>33</v>
      </c>
      <c r="AC3326">
        <v>19.691199999999998</v>
      </c>
      <c r="AD3326">
        <v>-0.36940299999999898</v>
      </c>
      <c r="AE3326">
        <v>-60.267199999999903</v>
      </c>
      <c r="AF3326">
        <v>-16.635631089353598</v>
      </c>
      <c r="AG3326">
        <v>-0.36940299999999898</v>
      </c>
      <c r="AH3326">
        <v>61.1789312450138</v>
      </c>
      <c r="AI3326">
        <v>90.333830798520594</v>
      </c>
      <c r="AJ3326">
        <v>105.211933236646</v>
      </c>
      <c r="AK3326">
        <v>63.401437748678802</v>
      </c>
      <c r="AL3326">
        <v>82.284411595954495</v>
      </c>
      <c r="AM3326">
        <v>89.302928016852604</v>
      </c>
      <c r="AN3326">
        <v>1.00000002800518</v>
      </c>
    </row>
    <row r="3327" spans="1:40" x14ac:dyDescent="0.3">
      <c r="A3327" t="str">
        <f>"20200111150016789"</f>
        <v>20200111150016789</v>
      </c>
      <c r="B3327" t="str">
        <f>"1578726016779330"</f>
        <v>1578726016779330</v>
      </c>
      <c r="C3327" t="s">
        <v>40</v>
      </c>
      <c r="D3327">
        <v>4.4712269999999998</v>
      </c>
      <c r="E3327">
        <v>0.39476810000000001</v>
      </c>
      <c r="F3327" t="s">
        <v>73</v>
      </c>
      <c r="G3327">
        <v>-470.32240000000002</v>
      </c>
      <c r="H3327">
        <v>0.55760769999999904</v>
      </c>
      <c r="I3327">
        <v>197.51820000000001</v>
      </c>
      <c r="J3327">
        <v>-489.88240000000002</v>
      </c>
      <c r="K3327">
        <v>1.1037220000000001</v>
      </c>
      <c r="L3327">
        <v>257.6096</v>
      </c>
      <c r="M3327">
        <v>4.8853840000000003E-2</v>
      </c>
      <c r="N3327">
        <v>0</v>
      </c>
      <c r="O3327">
        <v>-0.99869540000000001</v>
      </c>
      <c r="P3327">
        <v>3.8232719999999998E-2</v>
      </c>
      <c r="Q3327">
        <v>0.1197198</v>
      </c>
      <c r="R3327">
        <v>-0.9920717</v>
      </c>
      <c r="S3327">
        <v>0.97073359999999997</v>
      </c>
      <c r="T3327">
        <v>-2.7102709999999999E-2</v>
      </c>
      <c r="U3327">
        <v>-2.9897770000000001</v>
      </c>
      <c r="V3327">
        <v>1.0699439999999999E-2</v>
      </c>
      <c r="W3327">
        <v>0.13445099999999999</v>
      </c>
      <c r="X3327">
        <v>0.99086249999999998</v>
      </c>
      <c r="Y3327">
        <v>-0.261963</v>
      </c>
      <c r="Z3327">
        <v>8.6675859999999997E-3</v>
      </c>
      <c r="AA3327">
        <v>0.96503899999999998</v>
      </c>
      <c r="AB3327">
        <v>33</v>
      </c>
      <c r="AC3327">
        <v>19.559999999999999</v>
      </c>
      <c r="AD3327">
        <v>-0.54611429999999905</v>
      </c>
      <c r="AE3327">
        <v>-60.091399999999901</v>
      </c>
      <c r="AF3327">
        <v>-16.5993795494267</v>
      </c>
      <c r="AG3327">
        <v>-0.54611429999999905</v>
      </c>
      <c r="AH3327">
        <v>60.970764614593698</v>
      </c>
      <c r="AI3327">
        <v>90.495161822405095</v>
      </c>
      <c r="AJ3327">
        <v>105.22974083443999</v>
      </c>
      <c r="AK3327">
        <v>63.192339566934699</v>
      </c>
      <c r="AL3327">
        <v>82.273125081832603</v>
      </c>
      <c r="AM3327">
        <v>89.381338045936502</v>
      </c>
      <c r="AN3327">
        <v>1.0000000216617799</v>
      </c>
    </row>
    <row r="3328" spans="1:40" x14ac:dyDescent="0.3">
      <c r="A3328" t="str">
        <f>"20200111150016807"</f>
        <v>20200111150016807</v>
      </c>
      <c r="B3328" t="str">
        <f>"1578726016798850"</f>
        <v>1578726016798850</v>
      </c>
      <c r="C3328" t="s">
        <v>40</v>
      </c>
      <c r="D3328">
        <v>4.4747510000000004</v>
      </c>
      <c r="E3328">
        <v>0.39518140000000002</v>
      </c>
      <c r="F3328" t="s">
        <v>73</v>
      </c>
      <c r="G3328">
        <v>-470.34609999999998</v>
      </c>
      <c r="H3328">
        <v>0.41796640000000002</v>
      </c>
      <c r="I3328">
        <v>197.19059999999999</v>
      </c>
      <c r="J3328">
        <v>-489.87130000000002</v>
      </c>
      <c r="K3328">
        <v>1.10338799999999</v>
      </c>
      <c r="L3328">
        <v>257.34449999999998</v>
      </c>
      <c r="M3328">
        <v>4.6609829999999998E-2</v>
      </c>
      <c r="N3328">
        <v>0</v>
      </c>
      <c r="O3328">
        <v>-0.99880290000000005</v>
      </c>
      <c r="P3328">
        <v>3.8137549999999999E-2</v>
      </c>
      <c r="Q3328">
        <v>0.1195253</v>
      </c>
      <c r="R3328">
        <v>-0.99209840000000005</v>
      </c>
      <c r="S3328">
        <v>0.96707149999999997</v>
      </c>
      <c r="T3328">
        <v>-3.3943769999999998E-2</v>
      </c>
      <c r="U3328">
        <v>-2.990799</v>
      </c>
      <c r="V3328">
        <v>8.6751190000000002E-3</v>
      </c>
      <c r="W3328">
        <v>0.134220899999999</v>
      </c>
      <c r="X3328">
        <v>0.9909135</v>
      </c>
      <c r="Y3328">
        <v>-0.26295829999999998</v>
      </c>
      <c r="Z3328">
        <v>1.08539E-2</v>
      </c>
      <c r="AA3328">
        <v>0.96474610000000005</v>
      </c>
      <c r="AB3328">
        <v>33</v>
      </c>
      <c r="AC3328">
        <v>19.525200000000002</v>
      </c>
      <c r="AD3328">
        <v>-0.68542159999999897</v>
      </c>
      <c r="AE3328">
        <v>-60.153899999999901</v>
      </c>
      <c r="AF3328">
        <v>-16.697941528614699</v>
      </c>
      <c r="AG3328">
        <v>-0.68542159999999897</v>
      </c>
      <c r="AH3328">
        <v>60.9915111219496</v>
      </c>
      <c r="AI3328">
        <v>90.621011078325296</v>
      </c>
      <c r="AJ3328">
        <v>105.310969992446</v>
      </c>
      <c r="AK3328">
        <v>63.239667005778003</v>
      </c>
      <c r="AL3328">
        <v>82.286429545043404</v>
      </c>
      <c r="AM3328">
        <v>89.498407270213804</v>
      </c>
      <c r="AN3328">
        <v>1.0000000360843599</v>
      </c>
    </row>
    <row r="3329" spans="1:40" x14ac:dyDescent="0.3">
      <c r="A3329" t="str">
        <f>"20200111150016819"</f>
        <v>20200111150016819</v>
      </c>
      <c r="B3329" t="str">
        <f>"1578726016809586"</f>
        <v>1578726016809586</v>
      </c>
      <c r="C3329" t="s">
        <v>40</v>
      </c>
      <c r="D3329">
        <v>4.4882720000000003</v>
      </c>
      <c r="E3329">
        <v>0.3953178</v>
      </c>
      <c r="F3329" t="s">
        <v>73</v>
      </c>
      <c r="G3329">
        <v>-470.34609999999998</v>
      </c>
      <c r="H3329">
        <v>0.16472719999999999</v>
      </c>
      <c r="I3329">
        <v>196.73140000000001</v>
      </c>
      <c r="J3329">
        <v>-489.86399999999998</v>
      </c>
      <c r="K3329">
        <v>1.103194</v>
      </c>
      <c r="L3329">
        <v>257.16210000000001</v>
      </c>
      <c r="M3329">
        <v>4.5002939999999998E-2</v>
      </c>
      <c r="N3329">
        <v>0</v>
      </c>
      <c r="O3329">
        <v>-0.99887689999999996</v>
      </c>
      <c r="P3329">
        <v>3.7547659999999997E-2</v>
      </c>
      <c r="Q3329">
        <v>0.119516899999999</v>
      </c>
      <c r="R3329">
        <v>-0.99212210000000001</v>
      </c>
      <c r="S3329">
        <v>0.96395869999999995</v>
      </c>
      <c r="T3329">
        <v>-4.633951E-2</v>
      </c>
      <c r="U3329">
        <v>-2.9924469999999999</v>
      </c>
      <c r="V3329">
        <v>7.73465E-3</v>
      </c>
      <c r="W3329">
        <v>0.13418920000000001</v>
      </c>
      <c r="X3329">
        <v>0.99092559999999996</v>
      </c>
      <c r="Y3329">
        <v>-0.26343050000000001</v>
      </c>
      <c r="Z3329">
        <v>1.481203E-2</v>
      </c>
      <c r="AA3329">
        <v>0.96456470000000005</v>
      </c>
      <c r="AB3329">
        <v>33</v>
      </c>
      <c r="AC3329">
        <v>19.517900000000001</v>
      </c>
      <c r="AD3329">
        <v>-0.93846679999999905</v>
      </c>
      <c r="AE3329">
        <v>-60.430700000000002</v>
      </c>
      <c r="AF3329">
        <v>-16.7745998808509</v>
      </c>
      <c r="AG3329">
        <v>-0.93846679999999905</v>
      </c>
      <c r="AH3329">
        <v>61.234547917956803</v>
      </c>
      <c r="AI3329">
        <v>90.846838213102501</v>
      </c>
      <c r="AJ3329">
        <v>105.319779295052</v>
      </c>
      <c r="AK3329">
        <v>63.497541525746499</v>
      </c>
      <c r="AL3329">
        <v>82.288262552391004</v>
      </c>
      <c r="AM3329">
        <v>89.552788018227204</v>
      </c>
      <c r="AN3329">
        <v>1.0000000554713</v>
      </c>
    </row>
    <row r="3330" spans="1:40" x14ac:dyDescent="0.3">
      <c r="A3330" t="str">
        <f>"20200111150016832"</f>
        <v>20200111150016832</v>
      </c>
      <c r="B3330" t="str">
        <f>"1578726016829105"</f>
        <v>1578726016829105</v>
      </c>
      <c r="C3330" t="s">
        <v>40</v>
      </c>
      <c r="D3330">
        <v>4.5150329999999999</v>
      </c>
      <c r="E3330">
        <v>0.39527770000000001</v>
      </c>
      <c r="F3330" t="s">
        <v>73</v>
      </c>
      <c r="G3330">
        <v>-470.15</v>
      </c>
      <c r="H3330">
        <v>6.9589609999999996E-2</v>
      </c>
      <c r="I3330">
        <v>195.7543</v>
      </c>
      <c r="J3330">
        <v>-489.85739999999998</v>
      </c>
      <c r="K3330">
        <v>1.1030420000000001</v>
      </c>
      <c r="L3330">
        <v>256.98320000000001</v>
      </c>
      <c r="M3330">
        <v>4.3361700000000003E-2</v>
      </c>
      <c r="N3330">
        <v>0</v>
      </c>
      <c r="O3330">
        <v>-0.9989498</v>
      </c>
      <c r="P3330">
        <v>3.6702659999999998E-2</v>
      </c>
      <c r="Q3330">
        <v>0.12015480000000001</v>
      </c>
      <c r="R3330">
        <v>-0.99207679999999998</v>
      </c>
      <c r="S3330">
        <v>0.96102909999999997</v>
      </c>
      <c r="T3330">
        <v>-5.0384520000000002E-2</v>
      </c>
      <c r="U3330">
        <v>-2.9935149999999999</v>
      </c>
      <c r="V3330">
        <v>6.9998959999999898E-3</v>
      </c>
      <c r="W3330">
        <v>0.13480629999999999</v>
      </c>
      <c r="X3330">
        <v>0.99084720000000004</v>
      </c>
      <c r="Y3330">
        <v>-0.26405329999999999</v>
      </c>
      <c r="Z3330">
        <v>1.6101910000000001E-2</v>
      </c>
      <c r="AA3330">
        <v>0.96437360000000005</v>
      </c>
      <c r="AB3330">
        <v>33</v>
      </c>
      <c r="AC3330">
        <v>19.7074</v>
      </c>
      <c r="AD3330">
        <v>-1.0334523900000001</v>
      </c>
      <c r="AE3330">
        <v>-61.228900000000003</v>
      </c>
      <c r="AF3330">
        <v>-17.0291839486935</v>
      </c>
      <c r="AG3330">
        <v>-1.0334523900000001</v>
      </c>
      <c r="AH3330">
        <v>62.009930520406797</v>
      </c>
      <c r="AI3330">
        <v>90.9207170184105</v>
      </c>
      <c r="AJ3330">
        <v>105.35602211881999</v>
      </c>
      <c r="AK3330">
        <v>64.3140156804605</v>
      </c>
      <c r="AL3330">
        <v>82.252580343169299</v>
      </c>
      <c r="AM3330">
        <v>89.595237463529202</v>
      </c>
      <c r="AN3330">
        <v>0.99999995540576903</v>
      </c>
    </row>
    <row r="3331" spans="1:40" x14ac:dyDescent="0.3">
      <c r="A3331" t="str">
        <f>"20200111150016844"</f>
        <v>20200111150016844</v>
      </c>
      <c r="B3331" t="str">
        <f>"1578726016838867"</f>
        <v>1578726016838867</v>
      </c>
      <c r="C3331" t="s">
        <v>40</v>
      </c>
      <c r="D3331">
        <v>4.5189409999999999</v>
      </c>
      <c r="E3331">
        <v>0.39545809999999998</v>
      </c>
      <c r="F3331" t="s">
        <v>43</v>
      </c>
      <c r="G3331">
        <v>-468.9785</v>
      </c>
      <c r="H3331">
        <v>-0.05</v>
      </c>
      <c r="I3331">
        <v>191.77420000000001</v>
      </c>
      <c r="J3331">
        <v>-489.85059999999999</v>
      </c>
      <c r="K3331">
        <v>1.1029</v>
      </c>
      <c r="L3331">
        <v>256.79070000000002</v>
      </c>
      <c r="M3331">
        <v>4.1577290000000003E-2</v>
      </c>
      <c r="N3331">
        <v>0</v>
      </c>
      <c r="O3331">
        <v>-0.99902610000000003</v>
      </c>
      <c r="P3331">
        <v>3.5726170000000002E-2</v>
      </c>
      <c r="Q3331">
        <v>0.1204418</v>
      </c>
      <c r="R3331">
        <v>-0.99207769999999995</v>
      </c>
      <c r="S3331">
        <v>0.95892330000000003</v>
      </c>
      <c r="T3331">
        <v>-5.2956700000000002E-2</v>
      </c>
      <c r="U3331">
        <v>-2.994904</v>
      </c>
      <c r="V3331">
        <v>6.2532229999999996E-3</v>
      </c>
      <c r="W3331">
        <v>0.13507279999999999</v>
      </c>
      <c r="X3331">
        <v>0.99081589999999997</v>
      </c>
      <c r="Y3331">
        <v>-0.26502690000000001</v>
      </c>
      <c r="Z3331">
        <v>1.6917649999999999E-2</v>
      </c>
      <c r="AA3331">
        <v>0.96409259999999997</v>
      </c>
      <c r="AB3331">
        <v>33</v>
      </c>
      <c r="AC3331">
        <v>20.8720999999999</v>
      </c>
      <c r="AD3331">
        <v>-1.1529</v>
      </c>
      <c r="AE3331">
        <v>-65.016499999999994</v>
      </c>
      <c r="AF3331">
        <v>-18.145370408511202</v>
      </c>
      <c r="AG3331">
        <v>-1.1529</v>
      </c>
      <c r="AH3331">
        <v>65.809407707681601</v>
      </c>
      <c r="AI3331">
        <v>90.967550961291195</v>
      </c>
      <c r="AJ3331">
        <v>105.414920799219</v>
      </c>
      <c r="AK3331">
        <v>68.274898670799502</v>
      </c>
      <c r="AL3331">
        <v>82.237170076094998</v>
      </c>
      <c r="AM3331">
        <v>89.638400504641595</v>
      </c>
      <c r="AN3331">
        <v>0.99999995589526702</v>
      </c>
    </row>
    <row r="3332" spans="1:40" x14ac:dyDescent="0.3">
      <c r="A3332" t="str">
        <f>"20200111150016856"</f>
        <v>20200111150016856</v>
      </c>
      <c r="B3332" t="str">
        <f>"1578726016849576"</f>
        <v>1578726016849576</v>
      </c>
      <c r="C3332" t="s">
        <v>40</v>
      </c>
      <c r="D3332">
        <v>4.4863679999999997</v>
      </c>
      <c r="E3332">
        <v>0.39558409999999999</v>
      </c>
      <c r="F3332" t="s">
        <v>43</v>
      </c>
      <c r="G3332">
        <v>-470.24180000000001</v>
      </c>
      <c r="H3332">
        <v>-0.05</v>
      </c>
      <c r="I3332">
        <v>195.23759999999999</v>
      </c>
      <c r="J3332">
        <v>-489.84449999999998</v>
      </c>
      <c r="K3332">
        <v>1.1027929999999999</v>
      </c>
      <c r="L3332">
        <v>256.60820000000001</v>
      </c>
      <c r="M3332">
        <v>3.985706E-2</v>
      </c>
      <c r="N3332">
        <v>0</v>
      </c>
      <c r="O3332">
        <v>-0.99909650000000005</v>
      </c>
      <c r="P3332">
        <v>3.4780030000000003E-2</v>
      </c>
      <c r="Q3332">
        <v>0.1209079</v>
      </c>
      <c r="R3332">
        <v>-0.99205429999999994</v>
      </c>
      <c r="S3332">
        <v>0.9545593</v>
      </c>
      <c r="T3332">
        <v>-5.6123140000000002E-2</v>
      </c>
      <c r="U3332">
        <v>-2.9963989999999998</v>
      </c>
      <c r="V3332">
        <v>5.5286449999999996E-3</v>
      </c>
      <c r="W3332">
        <v>0.13552110000000001</v>
      </c>
      <c r="X3332">
        <v>0.99075899999999995</v>
      </c>
      <c r="Y3332">
        <v>-0.2652678</v>
      </c>
      <c r="Z3332">
        <v>1.7925529999999999E-2</v>
      </c>
      <c r="AA3332">
        <v>0.96400810000000003</v>
      </c>
      <c r="AB3332">
        <v>33</v>
      </c>
      <c r="AC3332">
        <v>19.602699999999899</v>
      </c>
      <c r="AD3332">
        <v>-1.152793</v>
      </c>
      <c r="AE3332">
        <v>-61.370600000000003</v>
      </c>
      <c r="AF3332">
        <v>-17.135315948415901</v>
      </c>
      <c r="AG3332">
        <v>-1.152793</v>
      </c>
      <c r="AH3332">
        <v>62.083337148798996</v>
      </c>
      <c r="AI3332">
        <v>91.025440154998293</v>
      </c>
      <c r="AJ3332">
        <v>105.429775089603</v>
      </c>
      <c r="AK3332">
        <v>64.414972916895096</v>
      </c>
      <c r="AL3332">
        <v>82.211246080869898</v>
      </c>
      <c r="AM3332">
        <v>89.680280737226596</v>
      </c>
      <c r="AN3332">
        <v>0.99999996527087198</v>
      </c>
    </row>
    <row r="3333" spans="1:40" x14ac:dyDescent="0.3">
      <c r="A3333" t="str">
        <f>"20200111150016873"</f>
        <v>20200111150016873</v>
      </c>
      <c r="B3333" t="str">
        <f>"1578726016869099"</f>
        <v>1578726016869099</v>
      </c>
      <c r="C3333" t="s">
        <v>40</v>
      </c>
      <c r="D3333">
        <v>4.5050019999999904</v>
      </c>
      <c r="E3333">
        <v>0.39588590000000001</v>
      </c>
      <c r="F3333" t="s">
        <v>43</v>
      </c>
      <c r="G3333">
        <v>-470.79059999999998</v>
      </c>
      <c r="H3333">
        <v>-0.05</v>
      </c>
      <c r="I3333">
        <v>196.54679999999999</v>
      </c>
      <c r="J3333">
        <v>-489.83749999999998</v>
      </c>
      <c r="K3333">
        <v>1.1026959999999999</v>
      </c>
      <c r="L3333">
        <v>256.38010000000003</v>
      </c>
      <c r="M3333">
        <v>3.7687279999999997E-2</v>
      </c>
      <c r="N3333">
        <v>0</v>
      </c>
      <c r="O3333">
        <v>-0.99918090000000004</v>
      </c>
      <c r="P3333">
        <v>3.3537249999999998E-2</v>
      </c>
      <c r="Q3333">
        <v>0.121343699999999</v>
      </c>
      <c r="R3333">
        <v>-0.99204409999999998</v>
      </c>
      <c r="S3333">
        <v>0.95098879999999997</v>
      </c>
      <c r="T3333">
        <v>-5.7536480000000001E-2</v>
      </c>
      <c r="U3333">
        <v>-2.9976959999999999</v>
      </c>
      <c r="V3333">
        <v>4.6530390000000003E-3</v>
      </c>
      <c r="W3333">
        <v>0.13593729999999901</v>
      </c>
      <c r="X3333">
        <v>0.99070650000000005</v>
      </c>
      <c r="Y3333">
        <v>-0.26619569999999998</v>
      </c>
      <c r="Z3333">
        <v>1.837242E-2</v>
      </c>
      <c r="AA3333">
        <v>0.96374389999999999</v>
      </c>
      <c r="AB3333">
        <v>33</v>
      </c>
      <c r="AC3333">
        <v>19.046899999999901</v>
      </c>
      <c r="AD3333">
        <v>-1.1526959999999999</v>
      </c>
      <c r="AE3333">
        <v>-59.833300000000001</v>
      </c>
      <c r="AF3333">
        <v>-16.772514285351001</v>
      </c>
      <c r="AG3333">
        <v>-1.1526959999999999</v>
      </c>
      <c r="AH3333">
        <v>60.488303659574498</v>
      </c>
      <c r="AI3333">
        <v>91.052039662648994</v>
      </c>
      <c r="AJ3333">
        <v>105.49790927778299</v>
      </c>
      <c r="AK3333">
        <v>62.781213934851699</v>
      </c>
      <c r="AL3333">
        <v>82.187176991931807</v>
      </c>
      <c r="AM3333">
        <v>89.730901597657095</v>
      </c>
      <c r="AN3333">
        <v>0.99999998472273699</v>
      </c>
    </row>
    <row r="3334" spans="1:40" x14ac:dyDescent="0.3">
      <c r="A3334" t="str">
        <f>"20200111150016884"</f>
        <v>20200111150016884</v>
      </c>
      <c r="B3334" t="str">
        <f>"1578726016878856"</f>
        <v>1578726016878856</v>
      </c>
      <c r="C3334" t="s">
        <v>40</v>
      </c>
      <c r="D3334">
        <v>4.5380919999999998</v>
      </c>
      <c r="E3334">
        <v>0.39605469999999998</v>
      </c>
      <c r="F3334" t="s">
        <v>52</v>
      </c>
      <c r="G3334">
        <v>-474.36880000000002</v>
      </c>
      <c r="H3334">
        <v>7.9999600000000004E-2</v>
      </c>
      <c r="I3334">
        <v>207.2567</v>
      </c>
      <c r="J3334">
        <v>-489.83249999999998</v>
      </c>
      <c r="K3334">
        <v>1.1026389999999999</v>
      </c>
      <c r="L3334">
        <v>256.21080000000001</v>
      </c>
      <c r="M3334">
        <v>3.607403E-2</v>
      </c>
      <c r="N3334">
        <v>0</v>
      </c>
      <c r="O3334">
        <v>-0.99924069999999998</v>
      </c>
      <c r="P3334">
        <v>3.2245650000000001E-2</v>
      </c>
      <c r="Q3334">
        <v>0.12123780000000001</v>
      </c>
      <c r="R3334">
        <v>-0.99209959999999997</v>
      </c>
      <c r="S3334">
        <v>0.94461059999999997</v>
      </c>
      <c r="T3334">
        <v>-6.245208E-2</v>
      </c>
      <c r="U3334">
        <v>-2.999771</v>
      </c>
      <c r="V3334">
        <v>4.364504E-3</v>
      </c>
      <c r="W3334">
        <v>0.135817299999999</v>
      </c>
      <c r="X3334">
        <v>0.9907243</v>
      </c>
      <c r="Y3334">
        <v>-0.26568750000000002</v>
      </c>
      <c r="Z3334">
        <v>1.9937759999999999E-2</v>
      </c>
      <c r="AA3334">
        <v>0.96385299999999996</v>
      </c>
      <c r="AB3334">
        <v>33</v>
      </c>
      <c r="AC3334">
        <v>15.4636999999999</v>
      </c>
      <c r="AD3334">
        <v>-1.0226394000000001</v>
      </c>
      <c r="AE3334">
        <v>-48.954099999999997</v>
      </c>
      <c r="AF3334">
        <v>-13.682040879249399</v>
      </c>
      <c r="AG3334">
        <v>-1.0226394000000001</v>
      </c>
      <c r="AH3334">
        <v>49.460502862523903</v>
      </c>
      <c r="AI3334">
        <v>91.141609965349105</v>
      </c>
      <c r="AJ3334">
        <v>105.462806312121</v>
      </c>
      <c r="AK3334">
        <v>51.328212294776201</v>
      </c>
      <c r="AL3334">
        <v>82.194117072088702</v>
      </c>
      <c r="AM3334">
        <v>89.747592704471103</v>
      </c>
      <c r="AN3334">
        <v>1.00000001324247</v>
      </c>
    </row>
    <row r="3335" spans="1:40" x14ac:dyDescent="0.3">
      <c r="A3335" t="str">
        <f>"20200111150016896"</f>
        <v>20200111150016896</v>
      </c>
      <c r="B3335" t="str">
        <f>"1578726016889592"</f>
        <v>1578726016889592</v>
      </c>
      <c r="C3335" t="s">
        <v>40</v>
      </c>
      <c r="D3335">
        <v>4.5174370000000001</v>
      </c>
      <c r="E3335">
        <v>0.39617370000000002</v>
      </c>
      <c r="F3335" t="s">
        <v>52</v>
      </c>
      <c r="G3335">
        <v>-475.2423</v>
      </c>
      <c r="H3335">
        <v>7.7860150000000003E-2</v>
      </c>
      <c r="I3335">
        <v>209.5883</v>
      </c>
      <c r="J3335">
        <v>-489.82749999999999</v>
      </c>
      <c r="K3335">
        <v>1.1025969999999901</v>
      </c>
      <c r="L3335">
        <v>256.02969999999999</v>
      </c>
      <c r="M3335">
        <v>3.4348330000000003E-2</v>
      </c>
      <c r="N3335">
        <v>0</v>
      </c>
      <c r="O3335">
        <v>-0.99930169999999996</v>
      </c>
      <c r="P3335">
        <v>3.0576949999999999E-2</v>
      </c>
      <c r="Q3335">
        <v>0.1217722</v>
      </c>
      <c r="R3335">
        <v>-0.99208680000000005</v>
      </c>
      <c r="S3335">
        <v>0.93927000000000005</v>
      </c>
      <c r="T3335">
        <v>-6.5972210000000003E-2</v>
      </c>
      <c r="U3335">
        <v>-3.0014189999999998</v>
      </c>
      <c r="V3335">
        <v>4.33782E-3</v>
      </c>
      <c r="W3335">
        <v>0.1363356</v>
      </c>
      <c r="X3335">
        <v>0.99065320000000001</v>
      </c>
      <c r="Y3335">
        <v>-0.2656327</v>
      </c>
      <c r="Z3335">
        <v>2.1057619999999999E-2</v>
      </c>
      <c r="AA3335">
        <v>0.96384429999999999</v>
      </c>
      <c r="AB3335">
        <v>33</v>
      </c>
      <c r="AC3335">
        <v>14.585199999999899</v>
      </c>
      <c r="AD3335">
        <v>-1.02473684999999</v>
      </c>
      <c r="AE3335">
        <v>-46.441399999999902</v>
      </c>
      <c r="AF3335">
        <v>-12.9754844110285</v>
      </c>
      <c r="AG3335">
        <v>-1.02473684999999</v>
      </c>
      <c r="AH3335">
        <v>46.894239745668798</v>
      </c>
      <c r="AI3335">
        <v>91.2065128359243</v>
      </c>
      <c r="AJ3335">
        <v>105.466594266869</v>
      </c>
      <c r="AK3335">
        <v>48.667062810866803</v>
      </c>
      <c r="AL3335">
        <v>82.164141647999202</v>
      </c>
      <c r="AM3335">
        <v>89.749117865001594</v>
      </c>
      <c r="AN3335">
        <v>0.99999998758997599</v>
      </c>
    </row>
    <row r="3336" spans="1:40" x14ac:dyDescent="0.3">
      <c r="A3336" t="str">
        <f>"20200111150016908"</f>
        <v>20200111150016908</v>
      </c>
      <c r="B3336" t="str">
        <f>"1578726016899352"</f>
        <v>1578726016899352</v>
      </c>
      <c r="C3336" t="s">
        <v>40</v>
      </c>
      <c r="D3336">
        <v>4.4668419999999998</v>
      </c>
      <c r="E3336">
        <v>0.3961925</v>
      </c>
      <c r="F3336" t="s">
        <v>52</v>
      </c>
      <c r="G3336">
        <v>-475.39319999999998</v>
      </c>
      <c r="H3336">
        <v>7.4823500000000001E-2</v>
      </c>
      <c r="I3336">
        <v>209.59119999999999</v>
      </c>
      <c r="J3336">
        <v>-489.82310000000001</v>
      </c>
      <c r="K3336">
        <v>1.1025720000000001</v>
      </c>
      <c r="L3336">
        <v>255.8597</v>
      </c>
      <c r="M3336">
        <v>3.2736880000000003E-2</v>
      </c>
      <c r="N3336">
        <v>0</v>
      </c>
      <c r="O3336">
        <v>-0.99935620000000003</v>
      </c>
      <c r="P3336">
        <v>2.9241010000000001E-2</v>
      </c>
      <c r="Q3336">
        <v>0.1225791</v>
      </c>
      <c r="R3336">
        <v>-0.99202840000000003</v>
      </c>
      <c r="S3336">
        <v>0.93350219999999995</v>
      </c>
      <c r="T3336">
        <v>-6.6468479999999996E-2</v>
      </c>
      <c r="U3336">
        <v>-3.0032809999999999</v>
      </c>
      <c r="V3336">
        <v>4.0875520000000004E-3</v>
      </c>
      <c r="W3336">
        <v>0.13712869999999999</v>
      </c>
      <c r="X3336">
        <v>0.9905448</v>
      </c>
      <c r="Y3336">
        <v>-0.26532889999999998</v>
      </c>
      <c r="Z3336">
        <v>2.121197E-2</v>
      </c>
      <c r="AA3336">
        <v>0.96392460000000002</v>
      </c>
      <c r="AB3336">
        <v>33</v>
      </c>
      <c r="AC3336">
        <v>14.4299</v>
      </c>
      <c r="AD3336">
        <v>-1.0277485</v>
      </c>
      <c r="AE3336">
        <v>-46.268500000000003</v>
      </c>
      <c r="AF3336">
        <v>-12.9015130314753</v>
      </c>
      <c r="AG3336">
        <v>-1.0277485</v>
      </c>
      <c r="AH3336">
        <v>46.695138481996402</v>
      </c>
      <c r="AI3336">
        <v>91.215341807695907</v>
      </c>
      <c r="AJ3336">
        <v>105.445072615963</v>
      </c>
      <c r="AK3336">
        <v>48.455559674132402</v>
      </c>
      <c r="AL3336">
        <v>82.118269590868906</v>
      </c>
      <c r="AM3336">
        <v>89.763566323509394</v>
      </c>
      <c r="AN3336">
        <v>0.99999999462604094</v>
      </c>
    </row>
    <row r="3337" spans="1:40" x14ac:dyDescent="0.3">
      <c r="A3337" t="str">
        <f>"20200111150016919"</f>
        <v>20200111150016919</v>
      </c>
      <c r="B3337" t="str">
        <f>"1578726016909112"</f>
        <v>1578726016909112</v>
      </c>
      <c r="C3337" t="s">
        <v>40</v>
      </c>
      <c r="D3337">
        <v>4.4861019999999998</v>
      </c>
      <c r="E3337">
        <v>0.39618029999999999</v>
      </c>
      <c r="F3337" t="s">
        <v>52</v>
      </c>
      <c r="G3337">
        <v>-475.2518</v>
      </c>
      <c r="H3337">
        <v>7.999966E-2</v>
      </c>
      <c r="I3337">
        <v>208.73269999999999</v>
      </c>
      <c r="J3337">
        <v>-489.8186</v>
      </c>
      <c r="K3337">
        <v>1.102552</v>
      </c>
      <c r="L3337">
        <v>255.6772</v>
      </c>
      <c r="M3337">
        <v>3.1012080000000001E-2</v>
      </c>
      <c r="N3337">
        <v>0</v>
      </c>
      <c r="O3337">
        <v>-0.99941150000000001</v>
      </c>
      <c r="P3337">
        <v>2.7988829999999999E-2</v>
      </c>
      <c r="Q3337">
        <v>0.12431680000000001</v>
      </c>
      <c r="R3337">
        <v>-0.99184819999999996</v>
      </c>
      <c r="S3337">
        <v>0.92904659999999994</v>
      </c>
      <c r="T3337">
        <v>-6.5197710000000006E-2</v>
      </c>
      <c r="U3337">
        <v>-3.0047450000000002</v>
      </c>
      <c r="V3337">
        <v>3.6419E-3</v>
      </c>
      <c r="W3337">
        <v>0.13885149999999999</v>
      </c>
      <c r="X3337">
        <v>0.99030649999999998</v>
      </c>
      <c r="Y3337">
        <v>-0.26555810000000002</v>
      </c>
      <c r="Z3337">
        <v>2.0802459999999998E-2</v>
      </c>
      <c r="AA3337">
        <v>0.96387040000000002</v>
      </c>
      <c r="AB3337">
        <v>33</v>
      </c>
      <c r="AC3337">
        <v>14.566800000000001</v>
      </c>
      <c r="AD3337">
        <v>-1.0225523400000001</v>
      </c>
      <c r="AE3337">
        <v>-46.944499999999998</v>
      </c>
      <c r="AF3337">
        <v>-13.0981202084975</v>
      </c>
      <c r="AG3337">
        <v>-1.0225523400000001</v>
      </c>
      <c r="AH3337">
        <v>47.353216572167199</v>
      </c>
      <c r="AI3337">
        <v>91.192303825776804</v>
      </c>
      <c r="AJ3337">
        <v>105.46169206583799</v>
      </c>
      <c r="AK3337">
        <v>49.141972752575398</v>
      </c>
      <c r="AL3337">
        <v>82.018606905124699</v>
      </c>
      <c r="AM3337">
        <v>89.789292952508006</v>
      </c>
      <c r="AN3337">
        <v>0.99999998321505401</v>
      </c>
    </row>
    <row r="3338" spans="1:40" x14ac:dyDescent="0.3">
      <c r="A3338" t="str">
        <f>"20200111150016932"</f>
        <v>20200111150016932</v>
      </c>
      <c r="B3338" t="str">
        <f>"1578726016929608"</f>
        <v>1578726016929608</v>
      </c>
      <c r="C3338" t="s">
        <v>40</v>
      </c>
      <c r="D3338">
        <v>4.4923169999999999</v>
      </c>
      <c r="E3338">
        <v>0.39618690000000001</v>
      </c>
      <c r="F3338" t="s">
        <v>52</v>
      </c>
      <c r="G3338">
        <v>-474.42579999999998</v>
      </c>
      <c r="H3338">
        <v>7.999945E-2</v>
      </c>
      <c r="I3338">
        <v>205.648</v>
      </c>
      <c r="J3338">
        <v>-489.81479999999999</v>
      </c>
      <c r="K3338">
        <v>1.10254599999999</v>
      </c>
      <c r="L3338">
        <v>255.50290000000001</v>
      </c>
      <c r="M3338">
        <v>2.9386659999999998E-2</v>
      </c>
      <c r="N3338">
        <v>0</v>
      </c>
      <c r="O3338">
        <v>-0.99946049999999997</v>
      </c>
      <c r="P3338">
        <v>2.6773379999999999E-2</v>
      </c>
      <c r="Q3338">
        <v>0.12582199999999999</v>
      </c>
      <c r="R3338">
        <v>-0.99169160000000001</v>
      </c>
      <c r="S3338">
        <v>0.92495729999999998</v>
      </c>
      <c r="T3338">
        <v>-6.1445239999999998E-2</v>
      </c>
      <c r="U3338">
        <v>-3.006256</v>
      </c>
      <c r="V3338">
        <v>3.25348E-3</v>
      </c>
      <c r="W3338">
        <v>0.14034449999999901</v>
      </c>
      <c r="X3338">
        <v>0.99009740000000002</v>
      </c>
      <c r="Y3338">
        <v>-0.26579920000000001</v>
      </c>
      <c r="Z3338">
        <v>1.9600900000000001E-2</v>
      </c>
      <c r="AA3338">
        <v>0.96382909999999999</v>
      </c>
      <c r="AB3338">
        <v>33</v>
      </c>
      <c r="AC3338">
        <v>15.388999999999999</v>
      </c>
      <c r="AD3338">
        <v>-1.02254654999999</v>
      </c>
      <c r="AE3338">
        <v>-49.854900000000001</v>
      </c>
      <c r="AF3338">
        <v>-13.911782458531601</v>
      </c>
      <c r="AG3338">
        <v>-1.02254654999999</v>
      </c>
      <c r="AH3338">
        <v>50.2663374945801</v>
      </c>
      <c r="AI3338">
        <v>91.123172041111999</v>
      </c>
      <c r="AJ3338">
        <v>105.470034734514</v>
      </c>
      <c r="AK3338">
        <v>52.165965703123398</v>
      </c>
      <c r="AL3338">
        <v>81.932218641567701</v>
      </c>
      <c r="AM3338">
        <v>89.811725592062999</v>
      </c>
      <c r="AN3338">
        <v>1.0000000126495601</v>
      </c>
    </row>
    <row r="3339" spans="1:40" x14ac:dyDescent="0.3">
      <c r="A3339" t="str">
        <f>"20200111150016945"</f>
        <v>20200111150016945</v>
      </c>
      <c r="B3339" t="str">
        <f>"1578726016939369"</f>
        <v>1578726016939369</v>
      </c>
      <c r="C3339" t="s">
        <v>40</v>
      </c>
      <c r="D3339">
        <v>4.5247199999999896</v>
      </c>
      <c r="E3339">
        <v>0.39610709999999999</v>
      </c>
      <c r="F3339" t="s">
        <v>43</v>
      </c>
      <c r="G3339">
        <v>-471.9658</v>
      </c>
      <c r="H3339">
        <v>-0.05</v>
      </c>
      <c r="I3339">
        <v>197.22649999999999</v>
      </c>
      <c r="J3339">
        <v>-489.81079999999997</v>
      </c>
      <c r="K3339">
        <v>1.1025400000000001</v>
      </c>
      <c r="L3339">
        <v>255.31200000000001</v>
      </c>
      <c r="M3339">
        <v>2.761485E-2</v>
      </c>
      <c r="N3339">
        <v>0</v>
      </c>
      <c r="O3339">
        <v>-0.99951120000000004</v>
      </c>
      <c r="P3339">
        <v>2.5861240000000001E-2</v>
      </c>
      <c r="Q3339">
        <v>0.1270413</v>
      </c>
      <c r="R3339">
        <v>-0.99156049999999996</v>
      </c>
      <c r="S3339">
        <v>0.92123409999999994</v>
      </c>
      <c r="T3339">
        <v>-5.9485910000000003E-2</v>
      </c>
      <c r="U3339">
        <v>-3.0077970000000001</v>
      </c>
      <c r="V3339">
        <v>2.4155790000000002E-3</v>
      </c>
      <c r="W3339">
        <v>0.14155400000000001</v>
      </c>
      <c r="X3339">
        <v>0.98992760000000002</v>
      </c>
      <c r="Y3339">
        <v>-0.26628239999999997</v>
      </c>
      <c r="Z3339">
        <v>1.8970359999999999E-2</v>
      </c>
      <c r="AA3339">
        <v>0.96370829999999996</v>
      </c>
      <c r="AB3339">
        <v>33</v>
      </c>
      <c r="AC3339">
        <v>17.844999999999899</v>
      </c>
      <c r="AD3339">
        <v>-1.1525399999999999</v>
      </c>
      <c r="AE3339">
        <v>-58.085500000000003</v>
      </c>
      <c r="AF3339">
        <v>-16.228160303902801</v>
      </c>
      <c r="AG3339">
        <v>-1.1525399999999999</v>
      </c>
      <c r="AH3339">
        <v>58.5351252193961</v>
      </c>
      <c r="AI3339">
        <v>91.087001576294298</v>
      </c>
      <c r="AJ3339">
        <v>105.49539473964499</v>
      </c>
      <c r="AK3339">
        <v>60.7539498283951</v>
      </c>
      <c r="AL3339">
        <v>81.862220580912705</v>
      </c>
      <c r="AM3339">
        <v>89.860189566305905</v>
      </c>
      <c r="AN3339">
        <v>1.00000001158983</v>
      </c>
    </row>
    <row r="3340" spans="1:40" x14ac:dyDescent="0.3">
      <c r="A3340" t="str">
        <f>"20200111150016957"</f>
        <v>20200111150016957</v>
      </c>
      <c r="B3340" t="str">
        <f>"1578726016948878"</f>
        <v>1578726016948878</v>
      </c>
      <c r="C3340" t="s">
        <v>40</v>
      </c>
      <c r="D3340">
        <v>4.496162</v>
      </c>
      <c r="E3340">
        <v>0.3962041</v>
      </c>
      <c r="F3340" t="s">
        <v>43</v>
      </c>
      <c r="G3340">
        <v>-471.22949999999997</v>
      </c>
      <c r="H3340">
        <v>-0.05</v>
      </c>
      <c r="I3340">
        <v>194.4847</v>
      </c>
      <c r="J3340">
        <v>-489.80709999999999</v>
      </c>
      <c r="K3340">
        <v>1.1025370000000001</v>
      </c>
      <c r="L3340">
        <v>255.119</v>
      </c>
      <c r="M3340">
        <v>2.5841820000000001E-2</v>
      </c>
      <c r="N3340">
        <v>0</v>
      </c>
      <c r="O3340">
        <v>-0.99955870000000002</v>
      </c>
      <c r="P3340">
        <v>2.4651630000000001E-2</v>
      </c>
      <c r="Q3340">
        <v>0.12767510000000001</v>
      </c>
      <c r="R3340">
        <v>-0.99150970000000005</v>
      </c>
      <c r="S3340">
        <v>0.91912839999999996</v>
      </c>
      <c r="T3340">
        <v>-5.7010650000000003E-2</v>
      </c>
      <c r="U3340">
        <v>-3.0088349999999999</v>
      </c>
      <c r="V3340">
        <v>1.8707870000000001E-3</v>
      </c>
      <c r="W3340">
        <v>0.1421789</v>
      </c>
      <c r="X3340">
        <v>0.98983920000000003</v>
      </c>
      <c r="Y3340">
        <v>-0.26728659999999999</v>
      </c>
      <c r="Z3340">
        <v>1.817583E-2</v>
      </c>
      <c r="AA3340">
        <v>0.96344569999999996</v>
      </c>
      <c r="AB3340">
        <v>33</v>
      </c>
      <c r="AC3340">
        <v>18.5776</v>
      </c>
      <c r="AD3340">
        <v>-1.1525369999999999</v>
      </c>
      <c r="AE3340">
        <v>-60.634300000000003</v>
      </c>
      <c r="AF3340">
        <v>-16.998711107805899</v>
      </c>
      <c r="AG3340">
        <v>-1.1525369999999999</v>
      </c>
      <c r="AH3340">
        <v>61.074004384164098</v>
      </c>
      <c r="AI3340">
        <v>91.041528589188999</v>
      </c>
      <c r="AJ3340">
        <v>105.55346594405501</v>
      </c>
      <c r="AK3340">
        <v>63.405981834365697</v>
      </c>
      <c r="AL3340">
        <v>81.826050445785</v>
      </c>
      <c r="AM3340">
        <v>89.891711631706897</v>
      </c>
      <c r="AN3340">
        <v>0.999999990652924</v>
      </c>
    </row>
    <row r="3341" spans="1:40" x14ac:dyDescent="0.3">
      <c r="A3341" t="str">
        <f>"20200111150016973"</f>
        <v>20200111150016973</v>
      </c>
      <c r="B3341" t="str">
        <f>"1578726016969363"</f>
        <v>1578726016969363</v>
      </c>
      <c r="C3341" t="s">
        <v>40</v>
      </c>
      <c r="D3341">
        <v>4.5106909999999996</v>
      </c>
      <c r="E3341">
        <v>0.39613320000000002</v>
      </c>
      <c r="F3341" t="s">
        <v>43</v>
      </c>
      <c r="G3341">
        <v>-471.47109999999998</v>
      </c>
      <c r="H3341">
        <v>-0.05</v>
      </c>
      <c r="I3341">
        <v>194.78190000000001</v>
      </c>
      <c r="J3341">
        <v>-489.80340000000001</v>
      </c>
      <c r="K3341">
        <v>1.1025339999999999</v>
      </c>
      <c r="L3341">
        <v>254.89850000000001</v>
      </c>
      <c r="M3341">
        <v>2.3839860000000001E-2</v>
      </c>
      <c r="N3341">
        <v>0</v>
      </c>
      <c r="O3341">
        <v>-0.99960870000000002</v>
      </c>
      <c r="P3341">
        <v>2.323565E-2</v>
      </c>
      <c r="Q3341">
        <v>0.1283996</v>
      </c>
      <c r="R3341">
        <v>-0.99145050000000001</v>
      </c>
      <c r="S3341">
        <v>0.91482540000000001</v>
      </c>
      <c r="T3341">
        <v>-5.7502749999999998E-2</v>
      </c>
      <c r="U3341">
        <v>-3.0103610000000001</v>
      </c>
      <c r="V3341">
        <v>1.3043239999999999E-3</v>
      </c>
      <c r="W3341">
        <v>0.14289399999999999</v>
      </c>
      <c r="X3341">
        <v>0.98973719999999998</v>
      </c>
      <c r="Y3341">
        <v>-0.26781899999999997</v>
      </c>
      <c r="Z3341">
        <v>1.832752E-2</v>
      </c>
      <c r="AA3341">
        <v>0.96329489999999995</v>
      </c>
      <c r="AB3341">
        <v>33</v>
      </c>
      <c r="AC3341">
        <v>18.3323</v>
      </c>
      <c r="AD3341">
        <v>-1.1525339999999999</v>
      </c>
      <c r="AE3341">
        <v>-60.116599999999998</v>
      </c>
      <c r="AF3341">
        <v>-16.8880847506206</v>
      </c>
      <c r="AG3341">
        <v>-1.1525339999999999</v>
      </c>
      <c r="AH3341">
        <v>60.516246434673803</v>
      </c>
      <c r="AI3341">
        <v>91.050922791343098</v>
      </c>
      <c r="AJ3341">
        <v>105.592661555261</v>
      </c>
      <c r="AK3341">
        <v>62.8390947078924</v>
      </c>
      <c r="AL3341">
        <v>81.784656152484601</v>
      </c>
      <c r="AM3341">
        <v>89.924492868354804</v>
      </c>
      <c r="AN3341">
        <v>1.00000006078046</v>
      </c>
    </row>
    <row r="3342" spans="1:40" x14ac:dyDescent="0.3">
      <c r="A3342" t="str">
        <f>"20200111150016985"</f>
        <v>20200111150016985</v>
      </c>
      <c r="B3342" t="str">
        <f>"1578726016979124"</f>
        <v>1578726016979124</v>
      </c>
      <c r="C3342" t="s">
        <v>40</v>
      </c>
      <c r="D3342">
        <v>4.5069749999999997</v>
      </c>
      <c r="E3342">
        <v>0.39623809999999998</v>
      </c>
      <c r="F3342" t="s">
        <v>43</v>
      </c>
      <c r="G3342">
        <v>-470.29349999999999</v>
      </c>
      <c r="H3342">
        <v>-0.05</v>
      </c>
      <c r="I3342">
        <v>190.44669999999999</v>
      </c>
      <c r="J3342">
        <v>-489.80059999999997</v>
      </c>
      <c r="K3342">
        <v>1.102528</v>
      </c>
      <c r="L3342">
        <v>254.71709999999999</v>
      </c>
      <c r="M3342">
        <v>2.2206480000000001E-2</v>
      </c>
      <c r="N3342">
        <v>0</v>
      </c>
      <c r="O3342">
        <v>-0.99964649999999999</v>
      </c>
      <c r="P3342">
        <v>2.165508E-2</v>
      </c>
      <c r="Q3342">
        <v>0.12893109999999999</v>
      </c>
      <c r="R3342">
        <v>-0.9914174</v>
      </c>
      <c r="S3342">
        <v>0.91159060000000003</v>
      </c>
      <c r="T3342">
        <v>-5.3851490000000002E-2</v>
      </c>
      <c r="U3342">
        <v>-3.0114749999999999</v>
      </c>
      <c r="V3342">
        <v>1.2666649999999999E-3</v>
      </c>
      <c r="W3342">
        <v>0.14341590000000001</v>
      </c>
      <c r="X3342">
        <v>0.98966169999999998</v>
      </c>
      <c r="Y3342">
        <v>-0.26835249999999999</v>
      </c>
      <c r="Z3342">
        <v>1.7160370000000001E-2</v>
      </c>
      <c r="AA3342">
        <v>0.96316789999999997</v>
      </c>
      <c r="AB3342">
        <v>33</v>
      </c>
      <c r="AC3342">
        <v>19.507099999999902</v>
      </c>
      <c r="AD3342">
        <v>-1.152528</v>
      </c>
      <c r="AE3342">
        <v>-64.270399999999995</v>
      </c>
      <c r="AF3342">
        <v>-18.0695961522805</v>
      </c>
      <c r="AG3342">
        <v>-1.152528</v>
      </c>
      <c r="AH3342">
        <v>64.668736594964102</v>
      </c>
      <c r="AI3342">
        <v>90.983360473291</v>
      </c>
      <c r="AJ3342">
        <v>105.611309324671</v>
      </c>
      <c r="AK3342">
        <v>67.155670785765693</v>
      </c>
      <c r="AL3342">
        <v>81.754441809770995</v>
      </c>
      <c r="AM3342">
        <v>89.926667346096096</v>
      </c>
      <c r="AN3342">
        <v>1.00000000262996</v>
      </c>
    </row>
    <row r="3343" spans="1:40" x14ac:dyDescent="0.3">
      <c r="A3343" t="str">
        <f>"20200111150016998"</f>
        <v>20200111150016998</v>
      </c>
      <c r="B3343" t="str">
        <f>"1578726016988883"</f>
        <v>1578726016988883</v>
      </c>
      <c r="C3343" t="s">
        <v>40</v>
      </c>
      <c r="D3343">
        <v>4.4999789999999997</v>
      </c>
      <c r="E3343">
        <v>0.39633309999999999</v>
      </c>
      <c r="F3343" t="s">
        <v>43</v>
      </c>
      <c r="G3343">
        <v>-470.3544</v>
      </c>
      <c r="H3343">
        <v>-0.05</v>
      </c>
      <c r="I3343">
        <v>190.05199999999999</v>
      </c>
      <c r="J3343">
        <v>-489.7978</v>
      </c>
      <c r="K3343">
        <v>1.10253</v>
      </c>
      <c r="L3343">
        <v>254.5172</v>
      </c>
      <c r="M3343">
        <v>2.0422719999999998E-2</v>
      </c>
      <c r="N3343">
        <v>0</v>
      </c>
      <c r="O3343">
        <v>-0.99968480000000004</v>
      </c>
      <c r="P3343">
        <v>1.9992840000000001E-2</v>
      </c>
      <c r="Q3343">
        <v>0.1291601</v>
      </c>
      <c r="R3343">
        <v>-0.99142269999999999</v>
      </c>
      <c r="S3343">
        <v>0.90612789999999999</v>
      </c>
      <c r="T3343">
        <v>-5.370378E-2</v>
      </c>
      <c r="U3343">
        <v>-3.0131679999999998</v>
      </c>
      <c r="V3343">
        <v>1.1595990000000001E-3</v>
      </c>
      <c r="W3343">
        <v>0.1436354</v>
      </c>
      <c r="X3343">
        <v>0.98963000000000001</v>
      </c>
      <c r="Y3343">
        <v>-0.26832089999999997</v>
      </c>
      <c r="Z3343">
        <v>1.7109559999999999E-2</v>
      </c>
      <c r="AA3343">
        <v>0.96317759999999997</v>
      </c>
      <c r="AB3343">
        <v>33</v>
      </c>
      <c r="AC3343">
        <v>19.4434</v>
      </c>
      <c r="AD3343">
        <v>-1.1525299999999901</v>
      </c>
      <c r="AE3343">
        <v>-64.465199999999896</v>
      </c>
      <c r="AF3343">
        <v>-18.117340747548401</v>
      </c>
      <c r="AG3343">
        <v>-1.1525299999999901</v>
      </c>
      <c r="AH3343">
        <v>64.829887359974293</v>
      </c>
      <c r="AI3343">
        <v>90.980907616603005</v>
      </c>
      <c r="AJ3343">
        <v>105.61353599625301</v>
      </c>
      <c r="AK3343">
        <v>67.323700553895804</v>
      </c>
      <c r="AL3343">
        <v>81.741733833664497</v>
      </c>
      <c r="AM3343">
        <v>89.932863698331403</v>
      </c>
      <c r="AN3343">
        <v>1.0000000048515001</v>
      </c>
    </row>
    <row r="3344" spans="1:40" x14ac:dyDescent="0.3">
      <c r="A3344" t="str">
        <f>"20200111150017012"</f>
        <v>20200111150017012</v>
      </c>
      <c r="B3344" t="str">
        <f>"1578726016999620"</f>
        <v>1578726016999620</v>
      </c>
      <c r="C3344" t="s">
        <v>40</v>
      </c>
      <c r="D3344">
        <v>4.4883150000000001</v>
      </c>
      <c r="E3344">
        <v>0.39635720000000002</v>
      </c>
      <c r="F3344" t="s">
        <v>43</v>
      </c>
      <c r="G3344">
        <v>-471.03469999999999</v>
      </c>
      <c r="H3344">
        <v>-0.05</v>
      </c>
      <c r="I3344">
        <v>191.70760000000001</v>
      </c>
      <c r="J3344">
        <v>-489.79570000000001</v>
      </c>
      <c r="K3344">
        <v>1.102536</v>
      </c>
      <c r="L3344">
        <v>254.33369999999999</v>
      </c>
      <c r="M3344">
        <v>1.8804299999999999E-2</v>
      </c>
      <c r="N3344">
        <v>0</v>
      </c>
      <c r="O3344">
        <v>-0.99971659999999996</v>
      </c>
      <c r="P3344">
        <v>1.8316019999999999E-2</v>
      </c>
      <c r="Q3344">
        <v>0.12884000000000001</v>
      </c>
      <c r="R3344">
        <v>-0.99149640000000006</v>
      </c>
      <c r="S3344">
        <v>0.9006653</v>
      </c>
      <c r="T3344">
        <v>-5.532372E-2</v>
      </c>
      <c r="U3344">
        <v>-3.0149840000000001</v>
      </c>
      <c r="V3344">
        <v>1.2279599999999999E-3</v>
      </c>
      <c r="W3344">
        <v>0.143308299999999</v>
      </c>
      <c r="X3344">
        <v>0.98967729999999998</v>
      </c>
      <c r="Y3344">
        <v>-0.26811659999999998</v>
      </c>
      <c r="Z3344">
        <v>1.762118E-2</v>
      </c>
      <c r="AA3344">
        <v>0.96322529999999995</v>
      </c>
      <c r="AB3344">
        <v>33</v>
      </c>
      <c r="AC3344">
        <v>18.760999999999999</v>
      </c>
      <c r="AD3344">
        <v>-1.152536</v>
      </c>
      <c r="AE3344">
        <v>-62.626099999999902</v>
      </c>
      <c r="AF3344">
        <v>-17.5744545045455</v>
      </c>
      <c r="AG3344">
        <v>-1.152536</v>
      </c>
      <c r="AH3344">
        <v>62.948285366846001</v>
      </c>
      <c r="AI3344">
        <v>91.010298331421694</v>
      </c>
      <c r="AJ3344">
        <v>105.599136561311</v>
      </c>
      <c r="AK3344">
        <v>65.365712885193204</v>
      </c>
      <c r="AL3344">
        <v>81.760670891175394</v>
      </c>
      <c r="AM3344">
        <v>89.928909262336305</v>
      </c>
      <c r="AN3344">
        <v>0.99999996743496999</v>
      </c>
    </row>
    <row r="3345" spans="1:40" x14ac:dyDescent="0.3">
      <c r="A3345" t="str">
        <f>"20200111150017024"</f>
        <v>20200111150017024</v>
      </c>
      <c r="B3345" t="str">
        <f>"1578726017019139"</f>
        <v>1578726017019139</v>
      </c>
      <c r="C3345" t="s">
        <v>40</v>
      </c>
      <c r="D3345">
        <v>4.5310069999999998</v>
      </c>
      <c r="E3345">
        <v>0.39605439999999997</v>
      </c>
      <c r="F3345" t="s">
        <v>43</v>
      </c>
      <c r="G3345">
        <v>-471.87970000000001</v>
      </c>
      <c r="H3345">
        <v>-0.05</v>
      </c>
      <c r="I3345">
        <v>193.9376</v>
      </c>
      <c r="J3345">
        <v>-489.79360000000003</v>
      </c>
      <c r="K3345">
        <v>1.1025469999999999</v>
      </c>
      <c r="L3345">
        <v>254.13900000000001</v>
      </c>
      <c r="M3345">
        <v>1.7097279999999999E-2</v>
      </c>
      <c r="N3345">
        <v>0</v>
      </c>
      <c r="O3345">
        <v>-0.99974739999999995</v>
      </c>
      <c r="P3345">
        <v>1.6619950000000001E-2</v>
      </c>
      <c r="Q3345">
        <v>0.1281263</v>
      </c>
      <c r="R3345">
        <v>-0.99161860000000002</v>
      </c>
      <c r="S3345">
        <v>0.89486690000000002</v>
      </c>
      <c r="T3345">
        <v>-5.7566880000000001E-2</v>
      </c>
      <c r="U3345">
        <v>-3.0166629999999999</v>
      </c>
      <c r="V3345">
        <v>1.225215E-3</v>
      </c>
      <c r="W3345">
        <v>0.1425881</v>
      </c>
      <c r="X3345">
        <v>0.98978140000000003</v>
      </c>
      <c r="Y3345">
        <v>-0.26791009999999998</v>
      </c>
      <c r="Z3345">
        <v>1.8331940000000001E-2</v>
      </c>
      <c r="AA3345">
        <v>0.9632695</v>
      </c>
      <c r="AB3345">
        <v>33</v>
      </c>
      <c r="AC3345">
        <v>17.913900000000002</v>
      </c>
      <c r="AD3345">
        <v>-1.152547</v>
      </c>
      <c r="AE3345">
        <v>-60.2014</v>
      </c>
      <c r="AF3345">
        <v>-16.876208840307601</v>
      </c>
      <c r="AG3345">
        <v>-1.152547</v>
      </c>
      <c r="AH3345">
        <v>60.478546298643501</v>
      </c>
      <c r="AI3345">
        <v>91.051595708659306</v>
      </c>
      <c r="AJ3345">
        <v>105.591470563511</v>
      </c>
      <c r="AK3345">
        <v>62.799596748753501</v>
      </c>
      <c r="AL3345">
        <v>81.802364118428798</v>
      </c>
      <c r="AM3345">
        <v>89.929075639691405</v>
      </c>
      <c r="AN3345">
        <v>1.0000000435996801</v>
      </c>
    </row>
    <row r="3346" spans="1:40" x14ac:dyDescent="0.3">
      <c r="A3346" t="str">
        <f>"20200111150017041"</f>
        <v>20200111150017041</v>
      </c>
      <c r="B3346" t="str">
        <f>"1578726017028900"</f>
        <v>1578726017028900</v>
      </c>
      <c r="C3346" t="s">
        <v>40</v>
      </c>
      <c r="D3346">
        <v>4.564101</v>
      </c>
      <c r="E3346">
        <v>0.39588279999999998</v>
      </c>
      <c r="F3346" t="s">
        <v>43</v>
      </c>
      <c r="G3346">
        <v>-471.97609999999997</v>
      </c>
      <c r="H3346">
        <v>-0.05</v>
      </c>
      <c r="I3346">
        <v>193.9117</v>
      </c>
      <c r="J3346">
        <v>-489.79160000000002</v>
      </c>
      <c r="K3346">
        <v>1.102552</v>
      </c>
      <c r="L3346">
        <v>253.90770000000001</v>
      </c>
      <c r="M3346">
        <v>1.508555E-2</v>
      </c>
      <c r="N3346">
        <v>0</v>
      </c>
      <c r="O3346">
        <v>-0.99978</v>
      </c>
      <c r="P3346">
        <v>1.4249680000000001E-2</v>
      </c>
      <c r="Q3346">
        <v>0.12601899999999999</v>
      </c>
      <c r="R3346">
        <v>-0.99192570000000002</v>
      </c>
      <c r="S3346">
        <v>0.89279169999999997</v>
      </c>
      <c r="T3346">
        <v>-5.7751179999999999E-2</v>
      </c>
      <c r="U3346">
        <v>-3.0178379999999998</v>
      </c>
      <c r="V3346">
        <v>1.5865530000000001E-3</v>
      </c>
      <c r="W3346">
        <v>0.1404743</v>
      </c>
      <c r="X3346">
        <v>0.99008300000000005</v>
      </c>
      <c r="Y3346">
        <v>-0.26913700000000002</v>
      </c>
      <c r="Z3346">
        <v>1.8383210000000001E-2</v>
      </c>
      <c r="AA3346">
        <v>0.96292639999999996</v>
      </c>
      <c r="AB3346">
        <v>33</v>
      </c>
      <c r="AC3346">
        <v>17.8155</v>
      </c>
      <c r="AD3346">
        <v>-1.152552</v>
      </c>
      <c r="AE3346">
        <v>-59.996000000000002</v>
      </c>
      <c r="AF3346">
        <v>-16.9025711870222</v>
      </c>
      <c r="AG3346">
        <v>-1.152552</v>
      </c>
      <c r="AH3346">
        <v>60.2375276899065</v>
      </c>
      <c r="AI3346">
        <v>91.055381289277605</v>
      </c>
      <c r="AJ3346">
        <v>105.674049973705</v>
      </c>
      <c r="AK3346">
        <v>62.574635684415298</v>
      </c>
      <c r="AL3346">
        <v>81.924706700248805</v>
      </c>
      <c r="AM3346">
        <v>89.908186775183097</v>
      </c>
      <c r="AN3346">
        <v>0.99999994649995405</v>
      </c>
    </row>
    <row r="3347" spans="1:40" x14ac:dyDescent="0.3">
      <c r="A3347" t="str">
        <f>"20200111150017053"</f>
        <v>20200111150017053</v>
      </c>
      <c r="B3347" t="str">
        <f>"1578726017049395"</f>
        <v>1578726017049395</v>
      </c>
      <c r="C3347" t="s">
        <v>40</v>
      </c>
      <c r="D3347">
        <v>4.5586099999999998</v>
      </c>
      <c r="E3347">
        <v>0.3955746</v>
      </c>
      <c r="F3347" t="s">
        <v>52</v>
      </c>
      <c r="G3347">
        <v>-475.44630000000001</v>
      </c>
      <c r="H3347">
        <v>7.9999349999999997E-2</v>
      </c>
      <c r="I3347">
        <v>205.05779999999999</v>
      </c>
      <c r="J3347">
        <v>-489.79050000000001</v>
      </c>
      <c r="K3347">
        <v>1.1025670000000001</v>
      </c>
      <c r="L3347">
        <v>253.72550000000001</v>
      </c>
      <c r="M3347">
        <v>1.3518169999999999E-2</v>
      </c>
      <c r="N3347">
        <v>0</v>
      </c>
      <c r="O3347">
        <v>-0.99980239999999998</v>
      </c>
      <c r="P3347">
        <v>1.256529E-2</v>
      </c>
      <c r="Q3347">
        <v>0.1256852</v>
      </c>
      <c r="R3347">
        <v>-0.99199059999999994</v>
      </c>
      <c r="S3347">
        <v>0.88677980000000001</v>
      </c>
      <c r="T3347">
        <v>-6.3210730000000007E-2</v>
      </c>
      <c r="U3347">
        <v>-3.01973</v>
      </c>
      <c r="V3347">
        <v>1.7100069999999999E-3</v>
      </c>
      <c r="W3347">
        <v>0.14013399999999901</v>
      </c>
      <c r="X3347">
        <v>0.99013110000000004</v>
      </c>
      <c r="Y3347">
        <v>-0.26870939999999999</v>
      </c>
      <c r="Z3347">
        <v>2.0115750000000002E-2</v>
      </c>
      <c r="AA3347">
        <v>0.96301119999999996</v>
      </c>
      <c r="AB3347">
        <v>33</v>
      </c>
      <c r="AC3347">
        <v>14.344200000000001</v>
      </c>
      <c r="AD3347">
        <v>-1.0225676500000001</v>
      </c>
      <c r="AE3347">
        <v>-48.667700000000004</v>
      </c>
      <c r="AF3347">
        <v>-13.6793645329646</v>
      </c>
      <c r="AG3347">
        <v>-1.0225676500000001</v>
      </c>
      <c r="AH3347">
        <v>48.837342957975501</v>
      </c>
      <c r="AI3347">
        <v>91.155054670115604</v>
      </c>
      <c r="AJ3347">
        <v>105.647586301643</v>
      </c>
      <c r="AK3347">
        <v>50.7272779263728</v>
      </c>
      <c r="AL3347">
        <v>81.944399910976202</v>
      </c>
      <c r="AM3347">
        <v>89.901047359661106</v>
      </c>
      <c r="AN3347">
        <v>1.00000002863357</v>
      </c>
    </row>
    <row r="3348" spans="1:40" x14ac:dyDescent="0.3">
      <c r="A3348" t="str">
        <f>"20200111150017065"</f>
        <v>20200111150017065</v>
      </c>
      <c r="B3348" t="str">
        <f>"1578726017059158"</f>
        <v>1578726017059158</v>
      </c>
      <c r="C3348" t="s">
        <v>40</v>
      </c>
      <c r="D3348">
        <v>4.4986410000000001</v>
      </c>
      <c r="E3348">
        <v>0.39556950000000002</v>
      </c>
      <c r="F3348" t="s">
        <v>61</v>
      </c>
      <c r="G3348">
        <v>-475.90260000000001</v>
      </c>
      <c r="H3348">
        <v>0.1067128</v>
      </c>
      <c r="I3348">
        <v>206.27760000000001</v>
      </c>
      <c r="J3348">
        <v>-489.78949999999998</v>
      </c>
      <c r="K3348">
        <v>1.102581</v>
      </c>
      <c r="L3348">
        <v>253.5421</v>
      </c>
      <c r="M3348">
        <v>1.1945000000000001E-2</v>
      </c>
      <c r="N3348">
        <v>0</v>
      </c>
      <c r="O3348">
        <v>-0.99982260000000001</v>
      </c>
      <c r="P3348">
        <v>1.082905E-2</v>
      </c>
      <c r="Q3348">
        <v>0.12564259999999999</v>
      </c>
      <c r="R3348">
        <v>-0.99201680000000003</v>
      </c>
      <c r="S3348">
        <v>0.8842468</v>
      </c>
      <c r="T3348">
        <v>-6.3406710000000005E-2</v>
      </c>
      <c r="U3348">
        <v>-3.021042</v>
      </c>
      <c r="V3348">
        <v>1.880727E-3</v>
      </c>
      <c r="W3348">
        <v>0.14008489999999901</v>
      </c>
      <c r="X3348">
        <v>0.99013770000000001</v>
      </c>
      <c r="Y3348">
        <v>-0.26936789999999999</v>
      </c>
      <c r="Z3348">
        <v>2.017074E-2</v>
      </c>
      <c r="AA3348">
        <v>0.96282610000000002</v>
      </c>
      <c r="AB3348">
        <v>33</v>
      </c>
      <c r="AC3348">
        <v>13.886899999999899</v>
      </c>
      <c r="AD3348">
        <v>-0.99586819999999998</v>
      </c>
      <c r="AE3348">
        <v>-47.264499999999998</v>
      </c>
      <c r="AF3348">
        <v>-13.3158329201157</v>
      </c>
      <c r="AG3348">
        <v>-0.99586819999999998</v>
      </c>
      <c r="AH3348">
        <v>47.407649739251902</v>
      </c>
      <c r="AI3348">
        <v>91.158584290563994</v>
      </c>
      <c r="AJ3348">
        <v>105.68895940983199</v>
      </c>
      <c r="AK3348">
        <v>49.252293485966703</v>
      </c>
      <c r="AL3348">
        <v>81.947240851794206</v>
      </c>
      <c r="AM3348">
        <v>89.891169086964496</v>
      </c>
      <c r="AN3348">
        <v>0.999999990651674</v>
      </c>
    </row>
    <row r="3349" spans="1:40" x14ac:dyDescent="0.3">
      <c r="A3349" t="str">
        <f>"20200111150017077"</f>
        <v>20200111150017077</v>
      </c>
      <c r="B3349" t="str">
        <f>"1578726017068916"</f>
        <v>1578726017068916</v>
      </c>
      <c r="C3349" t="s">
        <v>40</v>
      </c>
      <c r="D3349">
        <v>4.5109719999999998</v>
      </c>
      <c r="E3349">
        <v>0.39559450000000002</v>
      </c>
      <c r="F3349" t="s">
        <v>52</v>
      </c>
      <c r="G3349">
        <v>-476.07749999999999</v>
      </c>
      <c r="H3349">
        <v>7.9999559999999997E-2</v>
      </c>
      <c r="I3349">
        <v>206.41579999999999</v>
      </c>
      <c r="J3349">
        <v>-489.78879999999998</v>
      </c>
      <c r="K3349">
        <v>1.102595</v>
      </c>
      <c r="L3349">
        <v>253.36340000000001</v>
      </c>
      <c r="M3349">
        <v>1.042096E-2</v>
      </c>
      <c r="N3349">
        <v>0</v>
      </c>
      <c r="O3349">
        <v>-0.9998397</v>
      </c>
      <c r="P3349">
        <v>8.9380999999999992E-3</v>
      </c>
      <c r="Q3349">
        <v>0.1262105</v>
      </c>
      <c r="R3349">
        <v>-0.99196359999999995</v>
      </c>
      <c r="S3349">
        <v>0.87954709999999903</v>
      </c>
      <c r="T3349">
        <v>-6.5592650000000002E-2</v>
      </c>
      <c r="U3349">
        <v>-3.0228730000000001</v>
      </c>
      <c r="V3349">
        <v>2.2578310000000001E-3</v>
      </c>
      <c r="W3349">
        <v>0.14064380000000001</v>
      </c>
      <c r="X3349">
        <v>0.99005770000000004</v>
      </c>
      <c r="Y3349">
        <v>-0.26929509999999901</v>
      </c>
      <c r="Z3349">
        <v>2.0858890000000001E-2</v>
      </c>
      <c r="AA3349">
        <v>0.96283180000000002</v>
      </c>
      <c r="AB3349">
        <v>33</v>
      </c>
      <c r="AC3349">
        <v>13.7112999999999</v>
      </c>
      <c r="AD3349">
        <v>-1.0225954399999999</v>
      </c>
      <c r="AE3349">
        <v>-46.947600000000001</v>
      </c>
      <c r="AF3349">
        <v>-13.215487221119901</v>
      </c>
      <c r="AG3349">
        <v>-1.0225954399999999</v>
      </c>
      <c r="AH3349">
        <v>47.0673746737952</v>
      </c>
      <c r="AI3349">
        <v>91.198299560066701</v>
      </c>
      <c r="AJ3349">
        <v>105.68357791632999</v>
      </c>
      <c r="AK3349">
        <v>48.898185678089497</v>
      </c>
      <c r="AL3349">
        <v>81.914898223744302</v>
      </c>
      <c r="AM3349">
        <v>89.869336945823406</v>
      </c>
      <c r="AN3349">
        <v>1.0000000128042701</v>
      </c>
    </row>
    <row r="3350" spans="1:40" x14ac:dyDescent="0.3">
      <c r="A3350" t="str">
        <f>"20200111150017089"</f>
        <v>20200111150017089</v>
      </c>
      <c r="B3350" t="str">
        <f>"1578726017079651"</f>
        <v>1578726017079651</v>
      </c>
      <c r="C3350" t="s">
        <v>40</v>
      </c>
      <c r="D3350">
        <v>4.5450429999999997</v>
      </c>
      <c r="E3350">
        <v>0.3956306</v>
      </c>
      <c r="F3350" t="s">
        <v>52</v>
      </c>
      <c r="G3350">
        <v>-476.19990000000001</v>
      </c>
      <c r="H3350">
        <v>7.9999570000000006E-2</v>
      </c>
      <c r="I3350">
        <v>206.2911</v>
      </c>
      <c r="J3350">
        <v>-489.7885</v>
      </c>
      <c r="K3350">
        <v>1.1026119999999999</v>
      </c>
      <c r="L3350">
        <v>253.1925</v>
      </c>
      <c r="M3350">
        <v>8.9708159999999995E-3</v>
      </c>
      <c r="N3350">
        <v>0</v>
      </c>
      <c r="O3350">
        <v>-0.99985380000000001</v>
      </c>
      <c r="P3350">
        <v>6.9078119999999897E-3</v>
      </c>
      <c r="Q3350">
        <v>0.1266805</v>
      </c>
      <c r="R3350">
        <v>-0.99191980000000002</v>
      </c>
      <c r="S3350">
        <v>0.87319950000000002</v>
      </c>
      <c r="T3350">
        <v>-6.5710069999999995E-2</v>
      </c>
      <c r="U3350">
        <v>-3.0247799999999998</v>
      </c>
      <c r="V3350">
        <v>2.847441E-3</v>
      </c>
      <c r="W3350">
        <v>0.1411046</v>
      </c>
      <c r="X3350">
        <v>0.98999060000000005</v>
      </c>
      <c r="Y3350">
        <v>-0.26866469999999998</v>
      </c>
      <c r="Z3350">
        <v>2.0891860000000002E-2</v>
      </c>
      <c r="AA3350">
        <v>0.96300719999999995</v>
      </c>
      <c r="AB3350">
        <v>33</v>
      </c>
      <c r="AC3350">
        <v>13.5885999999999</v>
      </c>
      <c r="AD3350">
        <v>-1.0226124299999999</v>
      </c>
      <c r="AE3350">
        <v>-46.901400000000002</v>
      </c>
      <c r="AF3350">
        <v>-13.161492371961</v>
      </c>
      <c r="AG3350">
        <v>-1.0226124299999999</v>
      </c>
      <c r="AH3350">
        <v>47.000812686571798</v>
      </c>
      <c r="AI3350">
        <v>91.200250302866905</v>
      </c>
      <c r="AJ3350">
        <v>105.64367621667201</v>
      </c>
      <c r="AK3350">
        <v>48.819535135408501</v>
      </c>
      <c r="AL3350">
        <v>81.888230296103103</v>
      </c>
      <c r="AM3350">
        <v>89.835204595045894</v>
      </c>
      <c r="AN3350">
        <v>1.00000000207488</v>
      </c>
    </row>
    <row r="3351" spans="1:40" x14ac:dyDescent="0.3">
      <c r="A3351" t="str">
        <f>"20200111150017102"</f>
        <v>20200111150017102</v>
      </c>
      <c r="B3351" t="str">
        <f>"1578726017099171"</f>
        <v>1578726017099171</v>
      </c>
      <c r="C3351" t="s">
        <v>40</v>
      </c>
      <c r="D3351">
        <v>4.4714479999999996</v>
      </c>
      <c r="E3351">
        <v>0.44594919999999999</v>
      </c>
      <c r="F3351" t="s">
        <v>61</v>
      </c>
      <c r="G3351">
        <v>-476.34530000000001</v>
      </c>
      <c r="H3351">
        <v>8.5831580000000005E-2</v>
      </c>
      <c r="I3351">
        <v>206.27760000000001</v>
      </c>
      <c r="J3351">
        <v>-489.78829999999999</v>
      </c>
      <c r="K3351">
        <v>1.1026279999999999</v>
      </c>
      <c r="L3351">
        <v>253.00450000000001</v>
      </c>
      <c r="M3351">
        <v>7.3799290000000003E-3</v>
      </c>
      <c r="N3351">
        <v>0</v>
      </c>
      <c r="O3351">
        <v>-0.9998669</v>
      </c>
      <c r="P3351">
        <v>4.5276730000000003E-3</v>
      </c>
      <c r="Q3351">
        <v>0.12712599999999999</v>
      </c>
      <c r="R3351">
        <v>-0.99187650000000005</v>
      </c>
      <c r="S3351">
        <v>0.86730959999999901</v>
      </c>
      <c r="T3351">
        <v>-6.5599320000000003E-2</v>
      </c>
      <c r="U3351">
        <v>-3.0267940000000002</v>
      </c>
      <c r="V3351">
        <v>3.6469010000000001E-3</v>
      </c>
      <c r="W3351">
        <v>0.14153929999999901</v>
      </c>
      <c r="X3351">
        <v>0.98992590000000003</v>
      </c>
      <c r="Y3351">
        <v>-0.26829589999999998</v>
      </c>
      <c r="Z3351">
        <v>2.0850339999999998E-2</v>
      </c>
      <c r="AA3351">
        <v>0.96311089999999999</v>
      </c>
      <c r="AB3351">
        <v>33</v>
      </c>
      <c r="AC3351">
        <v>13.4429999999999</v>
      </c>
      <c r="AD3351">
        <v>-1.0167964199999999</v>
      </c>
      <c r="AE3351">
        <v>-46.726900000000001</v>
      </c>
      <c r="AF3351">
        <v>-13.0920307251514</v>
      </c>
      <c r="AG3351">
        <v>-1.0167964199999999</v>
      </c>
      <c r="AH3351">
        <v>46.804377677661797</v>
      </c>
      <c r="AI3351">
        <v>91.198529285476695</v>
      </c>
      <c r="AJ3351">
        <v>105.627266924588</v>
      </c>
      <c r="AK3351">
        <v>48.611571804059601</v>
      </c>
      <c r="AL3351">
        <v>81.863071139793306</v>
      </c>
      <c r="AM3351">
        <v>89.788922493781101</v>
      </c>
      <c r="AN3351">
        <v>0.99999998041110105</v>
      </c>
    </row>
    <row r="3352" spans="1:40" x14ac:dyDescent="0.3">
      <c r="A3352" t="str">
        <f>"20200111150017119"</f>
        <v>20200111150017119</v>
      </c>
      <c r="B3352" t="str">
        <f>"1578726017108934"</f>
        <v>1578726017108934</v>
      </c>
      <c r="C3352" t="s">
        <v>40</v>
      </c>
      <c r="D3352">
        <v>4.4827599999999999</v>
      </c>
      <c r="E3352">
        <v>0.46220919999999999</v>
      </c>
      <c r="F3352" t="s">
        <v>52</v>
      </c>
      <c r="G3352">
        <v>-482.08030000000002</v>
      </c>
      <c r="H3352" s="1">
        <v>3.2507269999999999E-7</v>
      </c>
      <c r="I3352">
        <v>202.07149999999999</v>
      </c>
      <c r="J3352">
        <v>-489.78859999999997</v>
      </c>
      <c r="K3352">
        <v>1.1026469999999999</v>
      </c>
      <c r="L3352">
        <v>252.75710000000001</v>
      </c>
      <c r="M3352">
        <v>5.299181E-3</v>
      </c>
      <c r="N3352">
        <v>0</v>
      </c>
      <c r="O3352">
        <v>-0.99987990000000004</v>
      </c>
      <c r="P3352">
        <v>6.1599690000000004E-4</v>
      </c>
      <c r="Q3352">
        <v>0.12644159999999999</v>
      </c>
      <c r="R3352">
        <v>-0.99197380000000002</v>
      </c>
      <c r="S3352">
        <v>0.45867920000000001</v>
      </c>
      <c r="T3352">
        <v>-6.5614099999999995E-2</v>
      </c>
      <c r="U3352">
        <v>-3.030869</v>
      </c>
      <c r="V3352">
        <v>5.4850219999999896E-3</v>
      </c>
      <c r="W3352">
        <v>0.140839299999999</v>
      </c>
      <c r="X3352">
        <v>0.99001729999999999</v>
      </c>
      <c r="Y3352">
        <v>-0.1443557</v>
      </c>
      <c r="Z3352">
        <v>2.140792E-2</v>
      </c>
      <c r="AA3352">
        <v>0.98929429999999996</v>
      </c>
      <c r="AB3352">
        <v>33</v>
      </c>
      <c r="AC3352">
        <v>7.7082999999999497</v>
      </c>
      <c r="AD3352">
        <v>-1.1026466749272901</v>
      </c>
      <c r="AE3352">
        <v>-50.685600000000001</v>
      </c>
      <c r="AF3352">
        <v>-7.4361313900241797</v>
      </c>
      <c r="AG3352">
        <v>-1.1026466749272901</v>
      </c>
      <c r="AH3352">
        <v>50.7022870587112</v>
      </c>
      <c r="AI3352">
        <v>91.232659555188903</v>
      </c>
      <c r="AJ3352">
        <v>98.343665859514601</v>
      </c>
      <c r="AK3352">
        <v>51.256548778896402</v>
      </c>
      <c r="AL3352">
        <v>81.903584376244595</v>
      </c>
      <c r="AM3352">
        <v>89.682565753469405</v>
      </c>
      <c r="AN3352">
        <v>1.0000000240950599</v>
      </c>
    </row>
    <row r="3353" spans="1:40" x14ac:dyDescent="0.3">
      <c r="A3353" t="str">
        <f>"20200111150017133"</f>
        <v>20200111150017133</v>
      </c>
      <c r="B3353" t="str">
        <f>"1578726017129427"</f>
        <v>1578726017129427</v>
      </c>
      <c r="C3353" t="s">
        <v>40</v>
      </c>
      <c r="D3353">
        <v>4.4811100000000001</v>
      </c>
      <c r="E3353">
        <v>0.5450661</v>
      </c>
      <c r="F3353" t="s">
        <v>52</v>
      </c>
      <c r="G3353">
        <v>-486.59179999999998</v>
      </c>
      <c r="H3353" s="1">
        <v>3.6082590000000002E-6</v>
      </c>
      <c r="I3353">
        <v>222.2621</v>
      </c>
      <c r="J3353">
        <v>-489.78919999999999</v>
      </c>
      <c r="K3353">
        <v>1.1026560000000001</v>
      </c>
      <c r="L3353">
        <v>252.56120000000001</v>
      </c>
      <c r="M3353">
        <v>3.658742E-3</v>
      </c>
      <c r="N3353">
        <v>0</v>
      </c>
      <c r="O3353">
        <v>-0.99988750000000004</v>
      </c>
      <c r="P3353">
        <v>-2.2453149999999999E-3</v>
      </c>
      <c r="Q3353">
        <v>0.12584819999999999</v>
      </c>
      <c r="R3353">
        <v>-0.99204709999999996</v>
      </c>
      <c r="S3353">
        <v>0.31848140000000003</v>
      </c>
      <c r="T3353">
        <v>-0.1098509</v>
      </c>
      <c r="U3353">
        <v>-3.038071</v>
      </c>
      <c r="V3353">
        <v>6.7115350000000002E-3</v>
      </c>
      <c r="W3353">
        <v>0.140235</v>
      </c>
      <c r="X3353">
        <v>0.99009550000000002</v>
      </c>
      <c r="Y3353">
        <v>-0.1005516</v>
      </c>
      <c r="Z3353">
        <v>3.5944240000000002E-2</v>
      </c>
      <c r="AA3353">
        <v>0.99428240000000001</v>
      </c>
      <c r="AB3353">
        <v>33</v>
      </c>
      <c r="AC3353">
        <v>3.1974000000000098</v>
      </c>
      <c r="AD3353">
        <v>-1.1026523917409901</v>
      </c>
      <c r="AE3353">
        <v>-30.299099999999999</v>
      </c>
      <c r="AF3353">
        <v>-3.08247282189323</v>
      </c>
      <c r="AG3353">
        <v>-1.1026523917409901</v>
      </c>
      <c r="AH3353">
        <v>30.270947681133698</v>
      </c>
      <c r="AI3353">
        <v>92.075416092166506</v>
      </c>
      <c r="AJ3353">
        <v>95.814354053847495</v>
      </c>
      <c r="AK3353">
        <v>30.447458917102701</v>
      </c>
      <c r="AL3353">
        <v>81.938555088223595</v>
      </c>
      <c r="AM3353">
        <v>89.6116165160322</v>
      </c>
      <c r="AN3353">
        <v>0.99999999952365304</v>
      </c>
    </row>
    <row r="3354" spans="1:40" x14ac:dyDescent="0.3">
      <c r="A3354" t="str">
        <f>"20200111150017145"</f>
        <v>20200111150017145</v>
      </c>
      <c r="B3354" t="str">
        <f>"1578726017139187"</f>
        <v>1578726017139187</v>
      </c>
      <c r="C3354" t="s">
        <v>40</v>
      </c>
      <c r="D3354">
        <v>4.3846489999999996</v>
      </c>
      <c r="E3354">
        <v>0.56024629999999997</v>
      </c>
      <c r="F3354" t="s">
        <v>52</v>
      </c>
      <c r="G3354">
        <v>-495.12810000000002</v>
      </c>
      <c r="H3354" s="1">
        <v>1.7274449999999999E-6</v>
      </c>
      <c r="I3354">
        <v>206.6728</v>
      </c>
      <c r="J3354">
        <v>-489.79</v>
      </c>
      <c r="K3354">
        <v>1.1026640000000001</v>
      </c>
      <c r="L3354">
        <v>252.38200000000001</v>
      </c>
      <c r="M3354">
        <v>2.1604039999999999E-3</v>
      </c>
      <c r="N3354">
        <v>0</v>
      </c>
      <c r="O3354">
        <v>-0.9998918</v>
      </c>
      <c r="P3354">
        <v>-5.0967590000000002E-3</v>
      </c>
      <c r="Q3354">
        <v>0.12578019999999901</v>
      </c>
      <c r="R3354">
        <v>-0.99204510000000001</v>
      </c>
      <c r="S3354">
        <v>-0.35281370000000001</v>
      </c>
      <c r="T3354">
        <v>-7.2867749999999995E-2</v>
      </c>
      <c r="U3354">
        <v>-3.032486</v>
      </c>
      <c r="V3354">
        <v>8.0725199999999997E-3</v>
      </c>
      <c r="W3354">
        <v>0.14015469999999999</v>
      </c>
      <c r="X3354">
        <v>0.99009669999999905</v>
      </c>
      <c r="Y3354">
        <v>0.1176782</v>
      </c>
      <c r="Z3354">
        <v>2.385816E-2</v>
      </c>
      <c r="AA3354">
        <v>0.99276509999999996</v>
      </c>
      <c r="AB3354">
        <v>32</v>
      </c>
      <c r="AC3354">
        <v>-5.3380999999999901</v>
      </c>
      <c r="AD3354">
        <v>-1.1026622725549999</v>
      </c>
      <c r="AE3354">
        <v>-45.709200000000003</v>
      </c>
      <c r="AF3354">
        <v>5.4337287788408197</v>
      </c>
      <c r="AG3354">
        <v>-1.1026622725549999</v>
      </c>
      <c r="AH3354">
        <v>45.671339285691097</v>
      </c>
      <c r="AI3354">
        <v>91.373365258928999</v>
      </c>
      <c r="AJ3354">
        <v>83.215151353280504</v>
      </c>
      <c r="AK3354">
        <v>46.006657177826199</v>
      </c>
      <c r="AL3354">
        <v>81.943201757116697</v>
      </c>
      <c r="AM3354">
        <v>89.532862721761006</v>
      </c>
      <c r="AN3354">
        <v>0.99999999043106402</v>
      </c>
    </row>
    <row r="3355" spans="1:40" x14ac:dyDescent="0.3">
      <c r="A3355" t="str">
        <f>"20200111150017156"</f>
        <v>20200111150017156</v>
      </c>
      <c r="B3355" t="str">
        <f>"1578726017148947"</f>
        <v>1578726017148947</v>
      </c>
      <c r="C3355" t="s">
        <v>40</v>
      </c>
      <c r="D3355">
        <v>4.3887320000000001</v>
      </c>
      <c r="E3355">
        <v>0.56024629999999997</v>
      </c>
      <c r="F3355" t="s">
        <v>42</v>
      </c>
      <c r="G3355">
        <v>-498.65480000000002</v>
      </c>
      <c r="H3355" s="1">
        <v>-4.8675819999999997E-6</v>
      </c>
      <c r="I3355">
        <v>196.7791</v>
      </c>
      <c r="J3355">
        <v>-489.791</v>
      </c>
      <c r="K3355">
        <v>1.1026689999999999</v>
      </c>
      <c r="L3355">
        <v>252.2079</v>
      </c>
      <c r="M3355">
        <v>7.0726009999999995E-4</v>
      </c>
      <c r="N3355">
        <v>0</v>
      </c>
      <c r="O3355">
        <v>-0.99989430000000001</v>
      </c>
      <c r="P3355">
        <v>-7.7450289999999996E-3</v>
      </c>
      <c r="Q3355">
        <v>0.12552049999999901</v>
      </c>
      <c r="R3355">
        <v>-0.99206130000000003</v>
      </c>
      <c r="S3355">
        <v>-0.4829407</v>
      </c>
      <c r="T3355">
        <v>-6.0071949999999999E-2</v>
      </c>
      <c r="U3355">
        <v>-3.029175</v>
      </c>
      <c r="V3355">
        <v>9.2744679999999993E-3</v>
      </c>
      <c r="W3355">
        <v>0.1398847</v>
      </c>
      <c r="X3355">
        <v>0.99012429999999996</v>
      </c>
      <c r="Y3355">
        <v>0.15810969999999999</v>
      </c>
      <c r="Z3355">
        <v>1.957894E-2</v>
      </c>
      <c r="AA3355">
        <v>0.98722739999999998</v>
      </c>
      <c r="AB3355">
        <v>32</v>
      </c>
      <c r="AC3355">
        <v>-8.8638000000000208</v>
      </c>
      <c r="AD3355">
        <v>-1.102673867582</v>
      </c>
      <c r="AE3355">
        <v>-55.428800000000003</v>
      </c>
      <c r="AF3355">
        <v>8.8995702923986002</v>
      </c>
      <c r="AG3355">
        <v>-1.102673867582</v>
      </c>
      <c r="AH3355">
        <v>55.401138039105</v>
      </c>
      <c r="AI3355">
        <v>91.125803945676793</v>
      </c>
      <c r="AJ3355">
        <v>80.874041739588804</v>
      </c>
      <c r="AK3355">
        <v>56.122226765119997</v>
      </c>
      <c r="AL3355">
        <v>81.9588251015373</v>
      </c>
      <c r="AM3355">
        <v>89.463327651801393</v>
      </c>
      <c r="AN3355">
        <v>0.99999993725062897</v>
      </c>
    </row>
    <row r="3356" spans="1:40" x14ac:dyDescent="0.3">
      <c r="A3356" t="str">
        <f>"20200111150017168"</f>
        <v>20200111150017168</v>
      </c>
      <c r="B3356" t="str">
        <f>"1578726017159683"</f>
        <v>1578726017159683</v>
      </c>
      <c r="C3356" t="s">
        <v>40</v>
      </c>
      <c r="D3356">
        <v>4.4686089999999998</v>
      </c>
      <c r="E3356">
        <v>0.62126020000000004</v>
      </c>
      <c r="F3356" t="s">
        <v>42</v>
      </c>
      <c r="G3356">
        <v>-498.64240000000001</v>
      </c>
      <c r="H3356" s="1">
        <v>-5.1294359999999997E-6</v>
      </c>
      <c r="I3356">
        <v>197.55500000000001</v>
      </c>
      <c r="J3356">
        <v>-489.79230000000001</v>
      </c>
      <c r="K3356">
        <v>1.102678</v>
      </c>
      <c r="L3356">
        <v>252.0446</v>
      </c>
      <c r="M3356">
        <v>-6.5419009999999995E-4</v>
      </c>
      <c r="N3356">
        <v>0</v>
      </c>
      <c r="O3356">
        <v>-0.99989410000000001</v>
      </c>
      <c r="P3356">
        <v>-1.039342E-2</v>
      </c>
      <c r="Q3356">
        <v>0.12515969999999901</v>
      </c>
      <c r="R3356">
        <v>-0.99208220000000003</v>
      </c>
      <c r="S3356">
        <v>-0.49038700000000002</v>
      </c>
      <c r="T3356">
        <v>-6.1090949999999998E-2</v>
      </c>
      <c r="U3356">
        <v>-3.027908</v>
      </c>
      <c r="V3356">
        <v>1.0567429999999999E-2</v>
      </c>
      <c r="W3356">
        <v>0.139514</v>
      </c>
      <c r="X3356">
        <v>0.99016369999999998</v>
      </c>
      <c r="Y3356">
        <v>0.159195</v>
      </c>
      <c r="Z3356">
        <v>1.991354E-2</v>
      </c>
      <c r="AA3356">
        <v>0.98704630000000004</v>
      </c>
      <c r="AB3356">
        <v>32</v>
      </c>
      <c r="AC3356">
        <v>-8.8500999999999905</v>
      </c>
      <c r="AD3356">
        <v>-1.102683129436</v>
      </c>
      <c r="AE3356">
        <v>-54.489600000000003</v>
      </c>
      <c r="AF3356">
        <v>8.8109322735608799</v>
      </c>
      <c r="AG3356">
        <v>-1.102683129436</v>
      </c>
      <c r="AH3356">
        <v>54.4736439493525</v>
      </c>
      <c r="AI3356">
        <v>91.144777737506004</v>
      </c>
      <c r="AJ3356">
        <v>80.812169147687698</v>
      </c>
      <c r="AK3356">
        <v>55.192629242807897</v>
      </c>
      <c r="AL3356">
        <v>81.980275410869794</v>
      </c>
      <c r="AM3356">
        <v>89.3885393363025</v>
      </c>
      <c r="AN3356">
        <v>0.99999998978524696</v>
      </c>
    </row>
    <row r="3357" spans="1:40" x14ac:dyDescent="0.3">
      <c r="A3357" t="str">
        <f>"20200111150017180"</f>
        <v>20200111150017180</v>
      </c>
      <c r="B3357" t="str">
        <f>"1578726017169443"</f>
        <v>1578726017169443</v>
      </c>
      <c r="C3357" t="s">
        <v>40</v>
      </c>
      <c r="D3357">
        <v>4.4008149999999997</v>
      </c>
      <c r="E3357">
        <v>0.62183040000000001</v>
      </c>
      <c r="F3357" t="s">
        <v>52</v>
      </c>
      <c r="G3357">
        <v>-497.62630000000001</v>
      </c>
      <c r="H3357" s="1">
        <v>4.2127060000000001E-6</v>
      </c>
      <c r="I3357">
        <v>227.89869999999999</v>
      </c>
      <c r="J3357">
        <v>-489.7937</v>
      </c>
      <c r="K3357">
        <v>1.102684</v>
      </c>
      <c r="L3357">
        <v>251.87200000000001</v>
      </c>
      <c r="M3357">
        <v>-2.092343E-3</v>
      </c>
      <c r="N3357">
        <v>0</v>
      </c>
      <c r="O3357">
        <v>-0.99989229999999996</v>
      </c>
      <c r="P3357">
        <v>-1.285528E-2</v>
      </c>
      <c r="Q3357">
        <v>0.1254847</v>
      </c>
      <c r="R3357">
        <v>-0.99201240000000002</v>
      </c>
      <c r="S3357">
        <v>-0.983429</v>
      </c>
      <c r="T3357">
        <v>-0.1384232</v>
      </c>
      <c r="U3357">
        <v>-3.0311279999999998</v>
      </c>
      <c r="V3357">
        <v>1.160192E-2</v>
      </c>
      <c r="W3357">
        <v>0.13982900000000001</v>
      </c>
      <c r="X3357">
        <v>0.99010770000000003</v>
      </c>
      <c r="Y3357">
        <v>0.30632500000000001</v>
      </c>
      <c r="Z3357">
        <v>4.3411430000000001E-2</v>
      </c>
      <c r="AA3357">
        <v>0.95093660000000002</v>
      </c>
      <c r="AB3357">
        <v>32</v>
      </c>
      <c r="AC3357">
        <v>-7.83260000000001</v>
      </c>
      <c r="AD3357">
        <v>-1.102679787294</v>
      </c>
      <c r="AE3357">
        <v>-23.973299999999998</v>
      </c>
      <c r="AF3357">
        <v>7.7675687839587404</v>
      </c>
      <c r="AG3357">
        <v>-1.102679787294</v>
      </c>
      <c r="AH3357">
        <v>23.943866868210499</v>
      </c>
      <c r="AI3357">
        <v>92.508256016999496</v>
      </c>
      <c r="AJ3357">
        <v>72.026550931490704</v>
      </c>
      <c r="AK3357">
        <v>25.196424113937798</v>
      </c>
      <c r="AL3357">
        <v>81.962048707459005</v>
      </c>
      <c r="AM3357">
        <v>89.328648158105395</v>
      </c>
      <c r="AN3357">
        <v>1.00000000569398</v>
      </c>
    </row>
    <row r="3358" spans="1:40" x14ac:dyDescent="0.3">
      <c r="A3358" t="str">
        <f>"20200111150017197"</f>
        <v>20200111150017197</v>
      </c>
      <c r="B3358" t="str">
        <f>"1578726017188964"</f>
        <v>1578726017188964</v>
      </c>
      <c r="C3358" t="s">
        <v>40</v>
      </c>
      <c r="D3358">
        <v>4.3329339999999998</v>
      </c>
      <c r="E3358">
        <v>0.62121090000000001</v>
      </c>
      <c r="F3358" t="s">
        <v>52</v>
      </c>
      <c r="G3358">
        <v>-497.56369999999998</v>
      </c>
      <c r="H3358" s="1">
        <v>4.3006909999999997E-6</v>
      </c>
      <c r="I3358">
        <v>228.22149999999999</v>
      </c>
      <c r="J3358">
        <v>-489.79640000000001</v>
      </c>
      <c r="K3358">
        <v>1.1026940000000001</v>
      </c>
      <c r="L3358">
        <v>251.62780000000001</v>
      </c>
      <c r="M3358">
        <v>-4.1242659999999997E-3</v>
      </c>
      <c r="N3358">
        <v>0</v>
      </c>
      <c r="O3358">
        <v>-0.9998861</v>
      </c>
      <c r="P3358">
        <v>-1.6997479999999999E-2</v>
      </c>
      <c r="Q3358">
        <v>0.12600049999999999</v>
      </c>
      <c r="R3358">
        <v>-0.99188460000000001</v>
      </c>
      <c r="S3358">
        <v>-0.99517820000000001</v>
      </c>
      <c r="T3358">
        <v>-0.14123060000000001</v>
      </c>
      <c r="U3358">
        <v>-3.0291440000000001</v>
      </c>
      <c r="V3358">
        <v>1.3728789999999999E-2</v>
      </c>
      <c r="W3358">
        <v>0.14032610000000001</v>
      </c>
      <c r="X3358">
        <v>0.9900101</v>
      </c>
      <c r="Y3358">
        <v>0.30789429999999901</v>
      </c>
      <c r="Z3358">
        <v>4.427975E-2</v>
      </c>
      <c r="AA3358">
        <v>0.95038959999999995</v>
      </c>
      <c r="AB3358">
        <v>32</v>
      </c>
      <c r="AC3358">
        <v>-7.7672999999999703</v>
      </c>
      <c r="AD3358">
        <v>-1.1026896993089901</v>
      </c>
      <c r="AE3358">
        <v>-23.406300000000002</v>
      </c>
      <c r="AF3358">
        <v>7.65538480208079</v>
      </c>
      <c r="AG3358">
        <v>-1.1026896993089901</v>
      </c>
      <c r="AH3358">
        <v>23.391373128570901</v>
      </c>
      <c r="AI3358">
        <v>92.565280591947001</v>
      </c>
      <c r="AJ3358">
        <v>71.878081511888197</v>
      </c>
      <c r="AK3358">
        <v>24.6369068245371</v>
      </c>
      <c r="AL3358">
        <v>81.933282880169997</v>
      </c>
      <c r="AM3358">
        <v>89.205511833896907</v>
      </c>
      <c r="AN3358">
        <v>0.99999994605903997</v>
      </c>
    </row>
    <row r="3359" spans="1:40" x14ac:dyDescent="0.3">
      <c r="A3359" t="str">
        <f>"20200111150017208"</f>
        <v>20200111150017208</v>
      </c>
      <c r="B3359" t="str">
        <f>"1578726017199699"</f>
        <v>1578726017199699</v>
      </c>
      <c r="C3359" t="s">
        <v>40</v>
      </c>
      <c r="D3359">
        <v>4.3949129999999998</v>
      </c>
      <c r="E3359">
        <v>0.62104359999999903</v>
      </c>
      <c r="F3359" t="s">
        <v>52</v>
      </c>
      <c r="G3359">
        <v>-497.7278</v>
      </c>
      <c r="H3359" s="1">
        <v>4.1437340000000003E-6</v>
      </c>
      <c r="I3359">
        <v>227.709</v>
      </c>
      <c r="J3359">
        <v>-489.79829999999998</v>
      </c>
      <c r="K3359">
        <v>1.102698</v>
      </c>
      <c r="L3359">
        <v>251.46700000000001</v>
      </c>
      <c r="M3359">
        <v>-5.4628539999999996E-3</v>
      </c>
      <c r="N3359">
        <v>0</v>
      </c>
      <c r="O3359">
        <v>-0.99987950000000003</v>
      </c>
      <c r="P3359">
        <v>-1.9282069999999998E-2</v>
      </c>
      <c r="Q3359">
        <v>0.12659980000000001</v>
      </c>
      <c r="R3359">
        <v>-0.9917665</v>
      </c>
      <c r="S3359">
        <v>-1.0031129999999999</v>
      </c>
      <c r="T3359">
        <v>-0.1394609</v>
      </c>
      <c r="U3359">
        <v>-3.0251009999999998</v>
      </c>
      <c r="V3359">
        <v>1.4687820000000001E-2</v>
      </c>
      <c r="W3359">
        <v>0.14091579999999901</v>
      </c>
      <c r="X3359">
        <v>0.98991260000000003</v>
      </c>
      <c r="Y3359">
        <v>0.30925190000000002</v>
      </c>
      <c r="Z3359">
        <v>4.375362E-2</v>
      </c>
      <c r="AA3359">
        <v>0.94997310000000001</v>
      </c>
      <c r="AB3359">
        <v>32</v>
      </c>
      <c r="AC3359">
        <v>-7.9295000000000098</v>
      </c>
      <c r="AD3359">
        <v>-1.102693856266</v>
      </c>
      <c r="AE3359">
        <v>-23.757999999999999</v>
      </c>
      <c r="AF3359">
        <v>7.7844927798332</v>
      </c>
      <c r="AG3359">
        <v>-1.102693856266</v>
      </c>
      <c r="AH3359">
        <v>23.754923515668999</v>
      </c>
      <c r="AI3359">
        <v>92.525763661582602</v>
      </c>
      <c r="AJ3359">
        <v>71.856020575147397</v>
      </c>
      <c r="AK3359">
        <v>25.022203196665298</v>
      </c>
      <c r="AL3359">
        <v>81.899156697262697</v>
      </c>
      <c r="AM3359">
        <v>89.149936723376101</v>
      </c>
      <c r="AN3359">
        <v>0.99999997519237505</v>
      </c>
    </row>
    <row r="3360" spans="1:40" x14ac:dyDescent="0.3">
      <c r="A3360" t="str">
        <f>"20200111150017222"</f>
        <v>20200111150017222</v>
      </c>
      <c r="B3360" t="str">
        <f>"1578726017219220"</f>
        <v>1578726017219220</v>
      </c>
      <c r="C3360" t="s">
        <v>40</v>
      </c>
      <c r="D3360">
        <v>4.3600680000000001</v>
      </c>
      <c r="E3360">
        <v>0.62165059999999905</v>
      </c>
      <c r="F3360" t="s">
        <v>52</v>
      </c>
      <c r="G3360">
        <v>-497.76369999999997</v>
      </c>
      <c r="H3360" s="1">
        <v>4.1096280000000004E-6</v>
      </c>
      <c r="I3360">
        <v>227.59800000000001</v>
      </c>
      <c r="J3360">
        <v>-489.80079999999998</v>
      </c>
      <c r="K3360">
        <v>1.1027039999999999</v>
      </c>
      <c r="L3360">
        <v>251.27979999999999</v>
      </c>
      <c r="M3360">
        <v>-7.0214229999999997E-3</v>
      </c>
      <c r="N3360">
        <v>0</v>
      </c>
      <c r="O3360">
        <v>-0.99986989999999998</v>
      </c>
      <c r="P3360">
        <v>-2.2023919999999999E-2</v>
      </c>
      <c r="Q3360">
        <v>0.12667719999999999</v>
      </c>
      <c r="R3360">
        <v>-0.99169969999999996</v>
      </c>
      <c r="S3360">
        <v>-1.00885</v>
      </c>
      <c r="T3360">
        <v>-0.13966099999999901</v>
      </c>
      <c r="U3360">
        <v>-3.0231170000000001</v>
      </c>
      <c r="V3360">
        <v>1.5882569999999999E-2</v>
      </c>
      <c r="W3360">
        <v>0.14098279999999999</v>
      </c>
      <c r="X3360">
        <v>0.9898846</v>
      </c>
      <c r="Y3360">
        <v>0.30957810000000002</v>
      </c>
      <c r="Z3360">
        <v>4.3827720000000001E-2</v>
      </c>
      <c r="AA3360">
        <v>0.94986340000000002</v>
      </c>
      <c r="AB3360">
        <v>32</v>
      </c>
      <c r="AC3360">
        <v>-7.9628999999999897</v>
      </c>
      <c r="AD3360">
        <v>-1.102699890372</v>
      </c>
      <c r="AE3360">
        <v>-23.681799999999999</v>
      </c>
      <c r="AF3360">
        <v>7.7812491174910399</v>
      </c>
      <c r="AG3360">
        <v>-1.102699890372</v>
      </c>
      <c r="AH3360">
        <v>23.690985267360901</v>
      </c>
      <c r="AI3360">
        <v>92.532025346308004</v>
      </c>
      <c r="AJ3360">
        <v>71.817353998900998</v>
      </c>
      <c r="AK3360">
        <v>24.9605001515393</v>
      </c>
      <c r="AL3360">
        <v>81.895279075455704</v>
      </c>
      <c r="AM3360">
        <v>89.080775525719801</v>
      </c>
      <c r="AN3360">
        <v>0.99999996362140098</v>
      </c>
    </row>
    <row r="3361" spans="1:40" x14ac:dyDescent="0.3">
      <c r="A3361" t="str">
        <f>"20200111150017234"</f>
        <v>20200111150017234</v>
      </c>
      <c r="B3361" t="str">
        <f>"1578726017228980"</f>
        <v>1578726017228980</v>
      </c>
      <c r="C3361" t="s">
        <v>40</v>
      </c>
      <c r="D3361">
        <v>6.0950629999999997</v>
      </c>
      <c r="E3361">
        <v>0.62165059999999905</v>
      </c>
      <c r="F3361" t="s">
        <v>52</v>
      </c>
      <c r="G3361">
        <v>-497.58780000000002</v>
      </c>
      <c r="H3361" s="1">
        <v>4.3010900000000004E-6</v>
      </c>
      <c r="I3361">
        <v>228.25219999999999</v>
      </c>
      <c r="J3361">
        <v>-489.80399999999997</v>
      </c>
      <c r="K3361">
        <v>1.1027089999999999</v>
      </c>
      <c r="L3361">
        <v>251.07820000000001</v>
      </c>
      <c r="M3361">
        <v>-8.6995159999999992E-3</v>
      </c>
      <c r="N3361">
        <v>0</v>
      </c>
      <c r="O3361">
        <v>-0.99985679999999999</v>
      </c>
      <c r="P3361">
        <v>-2.4750040000000001E-2</v>
      </c>
      <c r="Q3361">
        <v>0.12679319999999999</v>
      </c>
      <c r="R3361">
        <v>-0.99162079999999997</v>
      </c>
      <c r="S3361">
        <v>-1.0215449999999999</v>
      </c>
      <c r="T3361">
        <v>-0.1446588</v>
      </c>
      <c r="U3361">
        <v>-3.0208889999999999</v>
      </c>
      <c r="V3361">
        <v>1.69435E-2</v>
      </c>
      <c r="W3361">
        <v>0.14108899999999999</v>
      </c>
      <c r="X3361">
        <v>0.98985190000000001</v>
      </c>
      <c r="Y3361">
        <v>0.31175639999999999</v>
      </c>
      <c r="Z3361">
        <v>4.5377439999999998E-2</v>
      </c>
      <c r="AA3361">
        <v>0.94907779999999997</v>
      </c>
      <c r="AB3361">
        <v>32</v>
      </c>
      <c r="AC3361">
        <v>-7.7837999999999798</v>
      </c>
      <c r="AD3361">
        <v>-1.10270469891</v>
      </c>
      <c r="AE3361">
        <v>-22.826000000000001</v>
      </c>
      <c r="AF3361">
        <v>7.5690849171269496</v>
      </c>
      <c r="AG3361">
        <v>-1.10270469891</v>
      </c>
      <c r="AH3361">
        <v>22.845097108906401</v>
      </c>
      <c r="AI3361">
        <v>92.623420268198203</v>
      </c>
      <c r="AJ3361">
        <v>71.668826768940207</v>
      </c>
      <c r="AK3361">
        <v>24.091605717573898</v>
      </c>
      <c r="AL3361">
        <v>81.889133011445693</v>
      </c>
      <c r="AM3361">
        <v>89.019352043154598</v>
      </c>
      <c r="AN3361">
        <v>0.99999998602342899</v>
      </c>
    </row>
    <row r="3362" spans="1:40" x14ac:dyDescent="0.3">
      <c r="A3362" t="str">
        <f>"20200111150017246"</f>
        <v>20200111150017246</v>
      </c>
      <c r="B3362" t="str">
        <f>"1578726017238739"</f>
        <v>1578726017238739</v>
      </c>
      <c r="C3362" t="s">
        <v>40</v>
      </c>
      <c r="D3362">
        <v>4.2557169999999998</v>
      </c>
      <c r="E3362">
        <v>0.621116</v>
      </c>
      <c r="F3362" t="s">
        <v>52</v>
      </c>
      <c r="G3362">
        <v>-497.65320000000003</v>
      </c>
      <c r="H3362" s="1">
        <v>4.2436469999999997E-6</v>
      </c>
      <c r="I3362">
        <v>228.0712</v>
      </c>
      <c r="J3362">
        <v>-489.80680000000001</v>
      </c>
      <c r="K3362">
        <v>1.102711</v>
      </c>
      <c r="L3362">
        <v>250.91200000000001</v>
      </c>
      <c r="M3362">
        <v>-1.008361E-2</v>
      </c>
      <c r="N3362">
        <v>0</v>
      </c>
      <c r="O3362">
        <v>-0.99984379999999995</v>
      </c>
      <c r="P3362">
        <v>-2.7458239999999998E-2</v>
      </c>
      <c r="Q3362">
        <v>0.12678229999999999</v>
      </c>
      <c r="R3362">
        <v>-0.99155059999999995</v>
      </c>
      <c r="S3362">
        <v>-1.0296940000000001</v>
      </c>
      <c r="T3362">
        <v>-0.1446567</v>
      </c>
      <c r="U3362">
        <v>-3.0181429999999998</v>
      </c>
      <c r="V3362">
        <v>1.8277760000000001E-2</v>
      </c>
      <c r="W3362">
        <v>0.14106729999999901</v>
      </c>
      <c r="X3362">
        <v>0.98983129999999997</v>
      </c>
      <c r="Y3362">
        <v>0.313</v>
      </c>
      <c r="Z3362">
        <v>4.5386240000000001E-2</v>
      </c>
      <c r="AA3362">
        <v>0.94866810000000001</v>
      </c>
      <c r="AB3362">
        <v>32</v>
      </c>
      <c r="AC3362">
        <v>-7.8464000000000098</v>
      </c>
      <c r="AD3362">
        <v>-1.102706756353</v>
      </c>
      <c r="AE3362">
        <v>-22.840800000000002</v>
      </c>
      <c r="AF3362">
        <v>7.5998153751552397</v>
      </c>
      <c r="AG3362">
        <v>-1.102706756353</v>
      </c>
      <c r="AH3362">
        <v>22.871086622461899</v>
      </c>
      <c r="AI3362">
        <v>92.619691844055495</v>
      </c>
      <c r="AJ3362">
        <v>71.618909349026296</v>
      </c>
      <c r="AK3362">
        <v>24.1259146815019</v>
      </c>
      <c r="AL3362">
        <v>81.890389258205801</v>
      </c>
      <c r="AM3362">
        <v>88.942123265216097</v>
      </c>
      <c r="AN3362">
        <v>1.0000000310497901</v>
      </c>
    </row>
    <row r="3363" spans="1:40" x14ac:dyDescent="0.3">
      <c r="A3363" t="str">
        <f>"20200111150017259"</f>
        <v>20200111150017259</v>
      </c>
      <c r="B3363" t="str">
        <f>"1578726017249253"</f>
        <v>1578726017249253</v>
      </c>
      <c r="C3363" t="s">
        <v>40</v>
      </c>
      <c r="D3363">
        <v>4.2615569999999998</v>
      </c>
      <c r="E3363">
        <v>0.62064859999999999</v>
      </c>
      <c r="F3363" t="s">
        <v>52</v>
      </c>
      <c r="G3363">
        <v>-497.48180000000002</v>
      </c>
      <c r="H3363" s="1">
        <v>4.3899169999999999E-6</v>
      </c>
      <c r="I3363">
        <v>228.5264</v>
      </c>
      <c r="J3363">
        <v>-489.80990000000003</v>
      </c>
      <c r="K3363">
        <v>1.1027089999999999</v>
      </c>
      <c r="L3363">
        <v>250.73439999999999</v>
      </c>
      <c r="M3363">
        <v>-1.1563199999999999E-2</v>
      </c>
      <c r="N3363">
        <v>0</v>
      </c>
      <c r="O3363">
        <v>-0.99982769999999999</v>
      </c>
      <c r="P3363">
        <v>-2.983736E-2</v>
      </c>
      <c r="Q3363">
        <v>0.12605350000000001</v>
      </c>
      <c r="R3363">
        <v>-0.99157479999999998</v>
      </c>
      <c r="S3363">
        <v>-1.034027</v>
      </c>
      <c r="T3363">
        <v>-0.14856429999999901</v>
      </c>
      <c r="U3363">
        <v>-3.0159449999999999</v>
      </c>
      <c r="V3363">
        <v>1.9182979999999999E-2</v>
      </c>
      <c r="W3363">
        <v>0.14033180000000001</v>
      </c>
      <c r="X3363">
        <v>0.98991870000000004</v>
      </c>
      <c r="Y3363">
        <v>0.3130077</v>
      </c>
      <c r="Z3363">
        <v>4.6629829999999997E-2</v>
      </c>
      <c r="AA3363">
        <v>0.94860520000000004</v>
      </c>
      <c r="AB3363">
        <v>32</v>
      </c>
      <c r="AC3363">
        <v>-7.6718999999999902</v>
      </c>
      <c r="AD3363">
        <v>-1.102704610083</v>
      </c>
      <c r="AE3363">
        <v>-22.207999999999998</v>
      </c>
      <c r="AF3363">
        <v>7.3982688631347102</v>
      </c>
      <c r="AG3363">
        <v>-1.102704610083</v>
      </c>
      <c r="AH3363">
        <v>22.2462362620773</v>
      </c>
      <c r="AI3363">
        <v>92.692941264571402</v>
      </c>
      <c r="AJ3363">
        <v>71.604797910849101</v>
      </c>
      <c r="AK3363">
        <v>23.470095173571199</v>
      </c>
      <c r="AL3363">
        <v>81.932953604075095</v>
      </c>
      <c r="AM3363">
        <v>88.889841918349205</v>
      </c>
      <c r="AN3363">
        <v>1.0000000167112999</v>
      </c>
    </row>
    <row r="3364" spans="1:40" x14ac:dyDescent="0.3">
      <c r="A3364" t="str">
        <f>"20200111150017275"</f>
        <v>20200111150017275</v>
      </c>
      <c r="B3364" t="str">
        <f>"1578726017269738"</f>
        <v>1578726017269738</v>
      </c>
      <c r="C3364" t="s">
        <v>40</v>
      </c>
      <c r="D3364">
        <v>4.2960729999999998</v>
      </c>
      <c r="E3364">
        <v>0.61980059999999904</v>
      </c>
      <c r="F3364" t="s">
        <v>52</v>
      </c>
      <c r="G3364">
        <v>-497.15050000000002</v>
      </c>
      <c r="H3364" s="1">
        <v>4.67095899999999E-6</v>
      </c>
      <c r="I3364">
        <v>229.3989</v>
      </c>
      <c r="J3364">
        <v>-489.81459999999998</v>
      </c>
      <c r="K3364">
        <v>1.102706</v>
      </c>
      <c r="L3364">
        <v>250.501</v>
      </c>
      <c r="M3364">
        <v>-1.350845E-2</v>
      </c>
      <c r="N3364">
        <v>0</v>
      </c>
      <c r="O3364">
        <v>-0.99980349999999996</v>
      </c>
      <c r="P3364">
        <v>-3.2748239999999998E-2</v>
      </c>
      <c r="Q3364">
        <v>0.1241572</v>
      </c>
      <c r="R3364">
        <v>-0.99172229999999995</v>
      </c>
      <c r="S3364">
        <v>-1.037018</v>
      </c>
      <c r="T3364">
        <v>-0.15578120000000001</v>
      </c>
      <c r="U3364">
        <v>-3.0141140000000002</v>
      </c>
      <c r="V3364">
        <v>2.014908E-2</v>
      </c>
      <c r="W3364">
        <v>0.13842929999999901</v>
      </c>
      <c r="X3364">
        <v>0.99016729999999997</v>
      </c>
      <c r="Y3364">
        <v>0.31214309999999901</v>
      </c>
      <c r="Z3364">
        <v>4.8915140000000003E-2</v>
      </c>
      <c r="AA3364">
        <v>0.94877500000000003</v>
      </c>
      <c r="AB3364">
        <v>32</v>
      </c>
      <c r="AC3364">
        <v>-7.3359000000000298</v>
      </c>
      <c r="AD3364">
        <v>-1.1027013290409999</v>
      </c>
      <c r="AE3364">
        <v>-21.102099999999901</v>
      </c>
      <c r="AF3364">
        <v>7.0330099008471398</v>
      </c>
      <c r="AG3364">
        <v>-1.1027013290409999</v>
      </c>
      <c r="AH3364">
        <v>21.147760701527599</v>
      </c>
      <c r="AI3364">
        <v>92.832587645614197</v>
      </c>
      <c r="AJ3364">
        <v>71.604668473177696</v>
      </c>
      <c r="AK3364">
        <v>22.3138289223422</v>
      </c>
      <c r="AL3364">
        <v>82.043032960709397</v>
      </c>
      <c r="AM3364">
        <v>88.834239491192307</v>
      </c>
      <c r="AN3364">
        <v>0.99999996925631196</v>
      </c>
    </row>
    <row r="3365" spans="1:40" x14ac:dyDescent="0.3">
      <c r="A3365" t="str">
        <f>"20200111150017287"</f>
        <v>20200111150017287</v>
      </c>
      <c r="B3365" t="str">
        <f>"1578726017279497"</f>
        <v>1578726017279497</v>
      </c>
      <c r="C3365" t="s">
        <v>40</v>
      </c>
      <c r="D3365">
        <v>4.2879620000000003</v>
      </c>
      <c r="E3365">
        <v>0.61988330000000003</v>
      </c>
      <c r="F3365" t="s">
        <v>42</v>
      </c>
      <c r="G3365">
        <v>-496.87900000000002</v>
      </c>
      <c r="H3365" s="1">
        <v>-2.0235289999999999E-6</v>
      </c>
      <c r="I3365">
        <v>230.0395</v>
      </c>
      <c r="J3365">
        <v>-489.8184</v>
      </c>
      <c r="K3365">
        <v>1.102708</v>
      </c>
      <c r="L3365">
        <v>250.3297</v>
      </c>
      <c r="M3365">
        <v>-1.493737E-2</v>
      </c>
      <c r="N3365">
        <v>0</v>
      </c>
      <c r="O3365">
        <v>-0.99978319999999998</v>
      </c>
      <c r="P3365">
        <v>-3.4836449999999998E-2</v>
      </c>
      <c r="Q3365">
        <v>0.1235376</v>
      </c>
      <c r="R3365">
        <v>-0.99172830000000001</v>
      </c>
      <c r="S3365">
        <v>-1.0395509999999999</v>
      </c>
      <c r="T3365">
        <v>-0.16226889999999999</v>
      </c>
      <c r="U3365">
        <v>-3.0110169999999998</v>
      </c>
      <c r="V3365">
        <v>2.081423E-2</v>
      </c>
      <c r="W3365">
        <v>0.13780499999999901</v>
      </c>
      <c r="X3365">
        <v>0.99024060000000003</v>
      </c>
      <c r="Y3365">
        <v>0.31176520000000002</v>
      </c>
      <c r="Z3365">
        <v>5.0991099999999998E-2</v>
      </c>
      <c r="AA3365">
        <v>0.94879000000000002</v>
      </c>
      <c r="AB3365">
        <v>32</v>
      </c>
      <c r="AC3365">
        <v>-7.0606000000000204</v>
      </c>
      <c r="AD3365">
        <v>-1.1027100235289999</v>
      </c>
      <c r="AE3365">
        <v>-20.290199999999999</v>
      </c>
      <c r="AF3365">
        <v>6.7389437741498002</v>
      </c>
      <c r="AG3365">
        <v>-1.1027100235289999</v>
      </c>
      <c r="AH3365">
        <v>20.339827025485601</v>
      </c>
      <c r="AI3365">
        <v>92.946028690621603</v>
      </c>
      <c r="AJ3365">
        <v>71.669054877838505</v>
      </c>
      <c r="AK3365">
        <v>21.455486384927699</v>
      </c>
      <c r="AL3365">
        <v>82.079148686882803</v>
      </c>
      <c r="AM3365">
        <v>88.795856331844206</v>
      </c>
      <c r="AN3365">
        <v>0.99999994804192505</v>
      </c>
    </row>
    <row r="3366" spans="1:40" x14ac:dyDescent="0.3">
      <c r="A3366" t="str">
        <f>"20200111150017299"</f>
        <v>20200111150017299</v>
      </c>
      <c r="B3366" t="str">
        <f>"1578726017289256"</f>
        <v>1578726017289256</v>
      </c>
      <c r="C3366" t="s">
        <v>40</v>
      </c>
      <c r="D3366">
        <v>4.2381549999999999</v>
      </c>
      <c r="E3366">
        <v>0.61994450000000001</v>
      </c>
      <c r="F3366" t="s">
        <v>42</v>
      </c>
      <c r="G3366">
        <v>-496.7688</v>
      </c>
      <c r="H3366" s="1">
        <v>-2.1243289999999999E-6</v>
      </c>
      <c r="I3366">
        <v>230.34280000000001</v>
      </c>
      <c r="J3366">
        <v>-489.82229999999998</v>
      </c>
      <c r="K3366">
        <v>1.1027070000000001</v>
      </c>
      <c r="L3366">
        <v>250.15870000000001</v>
      </c>
      <c r="M3366">
        <v>-1.6362910000000001E-2</v>
      </c>
      <c r="N3366">
        <v>0</v>
      </c>
      <c r="O3366">
        <v>-0.99976089999999995</v>
      </c>
      <c r="P3366">
        <v>-3.7232139999999997E-2</v>
      </c>
      <c r="Q3366">
        <v>0.1228326</v>
      </c>
      <c r="R3366">
        <v>-0.99172899999999997</v>
      </c>
      <c r="S3366">
        <v>-1.0463559999999901</v>
      </c>
      <c r="T3366">
        <v>-0.16600870000000001</v>
      </c>
      <c r="U3366">
        <v>-3.0089419999999998</v>
      </c>
      <c r="V3366">
        <v>2.1789610000000001E-2</v>
      </c>
      <c r="W3366">
        <v>0.13709279999999999</v>
      </c>
      <c r="X3366">
        <v>0.99031849999999999</v>
      </c>
      <c r="Y3366">
        <v>0.31250810000000001</v>
      </c>
      <c r="Z3366">
        <v>5.2169849999999997E-2</v>
      </c>
      <c r="AA3366">
        <v>0.94848140000000003</v>
      </c>
      <c r="AB3366">
        <v>32</v>
      </c>
      <c r="AC3366">
        <v>-6.9465000000000101</v>
      </c>
      <c r="AD3366">
        <v>-1.1027091243289999</v>
      </c>
      <c r="AE3366">
        <v>-19.815899999999999</v>
      </c>
      <c r="AF3366">
        <v>6.6030801005086204</v>
      </c>
      <c r="AG3366">
        <v>-1.1027091243289999</v>
      </c>
      <c r="AH3366">
        <v>19.8721205874185</v>
      </c>
      <c r="AI3366">
        <v>93.014372623788205</v>
      </c>
      <c r="AJ3366">
        <v>71.619457765415405</v>
      </c>
      <c r="AK3366">
        <v>20.969449465055401</v>
      </c>
      <c r="AL3366">
        <v>82.120345982335806</v>
      </c>
      <c r="AM3366">
        <v>88.739545627422004</v>
      </c>
      <c r="AN3366">
        <v>0.99999997717902001</v>
      </c>
    </row>
    <row r="3367" spans="1:40" x14ac:dyDescent="0.3">
      <c r="A3367" t="str">
        <f>"20200111150017311"</f>
        <v>20200111150017311</v>
      </c>
      <c r="B3367" t="str">
        <f>"1578726017299016"</f>
        <v>1578726017299016</v>
      </c>
      <c r="C3367" t="s">
        <v>40</v>
      </c>
      <c r="D3367">
        <v>4.2118510000000002</v>
      </c>
      <c r="E3367">
        <v>0.61981459999999999</v>
      </c>
      <c r="F3367" t="s">
        <v>42</v>
      </c>
      <c r="G3367">
        <v>-496.62920000000003</v>
      </c>
      <c r="H3367" s="1">
        <v>-2.2624639999999998E-6</v>
      </c>
      <c r="I3367">
        <v>230.75139999999999</v>
      </c>
      <c r="J3367">
        <v>-489.82670000000002</v>
      </c>
      <c r="K3367">
        <v>1.102706</v>
      </c>
      <c r="L3367">
        <v>249.9812</v>
      </c>
      <c r="M3367">
        <v>-1.7844209999999999E-2</v>
      </c>
      <c r="N3367">
        <v>0</v>
      </c>
      <c r="O3367">
        <v>-0.9997357</v>
      </c>
      <c r="P3367">
        <v>-3.9629150000000002E-2</v>
      </c>
      <c r="Q3367">
        <v>0.1217039</v>
      </c>
      <c r="R3367">
        <v>-0.99177539999999997</v>
      </c>
      <c r="S3367">
        <v>-1.054535</v>
      </c>
      <c r="T3367">
        <v>-0.17083380000000001</v>
      </c>
      <c r="U3367">
        <v>-3.0066220000000001</v>
      </c>
      <c r="V3367">
        <v>2.2707479999999999E-2</v>
      </c>
      <c r="W3367">
        <v>0.1359581</v>
      </c>
      <c r="X3367">
        <v>0.99045430000000001</v>
      </c>
      <c r="Y3367">
        <v>0.3136005</v>
      </c>
      <c r="Z3367">
        <v>5.3685330000000003E-2</v>
      </c>
      <c r="AA3367">
        <v>0.9480362</v>
      </c>
      <c r="AB3367">
        <v>32</v>
      </c>
      <c r="AC3367">
        <v>-6.8025000000000002</v>
      </c>
      <c r="AD3367">
        <v>-1.1027082624640001</v>
      </c>
      <c r="AE3367">
        <v>-19.229800000000001</v>
      </c>
      <c r="AF3367">
        <v>6.4394203215224604</v>
      </c>
      <c r="AG3367">
        <v>-1.1027082624640001</v>
      </c>
      <c r="AH3367">
        <v>19.291753913460301</v>
      </c>
      <c r="AI3367">
        <v>93.103473741612106</v>
      </c>
      <c r="AJ3367">
        <v>71.541436941244299</v>
      </c>
      <c r="AK3367">
        <v>20.367961818671301</v>
      </c>
      <c r="AL3367">
        <v>82.185974014984794</v>
      </c>
      <c r="AM3367">
        <v>88.686648248801603</v>
      </c>
      <c r="AN3367">
        <v>0.99999997749602498</v>
      </c>
    </row>
    <row r="3368" spans="1:40" x14ac:dyDescent="0.3">
      <c r="A3368" t="str">
        <f>"20200111150017325"</f>
        <v>20200111150017325</v>
      </c>
      <c r="B3368" t="str">
        <f>"1578726017319512"</f>
        <v>1578726017319512</v>
      </c>
      <c r="C3368" t="s">
        <v>40</v>
      </c>
      <c r="D3368">
        <v>4.19937</v>
      </c>
      <c r="E3368">
        <v>0.6190715</v>
      </c>
      <c r="F3368" t="s">
        <v>42</v>
      </c>
      <c r="G3368">
        <v>-496.54950000000002</v>
      </c>
      <c r="H3368" s="1">
        <v>-2.3206470000000001E-6</v>
      </c>
      <c r="I3368">
        <v>230.93639999999999</v>
      </c>
      <c r="J3368">
        <v>-489.83179999999999</v>
      </c>
      <c r="K3368">
        <v>1.102706</v>
      </c>
      <c r="L3368">
        <v>249.7808</v>
      </c>
      <c r="M3368">
        <v>-1.9516990000000001E-2</v>
      </c>
      <c r="N3368">
        <v>0</v>
      </c>
      <c r="O3368">
        <v>-0.99970460000000005</v>
      </c>
      <c r="P3368">
        <v>-4.2304040000000001E-2</v>
      </c>
      <c r="Q3368">
        <v>0.12102739999999999</v>
      </c>
      <c r="R3368">
        <v>-0.99174759999999995</v>
      </c>
      <c r="S3368">
        <v>-1.0603640000000001</v>
      </c>
      <c r="T3368">
        <v>-0.17392579999999999</v>
      </c>
      <c r="U3368">
        <v>-3.00386</v>
      </c>
      <c r="V3368">
        <v>2.3716669999999999E-2</v>
      </c>
      <c r="W3368">
        <v>0.13527410000000001</v>
      </c>
      <c r="X3368">
        <v>0.99052439999999997</v>
      </c>
      <c r="Y3368">
        <v>0.31390309999999999</v>
      </c>
      <c r="Z3368">
        <v>5.4678749999999998E-2</v>
      </c>
      <c r="AA3368">
        <v>0.94787929999999998</v>
      </c>
      <c r="AB3368">
        <v>32</v>
      </c>
      <c r="AC3368">
        <v>-6.71770000000003</v>
      </c>
      <c r="AD3368">
        <v>-1.1027083206470001</v>
      </c>
      <c r="AE3368">
        <v>-18.8444</v>
      </c>
      <c r="AF3368">
        <v>6.3293663819466097</v>
      </c>
      <c r="AG3368">
        <v>-1.1027083206470001</v>
      </c>
      <c r="AH3368">
        <v>18.914468867045901</v>
      </c>
      <c r="AI3368">
        <v>93.164456729939005</v>
      </c>
      <c r="AJ3368">
        <v>71.498164910574502</v>
      </c>
      <c r="AK3368">
        <v>19.975834825102801</v>
      </c>
      <c r="AL3368">
        <v>82.225530528251298</v>
      </c>
      <c r="AM3368">
        <v>88.628397737414005</v>
      </c>
      <c r="AN3368">
        <v>1.00000007478102</v>
      </c>
    </row>
    <row r="3369" spans="1:40" x14ac:dyDescent="0.3">
      <c r="A3369" t="str">
        <f>"20200111150017337"</f>
        <v>20200111150017337</v>
      </c>
      <c r="B3369" t="str">
        <f>"1578726017329273"</f>
        <v>1578726017329273</v>
      </c>
      <c r="C3369" t="s">
        <v>40</v>
      </c>
      <c r="D3369">
        <v>4.0209270000000004</v>
      </c>
      <c r="E3369">
        <v>0.6190715</v>
      </c>
      <c r="F3369" t="s">
        <v>42</v>
      </c>
      <c r="G3369">
        <v>-496.49250000000001</v>
      </c>
      <c r="H3369" s="1">
        <v>-2.3148560000000001E-6</v>
      </c>
      <c r="I3369">
        <v>230.95830000000001</v>
      </c>
      <c r="J3369">
        <v>-489.83690000000001</v>
      </c>
      <c r="K3369">
        <v>1.1027039999999999</v>
      </c>
      <c r="L3369">
        <v>249.59780000000001</v>
      </c>
      <c r="M3369">
        <v>-2.1044380000000001E-2</v>
      </c>
      <c r="N3369">
        <v>0</v>
      </c>
      <c r="O3369">
        <v>-0.99967349999999999</v>
      </c>
      <c r="P3369">
        <v>-4.4520990000000003E-2</v>
      </c>
      <c r="Q3369">
        <v>0.1203751</v>
      </c>
      <c r="R3369">
        <v>-0.99173020000000001</v>
      </c>
      <c r="S3369">
        <v>-1.0619809999999901</v>
      </c>
      <c r="T3369">
        <v>-0.17581769999999999</v>
      </c>
      <c r="U3369">
        <v>-3.001099</v>
      </c>
      <c r="V3369">
        <v>2.4412300000000001E-2</v>
      </c>
      <c r="W3369">
        <v>0.13461679999999901</v>
      </c>
      <c r="X3369">
        <v>0.99059699999999995</v>
      </c>
      <c r="Y3369">
        <v>0.31316880000000002</v>
      </c>
      <c r="Z3369">
        <v>5.5318909999999999E-2</v>
      </c>
      <c r="AA3369">
        <v>0.94808499999999996</v>
      </c>
      <c r="AB3369">
        <v>32</v>
      </c>
      <c r="AC3369">
        <v>-6.65559999999999</v>
      </c>
      <c r="AD3369">
        <v>-1.1027063148559999</v>
      </c>
      <c r="AE3369">
        <v>-18.639500000000002</v>
      </c>
      <c r="AF3369">
        <v>6.2424506720892001</v>
      </c>
      <c r="AG3369">
        <v>-1.1027063148559999</v>
      </c>
      <c r="AH3369">
        <v>18.717348516278498</v>
      </c>
      <c r="AI3369">
        <v>93.198782112418698</v>
      </c>
      <c r="AJ3369">
        <v>71.555865137290198</v>
      </c>
      <c r="AK3369">
        <v>19.761662052826502</v>
      </c>
      <c r="AL3369">
        <v>82.263538351677994</v>
      </c>
      <c r="AM3369">
        <v>88.588286961969899</v>
      </c>
      <c r="AN3369">
        <v>1.0000000298212599</v>
      </c>
    </row>
    <row r="3370" spans="1:40" x14ac:dyDescent="0.3">
      <c r="A3370" t="str">
        <f>"20200111150017354"</f>
        <v>20200111150017354</v>
      </c>
      <c r="B3370" t="str">
        <f>"1578726017349447"</f>
        <v>1578726017349447</v>
      </c>
      <c r="C3370" t="s">
        <v>40</v>
      </c>
      <c r="D3370">
        <v>4.0809449999999998</v>
      </c>
      <c r="E3370">
        <v>0.61882320000000002</v>
      </c>
      <c r="F3370" t="s">
        <v>42</v>
      </c>
      <c r="G3370">
        <v>-496.47120000000001</v>
      </c>
      <c r="H3370" s="1">
        <v>-2.320266E-6</v>
      </c>
      <c r="I3370">
        <v>230.98410000000001</v>
      </c>
      <c r="J3370">
        <v>-489.84379999999999</v>
      </c>
      <c r="K3370">
        <v>1.102706</v>
      </c>
      <c r="L3370">
        <v>249.3647</v>
      </c>
      <c r="M3370">
        <v>-2.2989929999999999E-2</v>
      </c>
      <c r="N3370">
        <v>0</v>
      </c>
      <c r="O3370">
        <v>-0.99963069999999998</v>
      </c>
      <c r="P3370">
        <v>-4.7698610000000002E-2</v>
      </c>
      <c r="Q3370">
        <v>0.1196817</v>
      </c>
      <c r="R3370">
        <v>-0.99166620000000005</v>
      </c>
      <c r="S3370">
        <v>-1.068756</v>
      </c>
      <c r="T3370">
        <v>-0.177641299999999</v>
      </c>
      <c r="U3370">
        <v>-2.998596</v>
      </c>
      <c r="V3370">
        <v>2.5653510000000001E-2</v>
      </c>
      <c r="W3370">
        <v>0.13391420000000001</v>
      </c>
      <c r="X3370">
        <v>0.99066080000000001</v>
      </c>
      <c r="Y3370">
        <v>0.31346059999999998</v>
      </c>
      <c r="Z3370">
        <v>5.5907749999999999E-2</v>
      </c>
      <c r="AA3370">
        <v>0.94795399999999996</v>
      </c>
      <c r="AB3370">
        <v>32</v>
      </c>
      <c r="AC3370">
        <v>-6.6274000000000202</v>
      </c>
      <c r="AD3370">
        <v>-1.102708320266</v>
      </c>
      <c r="AE3370">
        <v>-18.380599999999902</v>
      </c>
      <c r="AF3370">
        <v>6.1833404660656699</v>
      </c>
      <c r="AG3370">
        <v>-1.102708320266</v>
      </c>
      <c r="AH3370">
        <v>18.469294145404401</v>
      </c>
      <c r="AI3370">
        <v>93.240415471551799</v>
      </c>
      <c r="AJ3370">
        <v>71.489953979618605</v>
      </c>
      <c r="AK3370">
        <v>19.508062209977101</v>
      </c>
      <c r="AL3370">
        <v>82.304161721029999</v>
      </c>
      <c r="AM3370">
        <v>88.5166371354033</v>
      </c>
      <c r="AN3370">
        <v>0.99999996809679903</v>
      </c>
    </row>
    <row r="3371" spans="1:40" x14ac:dyDescent="0.3">
      <c r="A3371" t="str">
        <f>"20200111150017368"</f>
        <v>20200111150017368</v>
      </c>
      <c r="B3371" t="str">
        <f>"1578726017359186"</f>
        <v>1578726017359186</v>
      </c>
      <c r="C3371" t="s">
        <v>40</v>
      </c>
      <c r="D3371">
        <v>4.103116</v>
      </c>
      <c r="E3371">
        <v>0.61822259999999996</v>
      </c>
      <c r="F3371" t="s">
        <v>42</v>
      </c>
      <c r="G3371">
        <v>-496.48899999999998</v>
      </c>
      <c r="H3371" s="1">
        <v>-2.2851439999999999E-6</v>
      </c>
      <c r="I3371">
        <v>230.8912</v>
      </c>
      <c r="J3371">
        <v>-489.8503</v>
      </c>
      <c r="K3371">
        <v>1.1027129999999901</v>
      </c>
      <c r="L3371">
        <v>249.15809999999999</v>
      </c>
      <c r="M3371">
        <v>-2.4712959999999999E-2</v>
      </c>
      <c r="N3371">
        <v>0</v>
      </c>
      <c r="O3371">
        <v>-0.99958959999999997</v>
      </c>
      <c r="P3371">
        <v>-4.9996890000000002E-2</v>
      </c>
      <c r="Q3371">
        <v>0.11963849999999999</v>
      </c>
      <c r="R3371">
        <v>-0.99155780000000004</v>
      </c>
      <c r="S3371">
        <v>-1.077332</v>
      </c>
      <c r="T3371">
        <v>-0.17877399999999999</v>
      </c>
      <c r="U3371">
        <v>-2.99498</v>
      </c>
      <c r="V3371">
        <v>2.624102E-2</v>
      </c>
      <c r="W3371">
        <v>0.13386509999999999</v>
      </c>
      <c r="X3371">
        <v>0.99065210000000004</v>
      </c>
      <c r="Y3371">
        <v>0.31458399999999997</v>
      </c>
      <c r="Z3371">
        <v>5.6286250000000003E-2</v>
      </c>
      <c r="AA3371">
        <v>0.94755940000000005</v>
      </c>
      <c r="AB3371">
        <v>32</v>
      </c>
      <c r="AC3371">
        <v>-6.6387000000000196</v>
      </c>
      <c r="AD3371">
        <v>-1.1027152851440001</v>
      </c>
      <c r="AE3371">
        <v>-18.2669</v>
      </c>
      <c r="AF3371">
        <v>6.1653492656590698</v>
      </c>
      <c r="AG3371">
        <v>-1.1027152851440001</v>
      </c>
      <c r="AH3371">
        <v>18.366278126993699</v>
      </c>
      <c r="AI3371">
        <v>93.257692267723996</v>
      </c>
      <c r="AJ3371">
        <v>71.443687554219593</v>
      </c>
      <c r="AK3371">
        <v>19.404836634348101</v>
      </c>
      <c r="AL3371">
        <v>82.307000902836094</v>
      </c>
      <c r="AM3371">
        <v>88.482667929818902</v>
      </c>
      <c r="AN3371">
        <v>1.00000001968153</v>
      </c>
    </row>
    <row r="3372" spans="1:40" x14ac:dyDescent="0.3">
      <c r="A3372" t="str">
        <f>"20200111150017382"</f>
        <v>20200111150017382</v>
      </c>
      <c r="B3372" t="str">
        <f>"1578726017379682"</f>
        <v>1578726017379682</v>
      </c>
      <c r="C3372" t="s">
        <v>40</v>
      </c>
      <c r="D3372">
        <v>4.03383</v>
      </c>
      <c r="E3372">
        <v>0.61799729999999997</v>
      </c>
      <c r="F3372" t="s">
        <v>42</v>
      </c>
      <c r="G3372">
        <v>-496.46170000000001</v>
      </c>
      <c r="H3372" s="1">
        <v>-2.2527800000000001E-6</v>
      </c>
      <c r="I3372">
        <v>230.83269999999999</v>
      </c>
      <c r="J3372">
        <v>-489.85649999999998</v>
      </c>
      <c r="K3372">
        <v>1.102719</v>
      </c>
      <c r="L3372">
        <v>248.9691</v>
      </c>
      <c r="M3372">
        <v>-2.6286239999999999E-2</v>
      </c>
      <c r="N3372">
        <v>0</v>
      </c>
      <c r="O3372">
        <v>-0.99954929999999997</v>
      </c>
      <c r="P3372">
        <v>-5.2316399999999999E-2</v>
      </c>
      <c r="Q3372">
        <v>0.1200592</v>
      </c>
      <c r="R3372">
        <v>-0.99138749999999998</v>
      </c>
      <c r="S3372">
        <v>-1.079742</v>
      </c>
      <c r="T3372">
        <v>-0.1800919</v>
      </c>
      <c r="U3372">
        <v>-2.9928439999999998</v>
      </c>
      <c r="V3372">
        <v>2.700253E-2</v>
      </c>
      <c r="W3372">
        <v>0.1342785</v>
      </c>
      <c r="X3372">
        <v>0.99057569999999995</v>
      </c>
      <c r="Y3372">
        <v>0.31397269999999999</v>
      </c>
      <c r="Z3372">
        <v>5.6732669999999999E-2</v>
      </c>
      <c r="AA3372">
        <v>0.94773549999999995</v>
      </c>
      <c r="AB3372">
        <v>32</v>
      </c>
      <c r="AC3372">
        <v>-6.6052000000000204</v>
      </c>
      <c r="AD3372">
        <v>-1.1027212527799899</v>
      </c>
      <c r="AE3372">
        <v>-18.136399999999998</v>
      </c>
      <c r="AF3372">
        <v>6.1061991809898704</v>
      </c>
      <c r="AG3372">
        <v>-1.1027212527799899</v>
      </c>
      <c r="AH3372">
        <v>18.244228411053498</v>
      </c>
      <c r="AI3372">
        <v>93.280438482829297</v>
      </c>
      <c r="AJ3372">
        <v>71.495013152818899</v>
      </c>
      <c r="AK3372">
        <v>19.2705353561843</v>
      </c>
      <c r="AL3372">
        <v>82.283099150175104</v>
      </c>
      <c r="AM3372">
        <v>88.438536334309802</v>
      </c>
      <c r="AN3372">
        <v>1.0000000348095699</v>
      </c>
    </row>
    <row r="3373" spans="1:40" x14ac:dyDescent="0.3">
      <c r="A3373" t="str">
        <f>"20200111150017397"</f>
        <v>20200111150017397</v>
      </c>
      <c r="B3373" t="str">
        <f>"1578726017389445"</f>
        <v>1578726017389445</v>
      </c>
      <c r="C3373" t="s">
        <v>40</v>
      </c>
      <c r="D3373">
        <v>4.2107010000000002</v>
      </c>
      <c r="E3373">
        <v>0.61834919999999904</v>
      </c>
      <c r="F3373" t="s">
        <v>42</v>
      </c>
      <c r="G3373">
        <v>-496.55169999999998</v>
      </c>
      <c r="H3373" s="1">
        <v>-2.139578E-6</v>
      </c>
      <c r="I3373">
        <v>230.51300000000001</v>
      </c>
      <c r="J3373">
        <v>-489.8646</v>
      </c>
      <c r="K3373">
        <v>1.10273</v>
      </c>
      <c r="L3373">
        <v>248.73670000000001</v>
      </c>
      <c r="M3373">
        <v>-2.8213309999999998E-2</v>
      </c>
      <c r="N3373">
        <v>0</v>
      </c>
      <c r="O3373">
        <v>-0.99949690000000002</v>
      </c>
      <c r="P3373">
        <v>-5.6925879999999998E-2</v>
      </c>
      <c r="Q3373">
        <v>0.1205229</v>
      </c>
      <c r="R3373">
        <v>-0.99107719999999999</v>
      </c>
      <c r="S3373">
        <v>-1.084808</v>
      </c>
      <c r="T3373">
        <v>-0.178673</v>
      </c>
      <c r="U3373">
        <v>-2.9904329999999999</v>
      </c>
      <c r="V3373">
        <v>2.9704769999999998E-2</v>
      </c>
      <c r="W3373">
        <v>0.13472219999999999</v>
      </c>
      <c r="X3373">
        <v>0.99043800000000004</v>
      </c>
      <c r="Y3373">
        <v>0.31381409999999998</v>
      </c>
      <c r="Z3373">
        <v>5.6311029999999998E-2</v>
      </c>
      <c r="AA3373">
        <v>0.94781320000000002</v>
      </c>
      <c r="AB3373">
        <v>32</v>
      </c>
      <c r="AC3373">
        <v>-6.6870999999999796</v>
      </c>
      <c r="AD3373">
        <v>-1.1027321395780001</v>
      </c>
      <c r="AE3373">
        <v>-18.223700000000001</v>
      </c>
      <c r="AF3373">
        <v>6.1503850048189204</v>
      </c>
      <c r="AG3373">
        <v>-1.1027321395780001</v>
      </c>
      <c r="AH3373">
        <v>18.345925925059301</v>
      </c>
      <c r="AI3373">
        <v>93.261783162832103</v>
      </c>
      <c r="AJ3373">
        <v>71.466516158430096</v>
      </c>
      <c r="AK3373">
        <v>19.380821755718198</v>
      </c>
      <c r="AL3373">
        <v>82.257443145539199</v>
      </c>
      <c r="AM3373">
        <v>88.282125758635303</v>
      </c>
      <c r="AN3373">
        <v>0.99999993818879396</v>
      </c>
    </row>
    <row r="3374" spans="1:40" x14ac:dyDescent="0.3">
      <c r="A3374" t="str">
        <f>"20200111150017409"</f>
        <v>20200111150017409</v>
      </c>
      <c r="B3374" t="str">
        <f>"1578726017399202"</f>
        <v>1578726017399202</v>
      </c>
      <c r="C3374" t="s">
        <v>40</v>
      </c>
      <c r="D3374">
        <v>4.196332</v>
      </c>
      <c r="E3374">
        <v>0.61834919999999904</v>
      </c>
      <c r="F3374" t="s">
        <v>52</v>
      </c>
      <c r="G3374">
        <v>-497.3184</v>
      </c>
      <c r="H3374" s="1">
        <v>4.4377120000000002E-6</v>
      </c>
      <c r="I3374">
        <v>228.54589999999999</v>
      </c>
      <c r="J3374">
        <v>-489.87079999999997</v>
      </c>
      <c r="K3374">
        <v>1.1027389999999999</v>
      </c>
      <c r="L3374">
        <v>248.56790000000001</v>
      </c>
      <c r="M3374">
        <v>-2.9605409999999999E-2</v>
      </c>
      <c r="N3374">
        <v>0</v>
      </c>
      <c r="O3374">
        <v>-0.99945689999999998</v>
      </c>
      <c r="P3374">
        <v>-6.0171090000000003E-2</v>
      </c>
      <c r="Q3374">
        <v>0.120405</v>
      </c>
      <c r="R3374">
        <v>-0.99090009999999995</v>
      </c>
      <c r="S3374">
        <v>-1.10144</v>
      </c>
      <c r="T3374">
        <v>-0.16294910000000001</v>
      </c>
      <c r="U3374">
        <v>-2.9835820000000002</v>
      </c>
      <c r="V3374">
        <v>3.156788E-2</v>
      </c>
      <c r="W3374">
        <v>0.134591299999999</v>
      </c>
      <c r="X3374">
        <v>0.99039820000000001</v>
      </c>
      <c r="Y3374">
        <v>0.31793670000000002</v>
      </c>
      <c r="Z3374">
        <v>5.1393380000000002E-2</v>
      </c>
      <c r="AA3374">
        <v>0.94671799999999995</v>
      </c>
      <c r="AB3374">
        <v>32</v>
      </c>
      <c r="AC3374">
        <v>-7.44760000000002</v>
      </c>
      <c r="AD3374">
        <v>-1.10273456228799</v>
      </c>
      <c r="AE3374">
        <v>-20.021999999999998</v>
      </c>
      <c r="AF3374">
        <v>6.8333045326785804</v>
      </c>
      <c r="AG3374">
        <v>-1.10273456228799</v>
      </c>
      <c r="AH3374">
        <v>20.179960813758001</v>
      </c>
      <c r="AI3374">
        <v>92.962881402829694</v>
      </c>
      <c r="AJ3374">
        <v>71.292957675248999</v>
      </c>
      <c r="AK3374">
        <v>21.3340313301542</v>
      </c>
      <c r="AL3374">
        <v>82.265012361033797</v>
      </c>
      <c r="AM3374">
        <v>88.174376580488996</v>
      </c>
      <c r="AN3374">
        <v>0.99999997182331102</v>
      </c>
    </row>
    <row r="3375" spans="1:40" x14ac:dyDescent="0.3">
      <c r="A3375" t="str">
        <f>"20200111150017422"</f>
        <v>20200111150017422</v>
      </c>
      <c r="B3375" t="str">
        <f>"1578726017408962"</f>
        <v>1578726017408962</v>
      </c>
      <c r="C3375" t="s">
        <v>40</v>
      </c>
      <c r="D3375">
        <v>4.3890260000000003</v>
      </c>
      <c r="E3375">
        <v>0.68552669999999905</v>
      </c>
      <c r="F3375" t="s">
        <v>52</v>
      </c>
      <c r="G3375">
        <v>-497.36860000000001</v>
      </c>
      <c r="H3375" s="1">
        <v>4.4056870000000003E-6</v>
      </c>
      <c r="I3375">
        <v>228.4615</v>
      </c>
      <c r="J3375">
        <v>-489.87790000000001</v>
      </c>
      <c r="K3375">
        <v>1.102751</v>
      </c>
      <c r="L3375">
        <v>248.37909999999999</v>
      </c>
      <c r="M3375">
        <v>-3.1157239999999999E-2</v>
      </c>
      <c r="N3375">
        <v>0</v>
      </c>
      <c r="O3375">
        <v>-0.99940969999999996</v>
      </c>
      <c r="P3375">
        <v>-6.3943449999999999E-2</v>
      </c>
      <c r="Q3375">
        <v>0.1200164</v>
      </c>
      <c r="R3375">
        <v>-0.99071070000000006</v>
      </c>
      <c r="S3375">
        <v>-1.111237</v>
      </c>
      <c r="T3375">
        <v>-0.16343489999999999</v>
      </c>
      <c r="U3375">
        <v>-2.9799500000000001</v>
      </c>
      <c r="V3375">
        <v>3.3797290000000001E-2</v>
      </c>
      <c r="W3375">
        <v>0.13418829999999901</v>
      </c>
      <c r="X3375">
        <v>0.99037929999999996</v>
      </c>
      <c r="Y3375">
        <v>0.31957140000000001</v>
      </c>
      <c r="Z3375">
        <v>5.1558130000000001E-2</v>
      </c>
      <c r="AA3375">
        <v>0.94615850000000001</v>
      </c>
      <c r="AB3375">
        <v>32</v>
      </c>
      <c r="AC3375">
        <v>-7.4907000000000004</v>
      </c>
      <c r="AD3375">
        <v>-1.1027465943129999</v>
      </c>
      <c r="AE3375">
        <v>-19.9176</v>
      </c>
      <c r="AF3375">
        <v>6.8480296586855101</v>
      </c>
      <c r="AG3375">
        <v>-1.1027465943129999</v>
      </c>
      <c r="AH3375">
        <v>20.087397244830701</v>
      </c>
      <c r="AI3375">
        <v>92.974467517776901</v>
      </c>
      <c r="AJ3375">
        <v>71.175153717532496</v>
      </c>
      <c r="AK3375">
        <v>21.251237336426701</v>
      </c>
      <c r="AL3375">
        <v>82.288313827305004</v>
      </c>
      <c r="AM3375">
        <v>88.045505492793893</v>
      </c>
      <c r="AN3375">
        <v>0.99999995726836099</v>
      </c>
    </row>
    <row r="3376" spans="1:40" x14ac:dyDescent="0.3">
      <c r="A3376" t="str">
        <f>"20200111150017435"</f>
        <v>20200111150017435</v>
      </c>
      <c r="B3376" t="str">
        <f>"1578726017429459"</f>
        <v>1578726017429459</v>
      </c>
      <c r="C3376" t="s">
        <v>40</v>
      </c>
      <c r="D3376">
        <v>4.0594700000000001</v>
      </c>
      <c r="E3376">
        <v>0.68997489999999995</v>
      </c>
      <c r="F3376" t="s">
        <v>52</v>
      </c>
      <c r="G3376">
        <v>-502.36189999999999</v>
      </c>
      <c r="H3376">
        <v>8.0000180000000004E-2</v>
      </c>
      <c r="I3376">
        <v>226.26249999999999</v>
      </c>
      <c r="J3376">
        <v>-489.88499999999999</v>
      </c>
      <c r="K3376">
        <v>1.102762</v>
      </c>
      <c r="L3376">
        <v>248.19909999999999</v>
      </c>
      <c r="M3376">
        <v>-3.2619740000000001E-2</v>
      </c>
      <c r="N3376">
        <v>0</v>
      </c>
      <c r="O3376">
        <v>-0.99936320000000001</v>
      </c>
      <c r="P3376">
        <v>-6.7700360000000001E-2</v>
      </c>
      <c r="Q3376">
        <v>0.1190898</v>
      </c>
      <c r="R3376">
        <v>-0.99057320000000004</v>
      </c>
      <c r="S3376">
        <v>-1.6581729999999999</v>
      </c>
      <c r="T3376">
        <v>-0.13584489999999999</v>
      </c>
      <c r="U3376">
        <v>-2.937592</v>
      </c>
      <c r="V3376">
        <v>3.609387E-2</v>
      </c>
      <c r="W3376">
        <v>0.1332479</v>
      </c>
      <c r="X3376">
        <v>0.99042529999999995</v>
      </c>
      <c r="Y3376">
        <v>0.4624876</v>
      </c>
      <c r="Z3376">
        <v>4.0538890000000001E-2</v>
      </c>
      <c r="AA3376">
        <v>0.88569850000000006</v>
      </c>
      <c r="AB3376">
        <v>32</v>
      </c>
      <c r="AC3376">
        <v>-12.476900000000001</v>
      </c>
      <c r="AD3376">
        <v>-1.0227618199999999</v>
      </c>
      <c r="AE3376">
        <v>-21.936599999999999</v>
      </c>
      <c r="AF3376">
        <v>11.735343352009799</v>
      </c>
      <c r="AG3376">
        <v>-1.0227618199999999</v>
      </c>
      <c r="AH3376">
        <v>22.295340970258501</v>
      </c>
      <c r="AI3376">
        <v>92.3245566154324</v>
      </c>
      <c r="AJ3376">
        <v>62.239540873538701</v>
      </c>
      <c r="AK3376">
        <v>25.215997983623399</v>
      </c>
      <c r="AL3376">
        <v>82.342683553784099</v>
      </c>
      <c r="AM3376">
        <v>87.912905045671593</v>
      </c>
      <c r="AN3376">
        <v>1.0000000225930299</v>
      </c>
    </row>
    <row r="3377" spans="1:40" x14ac:dyDescent="0.3">
      <c r="A3377" t="str">
        <f>"20200111150017501"</f>
        <v>20200111150017501</v>
      </c>
      <c r="B3377" t="str">
        <f>"1578726017488994"</f>
        <v>1578726017488994</v>
      </c>
      <c r="C3377" t="s">
        <v>40</v>
      </c>
      <c r="D3377">
        <v>4.3447209999999998</v>
      </c>
      <c r="E3377">
        <v>0.68815340000000003</v>
      </c>
      <c r="F3377" t="s">
        <v>72</v>
      </c>
      <c r="G3377">
        <v>-511.9359</v>
      </c>
      <c r="H3377">
        <v>3.1153739999999999E-2</v>
      </c>
      <c r="I3377">
        <v>210.4254</v>
      </c>
      <c r="J3377">
        <v>-489.92579999999998</v>
      </c>
      <c r="K3377">
        <v>1.102868</v>
      </c>
      <c r="L3377">
        <v>247.2619</v>
      </c>
      <c r="M3377">
        <v>-3.9990980000000002E-2</v>
      </c>
      <c r="N3377">
        <v>0</v>
      </c>
      <c r="O3377">
        <v>-0.99909530000000002</v>
      </c>
      <c r="P3377">
        <v>-8.2402890000000006E-2</v>
      </c>
      <c r="Q3377">
        <v>0.1144623</v>
      </c>
      <c r="R3377">
        <v>-0.9900042</v>
      </c>
      <c r="S3377">
        <v>-1.7057500000000001</v>
      </c>
      <c r="T3377">
        <v>-8.2888719999999999E-2</v>
      </c>
      <c r="U3377">
        <v>-2.921951</v>
      </c>
      <c r="V3377">
        <v>4.3420010000000002E-2</v>
      </c>
      <c r="W3377">
        <v>0.128582</v>
      </c>
      <c r="X3377">
        <v>0.99074790000000001</v>
      </c>
      <c r="Y3377">
        <v>0.46905570000000002</v>
      </c>
      <c r="Z3377">
        <v>2.4715750000000002E-2</v>
      </c>
      <c r="AA3377">
        <v>0.88282269999999896</v>
      </c>
      <c r="AB3377">
        <v>32</v>
      </c>
      <c r="AC3377">
        <v>-22.010100000000001</v>
      </c>
      <c r="AD3377">
        <v>-1.07171426</v>
      </c>
      <c r="AE3377">
        <v>-36.836500000000001</v>
      </c>
      <c r="AF3377">
        <v>20.506416156362299</v>
      </c>
      <c r="AG3377">
        <v>-1.07171426</v>
      </c>
      <c r="AH3377">
        <v>37.663830597526399</v>
      </c>
      <c r="AI3377">
        <v>91.431565654932498</v>
      </c>
      <c r="AJ3377">
        <v>61.433514508715902</v>
      </c>
      <c r="AK3377">
        <v>42.897853213327203</v>
      </c>
      <c r="AL3377">
        <v>82.612340904825899</v>
      </c>
      <c r="AM3377">
        <v>87.490590277659393</v>
      </c>
      <c r="AN3377">
        <v>1.0000000146734001</v>
      </c>
    </row>
    <row r="3378" spans="1:40" x14ac:dyDescent="0.3">
      <c r="A3378" t="str">
        <f>"20200111150017513"</f>
        <v>20200111150017513</v>
      </c>
      <c r="B3378" t="str">
        <f>"1578726017509491"</f>
        <v>1578726017509491</v>
      </c>
      <c r="C3378" t="s">
        <v>40</v>
      </c>
      <c r="D3378">
        <v>4.3766119999999997</v>
      </c>
      <c r="E3378">
        <v>0.68878869999999903</v>
      </c>
      <c r="F3378" t="s">
        <v>43</v>
      </c>
      <c r="G3378">
        <v>-508.50200000000001</v>
      </c>
      <c r="H3378">
        <v>-0.05</v>
      </c>
      <c r="I3378">
        <v>216.19200000000001</v>
      </c>
      <c r="J3378">
        <v>-489.93389999999999</v>
      </c>
      <c r="K3378">
        <v>1.102892</v>
      </c>
      <c r="L3378">
        <v>247.09190000000001</v>
      </c>
      <c r="M3378">
        <v>-4.1272349999999999E-2</v>
      </c>
      <c r="N3378">
        <v>0</v>
      </c>
      <c r="O3378">
        <v>-0.99904320000000002</v>
      </c>
      <c r="P3378">
        <v>-8.3747920000000003E-2</v>
      </c>
      <c r="Q3378">
        <v>0.114354399999999</v>
      </c>
      <c r="R3378">
        <v>-0.98990350000000005</v>
      </c>
      <c r="S3378">
        <v>-1.73297099999999</v>
      </c>
      <c r="T3378">
        <v>-0.1075504</v>
      </c>
      <c r="U3378">
        <v>-2.8984990000000002</v>
      </c>
      <c r="V3378">
        <v>4.3486120000000003E-2</v>
      </c>
      <c r="W3378">
        <v>0.1284737</v>
      </c>
      <c r="X3378">
        <v>0.99075899999999995</v>
      </c>
      <c r="Y3378">
        <v>0.47703200000000001</v>
      </c>
      <c r="Z3378">
        <v>3.2137859999999997E-2</v>
      </c>
      <c r="AA3378">
        <v>0.87829820000000003</v>
      </c>
      <c r="AB3378">
        <v>32</v>
      </c>
      <c r="AC3378">
        <v>-18.568099999999902</v>
      </c>
      <c r="AD3378">
        <v>-1.152892</v>
      </c>
      <c r="AE3378">
        <v>-30.899899999999999</v>
      </c>
      <c r="AF3378">
        <v>17.2591784334858</v>
      </c>
      <c r="AG3378">
        <v>-1.152892</v>
      </c>
      <c r="AH3378">
        <v>31.6076679017104</v>
      </c>
      <c r="AI3378">
        <v>91.833604694698096</v>
      </c>
      <c r="AJ3378">
        <v>61.363516286171901</v>
      </c>
      <c r="AK3378">
        <v>36.0312790551124</v>
      </c>
      <c r="AL3378">
        <v>82.618597566516996</v>
      </c>
      <c r="AM3378">
        <v>87.486802542157307</v>
      </c>
      <c r="AN3378">
        <v>0.99999996515267098</v>
      </c>
    </row>
    <row r="3379" spans="1:40" x14ac:dyDescent="0.3">
      <c r="A3379" t="str">
        <f>"20200111150017525"</f>
        <v>20200111150017525</v>
      </c>
      <c r="B3379" t="str">
        <f>"1578726017519250"</f>
        <v>1578726017519250</v>
      </c>
      <c r="C3379" t="s">
        <v>40</v>
      </c>
      <c r="D3379">
        <v>4.3443259999999997</v>
      </c>
      <c r="E3379">
        <v>0.68867809999999996</v>
      </c>
      <c r="F3379" t="s">
        <v>52</v>
      </c>
      <c r="G3379">
        <v>-504.47210000000001</v>
      </c>
      <c r="H3379">
        <v>8.0003379999999999E-2</v>
      </c>
      <c r="I3379">
        <v>222.90309999999999</v>
      </c>
      <c r="J3379">
        <v>-489.94240000000002</v>
      </c>
      <c r="K3379">
        <v>1.102919</v>
      </c>
      <c r="L3379">
        <v>246.91579999999999</v>
      </c>
      <c r="M3379">
        <v>-4.2591299999999999E-2</v>
      </c>
      <c r="N3379">
        <v>0</v>
      </c>
      <c r="O3379">
        <v>-0.99898799999999999</v>
      </c>
      <c r="P3379">
        <v>-8.4601889999999999E-2</v>
      </c>
      <c r="Q3379">
        <v>0.1141307</v>
      </c>
      <c r="R3379">
        <v>-0.98985699999999999</v>
      </c>
      <c r="S3379">
        <v>-1.741425</v>
      </c>
      <c r="T3379">
        <v>-0.12252399999999999</v>
      </c>
      <c r="U3379">
        <v>-2.8974000000000002</v>
      </c>
      <c r="V3379">
        <v>4.3021589999999998E-2</v>
      </c>
      <c r="W3379">
        <v>0.1282529</v>
      </c>
      <c r="X3379">
        <v>0.99080800000000002</v>
      </c>
      <c r="Y3379">
        <v>0.47782479999999999</v>
      </c>
      <c r="Z3379">
        <v>3.6580799999999997E-2</v>
      </c>
      <c r="AA3379">
        <v>0.87769319999999895</v>
      </c>
      <c r="AB3379">
        <v>32</v>
      </c>
      <c r="AC3379">
        <v>-14.529699999999901</v>
      </c>
      <c r="AD3379">
        <v>-1.02291562</v>
      </c>
      <c r="AE3379">
        <v>-24.012699999999899</v>
      </c>
      <c r="AF3379">
        <v>13.4757734039024</v>
      </c>
      <c r="AG3379">
        <v>-1.02291562</v>
      </c>
      <c r="AH3379">
        <v>24.577162654971598</v>
      </c>
      <c r="AI3379">
        <v>92.090064937378003</v>
      </c>
      <c r="AJ3379">
        <v>61.2638350329986</v>
      </c>
      <c r="AK3379">
        <v>28.047811846343599</v>
      </c>
      <c r="AL3379">
        <v>82.6313548441655</v>
      </c>
      <c r="AM3379">
        <v>87.513738103844304</v>
      </c>
      <c r="AN3379">
        <v>1.00000007821426</v>
      </c>
    </row>
    <row r="3380" spans="1:40" x14ac:dyDescent="0.3">
      <c r="A3380" t="str">
        <f>"20200111150017558"</f>
        <v>20200111150017558</v>
      </c>
      <c r="B3380" t="str">
        <f>"1578726017549506"</f>
        <v>1578726017549506</v>
      </c>
      <c r="C3380" t="s">
        <v>40</v>
      </c>
      <c r="D3380">
        <v>4.2812900000000003</v>
      </c>
      <c r="E3380">
        <v>0.68913409999999997</v>
      </c>
      <c r="F3380" t="s">
        <v>52</v>
      </c>
      <c r="G3380">
        <v>-503.33260000000001</v>
      </c>
      <c r="H3380">
        <v>8.0000329999999995E-2</v>
      </c>
      <c r="I3380">
        <v>224.66139999999999</v>
      </c>
      <c r="J3380">
        <v>-489.9667</v>
      </c>
      <c r="K3380">
        <v>1.102973</v>
      </c>
      <c r="L3380">
        <v>246.44069999999999</v>
      </c>
      <c r="M3380">
        <v>-4.6089819999999997E-2</v>
      </c>
      <c r="N3380">
        <v>0</v>
      </c>
      <c r="O3380">
        <v>-0.99883279999999997</v>
      </c>
      <c r="P3380">
        <v>-8.4707889999999994E-2</v>
      </c>
      <c r="Q3380">
        <v>0.1144973</v>
      </c>
      <c r="R3380">
        <v>-0.98980570000000001</v>
      </c>
      <c r="S3380">
        <v>-1.743134</v>
      </c>
      <c r="T3380">
        <v>-0.13316420000000001</v>
      </c>
      <c r="U3380">
        <v>-2.8970950000000002</v>
      </c>
      <c r="V3380">
        <v>3.9637539999999999E-2</v>
      </c>
      <c r="W3380">
        <v>0.1286359</v>
      </c>
      <c r="X3380">
        <v>0.99089939999999999</v>
      </c>
      <c r="Y3380">
        <v>0.47510520000000001</v>
      </c>
      <c r="Z3380">
        <v>3.9771519999999998E-2</v>
      </c>
      <c r="AA3380">
        <v>0.87902979999999997</v>
      </c>
      <c r="AB3380">
        <v>32</v>
      </c>
      <c r="AC3380">
        <v>-13.3659</v>
      </c>
      <c r="AD3380">
        <v>-1.0229726699999999</v>
      </c>
      <c r="AE3380">
        <v>-21.779299999999999</v>
      </c>
      <c r="AF3380">
        <v>12.328027393555899</v>
      </c>
      <c r="AG3380">
        <v>-1.0229726699999999</v>
      </c>
      <c r="AH3380">
        <v>22.3364501704263</v>
      </c>
      <c r="AI3380">
        <v>92.296137322659604</v>
      </c>
      <c r="AJ3380">
        <v>61.1046312409499</v>
      </c>
      <c r="AK3380">
        <v>25.533188964870199</v>
      </c>
      <c r="AL3380">
        <v>82.609226507059603</v>
      </c>
      <c r="AM3380">
        <v>87.709299668230599</v>
      </c>
      <c r="AN3380">
        <v>0.99999997513321004</v>
      </c>
    </row>
    <row r="3381" spans="1:40" x14ac:dyDescent="0.3">
      <c r="A3381" t="str">
        <f>"20200111150017570"</f>
        <v>20200111150017570</v>
      </c>
      <c r="B3381" t="str">
        <f>"1578726017559266"</f>
        <v>1578726017559266</v>
      </c>
      <c r="C3381" t="s">
        <v>40</v>
      </c>
      <c r="D3381">
        <v>4.2776519999999998</v>
      </c>
      <c r="E3381">
        <v>0.68947269999999905</v>
      </c>
      <c r="F3381" t="s">
        <v>52</v>
      </c>
      <c r="G3381">
        <v>-503.92970000000003</v>
      </c>
      <c r="H3381">
        <v>8.0003240000000003E-2</v>
      </c>
      <c r="I3381">
        <v>223.29900000000001</v>
      </c>
      <c r="J3381">
        <v>-489.97500000000002</v>
      </c>
      <c r="K3381">
        <v>1.1029869999999999</v>
      </c>
      <c r="L3381">
        <v>246.2851</v>
      </c>
      <c r="M3381">
        <v>-4.722063E-2</v>
      </c>
      <c r="N3381">
        <v>0</v>
      </c>
      <c r="O3381">
        <v>-0.99878</v>
      </c>
      <c r="P3381">
        <v>-8.461101E-2</v>
      </c>
      <c r="Q3381">
        <v>0.1150398</v>
      </c>
      <c r="R3381">
        <v>-0.98975119999999905</v>
      </c>
      <c r="S3381">
        <v>-1.7474369999999999</v>
      </c>
      <c r="T3381">
        <v>-0.12802239999999901</v>
      </c>
      <c r="U3381">
        <v>-2.8961329999999998</v>
      </c>
      <c r="V3381">
        <v>3.8418239999999999E-2</v>
      </c>
      <c r="W3381">
        <v>0.12918299999999999</v>
      </c>
      <c r="X3381">
        <v>0.99087630000000004</v>
      </c>
      <c r="Y3381">
        <v>0.47522700000000001</v>
      </c>
      <c r="Z3381">
        <v>3.8231260000000003E-2</v>
      </c>
      <c r="AA3381">
        <v>0.87903220000000004</v>
      </c>
      <c r="AB3381">
        <v>32</v>
      </c>
      <c r="AC3381">
        <v>-13.954700000000001</v>
      </c>
      <c r="AD3381">
        <v>-1.02298376</v>
      </c>
      <c r="AE3381">
        <v>-22.9861</v>
      </c>
      <c r="AF3381">
        <v>12.8350231980501</v>
      </c>
      <c r="AG3381">
        <v>-1.02298376</v>
      </c>
      <c r="AH3381">
        <v>23.585337990343199</v>
      </c>
      <c r="AI3381">
        <v>92.181784994586494</v>
      </c>
      <c r="AJ3381">
        <v>61.445188299327597</v>
      </c>
      <c r="AK3381">
        <v>26.871034300644901</v>
      </c>
      <c r="AL3381">
        <v>82.577616614757503</v>
      </c>
      <c r="AM3381">
        <v>87.7796411078848</v>
      </c>
      <c r="AN3381">
        <v>1.0000000252776899</v>
      </c>
    </row>
    <row r="3382" spans="1:40" x14ac:dyDescent="0.3">
      <c r="A3382" t="str">
        <f>"20200111150017588"</f>
        <v>20200111150017588</v>
      </c>
      <c r="B3382" t="str">
        <f>"1578726017578790"</f>
        <v>1578726017578790</v>
      </c>
      <c r="C3382" t="s">
        <v>40</v>
      </c>
      <c r="D3382">
        <v>4.2254459999999998</v>
      </c>
      <c r="E3382">
        <v>0.69052829999999998</v>
      </c>
      <c r="F3382" t="s">
        <v>52</v>
      </c>
      <c r="G3382">
        <v>-504.51850000000002</v>
      </c>
      <c r="H3382">
        <v>8.000351E-2</v>
      </c>
      <c r="I3382">
        <v>222.2182</v>
      </c>
      <c r="J3382">
        <v>-489.9889</v>
      </c>
      <c r="K3382">
        <v>1.103016</v>
      </c>
      <c r="L3382">
        <v>246.03049999999999</v>
      </c>
      <c r="M3382">
        <v>-4.9063959999999997E-2</v>
      </c>
      <c r="N3382">
        <v>0</v>
      </c>
      <c r="O3382">
        <v>-0.99869129999999995</v>
      </c>
      <c r="P3382">
        <v>-8.3581089999999997E-2</v>
      </c>
      <c r="Q3382">
        <v>0.116235199999999</v>
      </c>
      <c r="R3382">
        <v>-0.98969910000000005</v>
      </c>
      <c r="S3382">
        <v>-1.749908</v>
      </c>
      <c r="T3382">
        <v>-0.1230884</v>
      </c>
      <c r="U3382">
        <v>-2.8957980000000001</v>
      </c>
      <c r="V3382">
        <v>3.5560429999999997E-2</v>
      </c>
      <c r="W3382">
        <v>0.13039010000000001</v>
      </c>
      <c r="X3382">
        <v>0.99082490000000001</v>
      </c>
      <c r="Y3382">
        <v>0.4742266</v>
      </c>
      <c r="Z3382">
        <v>3.6761670000000003E-2</v>
      </c>
      <c r="AA3382">
        <v>0.87963499999999994</v>
      </c>
      <c r="AB3382">
        <v>32</v>
      </c>
      <c r="AC3382">
        <v>-14.5296</v>
      </c>
      <c r="AD3382">
        <v>-1.0230124899999999</v>
      </c>
      <c r="AE3382">
        <v>-23.8123</v>
      </c>
      <c r="AF3382">
        <v>13.3257274879014</v>
      </c>
      <c r="AG3382">
        <v>-1.0230124899999999</v>
      </c>
      <c r="AH3382">
        <v>24.463666945039598</v>
      </c>
      <c r="AI3382">
        <v>92.103123230023897</v>
      </c>
      <c r="AJ3382">
        <v>61.422205182632702</v>
      </c>
      <c r="AK3382">
        <v>27.876380109948499</v>
      </c>
      <c r="AL3382">
        <v>82.507865118115703</v>
      </c>
      <c r="AM3382">
        <v>87.944552632303001</v>
      </c>
      <c r="AN3382">
        <v>1.0000000524099</v>
      </c>
    </row>
    <row r="3383" spans="1:40" x14ac:dyDescent="0.3">
      <c r="A3383" t="str">
        <f>"20200111150017599"</f>
        <v>20200111150017599</v>
      </c>
      <c r="B3383" t="str">
        <f>"1578726017589522"</f>
        <v>1578726017589522</v>
      </c>
      <c r="C3383" t="s">
        <v>40</v>
      </c>
      <c r="D3383">
        <v>4.4107589999999997</v>
      </c>
      <c r="E3383">
        <v>0.69070830000000005</v>
      </c>
      <c r="F3383" t="s">
        <v>43</v>
      </c>
      <c r="G3383">
        <v>-508.32990000000001</v>
      </c>
      <c r="H3383">
        <v>-0.05</v>
      </c>
      <c r="I3383">
        <v>215.78229999999999</v>
      </c>
      <c r="J3383">
        <v>-489.99779999999998</v>
      </c>
      <c r="K3383">
        <v>1.1030230000000001</v>
      </c>
      <c r="L3383">
        <v>245.87270000000001</v>
      </c>
      <c r="M3383">
        <v>-5.0203339999999999E-2</v>
      </c>
      <c r="N3383">
        <v>0</v>
      </c>
      <c r="O3383">
        <v>-0.99863460000000004</v>
      </c>
      <c r="P3383">
        <v>-8.2830570000000006E-2</v>
      </c>
      <c r="Q3383">
        <v>0.11675290000000001</v>
      </c>
      <c r="R3383">
        <v>-0.98970100000000005</v>
      </c>
      <c r="S3383">
        <v>-1.7559199999999999</v>
      </c>
      <c r="T3383">
        <v>-0.1103867</v>
      </c>
      <c r="U3383">
        <v>-2.8958889999999999</v>
      </c>
      <c r="V3383">
        <v>3.3678E-2</v>
      </c>
      <c r="W3383">
        <v>0.13091530000000001</v>
      </c>
      <c r="X3383">
        <v>0.99082139999999996</v>
      </c>
      <c r="Y3383">
        <v>0.47461520000000001</v>
      </c>
      <c r="Z3383">
        <v>3.2949279999999997E-2</v>
      </c>
      <c r="AA3383">
        <v>0.87957640000000004</v>
      </c>
      <c r="AB3383">
        <v>32</v>
      </c>
      <c r="AC3383">
        <v>-18.332100000000001</v>
      </c>
      <c r="AD3383">
        <v>-1.1530229999999999</v>
      </c>
      <c r="AE3383">
        <v>-30.090399999999999</v>
      </c>
      <c r="AF3383">
        <v>16.780213433933199</v>
      </c>
      <c r="AG3383">
        <v>-1.1530229999999999</v>
      </c>
      <c r="AH3383">
        <v>30.939745320383999</v>
      </c>
      <c r="AI3383">
        <v>91.876277690619204</v>
      </c>
      <c r="AJ3383">
        <v>61.526748509140297</v>
      </c>
      <c r="AK3383">
        <v>35.216088161763601</v>
      </c>
      <c r="AL3383">
        <v>82.477513074233102</v>
      </c>
      <c r="AM3383">
        <v>88.053267043585905</v>
      </c>
      <c r="AN3383">
        <v>1.00000003507802</v>
      </c>
    </row>
    <row r="3384" spans="1:40" x14ac:dyDescent="0.3">
      <c r="A3384" t="str">
        <f>"20200111150017621"</f>
        <v>20200111150017621</v>
      </c>
      <c r="B3384" t="str">
        <f>"1578726017618801"</f>
        <v>1578726017618801</v>
      </c>
      <c r="C3384" t="s">
        <v>40</v>
      </c>
      <c r="D3384">
        <v>4.2325710000000001</v>
      </c>
      <c r="E3384">
        <v>0.69070830000000005</v>
      </c>
      <c r="F3384" t="s">
        <v>43</v>
      </c>
      <c r="G3384">
        <v>-507.82889999999998</v>
      </c>
      <c r="H3384">
        <v>-0.05</v>
      </c>
      <c r="I3384">
        <v>216.4357</v>
      </c>
      <c r="J3384">
        <v>-490.01650000000001</v>
      </c>
      <c r="K3384">
        <v>1.103043</v>
      </c>
      <c r="L3384">
        <v>245.54910000000001</v>
      </c>
      <c r="M3384">
        <v>-5.2530109999999998E-2</v>
      </c>
      <c r="N3384">
        <v>0</v>
      </c>
      <c r="O3384">
        <v>-0.99851500000000004</v>
      </c>
      <c r="P3384">
        <v>-7.9748319999999998E-2</v>
      </c>
      <c r="Q3384">
        <v>0.1168651</v>
      </c>
      <c r="R3384">
        <v>-0.98994090000000001</v>
      </c>
      <c r="S3384">
        <v>-1.7552490000000001</v>
      </c>
      <c r="T3384">
        <v>-0.1135007</v>
      </c>
      <c r="U3384">
        <v>-2.8977050000000002</v>
      </c>
      <c r="V3384">
        <v>2.8269969999999998E-2</v>
      </c>
      <c r="W3384">
        <v>0.1310529</v>
      </c>
      <c r="X3384">
        <v>0.99097219999999997</v>
      </c>
      <c r="Y3384">
        <v>0.4721533</v>
      </c>
      <c r="Z3384">
        <v>3.3878770000000002E-2</v>
      </c>
      <c r="AA3384">
        <v>0.88086520000000001</v>
      </c>
      <c r="AB3384">
        <v>32</v>
      </c>
      <c r="AC3384">
        <v>-17.812399999999901</v>
      </c>
      <c r="AD3384">
        <v>-1.153043</v>
      </c>
      <c r="AE3384">
        <v>-29.113399999999999</v>
      </c>
      <c r="AF3384">
        <v>16.2397775244964</v>
      </c>
      <c r="AG3384">
        <v>-1.153043</v>
      </c>
      <c r="AH3384">
        <v>29.974769528354301</v>
      </c>
      <c r="AI3384">
        <v>91.937130903872202</v>
      </c>
      <c r="AJ3384">
        <v>61.551981829980399</v>
      </c>
      <c r="AK3384">
        <v>34.110800202911499</v>
      </c>
      <c r="AL3384">
        <v>82.469560224788296</v>
      </c>
      <c r="AM3384">
        <v>88.365937220005407</v>
      </c>
      <c r="AN3384">
        <v>0.999999977487525</v>
      </c>
    </row>
    <row r="3385" spans="1:40" x14ac:dyDescent="0.3">
      <c r="A3385" t="str">
        <f>"20200111150017632"</f>
        <v>20200111150017632</v>
      </c>
      <c r="B3385" t="str">
        <f>"1578726017629539"</f>
        <v>1578726017629539</v>
      </c>
      <c r="C3385" t="s">
        <v>40</v>
      </c>
      <c r="D3385">
        <v>3.9950260000000002</v>
      </c>
      <c r="E3385">
        <v>0.53833229999999999</v>
      </c>
      <c r="F3385" t="s">
        <v>43</v>
      </c>
      <c r="G3385">
        <v>-507.86290000000002</v>
      </c>
      <c r="H3385">
        <v>-0.05</v>
      </c>
      <c r="I3385">
        <v>215.8767</v>
      </c>
      <c r="J3385">
        <v>-490.02550000000002</v>
      </c>
      <c r="K3385">
        <v>1.103051</v>
      </c>
      <c r="L3385">
        <v>245.40110000000001</v>
      </c>
      <c r="M3385">
        <v>-5.3585580000000001E-2</v>
      </c>
      <c r="N3385">
        <v>0</v>
      </c>
      <c r="O3385">
        <v>-0.99845890000000004</v>
      </c>
      <c r="P3385">
        <v>-7.6763029999999996E-2</v>
      </c>
      <c r="Q3385">
        <v>0.1161349</v>
      </c>
      <c r="R3385">
        <v>-0.99026270000000005</v>
      </c>
      <c r="S3385">
        <v>-1.7460629999999999</v>
      </c>
      <c r="T3385">
        <v>-0.112812</v>
      </c>
      <c r="U3385">
        <v>-2.9031069999999999</v>
      </c>
      <c r="V3385">
        <v>2.4215589999999999E-2</v>
      </c>
      <c r="W3385">
        <v>0.13034369999999901</v>
      </c>
      <c r="X3385">
        <v>0.99117310000000003</v>
      </c>
      <c r="Y3385">
        <v>0.46845029999999999</v>
      </c>
      <c r="Z3385">
        <v>3.367763E-2</v>
      </c>
      <c r="AA3385">
        <v>0.88284769999999901</v>
      </c>
      <c r="AB3385">
        <v>32</v>
      </c>
      <c r="AC3385">
        <v>-17.837399999999999</v>
      </c>
      <c r="AD3385">
        <v>-1.153051</v>
      </c>
      <c r="AE3385">
        <v>-29.5244</v>
      </c>
      <c r="AF3385">
        <v>16.211405709259399</v>
      </c>
      <c r="AG3385">
        <v>-1.153051</v>
      </c>
      <c r="AH3385">
        <v>30.403926653522799</v>
      </c>
      <c r="AI3385">
        <v>91.9166623993478</v>
      </c>
      <c r="AJ3385">
        <v>61.933414072058099</v>
      </c>
      <c r="AK3385">
        <v>34.475178862938598</v>
      </c>
      <c r="AL3385">
        <v>82.510546089907294</v>
      </c>
      <c r="AM3385">
        <v>88.600471346144204</v>
      </c>
      <c r="AN3385">
        <v>0.99999999454617405</v>
      </c>
    </row>
    <row r="3386" spans="1:40" x14ac:dyDescent="0.3">
      <c r="A3386" t="str">
        <f>"20200111150017643"</f>
        <v>20200111150017643</v>
      </c>
      <c r="B3386" t="str">
        <f>"1578726017639299"</f>
        <v>1578726017639299</v>
      </c>
      <c r="C3386" t="s">
        <v>40</v>
      </c>
      <c r="D3386">
        <v>4.2653860000000003</v>
      </c>
      <c r="E3386">
        <v>0.53833229999999999</v>
      </c>
      <c r="F3386" t="s">
        <v>42</v>
      </c>
      <c r="G3386">
        <v>-499.95780000000002</v>
      </c>
      <c r="H3386">
        <v>3.0639719999999999E-2</v>
      </c>
      <c r="I3386">
        <v>188.82660000000001</v>
      </c>
      <c r="J3386">
        <v>-490.03399999999999</v>
      </c>
      <c r="K3386">
        <v>1.1030580000000001</v>
      </c>
      <c r="L3386">
        <v>245.25829999999999</v>
      </c>
      <c r="M3386">
        <v>-5.4600070000000001E-2</v>
      </c>
      <c r="N3386">
        <v>0</v>
      </c>
      <c r="O3386">
        <v>-0.99840410000000002</v>
      </c>
      <c r="P3386">
        <v>-7.4013780000000001E-2</v>
      </c>
      <c r="Q3386">
        <v>0.11519840000000001</v>
      </c>
      <c r="R3386">
        <v>-0.9905815</v>
      </c>
      <c r="S3386">
        <v>-0.52587890000000004</v>
      </c>
      <c r="T3386">
        <v>-5.6780219999999999E-2</v>
      </c>
      <c r="U3386">
        <v>-2.9954070000000002</v>
      </c>
      <c r="V3386">
        <v>2.0436220000000001E-2</v>
      </c>
      <c r="W3386">
        <v>0.1294265</v>
      </c>
      <c r="X3386">
        <v>0.99137839999999999</v>
      </c>
      <c r="Y3386">
        <v>0.118845699999999</v>
      </c>
      <c r="Z3386">
        <v>1.869991E-2</v>
      </c>
      <c r="AA3386">
        <v>0.99273659999999997</v>
      </c>
      <c r="AB3386">
        <v>32</v>
      </c>
      <c r="AC3386">
        <v>-9.9238000000000195</v>
      </c>
      <c r="AD3386">
        <v>-1.0724182799999999</v>
      </c>
      <c r="AE3386">
        <v>-56.4316999999999</v>
      </c>
      <c r="AF3386">
        <v>6.82510730853447</v>
      </c>
      <c r="AG3386">
        <v>-1.0724182799999999</v>
      </c>
      <c r="AH3386">
        <v>56.869477997602502</v>
      </c>
      <c r="AI3386">
        <v>91.072633958386405</v>
      </c>
      <c r="AJ3386">
        <v>83.156461879932905</v>
      </c>
      <c r="AK3386">
        <v>57.287605103199098</v>
      </c>
      <c r="AL3386">
        <v>82.563546750259306</v>
      </c>
      <c r="AM3386">
        <v>88.819075194547494</v>
      </c>
      <c r="AN3386">
        <v>0.99999999498834902</v>
      </c>
    </row>
    <row r="3387" spans="1:40" x14ac:dyDescent="0.3">
      <c r="A3387" t="str">
        <f>"20200111150017653"</f>
        <v>20200111150017653</v>
      </c>
      <c r="B3387" t="str">
        <f>"1578726017649059"</f>
        <v>1578726017649059</v>
      </c>
      <c r="C3387" t="s">
        <v>40</v>
      </c>
      <c r="D3387">
        <v>4.184266</v>
      </c>
      <c r="E3387">
        <v>0.47117179999999997</v>
      </c>
      <c r="F3387" t="s">
        <v>42</v>
      </c>
      <c r="G3387">
        <v>-499.56819999999999</v>
      </c>
      <c r="H3387" s="1">
        <v>-2.7545430000000002E-6</v>
      </c>
      <c r="I3387">
        <v>190.09370000000001</v>
      </c>
      <c r="J3387">
        <v>-490.04399999999998</v>
      </c>
      <c r="K3387">
        <v>1.1030610000000001</v>
      </c>
      <c r="L3387">
        <v>245.09719999999999</v>
      </c>
      <c r="M3387">
        <v>-5.5732129999999998E-2</v>
      </c>
      <c r="N3387">
        <v>0</v>
      </c>
      <c r="O3387">
        <v>-0.99834149999999999</v>
      </c>
      <c r="P3387">
        <v>-7.1199509999999994E-2</v>
      </c>
      <c r="Q3387">
        <v>0.11408359999999999</v>
      </c>
      <c r="R3387">
        <v>-0.99091669999999998</v>
      </c>
      <c r="S3387">
        <v>-0.51794430000000002</v>
      </c>
      <c r="T3387">
        <v>-5.9923650000000002E-2</v>
      </c>
      <c r="U3387">
        <v>-2.9968110000000001</v>
      </c>
      <c r="V3387">
        <v>1.6470809999999999E-2</v>
      </c>
      <c r="W3387">
        <v>0.12833230000000001</v>
      </c>
      <c r="X3387">
        <v>0.99159439999999999</v>
      </c>
      <c r="Y3387">
        <v>0.1150854</v>
      </c>
      <c r="Z3387">
        <v>1.9732650000000001E-2</v>
      </c>
      <c r="AA3387">
        <v>0.99315960000000003</v>
      </c>
      <c r="AB3387">
        <v>32</v>
      </c>
      <c r="AC3387">
        <v>-9.52419999999994</v>
      </c>
      <c r="AD3387">
        <v>-1.103063754543</v>
      </c>
      <c r="AE3387">
        <v>-55.003499999999903</v>
      </c>
      <c r="AF3387">
        <v>6.4410975777264596</v>
      </c>
      <c r="AG3387">
        <v>-1.103063754543</v>
      </c>
      <c r="AH3387">
        <v>55.4272097906006</v>
      </c>
      <c r="AI3387">
        <v>91.132480832015204</v>
      </c>
      <c r="AJ3387">
        <v>83.3714904637974</v>
      </c>
      <c r="AK3387">
        <v>55.811110657499299</v>
      </c>
      <c r="AL3387">
        <v>82.626766779670007</v>
      </c>
      <c r="AM3387">
        <v>89.048379941595002</v>
      </c>
      <c r="AN3387">
        <v>0.99999996045835204</v>
      </c>
    </row>
    <row r="3388" spans="1:40" x14ac:dyDescent="0.3">
      <c r="A3388" t="str">
        <f>"20200111150017665"</f>
        <v>20200111150017665</v>
      </c>
      <c r="B3388" t="str">
        <f>"1578726017658818"</f>
        <v>1578726017658818</v>
      </c>
      <c r="C3388" t="s">
        <v>40</v>
      </c>
      <c r="D3388">
        <v>4.3934569999999997</v>
      </c>
      <c r="E3388">
        <v>0.46243109999999998</v>
      </c>
      <c r="F3388" t="s">
        <v>52</v>
      </c>
      <c r="G3388">
        <v>-489.81509999999997</v>
      </c>
      <c r="H3388" s="1">
        <v>3.6123999999999999E-6</v>
      </c>
      <c r="I3388">
        <v>219.9684</v>
      </c>
      <c r="J3388">
        <v>-490.05439999999999</v>
      </c>
      <c r="K3388">
        <v>1.1030770000000001</v>
      </c>
      <c r="L3388">
        <v>244.93029999999999</v>
      </c>
      <c r="M3388">
        <v>-5.6887970000000003E-2</v>
      </c>
      <c r="N3388">
        <v>0</v>
      </c>
      <c r="O3388">
        <v>-0.99827639999999995</v>
      </c>
      <c r="P3388">
        <v>-6.8098190000000003E-2</v>
      </c>
      <c r="Q3388">
        <v>0.11254500000000001</v>
      </c>
      <c r="R3388">
        <v>-0.99131049999999998</v>
      </c>
      <c r="S3388">
        <v>2.7740480000000001E-2</v>
      </c>
      <c r="T3388">
        <v>-0.13365839999999901</v>
      </c>
      <c r="U3388">
        <v>-3.0448759999999999</v>
      </c>
      <c r="V3388">
        <v>1.218755E-2</v>
      </c>
      <c r="W3388">
        <v>0.12681609999999999</v>
      </c>
      <c r="X3388">
        <v>0.99185140000000005</v>
      </c>
      <c r="Y3388">
        <v>-6.5978179999999997E-2</v>
      </c>
      <c r="Z3388">
        <v>4.369874E-2</v>
      </c>
      <c r="AA3388">
        <v>0.99686370000000002</v>
      </c>
      <c r="AB3388">
        <v>32</v>
      </c>
      <c r="AC3388">
        <v>0.239300000000014</v>
      </c>
      <c r="AD3388">
        <v>-1.1030733876000001</v>
      </c>
      <c r="AE3388">
        <v>-24.961899999999901</v>
      </c>
      <c r="AF3388">
        <v>-1.6558586733226901</v>
      </c>
      <c r="AG3388">
        <v>-1.1030733876000001</v>
      </c>
      <c r="AH3388">
        <v>24.859312449300599</v>
      </c>
      <c r="AI3388">
        <v>92.535088294023296</v>
      </c>
      <c r="AJ3388">
        <v>93.810796239249399</v>
      </c>
      <c r="AK3388">
        <v>24.938806192285899</v>
      </c>
      <c r="AL3388">
        <v>82.714354834978494</v>
      </c>
      <c r="AM3388">
        <v>89.296003376829802</v>
      </c>
      <c r="AN3388">
        <v>1.00000002963808</v>
      </c>
    </row>
    <row r="3389" spans="1:40" x14ac:dyDescent="0.3">
      <c r="A3389" t="str">
        <f>"20200111150017677"</f>
        <v>20200111150017677</v>
      </c>
      <c r="B3389" t="str">
        <f>"1578726017669554"</f>
        <v>1578726017669554</v>
      </c>
      <c r="C3389" t="s">
        <v>40</v>
      </c>
      <c r="D3389">
        <v>4.2927910000000002</v>
      </c>
      <c r="E3389">
        <v>0.46024399999999999</v>
      </c>
      <c r="F3389" t="s">
        <v>52</v>
      </c>
      <c r="G3389">
        <v>-489.36160000000001</v>
      </c>
      <c r="H3389" s="1">
        <v>5.1908380000000001E-6</v>
      </c>
      <c r="I3389">
        <v>225.4735</v>
      </c>
      <c r="J3389">
        <v>-490.065</v>
      </c>
      <c r="K3389">
        <v>1.1031010000000001</v>
      </c>
      <c r="L3389">
        <v>244.76519999999999</v>
      </c>
      <c r="M3389">
        <v>-5.8012649999999999E-2</v>
      </c>
      <c r="N3389">
        <v>0</v>
      </c>
      <c r="O3389">
        <v>-0.99821190000000004</v>
      </c>
      <c r="P3389">
        <v>-6.5173809999999999E-2</v>
      </c>
      <c r="Q3389">
        <v>0.1116269</v>
      </c>
      <c r="R3389">
        <v>-0.99161109999999997</v>
      </c>
      <c r="S3389">
        <v>0.1087341</v>
      </c>
      <c r="T3389">
        <v>-0.17310970000000001</v>
      </c>
      <c r="U3389">
        <v>-3.053436</v>
      </c>
      <c r="V3389">
        <v>8.1178489999999999E-3</v>
      </c>
      <c r="W3389">
        <v>0.1259169</v>
      </c>
      <c r="X3389">
        <v>0.99200759999999999</v>
      </c>
      <c r="Y3389">
        <v>-9.3453040000000001E-2</v>
      </c>
      <c r="Z3389">
        <v>5.6317810000000003E-2</v>
      </c>
      <c r="AA3389">
        <v>0.99402959999999996</v>
      </c>
      <c r="AB3389">
        <v>31</v>
      </c>
      <c r="AC3389">
        <v>0.70339999999998704</v>
      </c>
      <c r="AD3389">
        <v>-1.103095809162</v>
      </c>
      <c r="AE3389">
        <v>-19.291699999999899</v>
      </c>
      <c r="AF3389">
        <v>-1.81556574469355</v>
      </c>
      <c r="AG3389">
        <v>-1.103095809162</v>
      </c>
      <c r="AH3389">
        <v>19.155845283278499</v>
      </c>
      <c r="AI3389">
        <v>93.281085305760698</v>
      </c>
      <c r="AJ3389">
        <v>95.414244997566001</v>
      </c>
      <c r="AK3389">
        <v>19.273284822634601</v>
      </c>
      <c r="AL3389">
        <v>82.766291487602899</v>
      </c>
      <c r="AM3389">
        <v>89.531144615701905</v>
      </c>
      <c r="AN3389">
        <v>1.00000002181787</v>
      </c>
    </row>
    <row r="3390" spans="1:40" x14ac:dyDescent="0.3">
      <c r="A3390" t="str">
        <f>"20200111150017689"</f>
        <v>20200111150017689</v>
      </c>
      <c r="B3390" t="str">
        <f>"1578726017679314"</f>
        <v>1578726017679314</v>
      </c>
      <c r="C3390" t="s">
        <v>40</v>
      </c>
      <c r="D3390">
        <v>4.344932</v>
      </c>
      <c r="E3390">
        <v>0.45837559999999999</v>
      </c>
      <c r="F3390" t="s">
        <v>52</v>
      </c>
      <c r="G3390">
        <v>-489.27730000000003</v>
      </c>
      <c r="H3390" s="1">
        <v>5.6569419999999999E-6</v>
      </c>
      <c r="I3390">
        <v>227.0505</v>
      </c>
      <c r="J3390">
        <v>-490.07510000000002</v>
      </c>
      <c r="K3390">
        <v>1.103137</v>
      </c>
      <c r="L3390">
        <v>244.6104</v>
      </c>
      <c r="M3390">
        <v>-5.9023829999999999E-2</v>
      </c>
      <c r="N3390">
        <v>0</v>
      </c>
      <c r="O3390">
        <v>-0.99815240000000005</v>
      </c>
      <c r="P3390">
        <v>-6.2224719999999997E-2</v>
      </c>
      <c r="Q3390">
        <v>0.1110178</v>
      </c>
      <c r="R3390">
        <v>-0.99186859999999999</v>
      </c>
      <c r="S3390">
        <v>0.13586429999999999</v>
      </c>
      <c r="T3390">
        <v>-0.19028039999999999</v>
      </c>
      <c r="U3390">
        <v>-3.0557249999999998</v>
      </c>
      <c r="V3390">
        <v>4.1365839999999996E-3</v>
      </c>
      <c r="W3390">
        <v>0.12532560000000001</v>
      </c>
      <c r="X3390">
        <v>0.99210699999999996</v>
      </c>
      <c r="Y3390">
        <v>-0.10322720000000001</v>
      </c>
      <c r="Z3390">
        <v>6.1790739999999997E-2</v>
      </c>
      <c r="AA3390">
        <v>0.99273659999999997</v>
      </c>
      <c r="AB3390">
        <v>31</v>
      </c>
      <c r="AC3390">
        <v>0.79779999999999496</v>
      </c>
      <c r="AD3390">
        <v>-1.1031313430580001</v>
      </c>
      <c r="AE3390">
        <v>-17.559899999999999</v>
      </c>
      <c r="AF3390">
        <v>-1.82577858797765</v>
      </c>
      <c r="AG3390">
        <v>-1.1031313430580001</v>
      </c>
      <c r="AH3390">
        <v>17.4136041784962</v>
      </c>
      <c r="AI3390">
        <v>93.605067914499998</v>
      </c>
      <c r="AJ3390">
        <v>95.985469115959603</v>
      </c>
      <c r="AK3390">
        <v>17.543773160232501</v>
      </c>
      <c r="AL3390">
        <v>82.800440545896507</v>
      </c>
      <c r="AM3390">
        <v>89.761106986065997</v>
      </c>
      <c r="AN3390">
        <v>0.99999995839577305</v>
      </c>
    </row>
    <row r="3391" spans="1:40" x14ac:dyDescent="0.3">
      <c r="A3391" t="str">
        <f>"20200111150017699"</f>
        <v>20200111150017699</v>
      </c>
      <c r="B3391" t="str">
        <f>"1578726017689074"</f>
        <v>1578726017689074</v>
      </c>
      <c r="C3391" t="s">
        <v>40</v>
      </c>
      <c r="D3391">
        <v>4.3040149999999997</v>
      </c>
      <c r="E3391">
        <v>0.45773019999999998</v>
      </c>
      <c r="F3391" t="s">
        <v>52</v>
      </c>
      <c r="G3391">
        <v>-489.22640000000001</v>
      </c>
      <c r="H3391" s="1">
        <v>6.0982619999999999E-6</v>
      </c>
      <c r="I3391">
        <v>228.5188</v>
      </c>
      <c r="J3391">
        <v>-490.08550000000002</v>
      </c>
      <c r="K3391">
        <v>1.103181</v>
      </c>
      <c r="L3391">
        <v>244.44990000000001</v>
      </c>
      <c r="M3391">
        <v>-6.0055509999999999E-2</v>
      </c>
      <c r="N3391">
        <v>0</v>
      </c>
      <c r="O3391">
        <v>-0.9980909</v>
      </c>
      <c r="P3391">
        <v>-5.9294230000000003E-2</v>
      </c>
      <c r="Q3391">
        <v>0.1108987</v>
      </c>
      <c r="R3391">
        <v>-0.99206150000000004</v>
      </c>
      <c r="S3391">
        <v>0.1612854</v>
      </c>
      <c r="T3391">
        <v>-0.20964830000000001</v>
      </c>
      <c r="U3391">
        <v>-3.0581670000000001</v>
      </c>
      <c r="V3391">
        <v>1.5741959999999999E-4</v>
      </c>
      <c r="W3391">
        <v>0.12522150000000001</v>
      </c>
      <c r="X3391">
        <v>0.99212880000000003</v>
      </c>
      <c r="Y3391">
        <v>-0.112427</v>
      </c>
      <c r="Z3391">
        <v>6.7943970000000006E-2</v>
      </c>
      <c r="AA3391">
        <v>0.9913343</v>
      </c>
      <c r="AB3391">
        <v>31</v>
      </c>
      <c r="AC3391">
        <v>0.85910000000001197</v>
      </c>
      <c r="AD3391">
        <v>-1.1031749017379999</v>
      </c>
      <c r="AE3391">
        <v>-15.931100000000001</v>
      </c>
      <c r="AF3391">
        <v>-1.8057651275337001</v>
      </c>
      <c r="AG3391">
        <v>-1.1031749017379999</v>
      </c>
      <c r="AH3391">
        <v>15.7753151484361</v>
      </c>
      <c r="AI3391">
        <v>93.9743385821033</v>
      </c>
      <c r="AJ3391">
        <v>96.530098012220904</v>
      </c>
      <c r="AK3391">
        <v>15.916606126688</v>
      </c>
      <c r="AL3391">
        <v>82.806452714336103</v>
      </c>
      <c r="AM3391">
        <v>89.990908964020605</v>
      </c>
      <c r="AN3391">
        <v>1.00000000231631</v>
      </c>
    </row>
    <row r="3392" spans="1:40" x14ac:dyDescent="0.3">
      <c r="A3392" t="str">
        <f>"20200111150017712"</f>
        <v>20200111150017712</v>
      </c>
      <c r="B3392" t="str">
        <f>"1578726017709569"</f>
        <v>1578726017709569</v>
      </c>
      <c r="C3392" t="s">
        <v>40</v>
      </c>
      <c r="D3392">
        <v>4.1461940000000004</v>
      </c>
      <c r="E3392">
        <v>0.45909889999999998</v>
      </c>
      <c r="F3392" t="s">
        <v>52</v>
      </c>
      <c r="G3392">
        <v>-489.12279999999998</v>
      </c>
      <c r="H3392" s="1">
        <v>5.7995400000000004E-6</v>
      </c>
      <c r="I3392">
        <v>227.64359999999999</v>
      </c>
      <c r="J3392">
        <v>-490.0967</v>
      </c>
      <c r="K3392">
        <v>1.1032660000000001</v>
      </c>
      <c r="L3392">
        <v>244.28129999999999</v>
      </c>
      <c r="M3392">
        <v>-6.1039200000000002E-2</v>
      </c>
      <c r="N3392">
        <v>0</v>
      </c>
      <c r="O3392">
        <v>-0.99803140000000001</v>
      </c>
      <c r="P3392">
        <v>-5.6828379999999998E-2</v>
      </c>
      <c r="Q3392">
        <v>0.1108027</v>
      </c>
      <c r="R3392">
        <v>-0.99221680000000001</v>
      </c>
      <c r="S3392">
        <v>0.17510990000000001</v>
      </c>
      <c r="T3392">
        <v>-0.20065720000000001</v>
      </c>
      <c r="U3392">
        <v>-3.056915</v>
      </c>
      <c r="V3392">
        <v>-3.3171199999999998E-3</v>
      </c>
      <c r="W3392">
        <v>0.12513630000000001</v>
      </c>
      <c r="X3392">
        <v>0.99213399999999996</v>
      </c>
      <c r="Y3392">
        <v>-0.1179067</v>
      </c>
      <c r="Z3392">
        <v>6.5034620000000001E-2</v>
      </c>
      <c r="AA3392">
        <v>0.99089280000000002</v>
      </c>
      <c r="AB3392">
        <v>31</v>
      </c>
      <c r="AC3392">
        <v>0.97390000000001398</v>
      </c>
      <c r="AD3392">
        <v>-1.1032602004600001</v>
      </c>
      <c r="AE3392">
        <v>-16.637699999999899</v>
      </c>
      <c r="AF3392">
        <v>-1.9790684516649799</v>
      </c>
      <c r="AG3392">
        <v>-1.1032602004600001</v>
      </c>
      <c r="AH3392">
        <v>16.475022699483201</v>
      </c>
      <c r="AI3392">
        <v>93.8038621629549</v>
      </c>
      <c r="AJ3392">
        <v>96.849855381366098</v>
      </c>
      <c r="AK3392">
        <v>16.630101261110301</v>
      </c>
      <c r="AL3392">
        <v>82.811372894746498</v>
      </c>
      <c r="AM3392">
        <v>90.191563103332996</v>
      </c>
      <c r="AN3392">
        <v>0.99999998540939194</v>
      </c>
    </row>
    <row r="3393" spans="1:40" x14ac:dyDescent="0.3">
      <c r="A3393" t="str">
        <f>"20200111150017725"</f>
        <v>20200111150017725</v>
      </c>
      <c r="B3393" t="str">
        <f>"1578726017719331"</f>
        <v>1578726017719331</v>
      </c>
      <c r="C3393" t="s">
        <v>40</v>
      </c>
      <c r="D3393">
        <v>3.881758</v>
      </c>
      <c r="E3393">
        <v>0.45960230000000002</v>
      </c>
      <c r="F3393" t="s">
        <v>52</v>
      </c>
      <c r="G3393">
        <v>-489.23860000000002</v>
      </c>
      <c r="H3393" s="1">
        <v>6.2835069999999899E-6</v>
      </c>
      <c r="I3393">
        <v>229.10640000000001</v>
      </c>
      <c r="J3393">
        <v>-490.10840000000002</v>
      </c>
      <c r="K3393">
        <v>1.1033630000000001</v>
      </c>
      <c r="L3393">
        <v>244.10740000000001</v>
      </c>
      <c r="M3393">
        <v>-6.1999770000000003E-2</v>
      </c>
      <c r="N3393">
        <v>0</v>
      </c>
      <c r="O3393">
        <v>-0.99797210000000003</v>
      </c>
      <c r="P3393">
        <v>-5.4457440000000003E-2</v>
      </c>
      <c r="Q3393">
        <v>0.11065419999999999</v>
      </c>
      <c r="R3393">
        <v>-0.99236630000000003</v>
      </c>
      <c r="S3393">
        <v>0.17294309999999999</v>
      </c>
      <c r="T3393">
        <v>-0.22234400000000001</v>
      </c>
      <c r="U3393">
        <v>-3.0582579999999999</v>
      </c>
      <c r="V3393">
        <v>-6.6789659999999997E-3</v>
      </c>
      <c r="W3393">
        <v>0.1249963</v>
      </c>
      <c r="X3393">
        <v>0.99213470000000004</v>
      </c>
      <c r="Y3393">
        <v>-0.1181107</v>
      </c>
      <c r="Z3393">
        <v>7.1991059999999996E-2</v>
      </c>
      <c r="AA3393">
        <v>0.99038740000000003</v>
      </c>
      <c r="AB3393">
        <v>31</v>
      </c>
      <c r="AC3393">
        <v>0.86979999999999702</v>
      </c>
      <c r="AD3393">
        <v>-1.1033567164929901</v>
      </c>
      <c r="AE3393">
        <v>-15.000999999999999</v>
      </c>
      <c r="AF3393">
        <v>-1.7886374816700299</v>
      </c>
      <c r="AG3393">
        <v>-1.1033567164929901</v>
      </c>
      <c r="AH3393">
        <v>14.8381969309958</v>
      </c>
      <c r="AI3393">
        <v>94.222189798002404</v>
      </c>
      <c r="AJ3393">
        <v>96.873428874883103</v>
      </c>
      <c r="AK3393">
        <v>14.986284003971001</v>
      </c>
      <c r="AL3393">
        <v>82.819457695816197</v>
      </c>
      <c r="AM3393">
        <v>90.385704463991104</v>
      </c>
      <c r="AN3393">
        <v>0.99999997327230405</v>
      </c>
    </row>
    <row r="3394" spans="1:40" x14ac:dyDescent="0.3">
      <c r="A3394" t="str">
        <f>"20200111150017735"</f>
        <v>20200111150017735</v>
      </c>
      <c r="B3394" t="str">
        <f>"1578726017729091"</f>
        <v>1578726017729091</v>
      </c>
      <c r="C3394" t="s">
        <v>40</v>
      </c>
      <c r="D3394">
        <v>4.3262460000000003</v>
      </c>
      <c r="E3394">
        <v>0.45982410000000001</v>
      </c>
      <c r="F3394" t="s">
        <v>52</v>
      </c>
      <c r="G3394">
        <v>-489.20159999999998</v>
      </c>
      <c r="H3394" s="1">
        <v>6.0524090000000003E-6</v>
      </c>
      <c r="I3394">
        <v>228.3921</v>
      </c>
      <c r="J3394">
        <v>-490.11939999999998</v>
      </c>
      <c r="K3394">
        <v>1.1034809999999999</v>
      </c>
      <c r="L3394">
        <v>243.94290000000001</v>
      </c>
      <c r="M3394">
        <v>-6.2807989999999994E-2</v>
      </c>
      <c r="N3394">
        <v>0</v>
      </c>
      <c r="O3394">
        <v>-0.99792170000000002</v>
      </c>
      <c r="P3394">
        <v>-5.2244609999999997E-2</v>
      </c>
      <c r="Q3394">
        <v>0.11029600000000001</v>
      </c>
      <c r="R3394">
        <v>-0.99252490000000004</v>
      </c>
      <c r="S3394">
        <v>0.17636109999999999</v>
      </c>
      <c r="T3394">
        <v>-0.2146064</v>
      </c>
      <c r="U3394">
        <v>-3.0566710000000001</v>
      </c>
      <c r="V3394">
        <v>-9.7388160000000008E-3</v>
      </c>
      <c r="W3394">
        <v>0.1246438</v>
      </c>
      <c r="X3394">
        <v>0.99215379999999997</v>
      </c>
      <c r="Y3394">
        <v>-0.1200576</v>
      </c>
      <c r="Z3394">
        <v>6.9518410000000003E-2</v>
      </c>
      <c r="AA3394">
        <v>0.99032989999999999</v>
      </c>
      <c r="AB3394">
        <v>31</v>
      </c>
      <c r="AC3394">
        <v>0.91779999999999895</v>
      </c>
      <c r="AD3394">
        <v>-1.103474947591</v>
      </c>
      <c r="AE3394">
        <v>-15.550800000000001</v>
      </c>
      <c r="AF3394">
        <v>-1.8833531539622901</v>
      </c>
      <c r="AG3394">
        <v>-1.103474947591</v>
      </c>
      <c r="AH3394">
        <v>15.3852400793133</v>
      </c>
      <c r="AI3394">
        <v>94.072104717952101</v>
      </c>
      <c r="AJ3394">
        <v>96.979025491862899</v>
      </c>
      <c r="AK3394">
        <v>15.539314282187901</v>
      </c>
      <c r="AL3394">
        <v>82.8398141502866</v>
      </c>
      <c r="AM3394">
        <v>90.562387740999498</v>
      </c>
      <c r="AN3394">
        <v>1.0000000421349799</v>
      </c>
    </row>
    <row r="3395" spans="1:40" x14ac:dyDescent="0.3">
      <c r="A3395" t="str">
        <f>"20200111150017747"</f>
        <v>20200111150017747</v>
      </c>
      <c r="B3395" t="str">
        <f>"1578726017738851"</f>
        <v>1578726017738851</v>
      </c>
      <c r="C3395" t="s">
        <v>40</v>
      </c>
      <c r="D3395">
        <v>4.4263700000000004</v>
      </c>
      <c r="E3395">
        <v>0.46051619999999999</v>
      </c>
      <c r="F3395" t="s">
        <v>52</v>
      </c>
      <c r="G3395">
        <v>-489.1823</v>
      </c>
      <c r="H3395" s="1">
        <v>5.9819079999999996E-6</v>
      </c>
      <c r="I3395">
        <v>228.18119999999999</v>
      </c>
      <c r="J3395">
        <v>-490.13040000000001</v>
      </c>
      <c r="K3395">
        <v>1.10361</v>
      </c>
      <c r="L3395">
        <v>243.78139999999999</v>
      </c>
      <c r="M3395">
        <v>-6.3499319999999998E-2</v>
      </c>
      <c r="N3395">
        <v>0</v>
      </c>
      <c r="O3395">
        <v>-0.99787800000000004</v>
      </c>
      <c r="P3395">
        <v>-5.0027790000000003E-2</v>
      </c>
      <c r="Q3395">
        <v>0.10989</v>
      </c>
      <c r="R3395">
        <v>-0.99268389999999995</v>
      </c>
      <c r="S3395">
        <v>0.18170169999999999</v>
      </c>
      <c r="T3395">
        <v>-0.2139441</v>
      </c>
      <c r="U3395">
        <v>-3.0559229999999999</v>
      </c>
      <c r="V3395">
        <v>-1.269059E-2</v>
      </c>
      <c r="W3395">
        <v>0.1242407</v>
      </c>
      <c r="X3395">
        <v>0.99217089999999997</v>
      </c>
      <c r="Y3395">
        <v>-0.1224846</v>
      </c>
      <c r="Z3395">
        <v>6.9303299999999998E-2</v>
      </c>
      <c r="AA3395">
        <v>0.99004780000000003</v>
      </c>
      <c r="AB3395">
        <v>31</v>
      </c>
      <c r="AC3395">
        <v>0.94810000000001005</v>
      </c>
      <c r="AD3395">
        <v>-1.1036040180919999</v>
      </c>
      <c r="AE3395">
        <v>-15.600199999999999</v>
      </c>
      <c r="AF3395">
        <v>-1.9272813175601</v>
      </c>
      <c r="AG3395">
        <v>-1.1036040180919999</v>
      </c>
      <c r="AH3395">
        <v>15.431556462526499</v>
      </c>
      <c r="AI3395">
        <v>94.059175156119096</v>
      </c>
      <c r="AJ3395">
        <v>97.118935835292902</v>
      </c>
      <c r="AK3395">
        <v>15.590551303976</v>
      </c>
      <c r="AL3395">
        <v>82.863090342432301</v>
      </c>
      <c r="AM3395">
        <v>90.732814878589906</v>
      </c>
      <c r="AN3395">
        <v>0.99999994870892195</v>
      </c>
    </row>
    <row r="3396" spans="1:40" x14ac:dyDescent="0.3">
      <c r="A3396" t="str">
        <f>"20200111150017759"</f>
        <v>20200111150017759</v>
      </c>
      <c r="B3396" t="str">
        <f>"1578726017749586"</f>
        <v>1578726017749586</v>
      </c>
      <c r="C3396" t="s">
        <v>40</v>
      </c>
      <c r="D3396">
        <v>4.3485329999999998</v>
      </c>
      <c r="E3396">
        <v>0.46097300000000002</v>
      </c>
      <c r="F3396" t="s">
        <v>52</v>
      </c>
      <c r="G3396">
        <v>-489.16160000000002</v>
      </c>
      <c r="H3396" s="1">
        <v>5.7910689999999997E-6</v>
      </c>
      <c r="I3396">
        <v>227.5829</v>
      </c>
      <c r="J3396">
        <v>-490.1413</v>
      </c>
      <c r="K3396">
        <v>1.103753</v>
      </c>
      <c r="L3396">
        <v>243.6198</v>
      </c>
      <c r="M3396">
        <v>-6.4130469999999995E-2</v>
      </c>
      <c r="N3396">
        <v>0</v>
      </c>
      <c r="O3396">
        <v>-0.99783770000000005</v>
      </c>
      <c r="P3396">
        <v>-4.7965359999999999E-2</v>
      </c>
      <c r="Q3396">
        <v>0.11021549999999999</v>
      </c>
      <c r="R3396">
        <v>-0.99274989999999996</v>
      </c>
      <c r="S3396">
        <v>0.18267820000000001</v>
      </c>
      <c r="T3396">
        <v>-0.20809340000000001</v>
      </c>
      <c r="U3396">
        <v>-3.0543520000000002</v>
      </c>
      <c r="V3396">
        <v>-1.542397E-2</v>
      </c>
      <c r="W3396">
        <v>0.1245653</v>
      </c>
      <c r="X3396">
        <v>0.99209150000000002</v>
      </c>
      <c r="Y3396">
        <v>-0.12346550000000001</v>
      </c>
      <c r="Z3396">
        <v>6.7442509999999997E-2</v>
      </c>
      <c r="AA3396">
        <v>0.9900544</v>
      </c>
      <c r="AB3396">
        <v>31</v>
      </c>
      <c r="AC3396">
        <v>0.97969999999997903</v>
      </c>
      <c r="AD3396">
        <v>-1.1037472089309901</v>
      </c>
      <c r="AE3396">
        <v>-16.036899999999999</v>
      </c>
      <c r="AF3396">
        <v>-1.9968197368991001</v>
      </c>
      <c r="AG3396">
        <v>-1.1037472089309901</v>
      </c>
      <c r="AH3396">
        <v>15.8661686942228</v>
      </c>
      <c r="AI3396">
        <v>93.948384689926598</v>
      </c>
      <c r="AJ3396">
        <v>97.173185330664197</v>
      </c>
      <c r="AK3396">
        <v>16.029374784951202</v>
      </c>
      <c r="AL3396">
        <v>82.844346740102296</v>
      </c>
      <c r="AM3396">
        <v>90.8907013048739</v>
      </c>
      <c r="AN3396">
        <v>0.99999997859345002</v>
      </c>
    </row>
    <row r="3397" spans="1:40" x14ac:dyDescent="0.3">
      <c r="A3397" t="str">
        <f>"20200111150017770"</f>
        <v>20200111150017770</v>
      </c>
      <c r="B3397" t="str">
        <f>"1578726017759347"</f>
        <v>1578726017759347</v>
      </c>
      <c r="C3397" t="s">
        <v>40</v>
      </c>
      <c r="D3397">
        <v>4.2472180000000002</v>
      </c>
      <c r="E3397">
        <v>0.46159070000000002</v>
      </c>
      <c r="F3397" t="s">
        <v>52</v>
      </c>
      <c r="G3397">
        <v>-489.12729999999999</v>
      </c>
      <c r="H3397" s="1">
        <v>5.5519350000000001E-6</v>
      </c>
      <c r="I3397">
        <v>226.84039999999999</v>
      </c>
      <c r="J3397">
        <v>-490.1515</v>
      </c>
      <c r="K3397">
        <v>1.103912</v>
      </c>
      <c r="L3397">
        <v>243.46899999999999</v>
      </c>
      <c r="M3397">
        <v>-6.4551339999999999E-2</v>
      </c>
      <c r="N3397">
        <v>0</v>
      </c>
      <c r="O3397">
        <v>-0.99781050000000004</v>
      </c>
      <c r="P3397">
        <v>-4.5642429999999998E-2</v>
      </c>
      <c r="Q3397">
        <v>0.1103644</v>
      </c>
      <c r="R3397">
        <v>-0.99284269999999997</v>
      </c>
      <c r="S3397">
        <v>0.18450929999999999</v>
      </c>
      <c r="T3397">
        <v>-0.20083570000000001</v>
      </c>
      <c r="U3397">
        <v>-3.0531459999999999</v>
      </c>
      <c r="V3397">
        <v>-1.8213719999999999E-2</v>
      </c>
      <c r="W3397">
        <v>0.124711</v>
      </c>
      <c r="X3397">
        <v>0.99202590000000002</v>
      </c>
      <c r="Y3397">
        <v>-0.1245082</v>
      </c>
      <c r="Z3397">
        <v>6.5118029999999993E-2</v>
      </c>
      <c r="AA3397">
        <v>0.9900795</v>
      </c>
      <c r="AB3397">
        <v>31</v>
      </c>
      <c r="AC3397">
        <v>1.0242</v>
      </c>
      <c r="AD3397">
        <v>-1.103906448065</v>
      </c>
      <c r="AE3397">
        <v>-16.628599999999999</v>
      </c>
      <c r="AF3397">
        <v>-2.08641289108487</v>
      </c>
      <c r="AG3397">
        <v>-1.103906448065</v>
      </c>
      <c r="AH3397">
        <v>16.455544452517799</v>
      </c>
      <c r="AI3397">
        <v>93.807497416710703</v>
      </c>
      <c r="AJ3397">
        <v>97.226024989501397</v>
      </c>
      <c r="AK3397">
        <v>16.623978808545001</v>
      </c>
      <c r="AL3397">
        <v>82.835933145709404</v>
      </c>
      <c r="AM3397">
        <v>91.051839522090006</v>
      </c>
      <c r="AN3397">
        <v>0.99999997969402399</v>
      </c>
    </row>
    <row r="3398" spans="1:40" x14ac:dyDescent="0.3">
      <c r="A3398" t="str">
        <f>"20200111150017782"</f>
        <v>20200111150017782</v>
      </c>
      <c r="B3398" t="str">
        <f>"1578726017778867"</f>
        <v>1578726017778867</v>
      </c>
      <c r="C3398" t="s">
        <v>40</v>
      </c>
      <c r="D3398">
        <v>4.3924050000000001</v>
      </c>
      <c r="E3398">
        <v>0.46251609999999999</v>
      </c>
      <c r="F3398" t="s">
        <v>52</v>
      </c>
      <c r="G3398">
        <v>-489.10219999999998</v>
      </c>
      <c r="H3398" s="1">
        <v>5.3838790000000003E-6</v>
      </c>
      <c r="I3398">
        <v>226.31950000000001</v>
      </c>
      <c r="J3398">
        <v>-490.1628</v>
      </c>
      <c r="K3398">
        <v>1.1041019999999999</v>
      </c>
      <c r="L3398">
        <v>243.30099999999999</v>
      </c>
      <c r="M3398">
        <v>-6.4959530000000001E-2</v>
      </c>
      <c r="N3398">
        <v>0</v>
      </c>
      <c r="O3398">
        <v>-0.99778409999999995</v>
      </c>
      <c r="P3398">
        <v>-4.3626409999999997E-2</v>
      </c>
      <c r="Q3398">
        <v>0.1108739</v>
      </c>
      <c r="R3398">
        <v>-0.99287650000000005</v>
      </c>
      <c r="S3398">
        <v>0.18673709999999999</v>
      </c>
      <c r="T3398">
        <v>-0.19645770000000001</v>
      </c>
      <c r="U3398">
        <v>-3.0520320000000001</v>
      </c>
      <c r="V3398">
        <v>-2.0688669999999999E-2</v>
      </c>
      <c r="W3398">
        <v>0.12521299999999999</v>
      </c>
      <c r="X3398">
        <v>0.99191419999999997</v>
      </c>
      <c r="Y3398">
        <v>-0.12566140000000001</v>
      </c>
      <c r="Z3398">
        <v>6.3718910000000004E-2</v>
      </c>
      <c r="AA3398">
        <v>0.99002480000000004</v>
      </c>
      <c r="AB3398">
        <v>31</v>
      </c>
      <c r="AC3398">
        <v>1.06060000000002</v>
      </c>
      <c r="AD3398">
        <v>-1.104096616121</v>
      </c>
      <c r="AE3398">
        <v>-16.981499999999901</v>
      </c>
      <c r="AF3398">
        <v>-2.1525200019024302</v>
      </c>
      <c r="AG3398">
        <v>-1.104096616121</v>
      </c>
      <c r="AH3398">
        <v>16.805955107360301</v>
      </c>
      <c r="AI3398">
        <v>93.728374945170799</v>
      </c>
      <c r="AJ3398">
        <v>97.298750553822003</v>
      </c>
      <c r="AK3398">
        <v>16.979178389042499</v>
      </c>
      <c r="AL3398">
        <v>82.8069439244899</v>
      </c>
      <c r="AM3398">
        <v>91.194863053160304</v>
      </c>
      <c r="AN3398">
        <v>1.0000000482985001</v>
      </c>
    </row>
    <row r="3399" spans="1:40" x14ac:dyDescent="0.3">
      <c r="A3399" t="str">
        <f>"20200111150017793"</f>
        <v>20200111150017793</v>
      </c>
      <c r="B3399" t="str">
        <f>"1578726017789604"</f>
        <v>1578726017789604</v>
      </c>
      <c r="C3399" t="s">
        <v>40</v>
      </c>
      <c r="D3399">
        <v>3.8850980000000002</v>
      </c>
      <c r="E3399">
        <v>0.46273170000000002</v>
      </c>
      <c r="F3399" t="s">
        <v>52</v>
      </c>
      <c r="G3399">
        <v>-489.09440000000001</v>
      </c>
      <c r="H3399" s="1">
        <v>5.1907600000000001E-6</v>
      </c>
      <c r="I3399">
        <v>225.7028</v>
      </c>
      <c r="J3399">
        <v>-490.1737</v>
      </c>
      <c r="K3399">
        <v>1.1043160000000001</v>
      </c>
      <c r="L3399">
        <v>243.1377</v>
      </c>
      <c r="M3399">
        <v>-6.5126589999999998E-2</v>
      </c>
      <c r="N3399">
        <v>0</v>
      </c>
      <c r="O3399">
        <v>-0.99777329999999997</v>
      </c>
      <c r="P3399">
        <v>-4.1779200000000002E-2</v>
      </c>
      <c r="Q3399">
        <v>0.11149489999999899</v>
      </c>
      <c r="R3399">
        <v>-0.99288650000000001</v>
      </c>
      <c r="S3399">
        <v>0.18524170000000001</v>
      </c>
      <c r="T3399">
        <v>-0.1914198</v>
      </c>
      <c r="U3399">
        <v>-3.0510410000000001</v>
      </c>
      <c r="V3399">
        <v>-2.2760880000000001E-2</v>
      </c>
      <c r="W3399">
        <v>0.1258223</v>
      </c>
      <c r="X3399">
        <v>0.99179170000000005</v>
      </c>
      <c r="Y3399">
        <v>-0.1253698</v>
      </c>
      <c r="Z3399">
        <v>6.2112510000000003E-2</v>
      </c>
      <c r="AA3399">
        <v>0.99016389999999999</v>
      </c>
      <c r="AB3399">
        <v>31</v>
      </c>
      <c r="AC3399">
        <v>1.0792999999999799</v>
      </c>
      <c r="AD3399">
        <v>-1.10431080924</v>
      </c>
      <c r="AE3399">
        <v>-17.434899999999999</v>
      </c>
      <c r="AF3399">
        <v>-2.20379377006488</v>
      </c>
      <c r="AG3399">
        <v>-1.10431080924</v>
      </c>
      <c r="AH3399">
        <v>17.258605348771599</v>
      </c>
      <c r="AI3399">
        <v>93.631733518380699</v>
      </c>
      <c r="AJ3399">
        <v>97.2768589279476</v>
      </c>
      <c r="AK3399">
        <v>17.433750827892201</v>
      </c>
      <c r="AL3399">
        <v>82.771755272010196</v>
      </c>
      <c r="AM3399">
        <v>91.314664653080399</v>
      </c>
      <c r="AN3399">
        <v>1.0000000425122699</v>
      </c>
    </row>
    <row r="3400" spans="1:40" x14ac:dyDescent="0.3">
      <c r="A3400" t="str">
        <f>"20200111150017811"</f>
        <v>20200111150017811</v>
      </c>
      <c r="B3400" t="str">
        <f>"1578726017799362"</f>
        <v>1578726017799362</v>
      </c>
      <c r="C3400" t="s">
        <v>40</v>
      </c>
      <c r="D3400">
        <v>4.3732569999999997</v>
      </c>
      <c r="E3400">
        <v>0.46298420000000001</v>
      </c>
      <c r="F3400" t="s">
        <v>52</v>
      </c>
      <c r="G3400">
        <v>-489.03019999999998</v>
      </c>
      <c r="H3400" s="1">
        <v>4.8927039999999999E-6</v>
      </c>
      <c r="I3400">
        <v>224.68170000000001</v>
      </c>
      <c r="J3400">
        <v>-490.18869999999998</v>
      </c>
      <c r="K3400">
        <v>1.104636</v>
      </c>
      <c r="L3400">
        <v>242.90989999999999</v>
      </c>
      <c r="M3400">
        <v>-6.5138619999999994E-2</v>
      </c>
      <c r="N3400">
        <v>0</v>
      </c>
      <c r="O3400">
        <v>-0.99777249999999995</v>
      </c>
      <c r="P3400">
        <v>-3.8062980000000003E-2</v>
      </c>
      <c r="Q3400">
        <v>0.1128531</v>
      </c>
      <c r="R3400">
        <v>-0.9928823</v>
      </c>
      <c r="S3400">
        <v>0.18896479999999999</v>
      </c>
      <c r="T3400">
        <v>-0.1824933</v>
      </c>
      <c r="U3400">
        <v>-3.049957</v>
      </c>
      <c r="V3400">
        <v>-2.657404E-2</v>
      </c>
      <c r="W3400">
        <v>0.12716040000000001</v>
      </c>
      <c r="X3400">
        <v>0.99152609999999997</v>
      </c>
      <c r="Y3400">
        <v>-0.12661800000000001</v>
      </c>
      <c r="Z3400">
        <v>5.9240510000000003E-2</v>
      </c>
      <c r="AA3400">
        <v>0.99018099999999998</v>
      </c>
      <c r="AB3400">
        <v>31</v>
      </c>
      <c r="AC3400">
        <v>1.1585000000000001</v>
      </c>
      <c r="AD3400">
        <v>-1.104631107296</v>
      </c>
      <c r="AE3400">
        <v>-18.228199999999902</v>
      </c>
      <c r="AF3400">
        <v>-2.33498137063411</v>
      </c>
      <c r="AG3400">
        <v>-1.104631107296</v>
      </c>
      <c r="AH3400">
        <v>18.047996117137199</v>
      </c>
      <c r="AI3400">
        <v>93.473552111565496</v>
      </c>
      <c r="AJ3400">
        <v>97.371762881421404</v>
      </c>
      <c r="AK3400">
        <v>18.231909163019999</v>
      </c>
      <c r="AL3400">
        <v>82.694466503211302</v>
      </c>
      <c r="AM3400">
        <v>91.535225281838706</v>
      </c>
      <c r="AN3400">
        <v>0.99999997695564502</v>
      </c>
    </row>
    <row r="3401" spans="1:40" x14ac:dyDescent="0.3">
      <c r="A3401" t="str">
        <f>"20200111150017821"</f>
        <v>20200111150017821</v>
      </c>
      <c r="B3401" t="str">
        <f>"1578726017818881"</f>
        <v>1578726017818881</v>
      </c>
      <c r="C3401" t="s">
        <v>40</v>
      </c>
      <c r="D3401">
        <v>4.3311339999999996</v>
      </c>
      <c r="E3401">
        <v>0.46379179999999998</v>
      </c>
      <c r="F3401" t="s">
        <v>52</v>
      </c>
      <c r="G3401">
        <v>-488.91289999999998</v>
      </c>
      <c r="H3401" s="1">
        <v>4.4340350000000001E-6</v>
      </c>
      <c r="I3401">
        <v>223.2664</v>
      </c>
      <c r="J3401">
        <v>-490.19920000000002</v>
      </c>
      <c r="K3401">
        <v>1.104873</v>
      </c>
      <c r="L3401">
        <v>242.74799999999999</v>
      </c>
      <c r="M3401">
        <v>-6.5005610000000005E-2</v>
      </c>
      <c r="N3401">
        <v>0</v>
      </c>
      <c r="O3401">
        <v>-0.99778120000000003</v>
      </c>
      <c r="P3401">
        <v>-3.6196300000000001E-2</v>
      </c>
      <c r="Q3401">
        <v>0.11380560000000001</v>
      </c>
      <c r="R3401">
        <v>-0.99284349999999999</v>
      </c>
      <c r="S3401">
        <v>0.19799800000000001</v>
      </c>
      <c r="T3401">
        <v>-0.17143340000000001</v>
      </c>
      <c r="U3401">
        <v>-3.048584</v>
      </c>
      <c r="V3401">
        <v>-2.8372379999999999E-2</v>
      </c>
      <c r="W3401">
        <v>0.12809589999999901</v>
      </c>
      <c r="X3401">
        <v>0.99135589999999996</v>
      </c>
      <c r="Y3401">
        <v>-0.12944839999999999</v>
      </c>
      <c r="Z3401">
        <v>5.5672119999999999E-2</v>
      </c>
      <c r="AA3401">
        <v>0.99002210000000002</v>
      </c>
      <c r="AB3401">
        <v>31</v>
      </c>
      <c r="AC3401">
        <v>1.28630000000003</v>
      </c>
      <c r="AD3401">
        <v>-1.1048685659649999</v>
      </c>
      <c r="AE3401">
        <v>-19.481599999999901</v>
      </c>
      <c r="AF3401">
        <v>-2.5419825534889502</v>
      </c>
      <c r="AG3401">
        <v>-1.1048685659649999</v>
      </c>
      <c r="AH3401">
        <v>19.294969292784899</v>
      </c>
      <c r="AI3401">
        <v>93.249276686463503</v>
      </c>
      <c r="AJ3401">
        <v>97.505112804629604</v>
      </c>
      <c r="AK3401">
        <v>19.493030802310098</v>
      </c>
      <c r="AL3401">
        <v>82.640424783138897</v>
      </c>
      <c r="AM3401">
        <v>91.639344662824897</v>
      </c>
      <c r="AN3401">
        <v>1.00000003600424</v>
      </c>
    </row>
    <row r="3402" spans="1:40" x14ac:dyDescent="0.3">
      <c r="A3402" t="str">
        <f>"20200111150017832"</f>
        <v>20200111150017832</v>
      </c>
      <c r="B3402" t="str">
        <f>"1578726017829618"</f>
        <v>1578726017829618</v>
      </c>
      <c r="C3402" t="s">
        <v>40</v>
      </c>
      <c r="D3402">
        <v>4.4304079999999999</v>
      </c>
      <c r="E3402">
        <v>0.46391959999999999</v>
      </c>
      <c r="F3402" t="s">
        <v>52</v>
      </c>
      <c r="G3402">
        <v>-488.9898</v>
      </c>
      <c r="H3402" s="1">
        <v>4.713826E-6</v>
      </c>
      <c r="I3402">
        <v>224.11449999999999</v>
      </c>
      <c r="J3402">
        <v>-490.20870000000002</v>
      </c>
      <c r="K3402">
        <v>1.1051059999999999</v>
      </c>
      <c r="L3402">
        <v>242.59950000000001</v>
      </c>
      <c r="M3402">
        <v>-6.4650250000000006E-2</v>
      </c>
      <c r="N3402">
        <v>0</v>
      </c>
      <c r="O3402">
        <v>-0.99780449999999998</v>
      </c>
      <c r="P3402">
        <v>-3.3526960000000001E-2</v>
      </c>
      <c r="Q3402">
        <v>0.1146948</v>
      </c>
      <c r="R3402">
        <v>-0.99283489999999996</v>
      </c>
      <c r="S3402">
        <v>0.197937</v>
      </c>
      <c r="T3402">
        <v>-0.18082200000000001</v>
      </c>
      <c r="U3402">
        <v>-3.0495450000000002</v>
      </c>
      <c r="V3402">
        <v>-3.0752229999999998E-2</v>
      </c>
      <c r="W3402">
        <v>0.12896649999999901</v>
      </c>
      <c r="X3402">
        <v>0.99117200000000005</v>
      </c>
      <c r="Y3402">
        <v>-0.12904409999999999</v>
      </c>
      <c r="Z3402">
        <v>5.8695869999999997E-2</v>
      </c>
      <c r="AA3402">
        <v>0.98990020000000001</v>
      </c>
      <c r="AB3402">
        <v>31</v>
      </c>
      <c r="AC3402">
        <v>1.2189000000000101</v>
      </c>
      <c r="AD3402">
        <v>-1.1051012861739999</v>
      </c>
      <c r="AE3402">
        <v>-18.484999999999999</v>
      </c>
      <c r="AF3402">
        <v>-2.4029815238868402</v>
      </c>
      <c r="AG3402">
        <v>-1.1051012861739999</v>
      </c>
      <c r="AH3402">
        <v>18.302379642430299</v>
      </c>
      <c r="AI3402">
        <v>93.426003858827798</v>
      </c>
      <c r="AJ3402">
        <v>97.479774426771698</v>
      </c>
      <c r="AK3402">
        <v>18.4925030656342</v>
      </c>
      <c r="AL3402">
        <v>82.590125571100799</v>
      </c>
      <c r="AM3402">
        <v>91.777096150213694</v>
      </c>
      <c r="AN3402">
        <v>0.99999999567811104</v>
      </c>
    </row>
    <row r="3403" spans="1:40" x14ac:dyDescent="0.3">
      <c r="A3403" t="str">
        <f>"20200111150017844"</f>
        <v>20200111150017844</v>
      </c>
      <c r="B3403" t="str">
        <f>"1578726017839378"</f>
        <v>1578726017839378</v>
      </c>
      <c r="C3403" t="s">
        <v>40</v>
      </c>
      <c r="D3403">
        <v>4.2755150000000004</v>
      </c>
      <c r="E3403">
        <v>0.46457490000000001</v>
      </c>
      <c r="F3403" t="s">
        <v>52</v>
      </c>
      <c r="G3403">
        <v>-488.9796</v>
      </c>
      <c r="H3403" s="1">
        <v>4.7860740000000004E-6</v>
      </c>
      <c r="I3403">
        <v>224.35499999999999</v>
      </c>
      <c r="J3403">
        <v>-490.21879999999999</v>
      </c>
      <c r="K3403">
        <v>1.105362</v>
      </c>
      <c r="L3403">
        <v>242.4384</v>
      </c>
      <c r="M3403">
        <v>-6.417312E-2</v>
      </c>
      <c r="N3403">
        <v>0</v>
      </c>
      <c r="O3403">
        <v>-0.99783529999999998</v>
      </c>
      <c r="P3403">
        <v>-3.0225559999999999E-2</v>
      </c>
      <c r="Q3403">
        <v>0.11567280000000001</v>
      </c>
      <c r="R3403">
        <v>-0.99282740000000003</v>
      </c>
      <c r="S3403">
        <v>0.20547489999999999</v>
      </c>
      <c r="T3403">
        <v>-0.18474199999999999</v>
      </c>
      <c r="U3403">
        <v>-3.049957</v>
      </c>
      <c r="V3403">
        <v>-3.3649310000000002E-2</v>
      </c>
      <c r="W3403">
        <v>0.12992200000000001</v>
      </c>
      <c r="X3403">
        <v>0.99095310000000003</v>
      </c>
      <c r="Y3403">
        <v>-0.13099179999999999</v>
      </c>
      <c r="Z3403">
        <v>5.994588E-2</v>
      </c>
      <c r="AA3403">
        <v>0.98956940000000004</v>
      </c>
      <c r="AB3403">
        <v>31</v>
      </c>
      <c r="AC3403">
        <v>1.2391999999999801</v>
      </c>
      <c r="AD3403">
        <v>-1.1053572139259999</v>
      </c>
      <c r="AE3403">
        <v>-18.083400000000001</v>
      </c>
      <c r="AF3403">
        <v>-2.3883513014266899</v>
      </c>
      <c r="AG3403">
        <v>-1.1053572139259999</v>
      </c>
      <c r="AH3403">
        <v>17.90001913783</v>
      </c>
      <c r="AI3403">
        <v>93.502663870146193</v>
      </c>
      <c r="AJ3403">
        <v>97.599933400110004</v>
      </c>
      <c r="AK3403">
        <v>18.092449299198901</v>
      </c>
      <c r="AL3403">
        <v>82.534915162526204</v>
      </c>
      <c r="AM3403">
        <v>91.944817519056102</v>
      </c>
      <c r="AN3403">
        <v>1.0000000242735401</v>
      </c>
    </row>
    <row r="3404" spans="1:40" x14ac:dyDescent="0.3">
      <c r="A3404" t="str">
        <f>"20200111150017856"</f>
        <v>20200111150017856</v>
      </c>
      <c r="B3404" t="str">
        <f>"1578726017849138"</f>
        <v>1578726017849138</v>
      </c>
      <c r="C3404" t="s">
        <v>40</v>
      </c>
      <c r="D3404">
        <v>4.3275589999999999</v>
      </c>
      <c r="E3404">
        <v>0.46475709999999998</v>
      </c>
      <c r="F3404" t="s">
        <v>52</v>
      </c>
      <c r="G3404">
        <v>-488.97890000000001</v>
      </c>
      <c r="H3404" s="1">
        <v>4.8173359999999997E-6</v>
      </c>
      <c r="I3404">
        <v>224.45650000000001</v>
      </c>
      <c r="J3404">
        <v>-490.22930000000002</v>
      </c>
      <c r="K3404">
        <v>1.10564</v>
      </c>
      <c r="L3404">
        <v>242.26480000000001</v>
      </c>
      <c r="M3404">
        <v>-6.3447770000000001E-2</v>
      </c>
      <c r="N3404">
        <v>0</v>
      </c>
      <c r="O3404">
        <v>-0.99788149999999998</v>
      </c>
      <c r="P3404">
        <v>-2.6062789999999999E-2</v>
      </c>
      <c r="Q3404">
        <v>0.1172493</v>
      </c>
      <c r="R3404">
        <v>-0.99276050000000005</v>
      </c>
      <c r="S3404">
        <v>0.2102966</v>
      </c>
      <c r="T3404">
        <v>-0.18747820000000001</v>
      </c>
      <c r="U3404">
        <v>-3.0498959999999999</v>
      </c>
      <c r="V3404">
        <v>-3.7164589999999997E-2</v>
      </c>
      <c r="W3404">
        <v>0.13146930000000001</v>
      </c>
      <c r="X3404">
        <v>0.99062340000000004</v>
      </c>
      <c r="Y3404">
        <v>-0.131826</v>
      </c>
      <c r="Z3404">
        <v>6.0829269999999998E-2</v>
      </c>
      <c r="AA3404">
        <v>0.98940470000000003</v>
      </c>
      <c r="AB3404">
        <v>31</v>
      </c>
      <c r="AC3404">
        <v>1.2504000000000099</v>
      </c>
      <c r="AD3404">
        <v>-1.1056351826639901</v>
      </c>
      <c r="AE3404">
        <v>-17.808299999999999</v>
      </c>
      <c r="AF3404">
        <v>-2.3688079458853402</v>
      </c>
      <c r="AG3404">
        <v>-1.1056351826639901</v>
      </c>
      <c r="AH3404">
        <v>17.625462678017801</v>
      </c>
      <c r="AI3404">
        <v>93.557526334746299</v>
      </c>
      <c r="AJ3404">
        <v>97.654509749858406</v>
      </c>
      <c r="AK3404">
        <v>17.8182663257633</v>
      </c>
      <c r="AL3404">
        <v>82.445494603786599</v>
      </c>
      <c r="AM3404">
        <v>92.148521811200894</v>
      </c>
      <c r="AN3404">
        <v>1.0000000521099499</v>
      </c>
    </row>
    <row r="3405" spans="1:40" x14ac:dyDescent="0.3">
      <c r="A3405" t="str">
        <f>"20200111150017867"</f>
        <v>20200111150017867</v>
      </c>
      <c r="B3405" t="str">
        <f>"1578726017858898"</f>
        <v>1578726017858898</v>
      </c>
      <c r="C3405" t="s">
        <v>40</v>
      </c>
      <c r="D3405">
        <v>4.26302</v>
      </c>
      <c r="E3405">
        <v>0.46514870000000003</v>
      </c>
      <c r="F3405" t="s">
        <v>52</v>
      </c>
      <c r="G3405">
        <v>-488.9008</v>
      </c>
      <c r="H3405" s="1">
        <v>4.6326569999999996E-6</v>
      </c>
      <c r="I3405">
        <v>223.9162</v>
      </c>
      <c r="J3405">
        <v>-490.238</v>
      </c>
      <c r="K3405">
        <v>1.1058809999999999</v>
      </c>
      <c r="L3405">
        <v>242.11609999999999</v>
      </c>
      <c r="M3405">
        <v>-6.2655660000000002E-2</v>
      </c>
      <c r="N3405">
        <v>0</v>
      </c>
      <c r="O3405">
        <v>-0.99793160000000003</v>
      </c>
      <c r="P3405">
        <v>-2.099722E-2</v>
      </c>
      <c r="Q3405">
        <v>0.1186285</v>
      </c>
      <c r="R3405">
        <v>-0.99271659999999995</v>
      </c>
      <c r="S3405">
        <v>0.22079470000000001</v>
      </c>
      <c r="T3405">
        <v>-0.18374679999999999</v>
      </c>
      <c r="U3405">
        <v>-3.0493769999999998</v>
      </c>
      <c r="V3405">
        <v>-4.1506229999999998E-2</v>
      </c>
      <c r="W3405">
        <v>0.13281689999999999</v>
      </c>
      <c r="X3405">
        <v>0.99027120000000002</v>
      </c>
      <c r="Y3405">
        <v>-0.134444799999999</v>
      </c>
      <c r="Z3405">
        <v>5.9619810000000002E-2</v>
      </c>
      <c r="AA3405">
        <v>0.9891259</v>
      </c>
      <c r="AB3405">
        <v>31</v>
      </c>
      <c r="AC3405">
        <v>1.3372000000000499</v>
      </c>
      <c r="AD3405">
        <v>-1.1058763673430001</v>
      </c>
      <c r="AE3405">
        <v>-18.1998999999999</v>
      </c>
      <c r="AF3405">
        <v>-2.4659610743688898</v>
      </c>
      <c r="AG3405">
        <v>-1.1058763673430001</v>
      </c>
      <c r="AH3405">
        <v>18.0141883609048</v>
      </c>
      <c r="AI3405">
        <v>93.480554202160803</v>
      </c>
      <c r="AJ3405">
        <v>97.794768131178003</v>
      </c>
      <c r="AK3405">
        <v>18.215787352247698</v>
      </c>
      <c r="AL3405">
        <v>82.367599880517204</v>
      </c>
      <c r="AM3405">
        <v>92.4000906494731</v>
      </c>
      <c r="AN3405">
        <v>1.00000007280192</v>
      </c>
    </row>
    <row r="3406" spans="1:40" x14ac:dyDescent="0.3">
      <c r="A3406" t="str">
        <f>"20200111150017878"</f>
        <v>20200111150017878</v>
      </c>
      <c r="B3406" t="str">
        <f>"1578726017868658"</f>
        <v>1578726017868658</v>
      </c>
      <c r="C3406" t="s">
        <v>40</v>
      </c>
      <c r="D3406">
        <v>4.2314220000000002</v>
      </c>
      <c r="E3406">
        <v>0.46552579999999999</v>
      </c>
      <c r="F3406" t="s">
        <v>52</v>
      </c>
      <c r="G3406">
        <v>-488.8603</v>
      </c>
      <c r="H3406" s="1">
        <v>4.6665549999999997E-6</v>
      </c>
      <c r="I3406">
        <v>224.05459999999999</v>
      </c>
      <c r="J3406">
        <v>-490.24709999999999</v>
      </c>
      <c r="K3406">
        <v>1.106139</v>
      </c>
      <c r="L3406">
        <v>241.9598</v>
      </c>
      <c r="M3406">
        <v>-6.1725509999999997E-2</v>
      </c>
      <c r="N3406">
        <v>0</v>
      </c>
      <c r="O3406">
        <v>-0.99798949999999997</v>
      </c>
      <c r="P3406">
        <v>-1.5045930000000001E-2</v>
      </c>
      <c r="Q3406">
        <v>0.1201859</v>
      </c>
      <c r="R3406">
        <v>-0.99263769999999996</v>
      </c>
      <c r="S3406">
        <v>0.23260500000000001</v>
      </c>
      <c r="T3406">
        <v>-0.18670059999999999</v>
      </c>
      <c r="U3406">
        <v>-3.049255</v>
      </c>
      <c r="V3406">
        <v>-4.6599090000000003E-2</v>
      </c>
      <c r="W3406">
        <v>0.1343338</v>
      </c>
      <c r="X3406">
        <v>0.98983989999999999</v>
      </c>
      <c r="Y3406">
        <v>-0.13732910000000001</v>
      </c>
      <c r="Z3406">
        <v>6.0561650000000002E-2</v>
      </c>
      <c r="AA3406">
        <v>0.98867229999999995</v>
      </c>
      <c r="AB3406">
        <v>31</v>
      </c>
      <c r="AC3406">
        <v>1.38679999999999</v>
      </c>
      <c r="AD3406">
        <v>-1.106134333445</v>
      </c>
      <c r="AE3406">
        <v>-17.905200000000001</v>
      </c>
      <c r="AF3406">
        <v>-2.4800684451589299</v>
      </c>
      <c r="AG3406">
        <v>-1.106134333445</v>
      </c>
      <c r="AH3406">
        <v>17.718223681024998</v>
      </c>
      <c r="AI3406">
        <v>93.537892119039398</v>
      </c>
      <c r="AJ3406">
        <v>97.968078937908501</v>
      </c>
      <c r="AK3406">
        <v>17.925114311131601</v>
      </c>
      <c r="AL3406">
        <v>82.279901736385199</v>
      </c>
      <c r="AM3406">
        <v>92.695346353509706</v>
      </c>
      <c r="AN3406">
        <v>1.0000000363216299</v>
      </c>
    </row>
    <row r="3407" spans="1:40" x14ac:dyDescent="0.3">
      <c r="A3407" t="str">
        <f>"20200111150017890"</f>
        <v>20200111150017890</v>
      </c>
      <c r="B3407" t="str">
        <f>"1578726017879394"</f>
        <v>1578726017879394</v>
      </c>
      <c r="C3407" t="s">
        <v>40</v>
      </c>
      <c r="D3407">
        <v>4.3363529999999999</v>
      </c>
      <c r="E3407">
        <v>0.46581470000000003</v>
      </c>
      <c r="F3407" t="s">
        <v>52</v>
      </c>
      <c r="G3407">
        <v>-488.80329999999998</v>
      </c>
      <c r="H3407" s="1">
        <v>4.6702529999999998E-6</v>
      </c>
      <c r="I3407">
        <v>224.10740000000001</v>
      </c>
      <c r="J3407">
        <v>-490.25529999999998</v>
      </c>
      <c r="K3407">
        <v>1.1063750000000001</v>
      </c>
      <c r="L3407">
        <v>241.81039999999999</v>
      </c>
      <c r="M3407">
        <v>-6.062149E-2</v>
      </c>
      <c r="N3407">
        <v>0</v>
      </c>
      <c r="O3407">
        <v>-0.99805710000000003</v>
      </c>
      <c r="P3407">
        <v>-9.1025640000000005E-3</v>
      </c>
      <c r="Q3407">
        <v>0.12166399999999999</v>
      </c>
      <c r="R3407">
        <v>-0.99252980000000002</v>
      </c>
      <c r="S3407">
        <v>0.246582</v>
      </c>
      <c r="T3407">
        <v>-0.18890889999999999</v>
      </c>
      <c r="U3407">
        <v>-3.048889</v>
      </c>
      <c r="V3407">
        <v>-5.1506959999999997E-2</v>
      </c>
      <c r="W3407">
        <v>0.13576920000000001</v>
      </c>
      <c r="X3407">
        <v>0.98940070000000002</v>
      </c>
      <c r="Y3407">
        <v>-0.1407427</v>
      </c>
      <c r="Z3407">
        <v>6.1263100000000001E-2</v>
      </c>
      <c r="AA3407">
        <v>0.9881489</v>
      </c>
      <c r="AB3407">
        <v>31</v>
      </c>
      <c r="AC3407">
        <v>1.45199999999999</v>
      </c>
      <c r="AD3407">
        <v>-1.106370329747</v>
      </c>
      <c r="AE3407">
        <v>-17.7029999999999</v>
      </c>
      <c r="AF3407">
        <v>-2.5128731934181099</v>
      </c>
      <c r="AG3407">
        <v>-1.106370329747</v>
      </c>
      <c r="AH3407">
        <v>17.514452437153299</v>
      </c>
      <c r="AI3407">
        <v>93.577972320310494</v>
      </c>
      <c r="AJ3407">
        <v>98.164750690763199</v>
      </c>
      <c r="AK3407">
        <v>17.728356696717501</v>
      </c>
      <c r="AL3407">
        <v>82.1968986132852</v>
      </c>
      <c r="AM3407">
        <v>92.980056294290307</v>
      </c>
      <c r="AN3407">
        <v>0.99999999387878502</v>
      </c>
    </row>
    <row r="3408" spans="1:40" x14ac:dyDescent="0.3">
      <c r="A3408" t="str">
        <f>"20200111150017903"</f>
        <v>20200111150017903</v>
      </c>
      <c r="B3408" t="str">
        <f>"1578726017898914"</f>
        <v>1578726017898914</v>
      </c>
      <c r="C3408" t="s">
        <v>40</v>
      </c>
      <c r="D3408">
        <v>4.6975809999999996</v>
      </c>
      <c r="E3408">
        <v>0.465061</v>
      </c>
      <c r="F3408" t="s">
        <v>52</v>
      </c>
      <c r="G3408">
        <v>-488.74369999999999</v>
      </c>
      <c r="H3408" s="1">
        <v>4.6856380000000003E-6</v>
      </c>
      <c r="I3408">
        <v>224.1996</v>
      </c>
      <c r="J3408">
        <v>-490.26580000000001</v>
      </c>
      <c r="K3408">
        <v>1.1066769999999999</v>
      </c>
      <c r="L3408">
        <v>241.6147</v>
      </c>
      <c r="M3408">
        <v>-5.9050810000000002E-2</v>
      </c>
      <c r="N3408">
        <v>0</v>
      </c>
      <c r="O3408">
        <v>-0.99815109999999996</v>
      </c>
      <c r="P3408">
        <v>-1.5392820000000001E-3</v>
      </c>
      <c r="Q3408">
        <v>0.12259249999999999</v>
      </c>
      <c r="R3408">
        <v>-0.99245609999999995</v>
      </c>
      <c r="S3408">
        <v>0.26165769999999999</v>
      </c>
      <c r="T3408">
        <v>-0.1915154</v>
      </c>
      <c r="U3408">
        <v>-3.0484619999999998</v>
      </c>
      <c r="V3408">
        <v>-5.7593499999999902E-2</v>
      </c>
      <c r="W3408">
        <v>0.13663699999999901</v>
      </c>
      <c r="X3408">
        <v>0.98894550000000003</v>
      </c>
      <c r="Y3408">
        <v>-0.1440437</v>
      </c>
      <c r="Z3408">
        <v>6.2095039999999997E-2</v>
      </c>
      <c r="AA3408">
        <v>0.98762119999999998</v>
      </c>
      <c r="AB3408">
        <v>31</v>
      </c>
      <c r="AC3408">
        <v>1.52210000000002</v>
      </c>
      <c r="AD3408">
        <v>-1.1066723143619901</v>
      </c>
      <c r="AE3408">
        <v>-17.415099999999899</v>
      </c>
      <c r="AF3408">
        <v>-2.5377555282967399</v>
      </c>
      <c r="AG3408">
        <v>-1.1066723143619901</v>
      </c>
      <c r="AH3408">
        <v>17.2257798746007</v>
      </c>
      <c r="AI3408">
        <v>93.636774917908596</v>
      </c>
      <c r="AJ3408">
        <v>98.380707726775498</v>
      </c>
      <c r="AK3408">
        <v>17.446845532100401</v>
      </c>
      <c r="AL3408">
        <v>82.146709205337302</v>
      </c>
      <c r="AM3408">
        <v>93.332985957697403</v>
      </c>
      <c r="AN3408">
        <v>0.999999941490748</v>
      </c>
    </row>
    <row r="3409" spans="1:40" x14ac:dyDescent="0.3">
      <c r="A3409" t="str">
        <f>"20200111150017922"</f>
        <v>20200111150017922</v>
      </c>
      <c r="B3409" t="str">
        <f>"1578726017919409"</f>
        <v>1578726017919409</v>
      </c>
      <c r="C3409" t="s">
        <v>40</v>
      </c>
      <c r="D3409">
        <v>4.4818930000000003</v>
      </c>
      <c r="E3409">
        <v>0.465061</v>
      </c>
      <c r="F3409" t="s">
        <v>52</v>
      </c>
      <c r="G3409">
        <v>-488.45920000000001</v>
      </c>
      <c r="H3409" s="1">
        <v>4.1427820000000003E-6</v>
      </c>
      <c r="I3409">
        <v>222.65090000000001</v>
      </c>
      <c r="J3409">
        <v>-490.27870000000001</v>
      </c>
      <c r="K3409">
        <v>1.1070599999999999</v>
      </c>
      <c r="L3409">
        <v>241.35740000000001</v>
      </c>
      <c r="M3409">
        <v>-5.6638599999999997E-2</v>
      </c>
      <c r="N3409">
        <v>0</v>
      </c>
      <c r="O3409">
        <v>-0.99829049999999997</v>
      </c>
      <c r="P3409">
        <v>1.471131E-2</v>
      </c>
      <c r="Q3409">
        <v>0.12423729999999999</v>
      </c>
      <c r="R3409">
        <v>-0.99214349999999996</v>
      </c>
      <c r="S3409">
        <v>0.29010010000000003</v>
      </c>
      <c r="T3409">
        <v>-0.17771020000000001</v>
      </c>
      <c r="U3409">
        <v>-3.0452119999999998</v>
      </c>
      <c r="V3409">
        <v>-7.1536559999999999E-2</v>
      </c>
      <c r="W3409">
        <v>0.13815639999999901</v>
      </c>
      <c r="X3409">
        <v>0.98782349999999997</v>
      </c>
      <c r="Y3409">
        <v>-0.1509134</v>
      </c>
      <c r="Z3409">
        <v>5.7653959999999997E-2</v>
      </c>
      <c r="AA3409">
        <v>0.98686430000000003</v>
      </c>
      <c r="AB3409">
        <v>31</v>
      </c>
      <c r="AC3409">
        <v>1.8194999999999999</v>
      </c>
      <c r="AD3409">
        <v>-1.107055857218</v>
      </c>
      <c r="AE3409">
        <v>-18.706499999999998</v>
      </c>
      <c r="AF3409">
        <v>-2.8662544689838998</v>
      </c>
      <c r="AG3409">
        <v>-1.107055857218</v>
      </c>
      <c r="AH3409">
        <v>18.509183126972399</v>
      </c>
      <c r="AI3409">
        <v>93.382627092382705</v>
      </c>
      <c r="AJ3409">
        <v>98.802664925364695</v>
      </c>
      <c r="AK3409">
        <v>18.762485106716898</v>
      </c>
      <c r="AL3409">
        <v>82.058820673310095</v>
      </c>
      <c r="AM3409">
        <v>94.142035754021606</v>
      </c>
      <c r="AN3409">
        <v>0.99999996871492103</v>
      </c>
    </row>
    <row r="3410" spans="1:40" x14ac:dyDescent="0.3">
      <c r="A3410" t="str">
        <f>"20200111150017934"</f>
        <v>20200111150017934</v>
      </c>
      <c r="B3410" t="str">
        <f>"1578726017929170"</f>
        <v>1578726017929170</v>
      </c>
      <c r="C3410" t="s">
        <v>40</v>
      </c>
      <c r="D3410">
        <v>4.496302</v>
      </c>
      <c r="E3410">
        <v>0.36449019999999999</v>
      </c>
      <c r="F3410" t="s">
        <v>52</v>
      </c>
      <c r="G3410">
        <v>-488.12380000000002</v>
      </c>
      <c r="H3410" s="1">
        <v>3.8569890000000004E-6</v>
      </c>
      <c r="I3410">
        <v>221.9684</v>
      </c>
      <c r="J3410">
        <v>-490.28640000000001</v>
      </c>
      <c r="K3410">
        <v>1.10727999999999</v>
      </c>
      <c r="L3410">
        <v>241.19220000000001</v>
      </c>
      <c r="M3410">
        <v>-5.4893289999999997E-2</v>
      </c>
      <c r="N3410">
        <v>0</v>
      </c>
      <c r="O3410">
        <v>-0.99838819999999995</v>
      </c>
      <c r="P3410">
        <v>2.411934E-2</v>
      </c>
      <c r="Q3410">
        <v>0.12502460000000001</v>
      </c>
      <c r="R3410">
        <v>-0.99186039999999998</v>
      </c>
      <c r="S3410">
        <v>0.33792109999999997</v>
      </c>
      <c r="T3410">
        <v>-0.17360429999999999</v>
      </c>
      <c r="U3410">
        <v>-3.0404969999999998</v>
      </c>
      <c r="V3410">
        <v>-7.926213E-2</v>
      </c>
      <c r="W3410">
        <v>0.1388614</v>
      </c>
      <c r="X3410">
        <v>0.98713479999999998</v>
      </c>
      <c r="Y3410">
        <v>-0.1646803</v>
      </c>
      <c r="Z3410">
        <v>5.6313410000000001E-2</v>
      </c>
      <c r="AA3410">
        <v>0.98473809999999995</v>
      </c>
      <c r="AB3410">
        <v>31</v>
      </c>
      <c r="AC3410">
        <v>2.1625999999999901</v>
      </c>
      <c r="AD3410">
        <v>-1.1072761430110001</v>
      </c>
      <c r="AE3410">
        <v>-19.223800000000001</v>
      </c>
      <c r="AF3410">
        <v>-3.20420820112848</v>
      </c>
      <c r="AG3410">
        <v>-1.1072761430110001</v>
      </c>
      <c r="AH3410">
        <v>19.013791104351</v>
      </c>
      <c r="AI3410">
        <v>93.286641304307807</v>
      </c>
      <c r="AJ3410">
        <v>99.565621366087001</v>
      </c>
      <c r="AK3410">
        <v>19.3136548279438</v>
      </c>
      <c r="AL3410">
        <v>82.018034612594704</v>
      </c>
      <c r="AM3410">
        <v>94.590723779093395</v>
      </c>
      <c r="AN3410">
        <v>1.0000000435165599</v>
      </c>
    </row>
    <row r="3411" spans="1:40" x14ac:dyDescent="0.3">
      <c r="A3411" t="str">
        <f>"20200111150017946"</f>
        <v>20200111150017946</v>
      </c>
      <c r="B3411" t="str">
        <f>"1578726017938931"</f>
        <v>1578726017938931</v>
      </c>
      <c r="C3411" t="s">
        <v>40</v>
      </c>
      <c r="D3411">
        <v>4.4666750000000004</v>
      </c>
      <c r="E3411">
        <v>0.35779</v>
      </c>
      <c r="F3411" t="s">
        <v>61</v>
      </c>
      <c r="G3411">
        <v>-476.57760000000002</v>
      </c>
      <c r="H3411">
        <v>1.0050190000000001</v>
      </c>
      <c r="I3411">
        <v>205.87870000000001</v>
      </c>
      <c r="J3411">
        <v>-490.29360000000003</v>
      </c>
      <c r="K3411">
        <v>1.1074870000000001</v>
      </c>
      <c r="L3411">
        <v>241.029</v>
      </c>
      <c r="M3411">
        <v>-5.3078109999999998E-2</v>
      </c>
      <c r="N3411">
        <v>0</v>
      </c>
      <c r="O3411">
        <v>-0.99848630000000005</v>
      </c>
      <c r="P3411">
        <v>3.436181E-2</v>
      </c>
      <c r="Q3411">
        <v>0.12536169999999999</v>
      </c>
      <c r="R3411">
        <v>-0.99151590000000001</v>
      </c>
      <c r="S3411">
        <v>1.163605</v>
      </c>
      <c r="T3411">
        <v>-8.6799859999999902E-3</v>
      </c>
      <c r="U3411">
        <v>-2.9974059999999998</v>
      </c>
      <c r="V3411">
        <v>-8.7743749999999995E-2</v>
      </c>
      <c r="W3411">
        <v>0.1391056</v>
      </c>
      <c r="X3411">
        <v>0.9863826</v>
      </c>
      <c r="Y3411">
        <v>-0.4108656</v>
      </c>
      <c r="Z3411">
        <v>2.6649389999999998E-3</v>
      </c>
      <c r="AA3411">
        <v>0.91169199999999995</v>
      </c>
      <c r="AB3411">
        <v>31</v>
      </c>
      <c r="AC3411">
        <v>13.715999999999999</v>
      </c>
      <c r="AD3411">
        <v>-0.102468</v>
      </c>
      <c r="AE3411">
        <v>-35.150300000000001</v>
      </c>
      <c r="AF3411">
        <v>-15.562452019773501</v>
      </c>
      <c r="AG3411">
        <v>-0.102468</v>
      </c>
      <c r="AH3411">
        <v>34.372392033032902</v>
      </c>
      <c r="AI3411">
        <v>90.1555994358052</v>
      </c>
      <c r="AJ3411">
        <v>114.359126517248</v>
      </c>
      <c r="AK3411">
        <v>37.7314424138712</v>
      </c>
      <c r="AL3411">
        <v>82.003905377753995</v>
      </c>
      <c r="AM3411">
        <v>95.083370977073201</v>
      </c>
      <c r="AN3411">
        <v>0.99999998359909104</v>
      </c>
    </row>
    <row r="3412" spans="1:40" x14ac:dyDescent="0.3">
      <c r="A3412" t="str">
        <f>"20200111150017958"</f>
        <v>20200111150017958</v>
      </c>
      <c r="B3412" t="str">
        <f>"1578726017948690"</f>
        <v>1578726017948690</v>
      </c>
      <c r="C3412" t="s">
        <v>40</v>
      </c>
      <c r="D3412">
        <v>4.3844500000000002</v>
      </c>
      <c r="E3412">
        <v>0.35761969999999998</v>
      </c>
      <c r="F3412" t="s">
        <v>73</v>
      </c>
      <c r="G3412">
        <v>-470.15</v>
      </c>
      <c r="H3412">
        <v>1.4641500000000001</v>
      </c>
      <c r="I3412">
        <v>192.8629</v>
      </c>
      <c r="J3412">
        <v>-490.30099999999999</v>
      </c>
      <c r="K3412">
        <v>1.1076870000000001</v>
      </c>
      <c r="L3412">
        <v>240.85679999999999</v>
      </c>
      <c r="M3412">
        <v>-5.1063129999999998E-2</v>
      </c>
      <c r="N3412">
        <v>0</v>
      </c>
      <c r="O3412">
        <v>-0.99859129999999996</v>
      </c>
      <c r="P3412">
        <v>4.5095400000000001E-2</v>
      </c>
      <c r="Q3412">
        <v>0.1256005</v>
      </c>
      <c r="R3412">
        <v>-0.99105560000000004</v>
      </c>
      <c r="S3412">
        <v>1.2461549999999999</v>
      </c>
      <c r="T3412">
        <v>2.2066590000000001E-2</v>
      </c>
      <c r="U3412">
        <v>-2.9797060000000002</v>
      </c>
      <c r="V3412">
        <v>-9.6514020000000006E-2</v>
      </c>
      <c r="W3412">
        <v>0.13924059999999999</v>
      </c>
      <c r="X3412">
        <v>0.98554410000000003</v>
      </c>
      <c r="Y3412">
        <v>-0.43243330000000002</v>
      </c>
      <c r="Z3412">
        <v>-6.7437909999999998E-3</v>
      </c>
      <c r="AA3412">
        <v>0.90164069999999996</v>
      </c>
      <c r="AB3412">
        <v>31</v>
      </c>
      <c r="AC3412">
        <v>20.151</v>
      </c>
      <c r="AD3412">
        <v>0.35646299999999997</v>
      </c>
      <c r="AE3412">
        <v>-47.993899999999996</v>
      </c>
      <c r="AF3412">
        <v>-22.574621043534499</v>
      </c>
      <c r="AG3412">
        <v>0.35646299999999997</v>
      </c>
      <c r="AH3412">
        <v>46.899995832472101</v>
      </c>
      <c r="AI3412">
        <v>89.607619050485795</v>
      </c>
      <c r="AJ3412">
        <v>115.703151561361</v>
      </c>
      <c r="AK3412">
        <v>52.051418714723503</v>
      </c>
      <c r="AL3412">
        <v>81.996094861166895</v>
      </c>
      <c r="AM3412">
        <v>95.5931231815741</v>
      </c>
      <c r="AN3412">
        <v>1.0000000368948601</v>
      </c>
    </row>
    <row r="3413" spans="1:40" x14ac:dyDescent="0.3">
      <c r="A3413" t="str">
        <f>"20200111150017973"</f>
        <v>20200111150017973</v>
      </c>
      <c r="B3413" t="str">
        <f>"1578726017969186"</f>
        <v>1578726017969186</v>
      </c>
      <c r="C3413" t="s">
        <v>40</v>
      </c>
      <c r="D3413">
        <v>4.3730250000000002</v>
      </c>
      <c r="E3413">
        <v>0.3602513</v>
      </c>
      <c r="F3413" t="s">
        <v>73</v>
      </c>
      <c r="G3413">
        <v>-470.15</v>
      </c>
      <c r="H3413">
        <v>1.376015</v>
      </c>
      <c r="I3413">
        <v>194.1157</v>
      </c>
      <c r="J3413">
        <v>-490.30790000000002</v>
      </c>
      <c r="K3413">
        <v>1.10788</v>
      </c>
      <c r="L3413">
        <v>240.67689999999999</v>
      </c>
      <c r="M3413">
        <v>-4.8782720000000002E-2</v>
      </c>
      <c r="N3413">
        <v>0</v>
      </c>
      <c r="O3413">
        <v>-0.99870519999999996</v>
      </c>
      <c r="P3413">
        <v>5.5546280000000003E-2</v>
      </c>
      <c r="Q3413">
        <v>0.12605189999999999</v>
      </c>
      <c r="R3413">
        <v>-0.99046730000000005</v>
      </c>
      <c r="S3413">
        <v>1.2790220000000001</v>
      </c>
      <c r="T3413">
        <v>1.7033340000000001E-2</v>
      </c>
      <c r="U3413">
        <v>-2.966736</v>
      </c>
      <c r="V3413">
        <v>-0.104736</v>
      </c>
      <c r="W3413">
        <v>0.1395844</v>
      </c>
      <c r="X3413">
        <v>0.98465559999999996</v>
      </c>
      <c r="Y3413">
        <v>-0.44022109999999898</v>
      </c>
      <c r="Z3413">
        <v>-5.2063220000000002E-3</v>
      </c>
      <c r="AA3413">
        <v>0.89787430000000001</v>
      </c>
      <c r="AB3413">
        <v>31</v>
      </c>
      <c r="AC3413">
        <v>20.157900000000001</v>
      </c>
      <c r="AD3413">
        <v>0.26813500000000001</v>
      </c>
      <c r="AE3413">
        <v>-46.5611999999999</v>
      </c>
      <c r="AF3413">
        <v>-22.404887991106001</v>
      </c>
      <c r="AG3413">
        <v>0.26813500000000001</v>
      </c>
      <c r="AH3413">
        <v>45.521022453622699</v>
      </c>
      <c r="AI3413">
        <v>89.697200046540303</v>
      </c>
      <c r="AJ3413">
        <v>116.205844576627</v>
      </c>
      <c r="AK3413">
        <v>50.736716364930999</v>
      </c>
      <c r="AL3413">
        <v>81.9762023553821</v>
      </c>
      <c r="AM3413">
        <v>96.071616603555</v>
      </c>
      <c r="AN3413">
        <v>1.0000000425153499</v>
      </c>
    </row>
    <row r="3414" spans="1:40" x14ac:dyDescent="0.3">
      <c r="A3414" t="str">
        <f>"20200111150017986"</f>
        <v>20200111150017986</v>
      </c>
      <c r="B3414" t="str">
        <f>"1578726017978946"</f>
        <v>1578726017978946</v>
      </c>
      <c r="C3414" t="s">
        <v>40</v>
      </c>
      <c r="D3414">
        <v>4.3935690000000003</v>
      </c>
      <c r="E3414">
        <v>0.35921619999999999</v>
      </c>
      <c r="F3414" t="s">
        <v>73</v>
      </c>
      <c r="G3414">
        <v>-470.15</v>
      </c>
      <c r="H3414">
        <v>1.0701050000000001</v>
      </c>
      <c r="I3414">
        <v>194.44049999999999</v>
      </c>
      <c r="J3414">
        <v>-490.31529999999998</v>
      </c>
      <c r="K3414">
        <v>1.1080920000000001</v>
      </c>
      <c r="L3414">
        <v>240.47229999999999</v>
      </c>
      <c r="M3414">
        <v>-4.606267E-2</v>
      </c>
      <c r="N3414">
        <v>0</v>
      </c>
      <c r="O3414">
        <v>-0.99883429999999995</v>
      </c>
      <c r="P3414">
        <v>6.6802940000000005E-2</v>
      </c>
      <c r="Q3414">
        <v>0.12588450000000001</v>
      </c>
      <c r="R3414">
        <v>-0.98979360000000005</v>
      </c>
      <c r="S3414">
        <v>1.2891239999999999</v>
      </c>
      <c r="T3414">
        <v>-2.4135110000000001E-3</v>
      </c>
      <c r="U3414">
        <v>-2.9568629999999998</v>
      </c>
      <c r="V3414">
        <v>-0.11333260000000001</v>
      </c>
      <c r="W3414">
        <v>0.13929449999999999</v>
      </c>
      <c r="X3414">
        <v>0.98374430000000002</v>
      </c>
      <c r="Y3414">
        <v>-0.44145069999999997</v>
      </c>
      <c r="Z3414">
        <v>7.3940799999999999E-4</v>
      </c>
      <c r="AA3414">
        <v>0.89728519999999901</v>
      </c>
      <c r="AB3414">
        <v>31</v>
      </c>
      <c r="AC3414">
        <v>20.165299999999998</v>
      </c>
      <c r="AD3414">
        <v>-3.7987000000000201E-2</v>
      </c>
      <c r="AE3414">
        <v>-46.031799999999997</v>
      </c>
      <c r="AF3414">
        <v>-22.264446849414099</v>
      </c>
      <c r="AG3414">
        <v>-3.7987000000000201E-2</v>
      </c>
      <c r="AH3414">
        <v>45.053939403760701</v>
      </c>
      <c r="AI3414">
        <v>90.043309028219099</v>
      </c>
      <c r="AJ3414">
        <v>116.297345726853</v>
      </c>
      <c r="AK3414">
        <v>50.254994700231499</v>
      </c>
      <c r="AL3414">
        <v>81.992976267102094</v>
      </c>
      <c r="AM3414">
        <v>96.571807880426107</v>
      </c>
      <c r="AN3414">
        <v>1.0000000418677399</v>
      </c>
    </row>
    <row r="3415" spans="1:40" x14ac:dyDescent="0.3">
      <c r="A3415" t="str">
        <f>"20200111150018002"</f>
        <v>20200111150018002</v>
      </c>
      <c r="B3415" t="str">
        <f>"1578726017999442"</f>
        <v>1578726017999442</v>
      </c>
      <c r="C3415" t="s">
        <v>40</v>
      </c>
      <c r="D3415">
        <v>4.3405060000000004</v>
      </c>
      <c r="E3415">
        <v>0.36034559999999999</v>
      </c>
      <c r="F3415" t="s">
        <v>73</v>
      </c>
      <c r="G3415">
        <v>-470.15</v>
      </c>
      <c r="H3415">
        <v>1.1481429999999999</v>
      </c>
      <c r="I3415">
        <v>195.91059999999999</v>
      </c>
      <c r="J3415">
        <v>-490.322</v>
      </c>
      <c r="K3415">
        <v>1.1083069999999999</v>
      </c>
      <c r="L3415">
        <v>240.26439999999999</v>
      </c>
      <c r="M3415">
        <v>-4.314345E-2</v>
      </c>
      <c r="N3415">
        <v>0</v>
      </c>
      <c r="O3415">
        <v>-0.99896470000000004</v>
      </c>
      <c r="P3415">
        <v>8.6590600000000004E-2</v>
      </c>
      <c r="Q3415">
        <v>0.1259499</v>
      </c>
      <c r="R3415">
        <v>-0.98825090000000004</v>
      </c>
      <c r="S3415">
        <v>1.3307800000000001</v>
      </c>
      <c r="T3415">
        <v>2.6454930000000001E-3</v>
      </c>
      <c r="U3415">
        <v>-2.9407649999999999</v>
      </c>
      <c r="V3415">
        <v>-0.13022500000000001</v>
      </c>
      <c r="W3415">
        <v>0.13914899999999999</v>
      </c>
      <c r="X3415">
        <v>0.98167150000000003</v>
      </c>
      <c r="Y3415">
        <v>-0.45120559999999998</v>
      </c>
      <c r="Z3415">
        <v>-8.1038599999999996E-4</v>
      </c>
      <c r="AA3415">
        <v>0.89241959999999998</v>
      </c>
      <c r="AB3415">
        <v>31</v>
      </c>
      <c r="AC3415">
        <v>20.171999999999901</v>
      </c>
      <c r="AD3415">
        <v>3.9836000000000198E-2</v>
      </c>
      <c r="AE3415">
        <v>-44.3538</v>
      </c>
      <c r="AF3415">
        <v>-22.066974103077801</v>
      </c>
      <c r="AG3415">
        <v>3.9836000000000198E-2</v>
      </c>
      <c r="AH3415">
        <v>43.442083727227903</v>
      </c>
      <c r="AI3415">
        <v>89.953157213669499</v>
      </c>
      <c r="AJ3415">
        <v>116.928887491583</v>
      </c>
      <c r="AK3415">
        <v>48.725430439722999</v>
      </c>
      <c r="AL3415">
        <v>82.001394164776698</v>
      </c>
      <c r="AM3415">
        <v>97.556531634685996</v>
      </c>
      <c r="AN3415">
        <v>0.99999996436912397</v>
      </c>
    </row>
    <row r="3416" spans="1:40" x14ac:dyDescent="0.3">
      <c r="A3416" t="str">
        <f>"20200111150018027"</f>
        <v>20200111150018027</v>
      </c>
      <c r="B3416" t="str">
        <f>"1578726018018962"</f>
        <v>1578726018018962</v>
      </c>
      <c r="C3416" t="s">
        <v>40</v>
      </c>
      <c r="D3416">
        <v>4.3143099999999999</v>
      </c>
      <c r="E3416">
        <v>0.36283599999999999</v>
      </c>
      <c r="F3416" t="s">
        <v>73</v>
      </c>
      <c r="G3416">
        <v>-470.0865</v>
      </c>
      <c r="H3416">
        <v>1.053731</v>
      </c>
      <c r="I3416">
        <v>197.51820000000001</v>
      </c>
      <c r="J3416">
        <v>-490.33139999999997</v>
      </c>
      <c r="K3416">
        <v>1.1086510000000001</v>
      </c>
      <c r="L3416">
        <v>239.92169999999999</v>
      </c>
      <c r="M3416">
        <v>-3.7937440000000003E-2</v>
      </c>
      <c r="N3416">
        <v>0</v>
      </c>
      <c r="O3416">
        <v>-0.99917549999999999</v>
      </c>
      <c r="P3416">
        <v>0.1097244</v>
      </c>
      <c r="Q3416">
        <v>0.12624869999999999</v>
      </c>
      <c r="R3416">
        <v>-0.98591169999999995</v>
      </c>
      <c r="S3416">
        <v>1.3800349999999999</v>
      </c>
      <c r="T3416">
        <v>-3.7195679999999999E-3</v>
      </c>
      <c r="U3416">
        <v>-2.915222</v>
      </c>
      <c r="V3416">
        <v>-0.1482397</v>
      </c>
      <c r="W3416">
        <v>0.1391675</v>
      </c>
      <c r="X3416">
        <v>0.97911049999999999</v>
      </c>
      <c r="Y3416">
        <v>-0.46185340000000003</v>
      </c>
      <c r="Z3416">
        <v>1.1416810000000001E-3</v>
      </c>
      <c r="AA3416">
        <v>0.88695559999999996</v>
      </c>
      <c r="AB3416">
        <v>31</v>
      </c>
      <c r="AC3416">
        <v>20.244899999999902</v>
      </c>
      <c r="AD3416">
        <v>-5.4919999999999997E-2</v>
      </c>
      <c r="AE3416">
        <v>-42.403499999999902</v>
      </c>
      <c r="AF3416">
        <v>-21.8391415691272</v>
      </c>
      <c r="AG3416">
        <v>-5.4919999999999997E-2</v>
      </c>
      <c r="AH3416">
        <v>41.604791207061403</v>
      </c>
      <c r="AI3416">
        <v>90.066967270657699</v>
      </c>
      <c r="AJ3416">
        <v>117.69583037173101</v>
      </c>
      <c r="AK3416">
        <v>46.988400399097998</v>
      </c>
      <c r="AL3416">
        <v>82.000323956009396</v>
      </c>
      <c r="AM3416">
        <v>98.609334039024702</v>
      </c>
      <c r="AN3416">
        <v>0.99999998646129495</v>
      </c>
    </row>
    <row r="3417" spans="1:40" x14ac:dyDescent="0.3">
      <c r="A3417" t="str">
        <f>"20200111150018041"</f>
        <v>20200111150018041</v>
      </c>
      <c r="B3417" t="str">
        <f>"1578726018039458"</f>
        <v>1578726018039458</v>
      </c>
      <c r="C3417" t="s">
        <v>40</v>
      </c>
      <c r="D3417">
        <v>4.4319069999999998</v>
      </c>
      <c r="E3417">
        <v>0.36636030000000003</v>
      </c>
      <c r="F3417" t="s">
        <v>73</v>
      </c>
      <c r="G3417">
        <v>-469.26479999999998</v>
      </c>
      <c r="H3417">
        <v>0.90063950000000004</v>
      </c>
      <c r="I3417">
        <v>197.345</v>
      </c>
      <c r="J3417">
        <v>-490.33589999999998</v>
      </c>
      <c r="K3417">
        <v>1.1088439999999999</v>
      </c>
      <c r="L3417">
        <v>239.7261</v>
      </c>
      <c r="M3417">
        <v>-3.4820589999999998E-2</v>
      </c>
      <c r="N3417">
        <v>0</v>
      </c>
      <c r="O3417">
        <v>-0.99928899999999998</v>
      </c>
      <c r="P3417">
        <v>0.1221539</v>
      </c>
      <c r="Q3417">
        <v>0.12720029999999999</v>
      </c>
      <c r="R3417">
        <v>-0.98432649999999999</v>
      </c>
      <c r="S3417">
        <v>1.427856</v>
      </c>
      <c r="T3417">
        <v>-1.409614E-2</v>
      </c>
      <c r="U3417">
        <v>-2.8857569999999999</v>
      </c>
      <c r="V3417">
        <v>-0.1576166</v>
      </c>
      <c r="W3417">
        <v>0.139955</v>
      </c>
      <c r="X3417">
        <v>0.97753239999999997</v>
      </c>
      <c r="Y3417">
        <v>-0.47441640000000002</v>
      </c>
      <c r="Z3417">
        <v>4.3369480000000002E-3</v>
      </c>
      <c r="AA3417">
        <v>0.88028989999999996</v>
      </c>
      <c r="AB3417">
        <v>31</v>
      </c>
      <c r="AC3417">
        <v>21.071100000000001</v>
      </c>
      <c r="AD3417">
        <v>-0.20820449999999899</v>
      </c>
      <c r="AE3417">
        <v>-42.381100000000004</v>
      </c>
      <c r="AF3417">
        <v>-22.533772488169799</v>
      </c>
      <c r="AG3417">
        <v>-0.20820449999999899</v>
      </c>
      <c r="AH3417">
        <v>41.62080362223</v>
      </c>
      <c r="AI3417">
        <v>90.252046055029595</v>
      </c>
      <c r="AJ3417">
        <v>118.431401179331</v>
      </c>
      <c r="AK3417">
        <v>47.329753282926099</v>
      </c>
      <c r="AL3417">
        <v>81.954757649517603</v>
      </c>
      <c r="AM3417">
        <v>99.159495486938098</v>
      </c>
      <c r="AN3417">
        <v>0.99999999383515903</v>
      </c>
    </row>
    <row r="3418" spans="1:40" x14ac:dyDescent="0.3">
      <c r="A3418" t="str">
        <f>"20200111150018058"</f>
        <v>20200111150018058</v>
      </c>
      <c r="B3418" t="str">
        <f>"1578726018049217"</f>
        <v>1578726018049217</v>
      </c>
      <c r="C3418" t="s">
        <v>40</v>
      </c>
      <c r="D3418">
        <v>4.4217110000000002</v>
      </c>
      <c r="E3418">
        <v>0.3679635</v>
      </c>
      <c r="F3418" t="s">
        <v>73</v>
      </c>
      <c r="G3418">
        <v>-469.1508</v>
      </c>
      <c r="H3418">
        <v>0.65380289999999996</v>
      </c>
      <c r="I3418">
        <v>197.345</v>
      </c>
      <c r="J3418">
        <v>-490.34019999999998</v>
      </c>
      <c r="K3418">
        <v>1.109083</v>
      </c>
      <c r="L3418">
        <v>239.48509999999999</v>
      </c>
      <c r="M3418">
        <v>-3.0768239999999999E-2</v>
      </c>
      <c r="N3418">
        <v>0</v>
      </c>
      <c r="O3418">
        <v>-0.99942169999999997</v>
      </c>
      <c r="P3418">
        <v>0.1439588</v>
      </c>
      <c r="Q3418">
        <v>0.128969899999999</v>
      </c>
      <c r="R3418">
        <v>-0.98114369999999995</v>
      </c>
      <c r="S3418">
        <v>1.436401</v>
      </c>
      <c r="T3418">
        <v>-3.0850410000000002E-2</v>
      </c>
      <c r="U3418">
        <v>-2.873535</v>
      </c>
      <c r="V3418">
        <v>-0.17543149999999999</v>
      </c>
      <c r="W3418">
        <v>0.14143549999999999</v>
      </c>
      <c r="X3418">
        <v>0.97427909999999995</v>
      </c>
      <c r="Y3418">
        <v>-0.47441460000000002</v>
      </c>
      <c r="Z3418">
        <v>9.5235570000000002E-3</v>
      </c>
      <c r="AA3418">
        <v>0.88024999999999998</v>
      </c>
      <c r="AB3418">
        <v>31</v>
      </c>
      <c r="AC3418">
        <v>21.1893999999999</v>
      </c>
      <c r="AD3418">
        <v>-0.45528010000000002</v>
      </c>
      <c r="AE3418">
        <v>-42.140099999999897</v>
      </c>
      <c r="AF3418">
        <v>-22.473984408802401</v>
      </c>
      <c r="AG3418">
        <v>-0.45528010000000002</v>
      </c>
      <c r="AH3418">
        <v>41.464252352512901</v>
      </c>
      <c r="AI3418">
        <v>90.553076062941699</v>
      </c>
      <c r="AJ3418">
        <v>118.458076830953</v>
      </c>
      <c r="AK3418">
        <v>47.165363120932497</v>
      </c>
      <c r="AL3418">
        <v>81.869078943719103</v>
      </c>
      <c r="AM3418">
        <v>100.20746333789199</v>
      </c>
      <c r="AN3418">
        <v>0.99999998827465397</v>
      </c>
    </row>
    <row r="3419" spans="1:40" x14ac:dyDescent="0.3">
      <c r="A3419" t="str">
        <f>"20200111150018071"</f>
        <v>20200111150018071</v>
      </c>
      <c r="B3419" t="str">
        <f>"1578726018058978"</f>
        <v>1578726018058978</v>
      </c>
      <c r="C3419" t="s">
        <v>40</v>
      </c>
      <c r="D3419">
        <v>4.4023009999999996</v>
      </c>
      <c r="E3419">
        <v>0.36953249999999999</v>
      </c>
      <c r="F3419" t="s">
        <v>73</v>
      </c>
      <c r="G3419">
        <v>-468.32479999999998</v>
      </c>
      <c r="H3419">
        <v>0.55853369999999902</v>
      </c>
      <c r="I3419">
        <v>197.345</v>
      </c>
      <c r="J3419">
        <v>-490.34230000000002</v>
      </c>
      <c r="K3419">
        <v>1.1092500000000001</v>
      </c>
      <c r="L3419">
        <v>239.3176</v>
      </c>
      <c r="M3419">
        <v>-2.779129E-2</v>
      </c>
      <c r="N3419">
        <v>0</v>
      </c>
      <c r="O3419">
        <v>-0.99950879999999998</v>
      </c>
      <c r="P3419">
        <v>0.15485470000000001</v>
      </c>
      <c r="Q3419">
        <v>0.13043850000000001</v>
      </c>
      <c r="R3419">
        <v>-0.97928859999999995</v>
      </c>
      <c r="S3419">
        <v>1.486084</v>
      </c>
      <c r="T3419">
        <v>-3.716063E-2</v>
      </c>
      <c r="U3419">
        <v>-2.8445279999999999</v>
      </c>
      <c r="V3419">
        <v>-0.1834315</v>
      </c>
      <c r="W3419">
        <v>0.14274289999999901</v>
      </c>
      <c r="X3419">
        <v>0.97261370000000003</v>
      </c>
      <c r="Y3419">
        <v>-0.48747669999999999</v>
      </c>
      <c r="Z3419">
        <v>1.1489940000000001E-2</v>
      </c>
      <c r="AA3419">
        <v>0.87306030000000001</v>
      </c>
      <c r="AB3419">
        <v>31</v>
      </c>
      <c r="AC3419">
        <v>22.017499999999998</v>
      </c>
      <c r="AD3419">
        <v>-0.55071630000000005</v>
      </c>
      <c r="AE3419">
        <v>-41.9726</v>
      </c>
      <c r="AF3419">
        <v>-23.172460545750699</v>
      </c>
      <c r="AG3419">
        <v>-0.55071630000000005</v>
      </c>
      <c r="AH3419">
        <v>41.338844628209699</v>
      </c>
      <c r="AI3419">
        <v>90.665793244800895</v>
      </c>
      <c r="AJ3419">
        <v>119.27277988174799</v>
      </c>
      <c r="AK3419">
        <v>47.393736837083502</v>
      </c>
      <c r="AL3419">
        <v>81.793402957343503</v>
      </c>
      <c r="AM3419">
        <v>100.68033209416799</v>
      </c>
      <c r="AN3419">
        <v>1.0000000300601699</v>
      </c>
    </row>
    <row r="3420" spans="1:40" x14ac:dyDescent="0.3">
      <c r="A3420" t="str">
        <f>"20200111150018084"</f>
        <v>20200111150018084</v>
      </c>
      <c r="B3420" t="str">
        <f>"1578726018079474"</f>
        <v>1578726018079474</v>
      </c>
      <c r="C3420" t="s">
        <v>40</v>
      </c>
      <c r="D3420">
        <v>4.2790900000000001</v>
      </c>
      <c r="E3420">
        <v>0.3715446</v>
      </c>
      <c r="F3420" t="s">
        <v>73</v>
      </c>
      <c r="G3420">
        <v>-468.03</v>
      </c>
      <c r="H3420">
        <v>0.48717880000000002</v>
      </c>
      <c r="I3420">
        <v>197.345</v>
      </c>
      <c r="J3420">
        <v>-490.3442</v>
      </c>
      <c r="K3420">
        <v>1.109421</v>
      </c>
      <c r="L3420">
        <v>239.149</v>
      </c>
      <c r="M3420">
        <v>-2.471638E-2</v>
      </c>
      <c r="N3420">
        <v>0</v>
      </c>
      <c r="O3420">
        <v>-0.99958939999999996</v>
      </c>
      <c r="P3420">
        <v>0.16589010000000001</v>
      </c>
      <c r="Q3420">
        <v>0.1318917</v>
      </c>
      <c r="R3420">
        <v>-0.97728479999999995</v>
      </c>
      <c r="S3420">
        <v>1.504974</v>
      </c>
      <c r="T3420">
        <v>-4.1956420000000001E-2</v>
      </c>
      <c r="U3420">
        <v>-2.8310550000000001</v>
      </c>
      <c r="V3420">
        <v>-0.1914862</v>
      </c>
      <c r="W3420">
        <v>0.14402470000000001</v>
      </c>
      <c r="X3420">
        <v>0.97087069999999998</v>
      </c>
      <c r="Y3420">
        <v>-0.49103609999999998</v>
      </c>
      <c r="Z3420">
        <v>1.2995960000000001E-2</v>
      </c>
      <c r="AA3420">
        <v>0.87104230000000005</v>
      </c>
      <c r="AB3420">
        <v>31</v>
      </c>
      <c r="AC3420">
        <v>22.3142</v>
      </c>
      <c r="AD3420">
        <v>-0.62224219999999997</v>
      </c>
      <c r="AE3420">
        <v>-41.803999999999903</v>
      </c>
      <c r="AF3420">
        <v>-23.3367098969461</v>
      </c>
      <c r="AG3420">
        <v>-0.62224219999999997</v>
      </c>
      <c r="AH3420">
        <v>41.232532524123499</v>
      </c>
      <c r="AI3420">
        <v>90.752446580864003</v>
      </c>
      <c r="AJ3420">
        <v>119.508910178797</v>
      </c>
      <c r="AK3420">
        <v>47.382601791402102</v>
      </c>
      <c r="AL3420">
        <v>81.719194168131594</v>
      </c>
      <c r="AM3420">
        <v>101.157324323</v>
      </c>
      <c r="AN3420">
        <v>0.99999999755950997</v>
      </c>
    </row>
    <row r="3421" spans="1:40" x14ac:dyDescent="0.3">
      <c r="A3421" t="str">
        <f>"20200111150018096"</f>
        <v>20200111150018096</v>
      </c>
      <c r="B3421" t="str">
        <f>"1578726018089233"</f>
        <v>1578726018089233</v>
      </c>
      <c r="C3421" t="s">
        <v>40</v>
      </c>
      <c r="D3421">
        <v>4.3592979999999999</v>
      </c>
      <c r="E3421">
        <v>0.37207030000000002</v>
      </c>
      <c r="F3421" t="s">
        <v>73</v>
      </c>
      <c r="G3421">
        <v>-467.779</v>
      </c>
      <c r="H3421">
        <v>0.44230269999999999</v>
      </c>
      <c r="I3421">
        <v>197.345</v>
      </c>
      <c r="J3421">
        <v>-490.34530000000001</v>
      </c>
      <c r="K3421">
        <v>1.109613</v>
      </c>
      <c r="L3421">
        <v>238.97389999999999</v>
      </c>
      <c r="M3421">
        <v>-2.1353279999999999E-2</v>
      </c>
      <c r="N3421">
        <v>0</v>
      </c>
      <c r="O3421">
        <v>-0.99966679999999997</v>
      </c>
      <c r="P3421">
        <v>0.176708</v>
      </c>
      <c r="Q3421">
        <v>0.13290629999999901</v>
      </c>
      <c r="R3421">
        <v>-0.97524909999999998</v>
      </c>
      <c r="S3421">
        <v>1.520905</v>
      </c>
      <c r="T3421">
        <v>-4.496145E-2</v>
      </c>
      <c r="U3421">
        <v>-2.817596</v>
      </c>
      <c r="V3421">
        <v>-0.19906009999999999</v>
      </c>
      <c r="W3421">
        <v>0.14485889999999901</v>
      </c>
      <c r="X3421">
        <v>0.96922180000000002</v>
      </c>
      <c r="Y3421">
        <v>-0.49364219999999998</v>
      </c>
      <c r="Z3421">
        <v>1.3958470000000001E-2</v>
      </c>
      <c r="AA3421">
        <v>0.86955309999999897</v>
      </c>
      <c r="AB3421">
        <v>31</v>
      </c>
      <c r="AC3421">
        <v>22.566299999999998</v>
      </c>
      <c r="AD3421">
        <v>-0.66731030000000002</v>
      </c>
      <c r="AE3421">
        <v>-41.628899999999902</v>
      </c>
      <c r="AF3421">
        <v>-23.445504397748099</v>
      </c>
      <c r="AG3421">
        <v>-0.66731030000000002</v>
      </c>
      <c r="AH3421">
        <v>41.129322795353602</v>
      </c>
      <c r="AI3421">
        <v>90.807551929023802</v>
      </c>
      <c r="AJ3421">
        <v>119.685022661744</v>
      </c>
      <c r="AK3421">
        <v>47.347208715041504</v>
      </c>
      <c r="AL3421">
        <v>81.670891184426395</v>
      </c>
      <c r="AM3421">
        <v>101.606094229541</v>
      </c>
      <c r="AN3421">
        <v>0.99999996095822896</v>
      </c>
    </row>
    <row r="3422" spans="1:40" x14ac:dyDescent="0.3">
      <c r="A3422" t="str">
        <f>"20200111150018111"</f>
        <v>20200111150018111</v>
      </c>
      <c r="B3422" t="str">
        <f>"1578726018098994"</f>
        <v>1578726018098994</v>
      </c>
      <c r="C3422" t="s">
        <v>40</v>
      </c>
      <c r="D3422">
        <v>4.3985779999999997</v>
      </c>
      <c r="E3422">
        <v>0.37316640000000001</v>
      </c>
      <c r="F3422" t="s">
        <v>73</v>
      </c>
      <c r="G3422">
        <v>-467.34820000000002</v>
      </c>
      <c r="H3422">
        <v>0.47941210000000001</v>
      </c>
      <c r="I3422">
        <v>197.345</v>
      </c>
      <c r="J3422">
        <v>-490.34559999999999</v>
      </c>
      <c r="K3422">
        <v>1.109834</v>
      </c>
      <c r="L3422">
        <v>238.78219999999999</v>
      </c>
      <c r="M3422">
        <v>-1.74889999999999E-2</v>
      </c>
      <c r="N3422">
        <v>0</v>
      </c>
      <c r="O3422">
        <v>-0.99974169999999996</v>
      </c>
      <c r="P3422">
        <v>0.18802959999999999</v>
      </c>
      <c r="Q3422">
        <v>0.1339815</v>
      </c>
      <c r="R3422">
        <v>-0.97298220000000002</v>
      </c>
      <c r="S3422">
        <v>1.5476379999999901</v>
      </c>
      <c r="T3422">
        <v>-4.240799E-2</v>
      </c>
      <c r="U3422">
        <v>-2.8014830000000002</v>
      </c>
      <c r="V3422">
        <v>-0.20667250000000001</v>
      </c>
      <c r="W3422">
        <v>0.14573539999999999</v>
      </c>
      <c r="X3422">
        <v>0.96749560000000001</v>
      </c>
      <c r="Y3422">
        <v>-0.49874829999999998</v>
      </c>
      <c r="Z3422">
        <v>1.318513E-2</v>
      </c>
      <c r="AA3422">
        <v>0.86664649999999999</v>
      </c>
      <c r="AB3422">
        <v>31</v>
      </c>
      <c r="AC3422">
        <v>22.997399999999899</v>
      </c>
      <c r="AD3422">
        <v>-0.63042189999999998</v>
      </c>
      <c r="AE3422">
        <v>-41.437199999999898</v>
      </c>
      <c r="AF3422">
        <v>-23.714457035642599</v>
      </c>
      <c r="AG3422">
        <v>-0.63042189999999998</v>
      </c>
      <c r="AH3422">
        <v>41.021358162498402</v>
      </c>
      <c r="AI3422">
        <v>90.762268221184897</v>
      </c>
      <c r="AJ3422">
        <v>120.03221719432599</v>
      </c>
      <c r="AK3422">
        <v>47.386967931735299</v>
      </c>
      <c r="AL3422">
        <v>81.620133389165403</v>
      </c>
      <c r="AM3422">
        <v>102.058062590619</v>
      </c>
      <c r="AN3422">
        <v>1.0000000325443801</v>
      </c>
    </row>
    <row r="3423" spans="1:40" x14ac:dyDescent="0.3">
      <c r="A3423" t="str">
        <f>"20200111150018128"</f>
        <v>20200111150018128</v>
      </c>
      <c r="B3423" t="str">
        <f>"1578726018119490"</f>
        <v>1578726018119490</v>
      </c>
      <c r="C3423" t="s">
        <v>40</v>
      </c>
      <c r="D3423">
        <v>4.3927120000000004</v>
      </c>
      <c r="E3423">
        <v>0.37493779999999999</v>
      </c>
      <c r="F3423" t="s">
        <v>73</v>
      </c>
      <c r="G3423">
        <v>-466.97070000000002</v>
      </c>
      <c r="H3423">
        <v>0.4367142</v>
      </c>
      <c r="I3423">
        <v>197.345</v>
      </c>
      <c r="J3423">
        <v>-490.34480000000002</v>
      </c>
      <c r="K3423">
        <v>1.1101179999999999</v>
      </c>
      <c r="L3423">
        <v>238.54830000000001</v>
      </c>
      <c r="M3423">
        <v>-1.254503E-2</v>
      </c>
      <c r="N3423">
        <v>0</v>
      </c>
      <c r="O3423">
        <v>-0.99981549999999997</v>
      </c>
      <c r="P3423">
        <v>0.20805100000000001</v>
      </c>
      <c r="Q3423">
        <v>0.13538559999999999</v>
      </c>
      <c r="R3423">
        <v>-0.96870330000000004</v>
      </c>
      <c r="S3423">
        <v>1.5715030000000001</v>
      </c>
      <c r="T3423">
        <v>-4.5251369999999999E-2</v>
      </c>
      <c r="U3423">
        <v>-2.785828</v>
      </c>
      <c r="V3423">
        <v>-0.2219554</v>
      </c>
      <c r="W3423">
        <v>0.14679020000000001</v>
      </c>
      <c r="X3423">
        <v>0.96394420000000003</v>
      </c>
      <c r="Y3423">
        <v>-0.50216369999999999</v>
      </c>
      <c r="Z3423">
        <v>1.409732E-2</v>
      </c>
      <c r="AA3423">
        <v>0.86465769999999997</v>
      </c>
      <c r="AB3423">
        <v>31</v>
      </c>
      <c r="AC3423">
        <v>23.374099999999999</v>
      </c>
      <c r="AD3423">
        <v>-0.6734038</v>
      </c>
      <c r="AE3423">
        <v>-41.203299999999999</v>
      </c>
      <c r="AF3423">
        <v>-23.884385102922899</v>
      </c>
      <c r="AG3423">
        <v>-0.6734038</v>
      </c>
      <c r="AH3423">
        <v>40.898532485096602</v>
      </c>
      <c r="AI3423">
        <v>90.814590620954604</v>
      </c>
      <c r="AJ3423">
        <v>120.28455450320401</v>
      </c>
      <c r="AK3423">
        <v>47.366731825798198</v>
      </c>
      <c r="AL3423">
        <v>81.5590404476158</v>
      </c>
      <c r="AM3423">
        <v>102.966777168682</v>
      </c>
      <c r="AN3423">
        <v>0.99999999155941899</v>
      </c>
    </row>
    <row r="3424" spans="1:40" x14ac:dyDescent="0.3">
      <c r="A3424" t="str">
        <f>"20200111150018142"</f>
        <v>20200111150018142</v>
      </c>
      <c r="B3424" t="str">
        <f>"1578726018139010"</f>
        <v>1578726018139010</v>
      </c>
      <c r="C3424" t="s">
        <v>40</v>
      </c>
      <c r="D3424">
        <v>4.343553</v>
      </c>
      <c r="E3424">
        <v>0.37596360000000001</v>
      </c>
      <c r="F3424" t="s">
        <v>73</v>
      </c>
      <c r="G3424">
        <v>-466.22969999999998</v>
      </c>
      <c r="H3424">
        <v>0.36063289999999998</v>
      </c>
      <c r="I3424">
        <v>197.345</v>
      </c>
      <c r="J3424">
        <v>-490.34320000000002</v>
      </c>
      <c r="K3424">
        <v>1.110358</v>
      </c>
      <c r="L3424">
        <v>238.3569</v>
      </c>
      <c r="M3424">
        <v>-8.3182350000000002E-3</v>
      </c>
      <c r="N3424">
        <v>0</v>
      </c>
      <c r="O3424">
        <v>-0.99985930000000001</v>
      </c>
      <c r="P3424">
        <v>0.21933259999999999</v>
      </c>
      <c r="Q3424">
        <v>0.1358366</v>
      </c>
      <c r="R3424">
        <v>-0.96614789999999995</v>
      </c>
      <c r="S3424">
        <v>1.6137999999999999</v>
      </c>
      <c r="T3424">
        <v>-5.0153370000000003E-2</v>
      </c>
      <c r="U3424">
        <v>-2.757339</v>
      </c>
      <c r="V3424">
        <v>-0.2292178</v>
      </c>
      <c r="W3424">
        <v>0.14701989999999901</v>
      </c>
      <c r="X3424">
        <v>0.96220810000000001</v>
      </c>
      <c r="Y3424">
        <v>-0.51222069999999997</v>
      </c>
      <c r="Z3424">
        <v>1.5659579999999999E-2</v>
      </c>
      <c r="AA3424">
        <v>0.85871109999999995</v>
      </c>
      <c r="AB3424">
        <v>31</v>
      </c>
      <c r="AC3424">
        <v>24.113499999999998</v>
      </c>
      <c r="AD3424">
        <v>-0.74972509999999903</v>
      </c>
      <c r="AE3424">
        <v>-41.011899999999997</v>
      </c>
      <c r="AF3424">
        <v>-24.447777178752801</v>
      </c>
      <c r="AG3424">
        <v>-0.74972509999999903</v>
      </c>
      <c r="AH3424">
        <v>40.799745808574997</v>
      </c>
      <c r="AI3424">
        <v>90.903051185829298</v>
      </c>
      <c r="AJ3424">
        <v>120.930629695931</v>
      </c>
      <c r="AK3424">
        <v>47.5696873518405</v>
      </c>
      <c r="AL3424">
        <v>81.545735659826704</v>
      </c>
      <c r="AM3424">
        <v>103.39929544374399</v>
      </c>
      <c r="AN3424">
        <v>1.0000000392692201</v>
      </c>
    </row>
    <row r="3425" spans="1:40" x14ac:dyDescent="0.3">
      <c r="A3425" t="str">
        <f>"20200111150018159"</f>
        <v>20200111150018159</v>
      </c>
      <c r="B3425" t="str">
        <f>"1578726018149746"</f>
        <v>1578726018149746</v>
      </c>
      <c r="C3425" t="s">
        <v>40</v>
      </c>
      <c r="D3425">
        <v>4.3263959999999999</v>
      </c>
      <c r="E3425">
        <v>0.37657740000000001</v>
      </c>
      <c r="F3425" t="s">
        <v>73</v>
      </c>
      <c r="G3425">
        <v>-465.84699999999998</v>
      </c>
      <c r="H3425">
        <v>0.35368349999999998</v>
      </c>
      <c r="I3425">
        <v>197.345</v>
      </c>
      <c r="J3425">
        <v>-490.33980000000003</v>
      </c>
      <c r="K3425">
        <v>1.1106560000000001</v>
      </c>
      <c r="L3425">
        <v>238.12379999999999</v>
      </c>
      <c r="M3425">
        <v>-2.8893339999999999E-3</v>
      </c>
      <c r="N3425">
        <v>0</v>
      </c>
      <c r="O3425">
        <v>-0.99988920000000003</v>
      </c>
      <c r="P3425">
        <v>0.23674210000000001</v>
      </c>
      <c r="Q3425">
        <v>0.13625139999999999</v>
      </c>
      <c r="R3425">
        <v>-0.96197140000000003</v>
      </c>
      <c r="S3425">
        <v>1.6369629999999999</v>
      </c>
      <c r="T3425">
        <v>-5.05619E-2</v>
      </c>
      <c r="U3425">
        <v>-2.7406009999999998</v>
      </c>
      <c r="V3425">
        <v>-0.24148259999999999</v>
      </c>
      <c r="W3425">
        <v>0.14709720000000001</v>
      </c>
      <c r="X3425">
        <v>0.95919160000000003</v>
      </c>
      <c r="Y3425">
        <v>-0.51520529999999998</v>
      </c>
      <c r="Z3425">
        <v>1.582414E-2</v>
      </c>
      <c r="AA3425">
        <v>0.85692069999999998</v>
      </c>
      <c r="AB3425">
        <v>31</v>
      </c>
      <c r="AC3425">
        <v>24.492799999999999</v>
      </c>
      <c r="AD3425">
        <v>-0.75697249999999905</v>
      </c>
      <c r="AE3425">
        <v>-40.778799999999897</v>
      </c>
      <c r="AF3425">
        <v>-24.6043033693641</v>
      </c>
      <c r="AG3425">
        <v>-0.75697249999999905</v>
      </c>
      <c r="AH3425">
        <v>40.6975485430658</v>
      </c>
      <c r="AI3425">
        <v>90.911910448234806</v>
      </c>
      <c r="AJ3425">
        <v>121.15567891266799</v>
      </c>
      <c r="AK3425">
        <v>47.562960474224703</v>
      </c>
      <c r="AL3425">
        <v>81.541257500210406</v>
      </c>
      <c r="AM3425">
        <v>104.130917541918</v>
      </c>
      <c r="AN3425">
        <v>0.99999997893057901</v>
      </c>
    </row>
    <row r="3426" spans="1:40" x14ac:dyDescent="0.3">
      <c r="A3426" t="str">
        <f>"20200111150018180"</f>
        <v>20200111150018180</v>
      </c>
      <c r="B3426" t="str">
        <f>"1578726018169270"</f>
        <v>1578726018169270</v>
      </c>
      <c r="C3426" t="s">
        <v>40</v>
      </c>
      <c r="D3426">
        <v>4.3161800000000001</v>
      </c>
      <c r="E3426">
        <v>0.37821939999999998</v>
      </c>
      <c r="F3426" t="s">
        <v>73</v>
      </c>
      <c r="G3426">
        <v>-465.08109999999999</v>
      </c>
      <c r="H3426">
        <v>0.32475279999999901</v>
      </c>
      <c r="I3426">
        <v>197.345</v>
      </c>
      <c r="J3426">
        <v>-490.33359999999999</v>
      </c>
      <c r="K3426">
        <v>1.1110040000000001</v>
      </c>
      <c r="L3426">
        <v>237.84180000000001</v>
      </c>
      <c r="M3426">
        <v>4.0531909999999899E-3</v>
      </c>
      <c r="N3426">
        <v>0</v>
      </c>
      <c r="O3426">
        <v>-0.99988480000000002</v>
      </c>
      <c r="P3426">
        <v>0.2539035</v>
      </c>
      <c r="Q3426">
        <v>0.1368905</v>
      </c>
      <c r="R3426">
        <v>-0.9574937</v>
      </c>
      <c r="S3426">
        <v>1.680145</v>
      </c>
      <c r="T3426">
        <v>-5.227387E-2</v>
      </c>
      <c r="U3426">
        <v>-2.712494</v>
      </c>
      <c r="V3426">
        <v>-0.25211210000000001</v>
      </c>
      <c r="W3426">
        <v>0.1473825</v>
      </c>
      <c r="X3426">
        <v>0.95640890000000001</v>
      </c>
      <c r="Y3426">
        <v>-0.52305599999999997</v>
      </c>
      <c r="Z3426">
        <v>1.639966E-2</v>
      </c>
      <c r="AA3426">
        <v>0.85214049999999997</v>
      </c>
      <c r="AB3426">
        <v>31</v>
      </c>
      <c r="AC3426">
        <v>25.252500000000001</v>
      </c>
      <c r="AD3426">
        <v>-0.78625120000000004</v>
      </c>
      <c r="AE3426">
        <v>-40.4968</v>
      </c>
      <c r="AF3426">
        <v>-25.081326310239099</v>
      </c>
      <c r="AG3426">
        <v>-0.78625120000000004</v>
      </c>
      <c r="AH3426">
        <v>40.587815391847101</v>
      </c>
      <c r="AI3426">
        <v>90.944096070795197</v>
      </c>
      <c r="AJ3426">
        <v>121.714079777424</v>
      </c>
      <c r="AK3426">
        <v>47.718569537580002</v>
      </c>
      <c r="AL3426">
        <v>81.5247314781775</v>
      </c>
      <c r="AM3426">
        <v>104.767402452125</v>
      </c>
      <c r="AN3426">
        <v>1.0000000481359299</v>
      </c>
    </row>
    <row r="3427" spans="1:40" x14ac:dyDescent="0.3">
      <c r="A3427" t="str">
        <f>"20200111150018195"</f>
        <v>20200111150018195</v>
      </c>
      <c r="B3427" t="str">
        <f>"1578726018189763"</f>
        <v>1578726018189763</v>
      </c>
      <c r="C3427" t="s">
        <v>40</v>
      </c>
      <c r="D3427">
        <v>4.2966959999999998</v>
      </c>
      <c r="E3427">
        <v>0.37992290000000001</v>
      </c>
      <c r="F3427" t="s">
        <v>73</v>
      </c>
      <c r="G3427">
        <v>-464.59199999999998</v>
      </c>
      <c r="H3427">
        <v>0.3203607</v>
      </c>
      <c r="I3427">
        <v>197.51820000000001</v>
      </c>
      <c r="J3427">
        <v>-490.32749999999999</v>
      </c>
      <c r="K3427">
        <v>1.1112569999999999</v>
      </c>
      <c r="L3427">
        <v>237.6397</v>
      </c>
      <c r="M3427">
        <v>9.3627090000000003E-3</v>
      </c>
      <c r="N3427">
        <v>0</v>
      </c>
      <c r="O3427">
        <v>-0.99984890000000004</v>
      </c>
      <c r="P3427">
        <v>0.26385199999999998</v>
      </c>
      <c r="Q3427">
        <v>0.13766819999999999</v>
      </c>
      <c r="R3427">
        <v>-0.95468839999999999</v>
      </c>
      <c r="S3427">
        <v>1.714691</v>
      </c>
      <c r="T3427">
        <v>-5.2663330000000001E-2</v>
      </c>
      <c r="U3427">
        <v>-2.6860050000000002</v>
      </c>
      <c r="V3427">
        <v>-0.2570945</v>
      </c>
      <c r="W3427">
        <v>0.14793999999999999</v>
      </c>
      <c r="X3427">
        <v>0.95499540000000005</v>
      </c>
      <c r="Y3427">
        <v>-0.53009459999999997</v>
      </c>
      <c r="Z3427">
        <v>1.6567599999999998E-2</v>
      </c>
      <c r="AA3427">
        <v>0.84777669999999905</v>
      </c>
      <c r="AB3427">
        <v>31</v>
      </c>
      <c r="AC3427">
        <v>25.735499999999998</v>
      </c>
      <c r="AD3427">
        <v>-0.7908963</v>
      </c>
      <c r="AE3427">
        <v>-40.121499999999997</v>
      </c>
      <c r="AF3427">
        <v>-25.3517059519871</v>
      </c>
      <c r="AG3427">
        <v>-0.7908963</v>
      </c>
      <c r="AH3427">
        <v>40.349612270154601</v>
      </c>
      <c r="AI3427">
        <v>90.950851818754799</v>
      </c>
      <c r="AJ3427">
        <v>122.141191781546</v>
      </c>
      <c r="AK3427">
        <v>47.659476727983296</v>
      </c>
      <c r="AL3427">
        <v>81.492434805526599</v>
      </c>
      <c r="AM3427">
        <v>105.06738912878799</v>
      </c>
      <c r="AN3427">
        <v>1.0000000197757</v>
      </c>
    </row>
    <row r="3428" spans="1:40" x14ac:dyDescent="0.3">
      <c r="A3428" t="str">
        <f>"20200111150018208"</f>
        <v>20200111150018208</v>
      </c>
      <c r="B3428" t="str">
        <f>"1578726018199522"</f>
        <v>1578726018199522</v>
      </c>
      <c r="C3428" t="s">
        <v>40</v>
      </c>
      <c r="D3428">
        <v>4.3138509999999997</v>
      </c>
      <c r="E3428">
        <v>0.3807663</v>
      </c>
      <c r="F3428" t="s">
        <v>73</v>
      </c>
      <c r="G3428">
        <v>-464.3596</v>
      </c>
      <c r="H3428">
        <v>0.295072099999999</v>
      </c>
      <c r="I3428">
        <v>197.51820000000001</v>
      </c>
      <c r="J3428">
        <v>-490.32119999999998</v>
      </c>
      <c r="K3428">
        <v>1.11148799999999</v>
      </c>
      <c r="L3428">
        <v>237.46459999999999</v>
      </c>
      <c r="M3428">
        <v>1.414172E-2</v>
      </c>
      <c r="N3428">
        <v>0</v>
      </c>
      <c r="O3428">
        <v>-0.99979209999999996</v>
      </c>
      <c r="P3428">
        <v>0.27351029999999998</v>
      </c>
      <c r="Q3428">
        <v>0.13829669999999999</v>
      </c>
      <c r="R3428">
        <v>-0.95187520000000003</v>
      </c>
      <c r="S3428">
        <v>1.7295529999999999</v>
      </c>
      <c r="T3428">
        <v>-5.4358240000000002E-2</v>
      </c>
      <c r="U3428">
        <v>-2.6722260000000002</v>
      </c>
      <c r="V3428">
        <v>-0.26230369999999997</v>
      </c>
      <c r="W3428">
        <v>0.1483536</v>
      </c>
      <c r="X3428">
        <v>0.95351350000000001</v>
      </c>
      <c r="Y3428">
        <v>-0.53134709999999996</v>
      </c>
      <c r="Z3428">
        <v>1.7142399999999999E-2</v>
      </c>
      <c r="AA3428">
        <v>0.84698079999999998</v>
      </c>
      <c r="AB3428">
        <v>30</v>
      </c>
      <c r="AC3428">
        <v>25.961599999999901</v>
      </c>
      <c r="AD3428">
        <v>-0.81641589999999897</v>
      </c>
      <c r="AE3428">
        <v>-39.946399999999898</v>
      </c>
      <c r="AF3428">
        <v>-25.3865764202314</v>
      </c>
      <c r="AG3428">
        <v>-0.81641589999999897</v>
      </c>
      <c r="AH3428">
        <v>40.297751827096903</v>
      </c>
      <c r="AI3428">
        <v>90.982048583972301</v>
      </c>
      <c r="AJ3428">
        <v>122.209902519401</v>
      </c>
      <c r="AK3428">
        <v>47.634584070613201</v>
      </c>
      <c r="AL3428">
        <v>81.468472760776507</v>
      </c>
      <c r="AM3428">
        <v>105.381138568159</v>
      </c>
      <c r="AN3428">
        <v>1.00000000817445</v>
      </c>
    </row>
    <row r="3429" spans="1:40" x14ac:dyDescent="0.3">
      <c r="A3429" t="str">
        <f>"20200111150018225"</f>
        <v>20200111150018225</v>
      </c>
      <c r="B3429" t="str">
        <f>"1578726018219042"</f>
        <v>1578726018219042</v>
      </c>
      <c r="C3429" t="s">
        <v>40</v>
      </c>
      <c r="D3429">
        <v>4.3262859999999996</v>
      </c>
      <c r="E3429">
        <v>0.40675869999999997</v>
      </c>
      <c r="F3429" t="s">
        <v>73</v>
      </c>
      <c r="G3429">
        <v>-464.0215</v>
      </c>
      <c r="H3429">
        <v>0.266225299999999</v>
      </c>
      <c r="I3429">
        <v>197.51820000000001</v>
      </c>
      <c r="J3429">
        <v>-490.31150000000002</v>
      </c>
      <c r="K3429">
        <v>1.1118059999999901</v>
      </c>
      <c r="L3429">
        <v>237.23320000000001</v>
      </c>
      <c r="M3429">
        <v>2.0715569999999999E-2</v>
      </c>
      <c r="N3429">
        <v>0</v>
      </c>
      <c r="O3429">
        <v>-0.99967709999999999</v>
      </c>
      <c r="P3429">
        <v>0.2882673</v>
      </c>
      <c r="Q3429">
        <v>0.1402033</v>
      </c>
      <c r="R3429">
        <v>-0.94723029999999997</v>
      </c>
      <c r="S3429">
        <v>1.74942</v>
      </c>
      <c r="T3429">
        <v>-5.622303E-2</v>
      </c>
      <c r="U3429">
        <v>-2.6571660000000001</v>
      </c>
      <c r="V3429">
        <v>-0.27100299999999999</v>
      </c>
      <c r="W3429">
        <v>0.149927</v>
      </c>
      <c r="X3429">
        <v>0.95083079999999998</v>
      </c>
      <c r="Y3429">
        <v>-0.53238949999999996</v>
      </c>
      <c r="Z3429">
        <v>1.7771700000000001E-2</v>
      </c>
      <c r="AA3429">
        <v>0.84631290000000003</v>
      </c>
      <c r="AB3429">
        <v>30</v>
      </c>
      <c r="AC3429">
        <v>26.29</v>
      </c>
      <c r="AD3429">
        <v>-0.84558069999999896</v>
      </c>
      <c r="AE3429">
        <v>-39.715000000000003</v>
      </c>
      <c r="AF3429">
        <v>-25.453526363475198</v>
      </c>
      <c r="AG3429">
        <v>-0.84558069999999896</v>
      </c>
      <c r="AH3429">
        <v>40.238463974696103</v>
      </c>
      <c r="AI3429">
        <v>91.017430496093795</v>
      </c>
      <c r="AJ3429">
        <v>122.316096851316</v>
      </c>
      <c r="AK3429">
        <v>47.620699218924301</v>
      </c>
      <c r="AL3429">
        <v>81.377303619074397</v>
      </c>
      <c r="AM3429">
        <v>105.90845600822399</v>
      </c>
      <c r="AN3429">
        <v>0.99999997078331904</v>
      </c>
    </row>
    <row r="3430" spans="1:40" x14ac:dyDescent="0.3">
      <c r="A3430" t="str">
        <f>"20200111150018241"</f>
        <v>20200111150018241</v>
      </c>
      <c r="B3430" t="str">
        <f>"1578726018229779"</f>
        <v>1578726018229779</v>
      </c>
      <c r="C3430" t="s">
        <v>40</v>
      </c>
      <c r="D3430">
        <v>4.3166079999999996</v>
      </c>
      <c r="E3430">
        <v>0.4073736</v>
      </c>
      <c r="F3430" t="s">
        <v>41</v>
      </c>
      <c r="G3430">
        <v>-489.78359999999998</v>
      </c>
      <c r="H3430">
        <v>1.071793</v>
      </c>
      <c r="I3430">
        <v>236.3382</v>
      </c>
      <c r="J3430">
        <v>-490.30160000000001</v>
      </c>
      <c r="K3430">
        <v>1.1120859999999999</v>
      </c>
      <c r="L3430">
        <v>237.02860000000001</v>
      </c>
      <c r="M3430">
        <v>2.6761009999999998E-2</v>
      </c>
      <c r="N3430">
        <v>0</v>
      </c>
      <c r="O3430">
        <v>-0.99953289999999995</v>
      </c>
      <c r="P3430">
        <v>0.2968171</v>
      </c>
      <c r="Q3430">
        <v>0.14158219999999999</v>
      </c>
      <c r="R3430">
        <v>-0.94438049999999996</v>
      </c>
      <c r="S3430">
        <v>1.593353</v>
      </c>
      <c r="T3430">
        <v>-0.1206965</v>
      </c>
      <c r="U3430">
        <v>-2.7000890000000002</v>
      </c>
      <c r="V3430">
        <v>-0.27397860000000002</v>
      </c>
      <c r="W3430">
        <v>0.15109939999999999</v>
      </c>
      <c r="X3430">
        <v>0.94979199999999997</v>
      </c>
      <c r="Y3430">
        <v>-0.48460809999999999</v>
      </c>
      <c r="Z3430">
        <v>3.872167E-2</v>
      </c>
      <c r="AA3430">
        <v>0.87387389999999998</v>
      </c>
      <c r="AB3430">
        <v>30</v>
      </c>
      <c r="AC3430">
        <v>0.51800000000002899</v>
      </c>
      <c r="AD3430">
        <v>-4.02930000000001E-2</v>
      </c>
      <c r="AE3430">
        <v>-0.690400000000011</v>
      </c>
      <c r="AF3430">
        <v>-0.49825079166284297</v>
      </c>
      <c r="AG3430">
        <v>-4.02930000000001E-2</v>
      </c>
      <c r="AH3430">
        <v>0.70248547358330204</v>
      </c>
      <c r="AI3430">
        <v>92.678612641589297</v>
      </c>
      <c r="AJ3430">
        <v>125.346875708017</v>
      </c>
      <c r="AK3430">
        <v>0.86218514127605195</v>
      </c>
      <c r="AL3430">
        <v>81.309356873143003</v>
      </c>
      <c r="AM3430">
        <v>106.090824059849</v>
      </c>
      <c r="AN3430">
        <v>1.00000007260115</v>
      </c>
    </row>
    <row r="3431" spans="1:40" x14ac:dyDescent="0.3">
      <c r="A3431" t="str">
        <f>"20200111150018261"</f>
        <v>20200111150018261</v>
      </c>
      <c r="B3431" t="str">
        <f>"1578726018259058"</f>
        <v>1578726018259058</v>
      </c>
      <c r="C3431" t="s">
        <v>40</v>
      </c>
      <c r="D3431">
        <v>4.2551940000000004</v>
      </c>
      <c r="E3431">
        <v>0.41181659999999998</v>
      </c>
      <c r="F3431" t="s">
        <v>41</v>
      </c>
      <c r="G3431">
        <v>-489.73360000000002</v>
      </c>
      <c r="H3431">
        <v>1.0707500000000001</v>
      </c>
      <c r="I3431">
        <v>236.08269999999999</v>
      </c>
      <c r="J3431">
        <v>-490.28530000000001</v>
      </c>
      <c r="K3431">
        <v>1.112465</v>
      </c>
      <c r="L3431">
        <v>236.74930000000001</v>
      </c>
      <c r="M3431">
        <v>3.5440609999999997E-2</v>
      </c>
      <c r="N3431">
        <v>0</v>
      </c>
      <c r="O3431">
        <v>-0.99926219999999999</v>
      </c>
      <c r="P3431">
        <v>0.30958659999999999</v>
      </c>
      <c r="Q3431">
        <v>0.14431910000000001</v>
      </c>
      <c r="R3431">
        <v>-0.93985580000000002</v>
      </c>
      <c r="S3431">
        <v>1.6137699999999999</v>
      </c>
      <c r="T3431">
        <v>-0.1174359</v>
      </c>
      <c r="U3431">
        <v>-2.687103</v>
      </c>
      <c r="V3431">
        <v>-0.2788021</v>
      </c>
      <c r="W3431">
        <v>0.15354100000000001</v>
      </c>
      <c r="X3431">
        <v>0.94799500000000003</v>
      </c>
      <c r="Y3431">
        <v>-0.48377399999999998</v>
      </c>
      <c r="Z3431">
        <v>3.7758939999999998E-2</v>
      </c>
      <c r="AA3431">
        <v>0.87437799999999999</v>
      </c>
      <c r="AB3431">
        <v>30</v>
      </c>
      <c r="AC3431">
        <v>0.55169999999998198</v>
      </c>
      <c r="AD3431">
        <v>-4.1714999999999898E-2</v>
      </c>
      <c r="AE3431">
        <v>-0.66660000000001596</v>
      </c>
      <c r="AF3431">
        <v>-0.52650237999039295</v>
      </c>
      <c r="AG3431">
        <v>-4.1714999999999898E-2</v>
      </c>
      <c r="AH3431">
        <v>0.68414582280496605</v>
      </c>
      <c r="AI3431">
        <v>92.766452522601895</v>
      </c>
      <c r="AJ3431">
        <v>127.58102612851501</v>
      </c>
      <c r="AK3431">
        <v>0.86429185129910402</v>
      </c>
      <c r="AL3431">
        <v>81.167811027459706</v>
      </c>
      <c r="AM3431">
        <v>106.388430080425</v>
      </c>
      <c r="AN3431">
        <v>0.99999998483520403</v>
      </c>
    </row>
    <row r="3432" spans="1:40" x14ac:dyDescent="0.3">
      <c r="A3432" t="str">
        <f>"20200111150018275"</f>
        <v>20200111150018275</v>
      </c>
      <c r="B3432" t="str">
        <f>"1578726018268818"</f>
        <v>1578726018268818</v>
      </c>
      <c r="C3432" t="s">
        <v>40</v>
      </c>
      <c r="D3432">
        <v>4.4208669999999897</v>
      </c>
      <c r="E3432">
        <v>0.41181659999999998</v>
      </c>
      <c r="F3432" t="s">
        <v>41</v>
      </c>
      <c r="G3432">
        <v>-489.72250000000003</v>
      </c>
      <c r="H3432">
        <v>1.07351</v>
      </c>
      <c r="I3432">
        <v>235.81780000000001</v>
      </c>
      <c r="J3432">
        <v>-490.27300000000002</v>
      </c>
      <c r="K3432">
        <v>1.112698</v>
      </c>
      <c r="L3432">
        <v>236.56659999999999</v>
      </c>
      <c r="M3432">
        <v>4.1365619999999999E-2</v>
      </c>
      <c r="N3432">
        <v>0</v>
      </c>
      <c r="O3432">
        <v>-0.99903370000000002</v>
      </c>
      <c r="P3432">
        <v>0.31691849999999999</v>
      </c>
      <c r="Q3432">
        <v>0.14585870000000001</v>
      </c>
      <c r="R3432">
        <v>-0.93717030000000001</v>
      </c>
      <c r="S3432">
        <v>1.617737</v>
      </c>
      <c r="T3432">
        <v>-0.111897</v>
      </c>
      <c r="U3432">
        <v>-2.6762540000000001</v>
      </c>
      <c r="V3432">
        <v>-0.2807114</v>
      </c>
      <c r="W3432">
        <v>0.15491669999999999</v>
      </c>
      <c r="X3432">
        <v>0.94720749999999998</v>
      </c>
      <c r="Y3432">
        <v>-0.48112739999999998</v>
      </c>
      <c r="Z3432">
        <v>3.6107739999999999E-2</v>
      </c>
      <c r="AA3432">
        <v>0.87590679999999999</v>
      </c>
      <c r="AB3432">
        <v>30</v>
      </c>
      <c r="AC3432">
        <v>0.55049999999999899</v>
      </c>
      <c r="AD3432">
        <v>-3.9188000000000001E-2</v>
      </c>
      <c r="AE3432">
        <v>-0.74879999999998803</v>
      </c>
      <c r="AF3432">
        <v>-0.51812951393498496</v>
      </c>
      <c r="AG3432">
        <v>-3.9188000000000001E-2</v>
      </c>
      <c r="AH3432">
        <v>0.76956498742739399</v>
      </c>
      <c r="AI3432">
        <v>92.418770377284403</v>
      </c>
      <c r="AJ3432">
        <v>123.951429992031</v>
      </c>
      <c r="AK3432">
        <v>0.92856026321861795</v>
      </c>
      <c r="AL3432">
        <v>81.088035388639298</v>
      </c>
      <c r="AM3432">
        <v>106.507549069433</v>
      </c>
      <c r="AN3432">
        <v>1.0000000610425399</v>
      </c>
    </row>
    <row r="3433" spans="1:40" x14ac:dyDescent="0.3">
      <c r="A3433" t="str">
        <f>"20200111150018295"</f>
        <v>20200111150018295</v>
      </c>
      <c r="B3433" t="str">
        <f>"1578726018289314"</f>
        <v>1578726018289314</v>
      </c>
      <c r="C3433" t="s">
        <v>40</v>
      </c>
      <c r="D3433">
        <v>4.1729609999999999</v>
      </c>
      <c r="E3433">
        <v>0.4147518</v>
      </c>
      <c r="F3433" t="s">
        <v>52</v>
      </c>
      <c r="G3433">
        <v>-473.68630000000002</v>
      </c>
      <c r="H3433">
        <v>3.1442850000000001E-2</v>
      </c>
      <c r="I3433">
        <v>209.6163</v>
      </c>
      <c r="J3433">
        <v>-490.25439999999998</v>
      </c>
      <c r="K3433">
        <v>1.113003</v>
      </c>
      <c r="L3433">
        <v>236.31729999999999</v>
      </c>
      <c r="M3433">
        <v>4.9709320000000001E-2</v>
      </c>
      <c r="N3433">
        <v>0</v>
      </c>
      <c r="O3433">
        <v>-0.9986526</v>
      </c>
      <c r="P3433">
        <v>0.32866830000000002</v>
      </c>
      <c r="Q3433">
        <v>0.14778949999999999</v>
      </c>
      <c r="R3433">
        <v>-0.93281040000000004</v>
      </c>
      <c r="S3433">
        <v>1.63922099999999</v>
      </c>
      <c r="T3433">
        <v>-0.10685739999999901</v>
      </c>
      <c r="U3433">
        <v>-2.6634220000000002</v>
      </c>
      <c r="V3433">
        <v>-0.28487069999999998</v>
      </c>
      <c r="W3433">
        <v>0.1565917</v>
      </c>
      <c r="X3433">
        <v>0.945689</v>
      </c>
      <c r="Y3433">
        <v>-0.48084379999999999</v>
      </c>
      <c r="Z3433">
        <v>3.4540710000000002E-2</v>
      </c>
      <c r="AA3433">
        <v>0.87612570000000001</v>
      </c>
      <c r="AB3433">
        <v>30</v>
      </c>
      <c r="AC3433">
        <v>16.568099999999902</v>
      </c>
      <c r="AD3433">
        <v>-1.0815601500000001</v>
      </c>
      <c r="AE3433">
        <v>-26.701000000000001</v>
      </c>
      <c r="AF3433">
        <v>-15.202167704085101</v>
      </c>
      <c r="AG3433">
        <v>-1.0815601500000001</v>
      </c>
      <c r="AH3433">
        <v>27.4591340309454</v>
      </c>
      <c r="AI3433">
        <v>91.973600038675897</v>
      </c>
      <c r="AJ3433">
        <v>118.97017713729601</v>
      </c>
      <c r="AK3433">
        <v>31.405090622232301</v>
      </c>
      <c r="AL3433">
        <v>80.990878510939794</v>
      </c>
      <c r="AM3433">
        <v>106.76392177406299</v>
      </c>
      <c r="AN3433">
        <v>0.99999998047418903</v>
      </c>
    </row>
    <row r="3434" spans="1:40" x14ac:dyDescent="0.3">
      <c r="A3434" t="str">
        <f>"20200111150018307"</f>
        <v>20200111150018307</v>
      </c>
      <c r="B3434" t="str">
        <f>"1578726018299075"</f>
        <v>1578726018299075</v>
      </c>
      <c r="C3434" t="s">
        <v>40</v>
      </c>
      <c r="D3434">
        <v>4.3250820000000001</v>
      </c>
      <c r="E3434">
        <v>0.41559439999999997</v>
      </c>
      <c r="F3434" t="s">
        <v>41</v>
      </c>
      <c r="G3434">
        <v>-489.76839999999999</v>
      </c>
      <c r="H3434">
        <v>1.0785049999999901</v>
      </c>
      <c r="I3434">
        <v>235.53649999999999</v>
      </c>
      <c r="J3434">
        <v>-490.23939999999999</v>
      </c>
      <c r="K3434">
        <v>1.1132200000000001</v>
      </c>
      <c r="L3434">
        <v>236.1369</v>
      </c>
      <c r="M3434">
        <v>5.596893E-2</v>
      </c>
      <c r="N3434">
        <v>0</v>
      </c>
      <c r="O3434">
        <v>-0.99832069999999995</v>
      </c>
      <c r="P3434">
        <v>0.33621620000000002</v>
      </c>
      <c r="Q3434">
        <v>0.14833399999999999</v>
      </c>
      <c r="R3434">
        <v>-0.93003000000000002</v>
      </c>
      <c r="S3434">
        <v>1.6513369999999901</v>
      </c>
      <c r="T3434">
        <v>-0.1172122</v>
      </c>
      <c r="U3434">
        <v>-2.652863</v>
      </c>
      <c r="V3434">
        <v>-0.28670669999999998</v>
      </c>
      <c r="W3434">
        <v>0.15697739999999999</v>
      </c>
      <c r="X3434">
        <v>0.94506999999999997</v>
      </c>
      <c r="Y3434">
        <v>-0.47972710000000002</v>
      </c>
      <c r="Z3434">
        <v>3.7961189999999999E-2</v>
      </c>
      <c r="AA3434">
        <v>0.87659619999999905</v>
      </c>
      <c r="AB3434">
        <v>30</v>
      </c>
      <c r="AC3434">
        <v>0.47100000000000303</v>
      </c>
      <c r="AD3434">
        <v>-3.4715000000000197E-2</v>
      </c>
      <c r="AE3434">
        <v>-0.60040000000000704</v>
      </c>
      <c r="AF3434">
        <v>-0.43575224784890598</v>
      </c>
      <c r="AG3434">
        <v>-3.4715000000000197E-2</v>
      </c>
      <c r="AH3434">
        <v>0.62453049374566705</v>
      </c>
      <c r="AI3434">
        <v>92.6100919493243</v>
      </c>
      <c r="AJ3434">
        <v>124.904550313371</v>
      </c>
      <c r="AK3434">
        <v>0.76231456128594399</v>
      </c>
      <c r="AL3434">
        <v>80.968502712409801</v>
      </c>
      <c r="AM3434">
        <v>106.876268546535</v>
      </c>
      <c r="AN3434">
        <v>0.99999997041782396</v>
      </c>
    </row>
    <row r="3435" spans="1:40" x14ac:dyDescent="0.3">
      <c r="A3435" t="str">
        <f>"20200111150018327"</f>
        <v>20200111150018327</v>
      </c>
      <c r="B3435" t="str">
        <f>"1578726018319570"</f>
        <v>1578726018319570</v>
      </c>
      <c r="C3435" t="s">
        <v>40</v>
      </c>
      <c r="D3435">
        <v>4.3465439999999997</v>
      </c>
      <c r="E3435">
        <v>0.41702909999999999</v>
      </c>
      <c r="F3435" t="s">
        <v>41</v>
      </c>
      <c r="G3435">
        <v>-489.7038</v>
      </c>
      <c r="H3435">
        <v>1.0742020000000001</v>
      </c>
      <c r="I3435">
        <v>235.28700000000001</v>
      </c>
      <c r="J3435">
        <v>-490.21679999999998</v>
      </c>
      <c r="K3435">
        <v>1.113516</v>
      </c>
      <c r="L3435">
        <v>235.88919999999999</v>
      </c>
      <c r="M3435">
        <v>6.4861240000000001E-2</v>
      </c>
      <c r="N3435">
        <v>0</v>
      </c>
      <c r="O3435">
        <v>-0.9977819</v>
      </c>
      <c r="P3435">
        <v>0.34762599999999999</v>
      </c>
      <c r="Q3435">
        <v>0.14958260000000001</v>
      </c>
      <c r="R3435">
        <v>-0.92562529999999998</v>
      </c>
      <c r="S3435">
        <v>1.6666259999999999</v>
      </c>
      <c r="T3435">
        <v>-0.1212826</v>
      </c>
      <c r="U3435">
        <v>-2.642563</v>
      </c>
      <c r="V3435">
        <v>-0.29006549999999998</v>
      </c>
      <c r="W3435">
        <v>0.1579827</v>
      </c>
      <c r="X3435">
        <v>0.94387679999999996</v>
      </c>
      <c r="Y3435">
        <v>-0.47705019999999998</v>
      </c>
      <c r="Z3435">
        <v>3.9348399999999999E-2</v>
      </c>
      <c r="AA3435">
        <v>0.87799479999999996</v>
      </c>
      <c r="AB3435">
        <v>30</v>
      </c>
      <c r="AC3435">
        <v>0.51299999999997603</v>
      </c>
      <c r="AD3435">
        <v>-3.93139999999998E-2</v>
      </c>
      <c r="AE3435">
        <v>-0.60219999999998197</v>
      </c>
      <c r="AF3435">
        <v>-0.47169076125687698</v>
      </c>
      <c r="AG3435">
        <v>-3.93139999999998E-2</v>
      </c>
      <c r="AH3435">
        <v>0.63264674070845905</v>
      </c>
      <c r="AI3435">
        <v>92.852066445152204</v>
      </c>
      <c r="AJ3435">
        <v>126.70759185065</v>
      </c>
      <c r="AK3435">
        <v>0.79011370281759297</v>
      </c>
      <c r="AL3435">
        <v>80.910175465710495</v>
      </c>
      <c r="AM3435">
        <v>107.082867551813</v>
      </c>
      <c r="AN3435">
        <v>0.99999997068388902</v>
      </c>
    </row>
    <row r="3436" spans="1:40" x14ac:dyDescent="0.3">
      <c r="A3436" t="str">
        <f>"20200111150018350"</f>
        <v>20200111150018350</v>
      </c>
      <c r="B3436" t="str">
        <f>"1578726018339093"</f>
        <v>1578726018339093</v>
      </c>
      <c r="C3436" t="s">
        <v>40</v>
      </c>
      <c r="D3436">
        <v>4.2449450000000004</v>
      </c>
      <c r="E3436">
        <v>0.41822979999999998</v>
      </c>
      <c r="F3436" t="s">
        <v>41</v>
      </c>
      <c r="G3436">
        <v>-489.66469999999998</v>
      </c>
      <c r="H3436">
        <v>1.0718639999999999</v>
      </c>
      <c r="I3436">
        <v>235.0299</v>
      </c>
      <c r="J3436">
        <v>-490.18419999999998</v>
      </c>
      <c r="K3436">
        <v>1.1138840000000001</v>
      </c>
      <c r="L3436">
        <v>235.57480000000001</v>
      </c>
      <c r="M3436">
        <v>7.6658859999999995E-2</v>
      </c>
      <c r="N3436">
        <v>0</v>
      </c>
      <c r="O3436">
        <v>-0.99694369999999999</v>
      </c>
      <c r="P3436">
        <v>0.36157159999999999</v>
      </c>
      <c r="Q3436">
        <v>0.15051010000000001</v>
      </c>
      <c r="R3436">
        <v>-0.92011580000000004</v>
      </c>
      <c r="S3436">
        <v>1.687805</v>
      </c>
      <c r="T3436">
        <v>-0.12738669999999999</v>
      </c>
      <c r="U3436">
        <v>-2.6277919999999999</v>
      </c>
      <c r="V3436">
        <v>-0.29334700000000002</v>
      </c>
      <c r="W3436">
        <v>0.15862589999999999</v>
      </c>
      <c r="X3436">
        <v>0.94275410000000004</v>
      </c>
      <c r="Y3436">
        <v>-0.47386</v>
      </c>
      <c r="Z3436">
        <v>4.1422050000000002E-2</v>
      </c>
      <c r="AA3436">
        <v>0.8796254</v>
      </c>
      <c r="AB3436">
        <v>30</v>
      </c>
      <c r="AC3436">
        <v>0.51949999999999297</v>
      </c>
      <c r="AD3436">
        <v>-4.2020000000000099E-2</v>
      </c>
      <c r="AE3436">
        <v>-0.54490000000001204</v>
      </c>
      <c r="AF3436">
        <v>-0.47471598143598498</v>
      </c>
      <c r="AG3436">
        <v>-4.2020000000000099E-2</v>
      </c>
      <c r="AH3436">
        <v>0.58131408825803899</v>
      </c>
      <c r="AI3436">
        <v>93.204518859031694</v>
      </c>
      <c r="AJ3436">
        <v>129.235956458347</v>
      </c>
      <c r="AK3436">
        <v>0.75169609060976605</v>
      </c>
      <c r="AL3436">
        <v>80.872852141044504</v>
      </c>
      <c r="AM3436">
        <v>107.28403200147299</v>
      </c>
      <c r="AN3436">
        <v>0.99999996581330897</v>
      </c>
    </row>
    <row r="3437" spans="1:40" x14ac:dyDescent="0.3">
      <c r="A3437" t="str">
        <f>"20200111150018366"</f>
        <v>20200111150018366</v>
      </c>
      <c r="B3437" t="str">
        <f>"1578726018359586"</f>
        <v>1578726018359586</v>
      </c>
      <c r="C3437" t="s">
        <v>40</v>
      </c>
      <c r="D3437">
        <v>4.4491690000000004</v>
      </c>
      <c r="E3437">
        <v>0.4190702</v>
      </c>
      <c r="F3437" t="s">
        <v>41</v>
      </c>
      <c r="G3437">
        <v>-489.65089999999998</v>
      </c>
      <c r="H3437">
        <v>1.074079</v>
      </c>
      <c r="I3437">
        <v>234.7655</v>
      </c>
      <c r="J3437">
        <v>-490.15980000000002</v>
      </c>
      <c r="K3437">
        <v>1.114133</v>
      </c>
      <c r="L3437">
        <v>235.36150000000001</v>
      </c>
      <c r="M3437">
        <v>8.4952230000000004E-2</v>
      </c>
      <c r="N3437">
        <v>0</v>
      </c>
      <c r="O3437">
        <v>-0.9962704</v>
      </c>
      <c r="P3437">
        <v>0.37028149999999999</v>
      </c>
      <c r="Q3437">
        <v>0.1502684</v>
      </c>
      <c r="R3437">
        <v>-0.91668490000000002</v>
      </c>
      <c r="S3437">
        <v>1.7179259999999901</v>
      </c>
      <c r="T3437">
        <v>-0.12819420000000001</v>
      </c>
      <c r="U3437">
        <v>-2.6063689999999999</v>
      </c>
      <c r="V3437">
        <v>-0.29453479999999999</v>
      </c>
      <c r="W3437">
        <v>0.15822329999999901</v>
      </c>
      <c r="X3437">
        <v>0.94245140000000005</v>
      </c>
      <c r="Y3437">
        <v>-0.47692760000000001</v>
      </c>
      <c r="Z3437">
        <v>4.1769290000000001E-2</v>
      </c>
      <c r="AA3437">
        <v>0.87794950000000005</v>
      </c>
      <c r="AB3437">
        <v>30</v>
      </c>
      <c r="AC3437">
        <v>0.50890000000003899</v>
      </c>
      <c r="AD3437">
        <v>-4.0053999999999999E-2</v>
      </c>
      <c r="AE3437">
        <v>-0.59600000000000297</v>
      </c>
      <c r="AF3437">
        <v>-0.45523350262168299</v>
      </c>
      <c r="AG3437">
        <v>-4.0053999999999999E-2</v>
      </c>
      <c r="AH3437">
        <v>0.63542234021464405</v>
      </c>
      <c r="AI3437">
        <v>92.933381581772196</v>
      </c>
      <c r="AJ3437">
        <v>125.618820983699</v>
      </c>
      <c r="AK3437">
        <v>0.78268985892820997</v>
      </c>
      <c r="AL3437">
        <v>80.896214788860405</v>
      </c>
      <c r="AM3437">
        <v>107.35506241914</v>
      </c>
      <c r="AN3437">
        <v>1.00000000121794</v>
      </c>
    </row>
    <row r="3438" spans="1:40" x14ac:dyDescent="0.3">
      <c r="A3438" t="str">
        <f>"20200111150018383"</f>
        <v>20200111150018383</v>
      </c>
      <c r="B3438" t="str">
        <f>"1578726018379106"</f>
        <v>1578726018379106</v>
      </c>
      <c r="C3438" t="s">
        <v>40</v>
      </c>
      <c r="D3438">
        <v>4.3516059999999896</v>
      </c>
      <c r="E3438">
        <v>0.41965089999999999</v>
      </c>
      <c r="F3438" t="s">
        <v>41</v>
      </c>
      <c r="G3438">
        <v>-489.59249999999997</v>
      </c>
      <c r="H3438">
        <v>1.0702989999999999</v>
      </c>
      <c r="I3438">
        <v>234.51480000000001</v>
      </c>
      <c r="J3438">
        <v>-490.13389999999998</v>
      </c>
      <c r="K3438">
        <v>1.114366</v>
      </c>
      <c r="L3438">
        <v>235.1516</v>
      </c>
      <c r="M3438">
        <v>9.3326149999999997E-2</v>
      </c>
      <c r="N3438">
        <v>0</v>
      </c>
      <c r="O3438">
        <v>-0.99552019999999997</v>
      </c>
      <c r="P3438">
        <v>0.37992340000000002</v>
      </c>
      <c r="Q3438">
        <v>0.14851429999999999</v>
      </c>
      <c r="R3438">
        <v>-0.9130182</v>
      </c>
      <c r="S3438">
        <v>1.7369380000000001</v>
      </c>
      <c r="T3438">
        <v>-0.134274799999999</v>
      </c>
      <c r="U3438">
        <v>-2.593048</v>
      </c>
      <c r="V3438">
        <v>-0.29657719999999999</v>
      </c>
      <c r="W3438">
        <v>0.15629499999999999</v>
      </c>
      <c r="X3438">
        <v>0.94213259999999999</v>
      </c>
      <c r="Y3438">
        <v>-0.47601830000000001</v>
      </c>
      <c r="Z3438">
        <v>4.3812070000000002E-2</v>
      </c>
      <c r="AA3438">
        <v>0.8783434</v>
      </c>
      <c r="AB3438">
        <v>30</v>
      </c>
      <c r="AC3438">
        <v>0.54140000000000998</v>
      </c>
      <c r="AD3438">
        <v>-4.4067000000000002E-2</v>
      </c>
      <c r="AE3438">
        <v>-0.63679999999999304</v>
      </c>
      <c r="AF3438">
        <v>-0.47827024823783698</v>
      </c>
      <c r="AG3438">
        <v>-4.4067000000000002E-2</v>
      </c>
      <c r="AH3438">
        <v>0.68265518523837898</v>
      </c>
      <c r="AI3438">
        <v>93.026316951981698</v>
      </c>
      <c r="AJ3438">
        <v>125.01519984999599</v>
      </c>
      <c r="AK3438">
        <v>0.83468702683780105</v>
      </c>
      <c r="AL3438">
        <v>81.008090267068098</v>
      </c>
      <c r="AM3438">
        <v>107.473662092346</v>
      </c>
      <c r="AN3438">
        <v>0.99999999928380001</v>
      </c>
    </row>
    <row r="3439" spans="1:40" x14ac:dyDescent="0.3">
      <c r="A3439" t="str">
        <f>"20200111150018410"</f>
        <v>20200111150018410</v>
      </c>
      <c r="B3439" t="str">
        <f>"1578726018399602"</f>
        <v>1578726018399602</v>
      </c>
      <c r="C3439" t="s">
        <v>40</v>
      </c>
      <c r="D3439">
        <v>4.3439680000000003</v>
      </c>
      <c r="E3439">
        <v>0.42982619999999999</v>
      </c>
      <c r="F3439" t="s">
        <v>41</v>
      </c>
      <c r="G3439">
        <v>-489.52859999999998</v>
      </c>
      <c r="H3439">
        <v>1.066748</v>
      </c>
      <c r="I3439">
        <v>234.26650000000001</v>
      </c>
      <c r="J3439">
        <v>-490.08499999999998</v>
      </c>
      <c r="K3439">
        <v>1.1147339999999999</v>
      </c>
      <c r="L3439">
        <v>234.79689999999999</v>
      </c>
      <c r="M3439">
        <v>0.10806259999999999</v>
      </c>
      <c r="N3439">
        <v>0</v>
      </c>
      <c r="O3439">
        <v>-0.9940272</v>
      </c>
      <c r="P3439">
        <v>0.395758</v>
      </c>
      <c r="Q3439">
        <v>0.1451219</v>
      </c>
      <c r="R3439">
        <v>-0.90681590000000001</v>
      </c>
      <c r="S3439">
        <v>1.76144399999999</v>
      </c>
      <c r="T3439">
        <v>-0.138519</v>
      </c>
      <c r="U3439">
        <v>-2.5753940000000002</v>
      </c>
      <c r="V3439">
        <v>-0.2990389</v>
      </c>
      <c r="W3439">
        <v>0.15264339999999901</v>
      </c>
      <c r="X3439">
        <v>0.94195320000000005</v>
      </c>
      <c r="Y3439">
        <v>-0.4714488</v>
      </c>
      <c r="Z3439">
        <v>4.5293380000000001E-2</v>
      </c>
      <c r="AA3439">
        <v>0.8807296</v>
      </c>
      <c r="AB3439">
        <v>30</v>
      </c>
      <c r="AC3439">
        <v>0.55639999999999601</v>
      </c>
      <c r="AD3439">
        <v>-4.7986000000000001E-2</v>
      </c>
      <c r="AE3439">
        <v>-0.53039999999998599</v>
      </c>
      <c r="AF3439">
        <v>-0.49389333062466501</v>
      </c>
      <c r="AG3439">
        <v>-4.7986000000000001E-2</v>
      </c>
      <c r="AH3439">
        <v>0.58514610616228302</v>
      </c>
      <c r="AI3439">
        <v>93.585913624263</v>
      </c>
      <c r="AJ3439">
        <v>130.166082233754</v>
      </c>
      <c r="AK3439">
        <v>0.76722176962623201</v>
      </c>
      <c r="AL3439">
        <v>81.219853786383098</v>
      </c>
      <c r="AM3439">
        <v>107.61291701896501</v>
      </c>
      <c r="AN3439">
        <v>1.0000000511335001</v>
      </c>
    </row>
    <row r="3440" spans="1:40" x14ac:dyDescent="0.3">
      <c r="A3440" t="str">
        <f>"20200111150018428"</f>
        <v>20200111150018428</v>
      </c>
      <c r="B3440" t="str">
        <f>"1578726018419124"</f>
        <v>1578726018419124</v>
      </c>
      <c r="C3440" t="s">
        <v>40</v>
      </c>
      <c r="D3440">
        <v>4.2576960000000001</v>
      </c>
      <c r="E3440">
        <v>0.43274620000000003</v>
      </c>
      <c r="F3440" t="s">
        <v>41</v>
      </c>
      <c r="G3440">
        <v>-489.54579999999999</v>
      </c>
      <c r="H3440">
        <v>1.044449</v>
      </c>
      <c r="I3440">
        <v>233.99180000000001</v>
      </c>
      <c r="J3440">
        <v>-490.04770000000002</v>
      </c>
      <c r="K3440">
        <v>1.114975</v>
      </c>
      <c r="L3440">
        <v>234.55080000000001</v>
      </c>
      <c r="M3440">
        <v>0.11863799999999999</v>
      </c>
      <c r="N3440">
        <v>0</v>
      </c>
      <c r="O3440">
        <v>-0.99281969999999997</v>
      </c>
      <c r="P3440">
        <v>0.40747149999999999</v>
      </c>
      <c r="Q3440">
        <v>0.142341</v>
      </c>
      <c r="R3440">
        <v>-0.90205679999999999</v>
      </c>
      <c r="S3440">
        <v>1.733582</v>
      </c>
      <c r="T3440">
        <v>-0.22590289999999999</v>
      </c>
      <c r="U3440">
        <v>-2.5878749999999999</v>
      </c>
      <c r="V3440">
        <v>-0.30119669999999998</v>
      </c>
      <c r="W3440">
        <v>0.14967759999999999</v>
      </c>
      <c r="X3440">
        <v>0.94174159999999996</v>
      </c>
      <c r="Y3440">
        <v>-0.45252569999999998</v>
      </c>
      <c r="Z3440">
        <v>7.3881020000000006E-2</v>
      </c>
      <c r="AA3440">
        <v>0.88868559999999996</v>
      </c>
      <c r="AB3440">
        <v>30</v>
      </c>
      <c r="AC3440">
        <v>0.50190000000003399</v>
      </c>
      <c r="AD3440">
        <v>-7.0526000000000005E-2</v>
      </c>
      <c r="AE3440">
        <v>-0.55899999999999705</v>
      </c>
      <c r="AF3440">
        <v>-0.42825393223013303</v>
      </c>
      <c r="AG3440">
        <v>-7.0526000000000005E-2</v>
      </c>
      <c r="AH3440">
        <v>0.60923338959969797</v>
      </c>
      <c r="AI3440">
        <v>95.410053892135195</v>
      </c>
      <c r="AJ3440">
        <v>125.10488060858501</v>
      </c>
      <c r="AK3440">
        <v>0.74802451173053697</v>
      </c>
      <c r="AL3440">
        <v>81.391756859328893</v>
      </c>
      <c r="AM3440">
        <v>107.73580718801099</v>
      </c>
      <c r="AN3440">
        <v>1.0000000386015999</v>
      </c>
    </row>
    <row r="3441" spans="1:40" x14ac:dyDescent="0.3">
      <c r="A3441" t="str">
        <f>"20200111150018450"</f>
        <v>20200111150018450</v>
      </c>
      <c r="B3441" t="str">
        <f>"1578726018439617"</f>
        <v>1578726018439617</v>
      </c>
      <c r="C3441" t="s">
        <v>40</v>
      </c>
      <c r="D3441">
        <v>4.2242179999999996</v>
      </c>
      <c r="E3441">
        <v>0.43434879999999998</v>
      </c>
      <c r="F3441" t="s">
        <v>41</v>
      </c>
      <c r="G3441">
        <v>-489.49799999999999</v>
      </c>
      <c r="H3441">
        <v>1.0433509999999999</v>
      </c>
      <c r="I3441">
        <v>233.7381</v>
      </c>
      <c r="J3441">
        <v>-490.00200000000001</v>
      </c>
      <c r="K3441">
        <v>1.1152580000000001</v>
      </c>
      <c r="L3441">
        <v>234.27289999999999</v>
      </c>
      <c r="M3441">
        <v>0.1309486</v>
      </c>
      <c r="N3441">
        <v>0</v>
      </c>
      <c r="O3441">
        <v>-0.99126999999999998</v>
      </c>
      <c r="P3441">
        <v>0.41771940000000002</v>
      </c>
      <c r="Q3441">
        <v>0.14143449999999999</v>
      </c>
      <c r="R3441">
        <v>-0.89750049999999904</v>
      </c>
      <c r="S3441">
        <v>1.742615</v>
      </c>
      <c r="T3441">
        <v>-0.2268724</v>
      </c>
      <c r="U3441">
        <v>-2.5743559999999999</v>
      </c>
      <c r="V3441">
        <v>-0.30029929999999999</v>
      </c>
      <c r="W3441">
        <v>0.1486586</v>
      </c>
      <c r="X3441">
        <v>0.94218950000000001</v>
      </c>
      <c r="Y3441">
        <v>-0.4457295</v>
      </c>
      <c r="Z3441">
        <v>7.4406849999999997E-2</v>
      </c>
      <c r="AA3441">
        <v>0.89207000000000003</v>
      </c>
      <c r="AB3441">
        <v>30</v>
      </c>
      <c r="AC3441">
        <v>0.50399999999990497</v>
      </c>
      <c r="AD3441">
        <v>-7.1907000000000096E-2</v>
      </c>
      <c r="AE3441">
        <v>-0.53479999999998995</v>
      </c>
      <c r="AF3441">
        <v>-0.425545039145038</v>
      </c>
      <c r="AG3441">
        <v>-7.1907000000000096E-2</v>
      </c>
      <c r="AH3441">
        <v>0.59054540434751601</v>
      </c>
      <c r="AI3441">
        <v>95.641800275525299</v>
      </c>
      <c r="AJ3441">
        <v>125.77639500514</v>
      </c>
      <c r="AK3441">
        <v>0.73143904160628603</v>
      </c>
      <c r="AL3441">
        <v>81.450801973800694</v>
      </c>
      <c r="AM3441">
        <v>107.678378013238</v>
      </c>
      <c r="AN3441">
        <v>1.0000000514223399</v>
      </c>
    </row>
    <row r="3442" spans="1:40" x14ac:dyDescent="0.3">
      <c r="A3442" t="str">
        <f>"20200111150018472"</f>
        <v>20200111150018472</v>
      </c>
      <c r="B3442" t="str">
        <f>"1578726018468898"</f>
        <v>1578726018468898</v>
      </c>
      <c r="C3442" t="s">
        <v>40</v>
      </c>
      <c r="D3442">
        <v>4.2691819999999998</v>
      </c>
      <c r="E3442">
        <v>0.43535479999999999</v>
      </c>
      <c r="F3442" t="s">
        <v>41</v>
      </c>
      <c r="G3442">
        <v>-489.45690000000002</v>
      </c>
      <c r="H3442">
        <v>1.0466200000000001</v>
      </c>
      <c r="I3442">
        <v>233.48099999999999</v>
      </c>
      <c r="J3442">
        <v>-489.95069999999998</v>
      </c>
      <c r="K3442">
        <v>1.115559</v>
      </c>
      <c r="L3442">
        <v>233.98570000000001</v>
      </c>
      <c r="M3442">
        <v>0.14409759999999999</v>
      </c>
      <c r="N3442">
        <v>0</v>
      </c>
      <c r="O3442">
        <v>-0.98944290000000001</v>
      </c>
      <c r="P3442">
        <v>0.42884220000000001</v>
      </c>
      <c r="Q3442">
        <v>0.1420401</v>
      </c>
      <c r="R3442">
        <v>-0.89214280000000001</v>
      </c>
      <c r="S3442">
        <v>1.7610779999999999</v>
      </c>
      <c r="T3442">
        <v>-0.22172049999999999</v>
      </c>
      <c r="U3442">
        <v>-2.557922</v>
      </c>
      <c r="V3442">
        <v>-0.29963800000000002</v>
      </c>
      <c r="W3442">
        <v>0.1491382</v>
      </c>
      <c r="X3442">
        <v>0.94232419999999995</v>
      </c>
      <c r="Y3442">
        <v>-0.4409496</v>
      </c>
      <c r="Z3442">
        <v>7.2861330000000002E-2</v>
      </c>
      <c r="AA3442">
        <v>0.89456959999999996</v>
      </c>
      <c r="AB3442">
        <v>30</v>
      </c>
      <c r="AC3442">
        <v>0.49379999999996399</v>
      </c>
      <c r="AD3442">
        <v>-6.8938999999999806E-2</v>
      </c>
      <c r="AE3442">
        <v>-0.50470000000001303</v>
      </c>
      <c r="AF3442">
        <v>-0.41198319517899401</v>
      </c>
      <c r="AG3442">
        <v>-6.8938999999999806E-2</v>
      </c>
      <c r="AH3442">
        <v>0.565207406204981</v>
      </c>
      <c r="AI3442">
        <v>95.629223381662797</v>
      </c>
      <c r="AJ3442">
        <v>126.08854029771901</v>
      </c>
      <c r="AK3442">
        <v>0.70281018124373795</v>
      </c>
      <c r="AL3442">
        <v>81.423012835485494</v>
      </c>
      <c r="AM3442">
        <v>107.639499128281</v>
      </c>
      <c r="AN3442">
        <v>1.00000001582443</v>
      </c>
    </row>
    <row r="3443" spans="1:40" x14ac:dyDescent="0.3">
      <c r="A3443" t="str">
        <f>"20200111150018499"</f>
        <v>20200111150018499</v>
      </c>
      <c r="B3443" t="str">
        <f>"1578726018489393"</f>
        <v>1578726018489393</v>
      </c>
      <c r="C3443" t="s">
        <v>40</v>
      </c>
      <c r="D3443">
        <v>4.3134949999999996</v>
      </c>
      <c r="E3443">
        <v>0.43569079999999899</v>
      </c>
      <c r="F3443" t="s">
        <v>41</v>
      </c>
      <c r="G3443">
        <v>-489.39280000000002</v>
      </c>
      <c r="H3443">
        <v>1.0465850000000001</v>
      </c>
      <c r="I3443">
        <v>233.19300000000001</v>
      </c>
      <c r="J3443">
        <v>-489.88659999999999</v>
      </c>
      <c r="K3443">
        <v>1.115909</v>
      </c>
      <c r="L3443">
        <v>233.65549999999999</v>
      </c>
      <c r="M3443">
        <v>0.1597442</v>
      </c>
      <c r="N3443">
        <v>0</v>
      </c>
      <c r="O3443">
        <v>-0.98703600000000002</v>
      </c>
      <c r="P3443">
        <v>0.44337120000000002</v>
      </c>
      <c r="Q3443">
        <v>0.1427599</v>
      </c>
      <c r="R3443">
        <v>-0.88489640000000003</v>
      </c>
      <c r="S3443">
        <v>1.787231</v>
      </c>
      <c r="T3443">
        <v>-0.2208714</v>
      </c>
      <c r="U3443">
        <v>-2.5386959999999998</v>
      </c>
      <c r="V3443">
        <v>-0.30029430000000001</v>
      </c>
      <c r="W3443">
        <v>0.14967049999999901</v>
      </c>
      <c r="X3443">
        <v>0.94203079999999995</v>
      </c>
      <c r="Y3443">
        <v>-0.43609940000000003</v>
      </c>
      <c r="Z3443">
        <v>7.2659050000000003E-2</v>
      </c>
      <c r="AA3443">
        <v>0.89696039999999999</v>
      </c>
      <c r="AB3443">
        <v>30</v>
      </c>
      <c r="AC3443">
        <v>0.49379999999996399</v>
      </c>
      <c r="AD3443">
        <v>-6.93239999999999E-2</v>
      </c>
      <c r="AE3443">
        <v>-0.46250000000000502</v>
      </c>
      <c r="AF3443">
        <v>-0.409269788379795</v>
      </c>
      <c r="AG3443">
        <v>-6.93239999999999E-2</v>
      </c>
      <c r="AH3443">
        <v>0.52988732040118003</v>
      </c>
      <c r="AI3443">
        <v>95.911335982915006</v>
      </c>
      <c r="AJ3443">
        <v>127.68146986857801</v>
      </c>
      <c r="AK3443">
        <v>0.67311822808358501</v>
      </c>
      <c r="AL3443">
        <v>81.392167756815496</v>
      </c>
      <c r="AM3443">
        <v>107.68089466565699</v>
      </c>
      <c r="AN3443">
        <v>0.99999997666568896</v>
      </c>
    </row>
    <row r="3444" spans="1:40" x14ac:dyDescent="0.3">
      <c r="A3444" t="str">
        <f>"20200111150018519"</f>
        <v>20200111150018519</v>
      </c>
      <c r="B3444" t="str">
        <f>"1578726018508914"</f>
        <v>1578726018508914</v>
      </c>
      <c r="C3444" t="s">
        <v>40</v>
      </c>
      <c r="D3444">
        <v>4.3901820000000003</v>
      </c>
      <c r="E3444">
        <v>0.4362065</v>
      </c>
      <c r="F3444" t="s">
        <v>52</v>
      </c>
      <c r="G3444">
        <v>-480.55700000000002</v>
      </c>
      <c r="H3444" s="1">
        <v>2.1359510000000001E-6</v>
      </c>
      <c r="I3444">
        <v>220.83080000000001</v>
      </c>
      <c r="J3444">
        <v>-489.82979999999998</v>
      </c>
      <c r="K3444">
        <v>1.116209</v>
      </c>
      <c r="L3444">
        <v>233.3869</v>
      </c>
      <c r="M3444">
        <v>0.1729472</v>
      </c>
      <c r="N3444">
        <v>0</v>
      </c>
      <c r="O3444">
        <v>-0.98480710000000005</v>
      </c>
      <c r="P3444">
        <v>0.45472170000000001</v>
      </c>
      <c r="Q3444">
        <v>0.1425225</v>
      </c>
      <c r="R3444">
        <v>-0.87915639999999995</v>
      </c>
      <c r="S3444">
        <v>1.826233</v>
      </c>
      <c r="T3444">
        <v>-0.2184342</v>
      </c>
      <c r="U3444">
        <v>-2.5103909999999998</v>
      </c>
      <c r="V3444">
        <v>-0.29989759999999999</v>
      </c>
      <c r="W3444">
        <v>0.14930889999999999</v>
      </c>
      <c r="X3444">
        <v>0.94221460000000001</v>
      </c>
      <c r="Y3444">
        <v>-0.4380096</v>
      </c>
      <c r="Z3444">
        <v>7.1939199999999995E-2</v>
      </c>
      <c r="AA3444">
        <v>0.89608729999999903</v>
      </c>
      <c r="AB3444">
        <v>30</v>
      </c>
      <c r="AC3444">
        <v>9.2728000000000108</v>
      </c>
      <c r="AD3444">
        <v>-1.1162068640489999</v>
      </c>
      <c r="AE3444">
        <v>-12.556099999999899</v>
      </c>
      <c r="AF3444">
        <v>-6.9258102026116903</v>
      </c>
      <c r="AG3444">
        <v>-1.1162068640489999</v>
      </c>
      <c r="AH3444">
        <v>13.8996679463731</v>
      </c>
      <c r="AI3444">
        <v>94.111133809850401</v>
      </c>
      <c r="AJ3444">
        <v>116.48577376930299</v>
      </c>
      <c r="AK3444">
        <v>15.569634990756301</v>
      </c>
      <c r="AL3444">
        <v>81.4131218681365</v>
      </c>
      <c r="AM3444">
        <v>107.655758922917</v>
      </c>
      <c r="AN3444">
        <v>1.0000000352790599</v>
      </c>
    </row>
    <row r="3445" spans="1:40" x14ac:dyDescent="0.3">
      <c r="A3445" t="str">
        <f>"20200111150018540"</f>
        <v>20200111150018540</v>
      </c>
      <c r="B3445" t="str">
        <f>"1578726018529410"</f>
        <v>1578726018529410</v>
      </c>
      <c r="C3445" t="s">
        <v>40</v>
      </c>
      <c r="D3445">
        <v>4.2500099999999996</v>
      </c>
      <c r="E3445">
        <v>0.43708849999999999</v>
      </c>
      <c r="F3445" t="s">
        <v>52</v>
      </c>
      <c r="G3445">
        <v>-480.45740000000001</v>
      </c>
      <c r="H3445" s="1">
        <v>2.1155089999999999E-6</v>
      </c>
      <c r="I3445">
        <v>220.81819999999999</v>
      </c>
      <c r="J3445">
        <v>-489.77080000000001</v>
      </c>
      <c r="K3445">
        <v>1.1165039999999999</v>
      </c>
      <c r="L3445">
        <v>233.12649999999999</v>
      </c>
      <c r="M3445">
        <v>0.1861563</v>
      </c>
      <c r="N3445">
        <v>0</v>
      </c>
      <c r="O3445">
        <v>-0.98239449999999995</v>
      </c>
      <c r="P3445">
        <v>0.46547329999999998</v>
      </c>
      <c r="Q3445">
        <v>0.143032399999999</v>
      </c>
      <c r="R3445">
        <v>-0.87342779999999998</v>
      </c>
      <c r="S3445">
        <v>1.855621</v>
      </c>
      <c r="T3445">
        <v>-0.22099530000000001</v>
      </c>
      <c r="U3445">
        <v>-2.4884339999999998</v>
      </c>
      <c r="V3445">
        <v>-0.29894120000000002</v>
      </c>
      <c r="W3445">
        <v>0.149714299999999</v>
      </c>
      <c r="X3445">
        <v>0.94245409999999996</v>
      </c>
      <c r="Y3445">
        <v>-0.43649549999999998</v>
      </c>
      <c r="Z3445">
        <v>7.28187E-2</v>
      </c>
      <c r="AA3445">
        <v>0.89675479999999996</v>
      </c>
      <c r="AB3445">
        <v>30</v>
      </c>
      <c r="AC3445">
        <v>9.3133999999999997</v>
      </c>
      <c r="AD3445">
        <v>-1.116501884491</v>
      </c>
      <c r="AE3445">
        <v>-12.308299999999999</v>
      </c>
      <c r="AF3445">
        <v>-6.8233085718189397</v>
      </c>
      <c r="AG3445">
        <v>-1.116501884491</v>
      </c>
      <c r="AH3445">
        <v>13.755086639472999</v>
      </c>
      <c r="AI3445">
        <v>94.158946998480502</v>
      </c>
      <c r="AJ3445">
        <v>116.38403767931</v>
      </c>
      <c r="AK3445">
        <v>15.3950162320063</v>
      </c>
      <c r="AL3445">
        <v>81.389629559697298</v>
      </c>
      <c r="AM3445">
        <v>107.598737803552</v>
      </c>
      <c r="AN3445">
        <v>0.99999997164436905</v>
      </c>
    </row>
    <row r="3446" spans="1:40" x14ac:dyDescent="0.3">
      <c r="A3446" t="str">
        <f>"20200111150018561"</f>
        <v>20200111150018561</v>
      </c>
      <c r="B3446" t="str">
        <f>"1578726018559666"</f>
        <v>1578726018559666</v>
      </c>
      <c r="C3446" t="s">
        <v>40</v>
      </c>
      <c r="D3446">
        <v>4.3087980000000003</v>
      </c>
      <c r="E3446">
        <v>0.43805859999999902</v>
      </c>
      <c r="F3446" t="s">
        <v>52</v>
      </c>
      <c r="G3446">
        <v>-480.1551</v>
      </c>
      <c r="H3446" s="1">
        <v>1.9908309999999999E-6</v>
      </c>
      <c r="I3446">
        <v>220.49690000000001</v>
      </c>
      <c r="J3446">
        <v>-489.70589999999999</v>
      </c>
      <c r="K3446">
        <v>1.1168149999999999</v>
      </c>
      <c r="L3446">
        <v>232.8596</v>
      </c>
      <c r="M3446">
        <v>0.20014180000000001</v>
      </c>
      <c r="N3446">
        <v>0</v>
      </c>
      <c r="O3446">
        <v>-0.9796395</v>
      </c>
      <c r="P3446">
        <v>0.47774759999999999</v>
      </c>
      <c r="Q3446">
        <v>0.1446132</v>
      </c>
      <c r="R3446">
        <v>-0.86651270000000002</v>
      </c>
      <c r="S3446">
        <v>1.8796079999999999</v>
      </c>
      <c r="T3446">
        <v>-0.21824660000000001</v>
      </c>
      <c r="U3446">
        <v>-2.4687649999999999</v>
      </c>
      <c r="V3446">
        <v>-0.29901290000000003</v>
      </c>
      <c r="W3446">
        <v>0.15115309999999901</v>
      </c>
      <c r="X3446">
        <v>0.94220170000000003</v>
      </c>
      <c r="Y3446">
        <v>-0.43266729999999998</v>
      </c>
      <c r="Z3446">
        <v>7.1948330000000005E-2</v>
      </c>
      <c r="AA3446">
        <v>0.89867819999999898</v>
      </c>
      <c r="AB3446">
        <v>30</v>
      </c>
      <c r="AC3446">
        <v>9.5507999999999793</v>
      </c>
      <c r="AD3446">
        <v>-1.1168130091689901</v>
      </c>
      <c r="AE3446">
        <v>-12.362699999999901</v>
      </c>
      <c r="AF3446">
        <v>-6.8479101633662696</v>
      </c>
      <c r="AG3446">
        <v>-1.1168130091689901</v>
      </c>
      <c r="AH3446">
        <v>13.952946258396601</v>
      </c>
      <c r="AI3446">
        <v>94.109870402613694</v>
      </c>
      <c r="AJ3446">
        <v>116.141156214302</v>
      </c>
      <c r="AK3446">
        <v>15.5828705376348</v>
      </c>
      <c r="AL3446">
        <v>81.306243781473199</v>
      </c>
      <c r="AM3446">
        <v>107.607122381064</v>
      </c>
      <c r="AN3446">
        <v>1.0000000087444501</v>
      </c>
    </row>
    <row r="3447" spans="1:40" x14ac:dyDescent="0.3">
      <c r="A3447" t="str">
        <f>"20200111150018585"</f>
        <v>20200111150018585</v>
      </c>
      <c r="B3447" t="str">
        <f>"1578726018579187"</f>
        <v>1578726018579187</v>
      </c>
      <c r="C3447" t="s">
        <v>40</v>
      </c>
      <c r="D3447">
        <v>4.3262869999999998</v>
      </c>
      <c r="E3447">
        <v>0.43852180000000002</v>
      </c>
      <c r="F3447" t="s">
        <v>41</v>
      </c>
      <c r="G3447">
        <v>-489.0462</v>
      </c>
      <c r="H3447">
        <v>1.0420400000000001</v>
      </c>
      <c r="I3447">
        <v>232.01320000000001</v>
      </c>
      <c r="J3447">
        <v>-489.62959999999998</v>
      </c>
      <c r="K3447">
        <v>1.1171519999999999</v>
      </c>
      <c r="L3447">
        <v>232.56780000000001</v>
      </c>
      <c r="M3447">
        <v>0.2159517</v>
      </c>
      <c r="N3447">
        <v>0</v>
      </c>
      <c r="O3447">
        <v>-0.97627470000000005</v>
      </c>
      <c r="P3447">
        <v>0.49196469999999998</v>
      </c>
      <c r="Q3447">
        <v>0.1451749</v>
      </c>
      <c r="R3447">
        <v>-0.85842649999999998</v>
      </c>
      <c r="S3447">
        <v>1.90683</v>
      </c>
      <c r="T3447">
        <v>-0.2161508</v>
      </c>
      <c r="U3447">
        <v>-2.4468380000000001</v>
      </c>
      <c r="V3447">
        <v>-0.29947570000000001</v>
      </c>
      <c r="W3447">
        <v>0.15155839999999901</v>
      </c>
      <c r="X3447">
        <v>0.94198950000000004</v>
      </c>
      <c r="Y3447">
        <v>-0.4282492</v>
      </c>
      <c r="Z3447">
        <v>7.1256509999999995E-2</v>
      </c>
      <c r="AA3447">
        <v>0.90084699999999995</v>
      </c>
      <c r="AB3447">
        <v>30</v>
      </c>
      <c r="AC3447">
        <v>0.58339999999998304</v>
      </c>
      <c r="AD3447">
        <v>-7.5112000000000206E-2</v>
      </c>
      <c r="AE3447">
        <v>-0.55459999999999299</v>
      </c>
      <c r="AF3447">
        <v>-0.445965482594323</v>
      </c>
      <c r="AG3447">
        <v>-7.5112000000000206E-2</v>
      </c>
      <c r="AH3447">
        <v>0.66175038073468495</v>
      </c>
      <c r="AI3447">
        <v>95.377162731111696</v>
      </c>
      <c r="AJ3447">
        <v>123.97673870475801</v>
      </c>
      <c r="AK3447">
        <v>0.80152391767937203</v>
      </c>
      <c r="AL3447">
        <v>81.282750467140801</v>
      </c>
      <c r="AM3447">
        <v>107.636412711627</v>
      </c>
      <c r="AN3447">
        <v>0.99999993080564697</v>
      </c>
    </row>
    <row r="3448" spans="1:40" x14ac:dyDescent="0.3">
      <c r="A3448" t="str">
        <f>"20200111150018607"</f>
        <v>20200111150018607</v>
      </c>
      <c r="B3448" t="str">
        <f>"1578726018599682"</f>
        <v>1578726018599682</v>
      </c>
      <c r="C3448" t="s">
        <v>40</v>
      </c>
      <c r="D3448">
        <v>4.2064450000000004</v>
      </c>
      <c r="E3448">
        <v>0.43917790000000001</v>
      </c>
      <c r="F3448" t="s">
        <v>41</v>
      </c>
      <c r="G3448">
        <v>-488.98509999999999</v>
      </c>
      <c r="H3448">
        <v>1.044824</v>
      </c>
      <c r="I3448">
        <v>231.76560000000001</v>
      </c>
      <c r="J3448">
        <v>-489.55180000000001</v>
      </c>
      <c r="K3448">
        <v>1.1174440000000001</v>
      </c>
      <c r="L3448">
        <v>232.28909999999999</v>
      </c>
      <c r="M3448">
        <v>0.2314821</v>
      </c>
      <c r="N3448">
        <v>0</v>
      </c>
      <c r="O3448">
        <v>-0.97270730000000005</v>
      </c>
      <c r="P3448">
        <v>0.50527259999999996</v>
      </c>
      <c r="Q3448">
        <v>0.14513480000000001</v>
      </c>
      <c r="R3448">
        <v>-0.85066759999999997</v>
      </c>
      <c r="S3448">
        <v>1.9434199999999999</v>
      </c>
      <c r="T3448">
        <v>-0.2179866</v>
      </c>
      <c r="U3448">
        <v>-2.417862</v>
      </c>
      <c r="V3448">
        <v>-0.29924319999999999</v>
      </c>
      <c r="W3448">
        <v>0.1514105</v>
      </c>
      <c r="X3448">
        <v>0.94208720000000001</v>
      </c>
      <c r="Y3448">
        <v>-0.42738290000000001</v>
      </c>
      <c r="Z3448">
        <v>7.1847019999999998E-2</v>
      </c>
      <c r="AA3448">
        <v>0.90121130000000005</v>
      </c>
      <c r="AB3448">
        <v>29</v>
      </c>
      <c r="AC3448">
        <v>0.56670000000002496</v>
      </c>
      <c r="AD3448">
        <v>-7.2620000000000101E-2</v>
      </c>
      <c r="AE3448">
        <v>-0.52349999999998398</v>
      </c>
      <c r="AF3448">
        <v>-0.42633010693618001</v>
      </c>
      <c r="AG3448">
        <v>-7.2620000000000101E-2</v>
      </c>
      <c r="AH3448">
        <v>0.63485036983276</v>
      </c>
      <c r="AI3448">
        <v>95.424723631358603</v>
      </c>
      <c r="AJ3448">
        <v>123.88310741903599</v>
      </c>
      <c r="AK3448">
        <v>0.76815754670315295</v>
      </c>
      <c r="AL3448">
        <v>81.291323725498501</v>
      </c>
      <c r="AM3448">
        <v>107.621853717097</v>
      </c>
      <c r="AN3448">
        <v>0.99999996233016397</v>
      </c>
    </row>
    <row r="3449" spans="1:40" x14ac:dyDescent="0.3">
      <c r="A3449" t="str">
        <f>"20200111150018630"</f>
        <v>20200111150018630</v>
      </c>
      <c r="B3449" t="str">
        <f>"1578726018619201"</f>
        <v>1578726018619201</v>
      </c>
      <c r="C3449" t="s">
        <v>40</v>
      </c>
      <c r="D3449">
        <v>4.3954399999999998</v>
      </c>
      <c r="E3449">
        <v>0.4394767</v>
      </c>
      <c r="F3449" t="s">
        <v>41</v>
      </c>
      <c r="G3449">
        <v>-488.91579999999999</v>
      </c>
      <c r="H3449">
        <v>1.047339</v>
      </c>
      <c r="I3449">
        <v>231.5205</v>
      </c>
      <c r="J3449">
        <v>-489.46699999999998</v>
      </c>
      <c r="K3449">
        <v>1.117718</v>
      </c>
      <c r="L3449">
        <v>232.00460000000001</v>
      </c>
      <c r="M3449">
        <v>0.2477761</v>
      </c>
      <c r="N3449">
        <v>0</v>
      </c>
      <c r="O3449">
        <v>-0.96868319999999997</v>
      </c>
      <c r="P3449">
        <v>0.51877240000000002</v>
      </c>
      <c r="Q3449">
        <v>0.14484339999999901</v>
      </c>
      <c r="R3449">
        <v>-0.84255329999999995</v>
      </c>
      <c r="S3449">
        <v>1.9773559999999999</v>
      </c>
      <c r="T3449">
        <v>-0.217948</v>
      </c>
      <c r="U3449">
        <v>-2.3893589999999998</v>
      </c>
      <c r="V3449">
        <v>-0.29853790000000002</v>
      </c>
      <c r="W3449">
        <v>0.15103810000000001</v>
      </c>
      <c r="X3449">
        <v>0.94237070000000001</v>
      </c>
      <c r="Y3449">
        <v>-0.42509130000000001</v>
      </c>
      <c r="Z3449">
        <v>7.1801480000000001E-2</v>
      </c>
      <c r="AA3449">
        <v>0.90229820000000005</v>
      </c>
      <c r="AB3449">
        <v>29</v>
      </c>
      <c r="AC3449">
        <v>0.55119999999999403</v>
      </c>
      <c r="AD3449">
        <v>-7.03789999999999E-2</v>
      </c>
      <c r="AE3449">
        <v>-0.48410000000001202</v>
      </c>
      <c r="AF3449">
        <v>-0.41026758363765198</v>
      </c>
      <c r="AG3449">
        <v>-7.03789999999999E-2</v>
      </c>
      <c r="AH3449">
        <v>0.60006954345076502</v>
      </c>
      <c r="AI3449">
        <v>95.530082066721405</v>
      </c>
      <c r="AJ3449">
        <v>124.360418579802</v>
      </c>
      <c r="AK3449">
        <v>0.73031236522606402</v>
      </c>
      <c r="AL3449">
        <v>81.312908902410996</v>
      </c>
      <c r="AM3449">
        <v>107.577917818312</v>
      </c>
      <c r="AN3449">
        <v>0.99999996080325404</v>
      </c>
    </row>
    <row r="3450" spans="1:40" x14ac:dyDescent="0.3">
      <c r="A3450" t="str">
        <f>"20200111150018651"</f>
        <v>20200111150018651</v>
      </c>
      <c r="B3450" t="str">
        <f>"1578726018639698"</f>
        <v>1578726018639698</v>
      </c>
      <c r="C3450" t="s">
        <v>40</v>
      </c>
      <c r="D3450">
        <v>4.2414740000000002</v>
      </c>
      <c r="E3450">
        <v>0.44015840000000001</v>
      </c>
      <c r="F3450" t="s">
        <v>41</v>
      </c>
      <c r="G3450">
        <v>-488.80869999999999</v>
      </c>
      <c r="H3450">
        <v>1.046991</v>
      </c>
      <c r="I3450">
        <v>231.23339999999999</v>
      </c>
      <c r="J3450">
        <v>-489.38679999999999</v>
      </c>
      <c r="K3450">
        <v>1.1179570000000001</v>
      </c>
      <c r="L3450">
        <v>231.7517</v>
      </c>
      <c r="M3450">
        <v>0.26263700000000001</v>
      </c>
      <c r="N3450">
        <v>0</v>
      </c>
      <c r="O3450">
        <v>-0.96475860000000002</v>
      </c>
      <c r="P3450">
        <v>0.53135949999999998</v>
      </c>
      <c r="Q3450">
        <v>0.14569760000000001</v>
      </c>
      <c r="R3450">
        <v>-0.83452369999999898</v>
      </c>
      <c r="S3450">
        <v>2.0133670000000001</v>
      </c>
      <c r="T3450">
        <v>-0.2162355</v>
      </c>
      <c r="U3450">
        <v>-2.3581850000000002</v>
      </c>
      <c r="V3450">
        <v>-0.29835309999999998</v>
      </c>
      <c r="W3450">
        <v>0.15180920000000001</v>
      </c>
      <c r="X3450">
        <v>0.94230539999999996</v>
      </c>
      <c r="Y3450">
        <v>-0.42506890000000003</v>
      </c>
      <c r="Z3450">
        <v>7.1214260000000001E-2</v>
      </c>
      <c r="AA3450">
        <v>0.90235529999999997</v>
      </c>
      <c r="AB3450">
        <v>29</v>
      </c>
      <c r="AC3450">
        <v>0.57810000000000605</v>
      </c>
      <c r="AD3450">
        <v>-7.0965999999999793E-2</v>
      </c>
      <c r="AE3450">
        <v>-0.51830000000000997</v>
      </c>
      <c r="AF3450">
        <v>-0.41816415895745601</v>
      </c>
      <c r="AG3450">
        <v>-7.0965999999999793E-2</v>
      </c>
      <c r="AH3450">
        <v>0.64654908349778994</v>
      </c>
      <c r="AI3450">
        <v>95.265769273657597</v>
      </c>
      <c r="AJ3450">
        <v>122.89330239970199</v>
      </c>
      <c r="AK3450">
        <v>0.773254909046447</v>
      </c>
      <c r="AL3450">
        <v>81.268213393646406</v>
      </c>
      <c r="AM3450">
        <v>107.568848759236</v>
      </c>
      <c r="AN3450">
        <v>1.0000000361767001</v>
      </c>
    </row>
    <row r="3451" spans="1:40" x14ac:dyDescent="0.3">
      <c r="A3451" t="str">
        <f>"20200111150018672"</f>
        <v>20200111150018672</v>
      </c>
      <c r="B3451" t="str">
        <f>"1578726018668978"</f>
        <v>1578726018668978</v>
      </c>
      <c r="C3451" t="s">
        <v>40</v>
      </c>
      <c r="D3451">
        <v>4.0556049999999999</v>
      </c>
      <c r="E3451">
        <v>0.44086330000000001</v>
      </c>
      <c r="F3451" t="s">
        <v>41</v>
      </c>
      <c r="G3451">
        <v>-488.70830000000001</v>
      </c>
      <c r="H3451">
        <v>1.0459069999999999</v>
      </c>
      <c r="I3451">
        <v>230.97739999999999</v>
      </c>
      <c r="J3451">
        <v>-489.29739999999998</v>
      </c>
      <c r="K3451">
        <v>1.118207</v>
      </c>
      <c r="L3451">
        <v>231.48509999999999</v>
      </c>
      <c r="M3451">
        <v>0.27868209999999999</v>
      </c>
      <c r="N3451">
        <v>0</v>
      </c>
      <c r="O3451">
        <v>-0.96024500000000002</v>
      </c>
      <c r="P3451">
        <v>0.54441390000000001</v>
      </c>
      <c r="Q3451">
        <v>0.14630899999999999</v>
      </c>
      <c r="R3451">
        <v>-0.82595839999999998</v>
      </c>
      <c r="S3451">
        <v>2.0432130000000002</v>
      </c>
      <c r="T3451">
        <v>-0.2169846</v>
      </c>
      <c r="U3451">
        <v>-2.3318629999999998</v>
      </c>
      <c r="V3451">
        <v>-0.29760310000000001</v>
      </c>
      <c r="W3451">
        <v>0.1523611</v>
      </c>
      <c r="X3451">
        <v>0.9424534</v>
      </c>
      <c r="Y3451">
        <v>-0.42155710000000002</v>
      </c>
      <c r="Z3451">
        <v>7.1365079999999997E-2</v>
      </c>
      <c r="AA3451">
        <v>0.9039893</v>
      </c>
      <c r="AB3451">
        <v>29</v>
      </c>
      <c r="AC3451">
        <v>0.58909999999997298</v>
      </c>
      <c r="AD3451">
        <v>-7.2300000000000003E-2</v>
      </c>
      <c r="AE3451">
        <v>-0.50769999999999904</v>
      </c>
      <c r="AF3451">
        <v>-0.42061443514329699</v>
      </c>
      <c r="AG3451">
        <v>-7.2300000000000003E-2</v>
      </c>
      <c r="AH3451">
        <v>0.64618960887333299</v>
      </c>
      <c r="AI3451">
        <v>95.357042710768596</v>
      </c>
      <c r="AJ3451">
        <v>123.060702110967</v>
      </c>
      <c r="AK3451">
        <v>0.77440609738481903</v>
      </c>
      <c r="AL3451">
        <v>81.236219015447304</v>
      </c>
      <c r="AM3451">
        <v>107.524807523178</v>
      </c>
      <c r="AN3451">
        <v>0.99999996054718898</v>
      </c>
    </row>
    <row r="3452" spans="1:40" x14ac:dyDescent="0.3">
      <c r="A3452" t="str">
        <f>"20200111150018697"</f>
        <v>20200111150018697</v>
      </c>
      <c r="B3452" t="str">
        <f>"1578726018689474"</f>
        <v>1578726018689474</v>
      </c>
      <c r="C3452" t="s">
        <v>40</v>
      </c>
      <c r="D3452">
        <v>4.1567749999999997</v>
      </c>
      <c r="E3452">
        <v>0.45433190000000001</v>
      </c>
      <c r="F3452" t="s">
        <v>52</v>
      </c>
      <c r="G3452">
        <v>-478.46499999999997</v>
      </c>
      <c r="H3452" s="1">
        <v>2.4162310000000001E-6</v>
      </c>
      <c r="I3452">
        <v>219.4588</v>
      </c>
      <c r="J3452">
        <v>-489.19479999999999</v>
      </c>
      <c r="K3452">
        <v>1.1184769999999999</v>
      </c>
      <c r="L3452">
        <v>231.19669999999999</v>
      </c>
      <c r="M3452">
        <v>0.2964677</v>
      </c>
      <c r="N3452">
        <v>0</v>
      </c>
      <c r="O3452">
        <v>-0.95490169999999996</v>
      </c>
      <c r="P3452">
        <v>0.55780109999999905</v>
      </c>
      <c r="Q3452">
        <v>0.14698159999999999</v>
      </c>
      <c r="R3452">
        <v>-0.81685649999999999</v>
      </c>
      <c r="S3452">
        <v>2.074249</v>
      </c>
      <c r="T3452">
        <v>-0.21412</v>
      </c>
      <c r="U3452">
        <v>-2.3028719999999998</v>
      </c>
      <c r="V3452">
        <v>-0.29561029999999999</v>
      </c>
      <c r="W3452">
        <v>0.1530213</v>
      </c>
      <c r="X3452">
        <v>0.94297350000000002</v>
      </c>
      <c r="Y3452">
        <v>-0.41715010000000002</v>
      </c>
      <c r="Z3452">
        <v>7.0303089999999999E-2</v>
      </c>
      <c r="AA3452">
        <v>0.90611439999999999</v>
      </c>
      <c r="AB3452">
        <v>29</v>
      </c>
      <c r="AC3452">
        <v>10.729799999999999</v>
      </c>
      <c r="AD3452">
        <v>-1.118474583769</v>
      </c>
      <c r="AE3452">
        <v>-11.7378999999999</v>
      </c>
      <c r="AF3452">
        <v>-6.73360117910378</v>
      </c>
      <c r="AG3452">
        <v>-1.118474583769</v>
      </c>
      <c r="AH3452">
        <v>14.320684022201901</v>
      </c>
      <c r="AI3452">
        <v>94.042869378583106</v>
      </c>
      <c r="AJ3452">
        <v>115.18296058449801</v>
      </c>
      <c r="AK3452">
        <v>15.8642478894372</v>
      </c>
      <c r="AL3452">
        <v>81.197943822192798</v>
      </c>
      <c r="AM3452">
        <v>107.40555013301901</v>
      </c>
      <c r="AN3452">
        <v>0.99999999471101497</v>
      </c>
    </row>
    <row r="3453" spans="1:40" x14ac:dyDescent="0.3">
      <c r="A3453" t="str">
        <f>"20200111150018718"</f>
        <v>20200111150018718</v>
      </c>
      <c r="B3453" t="str">
        <f>"1578726018708996"</f>
        <v>1578726018708996</v>
      </c>
      <c r="C3453" t="s">
        <v>40</v>
      </c>
      <c r="D3453">
        <v>4.1259129999999997</v>
      </c>
      <c r="E3453">
        <v>0.45428030000000003</v>
      </c>
      <c r="F3453" t="s">
        <v>52</v>
      </c>
      <c r="G3453">
        <v>-479.8202</v>
      </c>
      <c r="H3453" s="1">
        <v>1.985451E-6</v>
      </c>
      <c r="I3453">
        <v>220.4101</v>
      </c>
      <c r="J3453">
        <v>-489.09649999999999</v>
      </c>
      <c r="K3453">
        <v>1.1187129999999901</v>
      </c>
      <c r="L3453">
        <v>230.93610000000001</v>
      </c>
      <c r="M3453">
        <v>0.31291960000000002</v>
      </c>
      <c r="N3453">
        <v>0</v>
      </c>
      <c r="O3453">
        <v>-0.94963620000000004</v>
      </c>
      <c r="P3453">
        <v>0.5685521</v>
      </c>
      <c r="Q3453">
        <v>0.14778520000000001</v>
      </c>
      <c r="R3453">
        <v>-0.80926430000000005</v>
      </c>
      <c r="S3453">
        <v>2.0268549999999999</v>
      </c>
      <c r="T3453">
        <v>-0.24182149999999999</v>
      </c>
      <c r="U3453">
        <v>-2.3321230000000002</v>
      </c>
      <c r="V3453">
        <v>-0.29193760000000002</v>
      </c>
      <c r="W3453">
        <v>0.15389529999999901</v>
      </c>
      <c r="X3453">
        <v>0.94397489999999995</v>
      </c>
      <c r="Y3453">
        <v>-0.38468819999999998</v>
      </c>
      <c r="Z3453">
        <v>7.9012170000000007E-2</v>
      </c>
      <c r="AA3453">
        <v>0.91965870000000005</v>
      </c>
      <c r="AB3453">
        <v>29</v>
      </c>
      <c r="AC3453">
        <v>9.2762999999999902</v>
      </c>
      <c r="AD3453">
        <v>-1.11871101454899</v>
      </c>
      <c r="AE3453">
        <v>-10.526</v>
      </c>
      <c r="AF3453">
        <v>-5.4812213190273198</v>
      </c>
      <c r="AG3453">
        <v>-1.11871101454899</v>
      </c>
      <c r="AH3453">
        <v>12.818863905533799</v>
      </c>
      <c r="AI3453">
        <v>94.587749282853494</v>
      </c>
      <c r="AJ3453">
        <v>113.151080009602</v>
      </c>
      <c r="AK3453">
        <v>13.9863709843129</v>
      </c>
      <c r="AL3453">
        <v>81.147266817071895</v>
      </c>
      <c r="AM3453">
        <v>107.184963816547</v>
      </c>
      <c r="AN3453">
        <v>0.99999996874292896</v>
      </c>
    </row>
    <row r="3454" spans="1:40" x14ac:dyDescent="0.3">
      <c r="A3454" t="str">
        <f>"20200111150018742"</f>
        <v>20200111150018742</v>
      </c>
      <c r="B3454" t="str">
        <f>"1578726018739250"</f>
        <v>1578726018739250</v>
      </c>
      <c r="C3454" t="s">
        <v>40</v>
      </c>
      <c r="D3454">
        <v>4.087116</v>
      </c>
      <c r="E3454">
        <v>0.4564706</v>
      </c>
      <c r="F3454" t="s">
        <v>52</v>
      </c>
      <c r="G3454">
        <v>-479.56900000000002</v>
      </c>
      <c r="H3454" s="1">
        <v>2.0457440000000001E-6</v>
      </c>
      <c r="I3454">
        <v>220.27969999999999</v>
      </c>
      <c r="J3454">
        <v>-488.99160000000001</v>
      </c>
      <c r="K3454">
        <v>1.11894</v>
      </c>
      <c r="L3454">
        <v>230.67320000000001</v>
      </c>
      <c r="M3454">
        <v>0.32987729999999998</v>
      </c>
      <c r="N3454">
        <v>0</v>
      </c>
      <c r="O3454">
        <v>-0.94387770000000004</v>
      </c>
      <c r="P3454">
        <v>0.5818873</v>
      </c>
      <c r="Q3454">
        <v>0.14911389999999999</v>
      </c>
      <c r="R3454">
        <v>-0.79948260000000004</v>
      </c>
      <c r="S3454">
        <v>2.0599669999999999</v>
      </c>
      <c r="T3454">
        <v>-0.2418797</v>
      </c>
      <c r="U3454">
        <v>-2.3040310000000002</v>
      </c>
      <c r="V3454">
        <v>-0.2908866</v>
      </c>
      <c r="W3454">
        <v>0.1552017</v>
      </c>
      <c r="X3454">
        <v>0.94408550000000002</v>
      </c>
      <c r="Y3454">
        <v>-0.3810904</v>
      </c>
      <c r="Z3454">
        <v>7.8775220000000007E-2</v>
      </c>
      <c r="AA3454">
        <v>0.92117570000000004</v>
      </c>
      <c r="AB3454">
        <v>29</v>
      </c>
      <c r="AC3454">
        <v>9.4225999999999797</v>
      </c>
      <c r="AD3454">
        <v>-1.1189379542560001</v>
      </c>
      <c r="AE3454">
        <v>-10.3935</v>
      </c>
      <c r="AF3454">
        <v>-5.4314039957864901</v>
      </c>
      <c r="AG3454">
        <v>-1.1189379542560001</v>
      </c>
      <c r="AH3454">
        <v>12.8386032246017</v>
      </c>
      <c r="AI3454">
        <v>94.589113000918601</v>
      </c>
      <c r="AJ3454">
        <v>112.93091658228001</v>
      </c>
      <c r="AK3454">
        <v>13.9850600381147</v>
      </c>
      <c r="AL3454">
        <v>81.071505683842005</v>
      </c>
      <c r="AM3454">
        <v>107.12483341268</v>
      </c>
      <c r="AN3454">
        <v>1.0000000065263499</v>
      </c>
    </row>
    <row r="3455" spans="1:40" x14ac:dyDescent="0.3">
      <c r="A3455" t="str">
        <f>"20200111150018762"</f>
        <v>20200111150018762</v>
      </c>
      <c r="B3455" t="str">
        <f>"1578726018758770"</f>
        <v>1578726018758770</v>
      </c>
      <c r="C3455" t="s">
        <v>40</v>
      </c>
      <c r="D3455">
        <v>4.1188880000000001</v>
      </c>
      <c r="E3455">
        <v>0.45773649999999999</v>
      </c>
      <c r="F3455" t="s">
        <v>52</v>
      </c>
      <c r="G3455">
        <v>-479.51130000000001</v>
      </c>
      <c r="H3455" s="1">
        <v>2.0722740000000002E-6</v>
      </c>
      <c r="I3455">
        <v>220.30709999999999</v>
      </c>
      <c r="J3455">
        <v>-488.88850000000002</v>
      </c>
      <c r="K3455">
        <v>1.11914</v>
      </c>
      <c r="L3455">
        <v>230.4282</v>
      </c>
      <c r="M3455">
        <v>0.34600229999999998</v>
      </c>
      <c r="N3455">
        <v>0</v>
      </c>
      <c r="O3455">
        <v>-0.93808480000000005</v>
      </c>
      <c r="P3455">
        <v>0.59582360000000001</v>
      </c>
      <c r="Q3455">
        <v>0.15329860000000001</v>
      </c>
      <c r="R3455">
        <v>-0.78834919999999997</v>
      </c>
      <c r="S3455">
        <v>2.0855709999999998</v>
      </c>
      <c r="T3455">
        <v>-0.24615409999999999</v>
      </c>
      <c r="U3455">
        <v>-2.280411</v>
      </c>
      <c r="V3455">
        <v>-0.29176829999999998</v>
      </c>
      <c r="W3455">
        <v>0.1592953</v>
      </c>
      <c r="X3455">
        <v>0.9431311</v>
      </c>
      <c r="Y3455">
        <v>-0.37556450000000002</v>
      </c>
      <c r="Z3455">
        <v>7.9878469999999993E-2</v>
      </c>
      <c r="AA3455">
        <v>0.92334760000000005</v>
      </c>
      <c r="AB3455">
        <v>29</v>
      </c>
      <c r="AC3455">
        <v>9.3772000000000109</v>
      </c>
      <c r="AD3455">
        <v>-1.1191379277259901</v>
      </c>
      <c r="AE3455">
        <v>-10.1211</v>
      </c>
      <c r="AF3455">
        <v>-5.2608126542717004</v>
      </c>
      <c r="AG3455">
        <v>-1.1191379277259901</v>
      </c>
      <c r="AH3455">
        <v>12.6574863801542</v>
      </c>
      <c r="AI3455">
        <v>94.667607880421002</v>
      </c>
      <c r="AJ3455">
        <v>112.5691651261</v>
      </c>
      <c r="AK3455">
        <v>13.7528390141239</v>
      </c>
      <c r="AL3455">
        <v>80.834004732585299</v>
      </c>
      <c r="AM3455">
        <v>107.190045822223</v>
      </c>
      <c r="AN3455">
        <v>1.0000000026370901</v>
      </c>
    </row>
    <row r="3456" spans="1:40" x14ac:dyDescent="0.3">
      <c r="A3456" t="str">
        <f>"20200111150018785"</f>
        <v>20200111150018785</v>
      </c>
      <c r="B3456" t="str">
        <f>"1578726018779266"</f>
        <v>1578726018779266</v>
      </c>
      <c r="C3456" t="s">
        <v>40</v>
      </c>
      <c r="D3456">
        <v>4.1676149999999996</v>
      </c>
      <c r="E3456">
        <v>0.45840069999999999</v>
      </c>
      <c r="F3456" t="s">
        <v>52</v>
      </c>
      <c r="G3456">
        <v>-478.7903</v>
      </c>
      <c r="H3456" s="1">
        <v>2.2920689999999998E-6</v>
      </c>
      <c r="I3456">
        <v>219.71619999999999</v>
      </c>
      <c r="J3456">
        <v>-488.77089999999998</v>
      </c>
      <c r="K3456">
        <v>1.119327</v>
      </c>
      <c r="L3456">
        <v>230.16319999999999</v>
      </c>
      <c r="M3456">
        <v>0.36376140000000001</v>
      </c>
      <c r="N3456">
        <v>0</v>
      </c>
      <c r="O3456">
        <v>-0.93134050000000002</v>
      </c>
      <c r="P3456">
        <v>0.61255340000000003</v>
      </c>
      <c r="Q3456">
        <v>0.15508189999999999</v>
      </c>
      <c r="R3456">
        <v>-0.77506649999999999</v>
      </c>
      <c r="S3456">
        <v>2.1200260000000002</v>
      </c>
      <c r="T3456">
        <v>-0.2349532</v>
      </c>
      <c r="U3456">
        <v>-2.248901</v>
      </c>
      <c r="V3456">
        <v>-0.29430040000000002</v>
      </c>
      <c r="W3456">
        <v>0.16093379999999999</v>
      </c>
      <c r="X3456">
        <v>0.94206559999999995</v>
      </c>
      <c r="Y3456">
        <v>-0.37212699999999999</v>
      </c>
      <c r="Z3456">
        <v>7.5954110000000005E-2</v>
      </c>
      <c r="AA3456">
        <v>0.92506889999999997</v>
      </c>
      <c r="AB3456">
        <v>29</v>
      </c>
      <c r="AC3456">
        <v>9.9805999999999795</v>
      </c>
      <c r="AD3456">
        <v>-1.119324707931</v>
      </c>
      <c r="AE3456">
        <v>-10.446999999999999</v>
      </c>
      <c r="AF3456">
        <v>-5.4631095822239999</v>
      </c>
      <c r="AG3456">
        <v>-1.119324707931</v>
      </c>
      <c r="AH3456">
        <v>13.2824404006473</v>
      </c>
      <c r="AI3456">
        <v>94.456408147491402</v>
      </c>
      <c r="AJ3456">
        <v>112.357519967504</v>
      </c>
      <c r="AK3456">
        <v>14.4056126945688</v>
      </c>
      <c r="AL3456">
        <v>80.738898581949798</v>
      </c>
      <c r="AM3456">
        <v>107.348755151782</v>
      </c>
      <c r="AN3456">
        <v>1.00000000406298</v>
      </c>
    </row>
    <row r="3457" spans="1:40" x14ac:dyDescent="0.3">
      <c r="A3457" t="str">
        <f>"20200111150018808"</f>
        <v>20200111150018808</v>
      </c>
      <c r="B3457" t="str">
        <f>"1578726018799763"</f>
        <v>1578726018799763</v>
      </c>
      <c r="C3457" t="s">
        <v>40</v>
      </c>
      <c r="D3457">
        <v>4.0878079999999999</v>
      </c>
      <c r="E3457">
        <v>0.45961180000000001</v>
      </c>
      <c r="F3457" t="s">
        <v>52</v>
      </c>
      <c r="G3457">
        <v>-478.42059999999998</v>
      </c>
      <c r="H3457" s="1">
        <v>2.442612E-6</v>
      </c>
      <c r="I3457">
        <v>219.61150000000001</v>
      </c>
      <c r="J3457">
        <v>-488.64859999999999</v>
      </c>
      <c r="K3457">
        <v>1.1194959999999901</v>
      </c>
      <c r="L3457">
        <v>229.9016</v>
      </c>
      <c r="M3457">
        <v>0.38157570000000002</v>
      </c>
      <c r="N3457">
        <v>0</v>
      </c>
      <c r="O3457">
        <v>-0.92418310000000004</v>
      </c>
      <c r="P3457">
        <v>0.63025100000000001</v>
      </c>
      <c r="Q3457">
        <v>0.15714059999999999</v>
      </c>
      <c r="R3457">
        <v>-0.76032290000000002</v>
      </c>
      <c r="S3457">
        <v>2.164612</v>
      </c>
      <c r="T3457">
        <v>-0.2340903</v>
      </c>
      <c r="U3457">
        <v>-2.2067260000000002</v>
      </c>
      <c r="V3457">
        <v>-0.2982302</v>
      </c>
      <c r="W3457">
        <v>0.16279759999999999</v>
      </c>
      <c r="X3457">
        <v>0.94050820000000002</v>
      </c>
      <c r="Y3457">
        <v>-0.3727067</v>
      </c>
      <c r="Z3457">
        <v>7.5394699999999995E-2</v>
      </c>
      <c r="AA3457">
        <v>0.92488119999999996</v>
      </c>
      <c r="AB3457">
        <v>29</v>
      </c>
      <c r="AC3457">
        <v>10.228</v>
      </c>
      <c r="AD3457">
        <v>-1.1194935573879901</v>
      </c>
      <c r="AE3457">
        <v>-10.290099999999899</v>
      </c>
      <c r="AF3457">
        <v>-5.4941706388904601</v>
      </c>
      <c r="AG3457">
        <v>-1.1194935573879901</v>
      </c>
      <c r="AH3457">
        <v>13.3352130871318</v>
      </c>
      <c r="AI3457">
        <v>94.438418095099394</v>
      </c>
      <c r="AJ3457">
        <v>112.39189190096801</v>
      </c>
      <c r="AK3457">
        <v>14.4660666704356</v>
      </c>
      <c r="AL3457">
        <v>80.630683529705195</v>
      </c>
      <c r="AM3457">
        <v>107.593547314489</v>
      </c>
      <c r="AN3457">
        <v>0.99999999251251903</v>
      </c>
    </row>
    <row r="3458" spans="1:40" x14ac:dyDescent="0.3">
      <c r="A3458" t="str">
        <f>"20200111150018830"</f>
        <v>20200111150018830</v>
      </c>
      <c r="B3458" t="str">
        <f>"1578726018819284"</f>
        <v>1578726018819284</v>
      </c>
      <c r="C3458" t="s">
        <v>40</v>
      </c>
      <c r="D3458">
        <v>4.1119389999999996</v>
      </c>
      <c r="E3458">
        <v>0.46095259999999999</v>
      </c>
      <c r="F3458" t="s">
        <v>52</v>
      </c>
      <c r="G3458">
        <v>-477.8451</v>
      </c>
      <c r="H3458" s="1">
        <v>2.684895E-6</v>
      </c>
      <c r="I3458">
        <v>219.31569999999999</v>
      </c>
      <c r="J3458">
        <v>-488.52730000000003</v>
      </c>
      <c r="K3458">
        <v>1.119632</v>
      </c>
      <c r="L3458">
        <v>229.65459999999999</v>
      </c>
      <c r="M3458">
        <v>0.39864050000000001</v>
      </c>
      <c r="N3458">
        <v>0</v>
      </c>
      <c r="O3458">
        <v>-0.91695009999999999</v>
      </c>
      <c r="P3458">
        <v>0.64555709999999999</v>
      </c>
      <c r="Q3458">
        <v>0.15852439999999901</v>
      </c>
      <c r="R3458">
        <v>-0.74707869999999998</v>
      </c>
      <c r="S3458">
        <v>2.2075200000000001</v>
      </c>
      <c r="T3458">
        <v>-0.2287506</v>
      </c>
      <c r="U3458">
        <v>-2.1630549999999999</v>
      </c>
      <c r="V3458">
        <v>-0.30011910000000003</v>
      </c>
      <c r="W3458">
        <v>0.16407620000000001</v>
      </c>
      <c r="X3458">
        <v>0.93968479999999999</v>
      </c>
      <c r="Y3458">
        <v>-0.37393799999999999</v>
      </c>
      <c r="Z3458">
        <v>7.3427320000000004E-2</v>
      </c>
      <c r="AA3458">
        <v>0.92454250000000004</v>
      </c>
      <c r="AB3458">
        <v>29</v>
      </c>
      <c r="AC3458">
        <v>10.6822</v>
      </c>
      <c r="AD3458">
        <v>-1.1196293151050001</v>
      </c>
      <c r="AE3458">
        <v>-10.338899999999899</v>
      </c>
      <c r="AF3458">
        <v>-5.6423534349802198</v>
      </c>
      <c r="AG3458">
        <v>-1.1196293151050001</v>
      </c>
      <c r="AH3458">
        <v>13.663093700759299</v>
      </c>
      <c r="AI3458">
        <v>94.331382847442697</v>
      </c>
      <c r="AJ3458">
        <v>112.438818762575</v>
      </c>
      <c r="AK3458">
        <v>14.8246366418946</v>
      </c>
      <c r="AL3458">
        <v>80.556426723284403</v>
      </c>
      <c r="AM3458">
        <v>107.712584267612</v>
      </c>
      <c r="AN3458">
        <v>0.99999999847114396</v>
      </c>
    </row>
    <row r="3459" spans="1:40" x14ac:dyDescent="0.3">
      <c r="A3459" t="str">
        <f>"20200111150018853"</f>
        <v>20200111150018853</v>
      </c>
      <c r="B3459" t="str">
        <f>"1578726018849539"</f>
        <v>1578726018849539</v>
      </c>
      <c r="C3459" t="s">
        <v>40</v>
      </c>
      <c r="D3459">
        <v>4.2164029999999997</v>
      </c>
      <c r="E3459">
        <v>0.46129890000000001</v>
      </c>
      <c r="F3459" t="s">
        <v>52</v>
      </c>
      <c r="G3459">
        <v>-477.27659999999997</v>
      </c>
      <c r="H3459" s="1">
        <v>2.9230330000000001E-6</v>
      </c>
      <c r="I3459">
        <v>218.99680000000001</v>
      </c>
      <c r="J3459">
        <v>-488.39609999999999</v>
      </c>
      <c r="K3459">
        <v>1.119756</v>
      </c>
      <c r="L3459">
        <v>229.40010000000001</v>
      </c>
      <c r="M3459">
        <v>0.41644330000000002</v>
      </c>
      <c r="N3459">
        <v>0</v>
      </c>
      <c r="O3459">
        <v>-0.90900139999999996</v>
      </c>
      <c r="P3459">
        <v>0.66029189999999904</v>
      </c>
      <c r="Q3459">
        <v>0.15857599999999999</v>
      </c>
      <c r="R3459">
        <v>-0.73407670000000003</v>
      </c>
      <c r="S3459">
        <v>2.243042</v>
      </c>
      <c r="T3459">
        <v>-0.223221</v>
      </c>
      <c r="U3459">
        <v>-2.1248469999999999</v>
      </c>
      <c r="V3459">
        <v>-0.3005525</v>
      </c>
      <c r="W3459">
        <v>0.16409079999999901</v>
      </c>
      <c r="X3459">
        <v>0.93954369999999998</v>
      </c>
      <c r="Y3459">
        <v>-0.37157780000000001</v>
      </c>
      <c r="Z3459">
        <v>7.1320060000000005E-2</v>
      </c>
      <c r="AA3459">
        <v>0.92565830000000004</v>
      </c>
      <c r="AB3459">
        <v>29</v>
      </c>
      <c r="AC3459">
        <v>11.1195</v>
      </c>
      <c r="AD3459">
        <v>-1.1197530769670001</v>
      </c>
      <c r="AE3459">
        <v>-10.4033</v>
      </c>
      <c r="AF3459">
        <v>-5.7450319700064103</v>
      </c>
      <c r="AG3459">
        <v>-1.1197530769670001</v>
      </c>
      <c r="AH3459">
        <v>14.0135305954815</v>
      </c>
      <c r="AI3459">
        <v>94.228374943252206</v>
      </c>
      <c r="AJ3459">
        <v>112.291824514715</v>
      </c>
      <c r="AK3459">
        <v>15.186779745563801</v>
      </c>
      <c r="AL3459">
        <v>80.555578535812799</v>
      </c>
      <c r="AM3459">
        <v>107.739057557488</v>
      </c>
      <c r="AN3459">
        <v>0.99999998005528901</v>
      </c>
    </row>
    <row r="3460" spans="1:40" x14ac:dyDescent="0.3">
      <c r="A3460" t="str">
        <f>"20200111150018874"</f>
        <v>20200111150018874</v>
      </c>
      <c r="B3460" t="str">
        <f>"1578726018869058"</f>
        <v>1578726018869058</v>
      </c>
      <c r="C3460" t="s">
        <v>40</v>
      </c>
      <c r="D3460">
        <v>4.2042299999999999</v>
      </c>
      <c r="E3460">
        <v>0.41038239999999998</v>
      </c>
      <c r="F3460" t="s">
        <v>52</v>
      </c>
      <c r="G3460">
        <v>-476.89710000000002</v>
      </c>
      <c r="H3460" s="1">
        <v>3.087291E-6</v>
      </c>
      <c r="I3460">
        <v>218.9041</v>
      </c>
      <c r="J3460">
        <v>-488.26819999999998</v>
      </c>
      <c r="K3460">
        <v>1.11985</v>
      </c>
      <c r="L3460">
        <v>229.1634</v>
      </c>
      <c r="M3460">
        <v>0.43319629999999998</v>
      </c>
      <c r="N3460">
        <v>0</v>
      </c>
      <c r="O3460">
        <v>-0.90113690000000002</v>
      </c>
      <c r="P3460">
        <v>0.67340330000000004</v>
      </c>
      <c r="Q3460">
        <v>0.1588195</v>
      </c>
      <c r="R3460">
        <v>-0.72201439999999995</v>
      </c>
      <c r="S3460">
        <v>2.2815249999999998</v>
      </c>
      <c r="T3460">
        <v>-0.2221718</v>
      </c>
      <c r="U3460">
        <v>-2.082535</v>
      </c>
      <c r="V3460">
        <v>-0.30015459999999999</v>
      </c>
      <c r="W3460">
        <v>0.16434009999999999</v>
      </c>
      <c r="X3460">
        <v>0.93962730000000005</v>
      </c>
      <c r="Y3460">
        <v>-0.37156630000000002</v>
      </c>
      <c r="Z3460">
        <v>7.0669560000000006E-2</v>
      </c>
      <c r="AA3460">
        <v>0.92571289999999995</v>
      </c>
      <c r="AB3460">
        <v>29</v>
      </c>
      <c r="AC3460">
        <v>11.371099999999901</v>
      </c>
      <c r="AD3460">
        <v>-1.1198469127090001</v>
      </c>
      <c r="AE3460">
        <v>-10.2592999999999</v>
      </c>
      <c r="AF3460">
        <v>-5.7726145292194397</v>
      </c>
      <c r="AG3460">
        <v>-1.1198469127090001</v>
      </c>
      <c r="AH3460">
        <v>14.0976569372194</v>
      </c>
      <c r="AI3460">
        <v>94.204304123421593</v>
      </c>
      <c r="AJ3460">
        <v>112.267791000388</v>
      </c>
      <c r="AK3460">
        <v>15.27485079241</v>
      </c>
      <c r="AL3460">
        <v>80.541097904685302</v>
      </c>
      <c r="AM3460">
        <v>107.715564696648</v>
      </c>
      <c r="AN3460">
        <v>0.99999995763722904</v>
      </c>
    </row>
    <row r="3461" spans="1:40" x14ac:dyDescent="0.3">
      <c r="A3461" t="str">
        <f>"20200111150018898"</f>
        <v>20200111150018898</v>
      </c>
      <c r="B3461" t="str">
        <f>"1578726018889555"</f>
        <v>1578726018889555</v>
      </c>
      <c r="C3461" t="s">
        <v>40</v>
      </c>
      <c r="D3461">
        <v>4.1907430000000003</v>
      </c>
      <c r="E3461">
        <v>0.39697539999999998</v>
      </c>
      <c r="F3461" t="s">
        <v>41</v>
      </c>
      <c r="G3461">
        <v>-487.505</v>
      </c>
      <c r="H3461">
        <v>1.083799</v>
      </c>
      <c r="I3461">
        <v>228.6497</v>
      </c>
      <c r="J3461">
        <v>-488.12430000000001</v>
      </c>
      <c r="K3461">
        <v>1.1199330000000001</v>
      </c>
      <c r="L3461">
        <v>228.90889999999999</v>
      </c>
      <c r="M3461">
        <v>0.45138159999999999</v>
      </c>
      <c r="N3461">
        <v>0</v>
      </c>
      <c r="O3461">
        <v>-0.8921654</v>
      </c>
      <c r="P3461">
        <v>0.6867181</v>
      </c>
      <c r="Q3461">
        <v>0.15747809999999901</v>
      </c>
      <c r="R3461">
        <v>-0.70966149999999995</v>
      </c>
      <c r="S3461">
        <v>2.604797</v>
      </c>
      <c r="T3461">
        <v>-0.1229783</v>
      </c>
      <c r="U3461">
        <v>-1.7527159999999999</v>
      </c>
      <c r="V3461">
        <v>-0.29843059999999899</v>
      </c>
      <c r="W3461">
        <v>0.16306860000000001</v>
      </c>
      <c r="X3461">
        <v>0.9403977</v>
      </c>
      <c r="Y3461">
        <v>-0.48757539999999999</v>
      </c>
      <c r="Z3461">
        <v>3.9530019999999999E-2</v>
      </c>
      <c r="AA3461">
        <v>0.87218549999999995</v>
      </c>
      <c r="AB3461">
        <v>29</v>
      </c>
      <c r="AC3461">
        <v>0.61930000000000895</v>
      </c>
      <c r="AD3461">
        <v>-3.6134000000000097E-2</v>
      </c>
      <c r="AE3461">
        <v>-0.25919999999999199</v>
      </c>
      <c r="AF3461">
        <v>-0.434326111360678</v>
      </c>
      <c r="AG3461">
        <v>-3.6134000000000097E-2</v>
      </c>
      <c r="AH3461">
        <v>0.50938976277167003</v>
      </c>
      <c r="AI3461">
        <v>93.089737956240896</v>
      </c>
      <c r="AJ3461">
        <v>130.45223853886901</v>
      </c>
      <c r="AK3461">
        <v>0.670390011398042</v>
      </c>
      <c r="AL3461">
        <v>80.614946267148895</v>
      </c>
      <c r="AM3461">
        <v>107.606580442899</v>
      </c>
      <c r="AN3461">
        <v>1.0000000127438</v>
      </c>
    </row>
    <row r="3462" spans="1:40" x14ac:dyDescent="0.3">
      <c r="A3462" t="str">
        <f>"20200111150018920"</f>
        <v>20200111150018920</v>
      </c>
      <c r="B3462" t="str">
        <f>"1578726018909075"</f>
        <v>1578726018909075</v>
      </c>
      <c r="C3462" t="s">
        <v>40</v>
      </c>
      <c r="D3462">
        <v>4.1447419999999999</v>
      </c>
      <c r="E3462">
        <v>0.39381899999999997</v>
      </c>
      <c r="F3462" t="s">
        <v>42</v>
      </c>
      <c r="G3462">
        <v>-434.7604</v>
      </c>
      <c r="H3462">
        <v>7.9986009999999996E-2</v>
      </c>
      <c r="I3462">
        <v>196.95779999999999</v>
      </c>
      <c r="J3462">
        <v>-487.98250000000002</v>
      </c>
      <c r="K3462">
        <v>1.119996</v>
      </c>
      <c r="L3462">
        <v>228.6696</v>
      </c>
      <c r="M3462">
        <v>0.46862939999999997</v>
      </c>
      <c r="N3462">
        <v>0</v>
      </c>
      <c r="O3462">
        <v>-0.88322619999999896</v>
      </c>
      <c r="P3462">
        <v>0.69894579999999995</v>
      </c>
      <c r="Q3462">
        <v>0.15645020000000001</v>
      </c>
      <c r="R3462">
        <v>-0.69785269999999899</v>
      </c>
      <c r="S3462">
        <v>2.7062379999999999</v>
      </c>
      <c r="T3462">
        <v>-5.2738790000000001E-2</v>
      </c>
      <c r="U3462">
        <v>-1.620331</v>
      </c>
      <c r="V3462">
        <v>-0.29637950000000002</v>
      </c>
      <c r="W3462">
        <v>0.16212950000000001</v>
      </c>
      <c r="X3462">
        <v>0.94120839999999995</v>
      </c>
      <c r="Y3462">
        <v>-0.51698880000000003</v>
      </c>
      <c r="Z3462">
        <v>1.6950779999999999E-2</v>
      </c>
      <c r="AA3462">
        <v>0.85582429999999998</v>
      </c>
      <c r="AB3462">
        <v>29</v>
      </c>
      <c r="AC3462">
        <v>53.222099999999998</v>
      </c>
      <c r="AD3462">
        <v>-1.0400099899999999</v>
      </c>
      <c r="AE3462">
        <v>-31.7118</v>
      </c>
      <c r="AF3462">
        <v>-32.141803982860999</v>
      </c>
      <c r="AG3462">
        <v>-1.0400099899999999</v>
      </c>
      <c r="AH3462">
        <v>52.943104337428501</v>
      </c>
      <c r="AI3462">
        <v>90.962002475888497</v>
      </c>
      <c r="AJ3462">
        <v>121.261973348911</v>
      </c>
      <c r="AK3462">
        <v>61.944729242573999</v>
      </c>
      <c r="AL3462">
        <v>80.669478481844294</v>
      </c>
      <c r="AM3462">
        <v>107.478825720215</v>
      </c>
      <c r="AN3462">
        <v>1.0000000175105199</v>
      </c>
    </row>
    <row r="3463" spans="1:40" x14ac:dyDescent="0.3">
      <c r="A3463" t="str">
        <f>"20200111150018943"</f>
        <v>20200111150018943</v>
      </c>
      <c r="B3463" t="str">
        <f>"1578726018939329"</f>
        <v>1578726018939329</v>
      </c>
      <c r="C3463" t="s">
        <v>40</v>
      </c>
      <c r="D3463">
        <v>4.2117529999999999</v>
      </c>
      <c r="E3463">
        <v>0.39297539999999997</v>
      </c>
      <c r="F3463" t="s">
        <v>42</v>
      </c>
      <c r="G3463">
        <v>-411.93079999999998</v>
      </c>
      <c r="H3463" s="1">
        <v>-4.1993580000000001E-6</v>
      </c>
      <c r="I3463">
        <v>185.679</v>
      </c>
      <c r="J3463">
        <v>-487.8372</v>
      </c>
      <c r="K3463">
        <v>1.1200300000000001</v>
      </c>
      <c r="L3463">
        <v>228.4357</v>
      </c>
      <c r="M3463">
        <v>0.48563190000000001</v>
      </c>
      <c r="N3463">
        <v>0</v>
      </c>
      <c r="O3463">
        <v>-0.87399230000000006</v>
      </c>
      <c r="P3463">
        <v>0.71051219999999904</v>
      </c>
      <c r="Q3463">
        <v>0.15495139999999999</v>
      </c>
      <c r="R3463">
        <v>-0.68641319999999995</v>
      </c>
      <c r="S3463">
        <v>2.7495120000000002</v>
      </c>
      <c r="T3463">
        <v>-4.0491579999999999E-2</v>
      </c>
      <c r="U3463">
        <v>-1.5542450000000001</v>
      </c>
      <c r="V3463">
        <v>-0.29369459999999997</v>
      </c>
      <c r="W3463">
        <v>0.16075210000000001</v>
      </c>
      <c r="X3463">
        <v>0.9422857</v>
      </c>
      <c r="Y3463">
        <v>-0.52186339999999998</v>
      </c>
      <c r="Z3463">
        <v>1.295933E-2</v>
      </c>
      <c r="AA3463">
        <v>0.85293069999999904</v>
      </c>
      <c r="AB3463">
        <v>29</v>
      </c>
      <c r="AC3463">
        <v>75.906400000000005</v>
      </c>
      <c r="AD3463">
        <v>-1.1200341993580001</v>
      </c>
      <c r="AE3463">
        <v>-42.756700000000002</v>
      </c>
      <c r="AF3463">
        <v>-45.576876676307002</v>
      </c>
      <c r="AG3463">
        <v>-1.1200341993580001</v>
      </c>
      <c r="AH3463">
        <v>74.230431340235199</v>
      </c>
      <c r="AI3463">
        <v>90.736687406849597</v>
      </c>
      <c r="AJ3463">
        <v>121.549584093231</v>
      </c>
      <c r="AK3463">
        <v>87.112933030247504</v>
      </c>
      <c r="AL3463">
        <v>80.749446970296205</v>
      </c>
      <c r="AM3463">
        <v>107.311377928504</v>
      </c>
      <c r="AN3463">
        <v>1.0000000480740201</v>
      </c>
    </row>
    <row r="3464" spans="1:40" x14ac:dyDescent="0.3">
      <c r="A3464" t="str">
        <f>"20200111150018964"</f>
        <v>20200111150018964</v>
      </c>
      <c r="B3464" t="str">
        <f>"1578726018959487"</f>
        <v>1578726018959487</v>
      </c>
      <c r="C3464" t="s">
        <v>40</v>
      </c>
      <c r="D3464">
        <v>4.1748710000000004</v>
      </c>
      <c r="E3464">
        <v>0.39319110000000002</v>
      </c>
      <c r="F3464" t="s">
        <v>57</v>
      </c>
      <c r="G3464">
        <v>-389.2355</v>
      </c>
      <c r="H3464">
        <v>9.3826930000000003E-2</v>
      </c>
      <c r="I3464">
        <v>175.09620000000001</v>
      </c>
      <c r="J3464">
        <v>-487.69060000000002</v>
      </c>
      <c r="K3464">
        <v>1.120052</v>
      </c>
      <c r="L3464">
        <v>228.20959999999999</v>
      </c>
      <c r="M3464">
        <v>0.50218490000000005</v>
      </c>
      <c r="N3464">
        <v>0</v>
      </c>
      <c r="O3464">
        <v>-0.86458649999999904</v>
      </c>
      <c r="P3464">
        <v>0.72193940000000001</v>
      </c>
      <c r="Q3464">
        <v>0.15493660000000001</v>
      </c>
      <c r="R3464">
        <v>-0.67438759999999998</v>
      </c>
      <c r="S3464">
        <v>2.7772220000000001</v>
      </c>
      <c r="T3464">
        <v>-2.8904079999999999E-2</v>
      </c>
      <c r="U3464">
        <v>-1.502365</v>
      </c>
      <c r="V3464">
        <v>-0.29158529999999999</v>
      </c>
      <c r="W3464">
        <v>0.160834</v>
      </c>
      <c r="X3464">
        <v>0.9429265</v>
      </c>
      <c r="Y3464">
        <v>-0.52154520000000004</v>
      </c>
      <c r="Z3464">
        <v>9.2092159999999992E-3</v>
      </c>
      <c r="AA3464">
        <v>0.85317399999999999</v>
      </c>
      <c r="AB3464">
        <v>28</v>
      </c>
      <c r="AC3464">
        <v>98.455100000000002</v>
      </c>
      <c r="AD3464">
        <v>-1.02622507</v>
      </c>
      <c r="AE3464">
        <v>-53.113399999999899</v>
      </c>
      <c r="AF3464">
        <v>-58.454068137373497</v>
      </c>
      <c r="AG3464">
        <v>-1.02622507</v>
      </c>
      <c r="AH3464">
        <v>95.370099527155702</v>
      </c>
      <c r="AI3464">
        <v>90.525634550935095</v>
      </c>
      <c r="AJ3464">
        <v>121.504889691427</v>
      </c>
      <c r="AK3464">
        <v>111.863251801128</v>
      </c>
      <c r="AL3464">
        <v>80.744691887130102</v>
      </c>
      <c r="AM3464">
        <v>107.183407198876</v>
      </c>
      <c r="AN3464">
        <v>0.99999997356716896</v>
      </c>
    </row>
    <row r="3465" spans="1:40" x14ac:dyDescent="0.3">
      <c r="A3465" t="str">
        <f>"20200111150018989"</f>
        <v>20200111150018989</v>
      </c>
      <c r="B3465" t="str">
        <f>"1578726018979007"</f>
        <v>1578726018979007</v>
      </c>
      <c r="C3465" t="s">
        <v>40</v>
      </c>
      <c r="D3465">
        <v>4.1617980000000001</v>
      </c>
      <c r="E3465">
        <v>0.39411010000000002</v>
      </c>
      <c r="F3465" t="s">
        <v>57</v>
      </c>
      <c r="G3465">
        <v>-389.2355</v>
      </c>
      <c r="H3465">
        <v>0.2348266</v>
      </c>
      <c r="I3465">
        <v>177.02369999999999</v>
      </c>
      <c r="J3465">
        <v>-487.52429999999998</v>
      </c>
      <c r="K3465">
        <v>1.1200749999999999</v>
      </c>
      <c r="L3465">
        <v>227.96440000000001</v>
      </c>
      <c r="M3465">
        <v>0.52024229999999905</v>
      </c>
      <c r="N3465">
        <v>0</v>
      </c>
      <c r="O3465">
        <v>-0.85384210000000005</v>
      </c>
      <c r="P3465">
        <v>0.7350352</v>
      </c>
      <c r="Q3465">
        <v>0.1566562</v>
      </c>
      <c r="R3465">
        <v>-0.65968380000000004</v>
      </c>
      <c r="S3465">
        <v>2.800751</v>
      </c>
      <c r="T3465">
        <v>-2.5182010000000001E-2</v>
      </c>
      <c r="U3465">
        <v>-1.4560850000000001</v>
      </c>
      <c r="V3465">
        <v>-0.29055819999999999</v>
      </c>
      <c r="W3465">
        <v>0.1626061</v>
      </c>
      <c r="X3465">
        <v>0.94293959999999999</v>
      </c>
      <c r="Y3465">
        <v>-0.51764769999999904</v>
      </c>
      <c r="Z3465">
        <v>7.9702790000000003E-3</v>
      </c>
      <c r="AA3465">
        <v>0.85555669999999995</v>
      </c>
      <c r="AB3465">
        <v>28</v>
      </c>
      <c r="AC3465">
        <v>98.288799999999895</v>
      </c>
      <c r="AD3465">
        <v>-0.88524839999999905</v>
      </c>
      <c r="AE3465">
        <v>-50.9407</v>
      </c>
      <c r="AF3465">
        <v>-57.426598069971298</v>
      </c>
      <c r="AG3465">
        <v>-0.88524839999999905</v>
      </c>
      <c r="AH3465">
        <v>94.637528374835398</v>
      </c>
      <c r="AI3465">
        <v>90.458182229863496</v>
      </c>
      <c r="AJ3465">
        <v>121.24961773344501</v>
      </c>
      <c r="AK3465">
        <v>110.70166939806001</v>
      </c>
      <c r="AL3465">
        <v>80.641803448077397</v>
      </c>
      <c r="AM3465">
        <v>107.12620237669699</v>
      </c>
      <c r="AN3465">
        <v>0.99999995029630295</v>
      </c>
    </row>
    <row r="3466" spans="1:40" x14ac:dyDescent="0.3">
      <c r="A3466" t="str">
        <f>"20200111150019012"</f>
        <v>20200111150019012</v>
      </c>
      <c r="B3466" t="str">
        <f>"1578726019009262"</f>
        <v>1578726019009262</v>
      </c>
      <c r="C3466" t="s">
        <v>40</v>
      </c>
      <c r="D3466">
        <v>4.1479949999999999</v>
      </c>
      <c r="E3466">
        <v>0.39591310000000002</v>
      </c>
      <c r="F3466" t="s">
        <v>57</v>
      </c>
      <c r="G3466">
        <v>-389.2355</v>
      </c>
      <c r="H3466">
        <v>0.41397430000000002</v>
      </c>
      <c r="I3466">
        <v>179.05099999999999</v>
      </c>
      <c r="J3466">
        <v>-487.3553</v>
      </c>
      <c r="K3466">
        <v>1.120082</v>
      </c>
      <c r="L3466">
        <v>227.7259</v>
      </c>
      <c r="M3466">
        <v>0.53789690000000001</v>
      </c>
      <c r="N3466">
        <v>0</v>
      </c>
      <c r="O3466">
        <v>-0.842831</v>
      </c>
      <c r="P3466">
        <v>0.74922949999999999</v>
      </c>
      <c r="Q3466">
        <v>0.15479789999999999</v>
      </c>
      <c r="R3466">
        <v>-0.64396679999999995</v>
      </c>
      <c r="S3466">
        <v>2.8243100000000001</v>
      </c>
      <c r="T3466">
        <v>-2.0289660000000001E-2</v>
      </c>
      <c r="U3466">
        <v>-1.405518</v>
      </c>
      <c r="V3466">
        <v>-0.29117609999999999</v>
      </c>
      <c r="W3466">
        <v>0.160741299999999</v>
      </c>
      <c r="X3466">
        <v>0.94306880000000004</v>
      </c>
      <c r="Y3466">
        <v>-0.51496730000000002</v>
      </c>
      <c r="Z3466">
        <v>6.3808229999999999E-3</v>
      </c>
      <c r="AA3466">
        <v>0.85718609999999995</v>
      </c>
      <c r="AB3466">
        <v>28</v>
      </c>
      <c r="AC3466">
        <v>98.119799999999998</v>
      </c>
      <c r="AD3466">
        <v>-0.70610769999999901</v>
      </c>
      <c r="AE3466">
        <v>-48.674900000000001</v>
      </c>
      <c r="AF3466">
        <v>-56.522541618502601</v>
      </c>
      <c r="AG3466">
        <v>-0.70610769999999901</v>
      </c>
      <c r="AH3466">
        <v>93.813358414607407</v>
      </c>
      <c r="AI3466">
        <v>90.369380504239302</v>
      </c>
      <c r="AJ3466">
        <v>121.068960441949</v>
      </c>
      <c r="AK3466">
        <v>109.527359669294</v>
      </c>
      <c r="AL3466">
        <v>80.750073694324101</v>
      </c>
      <c r="AM3466">
        <v>107.158272734768</v>
      </c>
      <c r="AN3466">
        <v>1.0000000241351601</v>
      </c>
    </row>
    <row r="3467" spans="1:40" x14ac:dyDescent="0.3">
      <c r="A3467" t="str">
        <f>"20200111150019033"</f>
        <v>20200111150019033</v>
      </c>
      <c r="B3467" t="str">
        <f>"1578726019028783"</f>
        <v>1578726019028783</v>
      </c>
      <c r="C3467" t="s">
        <v>40</v>
      </c>
      <c r="D3467">
        <v>4.1235970000000002</v>
      </c>
      <c r="E3467">
        <v>0.39711560000000001</v>
      </c>
      <c r="F3467" t="s">
        <v>57</v>
      </c>
      <c r="G3467">
        <v>-389.2355</v>
      </c>
      <c r="H3467">
        <v>0.1197737</v>
      </c>
      <c r="I3467">
        <v>180.95750000000001</v>
      </c>
      <c r="J3467">
        <v>-487.19929999999999</v>
      </c>
      <c r="K3467">
        <v>1.120085</v>
      </c>
      <c r="L3467">
        <v>227.5147</v>
      </c>
      <c r="M3467">
        <v>0.55360010000000004</v>
      </c>
      <c r="N3467">
        <v>0</v>
      </c>
      <c r="O3467">
        <v>-0.83260069999999997</v>
      </c>
      <c r="P3467">
        <v>0.76157030000000003</v>
      </c>
      <c r="Q3467">
        <v>0.1541129</v>
      </c>
      <c r="R3467">
        <v>-0.6294923</v>
      </c>
      <c r="S3467">
        <v>2.8446959999999999</v>
      </c>
      <c r="T3467">
        <v>-2.9000999999999999E-2</v>
      </c>
      <c r="U3467">
        <v>-1.3559110000000001</v>
      </c>
      <c r="V3467">
        <v>-0.29166520000000001</v>
      </c>
      <c r="W3467">
        <v>0.16005129999999901</v>
      </c>
      <c r="X3467">
        <v>0.94303499999999996</v>
      </c>
      <c r="Y3467">
        <v>-0.513428</v>
      </c>
      <c r="Z3467">
        <v>9.0711019999999993E-3</v>
      </c>
      <c r="AA3467">
        <v>0.85808469999999903</v>
      </c>
      <c r="AB3467">
        <v>28</v>
      </c>
      <c r="AC3467">
        <v>97.963800000000006</v>
      </c>
      <c r="AD3467">
        <v>-1.0003112999999999</v>
      </c>
      <c r="AE3467">
        <v>-46.557200000000002</v>
      </c>
      <c r="AF3467">
        <v>-55.794366620605203</v>
      </c>
      <c r="AG3467">
        <v>-1.0003112999999999</v>
      </c>
      <c r="AH3467">
        <v>93.002508813393405</v>
      </c>
      <c r="AI3467">
        <v>90.528440482904401</v>
      </c>
      <c r="AJ3467">
        <v>120.960522674293</v>
      </c>
      <c r="AK3467">
        <v>108.45957133824901</v>
      </c>
      <c r="AL3467">
        <v>80.790126218885604</v>
      </c>
      <c r="AM3467">
        <v>107.18597734695599</v>
      </c>
      <c r="AN3467">
        <v>1.0000000093738599</v>
      </c>
    </row>
    <row r="3468" spans="1:40" x14ac:dyDescent="0.3">
      <c r="A3468" t="str">
        <f>"20200111150019055"</f>
        <v>20200111150019055</v>
      </c>
      <c r="B3468" t="str">
        <f>"1578726019049279"</f>
        <v>1578726019049279</v>
      </c>
      <c r="C3468" t="s">
        <v>40</v>
      </c>
      <c r="D3468">
        <v>4.2184670000000004</v>
      </c>
      <c r="E3468">
        <v>0.39844679999999999</v>
      </c>
      <c r="F3468" t="s">
        <v>43</v>
      </c>
      <c r="G3468">
        <v>-385.07279999999997</v>
      </c>
      <c r="H3468">
        <v>-0.05</v>
      </c>
      <c r="I3468">
        <v>180.91030000000001</v>
      </c>
      <c r="J3468">
        <v>-487.03840000000002</v>
      </c>
      <c r="K3468">
        <v>1.120079</v>
      </c>
      <c r="L3468">
        <v>227.30529999999999</v>
      </c>
      <c r="M3468">
        <v>0.56924249999999998</v>
      </c>
      <c r="N3468">
        <v>0</v>
      </c>
      <c r="O3468">
        <v>-0.82198470000000001</v>
      </c>
      <c r="P3468">
        <v>0.77334630000000004</v>
      </c>
      <c r="Q3468">
        <v>0.15457279999999901</v>
      </c>
      <c r="R3468">
        <v>-0.61485199999999995</v>
      </c>
      <c r="S3468">
        <v>2.8651430000000002</v>
      </c>
      <c r="T3468">
        <v>-3.2826540000000001E-2</v>
      </c>
      <c r="U3468">
        <v>-1.30748</v>
      </c>
      <c r="V3468">
        <v>-0.29176540000000001</v>
      </c>
      <c r="W3468">
        <v>0.16052149999999901</v>
      </c>
      <c r="X3468">
        <v>0.94292410000000004</v>
      </c>
      <c r="Y3468">
        <v>-0.51149940000000005</v>
      </c>
      <c r="Z3468">
        <v>1.0201160000000001E-2</v>
      </c>
      <c r="AA3468">
        <v>0.85922310000000002</v>
      </c>
      <c r="AB3468">
        <v>28</v>
      </c>
      <c r="AC3468">
        <v>101.96559999999999</v>
      </c>
      <c r="AD3468">
        <v>-1.1700790000000001</v>
      </c>
      <c r="AE3468">
        <v>-46.394999999999897</v>
      </c>
      <c r="AF3468">
        <v>-57.406625696447797</v>
      </c>
      <c r="AG3468">
        <v>-1.1700790000000001</v>
      </c>
      <c r="AH3468">
        <v>96.183268881812396</v>
      </c>
      <c r="AI3468">
        <v>90.598489505759005</v>
      </c>
      <c r="AJ3468">
        <v>120.830707562236</v>
      </c>
      <c r="AK3468">
        <v>112.018351047983</v>
      </c>
      <c r="AL3468">
        <v>80.762833042502194</v>
      </c>
      <c r="AM3468">
        <v>107.193436248551</v>
      </c>
      <c r="AN3468">
        <v>1.0000000294800999</v>
      </c>
    </row>
    <row r="3469" spans="1:40" x14ac:dyDescent="0.3">
      <c r="A3469" t="str">
        <f>"20200111150019077"</f>
        <v>20200111150019077</v>
      </c>
      <c r="B3469" t="str">
        <f>"1578726019069459"</f>
        <v>1578726019069459</v>
      </c>
      <c r="C3469" t="s">
        <v>40</v>
      </c>
      <c r="D3469">
        <v>4.0520389999999997</v>
      </c>
      <c r="E3469">
        <v>0.39916449999999998</v>
      </c>
      <c r="F3469" t="s">
        <v>43</v>
      </c>
      <c r="G3469">
        <v>-391.9273</v>
      </c>
      <c r="H3469">
        <v>-0.05</v>
      </c>
      <c r="I3469">
        <v>185.71340000000001</v>
      </c>
      <c r="J3469">
        <v>-486.86939999999998</v>
      </c>
      <c r="K3469">
        <v>1.1200619999999999</v>
      </c>
      <c r="L3469">
        <v>227.09389999999999</v>
      </c>
      <c r="M3469">
        <v>0.58508939999999998</v>
      </c>
      <c r="N3469">
        <v>0</v>
      </c>
      <c r="O3469">
        <v>-0.81078099999999997</v>
      </c>
      <c r="P3469">
        <v>0.78508690000000003</v>
      </c>
      <c r="Q3469">
        <v>0.15262239999999999</v>
      </c>
      <c r="R3469">
        <v>-0.60028729999999997</v>
      </c>
      <c r="S3469">
        <v>2.8837280000000001</v>
      </c>
      <c r="T3469">
        <v>-3.547633E-2</v>
      </c>
      <c r="U3469">
        <v>-1.261047</v>
      </c>
      <c r="V3469">
        <v>-0.29132639999999999</v>
      </c>
      <c r="W3469">
        <v>0.1586089</v>
      </c>
      <c r="X3469">
        <v>0.94338330000000004</v>
      </c>
      <c r="Y3469">
        <v>-0.50844709999999904</v>
      </c>
      <c r="Z3469">
        <v>1.094171E-2</v>
      </c>
      <c r="AA3469">
        <v>0.86102369999999995</v>
      </c>
      <c r="AB3469">
        <v>28</v>
      </c>
      <c r="AC3469">
        <v>94.942099999999897</v>
      </c>
      <c r="AD3469">
        <v>-1.1700619999999999</v>
      </c>
      <c r="AE3469">
        <v>-41.380499999999898</v>
      </c>
      <c r="AF3469">
        <v>-52.767261117724701</v>
      </c>
      <c r="AG3469">
        <v>-1.1700619999999999</v>
      </c>
      <c r="AH3469">
        <v>89.102338469573496</v>
      </c>
      <c r="AI3469">
        <v>90.647355004683206</v>
      </c>
      <c r="AJ3469">
        <v>120.634424970889</v>
      </c>
      <c r="AK3469">
        <v>103.561477450335</v>
      </c>
      <c r="AL3469">
        <v>80.873838536971505</v>
      </c>
      <c r="AM3469">
        <v>107.16122237800801</v>
      </c>
      <c r="AN3469">
        <v>0.99999995260752805</v>
      </c>
    </row>
    <row r="3470" spans="1:40" x14ac:dyDescent="0.3">
      <c r="A3470" t="str">
        <f>"20200111150019100"</f>
        <v>20200111150019100</v>
      </c>
      <c r="B3470" t="str">
        <f>"1578726019088981"</f>
        <v>1578726019088981</v>
      </c>
      <c r="C3470" t="s">
        <v>40</v>
      </c>
      <c r="D3470">
        <v>4.1420579999999996</v>
      </c>
      <c r="E3470">
        <v>0.41523549999999998</v>
      </c>
      <c r="F3470" t="s">
        <v>42</v>
      </c>
      <c r="G3470">
        <v>-409.95780000000002</v>
      </c>
      <c r="H3470">
        <v>3.7388919999999999E-2</v>
      </c>
      <c r="I3470">
        <v>195.04329999999999</v>
      </c>
      <c r="J3470">
        <v>-486.69009999999997</v>
      </c>
      <c r="K3470">
        <v>1.120039</v>
      </c>
      <c r="L3470">
        <v>226.8784</v>
      </c>
      <c r="M3470">
        <v>0.60130139999999999</v>
      </c>
      <c r="N3470">
        <v>0</v>
      </c>
      <c r="O3470">
        <v>-0.79883159999999998</v>
      </c>
      <c r="P3470">
        <v>0.7965371</v>
      </c>
      <c r="Q3470">
        <v>0.15116389999999999</v>
      </c>
      <c r="R3470">
        <v>-0.58538749999999995</v>
      </c>
      <c r="S3470">
        <v>2.90387</v>
      </c>
      <c r="T3470">
        <v>-4.0877339999999998E-2</v>
      </c>
      <c r="U3470">
        <v>-1.2100979999999999</v>
      </c>
      <c r="V3470">
        <v>-0.29026350000000001</v>
      </c>
      <c r="W3470">
        <v>0.15721559999999901</v>
      </c>
      <c r="X3470">
        <v>0.94394400000000001</v>
      </c>
      <c r="Y3470">
        <v>-0.50606549999999995</v>
      </c>
      <c r="Z3470">
        <v>1.250396E-2</v>
      </c>
      <c r="AA3470">
        <v>0.86240439999999996</v>
      </c>
      <c r="AB3470">
        <v>28</v>
      </c>
      <c r="AC3470">
        <v>76.732299999999896</v>
      </c>
      <c r="AD3470">
        <v>-1.0826500800000001</v>
      </c>
      <c r="AE3470">
        <v>-31.835100000000001</v>
      </c>
      <c r="AF3470">
        <v>-42.1529600638396</v>
      </c>
      <c r="AG3470">
        <v>-1.0826500800000001</v>
      </c>
      <c r="AH3470">
        <v>71.568874155317005</v>
      </c>
      <c r="AI3470">
        <v>90.746781998656203</v>
      </c>
      <c r="AJ3470">
        <v>120.497427253596</v>
      </c>
      <c r="AK3470">
        <v>83.067129005395302</v>
      </c>
      <c r="AL3470">
        <v>80.954683167227302</v>
      </c>
      <c r="AM3470">
        <v>107.092702877638</v>
      </c>
      <c r="AN3470">
        <v>0.99999995972580402</v>
      </c>
    </row>
    <row r="3471" spans="1:40" x14ac:dyDescent="0.3">
      <c r="A3471" t="str">
        <f>"20200111150019124"</f>
        <v>20200111150019124</v>
      </c>
      <c r="B3471" t="str">
        <f>"1578726019119236"</f>
        <v>1578726019119236</v>
      </c>
      <c r="C3471" t="s">
        <v>40</v>
      </c>
      <c r="D3471">
        <v>4.1458389999999996</v>
      </c>
      <c r="E3471">
        <v>0.41786459999999997</v>
      </c>
      <c r="F3471" t="s">
        <v>62</v>
      </c>
      <c r="G3471">
        <v>-440.16550000000001</v>
      </c>
      <c r="H3471">
        <v>8.0001779999999995E-2</v>
      </c>
      <c r="I3471">
        <v>206.32810000000001</v>
      </c>
      <c r="J3471">
        <v>-486.5052</v>
      </c>
      <c r="K3471">
        <v>1.120018</v>
      </c>
      <c r="L3471">
        <v>226.66579999999999</v>
      </c>
      <c r="M3471">
        <v>0.61737410000000004</v>
      </c>
      <c r="N3471">
        <v>0</v>
      </c>
      <c r="O3471">
        <v>-0.78647579999999995</v>
      </c>
      <c r="P3471">
        <v>0.80720700000000001</v>
      </c>
      <c r="Q3471">
        <v>0.1509035</v>
      </c>
      <c r="R3471">
        <v>-0.57065359999999998</v>
      </c>
      <c r="S3471">
        <v>2.8524780000000001</v>
      </c>
      <c r="T3471">
        <v>-6.3765879999999997E-2</v>
      </c>
      <c r="U3471">
        <v>-1.2599640000000001</v>
      </c>
      <c r="V3471">
        <v>-0.28848750000000001</v>
      </c>
      <c r="W3471">
        <v>0.15704749999999901</v>
      </c>
      <c r="X3471">
        <v>0.94451629999999998</v>
      </c>
      <c r="Y3471">
        <v>-0.46983639999999999</v>
      </c>
      <c r="Z3471">
        <v>1.9232820000000001E-2</v>
      </c>
      <c r="AA3471">
        <v>0.882544</v>
      </c>
      <c r="AB3471">
        <v>28</v>
      </c>
      <c r="AC3471">
        <v>46.339699999999901</v>
      </c>
      <c r="AD3471">
        <v>-1.04001622</v>
      </c>
      <c r="AE3471">
        <v>-20.337699999999899</v>
      </c>
      <c r="AF3471">
        <v>-23.882640922195399</v>
      </c>
      <c r="AG3471">
        <v>-1.04001622</v>
      </c>
      <c r="AH3471">
        <v>44.592010519800603</v>
      </c>
      <c r="AI3471">
        <v>91.177825685731506</v>
      </c>
      <c r="AJ3471">
        <v>118.172663329785</v>
      </c>
      <c r="AK3471">
        <v>50.595548948048702</v>
      </c>
      <c r="AL3471">
        <v>80.964436085885097</v>
      </c>
      <c r="AM3471">
        <v>106.98445919192</v>
      </c>
      <c r="AN3471">
        <v>0.999999997939094</v>
      </c>
    </row>
    <row r="3472" spans="1:40" x14ac:dyDescent="0.3">
      <c r="A3472" t="str">
        <f>"20200111150019145"</f>
        <v>20200111150019145</v>
      </c>
      <c r="B3472" t="str">
        <f>"1578726019139731"</f>
        <v>1578726019139731</v>
      </c>
      <c r="C3472" t="s">
        <v>40</v>
      </c>
      <c r="D3472">
        <v>4.1557529999999998</v>
      </c>
      <c r="E3472">
        <v>0.41941800000000001</v>
      </c>
      <c r="F3472" t="s">
        <v>41</v>
      </c>
      <c r="G3472">
        <v>-485.51280000000003</v>
      </c>
      <c r="H3472">
        <v>1.0936410000000001</v>
      </c>
      <c r="I3472">
        <v>226.24170000000001</v>
      </c>
      <c r="J3472">
        <v>-486.32409999999999</v>
      </c>
      <c r="K3472">
        <v>1.1199939999999999</v>
      </c>
      <c r="L3472">
        <v>226.4659</v>
      </c>
      <c r="M3472">
        <v>0.63255299999999903</v>
      </c>
      <c r="N3472">
        <v>0</v>
      </c>
      <c r="O3472">
        <v>-0.77431989999999995</v>
      </c>
      <c r="P3472">
        <v>0.81695419999999996</v>
      </c>
      <c r="Q3472">
        <v>0.15106789999999901</v>
      </c>
      <c r="R3472">
        <v>-0.55656510000000003</v>
      </c>
      <c r="S3472">
        <v>2.8652039999999999</v>
      </c>
      <c r="T3472">
        <v>-7.6139449999999997E-2</v>
      </c>
      <c r="U3472">
        <v>-1.22439599999999</v>
      </c>
      <c r="V3472">
        <v>-0.28647309999999998</v>
      </c>
      <c r="W3472">
        <v>0.1573136</v>
      </c>
      <c r="X3472">
        <v>0.94508499999999995</v>
      </c>
      <c r="Y3472">
        <v>-0.4632426</v>
      </c>
      <c r="Z3472">
        <v>2.271635E-2</v>
      </c>
      <c r="AA3472">
        <v>0.88594039999999996</v>
      </c>
      <c r="AB3472">
        <v>28</v>
      </c>
      <c r="AC3472">
        <v>0.81129999999996005</v>
      </c>
      <c r="AD3472">
        <v>-2.6353000000000001E-2</v>
      </c>
      <c r="AE3472">
        <v>-0.22419999999999601</v>
      </c>
      <c r="AF3472">
        <v>-0.48598525254624902</v>
      </c>
      <c r="AG3472">
        <v>-2.6353000000000001E-2</v>
      </c>
      <c r="AH3472">
        <v>0.68622499423748595</v>
      </c>
      <c r="AI3472">
        <v>91.795040808387796</v>
      </c>
      <c r="AJ3472">
        <v>125.30616561964401</v>
      </c>
      <c r="AK3472">
        <v>0.84129714668342903</v>
      </c>
      <c r="AL3472">
        <v>80.948998085202703</v>
      </c>
      <c r="AM3472">
        <v>106.863046531164</v>
      </c>
      <c r="AN3472">
        <v>1.0000000314967801</v>
      </c>
    </row>
    <row r="3473" spans="1:40" x14ac:dyDescent="0.3">
      <c r="A3473" t="str">
        <f>"20200111150019168"</f>
        <v>20200111150019168</v>
      </c>
      <c r="B3473" t="str">
        <f>"1578726019159251"</f>
        <v>1578726019159251</v>
      </c>
      <c r="C3473" t="s">
        <v>40</v>
      </c>
      <c r="D3473">
        <v>4.1603690000000002</v>
      </c>
      <c r="E3473">
        <v>0.4350851</v>
      </c>
      <c r="F3473" t="s">
        <v>41</v>
      </c>
      <c r="G3473">
        <v>-485.37599999999998</v>
      </c>
      <c r="H3473">
        <v>1.092274</v>
      </c>
      <c r="I3473">
        <v>226.07589999999999</v>
      </c>
      <c r="J3473">
        <v>-486.13490000000002</v>
      </c>
      <c r="K3473">
        <v>1.1199650000000001</v>
      </c>
      <c r="L3473">
        <v>226.26509999999999</v>
      </c>
      <c r="M3473">
        <v>0.64784619999999904</v>
      </c>
      <c r="N3473">
        <v>0</v>
      </c>
      <c r="O3473">
        <v>-0.76157050000000004</v>
      </c>
      <c r="P3473">
        <v>0.82741489999999995</v>
      </c>
      <c r="Q3473">
        <v>0.15023410000000001</v>
      </c>
      <c r="R3473">
        <v>-0.54112329999999997</v>
      </c>
      <c r="S3473">
        <v>2.8808590000000001</v>
      </c>
      <c r="T3473">
        <v>-8.4190730000000005E-2</v>
      </c>
      <c r="U3473">
        <v>-1.1843870000000001</v>
      </c>
      <c r="V3473">
        <v>-0.28547820000000002</v>
      </c>
      <c r="W3473">
        <v>0.156541299999999</v>
      </c>
      <c r="X3473">
        <v>0.94551410000000002</v>
      </c>
      <c r="Y3473">
        <v>-0.45774019999999999</v>
      </c>
      <c r="Z3473">
        <v>2.4825139999999999E-2</v>
      </c>
      <c r="AA3473">
        <v>0.88873930000000001</v>
      </c>
      <c r="AB3473">
        <v>28</v>
      </c>
      <c r="AC3473">
        <v>0.75890000000003899</v>
      </c>
      <c r="AD3473">
        <v>-2.76909999999999E-2</v>
      </c>
      <c r="AE3473">
        <v>-0.18919999999999901</v>
      </c>
      <c r="AF3473">
        <v>-0.45488277649895698</v>
      </c>
      <c r="AG3473">
        <v>-2.76909999999999E-2</v>
      </c>
      <c r="AH3473">
        <v>0.63504079031546101</v>
      </c>
      <c r="AI3473">
        <v>92.030229250332198</v>
      </c>
      <c r="AJ3473">
        <v>125.614207560625</v>
      </c>
      <c r="AK3473">
        <v>0.78164054219371604</v>
      </c>
      <c r="AL3473">
        <v>80.993801974501594</v>
      </c>
      <c r="AM3473">
        <v>106.800592154057</v>
      </c>
      <c r="AN3473">
        <v>0.99999994728986796</v>
      </c>
    </row>
    <row r="3474" spans="1:40" x14ac:dyDescent="0.3">
      <c r="A3474" t="str">
        <f>"20200111150019189"</f>
        <v>20200111150019189</v>
      </c>
      <c r="B3474" t="str">
        <f>"1578726019179747"</f>
        <v>1578726019179747</v>
      </c>
      <c r="C3474" t="s">
        <v>40</v>
      </c>
      <c r="D3474">
        <v>4.0663140000000002</v>
      </c>
      <c r="E3474">
        <v>0.43621169999999998</v>
      </c>
      <c r="F3474" t="s">
        <v>41</v>
      </c>
      <c r="G3474">
        <v>-485.14269999999999</v>
      </c>
      <c r="H3474">
        <v>1.0907960000000001</v>
      </c>
      <c r="I3474">
        <v>225.83330000000001</v>
      </c>
      <c r="J3474">
        <v>-485.94900000000001</v>
      </c>
      <c r="K3474">
        <v>1.119931</v>
      </c>
      <c r="L3474">
        <v>226.07550000000001</v>
      </c>
      <c r="M3474">
        <v>0.662342599999999</v>
      </c>
      <c r="N3474">
        <v>0</v>
      </c>
      <c r="O3474">
        <v>-0.74899720000000003</v>
      </c>
      <c r="P3474">
        <v>0.83761890000000006</v>
      </c>
      <c r="Q3474">
        <v>0.14959900000000001</v>
      </c>
      <c r="R3474">
        <v>-0.52537129999999999</v>
      </c>
      <c r="S3474">
        <v>2.834076</v>
      </c>
      <c r="T3474">
        <v>-8.3330269999999998E-2</v>
      </c>
      <c r="U3474">
        <v>-1.233765</v>
      </c>
      <c r="V3474">
        <v>-0.28527370000000002</v>
      </c>
      <c r="W3474">
        <v>0.15593509999999999</v>
      </c>
      <c r="X3474">
        <v>0.94567599999999996</v>
      </c>
      <c r="Y3474">
        <v>-0.42209279999999999</v>
      </c>
      <c r="Z3474">
        <v>2.414324E-2</v>
      </c>
      <c r="AA3474">
        <v>0.90623109999999996</v>
      </c>
      <c r="AB3474">
        <v>28</v>
      </c>
      <c r="AC3474">
        <v>0.806300000000021</v>
      </c>
      <c r="AD3474">
        <v>-2.9135000000000098E-2</v>
      </c>
      <c r="AE3474">
        <v>-0.242199999999996</v>
      </c>
      <c r="AF3474">
        <v>-0.44303423299915501</v>
      </c>
      <c r="AG3474">
        <v>-2.9135000000000098E-2</v>
      </c>
      <c r="AH3474">
        <v>0.71470731552544298</v>
      </c>
      <c r="AI3474">
        <v>91.984393860897001</v>
      </c>
      <c r="AJ3474">
        <v>121.79403083456</v>
      </c>
      <c r="AK3474">
        <v>0.84138857057826499</v>
      </c>
      <c r="AL3474">
        <v>81.028966708693901</v>
      </c>
      <c r="AM3474">
        <v>106.786521967422</v>
      </c>
      <c r="AN3474">
        <v>0.99999996814984904</v>
      </c>
    </row>
    <row r="3475" spans="1:40" x14ac:dyDescent="0.3">
      <c r="A3475" t="str">
        <f>"20200111150019210"</f>
        <v>20200111150019210</v>
      </c>
      <c r="B3475" t="str">
        <f>"1578726019199267"</f>
        <v>1578726019199267</v>
      </c>
      <c r="C3475" t="s">
        <v>40</v>
      </c>
      <c r="D3475">
        <v>4.0582520000000004</v>
      </c>
      <c r="E3475">
        <v>0.43646180000000001</v>
      </c>
      <c r="F3475" t="s">
        <v>41</v>
      </c>
      <c r="G3475">
        <v>-484.98869999999999</v>
      </c>
      <c r="H3475">
        <v>1.086911</v>
      </c>
      <c r="I3475">
        <v>225.6756</v>
      </c>
      <c r="J3475">
        <v>-485.76479999999998</v>
      </c>
      <c r="K3475">
        <v>1.119899</v>
      </c>
      <c r="L3475">
        <v>225.8946</v>
      </c>
      <c r="M3475">
        <v>0.67621759999999997</v>
      </c>
      <c r="N3475">
        <v>0</v>
      </c>
      <c r="O3475">
        <v>-0.7364946</v>
      </c>
      <c r="P3475">
        <v>0.84681169999999995</v>
      </c>
      <c r="Q3475">
        <v>0.148793799999999</v>
      </c>
      <c r="R3475">
        <v>-0.51065720000000003</v>
      </c>
      <c r="S3475">
        <v>2.8539729999999999</v>
      </c>
      <c r="T3475">
        <v>-9.8109719999999997E-2</v>
      </c>
      <c r="U3475">
        <v>-1.1879879999999901</v>
      </c>
      <c r="V3475">
        <v>-0.28419359999999999</v>
      </c>
      <c r="W3475">
        <v>0.15519559999999999</v>
      </c>
      <c r="X3475">
        <v>0.94612280000000004</v>
      </c>
      <c r="Y3475">
        <v>-0.41966369999999997</v>
      </c>
      <c r="Z3475">
        <v>2.8089889999999999E-2</v>
      </c>
      <c r="AA3475">
        <v>0.90724490000000002</v>
      </c>
      <c r="AB3475">
        <v>28</v>
      </c>
      <c r="AC3475">
        <v>0.77609999999998502</v>
      </c>
      <c r="AD3475">
        <v>-3.2988000000000003E-2</v>
      </c>
      <c r="AE3475">
        <v>-0.21899999999999401</v>
      </c>
      <c r="AF3475">
        <v>-0.42285888324454401</v>
      </c>
      <c r="AG3475">
        <v>-3.2988000000000003E-2</v>
      </c>
      <c r="AH3475">
        <v>0.68506321567998696</v>
      </c>
      <c r="AI3475">
        <v>92.346430003894099</v>
      </c>
      <c r="AJ3475">
        <v>121.68517797418799</v>
      </c>
      <c r="AK3475">
        <v>0.80573534908220801</v>
      </c>
      <c r="AL3475">
        <v>81.071859547643498</v>
      </c>
      <c r="AM3475">
        <v>106.719063140743</v>
      </c>
      <c r="AN3475">
        <v>1.00000001461008</v>
      </c>
    </row>
    <row r="3476" spans="1:40" x14ac:dyDescent="0.3">
      <c r="A3476" t="str">
        <f>"20200111150019232"</f>
        <v>20200111150019232</v>
      </c>
      <c r="B3476" t="str">
        <f>"1578726019229524"</f>
        <v>1578726019229524</v>
      </c>
      <c r="C3476" t="s">
        <v>40</v>
      </c>
      <c r="D3476">
        <v>4.1574439999999999</v>
      </c>
      <c r="E3476">
        <v>0.43701390000000001</v>
      </c>
      <c r="F3476" t="s">
        <v>62</v>
      </c>
      <c r="G3476">
        <v>-459.63249999999999</v>
      </c>
      <c r="H3476" s="1">
        <v>3.5489739999999999E-6</v>
      </c>
      <c r="I3476">
        <v>215.5352</v>
      </c>
      <c r="J3476">
        <v>-485.57389999999998</v>
      </c>
      <c r="K3476">
        <v>1.119858</v>
      </c>
      <c r="L3476">
        <v>225.7141</v>
      </c>
      <c r="M3476">
        <v>0.69011429999999996</v>
      </c>
      <c r="N3476">
        <v>0</v>
      </c>
      <c r="O3476">
        <v>-0.7234893</v>
      </c>
      <c r="P3476">
        <v>0.85579259999999902</v>
      </c>
      <c r="Q3476">
        <v>0.1490754</v>
      </c>
      <c r="R3476">
        <v>-0.49537429999999899</v>
      </c>
      <c r="S3476">
        <v>2.8766780000000001</v>
      </c>
      <c r="T3476">
        <v>-0.1232795</v>
      </c>
      <c r="U3476">
        <v>-1.1403810000000001</v>
      </c>
      <c r="V3476">
        <v>-0.28312759999999998</v>
      </c>
      <c r="W3476">
        <v>0.15553989999999901</v>
      </c>
      <c r="X3476">
        <v>0.94638580000000005</v>
      </c>
      <c r="Y3476">
        <v>-0.41756460000000001</v>
      </c>
      <c r="Z3476">
        <v>3.4824679999999997E-2</v>
      </c>
      <c r="AA3476">
        <v>0.90797969999999895</v>
      </c>
      <c r="AB3476">
        <v>28</v>
      </c>
      <c r="AC3476">
        <v>25.941399999999899</v>
      </c>
      <c r="AD3476">
        <v>-1.119854451026</v>
      </c>
      <c r="AE3476">
        <v>-10.178900000000001</v>
      </c>
      <c r="AF3476">
        <v>-11.7265778514872</v>
      </c>
      <c r="AG3476">
        <v>-1.119854451026</v>
      </c>
      <c r="AH3476">
        <v>25.2299727630256</v>
      </c>
      <c r="AI3476">
        <v>92.304949228169406</v>
      </c>
      <c r="AJ3476">
        <v>114.928419590464</v>
      </c>
      <c r="AK3476">
        <v>27.8445367661501</v>
      </c>
      <c r="AL3476">
        <v>81.051889897830094</v>
      </c>
      <c r="AM3476">
        <v>106.655458689032</v>
      </c>
      <c r="AN3476">
        <v>0.99999999040770504</v>
      </c>
    </row>
    <row r="3477" spans="1:40" x14ac:dyDescent="0.3">
      <c r="A3477" t="str">
        <f>"20200111150019255"</f>
        <v>20200111150019255</v>
      </c>
      <c r="B3477" t="str">
        <f>"1578726019249043"</f>
        <v>1578726019249043</v>
      </c>
      <c r="C3477" t="s">
        <v>40</v>
      </c>
      <c r="D3477">
        <v>4.0888910000000003</v>
      </c>
      <c r="E3477">
        <v>0.38737139999999998</v>
      </c>
      <c r="F3477" t="s">
        <v>62</v>
      </c>
      <c r="G3477">
        <v>-458.25529999999998</v>
      </c>
      <c r="H3477" s="1">
        <v>2.8219719999999999E-6</v>
      </c>
      <c r="I3477">
        <v>215.4016</v>
      </c>
      <c r="J3477">
        <v>-485.3682</v>
      </c>
      <c r="K3477">
        <v>1.1198220000000001</v>
      </c>
      <c r="L3477">
        <v>225.52709999999999</v>
      </c>
      <c r="M3477">
        <v>0.70455249999999903</v>
      </c>
      <c r="N3477">
        <v>0</v>
      </c>
      <c r="O3477">
        <v>-0.70943669999999903</v>
      </c>
      <c r="P3477">
        <v>0.86497039999999903</v>
      </c>
      <c r="Q3477">
        <v>0.14839459999999999</v>
      </c>
      <c r="R3477">
        <v>-0.47938039999999998</v>
      </c>
      <c r="S3477">
        <v>2.8938600000000001</v>
      </c>
      <c r="T3477">
        <v>-0.1186267</v>
      </c>
      <c r="U3477">
        <v>-1.0924069999999999</v>
      </c>
      <c r="V3477">
        <v>-0.28169159999999999</v>
      </c>
      <c r="W3477">
        <v>0.1549412</v>
      </c>
      <c r="X3477">
        <v>0.94691239999999999</v>
      </c>
      <c r="Y3477">
        <v>-0.4142709</v>
      </c>
      <c r="Z3477">
        <v>3.3056950000000002E-2</v>
      </c>
      <c r="AA3477">
        <v>0.9095531</v>
      </c>
      <c r="AB3477">
        <v>28</v>
      </c>
      <c r="AC3477">
        <v>27.1129</v>
      </c>
      <c r="AD3477">
        <v>-1.11981917802799</v>
      </c>
      <c r="AE3477">
        <v>-10.125499999999899</v>
      </c>
      <c r="AF3477">
        <v>-12.0846962717265</v>
      </c>
      <c r="AG3477">
        <v>-1.11981917802799</v>
      </c>
      <c r="AH3477">
        <v>26.250577963465201</v>
      </c>
      <c r="AI3477">
        <v>92.219093243699902</v>
      </c>
      <c r="AJ3477">
        <v>114.719416409335</v>
      </c>
      <c r="AK3477">
        <v>28.920351353109901</v>
      </c>
      <c r="AL3477">
        <v>81.086614054974604</v>
      </c>
      <c r="AM3477">
        <v>106.56691676749</v>
      </c>
      <c r="AN3477">
        <v>1.0000000131208799</v>
      </c>
    </row>
    <row r="3478" spans="1:40" x14ac:dyDescent="0.3">
      <c r="A3478" t="str">
        <f>"20200111150019278"</f>
        <v>20200111150019278</v>
      </c>
      <c r="B3478" t="str">
        <f>"1578726019269539"</f>
        <v>1578726019269539</v>
      </c>
      <c r="C3478" t="s">
        <v>40</v>
      </c>
      <c r="D3478">
        <v>4.1080019999999999</v>
      </c>
      <c r="E3478">
        <v>0.38650640000000003</v>
      </c>
      <c r="F3478" t="s">
        <v>74</v>
      </c>
      <c r="G3478">
        <v>-361.17970000000003</v>
      </c>
      <c r="H3478">
        <v>3.4145780000000001</v>
      </c>
      <c r="I3478">
        <v>198.1585</v>
      </c>
      <c r="J3478">
        <v>-485.16320000000002</v>
      </c>
      <c r="K3478">
        <v>1.1197779999999999</v>
      </c>
      <c r="L3478">
        <v>225.34809999999999</v>
      </c>
      <c r="M3478">
        <v>0.71842450000000002</v>
      </c>
      <c r="N3478">
        <v>0</v>
      </c>
      <c r="O3478">
        <v>-0.69538529999999998</v>
      </c>
      <c r="P3478">
        <v>0.87418479999999998</v>
      </c>
      <c r="Q3478">
        <v>0.1471093</v>
      </c>
      <c r="R3478">
        <v>-0.46277400000000002</v>
      </c>
      <c r="S3478">
        <v>3.0820919999999998</v>
      </c>
      <c r="T3478">
        <v>5.6953190000000001E-2</v>
      </c>
      <c r="U3478">
        <v>-0.67922969999999905</v>
      </c>
      <c r="V3478">
        <v>-0.28116590000000002</v>
      </c>
      <c r="W3478">
        <v>0.15370220000000001</v>
      </c>
      <c r="X3478">
        <v>0.94727050000000002</v>
      </c>
      <c r="Y3478">
        <v>-0.52438119999999999</v>
      </c>
      <c r="Z3478">
        <v>-1.62215E-2</v>
      </c>
      <c r="AA3478">
        <v>0.85132909999999995</v>
      </c>
      <c r="AB3478">
        <v>28</v>
      </c>
      <c r="AC3478">
        <v>123.98350000000001</v>
      </c>
      <c r="AD3478">
        <v>2.2947999999999902</v>
      </c>
      <c r="AE3478">
        <v>-27.189599999999899</v>
      </c>
      <c r="AF3478">
        <v>-66.671025292884096</v>
      </c>
      <c r="AG3478">
        <v>2.2947999999999902</v>
      </c>
      <c r="AH3478">
        <v>107.96124283427299</v>
      </c>
      <c r="AI3478">
        <v>88.963907925156605</v>
      </c>
      <c r="AJ3478">
        <v>121.697234952697</v>
      </c>
      <c r="AK3478">
        <v>126.90910792754499</v>
      </c>
      <c r="AL3478">
        <v>81.158464263904506</v>
      </c>
      <c r="AM3478">
        <v>106.53177892506</v>
      </c>
      <c r="AN3478">
        <v>1.0000000148889401</v>
      </c>
    </row>
    <row r="3479" spans="1:40" x14ac:dyDescent="0.3">
      <c r="A3479" t="str">
        <f>"20200111150019301"</f>
        <v>20200111150019301</v>
      </c>
      <c r="B3479" t="str">
        <f>"1578726019298820"</f>
        <v>1578726019298820</v>
      </c>
      <c r="C3479" t="s">
        <v>40</v>
      </c>
      <c r="D3479">
        <v>4.1365470000000002</v>
      </c>
      <c r="E3479">
        <v>0.38636949999999998</v>
      </c>
      <c r="F3479" t="s">
        <v>75</v>
      </c>
      <c r="G3479">
        <v>-168.1816</v>
      </c>
      <c r="H3479">
        <v>5.2334589999999999</v>
      </c>
      <c r="I3479">
        <v>162.52010000000001</v>
      </c>
      <c r="J3479">
        <v>-484.95150000000001</v>
      </c>
      <c r="K3479">
        <v>1.1197299999999999</v>
      </c>
      <c r="L3479">
        <v>225.17080000000001</v>
      </c>
      <c r="M3479">
        <v>0.73223090000000002</v>
      </c>
      <c r="N3479">
        <v>0</v>
      </c>
      <c r="O3479">
        <v>-0.68083229999999995</v>
      </c>
      <c r="P3479">
        <v>0.88340599999999903</v>
      </c>
      <c r="Q3479">
        <v>0.14483070000000001</v>
      </c>
      <c r="R3479">
        <v>-0.44566549999999999</v>
      </c>
      <c r="S3479">
        <v>3.0997620000000001</v>
      </c>
      <c r="T3479">
        <v>4.0227649999999997E-2</v>
      </c>
      <c r="U3479">
        <v>-0.61439509999999997</v>
      </c>
      <c r="V3479">
        <v>-0.28076390000000001</v>
      </c>
      <c r="W3479">
        <v>0.15146699999999999</v>
      </c>
      <c r="X3479">
        <v>0.94774970000000003</v>
      </c>
      <c r="Y3479">
        <v>-0.5254704</v>
      </c>
      <c r="Z3479">
        <v>-1.1314650000000001E-2</v>
      </c>
      <c r="AA3479">
        <v>0.85073670000000001</v>
      </c>
      <c r="AB3479">
        <v>28</v>
      </c>
      <c r="AC3479">
        <v>316.76990000000001</v>
      </c>
      <c r="AD3479">
        <v>4.1137290000000002</v>
      </c>
      <c r="AE3479">
        <v>-62.650700000000001</v>
      </c>
      <c r="AF3479">
        <v>-169.79076781747901</v>
      </c>
      <c r="AG3479">
        <v>4.1137290000000002</v>
      </c>
      <c r="AH3479">
        <v>274.60068759164398</v>
      </c>
      <c r="AI3479">
        <v>89.269989367687501</v>
      </c>
      <c r="AJ3479">
        <v>121.72928110056399</v>
      </c>
      <c r="AK3479">
        <v>322.87979996918102</v>
      </c>
      <c r="AL3479">
        <v>81.288049571182995</v>
      </c>
      <c r="AM3479">
        <v>106.501536664645</v>
      </c>
      <c r="AN3479">
        <v>1.00000005674114</v>
      </c>
    </row>
    <row r="3480" spans="1:40" x14ac:dyDescent="0.3">
      <c r="A3480" t="str">
        <f>"20200111150019323"</f>
        <v>20200111150019323</v>
      </c>
      <c r="B3480" t="str">
        <f>"1578726019319316"</f>
        <v>1578726019319316</v>
      </c>
      <c r="C3480" t="s">
        <v>40</v>
      </c>
      <c r="D3480">
        <v>4.1369860000000003</v>
      </c>
      <c r="E3480">
        <v>0.38695610000000003</v>
      </c>
      <c r="F3480" t="s">
        <v>76</v>
      </c>
      <c r="G3480">
        <v>-163.62549999999999</v>
      </c>
      <c r="H3480">
        <v>4.3916510000000004</v>
      </c>
      <c r="I3480">
        <v>168.16419999999999</v>
      </c>
      <c r="J3480">
        <v>-484.74709999999999</v>
      </c>
      <c r="K3480">
        <v>1.119678</v>
      </c>
      <c r="L3480">
        <v>225.00659999999999</v>
      </c>
      <c r="M3480">
        <v>0.74507500000000004</v>
      </c>
      <c r="N3480">
        <v>0</v>
      </c>
      <c r="O3480">
        <v>-0.66675169999999995</v>
      </c>
      <c r="P3480">
        <v>0.89160989999999996</v>
      </c>
      <c r="Q3480">
        <v>0.1426461</v>
      </c>
      <c r="R3480">
        <v>-0.42974899999999999</v>
      </c>
      <c r="S3480">
        <v>3.1122130000000001</v>
      </c>
      <c r="T3480">
        <v>3.1690599999999999E-2</v>
      </c>
      <c r="U3480">
        <v>-0.5521393</v>
      </c>
      <c r="V3480">
        <v>-0.27983780000000003</v>
      </c>
      <c r="W3480">
        <v>0.14934610000000001</v>
      </c>
      <c r="X3480">
        <v>0.94835999999999998</v>
      </c>
      <c r="Y3480">
        <v>-0.52637539999999905</v>
      </c>
      <c r="Z3480">
        <v>-8.8111979999999993E-3</v>
      </c>
      <c r="AA3480">
        <v>0.85020659999999904</v>
      </c>
      <c r="AB3480">
        <v>28</v>
      </c>
      <c r="AC3480">
        <v>321.1216</v>
      </c>
      <c r="AD3480">
        <v>3.271973</v>
      </c>
      <c r="AE3480">
        <v>-56.842399999999998</v>
      </c>
      <c r="AF3480">
        <v>-171.76546515420699</v>
      </c>
      <c r="AG3480">
        <v>3.271973</v>
      </c>
      <c r="AH3480">
        <v>277.17387507256302</v>
      </c>
      <c r="AI3480">
        <v>89.425099811526493</v>
      </c>
      <c r="AJ3480">
        <v>121.78661683083899</v>
      </c>
      <c r="AK3480">
        <v>326.09728280023199</v>
      </c>
      <c r="AL3480">
        <v>81.410966603436094</v>
      </c>
      <c r="AM3480">
        <v>106.440038591648</v>
      </c>
      <c r="AN3480">
        <v>1.00000007074702</v>
      </c>
    </row>
    <row r="3481" spans="1:40" x14ac:dyDescent="0.3">
      <c r="A3481" t="str">
        <f>"20200111150019345"</f>
        <v>20200111150019345</v>
      </c>
      <c r="B3481" t="str">
        <f>"1578726019338835"</f>
        <v>1578726019338835</v>
      </c>
      <c r="C3481" t="s">
        <v>40</v>
      </c>
      <c r="D3481">
        <v>4.2295759999999998</v>
      </c>
      <c r="E3481">
        <v>0.38788840000000002</v>
      </c>
      <c r="F3481" t="s">
        <v>76</v>
      </c>
      <c r="G3481">
        <v>-169.4049</v>
      </c>
      <c r="H3481">
        <v>3.4249839999999998</v>
      </c>
      <c r="I3481">
        <v>174.5093</v>
      </c>
      <c r="J3481">
        <v>-484.5385</v>
      </c>
      <c r="K3481">
        <v>1.1196280000000001</v>
      </c>
      <c r="L3481">
        <v>224.84559999999999</v>
      </c>
      <c r="M3481">
        <v>0.75772329999999999</v>
      </c>
      <c r="N3481">
        <v>0</v>
      </c>
      <c r="O3481">
        <v>-0.65234230000000004</v>
      </c>
      <c r="P3481">
        <v>0.89930880000000002</v>
      </c>
      <c r="Q3481">
        <v>0.1422416</v>
      </c>
      <c r="R3481">
        <v>-0.41353529999999999</v>
      </c>
      <c r="S3481">
        <v>3.1201780000000001</v>
      </c>
      <c r="T3481">
        <v>2.2810339999999998E-2</v>
      </c>
      <c r="U3481">
        <v>-0.49964900000000001</v>
      </c>
      <c r="V3481">
        <v>-0.27883279999999999</v>
      </c>
      <c r="W3481">
        <v>0.1490052</v>
      </c>
      <c r="X3481">
        <v>0.94870949999999998</v>
      </c>
      <c r="Y3481">
        <v>-0.52437679999999998</v>
      </c>
      <c r="Z3481">
        <v>-6.2590069999999996E-3</v>
      </c>
      <c r="AA3481">
        <v>0.85146330000000003</v>
      </c>
      <c r="AB3481">
        <v>28</v>
      </c>
      <c r="AC3481">
        <v>315.1336</v>
      </c>
      <c r="AD3481">
        <v>2.3053560000000002</v>
      </c>
      <c r="AE3481">
        <v>-50.336300000000001</v>
      </c>
      <c r="AF3481">
        <v>-167.45078486055701</v>
      </c>
      <c r="AG3481">
        <v>2.3053560000000002</v>
      </c>
      <c r="AH3481">
        <v>271.64781445032497</v>
      </c>
      <c r="AI3481">
        <v>89.586085824812599</v>
      </c>
      <c r="AJ3481">
        <v>121.65076127549101</v>
      </c>
      <c r="AK3481">
        <v>319.12006378844598</v>
      </c>
      <c r="AL3481">
        <v>81.430719126288395</v>
      </c>
      <c r="AM3481">
        <v>106.37845572834</v>
      </c>
      <c r="AN3481">
        <v>0.999999997686565</v>
      </c>
    </row>
    <row r="3482" spans="1:40" x14ac:dyDescent="0.3">
      <c r="A3482" t="str">
        <f>"20200111150019369"</f>
        <v>20200111150019369</v>
      </c>
      <c r="B3482" t="str">
        <f>"1578726019359332"</f>
        <v>1578726019359332</v>
      </c>
      <c r="C3482" t="s">
        <v>40</v>
      </c>
      <c r="D3482">
        <v>4.1683159999999999</v>
      </c>
      <c r="E3482">
        <v>0.38881080000000001</v>
      </c>
      <c r="F3482" t="s">
        <v>76</v>
      </c>
      <c r="G3482">
        <v>-168.4205</v>
      </c>
      <c r="H3482">
        <v>2.9247510000000001</v>
      </c>
      <c r="I3482">
        <v>179.3425</v>
      </c>
      <c r="J3482">
        <v>-484.31099999999998</v>
      </c>
      <c r="K3482">
        <v>1.119577</v>
      </c>
      <c r="L3482">
        <v>224.6773</v>
      </c>
      <c r="M3482">
        <v>0.771007199999999</v>
      </c>
      <c r="N3482">
        <v>0</v>
      </c>
      <c r="O3482">
        <v>-0.63658719999999902</v>
      </c>
      <c r="P3482">
        <v>0.90708820000000001</v>
      </c>
      <c r="Q3482">
        <v>0.1410785</v>
      </c>
      <c r="R3482">
        <v>-0.39659529999999998</v>
      </c>
      <c r="S3482">
        <v>3.126099</v>
      </c>
      <c r="T3482">
        <v>1.7851229999999999E-2</v>
      </c>
      <c r="U3482">
        <v>-0.44998169999999998</v>
      </c>
      <c r="V3482">
        <v>-0.27712700000000001</v>
      </c>
      <c r="W3482">
        <v>0.1479376</v>
      </c>
      <c r="X3482">
        <v>0.9493762</v>
      </c>
      <c r="Y3482">
        <v>-0.52030619999999905</v>
      </c>
      <c r="Z3482">
        <v>-4.8217629999999997E-3</v>
      </c>
      <c r="AA3482">
        <v>0.85396620000000001</v>
      </c>
      <c r="AB3482">
        <v>27</v>
      </c>
      <c r="AC3482">
        <v>315.89049999999997</v>
      </c>
      <c r="AD3482">
        <v>1.8051740000000001</v>
      </c>
      <c r="AE3482">
        <v>-45.334800000000001</v>
      </c>
      <c r="AF3482">
        <v>-166.15838661310801</v>
      </c>
      <c r="AG3482">
        <v>1.8051740000000001</v>
      </c>
      <c r="AH3482">
        <v>272.44618853246402</v>
      </c>
      <c r="AI3482">
        <v>89.675893758182795</v>
      </c>
      <c r="AJ3482">
        <v>121.378012036264</v>
      </c>
      <c r="AK3482">
        <v>319.12191046825399</v>
      </c>
      <c r="AL3482">
        <v>81.492574004718506</v>
      </c>
      <c r="AM3482">
        <v>106.27275212000799</v>
      </c>
      <c r="AN3482">
        <v>1.00000003837459</v>
      </c>
    </row>
    <row r="3483" spans="1:40" x14ac:dyDescent="0.3">
      <c r="A3483" t="str">
        <f>"20200111150019390"</f>
        <v>20200111150019390</v>
      </c>
      <c r="B3483" t="str">
        <f>"1578726019379828"</f>
        <v>1578726019379828</v>
      </c>
      <c r="C3483" t="s">
        <v>40</v>
      </c>
      <c r="D3483">
        <v>4.1160129999999997</v>
      </c>
      <c r="E3483">
        <v>0.38977469999999997</v>
      </c>
      <c r="F3483" t="s">
        <v>77</v>
      </c>
      <c r="G3483">
        <v>-239.98500000000001</v>
      </c>
      <c r="H3483">
        <v>2.5127100000000002</v>
      </c>
      <c r="I3483">
        <v>193.68700000000001</v>
      </c>
      <c r="J3483">
        <v>-484.0985</v>
      </c>
      <c r="K3483">
        <v>1.1195310000000001</v>
      </c>
      <c r="L3483">
        <v>224.52629999999999</v>
      </c>
      <c r="M3483">
        <v>0.78296290000000002</v>
      </c>
      <c r="N3483">
        <v>0</v>
      </c>
      <c r="O3483">
        <v>-0.62182399999999904</v>
      </c>
      <c r="P3483">
        <v>0.91366259999999999</v>
      </c>
      <c r="Q3483">
        <v>0.13987289999999999</v>
      </c>
      <c r="R3483">
        <v>-0.38164979999999998</v>
      </c>
      <c r="S3483">
        <v>3.1309200000000001</v>
      </c>
      <c r="T3483">
        <v>1.785231E-2</v>
      </c>
      <c r="U3483">
        <v>-0.39712520000000001</v>
      </c>
      <c r="V3483">
        <v>-0.27472639999999998</v>
      </c>
      <c r="W3483">
        <v>0.14685290000000001</v>
      </c>
      <c r="X3483">
        <v>0.95024189999999997</v>
      </c>
      <c r="Y3483">
        <v>-0.51842219999999894</v>
      </c>
      <c r="Z3483">
        <v>-4.7557809999999997E-3</v>
      </c>
      <c r="AA3483">
        <v>0.85511150000000002</v>
      </c>
      <c r="AB3483">
        <v>27</v>
      </c>
      <c r="AC3483">
        <v>244.11349999999999</v>
      </c>
      <c r="AD3483">
        <v>1.39317899999999</v>
      </c>
      <c r="AE3483">
        <v>-30.839299999999898</v>
      </c>
      <c r="AF3483">
        <v>-127.66492023602</v>
      </c>
      <c r="AG3483">
        <v>1.39317899999999</v>
      </c>
      <c r="AH3483">
        <v>210.333662876598</v>
      </c>
      <c r="AI3483">
        <v>89.675579125992996</v>
      </c>
      <c r="AJ3483">
        <v>121.256235269716</v>
      </c>
      <c r="AK3483">
        <v>246.04983752419301</v>
      </c>
      <c r="AL3483">
        <v>81.555408876104295</v>
      </c>
      <c r="AM3483">
        <v>106.125219729371</v>
      </c>
      <c r="AN3483">
        <v>1.0000000188054801</v>
      </c>
    </row>
    <row r="3484" spans="1:40" x14ac:dyDescent="0.3">
      <c r="A3484" t="str">
        <f>"20200111150019412"</f>
        <v>20200111150019412</v>
      </c>
      <c r="B3484" t="str">
        <f>"1578726019409107"</f>
        <v>1578726019409107</v>
      </c>
      <c r="C3484" t="s">
        <v>40</v>
      </c>
      <c r="D3484">
        <v>4.1669970000000003</v>
      </c>
      <c r="E3484">
        <v>0.4091243</v>
      </c>
      <c r="F3484" t="s">
        <v>76</v>
      </c>
      <c r="G3484">
        <v>-168.4171</v>
      </c>
      <c r="H3484">
        <v>2.7104879999999998</v>
      </c>
      <c r="I3484">
        <v>189.09129999999999</v>
      </c>
      <c r="J3484">
        <v>-483.89260000000002</v>
      </c>
      <c r="K3484">
        <v>1.119486</v>
      </c>
      <c r="L3484">
        <v>224.38579999999999</v>
      </c>
      <c r="M3484">
        <v>0.7941397</v>
      </c>
      <c r="N3484">
        <v>0</v>
      </c>
      <c r="O3484">
        <v>-0.6074851</v>
      </c>
      <c r="P3484">
        <v>0.91970260000000004</v>
      </c>
      <c r="Q3484">
        <v>0.13810829999999999</v>
      </c>
      <c r="R3484">
        <v>-0.36752370000000001</v>
      </c>
      <c r="S3484">
        <v>3.1341549999999998</v>
      </c>
      <c r="T3484">
        <v>1.5795710000000001E-2</v>
      </c>
      <c r="U3484">
        <v>-0.35180660000000002</v>
      </c>
      <c r="V3484">
        <v>-0.2721711</v>
      </c>
      <c r="W3484">
        <v>0.1452146</v>
      </c>
      <c r="X3484">
        <v>0.95122850000000003</v>
      </c>
      <c r="Y3484">
        <v>-0.51517389999999996</v>
      </c>
      <c r="Z3484">
        <v>-4.1464989999999997E-3</v>
      </c>
      <c r="AA3484">
        <v>0.8570757</v>
      </c>
      <c r="AB3484">
        <v>27</v>
      </c>
      <c r="AC3484">
        <v>315.47550000000001</v>
      </c>
      <c r="AD3484">
        <v>1.591002</v>
      </c>
      <c r="AE3484">
        <v>-35.294499999999999</v>
      </c>
      <c r="AF3484">
        <v>-163.63866631725099</v>
      </c>
      <c r="AG3484">
        <v>1.591002</v>
      </c>
      <c r="AH3484">
        <v>272.007017064688</v>
      </c>
      <c r="AI3484">
        <v>89.712833391407003</v>
      </c>
      <c r="AJ3484">
        <v>121.030998958038</v>
      </c>
      <c r="AK3484">
        <v>317.43969779137899</v>
      </c>
      <c r="AL3484">
        <v>81.650293803679702</v>
      </c>
      <c r="AM3484">
        <v>105.96719679031899</v>
      </c>
      <c r="AN3484">
        <v>1.0000000234703099</v>
      </c>
    </row>
    <row r="3485" spans="1:40" x14ac:dyDescent="0.3">
      <c r="A3485" t="str">
        <f>"20200111150019435"</f>
        <v>20200111150019435</v>
      </c>
      <c r="B3485" t="str">
        <f>"1578726019429603"</f>
        <v>1578726019429603</v>
      </c>
      <c r="C3485" t="s">
        <v>40</v>
      </c>
      <c r="D3485">
        <v>4.0853159999999997</v>
      </c>
      <c r="E3485">
        <v>0.41282760000000002</v>
      </c>
      <c r="F3485" t="s">
        <v>42</v>
      </c>
      <c r="G3485">
        <v>-295.99130000000002</v>
      </c>
      <c r="H3485" s="1">
        <v>-3.9338810000000003E-6</v>
      </c>
      <c r="I3485">
        <v>197.14519999999999</v>
      </c>
      <c r="J3485">
        <v>-483.66239999999999</v>
      </c>
      <c r="K3485">
        <v>1.1194360000000001</v>
      </c>
      <c r="L3485">
        <v>224.23509999999999</v>
      </c>
      <c r="M3485">
        <v>0.80617709999999998</v>
      </c>
      <c r="N3485">
        <v>0</v>
      </c>
      <c r="O3485">
        <v>-0.59141739999999998</v>
      </c>
      <c r="P3485">
        <v>0.92619399999999996</v>
      </c>
      <c r="Q3485">
        <v>0.1368432</v>
      </c>
      <c r="R3485">
        <v>-0.3513387</v>
      </c>
      <c r="S3485">
        <v>3.0859070000000002</v>
      </c>
      <c r="T3485">
        <v>-1.8385410000000001E-2</v>
      </c>
      <c r="U3485">
        <v>-0.4473724</v>
      </c>
      <c r="V3485">
        <v>-0.26979649999999999</v>
      </c>
      <c r="W3485">
        <v>0.14406949999999999</v>
      </c>
      <c r="X3485">
        <v>0.95207869999999994</v>
      </c>
      <c r="Y3485">
        <v>-0.46968870000000001</v>
      </c>
      <c r="Z3485">
        <v>4.6735739999999998E-3</v>
      </c>
      <c r="AA3485">
        <v>0.88281980000000004</v>
      </c>
      <c r="AB3485">
        <v>27</v>
      </c>
      <c r="AC3485">
        <v>187.6711</v>
      </c>
      <c r="AD3485">
        <v>-1.1194399338809999</v>
      </c>
      <c r="AE3485">
        <v>-27.0899</v>
      </c>
      <c r="AF3485">
        <v>-89.163141049730498</v>
      </c>
      <c r="AG3485">
        <v>-1.1194399338809999</v>
      </c>
      <c r="AH3485">
        <v>167.33718228433099</v>
      </c>
      <c r="AI3485">
        <v>90.338265785670501</v>
      </c>
      <c r="AJ3485">
        <v>118.050261902774</v>
      </c>
      <c r="AK3485">
        <v>189.612898934854</v>
      </c>
      <c r="AL3485">
        <v>81.716600382223604</v>
      </c>
      <c r="AM3485">
        <v>105.821470598068</v>
      </c>
      <c r="AN3485">
        <v>1.00000001161809</v>
      </c>
    </row>
    <row r="3486" spans="1:40" x14ac:dyDescent="0.3">
      <c r="A3486" t="str">
        <f>"20200111150019457"</f>
        <v>20200111150019457</v>
      </c>
      <c r="B3486" t="str">
        <f>"1578726019449124"</f>
        <v>1578726019449124</v>
      </c>
      <c r="C3486" t="s">
        <v>40</v>
      </c>
      <c r="D3486">
        <v>4.2009400000000001</v>
      </c>
      <c r="E3486">
        <v>0.41440310000000002</v>
      </c>
      <c r="F3486" t="s">
        <v>61</v>
      </c>
      <c r="G3486">
        <v>-356.98070000000001</v>
      </c>
      <c r="H3486">
        <v>0.157029799999999</v>
      </c>
      <c r="I3486">
        <v>206.94909999999999</v>
      </c>
      <c r="J3486">
        <v>-483.4366</v>
      </c>
      <c r="K3486">
        <v>1.1193900000000001</v>
      </c>
      <c r="L3486">
        <v>224.09350000000001</v>
      </c>
      <c r="M3486">
        <v>0.81753599999999904</v>
      </c>
      <c r="N3486">
        <v>0</v>
      </c>
      <c r="O3486">
        <v>-0.57561430000000002</v>
      </c>
      <c r="P3486">
        <v>0.93172900000000003</v>
      </c>
      <c r="Q3486">
        <v>0.13678129999999999</v>
      </c>
      <c r="R3486">
        <v>-0.33641079999999901</v>
      </c>
      <c r="S3486">
        <v>3.082916</v>
      </c>
      <c r="T3486">
        <v>-2.3419860000000001E-2</v>
      </c>
      <c r="U3486">
        <v>-0.42066959999999998</v>
      </c>
      <c r="V3486">
        <v>-0.266541799999999</v>
      </c>
      <c r="W3486">
        <v>0.14415819999999999</v>
      </c>
      <c r="X3486">
        <v>0.95298159999999998</v>
      </c>
      <c r="Y3486">
        <v>-0.45984180000000002</v>
      </c>
      <c r="Z3486">
        <v>5.832144E-3</v>
      </c>
      <c r="AA3486">
        <v>0.88798169999999899</v>
      </c>
      <c r="AB3486">
        <v>27</v>
      </c>
      <c r="AC3486">
        <v>126.4559</v>
      </c>
      <c r="AD3486">
        <v>-0.9623602</v>
      </c>
      <c r="AE3486">
        <v>-17.144400000000001</v>
      </c>
      <c r="AF3486">
        <v>-58.779225542243303</v>
      </c>
      <c r="AG3486">
        <v>-0.9623602</v>
      </c>
      <c r="AH3486">
        <v>113.261536385979</v>
      </c>
      <c r="AI3486">
        <v>90.432098276755397</v>
      </c>
      <c r="AJ3486">
        <v>117.427913012492</v>
      </c>
      <c r="AK3486">
        <v>127.60916548983801</v>
      </c>
      <c r="AL3486">
        <v>81.711464737313094</v>
      </c>
      <c r="AM3486">
        <v>105.625907224275</v>
      </c>
      <c r="AN3486">
        <v>1.0000000238565101</v>
      </c>
    </row>
    <row r="3487" spans="1:40" x14ac:dyDescent="0.3">
      <c r="A3487" t="str">
        <f>"20200111150019480"</f>
        <v>20200111150019480</v>
      </c>
      <c r="B3487" t="str">
        <f>"1578726019468970"</f>
        <v>1578726019468970</v>
      </c>
      <c r="C3487" t="s">
        <v>40</v>
      </c>
      <c r="D3487">
        <v>4.0893550000000003</v>
      </c>
      <c r="E3487">
        <v>0.41643580000000002</v>
      </c>
      <c r="F3487" t="s">
        <v>62</v>
      </c>
      <c r="G3487">
        <v>-337.7244</v>
      </c>
      <c r="H3487">
        <v>8.0001030000000001E-2</v>
      </c>
      <c r="I3487">
        <v>206.00290000000001</v>
      </c>
      <c r="J3487">
        <v>-483.2081</v>
      </c>
      <c r="K3487">
        <v>1.119346</v>
      </c>
      <c r="L3487">
        <v>223.9564</v>
      </c>
      <c r="M3487">
        <v>0.82858960000000004</v>
      </c>
      <c r="N3487">
        <v>0</v>
      </c>
      <c r="O3487">
        <v>-0.55958599999999903</v>
      </c>
      <c r="P3487">
        <v>0.93717039999999996</v>
      </c>
      <c r="Q3487">
        <v>0.13629579999999999</v>
      </c>
      <c r="R3487">
        <v>-0.32114680000000001</v>
      </c>
      <c r="S3487">
        <v>3.0847470000000001</v>
      </c>
      <c r="T3487">
        <v>-2.2004010000000001E-2</v>
      </c>
      <c r="U3487">
        <v>-0.3829803</v>
      </c>
      <c r="V3487">
        <v>-0.26355009999999901</v>
      </c>
      <c r="W3487">
        <v>0.1438132</v>
      </c>
      <c r="X3487">
        <v>0.95386530000000003</v>
      </c>
      <c r="Y3487">
        <v>-0.4532795</v>
      </c>
      <c r="Z3487">
        <v>5.3676399999999999E-3</v>
      </c>
      <c r="AA3487">
        <v>0.89135229999999999</v>
      </c>
      <c r="AB3487">
        <v>27</v>
      </c>
      <c r="AC3487">
        <v>145.4837</v>
      </c>
      <c r="AD3487">
        <v>-1.0393449699999999</v>
      </c>
      <c r="AE3487">
        <v>-17.953499999999899</v>
      </c>
      <c r="AF3487">
        <v>-66.5412882633278</v>
      </c>
      <c r="AG3487">
        <v>-1.0393449699999999</v>
      </c>
      <c r="AH3487">
        <v>130.60601736202599</v>
      </c>
      <c r="AI3487">
        <v>90.406256734747302</v>
      </c>
      <c r="AJ3487">
        <v>116.997979472328</v>
      </c>
      <c r="AK3487">
        <v>146.583611133304</v>
      </c>
      <c r="AL3487">
        <v>81.731439321368995</v>
      </c>
      <c r="AM3487">
        <v>105.44531500998499</v>
      </c>
      <c r="AN3487">
        <v>0.99999995112416795</v>
      </c>
    </row>
    <row r="3488" spans="1:40" x14ac:dyDescent="0.3">
      <c r="A3488" t="str">
        <f>"20200111150019503"</f>
        <v>20200111150019503</v>
      </c>
      <c r="B3488" t="str">
        <f>"1578726019499224"</f>
        <v>1578726019499224</v>
      </c>
      <c r="C3488" t="s">
        <v>40</v>
      </c>
      <c r="D3488">
        <v>4.232577</v>
      </c>
      <c r="E3488">
        <v>0.4197727</v>
      </c>
      <c r="F3488" t="s">
        <v>62</v>
      </c>
      <c r="G3488">
        <v>-355.6345</v>
      </c>
      <c r="H3488">
        <v>7.2929480000000005E-2</v>
      </c>
      <c r="I3488">
        <v>209.5934</v>
      </c>
      <c r="J3488">
        <v>-482.97930000000002</v>
      </c>
      <c r="K3488">
        <v>1.1192949999999999</v>
      </c>
      <c r="L3488">
        <v>223.82550000000001</v>
      </c>
      <c r="M3488">
        <v>0.83921889999999999</v>
      </c>
      <c r="N3488">
        <v>0</v>
      </c>
      <c r="O3488">
        <v>-0.54351530000000003</v>
      </c>
      <c r="P3488">
        <v>0.9424633</v>
      </c>
      <c r="Q3488">
        <v>0.1359918</v>
      </c>
      <c r="R3488">
        <v>-0.30540020000000001</v>
      </c>
      <c r="S3488">
        <v>3.0857540000000001</v>
      </c>
      <c r="T3488">
        <v>-2.531075E-2</v>
      </c>
      <c r="U3488">
        <v>-0.347412099999999</v>
      </c>
      <c r="V3488">
        <v>-0.26114080000000001</v>
      </c>
      <c r="W3488">
        <v>0.143625</v>
      </c>
      <c r="X3488">
        <v>0.95455610000000002</v>
      </c>
      <c r="Y3488">
        <v>-0.4462489</v>
      </c>
      <c r="Z3488">
        <v>6.0418959999999997E-3</v>
      </c>
      <c r="AA3488">
        <v>0.89488849999999998</v>
      </c>
      <c r="AB3488">
        <v>27</v>
      </c>
      <c r="AC3488">
        <v>127.34480000000001</v>
      </c>
      <c r="AD3488">
        <v>-1.0463655199999999</v>
      </c>
      <c r="AE3488">
        <v>-14.232100000000001</v>
      </c>
      <c r="AF3488">
        <v>-57.274852026877902</v>
      </c>
      <c r="AG3488">
        <v>-1.0463655199999999</v>
      </c>
      <c r="AH3488">
        <v>114.615236945861</v>
      </c>
      <c r="AI3488">
        <v>90.467895307377205</v>
      </c>
      <c r="AJ3488">
        <v>116.551945807886</v>
      </c>
      <c r="AK3488">
        <v>128.13335278395701</v>
      </c>
      <c r="AL3488">
        <v>81.742335937891198</v>
      </c>
      <c r="AM3488">
        <v>105.300212271871</v>
      </c>
      <c r="AN3488">
        <v>1.00000000304842</v>
      </c>
    </row>
    <row r="3489" spans="1:40" x14ac:dyDescent="0.3">
      <c r="A3489" t="str">
        <f>"20200111150019524"</f>
        <v>20200111150019524</v>
      </c>
      <c r="B3489" t="str">
        <f>"1578726019519719"</f>
        <v>1578726019519719</v>
      </c>
      <c r="C3489" t="s">
        <v>40</v>
      </c>
      <c r="D3489">
        <v>4.1566419999999997</v>
      </c>
      <c r="E3489">
        <v>0.4382586</v>
      </c>
      <c r="F3489" t="s">
        <v>62</v>
      </c>
      <c r="G3489">
        <v>-384.33179999999999</v>
      </c>
      <c r="H3489" s="1">
        <v>8.1543989999999996E-7</v>
      </c>
      <c r="I3489">
        <v>213.53899999999999</v>
      </c>
      <c r="J3489">
        <v>-482.7482</v>
      </c>
      <c r="K3489">
        <v>1.119243</v>
      </c>
      <c r="L3489">
        <v>223.69919999999999</v>
      </c>
      <c r="M3489">
        <v>0.84953699999999999</v>
      </c>
      <c r="N3489">
        <v>0</v>
      </c>
      <c r="O3489">
        <v>-0.52724269999999995</v>
      </c>
      <c r="P3489">
        <v>0.94747400000000004</v>
      </c>
      <c r="Q3489">
        <v>0.1355056</v>
      </c>
      <c r="R3489">
        <v>-0.28970970000000001</v>
      </c>
      <c r="S3489">
        <v>3.0839539999999999</v>
      </c>
      <c r="T3489">
        <v>-3.499174E-2</v>
      </c>
      <c r="U3489">
        <v>-0.321579</v>
      </c>
      <c r="V3489">
        <v>-0.25859209999999999</v>
      </c>
      <c r="W3489">
        <v>0.14325969999999999</v>
      </c>
      <c r="X3489">
        <v>0.95530459999999995</v>
      </c>
      <c r="Y3489">
        <v>-0.43629990000000002</v>
      </c>
      <c r="Z3489">
        <v>8.1527570000000001E-3</v>
      </c>
      <c r="AA3489">
        <v>0.89976440000000002</v>
      </c>
      <c r="AB3489">
        <v>27</v>
      </c>
      <c r="AC3489">
        <v>98.416399999999996</v>
      </c>
      <c r="AD3489">
        <v>-1.1192421845600999</v>
      </c>
      <c r="AE3489">
        <v>-10.1601999999999</v>
      </c>
      <c r="AF3489">
        <v>-43.258860655378299</v>
      </c>
      <c r="AG3489">
        <v>-1.1192421845600999</v>
      </c>
      <c r="AH3489">
        <v>88.967317046808304</v>
      </c>
      <c r="AI3489">
        <v>90.648207714505901</v>
      </c>
      <c r="AJ3489">
        <v>115.930558015139</v>
      </c>
      <c r="AK3489">
        <v>98.933135150850404</v>
      </c>
      <c r="AL3489">
        <v>81.763485160447104</v>
      </c>
      <c r="AM3489">
        <v>105.146455593418</v>
      </c>
      <c r="AN3489">
        <v>1.00000004730382</v>
      </c>
    </row>
    <row r="3490" spans="1:40" x14ac:dyDescent="0.3">
      <c r="A3490" t="str">
        <f>"20200111150019548"</f>
        <v>20200111150019548</v>
      </c>
      <c r="B3490" t="str">
        <f>"1578726019539239"</f>
        <v>1578726019539239</v>
      </c>
      <c r="C3490" t="s">
        <v>40</v>
      </c>
      <c r="D3490">
        <v>4.1700439999999999</v>
      </c>
      <c r="E3490">
        <v>0.4403822</v>
      </c>
      <c r="F3490" t="s">
        <v>66</v>
      </c>
      <c r="G3490">
        <v>-438.66289999999998</v>
      </c>
      <c r="H3490" s="1">
        <v>5.7853070000000003E-6</v>
      </c>
      <c r="I3490">
        <v>217.74279999999999</v>
      </c>
      <c r="J3490">
        <v>-482.50959999999998</v>
      </c>
      <c r="K3490">
        <v>1.1191960000000001</v>
      </c>
      <c r="L3490">
        <v>223.57480000000001</v>
      </c>
      <c r="M3490">
        <v>0.85974899999999999</v>
      </c>
      <c r="N3490">
        <v>0</v>
      </c>
      <c r="O3490">
        <v>-0.51042100000000001</v>
      </c>
      <c r="P3490">
        <v>0.95195810000000003</v>
      </c>
      <c r="Q3490">
        <v>0.1353172</v>
      </c>
      <c r="R3490">
        <v>-0.274709599999999</v>
      </c>
      <c r="S3490">
        <v>3.0513919999999999</v>
      </c>
      <c r="T3490">
        <v>-7.7468750000000003E-2</v>
      </c>
      <c r="U3490">
        <v>-0.41227720000000001</v>
      </c>
      <c r="V3490">
        <v>-0.25485780000000002</v>
      </c>
      <c r="W3490">
        <v>0.143238</v>
      </c>
      <c r="X3490">
        <v>0.95631080000000002</v>
      </c>
      <c r="Y3490">
        <v>-0.39050010000000002</v>
      </c>
      <c r="Z3490">
        <v>1.72395999999999E-2</v>
      </c>
      <c r="AA3490">
        <v>0.92044139999999997</v>
      </c>
      <c r="AB3490">
        <v>27</v>
      </c>
      <c r="AC3490">
        <v>43.846699999999998</v>
      </c>
      <c r="AD3490">
        <v>-1.119190214693</v>
      </c>
      <c r="AE3490">
        <v>-5.8320000000000203</v>
      </c>
      <c r="AF3490">
        <v>-17.3577312286994</v>
      </c>
      <c r="AG3490">
        <v>-1.119190214693</v>
      </c>
      <c r="AH3490">
        <v>40.654049265570301</v>
      </c>
      <c r="AI3490">
        <v>91.450329751993806</v>
      </c>
      <c r="AJ3490">
        <v>113.120637138669</v>
      </c>
      <c r="AK3490">
        <v>44.218719359925501</v>
      </c>
      <c r="AL3490">
        <v>81.764740914596302</v>
      </c>
      <c r="AM3490">
        <v>104.92255585268001</v>
      </c>
      <c r="AN3490">
        <v>0.99999998453073902</v>
      </c>
    </row>
    <row r="3491" spans="1:40" x14ac:dyDescent="0.3">
      <c r="A3491" t="str">
        <f>"20200111150019569"</f>
        <v>20200111150019569</v>
      </c>
      <c r="B3491" t="str">
        <f>"1578726019559735"</f>
        <v>1578726019559735</v>
      </c>
      <c r="C3491" t="s">
        <v>40</v>
      </c>
      <c r="D3491">
        <v>4.2102180000000002</v>
      </c>
      <c r="E3491">
        <v>0.4424476</v>
      </c>
      <c r="F3491" t="s">
        <v>62</v>
      </c>
      <c r="G3491">
        <v>-440.62830000000002</v>
      </c>
      <c r="H3491" s="1">
        <v>-1.3667580000000001E-6</v>
      </c>
      <c r="I3491">
        <v>218.37530000000001</v>
      </c>
      <c r="J3491">
        <v>-482.28550000000001</v>
      </c>
      <c r="K3491">
        <v>1.119151</v>
      </c>
      <c r="L3491">
        <v>223.4633</v>
      </c>
      <c r="M3491">
        <v>0.868955699999999</v>
      </c>
      <c r="N3491">
        <v>0</v>
      </c>
      <c r="O3491">
        <v>-0.494585</v>
      </c>
      <c r="P3491">
        <v>0.95568989999999998</v>
      </c>
      <c r="Q3491">
        <v>0.13514370000000001</v>
      </c>
      <c r="R3491">
        <v>-0.26152049999999999</v>
      </c>
      <c r="S3491">
        <v>3.0536189999999999</v>
      </c>
      <c r="T3491">
        <v>-8.1601980000000005E-2</v>
      </c>
      <c r="U3491">
        <v>-0.37910460000000001</v>
      </c>
      <c r="V3491">
        <v>-0.25053779999999998</v>
      </c>
      <c r="W3491">
        <v>0.14325209999999999</v>
      </c>
      <c r="X3491">
        <v>0.95744960000000001</v>
      </c>
      <c r="Y3491">
        <v>-0.38352449999999999</v>
      </c>
      <c r="Z3491">
        <v>1.7710199999999999E-2</v>
      </c>
      <c r="AA3491">
        <v>0.92336090000000004</v>
      </c>
      <c r="AB3491">
        <v>27</v>
      </c>
      <c r="AC3491">
        <v>41.657199999999897</v>
      </c>
      <c r="AD3491">
        <v>-1.1191523667579999</v>
      </c>
      <c r="AE3491">
        <v>-5.0879999999999903</v>
      </c>
      <c r="AF3491">
        <v>-16.172719594996799</v>
      </c>
      <c r="AG3491">
        <v>-1.1191523667579999</v>
      </c>
      <c r="AH3491">
        <v>38.693033770405698</v>
      </c>
      <c r="AI3491">
        <v>91.528663686848802</v>
      </c>
      <c r="AJ3491">
        <v>112.68370668817199</v>
      </c>
      <c r="AK3491">
        <v>41.951879856284997</v>
      </c>
      <c r="AL3491">
        <v>81.763925127083098</v>
      </c>
      <c r="AM3491">
        <v>104.663914922822</v>
      </c>
      <c r="AN3491">
        <v>1.0000000449616999</v>
      </c>
    </row>
    <row r="3492" spans="1:40" x14ac:dyDescent="0.3">
      <c r="A3492" t="str">
        <f>"20200111150019591"</f>
        <v>20200111150019591</v>
      </c>
      <c r="B3492" t="str">
        <f>"1578726019589015"</f>
        <v>1578726019589015</v>
      </c>
      <c r="C3492" t="s">
        <v>40</v>
      </c>
      <c r="D3492">
        <v>4.2891450000000004</v>
      </c>
      <c r="E3492">
        <v>0.44530340000000002</v>
      </c>
      <c r="F3492" t="s">
        <v>62</v>
      </c>
      <c r="G3492">
        <v>-441.55119999999999</v>
      </c>
      <c r="H3492" s="1">
        <v>-8.9279669999999899E-7</v>
      </c>
      <c r="I3492">
        <v>218.76769999999999</v>
      </c>
      <c r="J3492">
        <v>-482.04360000000003</v>
      </c>
      <c r="K3492">
        <v>1.1190979999999999</v>
      </c>
      <c r="L3492">
        <v>223.3486</v>
      </c>
      <c r="M3492">
        <v>0.87847469999999905</v>
      </c>
      <c r="N3492">
        <v>0</v>
      </c>
      <c r="O3492">
        <v>-0.4774737</v>
      </c>
      <c r="P3492">
        <v>0.95971220000000002</v>
      </c>
      <c r="Q3492">
        <v>0.13460440000000001</v>
      </c>
      <c r="R3492">
        <v>-0.2466459</v>
      </c>
      <c r="S3492">
        <v>3.0545650000000002</v>
      </c>
      <c r="T3492">
        <v>-8.3922389999999999E-2</v>
      </c>
      <c r="U3492">
        <v>-0.35211179999999997</v>
      </c>
      <c r="V3492">
        <v>-0.24664539999999999</v>
      </c>
      <c r="W3492">
        <v>0.14288600000000001</v>
      </c>
      <c r="X3492">
        <v>0.95851430000000004</v>
      </c>
      <c r="Y3492">
        <v>-0.3734886</v>
      </c>
      <c r="Z3492">
        <v>1.7676850000000001E-2</v>
      </c>
      <c r="AA3492">
        <v>0.92746629999999997</v>
      </c>
      <c r="AB3492">
        <v>27</v>
      </c>
      <c r="AC3492">
        <v>40.492400000000004</v>
      </c>
      <c r="AD3492">
        <v>-1.1190988927966901</v>
      </c>
      <c r="AE3492">
        <v>-4.5809000000000104</v>
      </c>
      <c r="AF3492">
        <v>-15.3006172606443</v>
      </c>
      <c r="AG3492">
        <v>-1.1190988927966901</v>
      </c>
      <c r="AH3492">
        <v>37.736034238048902</v>
      </c>
      <c r="AI3492">
        <v>91.574251749971594</v>
      </c>
      <c r="AJ3492">
        <v>112.070800931574</v>
      </c>
      <c r="AK3492">
        <v>40.735359957950401</v>
      </c>
      <c r="AL3492">
        <v>81.785118874242599</v>
      </c>
      <c r="AM3492">
        <v>104.430320819697</v>
      </c>
      <c r="AN3492">
        <v>1.00000001282082</v>
      </c>
    </row>
    <row r="3493" spans="1:40" x14ac:dyDescent="0.3">
      <c r="A3493" t="str">
        <f>"20200111150019614"</f>
        <v>20200111150019614</v>
      </c>
      <c r="B3493" t="str">
        <f>"1578726019609511"</f>
        <v>1578726019609511</v>
      </c>
      <c r="C3493" t="s">
        <v>40</v>
      </c>
      <c r="D3493">
        <v>4.24146</v>
      </c>
      <c r="E3493">
        <v>0.4466426</v>
      </c>
      <c r="F3493" t="s">
        <v>62</v>
      </c>
      <c r="G3493">
        <v>-444.68099999999998</v>
      </c>
      <c r="H3493" s="1">
        <v>7.4726010000000003E-7</v>
      </c>
      <c r="I3493">
        <v>219.3511</v>
      </c>
      <c r="J3493">
        <v>-481.80619999999999</v>
      </c>
      <c r="K3493">
        <v>1.119032</v>
      </c>
      <c r="L3493">
        <v>223.24170000000001</v>
      </c>
      <c r="M3493">
        <v>0.887401</v>
      </c>
      <c r="N3493">
        <v>0</v>
      </c>
      <c r="O3493">
        <v>-0.46067239999999998</v>
      </c>
      <c r="P3493">
        <v>0.96322359999999896</v>
      </c>
      <c r="Q3493">
        <v>0.13385349999999999</v>
      </c>
      <c r="R3493">
        <v>-0.23298859999999999</v>
      </c>
      <c r="S3493">
        <v>3.0547789999999999</v>
      </c>
      <c r="T3493">
        <v>-9.1497899999999993E-2</v>
      </c>
      <c r="U3493">
        <v>-0.3268433</v>
      </c>
      <c r="V3493">
        <v>-0.24201139999999999</v>
      </c>
      <c r="W3493">
        <v>0.14233660000000001</v>
      </c>
      <c r="X3493">
        <v>0.95977650000000003</v>
      </c>
      <c r="Y3493">
        <v>-0.36335600000000001</v>
      </c>
      <c r="Z3493">
        <v>1.8689879999999999E-2</v>
      </c>
      <c r="AA3493">
        <v>0.93146289999999998</v>
      </c>
      <c r="AB3493">
        <v>27</v>
      </c>
      <c r="AC3493">
        <v>37.1252</v>
      </c>
      <c r="AD3493">
        <v>-1.1190312527399</v>
      </c>
      <c r="AE3493">
        <v>-3.8906000000000001</v>
      </c>
      <c r="AF3493">
        <v>-13.6398255985421</v>
      </c>
      <c r="AG3493">
        <v>-1.1190312527399</v>
      </c>
      <c r="AH3493">
        <v>34.711256260208998</v>
      </c>
      <c r="AI3493">
        <v>91.718636745326606</v>
      </c>
      <c r="AJ3493">
        <v>111.45239871756201</v>
      </c>
      <c r="AK3493">
        <v>37.3117727328138</v>
      </c>
      <c r="AL3493">
        <v>81.816922779510406</v>
      </c>
      <c r="AM3493">
        <v>104.152335174087</v>
      </c>
      <c r="AN3493">
        <v>1.00000007769088</v>
      </c>
    </row>
    <row r="3494" spans="1:40" x14ac:dyDescent="0.3">
      <c r="A3494" t="str">
        <f>"20200111150019636"</f>
        <v>20200111150019636</v>
      </c>
      <c r="B3494" t="str">
        <f>"1578726019629031"</f>
        <v>1578726019629031</v>
      </c>
      <c r="C3494" t="s">
        <v>40</v>
      </c>
      <c r="D3494">
        <v>4.2320260000000003</v>
      </c>
      <c r="E3494">
        <v>0.44738309999999998</v>
      </c>
      <c r="F3494" t="s">
        <v>62</v>
      </c>
      <c r="G3494">
        <v>-450.11779999999999</v>
      </c>
      <c r="H3494">
        <v>7.9999799999999996E-2</v>
      </c>
      <c r="I3494">
        <v>220.19640000000001</v>
      </c>
      <c r="J3494">
        <v>-481.5668</v>
      </c>
      <c r="K3494">
        <v>1.118965</v>
      </c>
      <c r="L3494">
        <v>223.13919999999999</v>
      </c>
      <c r="M3494">
        <v>0.89599479999999998</v>
      </c>
      <c r="N3494">
        <v>0</v>
      </c>
      <c r="O3494">
        <v>-0.44372679999999998</v>
      </c>
      <c r="P3494">
        <v>0.96642830000000002</v>
      </c>
      <c r="Q3494">
        <v>0.1333715</v>
      </c>
      <c r="R3494">
        <v>-0.21960969999999999</v>
      </c>
      <c r="S3494">
        <v>3.0574650000000001</v>
      </c>
      <c r="T3494">
        <v>-0.1002513</v>
      </c>
      <c r="U3494">
        <v>-0.29382320000000001</v>
      </c>
      <c r="V3494">
        <v>-0.23705780000000001</v>
      </c>
      <c r="W3494">
        <v>0.14206750000000001</v>
      </c>
      <c r="X3494">
        <v>0.96105180000000001</v>
      </c>
      <c r="Y3494">
        <v>-0.35562650000000001</v>
      </c>
      <c r="Z3494">
        <v>1.9855879999999999E-2</v>
      </c>
      <c r="AA3494">
        <v>0.93441719999999895</v>
      </c>
      <c r="AB3494">
        <v>27</v>
      </c>
      <c r="AC3494">
        <v>31.449000000000002</v>
      </c>
      <c r="AD3494">
        <v>-1.0389652</v>
      </c>
      <c r="AE3494">
        <v>-2.9427999999999699</v>
      </c>
      <c r="AF3494">
        <v>-11.307493845198801</v>
      </c>
      <c r="AG3494">
        <v>-1.0389652</v>
      </c>
      <c r="AH3494">
        <v>29.456490915376499</v>
      </c>
      <c r="AI3494">
        <v>91.885977261242004</v>
      </c>
      <c r="AJ3494">
        <v>111.00034988153899</v>
      </c>
      <c r="AK3494">
        <v>31.5693478360527</v>
      </c>
      <c r="AL3494">
        <v>81.832499293298397</v>
      </c>
      <c r="AM3494">
        <v>103.85625911145399</v>
      </c>
      <c r="AN3494">
        <v>1.00000006869016</v>
      </c>
    </row>
    <row r="3495" spans="1:40" x14ac:dyDescent="0.3">
      <c r="A3495" t="str">
        <f>"20200111150019659"</f>
        <v>20200111150019659</v>
      </c>
      <c r="B3495" t="str">
        <f>"1578726019649527"</f>
        <v>1578726019649527</v>
      </c>
      <c r="C3495" t="s">
        <v>40</v>
      </c>
      <c r="D3495">
        <v>4.2550059999999998</v>
      </c>
      <c r="E3495">
        <v>0.46305410000000002</v>
      </c>
      <c r="F3495" t="s">
        <v>62</v>
      </c>
      <c r="G3495">
        <v>-451.58749999999998</v>
      </c>
      <c r="H3495">
        <v>8.0000230000000006E-2</v>
      </c>
      <c r="I3495">
        <v>220.62430000000001</v>
      </c>
      <c r="J3495">
        <v>-481.32549999999998</v>
      </c>
      <c r="K3495">
        <v>1.118887</v>
      </c>
      <c r="L3495">
        <v>223.0412</v>
      </c>
      <c r="M3495">
        <v>0.9042422</v>
      </c>
      <c r="N3495">
        <v>0</v>
      </c>
      <c r="O3495">
        <v>-0.42666979999999999</v>
      </c>
      <c r="P3495">
        <v>0.96938310000000005</v>
      </c>
      <c r="Q3495">
        <v>0.13362769999999999</v>
      </c>
      <c r="R3495">
        <v>-0.20601</v>
      </c>
      <c r="S3495">
        <v>3.0605769999999999</v>
      </c>
      <c r="T3495">
        <v>-0.1060677</v>
      </c>
      <c r="U3495">
        <v>-0.25674439999999998</v>
      </c>
      <c r="V3495">
        <v>-0.23230219999999999</v>
      </c>
      <c r="W3495">
        <v>0.14252909999999999</v>
      </c>
      <c r="X3495">
        <v>0.962144</v>
      </c>
      <c r="Y3495">
        <v>-0.3491938</v>
      </c>
      <c r="Z3495">
        <v>2.0361259999999999E-2</v>
      </c>
      <c r="AA3495">
        <v>0.93682929999999998</v>
      </c>
      <c r="AB3495">
        <v>27</v>
      </c>
      <c r="AC3495">
        <v>29.738</v>
      </c>
      <c r="AD3495">
        <v>-1.03888677</v>
      </c>
      <c r="AE3495">
        <v>-2.4168999999999898</v>
      </c>
      <c r="AF3495">
        <v>-10.491693318656299</v>
      </c>
      <c r="AG3495">
        <v>-1.03888677</v>
      </c>
      <c r="AH3495">
        <v>27.891930173211101</v>
      </c>
      <c r="AI3495">
        <v>91.996640426499695</v>
      </c>
      <c r="AJ3495">
        <v>110.614048822569</v>
      </c>
      <c r="AK3495">
        <v>29.818026145285099</v>
      </c>
      <c r="AL3495">
        <v>81.8057788169899</v>
      </c>
      <c r="AM3495">
        <v>103.573841284944</v>
      </c>
      <c r="AN3495">
        <v>0.99999996660382395</v>
      </c>
    </row>
    <row r="3496" spans="1:40" x14ac:dyDescent="0.3">
      <c r="A3496" t="str">
        <f>"20200111150019681"</f>
        <v>20200111150019681</v>
      </c>
      <c r="B3496" t="str">
        <f>"1578726019679783"</f>
        <v>1578726019679783</v>
      </c>
      <c r="C3496" t="s">
        <v>40</v>
      </c>
      <c r="D3496">
        <v>4.3178999999999998</v>
      </c>
      <c r="E3496">
        <v>0.46591100000000002</v>
      </c>
      <c r="F3496" t="s">
        <v>62</v>
      </c>
      <c r="G3496">
        <v>-460.01490000000001</v>
      </c>
      <c r="H3496">
        <v>7.9999760000000003E-2</v>
      </c>
      <c r="I3496">
        <v>220.6848</v>
      </c>
      <c r="J3496">
        <v>-481.08269999999999</v>
      </c>
      <c r="K3496">
        <v>1.118563</v>
      </c>
      <c r="L3496">
        <v>222.94749999999999</v>
      </c>
      <c r="M3496">
        <v>0.91225750000000005</v>
      </c>
      <c r="N3496">
        <v>0</v>
      </c>
      <c r="O3496">
        <v>-0.40923799999999999</v>
      </c>
      <c r="P3496">
        <v>0.97251209999999999</v>
      </c>
      <c r="Q3496">
        <v>0.13298019999999999</v>
      </c>
      <c r="R3496">
        <v>-0.19114600000000001</v>
      </c>
      <c r="S3496">
        <v>3.0436709999999998</v>
      </c>
      <c r="T3496">
        <v>-0.14837810000000001</v>
      </c>
      <c r="U3496">
        <v>-0.33654790000000001</v>
      </c>
      <c r="V3496">
        <v>-0.22843379999999999</v>
      </c>
      <c r="W3496">
        <v>0.14258299999999999</v>
      </c>
      <c r="X3496">
        <v>0.96306179999999997</v>
      </c>
      <c r="Y3496">
        <v>-0.30573889999999998</v>
      </c>
      <c r="Z3496">
        <v>2.6740239999999998E-2</v>
      </c>
      <c r="AA3496">
        <v>0.95173980000000002</v>
      </c>
      <c r="AB3496">
        <v>27</v>
      </c>
      <c r="AC3496">
        <v>21.067799999999899</v>
      </c>
      <c r="AD3496">
        <v>-1.03856324</v>
      </c>
      <c r="AE3496">
        <v>-2.2626999999999899</v>
      </c>
      <c r="AF3496">
        <v>-6.5428789754556398</v>
      </c>
      <c r="AG3496">
        <v>-1.03856324</v>
      </c>
      <c r="AH3496">
        <v>20.1000812091992</v>
      </c>
      <c r="AI3496">
        <v>92.812800660392398</v>
      </c>
      <c r="AJ3496">
        <v>108.030848614173</v>
      </c>
      <c r="AK3496">
        <v>21.1636750945421</v>
      </c>
      <c r="AL3496">
        <v>81.802658750290902</v>
      </c>
      <c r="AM3496">
        <v>103.343695248961</v>
      </c>
      <c r="AN3496">
        <v>0.99999997174533894</v>
      </c>
    </row>
    <row r="3497" spans="1:40" x14ac:dyDescent="0.3">
      <c r="A3497" t="str">
        <f>"20200111150019704"</f>
        <v>20200111150019704</v>
      </c>
      <c r="B3497" t="str">
        <f>"1578726019699305"</f>
        <v>1578726019699305</v>
      </c>
      <c r="C3497" t="s">
        <v>40</v>
      </c>
      <c r="D3497">
        <v>4.3331569999999999</v>
      </c>
      <c r="E3497">
        <v>0.46723589999999998</v>
      </c>
      <c r="F3497" t="s">
        <v>62</v>
      </c>
      <c r="G3497">
        <v>-458.67450000000002</v>
      </c>
      <c r="H3497">
        <v>8.0000840000000004E-2</v>
      </c>
      <c r="I3497">
        <v>220.6422</v>
      </c>
      <c r="J3497">
        <v>-480.84519999999998</v>
      </c>
      <c r="K3497">
        <v>1.1188009999999999</v>
      </c>
      <c r="L3497">
        <v>222.85980000000001</v>
      </c>
      <c r="M3497">
        <v>0.92020199999999996</v>
      </c>
      <c r="N3497">
        <v>0</v>
      </c>
      <c r="O3497">
        <v>-0.3910343</v>
      </c>
      <c r="P3497">
        <v>0.97556799999999999</v>
      </c>
      <c r="Q3497">
        <v>0.13153670000000001</v>
      </c>
      <c r="R3497">
        <v>-0.17596889999999901</v>
      </c>
      <c r="S3497">
        <v>3.0426030000000002</v>
      </c>
      <c r="T3497">
        <v>-0.14101649999999999</v>
      </c>
      <c r="U3497">
        <v>-0.31301879999999999</v>
      </c>
      <c r="V3497">
        <v>-0.22428090000000001</v>
      </c>
      <c r="W3497">
        <v>0.14164599999999999</v>
      </c>
      <c r="X3497">
        <v>0.96417549999999996</v>
      </c>
      <c r="Y3497">
        <v>-0.29415289999999999</v>
      </c>
      <c r="Z3497">
        <v>2.43996E-2</v>
      </c>
      <c r="AA3497">
        <v>0.95544680000000004</v>
      </c>
      <c r="AB3497">
        <v>27</v>
      </c>
      <c r="AC3497">
        <v>22.170699999999901</v>
      </c>
      <c r="AD3497">
        <v>-1.0388001600000001</v>
      </c>
      <c r="AE3497">
        <v>-2.2176</v>
      </c>
      <c r="AF3497">
        <v>-6.6155469588362497</v>
      </c>
      <c r="AG3497">
        <v>-1.0388001600000001</v>
      </c>
      <c r="AH3497">
        <v>21.225951838970801</v>
      </c>
      <c r="AI3497">
        <v>92.675104484620903</v>
      </c>
      <c r="AJ3497">
        <v>107.310824032791</v>
      </c>
      <c r="AK3497">
        <v>22.2572594630896</v>
      </c>
      <c r="AL3497">
        <v>81.856895236249599</v>
      </c>
      <c r="AM3497">
        <v>103.09493954093099</v>
      </c>
      <c r="AN3497">
        <v>0.99999995311052803</v>
      </c>
    </row>
    <row r="3498" spans="1:40" x14ac:dyDescent="0.3">
      <c r="A3498" t="str">
        <f>"20200111150019726"</f>
        <v>20200111150019726</v>
      </c>
      <c r="B3498" t="str">
        <f>"1578726019718823"</f>
        <v>1578726019718823</v>
      </c>
      <c r="C3498" t="s">
        <v>40</v>
      </c>
      <c r="D3498">
        <v>4.3328340000000001</v>
      </c>
      <c r="E3498">
        <v>0.48062250000000001</v>
      </c>
      <c r="F3498" t="s">
        <v>62</v>
      </c>
      <c r="G3498">
        <v>-459.1</v>
      </c>
      <c r="H3498">
        <v>8.0000940000000006E-2</v>
      </c>
      <c r="I3498">
        <v>220.8886</v>
      </c>
      <c r="J3498">
        <v>-480.60320000000002</v>
      </c>
      <c r="K3498">
        <v>1.120223</v>
      </c>
      <c r="L3498">
        <v>222.77440000000001</v>
      </c>
      <c r="M3498">
        <v>0.92825789999999997</v>
      </c>
      <c r="N3498">
        <v>0</v>
      </c>
      <c r="O3498">
        <v>-0.37151770000000001</v>
      </c>
      <c r="P3498">
        <v>0.97815430000000003</v>
      </c>
      <c r="Q3498">
        <v>0.13233039999999999</v>
      </c>
      <c r="R3498">
        <v>-0.16032160000000001</v>
      </c>
      <c r="S3498">
        <v>3.0449830000000002</v>
      </c>
      <c r="T3498">
        <v>-0.14546329999999999</v>
      </c>
      <c r="U3498">
        <v>-0.27603149999999999</v>
      </c>
      <c r="V3498">
        <v>-0.2196072</v>
      </c>
      <c r="W3498">
        <v>0.1419618</v>
      </c>
      <c r="X3498">
        <v>0.96520439999999996</v>
      </c>
      <c r="Y3498">
        <v>-0.28551959999999998</v>
      </c>
      <c r="Z3498">
        <v>2.4103969999999999E-2</v>
      </c>
      <c r="AA3498">
        <v>0.95806970000000002</v>
      </c>
      <c r="AB3498">
        <v>26</v>
      </c>
      <c r="AC3498">
        <v>21.5032</v>
      </c>
      <c r="AD3498">
        <v>-1.0402220600000001</v>
      </c>
      <c r="AE3498">
        <v>-1.8858000000000099</v>
      </c>
      <c r="AF3498">
        <v>-6.22482773188809</v>
      </c>
      <c r="AG3498">
        <v>-1.0402220600000001</v>
      </c>
      <c r="AH3498">
        <v>20.6164682490971</v>
      </c>
      <c r="AI3498">
        <v>92.765361312181099</v>
      </c>
      <c r="AJ3498">
        <v>106.80088885124999</v>
      </c>
      <c r="AK3498">
        <v>21.560828028900499</v>
      </c>
      <c r="AL3498">
        <v>81.838616938620106</v>
      </c>
      <c r="AM3498">
        <v>102.817956997466</v>
      </c>
      <c r="AN3498">
        <v>1.00000000436521</v>
      </c>
    </row>
    <row r="3499" spans="1:40" x14ac:dyDescent="0.3">
      <c r="A3499" t="str">
        <f>"20200111150019750"</f>
        <v>20200111150019750</v>
      </c>
      <c r="B3499" t="str">
        <f>"1578726019739319"</f>
        <v>1578726019739319</v>
      </c>
      <c r="C3499" t="s">
        <v>40</v>
      </c>
      <c r="D3499">
        <v>4.3077969999999999</v>
      </c>
      <c r="E3499">
        <v>0.48167490000000002</v>
      </c>
      <c r="F3499" t="s">
        <v>62</v>
      </c>
      <c r="G3499">
        <v>-449.60309999999998</v>
      </c>
      <c r="H3499" s="1">
        <v>3.3653479999999998E-6</v>
      </c>
      <c r="I3499">
        <v>219.37889999999999</v>
      </c>
      <c r="J3499">
        <v>-480.34969999999998</v>
      </c>
      <c r="K3499">
        <v>1.1226240000000001</v>
      </c>
      <c r="L3499">
        <v>222.6901</v>
      </c>
      <c r="M3499">
        <v>0.93594920000000004</v>
      </c>
      <c r="N3499">
        <v>0</v>
      </c>
      <c r="O3499">
        <v>-0.35175050000000002</v>
      </c>
      <c r="P3499">
        <v>0.97981879999999999</v>
      </c>
      <c r="Q3499">
        <v>0.13534399999999999</v>
      </c>
      <c r="R3499">
        <v>-0.147095899999999</v>
      </c>
      <c r="S3499">
        <v>3.027466</v>
      </c>
      <c r="T3499">
        <v>-0.1094006</v>
      </c>
      <c r="U3499">
        <v>-0.33160400000000001</v>
      </c>
      <c r="V3499">
        <v>-0.2126519</v>
      </c>
      <c r="W3499">
        <v>0.14321389999999901</v>
      </c>
      <c r="X3499">
        <v>0.96657590000000004</v>
      </c>
      <c r="Y3499">
        <v>-0.24741070000000001</v>
      </c>
      <c r="Z3499">
        <v>1.6856639999999999E-2</v>
      </c>
      <c r="AA3499">
        <v>0.96876410000000002</v>
      </c>
      <c r="AB3499">
        <v>26</v>
      </c>
      <c r="AC3499">
        <v>30.746600000000001</v>
      </c>
      <c r="AD3499">
        <v>-1.122620634652</v>
      </c>
      <c r="AE3499">
        <v>-3.3112000000000101</v>
      </c>
      <c r="AF3499">
        <v>-7.7069049356557997</v>
      </c>
      <c r="AG3499">
        <v>-1.122620634652</v>
      </c>
      <c r="AH3499">
        <v>29.906612863023899</v>
      </c>
      <c r="AI3499">
        <v>92.081782702087494</v>
      </c>
      <c r="AJ3499">
        <v>104.450658734906</v>
      </c>
      <c r="AK3499">
        <v>30.904079887862199</v>
      </c>
      <c r="AL3499">
        <v>81.766136347762696</v>
      </c>
      <c r="AM3499">
        <v>102.407712650758</v>
      </c>
      <c r="AN3499">
        <v>1.0000000110938101</v>
      </c>
    </row>
    <row r="3500" spans="1:40" x14ac:dyDescent="0.3">
      <c r="A3500" t="str">
        <f>"20200111150019781"</f>
        <v>20200111150019781</v>
      </c>
      <c r="B3500" t="str">
        <f>"1578726019779335"</f>
        <v>1578726019779335</v>
      </c>
      <c r="C3500" t="s">
        <v>40</v>
      </c>
      <c r="D3500">
        <v>4.5420939999999996</v>
      </c>
      <c r="E3500">
        <v>0.48360769999999997</v>
      </c>
      <c r="F3500" t="s">
        <v>62</v>
      </c>
      <c r="G3500">
        <v>-452.06119999999999</v>
      </c>
      <c r="H3500">
        <v>8.0000390000000005E-2</v>
      </c>
      <c r="I3500">
        <v>219.9119</v>
      </c>
      <c r="J3500">
        <v>-480.0016</v>
      </c>
      <c r="K3500">
        <v>1.1260749999999999</v>
      </c>
      <c r="L3500">
        <v>222.584</v>
      </c>
      <c r="M3500">
        <v>0.94452460000000005</v>
      </c>
      <c r="N3500">
        <v>0</v>
      </c>
      <c r="O3500">
        <v>-0.32814470000000001</v>
      </c>
      <c r="P3500">
        <v>0.98162369999999999</v>
      </c>
      <c r="Q3500">
        <v>0.13961460000000001</v>
      </c>
      <c r="R3500">
        <v>-0.13008710000000001</v>
      </c>
      <c r="S3500">
        <v>3.032562</v>
      </c>
      <c r="T3500">
        <v>-0.1117706</v>
      </c>
      <c r="U3500">
        <v>-0.297821</v>
      </c>
      <c r="V3500">
        <v>-0.20567630000000001</v>
      </c>
      <c r="W3500">
        <v>0.14438889999999999</v>
      </c>
      <c r="X3500">
        <v>0.96790960000000004</v>
      </c>
      <c r="Y3500">
        <v>-0.23391219999999999</v>
      </c>
      <c r="Z3500">
        <v>1.614144E-2</v>
      </c>
      <c r="AA3500">
        <v>0.97212370000000004</v>
      </c>
      <c r="AB3500">
        <v>26</v>
      </c>
      <c r="AC3500">
        <v>27.9404</v>
      </c>
      <c r="AD3500">
        <v>-1.04607461</v>
      </c>
      <c r="AE3500">
        <v>-2.6720999999999999</v>
      </c>
      <c r="AF3500">
        <v>-6.6360581668103498</v>
      </c>
      <c r="AG3500">
        <v>-1.04607461</v>
      </c>
      <c r="AH3500">
        <v>27.232054822180199</v>
      </c>
      <c r="AI3500">
        <v>92.137356352329206</v>
      </c>
      <c r="AJ3500">
        <v>103.695231158084</v>
      </c>
      <c r="AK3500">
        <v>28.048464305933098</v>
      </c>
      <c r="AL3500">
        <v>81.698106183801301</v>
      </c>
      <c r="AM3500">
        <v>101.996645003822</v>
      </c>
      <c r="AN3500">
        <v>0.99999994429852801</v>
      </c>
    </row>
    <row r="3501" spans="1:40" x14ac:dyDescent="0.3">
      <c r="A3501" t="str">
        <f>"20200111150019803"</f>
        <v>20200111150019803</v>
      </c>
      <c r="B3501" t="str">
        <f>"1578726019798855"</f>
        <v>1578726019798855</v>
      </c>
      <c r="C3501" t="s">
        <v>40</v>
      </c>
      <c r="D3501">
        <v>4.3820509999999997</v>
      </c>
      <c r="E3501">
        <v>0.43992530000000002</v>
      </c>
      <c r="F3501" t="s">
        <v>62</v>
      </c>
      <c r="G3501">
        <v>-450.54669999999999</v>
      </c>
      <c r="H3501">
        <v>7.999995E-2</v>
      </c>
      <c r="I3501">
        <v>220.0686</v>
      </c>
      <c r="J3501">
        <v>-479.7552</v>
      </c>
      <c r="K3501">
        <v>1.128285</v>
      </c>
      <c r="L3501">
        <v>222.5163</v>
      </c>
      <c r="M3501">
        <v>0.9492062</v>
      </c>
      <c r="N3501">
        <v>0</v>
      </c>
      <c r="O3501">
        <v>-0.31441259999999999</v>
      </c>
      <c r="P3501">
        <v>0.98238749999999997</v>
      </c>
      <c r="Q3501">
        <v>0.1416685</v>
      </c>
      <c r="R3501">
        <v>-0.12183960000000001</v>
      </c>
      <c r="S3501">
        <v>3.03714</v>
      </c>
      <c r="T3501">
        <v>-0.1078625</v>
      </c>
      <c r="U3501">
        <v>-0.25936890000000001</v>
      </c>
      <c r="V3501">
        <v>-0.19987759999999999</v>
      </c>
      <c r="W3501">
        <v>0.14490459999999999</v>
      </c>
      <c r="X3501">
        <v>0.96904670000000004</v>
      </c>
      <c r="Y3501">
        <v>-0.23218800000000001</v>
      </c>
      <c r="Z3501">
        <v>1.5075450000000001E-2</v>
      </c>
      <c r="AA3501">
        <v>0.97255409999999998</v>
      </c>
      <c r="AB3501">
        <v>26</v>
      </c>
      <c r="AC3501">
        <v>29.208500000000001</v>
      </c>
      <c r="AD3501">
        <v>-1.0482850500000001</v>
      </c>
      <c r="AE3501">
        <v>-2.44769999999999</v>
      </c>
      <c r="AF3501">
        <v>-6.85190669039262</v>
      </c>
      <c r="AG3501">
        <v>-1.0482850500000001</v>
      </c>
      <c r="AH3501">
        <v>28.460244003794202</v>
      </c>
      <c r="AI3501">
        <v>92.050891902519794</v>
      </c>
      <c r="AJ3501">
        <v>103.536553718273</v>
      </c>
      <c r="AK3501">
        <v>29.292200593253501</v>
      </c>
      <c r="AL3501">
        <v>81.668244774072605</v>
      </c>
      <c r="AM3501">
        <v>101.654505158809</v>
      </c>
      <c r="AN3501">
        <v>0.99999995243190298</v>
      </c>
    </row>
    <row r="3502" spans="1:40" x14ac:dyDescent="0.3">
      <c r="A3502" t="str">
        <f>"20200111150019826"</f>
        <v>20200111150019826</v>
      </c>
      <c r="B3502" t="str">
        <f>"1578726019819351"</f>
        <v>1578726019819351</v>
      </c>
      <c r="C3502" t="s">
        <v>40</v>
      </c>
      <c r="D3502">
        <v>4.4726739999999996</v>
      </c>
      <c r="E3502">
        <v>0.43562210000000001</v>
      </c>
      <c r="F3502" t="s">
        <v>62</v>
      </c>
      <c r="G3502">
        <v>-458.75740000000002</v>
      </c>
      <c r="H3502">
        <v>8.0000740000000001E-2</v>
      </c>
      <c r="I3502">
        <v>223.2895</v>
      </c>
      <c r="J3502">
        <v>-479.51100000000002</v>
      </c>
      <c r="K3502">
        <v>1.1299629999999901</v>
      </c>
      <c r="L3502">
        <v>222.45490000000001</v>
      </c>
      <c r="M3502">
        <v>0.95336540000000003</v>
      </c>
      <c r="N3502">
        <v>0</v>
      </c>
      <c r="O3502">
        <v>-0.30162889999999998</v>
      </c>
      <c r="P3502">
        <v>0.98307650000000002</v>
      </c>
      <c r="Q3502">
        <v>0.1429549</v>
      </c>
      <c r="R3502">
        <v>-0.11456089999999999</v>
      </c>
      <c r="S3502">
        <v>3.0901179999999999</v>
      </c>
      <c r="T3502">
        <v>-0.15426899999999999</v>
      </c>
      <c r="U3502">
        <v>0.11378480000000001</v>
      </c>
      <c r="V3502">
        <v>-0.19382440000000001</v>
      </c>
      <c r="W3502">
        <v>0.14503060000000001</v>
      </c>
      <c r="X3502">
        <v>0.97025680000000003</v>
      </c>
      <c r="Y3502">
        <v>-0.33573910000000001</v>
      </c>
      <c r="Z3502">
        <v>2.325872E-2</v>
      </c>
      <c r="AA3502">
        <v>0.9416679</v>
      </c>
      <c r="AB3502">
        <v>26</v>
      </c>
      <c r="AC3502">
        <v>20.753599999999899</v>
      </c>
      <c r="AD3502">
        <v>-1.04996225999999</v>
      </c>
      <c r="AE3502">
        <v>0.83459999999999401</v>
      </c>
      <c r="AF3502">
        <v>-7.0379831334229097</v>
      </c>
      <c r="AG3502">
        <v>-1.04996225999999</v>
      </c>
      <c r="AH3502">
        <v>19.485349489024301</v>
      </c>
      <c r="AI3502">
        <v>92.901275401984293</v>
      </c>
      <c r="AJ3502">
        <v>109.859394280663</v>
      </c>
      <c r="AK3502">
        <v>20.744022561769199</v>
      </c>
      <c r="AL3502">
        <v>81.660948959184694</v>
      </c>
      <c r="AM3502">
        <v>101.297044891764</v>
      </c>
      <c r="AN3502">
        <v>1.0000000154589701</v>
      </c>
    </row>
    <row r="3503" spans="1:40" x14ac:dyDescent="0.3">
      <c r="A3503" t="str">
        <f>"20200111150019849"</f>
        <v>20200111150019849</v>
      </c>
      <c r="B3503" t="str">
        <f>"1578726019838872"</f>
        <v>1578726019838872</v>
      </c>
      <c r="C3503" t="s">
        <v>40</v>
      </c>
      <c r="D3503">
        <v>4.4684699999999999</v>
      </c>
      <c r="E3503">
        <v>0.43493150000000003</v>
      </c>
      <c r="F3503" t="s">
        <v>62</v>
      </c>
      <c r="G3503">
        <v>-448.2491</v>
      </c>
      <c r="H3503">
        <v>8.0000559999999998E-2</v>
      </c>
      <c r="I3503">
        <v>224.18389999999999</v>
      </c>
      <c r="J3503">
        <v>-479.25229999999999</v>
      </c>
      <c r="K3503">
        <v>1.131281</v>
      </c>
      <c r="L3503">
        <v>222.3955</v>
      </c>
      <c r="M3503">
        <v>0.95785529999999997</v>
      </c>
      <c r="N3503">
        <v>0</v>
      </c>
      <c r="O3503">
        <v>-0.28712650000000001</v>
      </c>
      <c r="P3503">
        <v>0.98403850000000004</v>
      </c>
      <c r="Q3503">
        <v>0.14440020000000001</v>
      </c>
      <c r="R3503">
        <v>-0.1040045</v>
      </c>
      <c r="S3503">
        <v>3.0866090000000002</v>
      </c>
      <c r="T3503">
        <v>-0.1036668</v>
      </c>
      <c r="U3503">
        <v>0.17071529999999999</v>
      </c>
      <c r="V3503">
        <v>-0.18905089999999999</v>
      </c>
      <c r="W3503">
        <v>0.1449725</v>
      </c>
      <c r="X3503">
        <v>0.97120680000000004</v>
      </c>
      <c r="Y3503">
        <v>-0.33924700000000002</v>
      </c>
      <c r="Z3503">
        <v>1.524026E-2</v>
      </c>
      <c r="AA3503">
        <v>0.94057389999999996</v>
      </c>
      <c r="AB3503">
        <v>26</v>
      </c>
      <c r="AC3503">
        <v>31.0032</v>
      </c>
      <c r="AD3503">
        <v>-1.05128044</v>
      </c>
      <c r="AE3503">
        <v>1.78839999999999</v>
      </c>
      <c r="AF3503">
        <v>-10.6030976811656</v>
      </c>
      <c r="AG3503">
        <v>-1.05128044</v>
      </c>
      <c r="AH3503">
        <v>29.150720695315002</v>
      </c>
      <c r="AI3503">
        <v>91.941085008261794</v>
      </c>
      <c r="AJ3503">
        <v>109.988028856041</v>
      </c>
      <c r="AK3503">
        <v>31.037000306990599</v>
      </c>
      <c r="AL3503">
        <v>81.664312922736599</v>
      </c>
      <c r="AM3503">
        <v>101.015201231112</v>
      </c>
      <c r="AN3503">
        <v>0.99999995845664902</v>
      </c>
    </row>
    <row r="3504" spans="1:40" x14ac:dyDescent="0.3">
      <c r="A3504" t="str">
        <f>"20200111150019872"</f>
        <v>20200111150019872</v>
      </c>
      <c r="B3504" t="str">
        <f>"1578726019859368"</f>
        <v>1578726019859368</v>
      </c>
      <c r="C3504" t="s">
        <v>40</v>
      </c>
      <c r="D3504">
        <v>4.387397</v>
      </c>
      <c r="E3504">
        <v>0.43553399999999998</v>
      </c>
      <c r="F3504" t="s">
        <v>43</v>
      </c>
      <c r="G3504">
        <v>-439.07940000000002</v>
      </c>
      <c r="H3504">
        <v>-0.05</v>
      </c>
      <c r="I3504">
        <v>225.09540000000001</v>
      </c>
      <c r="J3504">
        <v>-479.00490000000002</v>
      </c>
      <c r="K3504">
        <v>1.132255</v>
      </c>
      <c r="L3504">
        <v>222.3432</v>
      </c>
      <c r="M3504">
        <v>0.96233959999999996</v>
      </c>
      <c r="N3504">
        <v>0</v>
      </c>
      <c r="O3504">
        <v>-0.27178619999999998</v>
      </c>
      <c r="P3504">
        <v>0.98487519999999995</v>
      </c>
      <c r="Q3504">
        <v>0.14665320000000001</v>
      </c>
      <c r="R3504">
        <v>-9.2271919999999993E-2</v>
      </c>
      <c r="S3504">
        <v>3.0838619999999999</v>
      </c>
      <c r="T3504">
        <v>-9.0680839999999999E-2</v>
      </c>
      <c r="U3504">
        <v>0.2072601</v>
      </c>
      <c r="V3504">
        <v>-0.18451580000000001</v>
      </c>
      <c r="W3504">
        <v>0.14553489999999999</v>
      </c>
      <c r="X3504">
        <v>0.97199460000000004</v>
      </c>
      <c r="Y3504">
        <v>-0.33545140000000001</v>
      </c>
      <c r="Z3504">
        <v>1.284834E-2</v>
      </c>
      <c r="AA3504">
        <v>0.94196990000000003</v>
      </c>
      <c r="AB3504">
        <v>26</v>
      </c>
      <c r="AC3504">
        <v>39.9255</v>
      </c>
      <c r="AD3504">
        <v>-1.1822549999999901</v>
      </c>
      <c r="AE3504">
        <v>2.75220000000001</v>
      </c>
      <c r="AF3504">
        <v>-13.488214472783</v>
      </c>
      <c r="AG3504">
        <v>-1.1822549999999901</v>
      </c>
      <c r="AH3504">
        <v>37.641684696266402</v>
      </c>
      <c r="AI3504">
        <v>91.693582519469402</v>
      </c>
      <c r="AJ3504">
        <v>109.714219141485</v>
      </c>
      <c r="AK3504">
        <v>40.002825941700102</v>
      </c>
      <c r="AL3504">
        <v>81.631744674796806</v>
      </c>
      <c r="AM3504">
        <v>100.748683381237</v>
      </c>
      <c r="AN3504">
        <v>0.99999999499840397</v>
      </c>
    </row>
    <row r="3505" spans="1:40" x14ac:dyDescent="0.3">
      <c r="A3505" t="str">
        <f>"20200111150019893"</f>
        <v>20200111150019893</v>
      </c>
      <c r="B3505" t="str">
        <f>"1578726019889623"</f>
        <v>1578726019889623</v>
      </c>
      <c r="C3505" t="s">
        <v>40</v>
      </c>
      <c r="D3505">
        <v>4.5011489999999998</v>
      </c>
      <c r="E3505">
        <v>0.43684149999999999</v>
      </c>
      <c r="F3505" t="s">
        <v>43</v>
      </c>
      <c r="G3505">
        <v>-433.47210000000001</v>
      </c>
      <c r="H3505">
        <v>-0.05</v>
      </c>
      <c r="I3505">
        <v>225.83940000000001</v>
      </c>
      <c r="J3505">
        <v>-478.75869999999998</v>
      </c>
      <c r="K3505">
        <v>1.1331180000000001</v>
      </c>
      <c r="L3505">
        <v>222.29470000000001</v>
      </c>
      <c r="M3505">
        <v>0.96688350000000001</v>
      </c>
      <c r="N3505">
        <v>0</v>
      </c>
      <c r="O3505">
        <v>-0.25519459999999999</v>
      </c>
      <c r="P3505">
        <v>0.98539410000000005</v>
      </c>
      <c r="Q3505">
        <v>0.1495525</v>
      </c>
      <c r="R3505">
        <v>-8.1442680000000003E-2</v>
      </c>
      <c r="S3505">
        <v>3.0801699999999999</v>
      </c>
      <c r="T3505">
        <v>-7.9976439999999996E-2</v>
      </c>
      <c r="U3505">
        <v>0.2365112</v>
      </c>
      <c r="V3505">
        <v>-0.17777989999999999</v>
      </c>
      <c r="W3505">
        <v>0.1470533</v>
      </c>
      <c r="X3505">
        <v>0.97302089999999997</v>
      </c>
      <c r="Y3505">
        <v>-0.32827699999999999</v>
      </c>
      <c r="Z3505">
        <v>1.083074E-2</v>
      </c>
      <c r="AA3505">
        <v>0.94451940000000001</v>
      </c>
      <c r="AB3505">
        <v>26</v>
      </c>
      <c r="AC3505">
        <v>45.2865999999999</v>
      </c>
      <c r="AD3505">
        <v>-1.1831179999999999</v>
      </c>
      <c r="AE3505">
        <v>3.5447000000000002</v>
      </c>
      <c r="AF3505">
        <v>-14.974139775444399</v>
      </c>
      <c r="AG3505">
        <v>-1.1831179999999999</v>
      </c>
      <c r="AH3505">
        <v>42.853465266213703</v>
      </c>
      <c r="AI3505">
        <v>91.492969258296498</v>
      </c>
      <c r="AJ3505">
        <v>109.26077186432001</v>
      </c>
      <c r="AK3505">
        <v>45.409735911355597</v>
      </c>
      <c r="AL3505">
        <v>81.543800778794704</v>
      </c>
      <c r="AM3505">
        <v>100.354258335539</v>
      </c>
      <c r="AN3505">
        <v>1.00000001886085</v>
      </c>
    </row>
    <row r="3506" spans="1:40" x14ac:dyDescent="0.3">
      <c r="A3506" t="str">
        <f>"20200111150019915"</f>
        <v>20200111150019915</v>
      </c>
      <c r="B3506" t="str">
        <f>"1578726019909144"</f>
        <v>1578726019909144</v>
      </c>
      <c r="C3506" t="s">
        <v>40</v>
      </c>
      <c r="D3506">
        <v>4.4494449999999999</v>
      </c>
      <c r="E3506">
        <v>0.4377643</v>
      </c>
      <c r="F3506" t="s">
        <v>66</v>
      </c>
      <c r="G3506">
        <v>-434.37110000000001</v>
      </c>
      <c r="H3506">
        <v>7.9999199999999895E-2</v>
      </c>
      <c r="I3506">
        <v>226.0179</v>
      </c>
      <c r="J3506">
        <v>-478.51639999999998</v>
      </c>
      <c r="K3506">
        <v>1.13452</v>
      </c>
      <c r="L3506">
        <v>222.24950000000001</v>
      </c>
      <c r="M3506">
        <v>0.97132099999999999</v>
      </c>
      <c r="N3506">
        <v>0</v>
      </c>
      <c r="O3506">
        <v>-0.2377659</v>
      </c>
      <c r="P3506">
        <v>0.98590540000000004</v>
      </c>
      <c r="Q3506">
        <v>0.15166499999999999</v>
      </c>
      <c r="R3506">
        <v>-7.0629659999999997E-2</v>
      </c>
      <c r="S3506">
        <v>3.0769039999999999</v>
      </c>
      <c r="T3506">
        <v>-7.3001150000000001E-2</v>
      </c>
      <c r="U3506">
        <v>0.25808720000000002</v>
      </c>
      <c r="V3506">
        <v>-0.17032439999999999</v>
      </c>
      <c r="W3506">
        <v>0.14833189999999999</v>
      </c>
      <c r="X3506">
        <v>0.97415980000000002</v>
      </c>
      <c r="Y3506">
        <v>-0.31796740000000001</v>
      </c>
      <c r="Z3506">
        <v>9.3684010000000002E-3</v>
      </c>
      <c r="AA3506">
        <v>0.94805539999999999</v>
      </c>
      <c r="AB3506">
        <v>26</v>
      </c>
      <c r="AC3506">
        <v>44.145299999999899</v>
      </c>
      <c r="AD3506">
        <v>-1.0545207999999999</v>
      </c>
      <c r="AE3506">
        <v>3.7683999999999802</v>
      </c>
      <c r="AF3506">
        <v>-14.1485785576828</v>
      </c>
      <c r="AG3506">
        <v>-1.0545207999999999</v>
      </c>
      <c r="AH3506">
        <v>41.959551184470797</v>
      </c>
      <c r="AI3506">
        <v>91.364207965422494</v>
      </c>
      <c r="AJ3506">
        <v>108.633883036664</v>
      </c>
      <c r="AK3506">
        <v>44.2933203194656</v>
      </c>
      <c r="AL3506">
        <v>81.469730218516403</v>
      </c>
      <c r="AM3506">
        <v>99.9174816428187</v>
      </c>
      <c r="AN3506">
        <v>1.0000000348645</v>
      </c>
    </row>
    <row r="3507" spans="1:40" x14ac:dyDescent="0.3">
      <c r="A3507" t="str">
        <f>"20200111150019937"</f>
        <v>20200111150019937</v>
      </c>
      <c r="B3507" t="str">
        <f>"1578726019929640"</f>
        <v>1578726019929640</v>
      </c>
      <c r="C3507" t="s">
        <v>40</v>
      </c>
      <c r="D3507">
        <v>4.4408570000000003</v>
      </c>
      <c r="E3507">
        <v>0.4386622</v>
      </c>
      <c r="F3507" t="s">
        <v>66</v>
      </c>
      <c r="G3507">
        <v>-431.38</v>
      </c>
      <c r="H3507">
        <v>7.9999340000000002E-2</v>
      </c>
      <c r="I3507">
        <v>226.58240000000001</v>
      </c>
      <c r="J3507">
        <v>-478.27319999999997</v>
      </c>
      <c r="K3507">
        <v>1.1371199999999999</v>
      </c>
      <c r="L3507">
        <v>222.2056</v>
      </c>
      <c r="M3507">
        <v>0.97551350000000003</v>
      </c>
      <c r="N3507">
        <v>0</v>
      </c>
      <c r="O3507">
        <v>-0.21993879999999999</v>
      </c>
      <c r="P3507">
        <v>0.98650059999999995</v>
      </c>
      <c r="Q3507">
        <v>0.15259439999999999</v>
      </c>
      <c r="R3507">
        <v>-5.9426319999999998E-2</v>
      </c>
      <c r="S3507">
        <v>3.0737299999999999</v>
      </c>
      <c r="T3507">
        <v>-6.8764450000000005E-2</v>
      </c>
      <c r="U3507">
        <v>0.28254699999999999</v>
      </c>
      <c r="V3507">
        <v>-0.16322970000000001</v>
      </c>
      <c r="W3507">
        <v>0.1486808</v>
      </c>
      <c r="X3507">
        <v>0.97532050000000003</v>
      </c>
      <c r="Y3507">
        <v>-0.30818030000000002</v>
      </c>
      <c r="Z3507">
        <v>8.3310209999999992E-3</v>
      </c>
      <c r="AA3507">
        <v>0.95129149999999996</v>
      </c>
      <c r="AB3507">
        <v>26</v>
      </c>
      <c r="AC3507">
        <v>46.893199999999901</v>
      </c>
      <c r="AD3507">
        <v>-1.05712066</v>
      </c>
      <c r="AE3507">
        <v>4.3768000000000002</v>
      </c>
      <c r="AF3507">
        <v>-14.575920649321301</v>
      </c>
      <c r="AG3507">
        <v>-1.05712066</v>
      </c>
      <c r="AH3507">
        <v>44.759778835505799</v>
      </c>
      <c r="AI3507">
        <v>91.286469776338905</v>
      </c>
      <c r="AJ3507">
        <v>108.03772224322699</v>
      </c>
      <c r="AK3507">
        <v>47.085165055126502</v>
      </c>
      <c r="AL3507">
        <v>81.449515239977302</v>
      </c>
      <c r="AM3507">
        <v>99.500972772834203</v>
      </c>
      <c r="AN3507">
        <v>0.99999999648548998</v>
      </c>
    </row>
    <row r="3508" spans="1:40" x14ac:dyDescent="0.3">
      <c r="A3508" t="str">
        <f>"20200111150019960"</f>
        <v>20200111150019960</v>
      </c>
      <c r="B3508" t="str">
        <f>"1578726019949159"</f>
        <v>1578726019949159</v>
      </c>
      <c r="C3508" t="s">
        <v>40</v>
      </c>
      <c r="D3508">
        <v>4.4666819999999996</v>
      </c>
      <c r="E3508">
        <v>0.43981740000000002</v>
      </c>
      <c r="F3508" t="s">
        <v>66</v>
      </c>
      <c r="G3508">
        <v>-432.79579999999999</v>
      </c>
      <c r="H3508">
        <v>7.999908E-2</v>
      </c>
      <c r="I3508">
        <v>226.78829999999999</v>
      </c>
      <c r="J3508">
        <v>-478.0222</v>
      </c>
      <c r="K3508">
        <v>1.1409640000000001</v>
      </c>
      <c r="L3508">
        <v>222.16210000000001</v>
      </c>
      <c r="M3508">
        <v>0.97910050000000004</v>
      </c>
      <c r="N3508">
        <v>0</v>
      </c>
      <c r="O3508">
        <v>-0.203377</v>
      </c>
      <c r="P3508">
        <v>0.98713620000000002</v>
      </c>
      <c r="Q3508">
        <v>0.15202199999999999</v>
      </c>
      <c r="R3508">
        <v>-4.9514460000000003E-2</v>
      </c>
      <c r="S3508">
        <v>3.0707089999999999</v>
      </c>
      <c r="T3508">
        <v>-7.1378590000000006E-2</v>
      </c>
      <c r="U3508">
        <v>0.30943300000000001</v>
      </c>
      <c r="V3508">
        <v>-0.1565889</v>
      </c>
      <c r="W3508">
        <v>0.1472128</v>
      </c>
      <c r="X3508">
        <v>0.97663109999999997</v>
      </c>
      <c r="Y3508">
        <v>-0.30038350000000003</v>
      </c>
      <c r="Z3508">
        <v>8.1840539999999996E-3</v>
      </c>
      <c r="AA3508">
        <v>0.95378339999999995</v>
      </c>
      <c r="AB3508">
        <v>26</v>
      </c>
      <c r="AC3508">
        <v>45.226399999999998</v>
      </c>
      <c r="AD3508">
        <v>-1.06096492</v>
      </c>
      <c r="AE3508">
        <v>4.6261999999999803</v>
      </c>
      <c r="AF3508">
        <v>-13.720052050177401</v>
      </c>
      <c r="AG3508">
        <v>-1.06096492</v>
      </c>
      <c r="AH3508">
        <v>43.316736948301397</v>
      </c>
      <c r="AI3508">
        <v>91.337608250289406</v>
      </c>
      <c r="AJ3508">
        <v>107.574967806</v>
      </c>
      <c r="AK3508">
        <v>45.450029424296197</v>
      </c>
      <c r="AL3508">
        <v>81.534561377727599</v>
      </c>
      <c r="AM3508">
        <v>99.109033969647598</v>
      </c>
      <c r="AN3508">
        <v>0.99999999878712997</v>
      </c>
    </row>
    <row r="3509" spans="1:40" x14ac:dyDescent="0.3">
      <c r="A3509" t="str">
        <f>"20200111150019983"</f>
        <v>20200111150019983</v>
      </c>
      <c r="B3509" t="str">
        <f>"1578726019979415"</f>
        <v>1578726019979415</v>
      </c>
      <c r="C3509" t="s">
        <v>40</v>
      </c>
      <c r="D3509">
        <v>4.4966210000000002</v>
      </c>
      <c r="E3509">
        <v>0.44144519999999998</v>
      </c>
      <c r="F3509" t="s">
        <v>43</v>
      </c>
      <c r="G3509">
        <v>-430.35820000000001</v>
      </c>
      <c r="H3509">
        <v>-0.05</v>
      </c>
      <c r="I3509">
        <v>227.3175</v>
      </c>
      <c r="J3509">
        <v>-477.77670000000001</v>
      </c>
      <c r="K3509">
        <v>1.1450180000000001</v>
      </c>
      <c r="L3509">
        <v>222.12209999999999</v>
      </c>
      <c r="M3509">
        <v>0.98171620000000004</v>
      </c>
      <c r="N3509">
        <v>0</v>
      </c>
      <c r="O3509">
        <v>-0.19034880000000001</v>
      </c>
      <c r="P3509">
        <v>0.98766759999999998</v>
      </c>
      <c r="Q3509">
        <v>0.15004189999999901</v>
      </c>
      <c r="R3509">
        <v>-4.4726269999999999E-2</v>
      </c>
      <c r="S3509">
        <v>3.0675349999999999</v>
      </c>
      <c r="T3509">
        <v>-7.6647399999999893E-2</v>
      </c>
      <c r="U3509">
        <v>0.331787099999999</v>
      </c>
      <c r="V3509">
        <v>-0.14853269999999999</v>
      </c>
      <c r="W3509">
        <v>0.1447051</v>
      </c>
      <c r="X3509">
        <v>0.97826299999999999</v>
      </c>
      <c r="Y3509">
        <v>-0.2946627</v>
      </c>
      <c r="Z3509">
        <v>8.4020090000000002E-3</v>
      </c>
      <c r="AA3509">
        <v>0.95556439999999998</v>
      </c>
      <c r="AB3509">
        <v>26</v>
      </c>
      <c r="AC3509">
        <v>47.418500000000002</v>
      </c>
      <c r="AD3509">
        <v>-1.1950179999999999</v>
      </c>
      <c r="AE3509">
        <v>5.1954000000000002</v>
      </c>
      <c r="AF3509">
        <v>-14.1176074536997</v>
      </c>
      <c r="AG3509">
        <v>-1.1950179999999999</v>
      </c>
      <c r="AH3509">
        <v>45.534009636711602</v>
      </c>
      <c r="AI3509">
        <v>91.435950882644207</v>
      </c>
      <c r="AJ3509">
        <v>107.22580613899601</v>
      </c>
      <c r="AK3509">
        <v>47.687324750222999</v>
      </c>
      <c r="AL3509">
        <v>81.6797975487938</v>
      </c>
      <c r="AM3509">
        <v>98.633455405741401</v>
      </c>
      <c r="AN3509">
        <v>1.00000001305215</v>
      </c>
    </row>
    <row r="3510" spans="1:40" x14ac:dyDescent="0.3">
      <c r="A3510" t="str">
        <f>"20200111150020004"</f>
        <v>20200111150020004</v>
      </c>
      <c r="B3510" t="str">
        <f>"1578726019998935"</f>
        <v>1578726019998935</v>
      </c>
      <c r="C3510" t="s">
        <v>40</v>
      </c>
      <c r="D3510">
        <v>4.3870870000000002</v>
      </c>
      <c r="E3510">
        <v>0.44267030000000002</v>
      </c>
      <c r="F3510" t="s">
        <v>43</v>
      </c>
      <c r="G3510">
        <v>-435.2029</v>
      </c>
      <c r="H3510">
        <v>-0.05</v>
      </c>
      <c r="I3510">
        <v>226.77289999999999</v>
      </c>
      <c r="J3510">
        <v>-477.5299</v>
      </c>
      <c r="K3510">
        <v>1.1491480000000001</v>
      </c>
      <c r="L3510">
        <v>222.08510000000001</v>
      </c>
      <c r="M3510">
        <v>0.98370880000000005</v>
      </c>
      <c r="N3510">
        <v>0</v>
      </c>
      <c r="O3510">
        <v>-0.17976719999999999</v>
      </c>
      <c r="P3510">
        <v>0.98803790000000002</v>
      </c>
      <c r="Q3510">
        <v>0.14870429999999901</v>
      </c>
      <c r="R3510">
        <v>-4.0840700000000001E-2</v>
      </c>
      <c r="S3510">
        <v>3.0657040000000002</v>
      </c>
      <c r="T3510">
        <v>-8.6052180000000006E-2</v>
      </c>
      <c r="U3510">
        <v>0.33489989999999997</v>
      </c>
      <c r="V3510">
        <v>-0.1419396</v>
      </c>
      <c r="W3510">
        <v>0.1435891</v>
      </c>
      <c r="X3510">
        <v>0.97940559999999999</v>
      </c>
      <c r="Y3510">
        <v>-0.2853484</v>
      </c>
      <c r="Z3510">
        <v>9.0138159999999991E-3</v>
      </c>
      <c r="AA3510">
        <v>0.9583815</v>
      </c>
      <c r="AB3510">
        <v>26</v>
      </c>
      <c r="AC3510">
        <v>42.326999999999998</v>
      </c>
      <c r="AD3510">
        <v>-1.1991479999999901</v>
      </c>
      <c r="AE3510">
        <v>4.6877999999999798</v>
      </c>
      <c r="AF3510">
        <v>-12.210759117616099</v>
      </c>
      <c r="AG3510">
        <v>-1.1991479999999901</v>
      </c>
      <c r="AH3510">
        <v>40.762424665291199</v>
      </c>
      <c r="AI3510">
        <v>91.614209478584399</v>
      </c>
      <c r="AJ3510">
        <v>106.676070535684</v>
      </c>
      <c r="AK3510">
        <v>42.568954165540497</v>
      </c>
      <c r="AL3510">
        <v>81.744414412129103</v>
      </c>
      <c r="AM3510">
        <v>98.246135138574999</v>
      </c>
      <c r="AN3510">
        <v>1.0000000044991599</v>
      </c>
    </row>
    <row r="3511" spans="1:40" x14ac:dyDescent="0.3">
      <c r="A3511" t="str">
        <f>"20200111150020028"</f>
        <v>20200111150020028</v>
      </c>
      <c r="B3511" t="str">
        <f>"1578726020019432"</f>
        <v>1578726020019432</v>
      </c>
      <c r="C3511" t="s">
        <v>40</v>
      </c>
      <c r="D3511">
        <v>4.3881410000000001</v>
      </c>
      <c r="E3511">
        <v>0.46012809999999998</v>
      </c>
      <c r="F3511" t="s">
        <v>43</v>
      </c>
      <c r="G3511">
        <v>-438.85969999999998</v>
      </c>
      <c r="H3511">
        <v>-0.05</v>
      </c>
      <c r="I3511">
        <v>226.3322</v>
      </c>
      <c r="J3511">
        <v>-477.26769999999999</v>
      </c>
      <c r="K3511">
        <v>1.153208</v>
      </c>
      <c r="L3511">
        <v>222.04939999999999</v>
      </c>
      <c r="M3511">
        <v>0.98550599999999999</v>
      </c>
      <c r="N3511">
        <v>0</v>
      </c>
      <c r="O3511">
        <v>-0.1696406</v>
      </c>
      <c r="P3511">
        <v>0.98867079999999996</v>
      </c>
      <c r="Q3511">
        <v>0.14600929999999901</v>
      </c>
      <c r="R3511">
        <v>-3.480718E-2</v>
      </c>
      <c r="S3511">
        <v>3.0645449999999999</v>
      </c>
      <c r="T3511">
        <v>-9.5030310000000007E-2</v>
      </c>
      <c r="U3511">
        <v>0.3365784</v>
      </c>
      <c r="V3511">
        <v>-0.13772809999999999</v>
      </c>
      <c r="W3511">
        <v>0.14170170000000001</v>
      </c>
      <c r="X3511">
        <v>0.98028139999999997</v>
      </c>
      <c r="Y3511">
        <v>-0.27600550000000001</v>
      </c>
      <c r="Z3511">
        <v>9.5021210000000005E-3</v>
      </c>
      <c r="AA3511">
        <v>0.96110910000000005</v>
      </c>
      <c r="AB3511">
        <v>26</v>
      </c>
      <c r="AC3511">
        <v>38.408000000000001</v>
      </c>
      <c r="AD3511">
        <v>-1.2032080000000001</v>
      </c>
      <c r="AE3511">
        <v>4.2827999999999999</v>
      </c>
      <c r="AF3511">
        <v>-10.725884299287101</v>
      </c>
      <c r="AG3511">
        <v>-1.2032080000000001</v>
      </c>
      <c r="AH3511">
        <v>37.088826233012099</v>
      </c>
      <c r="AI3511">
        <v>91.785001206423104</v>
      </c>
      <c r="AJ3511">
        <v>106.129577991491</v>
      </c>
      <c r="AK3511">
        <v>38.627365103453897</v>
      </c>
      <c r="AL3511">
        <v>81.853671828060897</v>
      </c>
      <c r="AM3511">
        <v>97.997623301005305</v>
      </c>
      <c r="AN3511">
        <v>1.0000000122492301</v>
      </c>
    </row>
    <row r="3512" spans="1:40" x14ac:dyDescent="0.3">
      <c r="A3512" t="str">
        <f>"20200111150020049"</f>
        <v>20200111150020049</v>
      </c>
      <c r="B3512" t="str">
        <f>"1578726020038951"</f>
        <v>1578726020038951</v>
      </c>
      <c r="C3512" t="s">
        <v>40</v>
      </c>
      <c r="D3512">
        <v>4.4792110000000003</v>
      </c>
      <c r="E3512">
        <v>0.46002969999999999</v>
      </c>
      <c r="F3512" t="s">
        <v>62</v>
      </c>
      <c r="G3512">
        <v>-454.72480000000002</v>
      </c>
      <c r="H3512">
        <v>8.0001009999999997E-2</v>
      </c>
      <c r="I3512">
        <v>223.61709999999999</v>
      </c>
      <c r="J3512">
        <v>-477.02780000000001</v>
      </c>
      <c r="K3512">
        <v>1.156412</v>
      </c>
      <c r="L3512">
        <v>222.01949999999999</v>
      </c>
      <c r="M3512">
        <v>0.98715240000000004</v>
      </c>
      <c r="N3512">
        <v>0</v>
      </c>
      <c r="O3512">
        <v>-0.1597818</v>
      </c>
      <c r="P3512">
        <v>0.98942430000000003</v>
      </c>
      <c r="Q3512">
        <v>0.1421395</v>
      </c>
      <c r="R3512">
        <v>-2.891612E-2</v>
      </c>
      <c r="S3512">
        <v>3.0634160000000001</v>
      </c>
      <c r="T3512">
        <v>-0.1458409</v>
      </c>
      <c r="U3512">
        <v>0.213028</v>
      </c>
      <c r="V3512">
        <v>-0.13346710000000001</v>
      </c>
      <c r="W3512">
        <v>0.13873629999999901</v>
      </c>
      <c r="X3512">
        <v>0.98129449999999996</v>
      </c>
      <c r="Y3512">
        <v>-0.2274409</v>
      </c>
      <c r="Z3512">
        <v>1.2983659999999999E-2</v>
      </c>
      <c r="AA3512">
        <v>0.97370540000000005</v>
      </c>
      <c r="AB3512">
        <v>26</v>
      </c>
      <c r="AC3512">
        <v>22.303000000000001</v>
      </c>
      <c r="AD3512">
        <v>-1.0764109900000001</v>
      </c>
      <c r="AE3512">
        <v>1.5975999999999999</v>
      </c>
      <c r="AF3512">
        <v>-5.1288022928174204</v>
      </c>
      <c r="AG3512">
        <v>-1.0764109900000001</v>
      </c>
      <c r="AH3512">
        <v>21.710878174202801</v>
      </c>
      <c r="AI3512">
        <v>92.762451754460798</v>
      </c>
      <c r="AJ3512">
        <v>103.291422283862</v>
      </c>
      <c r="AK3512">
        <v>22.334401820359499</v>
      </c>
      <c r="AL3512">
        <v>82.025272517658195</v>
      </c>
      <c r="AM3512">
        <v>97.745343901057197</v>
      </c>
      <c r="AN3512">
        <v>1.0000000617251701</v>
      </c>
    </row>
    <row r="3513" spans="1:40" x14ac:dyDescent="0.3">
      <c r="A3513" t="str">
        <f>"20200111150020072"</f>
        <v>20200111150020072</v>
      </c>
      <c r="B3513" t="str">
        <f>"1578726020069207"</f>
        <v>1578726020069207</v>
      </c>
      <c r="C3513" t="s">
        <v>40</v>
      </c>
      <c r="D3513">
        <v>4.2987690000000001</v>
      </c>
      <c r="E3513">
        <v>0.46740900000000002</v>
      </c>
      <c r="F3513" t="s">
        <v>62</v>
      </c>
      <c r="G3513">
        <v>-456.96800000000002</v>
      </c>
      <c r="H3513">
        <v>8.0000210000000002E-2</v>
      </c>
      <c r="I3513">
        <v>223.5258</v>
      </c>
      <c r="J3513">
        <v>-476.77679999999998</v>
      </c>
      <c r="K3513">
        <v>1.1594059999999999</v>
      </c>
      <c r="L3513">
        <v>221.99029999999999</v>
      </c>
      <c r="M3513">
        <v>0.98883560000000004</v>
      </c>
      <c r="N3513">
        <v>0</v>
      </c>
      <c r="O3513">
        <v>-0.1490078</v>
      </c>
      <c r="P3513">
        <v>0.99026440000000004</v>
      </c>
      <c r="Q3513">
        <v>0.13719000000000001</v>
      </c>
      <c r="R3513">
        <v>-2.356811E-2</v>
      </c>
      <c r="S3513">
        <v>3.0623779999999998</v>
      </c>
      <c r="T3513">
        <v>-0.16432720000000001</v>
      </c>
      <c r="U3513">
        <v>0.22994999999999999</v>
      </c>
      <c r="V3513">
        <v>-0.12764329999999999</v>
      </c>
      <c r="W3513">
        <v>0.13500899999999999</v>
      </c>
      <c r="X3513">
        <v>0.98258829999999997</v>
      </c>
      <c r="Y3513">
        <v>-0.2221003</v>
      </c>
      <c r="Z3513">
        <v>1.391388E-2</v>
      </c>
      <c r="AA3513">
        <v>0.97492460000000003</v>
      </c>
      <c r="AB3513">
        <v>26</v>
      </c>
      <c r="AC3513">
        <v>19.808799999999898</v>
      </c>
      <c r="AD3513">
        <v>-1.07940579</v>
      </c>
      <c r="AE3513">
        <v>1.5355000000000101</v>
      </c>
      <c r="AF3513">
        <v>-4.4568699189191703</v>
      </c>
      <c r="AG3513">
        <v>-1.07940579</v>
      </c>
      <c r="AH3513">
        <v>19.301882570810101</v>
      </c>
      <c r="AI3513">
        <v>93.118882644330995</v>
      </c>
      <c r="AJ3513">
        <v>103.00191411497001</v>
      </c>
      <c r="AK3513">
        <v>19.839140029522301</v>
      </c>
      <c r="AL3513">
        <v>82.240859721627501</v>
      </c>
      <c r="AM3513">
        <v>97.401568994008002</v>
      </c>
      <c r="AN3513">
        <v>1.0000000047063899</v>
      </c>
    </row>
    <row r="3514" spans="1:40" x14ac:dyDescent="0.3">
      <c r="A3514" t="str">
        <f>"20200111150020094"</f>
        <v>20200111150020094</v>
      </c>
      <c r="B3514" t="str">
        <f>"1578726020089703"</f>
        <v>1578726020089703</v>
      </c>
      <c r="C3514" t="s">
        <v>40</v>
      </c>
      <c r="D3514">
        <v>4.44313</v>
      </c>
      <c r="E3514">
        <v>0.46227109999999899</v>
      </c>
      <c r="F3514" t="s">
        <v>66</v>
      </c>
      <c r="G3514">
        <v>-436.25170000000003</v>
      </c>
      <c r="H3514">
        <v>7.9999730000000005E-2</v>
      </c>
      <c r="I3514">
        <v>224.48330000000001</v>
      </c>
      <c r="J3514">
        <v>-476.52620000000002</v>
      </c>
      <c r="K3514">
        <v>1.1622349999999999</v>
      </c>
      <c r="L3514">
        <v>221.96299999999999</v>
      </c>
      <c r="M3514">
        <v>0.99034690000000003</v>
      </c>
      <c r="N3514">
        <v>0</v>
      </c>
      <c r="O3514">
        <v>-0.13859850000000001</v>
      </c>
      <c r="P3514">
        <v>0.99092499999999994</v>
      </c>
      <c r="Q3514">
        <v>0.1332409</v>
      </c>
      <c r="R3514">
        <v>-1.7744019999999999E-2</v>
      </c>
      <c r="S3514">
        <v>3.0451969999999999</v>
      </c>
      <c r="T3514">
        <v>-8.1110360000000006E-2</v>
      </c>
      <c r="U3514">
        <v>0.1873322</v>
      </c>
      <c r="V3514">
        <v>-0.1226546</v>
      </c>
      <c r="W3514">
        <v>0.1324766</v>
      </c>
      <c r="X3514">
        <v>0.98356790000000005</v>
      </c>
      <c r="Y3514">
        <v>-0.1990265</v>
      </c>
      <c r="Z3514">
        <v>6.3301159999999898E-3</v>
      </c>
      <c r="AA3514">
        <v>0.97997369999999995</v>
      </c>
      <c r="AB3514">
        <v>26</v>
      </c>
      <c r="AC3514">
        <v>40.274499999999897</v>
      </c>
      <c r="AD3514">
        <v>-1.08223527</v>
      </c>
      <c r="AE3514">
        <v>2.52030000000001</v>
      </c>
      <c r="AF3514">
        <v>-8.0721646276343701</v>
      </c>
      <c r="AG3514">
        <v>-1.08223527</v>
      </c>
      <c r="AH3514">
        <v>39.508068530943703</v>
      </c>
      <c r="AI3514">
        <v>91.537352594039803</v>
      </c>
      <c r="AJ3514">
        <v>101.54755887361701</v>
      </c>
      <c r="AK3514">
        <v>40.338797131310301</v>
      </c>
      <c r="AL3514">
        <v>82.387270960778494</v>
      </c>
      <c r="AM3514">
        <v>97.108302685796801</v>
      </c>
      <c r="AN3514">
        <v>1.0000000071795601</v>
      </c>
    </row>
    <row r="3515" spans="1:40" x14ac:dyDescent="0.3">
      <c r="A3515" t="str">
        <f>"20200111150020117"</f>
        <v>20200111150020117</v>
      </c>
      <c r="B3515" t="str">
        <f>"1578726020109224"</f>
        <v>1578726020109224</v>
      </c>
      <c r="C3515" t="s">
        <v>40</v>
      </c>
      <c r="D3515">
        <v>4.5453070000000002</v>
      </c>
      <c r="E3515">
        <v>0.46097709999999997</v>
      </c>
      <c r="F3515" t="s">
        <v>62</v>
      </c>
      <c r="G3515">
        <v>-458.16520000000003</v>
      </c>
      <c r="H3515">
        <v>8.0000559999999998E-2</v>
      </c>
      <c r="I3515">
        <v>223.44329999999999</v>
      </c>
      <c r="J3515">
        <v>-476.26690000000002</v>
      </c>
      <c r="K3515">
        <v>1.1651020000000001</v>
      </c>
      <c r="L3515">
        <v>221.93639999999999</v>
      </c>
      <c r="M3515">
        <v>0.99163809999999997</v>
      </c>
      <c r="N3515">
        <v>0</v>
      </c>
      <c r="O3515">
        <v>-0.1290164</v>
      </c>
      <c r="P3515">
        <v>0.99139080000000002</v>
      </c>
      <c r="Q3515">
        <v>0.13049530000000001</v>
      </c>
      <c r="R3515">
        <v>-1.074569E-2</v>
      </c>
      <c r="S3515">
        <v>3.056152</v>
      </c>
      <c r="T3515">
        <v>-0.1801355</v>
      </c>
      <c r="U3515">
        <v>0.2463989</v>
      </c>
      <c r="V3515">
        <v>-0.1196942</v>
      </c>
      <c r="W3515">
        <v>0.13124949999999999</v>
      </c>
      <c r="X3515">
        <v>0.984097</v>
      </c>
      <c r="Y3515">
        <v>-0.2077099</v>
      </c>
      <c r="Z3515">
        <v>1.368579E-2</v>
      </c>
      <c r="AA3515">
        <v>0.97809469999999998</v>
      </c>
      <c r="AB3515">
        <v>26</v>
      </c>
      <c r="AC3515">
        <v>18.101699999999902</v>
      </c>
      <c r="AD3515">
        <v>-1.0851014400000001</v>
      </c>
      <c r="AE3515">
        <v>1.5068999999999999</v>
      </c>
      <c r="AF3515">
        <v>-3.8161138438439299</v>
      </c>
      <c r="AG3515">
        <v>-1.0851014400000001</v>
      </c>
      <c r="AH3515">
        <v>17.6928579172288</v>
      </c>
      <c r="AI3515">
        <v>93.430848672502705</v>
      </c>
      <c r="AJ3515">
        <v>102.171480594256</v>
      </c>
      <c r="AK3515">
        <v>18.132219700949801</v>
      </c>
      <c r="AL3515">
        <v>82.458198044862897</v>
      </c>
      <c r="AM3515">
        <v>96.934734850859599</v>
      </c>
      <c r="AN3515">
        <v>1.00000001908644</v>
      </c>
    </row>
    <row r="3516" spans="1:40" x14ac:dyDescent="0.3">
      <c r="A3516" t="str">
        <f>"20200111150020138"</f>
        <v>20200111150020138</v>
      </c>
      <c r="B3516" t="str">
        <f>"1578726020129719"</f>
        <v>1578726020129719</v>
      </c>
      <c r="C3516" t="s">
        <v>40</v>
      </c>
      <c r="D3516">
        <v>4.410666</v>
      </c>
      <c r="E3516">
        <v>0.4634144</v>
      </c>
      <c r="F3516" t="s">
        <v>62</v>
      </c>
      <c r="G3516">
        <v>-459.0874</v>
      </c>
      <c r="H3516">
        <v>8.0000829999999995E-2</v>
      </c>
      <c r="I3516">
        <v>223.49250000000001</v>
      </c>
      <c r="J3516">
        <v>-476.01949999999999</v>
      </c>
      <c r="K3516">
        <v>1.167719</v>
      </c>
      <c r="L3516">
        <v>221.91239999999999</v>
      </c>
      <c r="M3516">
        <v>0.99259839999999999</v>
      </c>
      <c r="N3516">
        <v>0</v>
      </c>
      <c r="O3516">
        <v>-0.1213752</v>
      </c>
      <c r="P3516">
        <v>0.99177280000000001</v>
      </c>
      <c r="Q3516">
        <v>0.12792539999999999</v>
      </c>
      <c r="R3516">
        <v>-4.6876110000000004E-3</v>
      </c>
      <c r="S3516">
        <v>3.0544129999999998</v>
      </c>
      <c r="T3516">
        <v>-0.1929244</v>
      </c>
      <c r="U3516">
        <v>0.27667239999999999</v>
      </c>
      <c r="V3516">
        <v>-0.1178061</v>
      </c>
      <c r="W3516">
        <v>0.13008319999999901</v>
      </c>
      <c r="X3516">
        <v>0.98447960000000001</v>
      </c>
      <c r="Y3516">
        <v>-0.2097707</v>
      </c>
      <c r="Z3516">
        <v>1.424425E-2</v>
      </c>
      <c r="AA3516">
        <v>0.97764680000000004</v>
      </c>
      <c r="AB3516">
        <v>26</v>
      </c>
      <c r="AC3516">
        <v>16.932099999999899</v>
      </c>
      <c r="AD3516">
        <v>-1.08771817</v>
      </c>
      <c r="AE3516">
        <v>1.5801000000000101</v>
      </c>
      <c r="AF3516">
        <v>-3.6088074364587199</v>
      </c>
      <c r="AG3516">
        <v>-1.08771817</v>
      </c>
      <c r="AH3516">
        <v>16.547429285577198</v>
      </c>
      <c r="AI3516">
        <v>93.674704542246104</v>
      </c>
      <c r="AJ3516">
        <v>102.302923190752</v>
      </c>
      <c r="AK3516">
        <v>16.971270956883799</v>
      </c>
      <c r="AL3516">
        <v>82.525599845185695</v>
      </c>
      <c r="AM3516">
        <v>96.8237562992459</v>
      </c>
      <c r="AN3516">
        <v>0.99999999946780405</v>
      </c>
    </row>
    <row r="3517" spans="1:40" x14ac:dyDescent="0.3">
      <c r="A3517" t="str">
        <f>"20200111150020161"</f>
        <v>20200111150020161</v>
      </c>
      <c r="B3517" t="str">
        <f>"1578726020158999"</f>
        <v>1578726020158999</v>
      </c>
      <c r="C3517" t="s">
        <v>40</v>
      </c>
      <c r="D3517">
        <v>4.180993</v>
      </c>
      <c r="E3517">
        <v>0.46500639999999999</v>
      </c>
      <c r="F3517" t="s">
        <v>62</v>
      </c>
      <c r="G3517">
        <v>-458.94749999999999</v>
      </c>
      <c r="H3517">
        <v>8.0000790000000002E-2</v>
      </c>
      <c r="I3517">
        <v>223.4426</v>
      </c>
      <c r="J3517">
        <v>-475.75779999999997</v>
      </c>
      <c r="K3517">
        <v>1.1702379999999999</v>
      </c>
      <c r="L3517">
        <v>221.88810000000001</v>
      </c>
      <c r="M3517">
        <v>0.99337169999999997</v>
      </c>
      <c r="N3517">
        <v>0</v>
      </c>
      <c r="O3517">
        <v>-0.11483210000000001</v>
      </c>
      <c r="P3517">
        <v>0.99237419999999998</v>
      </c>
      <c r="Q3517">
        <v>0.123258199999999</v>
      </c>
      <c r="R3517">
        <v>-1.069997E-3</v>
      </c>
      <c r="S3517">
        <v>3.0512389999999998</v>
      </c>
      <c r="T3517">
        <v>-0.19440550000000001</v>
      </c>
      <c r="U3517">
        <v>0.27349849999999998</v>
      </c>
      <c r="V3517">
        <v>-0.1146197</v>
      </c>
      <c r="W3517">
        <v>0.1268019</v>
      </c>
      <c r="X3517">
        <v>0.98528349999999998</v>
      </c>
      <c r="Y3517">
        <v>-0.20242270000000001</v>
      </c>
      <c r="Z3517">
        <v>1.3720899999999999E-2</v>
      </c>
      <c r="AA3517">
        <v>0.97920209999999996</v>
      </c>
      <c r="AB3517">
        <v>26</v>
      </c>
      <c r="AC3517">
        <v>16.810299999999899</v>
      </c>
      <c r="AD3517">
        <v>-1.09023721</v>
      </c>
      <c r="AE3517">
        <v>1.55449999999999</v>
      </c>
      <c r="AF3517">
        <v>-3.4601731532849</v>
      </c>
      <c r="AG3517">
        <v>-1.09023721</v>
      </c>
      <c r="AH3517">
        <v>16.451972922032599</v>
      </c>
      <c r="AI3517">
        <v>93.710384951619901</v>
      </c>
      <c r="AJ3517">
        <v>101.877318917281</v>
      </c>
      <c r="AK3517">
        <v>16.847220199548499</v>
      </c>
      <c r="AL3517">
        <v>82.715174740016806</v>
      </c>
      <c r="AM3517">
        <v>96.635489599072201</v>
      </c>
      <c r="AN3517">
        <v>0.99999998642197396</v>
      </c>
    </row>
    <row r="3518" spans="1:40" x14ac:dyDescent="0.3">
      <c r="A3518" t="str">
        <f>"20200111150020183"</f>
        <v>20200111150020183</v>
      </c>
      <c r="B3518" t="str">
        <f>"1578726020179495"</f>
        <v>1578726020179495</v>
      </c>
      <c r="C3518" t="s">
        <v>40</v>
      </c>
      <c r="D3518">
        <v>4.4268000000000001</v>
      </c>
      <c r="E3518">
        <v>0.4802786</v>
      </c>
      <c r="F3518" t="s">
        <v>62</v>
      </c>
      <c r="G3518">
        <v>-460.03100000000001</v>
      </c>
      <c r="H3518">
        <v>7.9999650000000005E-2</v>
      </c>
      <c r="I3518">
        <v>223.28960000000001</v>
      </c>
      <c r="J3518">
        <v>-475.51459999999997</v>
      </c>
      <c r="K3518">
        <v>1.1722669999999999</v>
      </c>
      <c r="L3518">
        <v>221.86619999999999</v>
      </c>
      <c r="M3518">
        <v>0.99391649999999998</v>
      </c>
      <c r="N3518">
        <v>0</v>
      </c>
      <c r="O3518">
        <v>-0.1099707</v>
      </c>
      <c r="P3518">
        <v>0.99303609999999998</v>
      </c>
      <c r="Q3518">
        <v>0.1178104</v>
      </c>
      <c r="R3518">
        <v>5.4385769999999896E-4</v>
      </c>
      <c r="S3518">
        <v>3.0495909999999999</v>
      </c>
      <c r="T3518">
        <v>-0.21140900000000001</v>
      </c>
      <c r="U3518">
        <v>0.27175899999999997</v>
      </c>
      <c r="V3518">
        <v>-0.111167</v>
      </c>
      <c r="W3518">
        <v>0.1225093</v>
      </c>
      <c r="X3518">
        <v>0.98622180000000004</v>
      </c>
      <c r="Y3518">
        <v>-0.1970297</v>
      </c>
      <c r="Z3518">
        <v>1.4405100000000001E-2</v>
      </c>
      <c r="AA3518">
        <v>0.98029169999999999</v>
      </c>
      <c r="AB3518">
        <v>26</v>
      </c>
      <c r="AC3518">
        <v>15.4835999999999</v>
      </c>
      <c r="AD3518">
        <v>-1.09226735</v>
      </c>
      <c r="AE3518">
        <v>1.42340000000001</v>
      </c>
      <c r="AF3518">
        <v>-3.1022313465387898</v>
      </c>
      <c r="AG3518">
        <v>-1.09226735</v>
      </c>
      <c r="AH3518">
        <v>15.1583491089046</v>
      </c>
      <c r="AI3518">
        <v>94.038035980139099</v>
      </c>
      <c r="AJ3518">
        <v>101.56615295968599</v>
      </c>
      <c r="AK3518">
        <v>15.5110423569389</v>
      </c>
      <c r="AL3518">
        <v>82.963056606671202</v>
      </c>
      <c r="AM3518">
        <v>96.431238473274405</v>
      </c>
      <c r="AN3518">
        <v>1.0000000346353599</v>
      </c>
    </row>
    <row r="3519" spans="1:40" x14ac:dyDescent="0.3">
      <c r="A3519" t="str">
        <f>"20200111150020204"</f>
        <v>20200111150020204</v>
      </c>
      <c r="B3519" t="str">
        <f>"1578726020199015"</f>
        <v>1578726020199015</v>
      </c>
      <c r="C3519" t="s">
        <v>40</v>
      </c>
      <c r="D3519">
        <v>4.3261799999999999</v>
      </c>
      <c r="E3519">
        <v>0.51446029999999998</v>
      </c>
      <c r="F3519" t="s">
        <v>66</v>
      </c>
      <c r="G3519">
        <v>-437.1198</v>
      </c>
      <c r="H3519">
        <v>0.08</v>
      </c>
      <c r="I3519">
        <v>223.85749999999999</v>
      </c>
      <c r="J3519">
        <v>-475.2654</v>
      </c>
      <c r="K3519">
        <v>1.1740630000000001</v>
      </c>
      <c r="L3519">
        <v>221.8442</v>
      </c>
      <c r="M3519">
        <v>0.99436239999999998</v>
      </c>
      <c r="N3519">
        <v>0</v>
      </c>
      <c r="O3519">
        <v>-0.10581069999999999</v>
      </c>
      <c r="P3519">
        <v>0.99337980000000003</v>
      </c>
      <c r="Q3519">
        <v>0.1148478</v>
      </c>
      <c r="R3519">
        <v>2.5473639999999999E-3</v>
      </c>
      <c r="S3519">
        <v>3.0311889999999999</v>
      </c>
      <c r="T3519">
        <v>-8.6232299999999998E-2</v>
      </c>
      <c r="U3519">
        <v>0.157211299999999</v>
      </c>
      <c r="V3519">
        <v>-0.108818</v>
      </c>
      <c r="W3519">
        <v>0.1205948</v>
      </c>
      <c r="X3519">
        <v>0.98671960000000003</v>
      </c>
      <c r="Y3519">
        <v>-0.1570693</v>
      </c>
      <c r="Z3519">
        <v>5.2376419999999998E-3</v>
      </c>
      <c r="AA3519">
        <v>0.9875737</v>
      </c>
      <c r="AB3519">
        <v>26</v>
      </c>
      <c r="AC3519">
        <v>38.145600000000002</v>
      </c>
      <c r="AD3519">
        <v>-1.09406299999999</v>
      </c>
      <c r="AE3519">
        <v>2.0132999999999801</v>
      </c>
      <c r="AF3519">
        <v>-6.0333565766610997</v>
      </c>
      <c r="AG3519">
        <v>-1.09406299999999</v>
      </c>
      <c r="AH3519">
        <v>37.687501635004999</v>
      </c>
      <c r="AI3519">
        <v>91.641926326127802</v>
      </c>
      <c r="AJ3519">
        <v>99.095252045385394</v>
      </c>
      <c r="AK3519">
        <v>38.183060968413898</v>
      </c>
      <c r="AL3519">
        <v>83.073568702169794</v>
      </c>
      <c r="AM3519">
        <v>96.293296037030998</v>
      </c>
      <c r="AN3519">
        <v>1.0000000159675999</v>
      </c>
    </row>
    <row r="3520" spans="1:40" x14ac:dyDescent="0.3">
      <c r="A3520" t="str">
        <f>"20200111150020227"</f>
        <v>20200111150020227</v>
      </c>
      <c r="B3520" t="str">
        <f>"1578726020219511"</f>
        <v>1578726020219511</v>
      </c>
      <c r="C3520" t="s">
        <v>40</v>
      </c>
      <c r="D3520">
        <v>4.3111379999999997</v>
      </c>
      <c r="E3520">
        <v>0.51619680000000001</v>
      </c>
      <c r="F3520" t="s">
        <v>62</v>
      </c>
      <c r="G3520">
        <v>-460.94709999999998</v>
      </c>
      <c r="H3520">
        <v>8.0000009999999996E-2</v>
      </c>
      <c r="I3520">
        <v>221.3347</v>
      </c>
      <c r="J3520">
        <v>-475.00549999999998</v>
      </c>
      <c r="K3520">
        <v>1.175632</v>
      </c>
      <c r="L3520">
        <v>221.82149999999999</v>
      </c>
      <c r="M3520">
        <v>0.99472930000000004</v>
      </c>
      <c r="N3520">
        <v>0</v>
      </c>
      <c r="O3520">
        <v>-0.1022506</v>
      </c>
      <c r="P3520">
        <v>0.99347969999999997</v>
      </c>
      <c r="Q3520">
        <v>0.11381230000000001</v>
      </c>
      <c r="R3520">
        <v>6.7203599999999999E-3</v>
      </c>
      <c r="S3520">
        <v>3.0471499999999998</v>
      </c>
      <c r="T3520">
        <v>-0.23283229999999999</v>
      </c>
      <c r="U3520">
        <v>-0.108429</v>
      </c>
      <c r="V3520">
        <v>-0.10922179999999999</v>
      </c>
      <c r="W3520">
        <v>0.1205214</v>
      </c>
      <c r="X3520">
        <v>0.98668400000000001</v>
      </c>
      <c r="Y3520">
        <v>-6.6324519999999998E-2</v>
      </c>
      <c r="Z3520">
        <v>1.031499E-2</v>
      </c>
      <c r="AA3520">
        <v>0.99774479999999999</v>
      </c>
      <c r="AB3520">
        <v>26</v>
      </c>
      <c r="AC3520">
        <v>14.058400000000001</v>
      </c>
      <c r="AD3520">
        <v>-1.09563199</v>
      </c>
      <c r="AE3520">
        <v>-0.48679999999998802</v>
      </c>
      <c r="AF3520">
        <v>-0.94752531522219596</v>
      </c>
      <c r="AG3520">
        <v>-1.09563199</v>
      </c>
      <c r="AH3520">
        <v>13.9498614001217</v>
      </c>
      <c r="AI3520">
        <v>94.480550409564998</v>
      </c>
      <c r="AJ3520">
        <v>93.885769214639097</v>
      </c>
      <c r="AK3520">
        <v>14.024865302850699</v>
      </c>
      <c r="AL3520">
        <v>83.077805436290305</v>
      </c>
      <c r="AM3520">
        <v>96.316686741610795</v>
      </c>
      <c r="AN3520">
        <v>1.00000006265459</v>
      </c>
    </row>
    <row r="3521" spans="1:40" x14ac:dyDescent="0.3">
      <c r="A3521" t="str">
        <f>"20200111150020250"</f>
        <v>20200111150020250</v>
      </c>
      <c r="B3521" t="str">
        <f>"1578726020239031"</f>
        <v>1578726020239031</v>
      </c>
      <c r="C3521" t="s">
        <v>40</v>
      </c>
      <c r="D3521">
        <v>4.4573199999999904</v>
      </c>
      <c r="E3521">
        <v>0.51901889999999995</v>
      </c>
      <c r="F3521" t="s">
        <v>62</v>
      </c>
      <c r="G3521">
        <v>-461.65210000000002</v>
      </c>
      <c r="H3521">
        <v>8.0000210000000002E-2</v>
      </c>
      <c r="I3521">
        <v>221.33330000000001</v>
      </c>
      <c r="J3521">
        <v>-474.75049999999999</v>
      </c>
      <c r="K3521">
        <v>1.176885</v>
      </c>
      <c r="L3521">
        <v>221.79929999999999</v>
      </c>
      <c r="M3521">
        <v>0.99499850000000001</v>
      </c>
      <c r="N3521">
        <v>0</v>
      </c>
      <c r="O3521">
        <v>-9.9541160000000004E-2</v>
      </c>
      <c r="P3521">
        <v>0.99336550000000001</v>
      </c>
      <c r="Q3521">
        <v>0.11461780000000001</v>
      </c>
      <c r="R3521">
        <v>9.3759929999999991E-3</v>
      </c>
      <c r="S3521">
        <v>3.0491329999999999</v>
      </c>
      <c r="T3521">
        <v>-0.2501776</v>
      </c>
      <c r="U3521">
        <v>-0.1114807</v>
      </c>
      <c r="V3521">
        <v>-0.1089618</v>
      </c>
      <c r="W3521">
        <v>0.1221908</v>
      </c>
      <c r="X3521">
        <v>0.98650740000000003</v>
      </c>
      <c r="Y3521">
        <v>-6.2579880000000004E-2</v>
      </c>
      <c r="Z3521">
        <v>1.069938E-2</v>
      </c>
      <c r="AA3521">
        <v>0.99798260000000005</v>
      </c>
      <c r="AB3521">
        <v>26</v>
      </c>
      <c r="AC3521">
        <v>13.0983999999999</v>
      </c>
      <c r="AD3521">
        <v>-1.0968847900000001</v>
      </c>
      <c r="AE3521">
        <v>-0.46599999999997899</v>
      </c>
      <c r="AF3521">
        <v>-0.83434621708041601</v>
      </c>
      <c r="AG3521">
        <v>-1.0968847900000001</v>
      </c>
      <c r="AH3521">
        <v>12.988758161459501</v>
      </c>
      <c r="AI3521">
        <v>94.817223993319203</v>
      </c>
      <c r="AJ3521">
        <v>93.675403545289697</v>
      </c>
      <c r="AK3521">
        <v>13.06166637261</v>
      </c>
      <c r="AL3521">
        <v>82.981443615888494</v>
      </c>
      <c r="AM3521">
        <v>96.302890165007796</v>
      </c>
      <c r="AN3521">
        <v>1.00000005785931</v>
      </c>
    </row>
    <row r="3522" spans="1:40" x14ac:dyDescent="0.3">
      <c r="A3522" t="str">
        <f>"20200111150020273"</f>
        <v>20200111150020273</v>
      </c>
      <c r="B3522" t="str">
        <f>"1578726020269287"</f>
        <v>1578726020269287</v>
      </c>
      <c r="C3522" t="s">
        <v>40</v>
      </c>
      <c r="D3522">
        <v>4.2379069999999999</v>
      </c>
      <c r="E3522">
        <v>0.52113379999999998</v>
      </c>
      <c r="F3522" t="s">
        <v>62</v>
      </c>
      <c r="G3522">
        <v>-462.24689999999998</v>
      </c>
      <c r="H3522">
        <v>8.0000390000000005E-2</v>
      </c>
      <c r="I3522">
        <v>221.27860000000001</v>
      </c>
      <c r="J3522">
        <v>-474.49459999999999</v>
      </c>
      <c r="K3522">
        <v>1.177883</v>
      </c>
      <c r="L3522">
        <v>221.77680000000001</v>
      </c>
      <c r="M3522">
        <v>0.99518130000000005</v>
      </c>
      <c r="N3522">
        <v>0</v>
      </c>
      <c r="O3522">
        <v>-9.764225E-2</v>
      </c>
      <c r="P3522">
        <v>0.99326060000000005</v>
      </c>
      <c r="Q3522">
        <v>0.1154955</v>
      </c>
      <c r="R3522">
        <v>9.733172E-3</v>
      </c>
      <c r="S3522">
        <v>3.0520939999999999</v>
      </c>
      <c r="T3522">
        <v>-0.26774559999999997</v>
      </c>
      <c r="U3522">
        <v>-0.12710569999999999</v>
      </c>
      <c r="V3522">
        <v>-0.10721650000000001</v>
      </c>
      <c r="W3522">
        <v>0.1238712</v>
      </c>
      <c r="X3522">
        <v>0.98648899999999995</v>
      </c>
      <c r="Y3522">
        <v>-5.5565200000000002E-2</v>
      </c>
      <c r="Z3522">
        <v>1.096287E-2</v>
      </c>
      <c r="AA3522">
        <v>0.99839480000000003</v>
      </c>
      <c r="AB3522">
        <v>26</v>
      </c>
      <c r="AC3522">
        <v>12.2477</v>
      </c>
      <c r="AD3522">
        <v>-1.0978826100000001</v>
      </c>
      <c r="AE3522">
        <v>-0.49819999999999698</v>
      </c>
      <c r="AF3522">
        <v>-0.69455002011531297</v>
      </c>
      <c r="AG3522">
        <v>-1.0978826100000001</v>
      </c>
      <c r="AH3522">
        <v>12.140426976029699</v>
      </c>
      <c r="AI3522">
        <v>95.158924330387805</v>
      </c>
      <c r="AJ3522">
        <v>93.274304481013203</v>
      </c>
      <c r="AK3522">
        <v>12.209738454041201</v>
      </c>
      <c r="AL3522">
        <v>82.8844263108777</v>
      </c>
      <c r="AM3522">
        <v>96.202841433093695</v>
      </c>
      <c r="AN3522">
        <v>0.999999999591344</v>
      </c>
    </row>
    <row r="3523" spans="1:40" x14ac:dyDescent="0.3">
      <c r="A3523" t="str">
        <f>"20200111150020294"</f>
        <v>20200111150020294</v>
      </c>
      <c r="B3523" t="str">
        <f>"1578726020288807"</f>
        <v>1578726020288807</v>
      </c>
      <c r="C3523" t="s">
        <v>40</v>
      </c>
      <c r="D3523">
        <v>4.2876940000000001</v>
      </c>
      <c r="E3523">
        <v>0.52217449999999999</v>
      </c>
      <c r="F3523" t="s">
        <v>62</v>
      </c>
      <c r="G3523">
        <v>-461.74149999999997</v>
      </c>
      <c r="H3523">
        <v>8.000024E-2</v>
      </c>
      <c r="I3523">
        <v>221.1833</v>
      </c>
      <c r="J3523">
        <v>-474.2491</v>
      </c>
      <c r="K3523">
        <v>1.1786110000000001</v>
      </c>
      <c r="L3523">
        <v>221.75460000000001</v>
      </c>
      <c r="M3523">
        <v>0.99527750000000004</v>
      </c>
      <c r="N3523">
        <v>0</v>
      </c>
      <c r="O3523">
        <v>-9.6605830000000004E-2</v>
      </c>
      <c r="P3523">
        <v>0.99307880000000004</v>
      </c>
      <c r="Q3523">
        <v>0.11714720000000001</v>
      </c>
      <c r="R3523">
        <v>8.4465540000000002E-3</v>
      </c>
      <c r="S3523">
        <v>3.0522770000000001</v>
      </c>
      <c r="T3523">
        <v>-0.26276250000000001</v>
      </c>
      <c r="U3523">
        <v>-0.14204410000000001</v>
      </c>
      <c r="V3523">
        <v>-0.1046897</v>
      </c>
      <c r="W3523">
        <v>0.12623289999999901</v>
      </c>
      <c r="X3523">
        <v>0.98646100000000003</v>
      </c>
      <c r="Y3523">
        <v>-4.969788E-2</v>
      </c>
      <c r="Z3523">
        <v>1.04168E-2</v>
      </c>
      <c r="AA3523">
        <v>0.99870999999999999</v>
      </c>
      <c r="AB3523">
        <v>26</v>
      </c>
      <c r="AC3523">
        <v>12.5076</v>
      </c>
      <c r="AD3523">
        <v>-1.0986107599999999</v>
      </c>
      <c r="AE3523">
        <v>-0.57130000000000702</v>
      </c>
      <c r="AF3523">
        <v>-0.63484615229841601</v>
      </c>
      <c r="AG3523">
        <v>-1.0986107599999999</v>
      </c>
      <c r="AH3523">
        <v>12.4087515090278</v>
      </c>
      <c r="AI3523">
        <v>95.0529244324579</v>
      </c>
      <c r="AJ3523">
        <v>92.928765154033698</v>
      </c>
      <c r="AK3523">
        <v>12.4734553854125</v>
      </c>
      <c r="AL3523">
        <v>82.748040169492398</v>
      </c>
      <c r="AM3523">
        <v>96.057927997209603</v>
      </c>
      <c r="AN3523">
        <v>0.99999999142475005</v>
      </c>
    </row>
    <row r="3524" spans="1:40" x14ac:dyDescent="0.3">
      <c r="A3524" t="str">
        <f>"20200111150020317"</f>
        <v>20200111150020317</v>
      </c>
      <c r="B3524" t="str">
        <f>"1578726020309303"</f>
        <v>1578726020309303</v>
      </c>
      <c r="C3524" t="s">
        <v>40</v>
      </c>
      <c r="D3524">
        <v>4.3541019999999904</v>
      </c>
      <c r="E3524">
        <v>0.52231090000000002</v>
      </c>
      <c r="F3524" t="s">
        <v>62</v>
      </c>
      <c r="G3524">
        <v>-460.48099999999999</v>
      </c>
      <c r="H3524">
        <v>7.9999879999999995E-2</v>
      </c>
      <c r="I3524">
        <v>221.054</v>
      </c>
      <c r="J3524">
        <v>-473.98360000000002</v>
      </c>
      <c r="K3524">
        <v>1.1792</v>
      </c>
      <c r="L3524">
        <v>221.73</v>
      </c>
      <c r="M3524">
        <v>0.99529999999999996</v>
      </c>
      <c r="N3524">
        <v>0</v>
      </c>
      <c r="O3524">
        <v>-9.6320459999999997E-2</v>
      </c>
      <c r="P3524">
        <v>0.99281229999999998</v>
      </c>
      <c r="Q3524">
        <v>0.1194636</v>
      </c>
      <c r="R3524">
        <v>7.2193989999999996E-3</v>
      </c>
      <c r="S3524">
        <v>3.0509339999999998</v>
      </c>
      <c r="T3524">
        <v>-0.2434462</v>
      </c>
      <c r="U3524">
        <v>-0.15525820000000001</v>
      </c>
      <c r="V3524">
        <v>-0.1029404</v>
      </c>
      <c r="W3524">
        <v>0.12924730000000001</v>
      </c>
      <c r="X3524">
        <v>0.98625479999999999</v>
      </c>
      <c r="Y3524">
        <v>-4.5166860000000003E-2</v>
      </c>
      <c r="Z3524">
        <v>9.4534179999999999E-3</v>
      </c>
      <c r="AA3524">
        <v>0.99893469999999995</v>
      </c>
      <c r="AB3524">
        <v>26</v>
      </c>
      <c r="AC3524">
        <v>13.502599999999999</v>
      </c>
      <c r="AD3524">
        <v>-1.0992001199999999</v>
      </c>
      <c r="AE3524">
        <v>-0.67599999999998694</v>
      </c>
      <c r="AF3524">
        <v>-0.62366262518558102</v>
      </c>
      <c r="AG3524">
        <v>-1.0992001199999999</v>
      </c>
      <c r="AH3524">
        <v>13.4162400656669</v>
      </c>
      <c r="AI3524">
        <v>94.678783994378193</v>
      </c>
      <c r="AJ3524">
        <v>92.661515489684106</v>
      </c>
      <c r="AK3524">
        <v>13.475633323649999</v>
      </c>
      <c r="AL3524">
        <v>82.573901612767003</v>
      </c>
      <c r="AM3524">
        <v>95.958674465832104</v>
      </c>
      <c r="AN3524">
        <v>1.00000006051624</v>
      </c>
    </row>
    <row r="3525" spans="1:40" x14ac:dyDescent="0.3">
      <c r="A3525" t="str">
        <f>"20200111150020339"</f>
        <v>20200111150020339</v>
      </c>
      <c r="B3525" t="str">
        <f>"1578726020328826"</f>
        <v>1578726020328826</v>
      </c>
      <c r="C3525" t="s">
        <v>40</v>
      </c>
      <c r="D3525">
        <v>4.268637</v>
      </c>
      <c r="E3525">
        <v>0.52271719999999999</v>
      </c>
      <c r="F3525" t="s">
        <v>62</v>
      </c>
      <c r="G3525">
        <v>-460.40129999999999</v>
      </c>
      <c r="H3525">
        <v>7.9999849999999997E-2</v>
      </c>
      <c r="I3525">
        <v>221.01320000000001</v>
      </c>
      <c r="J3525">
        <v>-473.72969999999998</v>
      </c>
      <c r="K3525">
        <v>1.179605</v>
      </c>
      <c r="L3525">
        <v>221.7054</v>
      </c>
      <c r="M3525">
        <v>0.99524230000000002</v>
      </c>
      <c r="N3525">
        <v>0</v>
      </c>
      <c r="O3525">
        <v>-9.6868140000000005E-2</v>
      </c>
      <c r="P3525">
        <v>0.99266359999999998</v>
      </c>
      <c r="Q3525">
        <v>0.1208311</v>
      </c>
      <c r="R3525">
        <v>4.3571410000000001E-3</v>
      </c>
      <c r="S3525">
        <v>3.0526119999999999</v>
      </c>
      <c r="T3525">
        <v>-0.2470453</v>
      </c>
      <c r="U3525">
        <v>-0.1611023</v>
      </c>
      <c r="V3525">
        <v>-0.1004133</v>
      </c>
      <c r="W3525">
        <v>0.1312217</v>
      </c>
      <c r="X3525">
        <v>0.98625459999999998</v>
      </c>
      <c r="Y3525">
        <v>-4.3827400000000002E-2</v>
      </c>
      <c r="Z3525">
        <v>9.5767969999999997E-3</v>
      </c>
      <c r="AA3525">
        <v>0.99899320000000003</v>
      </c>
      <c r="AB3525">
        <v>26</v>
      </c>
      <c r="AC3525">
        <v>13.328399999999901</v>
      </c>
      <c r="AD3525">
        <v>-1.0996051499999999</v>
      </c>
      <c r="AE3525">
        <v>-0.69219999999998505</v>
      </c>
      <c r="AF3525">
        <v>-0.59816313162167101</v>
      </c>
      <c r="AG3525">
        <v>-1.0996051499999999</v>
      </c>
      <c r="AH3525">
        <v>13.242874589761399</v>
      </c>
      <c r="AI3525">
        <v>94.741780550090894</v>
      </c>
      <c r="AJ3525">
        <v>92.586216735333096</v>
      </c>
      <c r="AK3525">
        <v>13.3019043004408</v>
      </c>
      <c r="AL3525">
        <v>82.459805003395701</v>
      </c>
      <c r="AM3525">
        <v>95.813409553191505</v>
      </c>
      <c r="AN3525">
        <v>1.00000005069446</v>
      </c>
    </row>
    <row r="3526" spans="1:40" x14ac:dyDescent="0.3">
      <c r="A3526" t="str">
        <f>"20200111150020363"</f>
        <v>20200111150020363</v>
      </c>
      <c r="B3526" t="str">
        <f>"1578726020359079"</f>
        <v>1578726020359079</v>
      </c>
      <c r="C3526" t="s">
        <v>40</v>
      </c>
      <c r="D3526">
        <v>4.346063</v>
      </c>
      <c r="E3526">
        <v>0.52329950000000003</v>
      </c>
      <c r="F3526" t="s">
        <v>62</v>
      </c>
      <c r="G3526">
        <v>-460.50549999999998</v>
      </c>
      <c r="H3526">
        <v>7.9999879999999995E-2</v>
      </c>
      <c r="I3526">
        <v>220.9547</v>
      </c>
      <c r="J3526">
        <v>-473.46940000000001</v>
      </c>
      <c r="K3526">
        <v>1.1798930000000001</v>
      </c>
      <c r="L3526">
        <v>221.679</v>
      </c>
      <c r="M3526">
        <v>0.99509840000000005</v>
      </c>
      <c r="N3526">
        <v>0</v>
      </c>
      <c r="O3526">
        <v>-9.8291589999999998E-2</v>
      </c>
      <c r="P3526">
        <v>0.99281949999999997</v>
      </c>
      <c r="Q3526">
        <v>0.1196226</v>
      </c>
      <c r="R3526">
        <v>3.7873820000000001E-4</v>
      </c>
      <c r="S3526">
        <v>3.053833</v>
      </c>
      <c r="T3526">
        <v>-0.25392940000000003</v>
      </c>
      <c r="U3526">
        <v>-0.17337040000000001</v>
      </c>
      <c r="V3526">
        <v>-9.7686220000000004E-2</v>
      </c>
      <c r="W3526">
        <v>0.1305711</v>
      </c>
      <c r="X3526">
        <v>0.98661469999999996</v>
      </c>
      <c r="Y3526">
        <v>-4.1255159999999999E-2</v>
      </c>
      <c r="Z3526">
        <v>9.8482250000000004E-3</v>
      </c>
      <c r="AA3526">
        <v>0.99910010000000005</v>
      </c>
      <c r="AB3526">
        <v>26</v>
      </c>
      <c r="AC3526">
        <v>12.963900000000001</v>
      </c>
      <c r="AD3526">
        <v>-1.0998931199999999</v>
      </c>
      <c r="AE3526">
        <v>-0.72429999999999894</v>
      </c>
      <c r="AF3526">
        <v>-0.54958147517034905</v>
      </c>
      <c r="AG3526">
        <v>-1.0998931199999999</v>
      </c>
      <c r="AH3526">
        <v>12.8798889989326</v>
      </c>
      <c r="AI3526">
        <v>94.876581933817405</v>
      </c>
      <c r="AJ3526">
        <v>92.443313705501097</v>
      </c>
      <c r="AK3526">
        <v>12.9384444698</v>
      </c>
      <c r="AL3526">
        <v>82.497404672870502</v>
      </c>
      <c r="AM3526">
        <v>95.654512621204105</v>
      </c>
      <c r="AN3526">
        <v>0.999999987994594</v>
      </c>
    </row>
    <row r="3527" spans="1:40" x14ac:dyDescent="0.3">
      <c r="A3527" t="str">
        <f>"20200111150020383"</f>
        <v>20200111150020383</v>
      </c>
      <c r="B3527" t="str">
        <f>"1578726020379575"</f>
        <v>1578726020379575</v>
      </c>
      <c r="C3527" t="s">
        <v>40</v>
      </c>
      <c r="D3527">
        <v>4.3026609999999996</v>
      </c>
      <c r="E3527">
        <v>0.52418540000000002</v>
      </c>
      <c r="F3527" t="s">
        <v>41</v>
      </c>
      <c r="G3527">
        <v>-472.54480000000001</v>
      </c>
      <c r="H3527">
        <v>1.0998399999999999</v>
      </c>
      <c r="I3527">
        <v>221.6216</v>
      </c>
      <c r="J3527">
        <v>-473.23039999999997</v>
      </c>
      <c r="K3527">
        <v>1.18008</v>
      </c>
      <c r="L3527">
        <v>221.65369999999999</v>
      </c>
      <c r="M3527">
        <v>0.99489559999999999</v>
      </c>
      <c r="N3527">
        <v>0</v>
      </c>
      <c r="O3527">
        <v>-0.1002852</v>
      </c>
      <c r="P3527">
        <v>0.9927222</v>
      </c>
      <c r="Q3527">
        <v>0.1203809</v>
      </c>
      <c r="R3527">
        <v>-3.3676219999999998E-3</v>
      </c>
      <c r="S3527">
        <v>3.0535890000000001</v>
      </c>
      <c r="T3527">
        <v>-0.26434550000000001</v>
      </c>
      <c r="U3527">
        <v>-0.18969730000000001</v>
      </c>
      <c r="V3527">
        <v>-9.576142E-2</v>
      </c>
      <c r="W3527">
        <v>0.13178509999999999</v>
      </c>
      <c r="X3527">
        <v>0.98664200000000002</v>
      </c>
      <c r="Y3527">
        <v>-3.7894860000000002E-2</v>
      </c>
      <c r="Z3527">
        <v>1.027556E-2</v>
      </c>
      <c r="AA3527">
        <v>0.99922889999999998</v>
      </c>
      <c r="AB3527">
        <v>25</v>
      </c>
      <c r="AC3527">
        <v>0.68559999999996502</v>
      </c>
      <c r="AD3527">
        <v>-8.0240000000000006E-2</v>
      </c>
      <c r="AE3527">
        <v>-3.2099999999985501E-2</v>
      </c>
      <c r="AF3527">
        <v>-3.6325222131245401E-2</v>
      </c>
      <c r="AG3527">
        <v>-8.0240000000000006E-2</v>
      </c>
      <c r="AH3527">
        <v>0.67612173165363099</v>
      </c>
      <c r="AI3527">
        <v>96.758370716694301</v>
      </c>
      <c r="AJ3527">
        <v>93.075308429919303</v>
      </c>
      <c r="AK3527">
        <v>0.68183471265196505</v>
      </c>
      <c r="AL3527">
        <v>82.427241381612404</v>
      </c>
      <c r="AM3527">
        <v>95.543645191908496</v>
      </c>
      <c r="AN3527">
        <v>0.99999999915321303</v>
      </c>
    </row>
    <row r="3528" spans="1:40" x14ac:dyDescent="0.3">
      <c r="A3528" t="str">
        <f>"20200111150020405"</f>
        <v>20200111150020405</v>
      </c>
      <c r="B3528" t="str">
        <f>"1578726020399095"</f>
        <v>1578726020399095</v>
      </c>
      <c r="C3528" t="s">
        <v>40</v>
      </c>
      <c r="D3528">
        <v>8.3753189999999993</v>
      </c>
      <c r="E3528">
        <v>0.52498840000000002</v>
      </c>
      <c r="F3528" t="s">
        <v>41</v>
      </c>
      <c r="G3528">
        <v>-472.31270000000001</v>
      </c>
      <c r="H3528">
        <v>1.103294</v>
      </c>
      <c r="I3528">
        <v>221.59100000000001</v>
      </c>
      <c r="J3528">
        <v>-472.97750000000002</v>
      </c>
      <c r="K3528">
        <v>1.180258</v>
      </c>
      <c r="L3528">
        <v>221.62549999999999</v>
      </c>
      <c r="M3528">
        <v>0.99461739999999998</v>
      </c>
      <c r="N3528">
        <v>0</v>
      </c>
      <c r="O3528">
        <v>-0.1029713</v>
      </c>
      <c r="P3528">
        <v>0.99234560000000005</v>
      </c>
      <c r="Q3528">
        <v>0.12329710000000001</v>
      </c>
      <c r="R3528">
        <v>-6.9415789999999998E-3</v>
      </c>
      <c r="S3528">
        <v>3.052216</v>
      </c>
      <c r="T3528">
        <v>-0.25508940000000002</v>
      </c>
      <c r="U3528">
        <v>-0.2071838</v>
      </c>
      <c r="V3528">
        <v>-9.4675869999999995E-2</v>
      </c>
      <c r="W3528">
        <v>0.1351224</v>
      </c>
      <c r="X3528">
        <v>0.98629529999999999</v>
      </c>
      <c r="Y3528">
        <v>-3.4901080000000001E-2</v>
      </c>
      <c r="Z3528">
        <v>1.001693E-2</v>
      </c>
      <c r="AA3528">
        <v>0.99934060000000002</v>
      </c>
      <c r="AB3528">
        <v>25</v>
      </c>
      <c r="AC3528">
        <v>0.66480000000001305</v>
      </c>
      <c r="AD3528">
        <v>-7.6964000000000005E-2</v>
      </c>
      <c r="AE3528">
        <v>-3.4500000000008399E-2</v>
      </c>
      <c r="AF3528">
        <v>-3.3692928608445798E-2</v>
      </c>
      <c r="AG3528">
        <v>-7.6964000000000005E-2</v>
      </c>
      <c r="AH3528">
        <v>0.65604918260717304</v>
      </c>
      <c r="AI3528">
        <v>96.682308002237605</v>
      </c>
      <c r="AJ3528">
        <v>92.939974767855901</v>
      </c>
      <c r="AK3528">
        <v>0.66140698570075096</v>
      </c>
      <c r="AL3528">
        <v>82.234302263805802</v>
      </c>
      <c r="AM3528">
        <v>95.483102392249606</v>
      </c>
      <c r="AN3528">
        <v>1.00000000107205</v>
      </c>
    </row>
    <row r="3529" spans="1:40" x14ac:dyDescent="0.3">
      <c r="A3529" t="str">
        <f>"20200111150020429"</f>
        <v>20200111150020429</v>
      </c>
      <c r="B3529" t="str">
        <f>"1578726020419591"</f>
        <v>1578726020419591</v>
      </c>
      <c r="C3529" t="s">
        <v>40</v>
      </c>
      <c r="D3529">
        <v>4.3093009999999996</v>
      </c>
      <c r="E3529">
        <v>0.52562390000000003</v>
      </c>
      <c r="F3529" t="s">
        <v>62</v>
      </c>
      <c r="G3529">
        <v>-458.90620000000001</v>
      </c>
      <c r="H3529">
        <v>8.0000899999999903E-2</v>
      </c>
      <c r="I3529">
        <v>220.59649999999999</v>
      </c>
      <c r="J3529">
        <v>-472.7201</v>
      </c>
      <c r="K3529">
        <v>1.1804220000000001</v>
      </c>
      <c r="L3529">
        <v>221.59559999999999</v>
      </c>
      <c r="M3529">
        <v>0.99427189999999999</v>
      </c>
      <c r="N3529">
        <v>0</v>
      </c>
      <c r="O3529">
        <v>-0.1062237</v>
      </c>
      <c r="P3529">
        <v>0.99196249999999997</v>
      </c>
      <c r="Q3529">
        <v>0.12594050000000001</v>
      </c>
      <c r="R3529">
        <v>-1.2242009999999999E-2</v>
      </c>
      <c r="S3529">
        <v>3.0511780000000002</v>
      </c>
      <c r="T3529">
        <v>-0.23857619999999999</v>
      </c>
      <c r="U3529">
        <v>-0.2231293</v>
      </c>
      <c r="V3529">
        <v>-9.2455159999999995E-2</v>
      </c>
      <c r="W3529">
        <v>0.13813230000000001</v>
      </c>
      <c r="X3529">
        <v>0.98608899999999999</v>
      </c>
      <c r="Y3529">
        <v>-3.300579E-2</v>
      </c>
      <c r="Z3529">
        <v>9.549643E-3</v>
      </c>
      <c r="AA3529">
        <v>0.99940960000000001</v>
      </c>
      <c r="AB3529">
        <v>25</v>
      </c>
      <c r="AC3529">
        <v>13.813899999999901</v>
      </c>
      <c r="AD3529">
        <v>-1.1004210999999999</v>
      </c>
      <c r="AE3529">
        <v>-0.99909999999999799</v>
      </c>
      <c r="AF3529">
        <v>-0.47104607524547598</v>
      </c>
      <c r="AG3529">
        <v>-1.1004210999999999</v>
      </c>
      <c r="AH3529">
        <v>13.7550368147546</v>
      </c>
      <c r="AI3529">
        <v>94.571328055628399</v>
      </c>
      <c r="AJ3529">
        <v>91.961347648161095</v>
      </c>
      <c r="AK3529">
        <v>13.807021720037399</v>
      </c>
      <c r="AL3529">
        <v>82.060215138359197</v>
      </c>
      <c r="AM3529">
        <v>95.356361638206906</v>
      </c>
      <c r="AN3529">
        <v>1.00000000241745</v>
      </c>
    </row>
    <row r="3530" spans="1:40" x14ac:dyDescent="0.3">
      <c r="A3530" t="str">
        <f>"20200111150020451"</f>
        <v>20200111150020451</v>
      </c>
      <c r="B3530" t="str">
        <f>"1578726020448871"</f>
        <v>1578726020448871</v>
      </c>
      <c r="C3530" t="s">
        <v>40</v>
      </c>
      <c r="D3530">
        <v>4.355315</v>
      </c>
      <c r="E3530">
        <v>0.52663509999999902</v>
      </c>
      <c r="F3530" t="s">
        <v>62</v>
      </c>
      <c r="G3530">
        <v>-458.12450000000001</v>
      </c>
      <c r="H3530">
        <v>8.0000680000000005E-2</v>
      </c>
      <c r="I3530">
        <v>220.43719999999999</v>
      </c>
      <c r="J3530">
        <v>-472.46559999999999</v>
      </c>
      <c r="K3530">
        <v>1.1805540000000001</v>
      </c>
      <c r="L3530">
        <v>221.56450000000001</v>
      </c>
      <c r="M3530">
        <v>0.99387000000000003</v>
      </c>
      <c r="N3530">
        <v>0</v>
      </c>
      <c r="O3530">
        <v>-0.1098914</v>
      </c>
      <c r="P3530">
        <v>0.99197630000000003</v>
      </c>
      <c r="Q3530">
        <v>0.1250472</v>
      </c>
      <c r="R3530">
        <v>-1.8618510000000001E-2</v>
      </c>
      <c r="S3530">
        <v>3.0505680000000002</v>
      </c>
      <c r="T3530">
        <v>-0.2299938</v>
      </c>
      <c r="U3530">
        <v>-0.2420959</v>
      </c>
      <c r="V3530">
        <v>-8.9661050000000006E-2</v>
      </c>
      <c r="W3530">
        <v>0.13755519999999999</v>
      </c>
      <c r="X3530">
        <v>0.98642759999999996</v>
      </c>
      <c r="Y3530">
        <v>-3.052771E-2</v>
      </c>
      <c r="Z3530">
        <v>9.3869060000000004E-3</v>
      </c>
      <c r="AA3530">
        <v>0.99948979999999998</v>
      </c>
      <c r="AB3530">
        <v>25</v>
      </c>
      <c r="AC3530">
        <v>14.3410999999999</v>
      </c>
      <c r="AD3530">
        <v>-1.1005533199999999</v>
      </c>
      <c r="AE3530">
        <v>-1.12730000000001</v>
      </c>
      <c r="AF3530">
        <v>-0.45295606198209298</v>
      </c>
      <c r="AG3530">
        <v>-1.1005533199999999</v>
      </c>
      <c r="AH3530">
        <v>14.294455332629299</v>
      </c>
      <c r="AI3530">
        <v>94.400409659471407</v>
      </c>
      <c r="AJ3530">
        <v>91.814954749303993</v>
      </c>
      <c r="AK3530">
        <v>14.3439129968354</v>
      </c>
      <c r="AL3530">
        <v>82.093598987792703</v>
      </c>
      <c r="AM3530">
        <v>95.193611658339705</v>
      </c>
      <c r="AN3530">
        <v>0.99999997348795</v>
      </c>
    </row>
    <row r="3531" spans="1:40" x14ac:dyDescent="0.3">
      <c r="A3531" t="str">
        <f>"20200111150020474"</f>
        <v>20200111150020474</v>
      </c>
      <c r="B3531" t="str">
        <f>"1578726020469367"</f>
        <v>1578726020469367</v>
      </c>
      <c r="C3531" t="s">
        <v>40</v>
      </c>
      <c r="D3531">
        <v>4.3802859999999999</v>
      </c>
      <c r="E3531">
        <v>0.52650959999999902</v>
      </c>
      <c r="F3531" t="s">
        <v>62</v>
      </c>
      <c r="G3531">
        <v>-457.75290000000001</v>
      </c>
      <c r="H3531">
        <v>8.0000580000000002E-2</v>
      </c>
      <c r="I3531">
        <v>220.26589999999999</v>
      </c>
      <c r="J3531">
        <v>-472.21089999999998</v>
      </c>
      <c r="K3531">
        <v>1.180652</v>
      </c>
      <c r="L3531">
        <v>221.53210000000001</v>
      </c>
      <c r="M3531">
        <v>0.9934094</v>
      </c>
      <c r="N3531">
        <v>0</v>
      </c>
      <c r="O3531">
        <v>-0.1139535</v>
      </c>
      <c r="P3531">
        <v>0.99204970000000003</v>
      </c>
      <c r="Q3531">
        <v>0.1235125</v>
      </c>
      <c r="R3531">
        <v>-2.412887E-2</v>
      </c>
      <c r="S3531">
        <v>3.047974</v>
      </c>
      <c r="T3531">
        <v>-0.2279967</v>
      </c>
      <c r="U3531">
        <v>-0.26904299999999998</v>
      </c>
      <c r="V3531">
        <v>-8.815183E-2</v>
      </c>
      <c r="W3531">
        <v>0.13630680000000001</v>
      </c>
      <c r="X3531">
        <v>0.98673690000000003</v>
      </c>
      <c r="Y3531">
        <v>-2.5780689999999998E-2</v>
      </c>
      <c r="Z3531">
        <v>9.4328480000000006E-3</v>
      </c>
      <c r="AA3531">
        <v>0.99962309999999999</v>
      </c>
      <c r="AB3531">
        <v>25</v>
      </c>
      <c r="AC3531">
        <v>14.457999999999901</v>
      </c>
      <c r="AD3531">
        <v>-1.1006514199999999</v>
      </c>
      <c r="AE3531">
        <v>-1.26620000000002</v>
      </c>
      <c r="AF3531">
        <v>-0.38748586941344498</v>
      </c>
      <c r="AG3531">
        <v>-1.1006514199999999</v>
      </c>
      <c r="AH3531">
        <v>14.425143216045001</v>
      </c>
      <c r="AI3531">
        <v>94.3616980443187</v>
      </c>
      <c r="AJ3531">
        <v>91.538699967875203</v>
      </c>
      <c r="AK3531">
        <v>14.472260903215901</v>
      </c>
      <c r="AL3531">
        <v>82.165807408625895</v>
      </c>
      <c r="AM3531">
        <v>95.105064068950298</v>
      </c>
      <c r="AN3531">
        <v>0.99999999934009898</v>
      </c>
    </row>
    <row r="3532" spans="1:40" x14ac:dyDescent="0.3">
      <c r="A3532" t="str">
        <f>"20200111150020495"</f>
        <v>20200111150020495</v>
      </c>
      <c r="B3532" t="str">
        <f>"1578726020489863"</f>
        <v>1578726020489863</v>
      </c>
      <c r="C3532" t="s">
        <v>40</v>
      </c>
      <c r="D3532">
        <v>4.3804069999999999</v>
      </c>
      <c r="E3532">
        <v>0.52665919999999999</v>
      </c>
      <c r="F3532" t="s">
        <v>62</v>
      </c>
      <c r="G3532">
        <v>-458.22239999999999</v>
      </c>
      <c r="H3532">
        <v>8.0000719999999997E-2</v>
      </c>
      <c r="I3532">
        <v>220.21690000000001</v>
      </c>
      <c r="J3532">
        <v>-471.96420000000001</v>
      </c>
      <c r="K3532">
        <v>1.1807219999999901</v>
      </c>
      <c r="L3532">
        <v>221.4992</v>
      </c>
      <c r="M3532">
        <v>0.99290959999999995</v>
      </c>
      <c r="N3532">
        <v>0</v>
      </c>
      <c r="O3532">
        <v>-0.1182088</v>
      </c>
      <c r="P3532">
        <v>0.99187780000000003</v>
      </c>
      <c r="Q3532">
        <v>0.12407020000000001</v>
      </c>
      <c r="R3532">
        <v>-2.8020920000000001E-2</v>
      </c>
      <c r="S3532">
        <v>3.0469970000000002</v>
      </c>
      <c r="T3532">
        <v>-0.23974480000000001</v>
      </c>
      <c r="U3532">
        <v>-0.28646850000000001</v>
      </c>
      <c r="V3532">
        <v>-8.8418010000000005E-2</v>
      </c>
      <c r="W3532">
        <v>0.13712009999999999</v>
      </c>
      <c r="X3532">
        <v>0.98660040000000004</v>
      </c>
      <c r="Y3532">
        <v>-2.4317350000000001E-2</v>
      </c>
      <c r="Z3532">
        <v>1.0190970000000001E-2</v>
      </c>
      <c r="AA3532">
        <v>0.99965230000000005</v>
      </c>
      <c r="AB3532">
        <v>25</v>
      </c>
      <c r="AC3532">
        <v>13.7418</v>
      </c>
      <c r="AD3532">
        <v>-1.1007212799999999</v>
      </c>
      <c r="AE3532">
        <v>-1.28229999999999</v>
      </c>
      <c r="AF3532">
        <v>-0.34900143608656897</v>
      </c>
      <c r="AG3532">
        <v>-1.1007212799999999</v>
      </c>
      <c r="AH3532">
        <v>13.7098252657391</v>
      </c>
      <c r="AI3532">
        <v>94.588782215322695</v>
      </c>
      <c r="AJ3532">
        <v>91.458223665518105</v>
      </c>
      <c r="AK3532">
        <v>13.7583682955405</v>
      </c>
      <c r="AL3532">
        <v>82.118767137974004</v>
      </c>
      <c r="AM3532">
        <v>95.121101968766396</v>
      </c>
      <c r="AN3532">
        <v>1.00000000779826</v>
      </c>
    </row>
    <row r="3533" spans="1:40" x14ac:dyDescent="0.3">
      <c r="A3533" t="str">
        <f>"20200111150020518"</f>
        <v>20200111150020518</v>
      </c>
      <c r="B3533" t="str">
        <f>"1578726020509383"</f>
        <v>1578726020509383</v>
      </c>
      <c r="C3533" t="s">
        <v>40</v>
      </c>
      <c r="D3533">
        <v>4.3264860000000001</v>
      </c>
      <c r="E3533">
        <v>0.52720389999999995</v>
      </c>
      <c r="F3533" t="s">
        <v>62</v>
      </c>
      <c r="G3533">
        <v>-457.89800000000002</v>
      </c>
      <c r="H3533">
        <v>8.0000619999999995E-2</v>
      </c>
      <c r="I3533">
        <v>220.1061</v>
      </c>
      <c r="J3533">
        <v>-471.71319999999997</v>
      </c>
      <c r="K3533">
        <v>1.1807749999999999</v>
      </c>
      <c r="L3533">
        <v>221.46430000000001</v>
      </c>
      <c r="M3533">
        <v>0.9923476</v>
      </c>
      <c r="N3533">
        <v>0</v>
      </c>
      <c r="O3533">
        <v>-0.1228175</v>
      </c>
      <c r="P3533">
        <v>0.99155289999999996</v>
      </c>
      <c r="Q3533">
        <v>0.12586430000000001</v>
      </c>
      <c r="R3533">
        <v>-3.1323799999999999E-2</v>
      </c>
      <c r="S3533">
        <v>3.0458980000000002</v>
      </c>
      <c r="T3533">
        <v>-0.23835029999999999</v>
      </c>
      <c r="U3533">
        <v>-0.3016663</v>
      </c>
      <c r="V3533">
        <v>-8.9602760000000004E-2</v>
      </c>
      <c r="W3533">
        <v>0.13915179999999999</v>
      </c>
      <c r="X3533">
        <v>0.986209</v>
      </c>
      <c r="Y3533">
        <v>-2.39761E-2</v>
      </c>
      <c r="Z3533">
        <v>1.047534E-2</v>
      </c>
      <c r="AA3533">
        <v>0.99965760000000004</v>
      </c>
      <c r="AB3533">
        <v>25</v>
      </c>
      <c r="AC3533">
        <v>13.8151999999999</v>
      </c>
      <c r="AD3533">
        <v>-1.1007743799999901</v>
      </c>
      <c r="AE3533">
        <v>-1.3582000000000101</v>
      </c>
      <c r="AF3533">
        <v>-0.34678952724403</v>
      </c>
      <c r="AG3533">
        <v>-1.1007743799999901</v>
      </c>
      <c r="AH3533">
        <v>13.790701718229499</v>
      </c>
      <c r="AI3533">
        <v>94.562239654036702</v>
      </c>
      <c r="AJ3533">
        <v>91.440491578512606</v>
      </c>
      <c r="AK3533">
        <v>13.838909678621601</v>
      </c>
      <c r="AL3533">
        <v>82.001232728037806</v>
      </c>
      <c r="AM3533">
        <v>95.191397830060694</v>
      </c>
      <c r="AN3533">
        <v>1.00000003486192</v>
      </c>
    </row>
    <row r="3534" spans="1:40" x14ac:dyDescent="0.3">
      <c r="A3534" t="str">
        <f>"20200111150020541"</f>
        <v>20200111150020541</v>
      </c>
      <c r="B3534" t="str">
        <f>"1578726020529880"</f>
        <v>1578726020529880</v>
      </c>
      <c r="C3534" t="s">
        <v>40</v>
      </c>
      <c r="D3534">
        <v>5.7689380000000003</v>
      </c>
      <c r="E3534">
        <v>0.52763459999999995</v>
      </c>
      <c r="F3534" t="s">
        <v>62</v>
      </c>
      <c r="G3534">
        <v>-457.22559999999999</v>
      </c>
      <c r="H3534">
        <v>8.0000440000000006E-2</v>
      </c>
      <c r="I3534">
        <v>219.9545</v>
      </c>
      <c r="J3534">
        <v>-471.45890000000003</v>
      </c>
      <c r="K3534">
        <v>1.18082</v>
      </c>
      <c r="L3534">
        <v>221.42740000000001</v>
      </c>
      <c r="M3534">
        <v>0.99172400000000005</v>
      </c>
      <c r="N3534">
        <v>0</v>
      </c>
      <c r="O3534">
        <v>-0.12773699999999999</v>
      </c>
      <c r="P3534">
        <v>0.99127259999999995</v>
      </c>
      <c r="Q3534">
        <v>0.1276012</v>
      </c>
      <c r="R3534">
        <v>-3.3118130000000003E-2</v>
      </c>
      <c r="S3534">
        <v>3.0448909999999998</v>
      </c>
      <c r="T3534">
        <v>-0.23135220000000001</v>
      </c>
      <c r="U3534">
        <v>-0.31732179999999999</v>
      </c>
      <c r="V3534">
        <v>-9.2608570000000001E-2</v>
      </c>
      <c r="W3534">
        <v>0.14111689999999999</v>
      </c>
      <c r="X3534">
        <v>0.98565190000000003</v>
      </c>
      <c r="Y3534">
        <v>-2.3826440000000001E-2</v>
      </c>
      <c r="Z3534">
        <v>1.0531860000000001E-2</v>
      </c>
      <c r="AA3534">
        <v>0.99966060000000001</v>
      </c>
      <c r="AB3534">
        <v>25</v>
      </c>
      <c r="AC3534">
        <v>14.2333</v>
      </c>
      <c r="AD3534">
        <v>-1.1008195599999999</v>
      </c>
      <c r="AE3534">
        <v>-1.4729000000000101</v>
      </c>
      <c r="AF3534">
        <v>-0.35533559468911802</v>
      </c>
      <c r="AG3534">
        <v>-1.1008195599999999</v>
      </c>
      <c r="AH3534">
        <v>14.2206799885306</v>
      </c>
      <c r="AI3534">
        <v>94.425050006206405</v>
      </c>
      <c r="AJ3534">
        <v>91.4313657511928</v>
      </c>
      <c r="AK3534">
        <v>14.267648945244099</v>
      </c>
      <c r="AL3534">
        <v>81.887518396319606</v>
      </c>
      <c r="AM3534">
        <v>95.367562951182904</v>
      </c>
      <c r="AN3534">
        <v>0.999999997338332</v>
      </c>
    </row>
    <row r="3535" spans="1:40" x14ac:dyDescent="0.3">
      <c r="A3535" t="str">
        <f>"20200111150020564"</f>
        <v>20200111150020564</v>
      </c>
      <c r="B3535" t="str">
        <f>"1578726020559159"</f>
        <v>1578726020559159</v>
      </c>
      <c r="C3535" t="s">
        <v>40</v>
      </c>
      <c r="D3535">
        <v>4.4043029999999996</v>
      </c>
      <c r="E3535">
        <v>0.52810699999999999</v>
      </c>
      <c r="F3535" t="s">
        <v>62</v>
      </c>
      <c r="G3535">
        <v>-456.2559</v>
      </c>
      <c r="H3535">
        <v>8.0000160000000001E-2</v>
      </c>
      <c r="I3535">
        <v>219.7946</v>
      </c>
      <c r="J3535">
        <v>-471.20850000000002</v>
      </c>
      <c r="K3535">
        <v>1.1808590000000001</v>
      </c>
      <c r="L3535">
        <v>221.38939999999999</v>
      </c>
      <c r="M3535">
        <v>0.99105580000000004</v>
      </c>
      <c r="N3535">
        <v>0</v>
      </c>
      <c r="O3535">
        <v>-0.13280810000000001</v>
      </c>
      <c r="P3535">
        <v>0.99099280000000001</v>
      </c>
      <c r="Q3535">
        <v>0.12945519999999999</v>
      </c>
      <c r="R3535">
        <v>-3.4278070000000001E-2</v>
      </c>
      <c r="S3535">
        <v>3.0438230000000002</v>
      </c>
      <c r="T3535">
        <v>-0.2203975</v>
      </c>
      <c r="U3535">
        <v>-0.32690429999999998</v>
      </c>
      <c r="V3535">
        <v>-9.6406240000000004E-2</v>
      </c>
      <c r="W3535">
        <v>0.1431752</v>
      </c>
      <c r="X3535">
        <v>0.9849907</v>
      </c>
      <c r="Y3535">
        <v>-2.5813300000000001E-2</v>
      </c>
      <c r="Z3535">
        <v>1.0469579999999999E-2</v>
      </c>
      <c r="AA3535">
        <v>0.99961199999999995</v>
      </c>
      <c r="AB3535">
        <v>25</v>
      </c>
      <c r="AC3535">
        <v>14.9526</v>
      </c>
      <c r="AD3535">
        <v>-1.1008588399999999</v>
      </c>
      <c r="AE3535">
        <v>-1.59479999999999</v>
      </c>
      <c r="AF3535">
        <v>-0.40316441833403199</v>
      </c>
      <c r="AG3535">
        <v>-1.1008588399999999</v>
      </c>
      <c r="AH3535">
        <v>14.9518112158135</v>
      </c>
      <c r="AI3535">
        <v>94.209400798544394</v>
      </c>
      <c r="AJ3535">
        <v>91.544563623365093</v>
      </c>
      <c r="AK3535">
        <v>14.9977028363394</v>
      </c>
      <c r="AL3535">
        <v>81.768376608620301</v>
      </c>
      <c r="AM3535">
        <v>95.590035754694696</v>
      </c>
      <c r="AN3535">
        <v>0.99999999004623297</v>
      </c>
    </row>
    <row r="3536" spans="1:40" x14ac:dyDescent="0.3">
      <c r="A3536" t="str">
        <f>"20200111150020585"</f>
        <v>20200111150020585</v>
      </c>
      <c r="B3536" t="str">
        <f>"1578726020579655"</f>
        <v>1578726020579655</v>
      </c>
      <c r="C3536" t="s">
        <v>40</v>
      </c>
      <c r="D3536">
        <v>4.3583699999999999</v>
      </c>
      <c r="E3536">
        <v>0.52844669999999905</v>
      </c>
      <c r="F3536" t="s">
        <v>62</v>
      </c>
      <c r="G3536">
        <v>-453.94740000000002</v>
      </c>
      <c r="H3536" s="1">
        <v>3.5085759999999998E-7</v>
      </c>
      <c r="I3536">
        <v>219.4879</v>
      </c>
      <c r="J3536">
        <v>-470.96010000000001</v>
      </c>
      <c r="K3536">
        <v>1.1809019999999999</v>
      </c>
      <c r="L3536">
        <v>221.3501</v>
      </c>
      <c r="M3536">
        <v>0.99034670000000002</v>
      </c>
      <c r="N3536">
        <v>0</v>
      </c>
      <c r="O3536">
        <v>-0.13798339999999901</v>
      </c>
      <c r="P3536">
        <v>0.99087829999999999</v>
      </c>
      <c r="Q3536">
        <v>0.12992790000000001</v>
      </c>
      <c r="R3536">
        <v>-3.5757659999999997E-2</v>
      </c>
      <c r="S3536">
        <v>3.0428769999999998</v>
      </c>
      <c r="T3536">
        <v>-0.20816779999999999</v>
      </c>
      <c r="U3536">
        <v>-0.33520509999999998</v>
      </c>
      <c r="V3536">
        <v>-0.1000403</v>
      </c>
      <c r="W3536">
        <v>0.14382690000000001</v>
      </c>
      <c r="X3536">
        <v>0.98453329999999994</v>
      </c>
      <c r="Y3536">
        <v>-2.8333899999999999E-2</v>
      </c>
      <c r="Z3536">
        <v>1.0325920000000001E-2</v>
      </c>
      <c r="AA3536">
        <v>0.99954520000000002</v>
      </c>
      <c r="AB3536">
        <v>25</v>
      </c>
      <c r="AC3536">
        <v>17.012699999999899</v>
      </c>
      <c r="AD3536">
        <v>-1.18090164914239</v>
      </c>
      <c r="AE3536">
        <v>-1.8622000000000001</v>
      </c>
      <c r="AF3536">
        <v>-0.50090548394312695</v>
      </c>
      <c r="AG3536">
        <v>-1.18090164914239</v>
      </c>
      <c r="AH3536">
        <v>17.025850323654598</v>
      </c>
      <c r="AI3536">
        <v>93.965932367402203</v>
      </c>
      <c r="AJ3536">
        <v>91.685172459580997</v>
      </c>
      <c r="AK3536">
        <v>17.074103614898299</v>
      </c>
      <c r="AL3536">
        <v>81.730646769758195</v>
      </c>
      <c r="AM3536">
        <v>95.802019173806301</v>
      </c>
      <c r="AN3536">
        <v>1.00000002879829</v>
      </c>
    </row>
    <row r="3537" spans="1:40" x14ac:dyDescent="0.3">
      <c r="A3537" t="str">
        <f>"20200111150020607"</f>
        <v>20200111150020607</v>
      </c>
      <c r="B3537" t="str">
        <f>"1578726020599175"</f>
        <v>1578726020599175</v>
      </c>
      <c r="C3537" t="s">
        <v>40</v>
      </c>
      <c r="D3537">
        <v>4.418139</v>
      </c>
      <c r="E3537">
        <v>0.52849889999999999</v>
      </c>
      <c r="F3537" t="s">
        <v>62</v>
      </c>
      <c r="G3537">
        <v>-453.28680000000003</v>
      </c>
      <c r="H3537" s="1">
        <v>4.9391530000000004E-9</v>
      </c>
      <c r="I3537">
        <v>219.36</v>
      </c>
      <c r="J3537">
        <v>-470.71199999999999</v>
      </c>
      <c r="K3537">
        <v>1.1809559999999999</v>
      </c>
      <c r="L3537">
        <v>221.30950000000001</v>
      </c>
      <c r="M3537">
        <v>0.98959600000000003</v>
      </c>
      <c r="N3537">
        <v>0</v>
      </c>
      <c r="O3537">
        <v>-0.143258</v>
      </c>
      <c r="P3537">
        <v>0.99076319999999996</v>
      </c>
      <c r="Q3537">
        <v>0.12987969999999999</v>
      </c>
      <c r="R3537">
        <v>-3.8985300000000001E-2</v>
      </c>
      <c r="S3537">
        <v>3.0419010000000002</v>
      </c>
      <c r="T3537">
        <v>-0.2032553</v>
      </c>
      <c r="U3537">
        <v>-0.34254459999999998</v>
      </c>
      <c r="V3537">
        <v>-0.102063399999999</v>
      </c>
      <c r="W3537">
        <v>0.14392179999999999</v>
      </c>
      <c r="X3537">
        <v>0.98431170000000001</v>
      </c>
      <c r="Y3537">
        <v>-3.1242659999999998E-2</v>
      </c>
      <c r="Z3537">
        <v>1.0527999999999999E-2</v>
      </c>
      <c r="AA3537">
        <v>0.99945640000000002</v>
      </c>
      <c r="AB3537">
        <v>25</v>
      </c>
      <c r="AC3537">
        <v>17.425199999999901</v>
      </c>
      <c r="AD3537">
        <v>-1.1809559950608399</v>
      </c>
      <c r="AE3537">
        <v>-1.9495</v>
      </c>
      <c r="AF3537">
        <v>-0.56457095540356605</v>
      </c>
      <c r="AG3537">
        <v>-1.1809559950608399</v>
      </c>
      <c r="AH3537">
        <v>17.445599924971098</v>
      </c>
      <c r="AI3537">
        <v>93.870631023137307</v>
      </c>
      <c r="AJ3537">
        <v>91.853547475489194</v>
      </c>
      <c r="AK3537">
        <v>17.494637869018799</v>
      </c>
      <c r="AL3537">
        <v>81.725151765524799</v>
      </c>
      <c r="AM3537">
        <v>95.919850803553999</v>
      </c>
      <c r="AN3537">
        <v>0.99999997244584404</v>
      </c>
    </row>
    <row r="3538" spans="1:40" x14ac:dyDescent="0.3">
      <c r="A3538" t="str">
        <f>"20200111150020630"</f>
        <v>20200111150020630</v>
      </c>
      <c r="B3538" t="str">
        <f>"1578726020619671"</f>
        <v>1578726020619671</v>
      </c>
      <c r="C3538" t="s">
        <v>40</v>
      </c>
      <c r="D3538">
        <v>4.3522569999999998</v>
      </c>
      <c r="E3538">
        <v>0.52814329999999998</v>
      </c>
      <c r="F3538" t="s">
        <v>62</v>
      </c>
      <c r="G3538">
        <v>-453.44069999999999</v>
      </c>
      <c r="H3538" s="1">
        <v>8.8969360000000003E-8</v>
      </c>
      <c r="I3538">
        <v>219.31100000000001</v>
      </c>
      <c r="J3538">
        <v>-470.45670000000001</v>
      </c>
      <c r="K3538">
        <v>1.1810210000000001</v>
      </c>
      <c r="L3538">
        <v>221.2662</v>
      </c>
      <c r="M3538">
        <v>0.98878299999999997</v>
      </c>
      <c r="N3538">
        <v>0</v>
      </c>
      <c r="O3538">
        <v>-0.1487559</v>
      </c>
      <c r="P3538">
        <v>0.99059680000000006</v>
      </c>
      <c r="Q3538">
        <v>0.12944739999999999</v>
      </c>
      <c r="R3538">
        <v>-4.4290610000000001E-2</v>
      </c>
      <c r="S3538">
        <v>3.041382</v>
      </c>
      <c r="T3538">
        <v>-0.20796020000000001</v>
      </c>
      <c r="U3538">
        <v>-0.35192869999999998</v>
      </c>
      <c r="V3538">
        <v>-0.10226730000000001</v>
      </c>
      <c r="W3538">
        <v>0.14360039999999999</v>
      </c>
      <c r="X3538">
        <v>0.98433749999999998</v>
      </c>
      <c r="Y3538">
        <v>-3.3699170000000001E-2</v>
      </c>
      <c r="Z3538">
        <v>1.122385E-2</v>
      </c>
      <c r="AA3538">
        <v>0.99936899999999995</v>
      </c>
      <c r="AB3538">
        <v>25</v>
      </c>
      <c r="AC3538">
        <v>17.015999999999998</v>
      </c>
      <c r="AD3538">
        <v>-1.18102091103063</v>
      </c>
      <c r="AE3538">
        <v>-1.95520000000001</v>
      </c>
      <c r="AF3538">
        <v>-0.595185850689122</v>
      </c>
      <c r="AG3538">
        <v>-1.18102091103063</v>
      </c>
      <c r="AH3538">
        <v>17.036518585527201</v>
      </c>
      <c r="AI3538">
        <v>93.963155346651007</v>
      </c>
      <c r="AJ3538">
        <v>92.000864988067093</v>
      </c>
      <c r="AK3538">
        <v>17.087774053520398</v>
      </c>
      <c r="AL3538">
        <v>81.743760108518501</v>
      </c>
      <c r="AM3538">
        <v>95.931438751248393</v>
      </c>
      <c r="AN3538">
        <v>0.99999999471784995</v>
      </c>
    </row>
    <row r="3539" spans="1:40" x14ac:dyDescent="0.3">
      <c r="A3539" t="str">
        <f>"20200111150020651"</f>
        <v>20200111150020651</v>
      </c>
      <c r="B3539" t="str">
        <f>"1578726020649928"</f>
        <v>1578726020649928</v>
      </c>
      <c r="C3539" t="s">
        <v>40</v>
      </c>
      <c r="D3539">
        <v>4.3580410000000001</v>
      </c>
      <c r="E3539">
        <v>0.52856579999999997</v>
      </c>
      <c r="F3539" t="s">
        <v>62</v>
      </c>
      <c r="G3539">
        <v>-453.93920000000003</v>
      </c>
      <c r="H3539" s="1">
        <v>3.5527890000000002E-7</v>
      </c>
      <c r="I3539">
        <v>219.28700000000001</v>
      </c>
      <c r="J3539">
        <v>-470.2174</v>
      </c>
      <c r="K3539">
        <v>1.1810860000000001</v>
      </c>
      <c r="L3539">
        <v>221.2242</v>
      </c>
      <c r="M3539">
        <v>0.98798819999999998</v>
      </c>
      <c r="N3539">
        <v>0</v>
      </c>
      <c r="O3539">
        <v>-0.15393860000000001</v>
      </c>
      <c r="P3539">
        <v>0.99060510000000002</v>
      </c>
      <c r="Q3539">
        <v>0.12775410000000001</v>
      </c>
      <c r="R3539">
        <v>-4.8789550000000001E-2</v>
      </c>
      <c r="S3539">
        <v>3.0405880000000001</v>
      </c>
      <c r="T3539">
        <v>-0.21740490000000001</v>
      </c>
      <c r="U3539">
        <v>-0.36433409999999999</v>
      </c>
      <c r="V3539">
        <v>-0.1030075</v>
      </c>
      <c r="W3539">
        <v>0.1419996</v>
      </c>
      <c r="X3539">
        <v>0.98449249999999999</v>
      </c>
      <c r="Y3539">
        <v>-3.4834410000000003E-2</v>
      </c>
      <c r="Z3539">
        <v>1.213613E-2</v>
      </c>
      <c r="AA3539">
        <v>0.99931939999999997</v>
      </c>
      <c r="AB3539">
        <v>25</v>
      </c>
      <c r="AC3539">
        <v>16.278199999999899</v>
      </c>
      <c r="AD3539">
        <v>-1.1810856447211</v>
      </c>
      <c r="AE3539">
        <v>-1.93719999999998</v>
      </c>
      <c r="AF3539">
        <v>-0.58890954561451903</v>
      </c>
      <c r="AG3539">
        <v>-1.1810856447211</v>
      </c>
      <c r="AH3539">
        <v>16.297771994445799</v>
      </c>
      <c r="AI3539">
        <v>94.1422364133701</v>
      </c>
      <c r="AJ3539">
        <v>92.069445898404993</v>
      </c>
      <c r="AK3539">
        <v>16.351120748622201</v>
      </c>
      <c r="AL3539">
        <v>81.836428603764304</v>
      </c>
      <c r="AM3539">
        <v>95.973126743535204</v>
      </c>
      <c r="AN3539">
        <v>0.99999995700632904</v>
      </c>
    </row>
    <row r="3540" spans="1:40" x14ac:dyDescent="0.3">
      <c r="A3540" t="str">
        <f>"20200111150020675"</f>
        <v>20200111150020675</v>
      </c>
      <c r="B3540" t="str">
        <f>"1578726020669447"</f>
        <v>1578726020669447</v>
      </c>
      <c r="C3540" t="s">
        <v>40</v>
      </c>
      <c r="D3540">
        <v>4.3157809999999897</v>
      </c>
      <c r="E3540">
        <v>0.52933649999999999</v>
      </c>
      <c r="F3540" t="s">
        <v>62</v>
      </c>
      <c r="G3540">
        <v>-454.30669999999998</v>
      </c>
      <c r="H3540" s="1">
        <v>5.5351510000000001E-7</v>
      </c>
      <c r="I3540">
        <v>219.22640000000001</v>
      </c>
      <c r="J3540">
        <v>-469.9622</v>
      </c>
      <c r="K3540">
        <v>1.1811560000000001</v>
      </c>
      <c r="L3540">
        <v>221.178</v>
      </c>
      <c r="M3540">
        <v>0.98711040000000005</v>
      </c>
      <c r="N3540">
        <v>0</v>
      </c>
      <c r="O3540">
        <v>-0.15946450000000001</v>
      </c>
      <c r="P3540">
        <v>0.99067499999999997</v>
      </c>
      <c r="Q3540">
        <v>0.12549879999999999</v>
      </c>
      <c r="R3540">
        <v>-5.3039700000000002E-2</v>
      </c>
      <c r="S3540">
        <v>3.038818</v>
      </c>
      <c r="T3540">
        <v>-0.225578</v>
      </c>
      <c r="U3540">
        <v>-0.38156129999999999</v>
      </c>
      <c r="V3540">
        <v>-0.1043651</v>
      </c>
      <c r="W3540">
        <v>0.1398336</v>
      </c>
      <c r="X3540">
        <v>0.98465959999999997</v>
      </c>
      <c r="Y3540">
        <v>-3.4726409999999999E-2</v>
      </c>
      <c r="Z3540">
        <v>1.299115E-2</v>
      </c>
      <c r="AA3540">
        <v>0.99931239999999999</v>
      </c>
      <c r="AB3540">
        <v>25</v>
      </c>
      <c r="AC3540">
        <v>15.6555</v>
      </c>
      <c r="AD3540">
        <v>-1.1811554464848999</v>
      </c>
      <c r="AE3540">
        <v>-1.95159999999998</v>
      </c>
      <c r="AF3540">
        <v>-0.566926633003214</v>
      </c>
      <c r="AG3540">
        <v>-1.1811554464848999</v>
      </c>
      <c r="AH3540">
        <v>15.6784899149851</v>
      </c>
      <c r="AI3540">
        <v>94.305495970062694</v>
      </c>
      <c r="AJ3540">
        <v>92.0708854974486</v>
      </c>
      <c r="AK3540">
        <v>15.733136369149699</v>
      </c>
      <c r="AL3540">
        <v>81.961782638074595</v>
      </c>
      <c r="AM3540">
        <v>96.050250645925502</v>
      </c>
      <c r="AN3540">
        <v>1.0000000188295599</v>
      </c>
    </row>
    <row r="3541" spans="1:40" x14ac:dyDescent="0.3">
      <c r="A3541" t="str">
        <f>"20200111150020696"</f>
        <v>20200111150020696</v>
      </c>
      <c r="B3541" t="str">
        <f>"1578726020688967"</f>
        <v>1578726020688967</v>
      </c>
      <c r="C3541" t="s">
        <v>40</v>
      </c>
      <c r="D3541">
        <v>4.3622750000000003</v>
      </c>
      <c r="E3541">
        <v>0.53028109999999995</v>
      </c>
      <c r="F3541" t="s">
        <v>62</v>
      </c>
      <c r="G3541">
        <v>-454.54860000000002</v>
      </c>
      <c r="H3541" s="1">
        <v>6.8608429999999999E-7</v>
      </c>
      <c r="I3541">
        <v>219.13829999999999</v>
      </c>
      <c r="J3541">
        <v>-469.72190000000001</v>
      </c>
      <c r="K3541">
        <v>1.1812199999999999</v>
      </c>
      <c r="L3541">
        <v>221.13310000000001</v>
      </c>
      <c r="M3541">
        <v>0.98625759999999996</v>
      </c>
      <c r="N3541">
        <v>0</v>
      </c>
      <c r="O3541">
        <v>-0.1646504</v>
      </c>
      <c r="P3541">
        <v>0.99069879999999999</v>
      </c>
      <c r="Q3541">
        <v>0.12346550000000001</v>
      </c>
      <c r="R3541">
        <v>-5.7203400000000001E-2</v>
      </c>
      <c r="S3541">
        <v>3.0362239999999998</v>
      </c>
      <c r="T3541">
        <v>-0.23266709999999999</v>
      </c>
      <c r="U3541">
        <v>-0.4017944</v>
      </c>
      <c r="V3541">
        <v>-0.10547239999999999</v>
      </c>
      <c r="W3541">
        <v>0.13786970000000001</v>
      </c>
      <c r="X3541">
        <v>0.98481850000000004</v>
      </c>
      <c r="Y3541">
        <v>-3.3279540000000003E-2</v>
      </c>
      <c r="Z3541">
        <v>1.373628E-2</v>
      </c>
      <c r="AA3541">
        <v>0.99935169999999995</v>
      </c>
      <c r="AB3541">
        <v>25</v>
      </c>
      <c r="AC3541">
        <v>15.1732999999999</v>
      </c>
      <c r="AD3541">
        <v>-1.1812193139156999</v>
      </c>
      <c r="AE3541">
        <v>-1.9948000000000199</v>
      </c>
      <c r="AF3541">
        <v>-0.52780830529427503</v>
      </c>
      <c r="AG3541">
        <v>-1.1812193139156999</v>
      </c>
      <c r="AH3541">
        <v>15.204073809372799</v>
      </c>
      <c r="AI3541">
        <v>94.439777535400694</v>
      </c>
      <c r="AJ3541">
        <v>91.988220347528099</v>
      </c>
      <c r="AK3541">
        <v>15.259020973691699</v>
      </c>
      <c r="AL3541">
        <v>82.075406176647405</v>
      </c>
      <c r="AM3541">
        <v>96.112980330827995</v>
      </c>
      <c r="AN3541">
        <v>0.99999997964104903</v>
      </c>
    </row>
    <row r="3542" spans="1:40" x14ac:dyDescent="0.3">
      <c r="A3542" t="str">
        <f>"20200111150020719"</f>
        <v>20200111150020719</v>
      </c>
      <c r="B3542" t="str">
        <f>"1578726020709463"</f>
        <v>1578726020709463</v>
      </c>
      <c r="C3542" t="s">
        <v>40</v>
      </c>
      <c r="D3542">
        <v>4.2723620000000002</v>
      </c>
      <c r="E3542">
        <v>0.53094609999999998</v>
      </c>
      <c r="F3542" t="s">
        <v>62</v>
      </c>
      <c r="G3542">
        <v>-454.62139999999999</v>
      </c>
      <c r="H3542" s="1">
        <v>7.2944380000000002E-7</v>
      </c>
      <c r="I3542">
        <v>219.03290000000001</v>
      </c>
      <c r="J3542">
        <v>-469.47519999999997</v>
      </c>
      <c r="K3542">
        <v>1.181292</v>
      </c>
      <c r="L3542">
        <v>221.08459999999999</v>
      </c>
      <c r="M3542">
        <v>0.98540059999999996</v>
      </c>
      <c r="N3542">
        <v>0</v>
      </c>
      <c r="O3542">
        <v>-0.16966789999999901</v>
      </c>
      <c r="P3542">
        <v>0.99066480000000001</v>
      </c>
      <c r="Q3542">
        <v>0.1216816</v>
      </c>
      <c r="R3542">
        <v>-6.1457030000000003E-2</v>
      </c>
      <c r="S3542">
        <v>3.0333559999999999</v>
      </c>
      <c r="T3542">
        <v>-0.23728060000000001</v>
      </c>
      <c r="U3542">
        <v>-0.4218903</v>
      </c>
      <c r="V3542">
        <v>-0.10652159999999999</v>
      </c>
      <c r="W3542">
        <v>0.13637669999999999</v>
      </c>
      <c r="X3542">
        <v>0.9849135</v>
      </c>
      <c r="Y3542">
        <v>-3.171069E-2</v>
      </c>
      <c r="Z3542">
        <v>1.433574E-2</v>
      </c>
      <c r="AA3542">
        <v>0.99939429999999996</v>
      </c>
      <c r="AB3542">
        <v>25</v>
      </c>
      <c r="AC3542">
        <v>14.8537999999999</v>
      </c>
      <c r="AD3542">
        <v>-1.1812912705562</v>
      </c>
      <c r="AE3542">
        <v>-2.0516999999999799</v>
      </c>
      <c r="AF3542">
        <v>-0.49544126751765599</v>
      </c>
      <c r="AG3542">
        <v>-1.1812912705562</v>
      </c>
      <c r="AH3542">
        <v>14.8941013636086</v>
      </c>
      <c r="AI3542">
        <v>94.532293325191404</v>
      </c>
      <c r="AJ3542">
        <v>91.905199233919504</v>
      </c>
      <c r="AK3542">
        <v>14.9490858096708</v>
      </c>
      <c r="AL3542">
        <v>82.161764916247407</v>
      </c>
      <c r="AM3542">
        <v>96.172731873485702</v>
      </c>
      <c r="AN3542">
        <v>1.00000002902584</v>
      </c>
    </row>
    <row r="3543" spans="1:40" x14ac:dyDescent="0.3">
      <c r="A3543" t="str">
        <f>"20200111150020742"</f>
        <v>20200111150020742</v>
      </c>
      <c r="B3543" t="str">
        <f>"1578726020739719"</f>
        <v>1578726020739719</v>
      </c>
      <c r="C3543" t="s">
        <v>40</v>
      </c>
      <c r="D3543">
        <v>4.3119540000000001</v>
      </c>
      <c r="E3543">
        <v>0.53172519999999901</v>
      </c>
      <c r="F3543" t="s">
        <v>62</v>
      </c>
      <c r="G3543">
        <v>-454.6585</v>
      </c>
      <c r="H3543" s="1">
        <v>7.5312200000000001E-7</v>
      </c>
      <c r="I3543">
        <v>218.94300000000001</v>
      </c>
      <c r="J3543">
        <v>-469.22559999999999</v>
      </c>
      <c r="K3543">
        <v>1.1808559999999999</v>
      </c>
      <c r="L3543">
        <v>221.03399999999999</v>
      </c>
      <c r="M3543">
        <v>0.98470009999999997</v>
      </c>
      <c r="N3543">
        <v>0</v>
      </c>
      <c r="O3543">
        <v>-0.1736827</v>
      </c>
      <c r="P3543">
        <v>0.99063020000000002</v>
      </c>
      <c r="Q3543">
        <v>0.12058770000000001</v>
      </c>
      <c r="R3543">
        <v>-6.4113509999999999E-2</v>
      </c>
      <c r="S3543">
        <v>3.0307620000000002</v>
      </c>
      <c r="T3543">
        <v>-0.24163380000000001</v>
      </c>
      <c r="U3543">
        <v>-0.43804929999999997</v>
      </c>
      <c r="V3543">
        <v>-0.10800029999999999</v>
      </c>
      <c r="W3543">
        <v>0.13528490000000001</v>
      </c>
      <c r="X3543">
        <v>0.98490299999999997</v>
      </c>
      <c r="Y3543">
        <v>-3.0413860000000001E-2</v>
      </c>
      <c r="Z3543">
        <v>1.486442E-2</v>
      </c>
      <c r="AA3543">
        <v>0.99942679999999995</v>
      </c>
      <c r="AB3543">
        <v>25</v>
      </c>
      <c r="AC3543">
        <v>14.5670999999999</v>
      </c>
      <c r="AD3543">
        <v>-1.18085524687799</v>
      </c>
      <c r="AE3543">
        <v>-2.0910000000000299</v>
      </c>
      <c r="AF3543">
        <v>-0.46807871027138798</v>
      </c>
      <c r="AG3543">
        <v>-1.18085524687799</v>
      </c>
      <c r="AH3543">
        <v>14.614768295632199</v>
      </c>
      <c r="AI3543">
        <v>94.617036077239703</v>
      </c>
      <c r="AJ3543">
        <v>91.834430048685107</v>
      </c>
      <c r="AK3543">
        <v>14.669866022840999</v>
      </c>
      <c r="AL3543">
        <v>82.224905362334596</v>
      </c>
      <c r="AM3543">
        <v>96.257810810999302</v>
      </c>
      <c r="AN3543">
        <v>0.99999999418854901</v>
      </c>
    </row>
    <row r="3544" spans="1:40" x14ac:dyDescent="0.3">
      <c r="A3544" t="str">
        <f>"20200111150020764"</f>
        <v>20200111150020764</v>
      </c>
      <c r="B3544" t="str">
        <f>"1578726020759239"</f>
        <v>1578726020759239</v>
      </c>
      <c r="C3544" t="s">
        <v>40</v>
      </c>
      <c r="D3544">
        <v>4.2524989999999896</v>
      </c>
      <c r="E3544">
        <v>0.53214619999999901</v>
      </c>
      <c r="F3544" t="s">
        <v>62</v>
      </c>
      <c r="G3544">
        <v>-454.48129999999998</v>
      </c>
      <c r="H3544" s="1">
        <v>6.6344599999999997E-7</v>
      </c>
      <c r="I3544">
        <v>218.8374</v>
      </c>
      <c r="J3544">
        <v>-468.98719999999997</v>
      </c>
      <c r="K3544">
        <v>1.1807110000000001</v>
      </c>
      <c r="L3544">
        <v>220.9846</v>
      </c>
      <c r="M3544">
        <v>0.98395739999999998</v>
      </c>
      <c r="N3544">
        <v>0</v>
      </c>
      <c r="O3544">
        <v>-0.17780869999999999</v>
      </c>
      <c r="P3544">
        <v>0.990564</v>
      </c>
      <c r="Q3544">
        <v>0.1196913</v>
      </c>
      <c r="R3544">
        <v>-6.6761609999999999E-2</v>
      </c>
      <c r="S3544">
        <v>3.0286870000000001</v>
      </c>
      <c r="T3544">
        <v>-0.242565</v>
      </c>
      <c r="U3544">
        <v>-0.45123289999999999</v>
      </c>
      <c r="V3544">
        <v>-0.1096027</v>
      </c>
      <c r="W3544">
        <v>0.1347477</v>
      </c>
      <c r="X3544">
        <v>0.9847996</v>
      </c>
      <c r="Y3544">
        <v>-3.0232019999999998E-2</v>
      </c>
      <c r="Z3544">
        <v>1.524064E-2</v>
      </c>
      <c r="AA3544">
        <v>0.9994267</v>
      </c>
      <c r="AB3544">
        <v>25</v>
      </c>
      <c r="AC3544">
        <v>14.505899999999899</v>
      </c>
      <c r="AD3544">
        <v>-1.1807103365539999</v>
      </c>
      <c r="AE3544">
        <v>-2.14719999999999</v>
      </c>
      <c r="AF3544">
        <v>-0.46356597173661301</v>
      </c>
      <c r="AG3544">
        <v>-1.1807103365539999</v>
      </c>
      <c r="AH3544">
        <v>14.562123364284499</v>
      </c>
      <c r="AI3544">
        <v>94.633117426274495</v>
      </c>
      <c r="AJ3544">
        <v>91.823319755521993</v>
      </c>
      <c r="AK3544">
        <v>14.6172640116281</v>
      </c>
      <c r="AL3544">
        <v>82.255968932029006</v>
      </c>
      <c r="AM3544">
        <v>96.350566262370094</v>
      </c>
      <c r="AN3544">
        <v>0.99999997333136903</v>
      </c>
    </row>
    <row r="3545" spans="1:40" x14ac:dyDescent="0.3">
      <c r="A3545" t="str">
        <f>"20200111150020786"</f>
        <v>20200111150020786</v>
      </c>
      <c r="B3545" t="str">
        <f>"1578726020779735"</f>
        <v>1578726020779735</v>
      </c>
      <c r="C3545" t="s">
        <v>40</v>
      </c>
      <c r="D3545">
        <v>4.2816090000000004</v>
      </c>
      <c r="E3545">
        <v>0.53235949999999999</v>
      </c>
      <c r="F3545" t="s">
        <v>62</v>
      </c>
      <c r="G3545">
        <v>-454.40039999999999</v>
      </c>
      <c r="H3545" s="1">
        <v>6.2376969999999995E-7</v>
      </c>
      <c r="I3545">
        <v>218.75970000000001</v>
      </c>
      <c r="J3545">
        <v>-468.73500000000001</v>
      </c>
      <c r="K3545">
        <v>1.1809780000000001</v>
      </c>
      <c r="L3545">
        <v>220.9314</v>
      </c>
      <c r="M3545">
        <v>0.98296269999999997</v>
      </c>
      <c r="N3545">
        <v>0</v>
      </c>
      <c r="O3545">
        <v>-0.1831644</v>
      </c>
      <c r="P3545">
        <v>0.99042339999999995</v>
      </c>
      <c r="Q3545">
        <v>0.118744</v>
      </c>
      <c r="R3545">
        <v>-7.0436330000000005E-2</v>
      </c>
      <c r="S3545">
        <v>3.027069</v>
      </c>
      <c r="T3545">
        <v>-0.2450215</v>
      </c>
      <c r="U3545">
        <v>-0.46171570000000001</v>
      </c>
      <c r="V3545">
        <v>-0.1115297</v>
      </c>
      <c r="W3545">
        <v>0.134408</v>
      </c>
      <c r="X3545">
        <v>0.98462969999999905</v>
      </c>
      <c r="Y3545">
        <v>-3.2179409999999999E-2</v>
      </c>
      <c r="Z3545">
        <v>1.5898019999999999E-2</v>
      </c>
      <c r="AA3545">
        <v>0.99935569999999896</v>
      </c>
      <c r="AB3545">
        <v>25</v>
      </c>
      <c r="AC3545">
        <v>14.3346</v>
      </c>
      <c r="AD3545">
        <v>-1.1809773762303</v>
      </c>
      <c r="AE3545">
        <v>-2.17169999999998</v>
      </c>
      <c r="AF3545">
        <v>-0.48770996272996903</v>
      </c>
      <c r="AG3545">
        <v>-1.1809773762303</v>
      </c>
      <c r="AH3545">
        <v>14.3943489250056</v>
      </c>
      <c r="AI3545">
        <v>94.687621416021798</v>
      </c>
      <c r="AJ3545">
        <v>91.9405557646771</v>
      </c>
      <c r="AK3545">
        <v>14.4509463200762</v>
      </c>
      <c r="AL3545">
        <v>82.275611318353498</v>
      </c>
      <c r="AM3545">
        <v>96.462389224409904</v>
      </c>
      <c r="AN3545">
        <v>1.00000001528408</v>
      </c>
    </row>
    <row r="3546" spans="1:40" x14ac:dyDescent="0.3">
      <c r="A3546" t="str">
        <f>"20200111150020820"</f>
        <v>20200111150020820</v>
      </c>
      <c r="B3546" t="str">
        <f>"1578726020809018"</f>
        <v>1578726020809018</v>
      </c>
      <c r="C3546" t="s">
        <v>40</v>
      </c>
      <c r="D3546">
        <v>4.3370689999999996</v>
      </c>
      <c r="E3546">
        <v>0.53288729999999995</v>
      </c>
      <c r="F3546" t="s">
        <v>62</v>
      </c>
      <c r="G3546">
        <v>-454.46260000000001</v>
      </c>
      <c r="H3546" s="1">
        <v>6.5939949999999997E-7</v>
      </c>
      <c r="I3546">
        <v>218.70150000000001</v>
      </c>
      <c r="J3546">
        <v>-468.36079999999998</v>
      </c>
      <c r="K3546">
        <v>1.1813499999999999</v>
      </c>
      <c r="L3546">
        <v>220.85069999999999</v>
      </c>
      <c r="M3546">
        <v>0.98125899999999999</v>
      </c>
      <c r="N3546">
        <v>0</v>
      </c>
      <c r="O3546">
        <v>-0.1920094</v>
      </c>
      <c r="P3546">
        <v>0.99007990000000001</v>
      </c>
      <c r="Q3546">
        <v>0.11686539999999999</v>
      </c>
      <c r="R3546">
        <v>-7.8000730000000004E-2</v>
      </c>
      <c r="S3546">
        <v>3.0254210000000001</v>
      </c>
      <c r="T3546">
        <v>-0.25033929999999999</v>
      </c>
      <c r="U3546">
        <v>-0.47267150000000002</v>
      </c>
      <c r="V3546">
        <v>-0.1132568</v>
      </c>
      <c r="W3546">
        <v>0.13312779999999999</v>
      </c>
      <c r="X3546">
        <v>0.98460639999999999</v>
      </c>
      <c r="Y3546">
        <v>-3.7491120000000003E-2</v>
      </c>
      <c r="Z3546">
        <v>1.7174459999999999E-2</v>
      </c>
      <c r="AA3546">
        <v>0.99914939999999997</v>
      </c>
      <c r="AB3546">
        <v>25</v>
      </c>
      <c r="AC3546">
        <v>13.8981999999999</v>
      </c>
      <c r="AD3546">
        <v>-1.1813493406005</v>
      </c>
      <c r="AE3546">
        <v>-2.1491999999999698</v>
      </c>
      <c r="AF3546">
        <v>-0.55581486556174098</v>
      </c>
      <c r="AG3546">
        <v>-1.1813493406005</v>
      </c>
      <c r="AH3546">
        <v>13.953787609534199</v>
      </c>
      <c r="AI3546">
        <v>94.835393659178706</v>
      </c>
      <c r="AJ3546">
        <v>92.281030810538894</v>
      </c>
      <c r="AK3546">
        <v>14.0147317163515</v>
      </c>
      <c r="AL3546">
        <v>82.349625985996497</v>
      </c>
      <c r="AM3546">
        <v>96.561750735873702</v>
      </c>
      <c r="AN3546">
        <v>0.999999938400018</v>
      </c>
    </row>
    <row r="3547" spans="1:40" x14ac:dyDescent="0.3">
      <c r="A3547" t="str">
        <f>"20200111150020842"</f>
        <v>20200111150020842</v>
      </c>
      <c r="B3547" t="str">
        <f>"1578726020839271"</f>
        <v>1578726020839271</v>
      </c>
      <c r="C3547" t="s">
        <v>40</v>
      </c>
      <c r="D3547">
        <v>4.2162030000000001</v>
      </c>
      <c r="E3547">
        <v>0.53338660000000004</v>
      </c>
      <c r="F3547" t="s">
        <v>62</v>
      </c>
      <c r="G3547">
        <v>-454.34829999999999</v>
      </c>
      <c r="H3547" s="1">
        <v>6.0555160000000005E-7</v>
      </c>
      <c r="I3547">
        <v>218.5427</v>
      </c>
      <c r="J3547">
        <v>-468.12560000000002</v>
      </c>
      <c r="K3547">
        <v>1.181397</v>
      </c>
      <c r="L3547">
        <v>220.79839999999999</v>
      </c>
      <c r="M3547">
        <v>0.98023979999999999</v>
      </c>
      <c r="N3547">
        <v>0</v>
      </c>
      <c r="O3547">
        <v>-0.19710639999999999</v>
      </c>
      <c r="P3547">
        <v>0.98989919999999998</v>
      </c>
      <c r="Q3547">
        <v>0.1155441</v>
      </c>
      <c r="R3547">
        <v>-8.2154119999999997E-2</v>
      </c>
      <c r="S3547">
        <v>3.0209350000000001</v>
      </c>
      <c r="T3547">
        <v>-0.25468639999999998</v>
      </c>
      <c r="U3547">
        <v>-0.49758910000000001</v>
      </c>
      <c r="V3547">
        <v>-0.1144632</v>
      </c>
      <c r="W3547">
        <v>0.13213440000000001</v>
      </c>
      <c r="X3547">
        <v>0.98460080000000005</v>
      </c>
      <c r="Y3547">
        <v>-3.4391999999999999E-2</v>
      </c>
      <c r="Z3547">
        <v>1.776989E-2</v>
      </c>
      <c r="AA3547">
        <v>0.99925039999999998</v>
      </c>
      <c r="AB3547">
        <v>25</v>
      </c>
      <c r="AC3547">
        <v>13.7773</v>
      </c>
      <c r="AD3547">
        <v>-1.1813963944483901</v>
      </c>
      <c r="AE3547">
        <v>-2.2556999999999898</v>
      </c>
      <c r="AF3547">
        <v>-0.50095016444630003</v>
      </c>
      <c r="AG3547">
        <v>-1.1813963944483901</v>
      </c>
      <c r="AH3547">
        <v>13.8524197134318</v>
      </c>
      <c r="AI3547">
        <v>94.871475990366307</v>
      </c>
      <c r="AJ3547">
        <v>92.071105869723397</v>
      </c>
      <c r="AK3547">
        <v>13.9117281609852</v>
      </c>
      <c r="AL3547">
        <v>82.407051638346204</v>
      </c>
      <c r="AM3547">
        <v>96.631063999508598</v>
      </c>
      <c r="AN3547">
        <v>1.0000000295891101</v>
      </c>
    </row>
    <row r="3548" spans="1:40" x14ac:dyDescent="0.3">
      <c r="A3548" t="str">
        <f>"20200111150020864"</f>
        <v>20200111150020864</v>
      </c>
      <c r="B3548" t="str">
        <f>"1578726020859767"</f>
        <v>1578726020859767</v>
      </c>
      <c r="C3548" t="s">
        <v>40</v>
      </c>
      <c r="D3548">
        <v>4.1423420000000002</v>
      </c>
      <c r="E3548">
        <v>0.53356740000000002</v>
      </c>
      <c r="F3548" t="s">
        <v>62</v>
      </c>
      <c r="G3548">
        <v>-454.23329999999999</v>
      </c>
      <c r="H3548" s="1">
        <v>5.48687E-7</v>
      </c>
      <c r="I3548">
        <v>218.44280000000001</v>
      </c>
      <c r="J3548">
        <v>-467.88150000000002</v>
      </c>
      <c r="K3548">
        <v>1.181419</v>
      </c>
      <c r="L3548">
        <v>220.74279999999999</v>
      </c>
      <c r="M3548">
        <v>0.97925810000000002</v>
      </c>
      <c r="N3548">
        <v>0</v>
      </c>
      <c r="O3548">
        <v>-0.20187150000000001</v>
      </c>
      <c r="P3548">
        <v>0.98979620000000001</v>
      </c>
      <c r="Q3548">
        <v>0.11388089999999999</v>
      </c>
      <c r="R3548">
        <v>-8.5644659999999997E-2</v>
      </c>
      <c r="S3548">
        <v>3.0180660000000001</v>
      </c>
      <c r="T3548">
        <v>-0.25665460000000001</v>
      </c>
      <c r="U3548">
        <v>-0.51174929999999996</v>
      </c>
      <c r="V3548">
        <v>-0.1160281</v>
      </c>
      <c r="W3548">
        <v>0.1309399</v>
      </c>
      <c r="X3548">
        <v>0.98457720000000004</v>
      </c>
      <c r="Y3548">
        <v>-3.4512569999999999E-2</v>
      </c>
      <c r="Z3548">
        <v>1.8312140000000001E-2</v>
      </c>
      <c r="AA3548">
        <v>0.99923649999999997</v>
      </c>
      <c r="AB3548">
        <v>25</v>
      </c>
      <c r="AC3548">
        <v>13.648199999999999</v>
      </c>
      <c r="AD3548">
        <v>-1.1814184513129999</v>
      </c>
      <c r="AE3548">
        <v>-2.2999999999999798</v>
      </c>
      <c r="AF3548">
        <v>-0.4993266534411</v>
      </c>
      <c r="AG3548">
        <v>-1.1814184513129999</v>
      </c>
      <c r="AH3548">
        <v>13.7314511984632</v>
      </c>
      <c r="AI3548">
        <v>94.914238287884999</v>
      </c>
      <c r="AJ3548">
        <v>92.082570094026707</v>
      </c>
      <c r="AK3548">
        <v>13.7912228855789</v>
      </c>
      <c r="AL3548">
        <v>82.476091246402802</v>
      </c>
      <c r="AM3548">
        <v>96.721057346118698</v>
      </c>
      <c r="AN3548">
        <v>1.00000002008072</v>
      </c>
    </row>
    <row r="3549" spans="1:40" x14ac:dyDescent="0.3">
      <c r="A3549" t="str">
        <f>"20200111150020887"</f>
        <v>20200111150020887</v>
      </c>
      <c r="B3549" t="str">
        <f>"1578726020879209"</f>
        <v>1578726020879209</v>
      </c>
      <c r="C3549" t="s">
        <v>40</v>
      </c>
      <c r="D3549">
        <v>4.2235860000000001</v>
      </c>
      <c r="E3549">
        <v>0.53376559999999995</v>
      </c>
      <c r="F3549" t="s">
        <v>62</v>
      </c>
      <c r="G3549">
        <v>-454.31970000000001</v>
      </c>
      <c r="H3549" s="1">
        <v>5.970177E-7</v>
      </c>
      <c r="I3549">
        <v>218.3895</v>
      </c>
      <c r="J3549">
        <v>-467.63080000000002</v>
      </c>
      <c r="K3549">
        <v>1.1814209999999901</v>
      </c>
      <c r="L3549">
        <v>220.68430000000001</v>
      </c>
      <c r="M3549">
        <v>0.97828510000000002</v>
      </c>
      <c r="N3549">
        <v>0</v>
      </c>
      <c r="O3549">
        <v>-0.20646780000000001</v>
      </c>
      <c r="P3549">
        <v>0.98968199999999995</v>
      </c>
      <c r="Q3549">
        <v>0.1123224</v>
      </c>
      <c r="R3549">
        <v>-8.8956960000000002E-2</v>
      </c>
      <c r="S3549">
        <v>3.0158999999999998</v>
      </c>
      <c r="T3549">
        <v>-0.26272590000000001</v>
      </c>
      <c r="U3549">
        <v>-0.52333069999999904</v>
      </c>
      <c r="V3549">
        <v>-0.1176309</v>
      </c>
      <c r="W3549">
        <v>0.1299409</v>
      </c>
      <c r="X3549">
        <v>0.98451940000000004</v>
      </c>
      <c r="Y3549">
        <v>-3.5304429999999998E-2</v>
      </c>
      <c r="Z3549">
        <v>1.917058E-2</v>
      </c>
      <c r="AA3549">
        <v>0.99919270000000004</v>
      </c>
      <c r="AB3549">
        <v>25</v>
      </c>
      <c r="AC3549">
        <v>13.3111</v>
      </c>
      <c r="AD3549">
        <v>-1.1814204029823001</v>
      </c>
      <c r="AE3549">
        <v>-2.2948</v>
      </c>
      <c r="AF3549">
        <v>-0.499605798902722</v>
      </c>
      <c r="AG3549">
        <v>-1.1814204029823001</v>
      </c>
      <c r="AH3549">
        <v>13.395599459770001</v>
      </c>
      <c r="AI3549">
        <v>95.036657376102795</v>
      </c>
      <c r="AJ3549">
        <v>92.135928454979407</v>
      </c>
      <c r="AK3549">
        <v>13.456873522831</v>
      </c>
      <c r="AL3549">
        <v>82.533823264034396</v>
      </c>
      <c r="AM3549">
        <v>96.813430699633599</v>
      </c>
      <c r="AN3549">
        <v>1.0000000575519801</v>
      </c>
    </row>
    <row r="3550" spans="1:40" x14ac:dyDescent="0.3">
      <c r="A3550" t="str">
        <f>"20200111150020910"</f>
        <v>20200111150020910</v>
      </c>
      <c r="B3550" t="str">
        <f>"1578726020899705"</f>
        <v>1578726020899705</v>
      </c>
      <c r="C3550" t="s">
        <v>40</v>
      </c>
      <c r="D3550">
        <v>4.1656009999999997</v>
      </c>
      <c r="E3550">
        <v>0.53394129999999995</v>
      </c>
      <c r="F3550" t="s">
        <v>62</v>
      </c>
      <c r="G3550">
        <v>-454.22969999999998</v>
      </c>
      <c r="H3550" s="1">
        <v>5.5254610000000005E-7</v>
      </c>
      <c r="I3550">
        <v>218.3116</v>
      </c>
      <c r="J3550">
        <v>-467.38549999999998</v>
      </c>
      <c r="K3550">
        <v>1.1813910000000001</v>
      </c>
      <c r="L3550">
        <v>220.6258</v>
      </c>
      <c r="M3550">
        <v>0.97734140000000003</v>
      </c>
      <c r="N3550">
        <v>0</v>
      </c>
      <c r="O3550">
        <v>-0.21081739999999999</v>
      </c>
      <c r="P3550">
        <v>0.9894539</v>
      </c>
      <c r="Q3550">
        <v>0.11150930000000001</v>
      </c>
      <c r="R3550">
        <v>-9.2449169999999997E-2</v>
      </c>
      <c r="S3550">
        <v>3.0135190000000001</v>
      </c>
      <c r="T3550">
        <v>-0.26566830000000002</v>
      </c>
      <c r="U3550">
        <v>-0.53355410000000003</v>
      </c>
      <c r="V3550">
        <v>-0.1188105</v>
      </c>
      <c r="W3550">
        <v>0.12970599999999999</v>
      </c>
      <c r="X3550">
        <v>0.98440870000000003</v>
      </c>
      <c r="Y3550">
        <v>-3.6291919999999998E-2</v>
      </c>
      <c r="Z3550">
        <v>1.9805670000000001E-2</v>
      </c>
      <c r="AA3550">
        <v>0.99914499999999995</v>
      </c>
      <c r="AB3550">
        <v>25</v>
      </c>
      <c r="AC3550">
        <v>13.155799999999999</v>
      </c>
      <c r="AD3550">
        <v>-1.1813904474538901</v>
      </c>
      <c r="AE3550">
        <v>-2.3142</v>
      </c>
      <c r="AF3550">
        <v>-0.50782793909824298</v>
      </c>
      <c r="AG3550">
        <v>-1.1813904474538901</v>
      </c>
      <c r="AH3550">
        <v>13.244385682686699</v>
      </c>
      <c r="AI3550">
        <v>95.0935323011864</v>
      </c>
      <c r="AJ3550">
        <v>92.195809752279999</v>
      </c>
      <c r="AK3550">
        <v>13.306664672893101</v>
      </c>
      <c r="AL3550">
        <v>82.5473967448862</v>
      </c>
      <c r="AM3550">
        <v>96.881870115860707</v>
      </c>
      <c r="AN3550">
        <v>1.0000000349909599</v>
      </c>
    </row>
    <row r="3551" spans="1:40" x14ac:dyDescent="0.3">
      <c r="A3551" t="str">
        <f>"20200111150020931"</f>
        <v>20200111150020931</v>
      </c>
      <c r="B3551" t="str">
        <f>"1578726020919227"</f>
        <v>1578726020919227</v>
      </c>
      <c r="C3551" t="s">
        <v>40</v>
      </c>
      <c r="D3551">
        <v>4.3438540000000003</v>
      </c>
      <c r="E3551">
        <v>0.53408259999999996</v>
      </c>
      <c r="F3551" t="s">
        <v>62</v>
      </c>
      <c r="G3551">
        <v>-454.03890000000001</v>
      </c>
      <c r="H3551" s="1">
        <v>4.550525E-7</v>
      </c>
      <c r="I3551">
        <v>218.2182</v>
      </c>
      <c r="J3551">
        <v>-467.15620000000001</v>
      </c>
      <c r="K3551">
        <v>1.181133</v>
      </c>
      <c r="L3551">
        <v>220.5694</v>
      </c>
      <c r="M3551">
        <v>0.97655150000000002</v>
      </c>
      <c r="N3551">
        <v>0</v>
      </c>
      <c r="O3551">
        <v>-0.21442130000000001</v>
      </c>
      <c r="P3551">
        <v>0.98918240000000002</v>
      </c>
      <c r="Q3551">
        <v>0.1118464</v>
      </c>
      <c r="R3551">
        <v>-9.4915899999999997E-2</v>
      </c>
      <c r="S3551">
        <v>3.0112299999999999</v>
      </c>
      <c r="T3551">
        <v>-0.266542</v>
      </c>
      <c r="U3551">
        <v>-0.5432129</v>
      </c>
      <c r="V3551">
        <v>-0.12035079999999999</v>
      </c>
      <c r="W3551">
        <v>0.12997880000000001</v>
      </c>
      <c r="X3551">
        <v>0.98418559999999999</v>
      </c>
      <c r="Y3551">
        <v>-3.6722369999999997E-2</v>
      </c>
      <c r="Z3551">
        <v>2.0204610000000001E-2</v>
      </c>
      <c r="AA3551">
        <v>0.99912120000000004</v>
      </c>
      <c r="AB3551">
        <v>25</v>
      </c>
      <c r="AC3551">
        <v>13.1173</v>
      </c>
      <c r="AD3551">
        <v>-1.1811325449474901</v>
      </c>
      <c r="AE3551">
        <v>-2.3512</v>
      </c>
      <c r="AF3551">
        <v>-0.51262942845533699</v>
      </c>
      <c r="AG3551">
        <v>-1.1811325449474901</v>
      </c>
      <c r="AH3551">
        <v>13.212543271011899</v>
      </c>
      <c r="AI3551">
        <v>95.104545126073504</v>
      </c>
      <c r="AJ3551">
        <v>92.221886988742597</v>
      </c>
      <c r="AK3551">
        <v>13.2751332463375</v>
      </c>
      <c r="AL3551">
        <v>82.531633119194296</v>
      </c>
      <c r="AM3551">
        <v>96.971781397607003</v>
      </c>
      <c r="AN3551">
        <v>1.00000004937871</v>
      </c>
    </row>
    <row r="3552" spans="1:40" x14ac:dyDescent="0.3">
      <c r="A3552" t="str">
        <f>"20200111150020953"</f>
        <v>20200111150020953</v>
      </c>
      <c r="B3552" t="str">
        <f>"1578726020949480"</f>
        <v>1578726020949480</v>
      </c>
      <c r="C3552" t="s">
        <v>40</v>
      </c>
      <c r="D3552">
        <v>4.2141159999999998</v>
      </c>
      <c r="E3552">
        <v>0.53434280000000001</v>
      </c>
      <c r="F3552" t="s">
        <v>62</v>
      </c>
      <c r="G3552">
        <v>-453.65069999999997</v>
      </c>
      <c r="H3552" s="1">
        <v>2.5356250000000002E-7</v>
      </c>
      <c r="I3552">
        <v>218.10249999999999</v>
      </c>
      <c r="J3552">
        <v>-466.92399999999998</v>
      </c>
      <c r="K3552">
        <v>1.1804429999999999</v>
      </c>
      <c r="L3552">
        <v>220.51070000000001</v>
      </c>
      <c r="M3552">
        <v>0.97595799999999999</v>
      </c>
      <c r="N3552">
        <v>0</v>
      </c>
      <c r="O3552">
        <v>-0.2171206</v>
      </c>
      <c r="P3552">
        <v>0.98905310000000002</v>
      </c>
      <c r="Q3552">
        <v>0.1123156</v>
      </c>
      <c r="R3552">
        <v>-9.570331E-2</v>
      </c>
      <c r="S3552">
        <v>3.0098569999999998</v>
      </c>
      <c r="T3552">
        <v>-0.263229299999999</v>
      </c>
      <c r="U3552">
        <v>-0.54977419999999899</v>
      </c>
      <c r="V3552">
        <v>-0.1226743</v>
      </c>
      <c r="W3552">
        <v>0.12990360000000001</v>
      </c>
      <c r="X3552">
        <v>0.98390860000000002</v>
      </c>
      <c r="Y3552">
        <v>-3.7307670000000001E-2</v>
      </c>
      <c r="Z3552">
        <v>2.021098E-2</v>
      </c>
      <c r="AA3552">
        <v>0.99909939999999997</v>
      </c>
      <c r="AB3552">
        <v>25</v>
      </c>
      <c r="AC3552">
        <v>13.273300000000001</v>
      </c>
      <c r="AD3552">
        <v>-1.1804427464375</v>
      </c>
      <c r="AE3552">
        <v>-2.4082000000000199</v>
      </c>
      <c r="AF3552">
        <v>-0.52766137456381002</v>
      </c>
      <c r="AG3552">
        <v>-1.1804427464375</v>
      </c>
      <c r="AH3552">
        <v>13.377080740760601</v>
      </c>
      <c r="AI3552">
        <v>95.039029021635201</v>
      </c>
      <c r="AJ3552">
        <v>92.258871351294204</v>
      </c>
      <c r="AK3552">
        <v>13.4394256108158</v>
      </c>
      <c r="AL3552">
        <v>82.535978467183398</v>
      </c>
      <c r="AM3552">
        <v>97.106996075014393</v>
      </c>
      <c r="AN3552">
        <v>1.0000000311637001</v>
      </c>
    </row>
    <row r="3553" spans="1:40" x14ac:dyDescent="0.3">
      <c r="A3553" t="str">
        <f>"20200111150020976"</f>
        <v>20200111150020976</v>
      </c>
      <c r="B3553" t="str">
        <f>"1578726020969179"</f>
        <v>1578726020969179</v>
      </c>
      <c r="C3553" t="s">
        <v>40</v>
      </c>
      <c r="D3553">
        <v>4.1755559999999896</v>
      </c>
      <c r="E3553">
        <v>0.53450889999999995</v>
      </c>
      <c r="F3553" t="s">
        <v>62</v>
      </c>
      <c r="G3553">
        <v>-453.07799999999997</v>
      </c>
      <c r="H3553" s="1">
        <v>-4.5305310000000001E-8</v>
      </c>
      <c r="I3553">
        <v>217.96729999999999</v>
      </c>
      <c r="J3553">
        <v>-466.66370000000001</v>
      </c>
      <c r="K3553">
        <v>1.17967</v>
      </c>
      <c r="L3553">
        <v>220.44399999999999</v>
      </c>
      <c r="M3553">
        <v>0.97535899999999998</v>
      </c>
      <c r="N3553">
        <v>0</v>
      </c>
      <c r="O3553">
        <v>-0.2197741</v>
      </c>
      <c r="P3553">
        <v>0.98891070000000003</v>
      </c>
      <c r="Q3553">
        <v>0.11225019999999999</v>
      </c>
      <c r="R3553">
        <v>-9.7241099999999997E-2</v>
      </c>
      <c r="S3553">
        <v>3.0088810000000001</v>
      </c>
      <c r="T3553">
        <v>-0.2565229</v>
      </c>
      <c r="U3553">
        <v>-0.55270390000000003</v>
      </c>
      <c r="V3553">
        <v>-0.1241869</v>
      </c>
      <c r="W3553">
        <v>0.12971779999999999</v>
      </c>
      <c r="X3553">
        <v>0.98374329999999999</v>
      </c>
      <c r="Y3553">
        <v>-3.9058889999999999E-2</v>
      </c>
      <c r="Z3553">
        <v>1.999358E-2</v>
      </c>
      <c r="AA3553">
        <v>0.99903679999999995</v>
      </c>
      <c r="AB3553">
        <v>25</v>
      </c>
      <c r="AC3553">
        <v>13.5856999999999</v>
      </c>
      <c r="AD3553">
        <v>-1.1796700453053099</v>
      </c>
      <c r="AE3553">
        <v>-2.4767000000000201</v>
      </c>
      <c r="AF3553">
        <v>-0.56608915758801004</v>
      </c>
      <c r="AG3553">
        <v>-1.1796700453053099</v>
      </c>
      <c r="AH3553">
        <v>13.697874245628</v>
      </c>
      <c r="AI3553">
        <v>94.918028328270296</v>
      </c>
      <c r="AJ3553">
        <v>92.366503945489299</v>
      </c>
      <c r="AK3553">
        <v>13.7602266405452</v>
      </c>
      <c r="AL3553">
        <v>82.546714534765897</v>
      </c>
      <c r="AM3553">
        <v>97.194910409221805</v>
      </c>
      <c r="AN3553">
        <v>0.99999998703166904</v>
      </c>
    </row>
    <row r="3554" spans="1:40" x14ac:dyDescent="0.3">
      <c r="A3554" t="str">
        <f>"20200111150021000"</f>
        <v>20200111150021000</v>
      </c>
      <c r="B3554" t="str">
        <f>"1578726020989658"</f>
        <v>1578726020989658</v>
      </c>
      <c r="C3554" t="s">
        <v>40</v>
      </c>
      <c r="D3554">
        <v>4.223789</v>
      </c>
      <c r="E3554">
        <v>0.53459330000000005</v>
      </c>
      <c r="F3554" t="s">
        <v>62</v>
      </c>
      <c r="G3554">
        <v>-452.7022</v>
      </c>
      <c r="H3554" s="1">
        <v>-2.4052329999999999E-7</v>
      </c>
      <c r="I3554">
        <v>217.85839999999999</v>
      </c>
      <c r="J3554">
        <v>-466.41460000000001</v>
      </c>
      <c r="K3554">
        <v>1.1793750000000001</v>
      </c>
      <c r="L3554">
        <v>220.37960000000001</v>
      </c>
      <c r="M3554">
        <v>0.97453020000000001</v>
      </c>
      <c r="N3554">
        <v>0</v>
      </c>
      <c r="O3554">
        <v>-0.2233503</v>
      </c>
      <c r="P3554">
        <v>0.98860579999999998</v>
      </c>
      <c r="Q3554">
        <v>0.111135</v>
      </c>
      <c r="R3554">
        <v>-0.1015287</v>
      </c>
      <c r="S3554">
        <v>3.0077210000000001</v>
      </c>
      <c r="T3554">
        <v>-0.25413619999999998</v>
      </c>
      <c r="U3554">
        <v>-0.55702209999999996</v>
      </c>
      <c r="V3554">
        <v>-0.12397420000000001</v>
      </c>
      <c r="W3554">
        <v>0.1290095</v>
      </c>
      <c r="X3554">
        <v>0.9838633</v>
      </c>
      <c r="Y3554">
        <v>-4.1268840000000001E-2</v>
      </c>
      <c r="Z3554">
        <v>2.019553E-2</v>
      </c>
      <c r="AA3554">
        <v>0.9989439</v>
      </c>
      <c r="AB3554">
        <v>25</v>
      </c>
      <c r="AC3554">
        <v>13.712400000000001</v>
      </c>
      <c r="AD3554">
        <v>-1.1793752405233</v>
      </c>
      <c r="AE3554">
        <v>-2.5212000000000199</v>
      </c>
      <c r="AF3554">
        <v>-0.60150193346494796</v>
      </c>
      <c r="AG3554">
        <v>-1.1793752405233</v>
      </c>
      <c r="AH3554">
        <v>13.830122290094501</v>
      </c>
      <c r="AI3554">
        <v>94.869572205348803</v>
      </c>
      <c r="AJ3554">
        <v>92.490347954152696</v>
      </c>
      <c r="AK3554">
        <v>13.893344201195401</v>
      </c>
      <c r="AL3554">
        <v>82.587641302970994</v>
      </c>
      <c r="AM3554">
        <v>97.181849289127598</v>
      </c>
      <c r="AN3554">
        <v>1.0000000232213799</v>
      </c>
    </row>
    <row r="3555" spans="1:40" x14ac:dyDescent="0.3">
      <c r="A3555" t="str">
        <f>"20200111150021022"</f>
        <v>20200111150021022</v>
      </c>
      <c r="B3555" t="str">
        <f>"1578726021018939"</f>
        <v>1578726021018939</v>
      </c>
      <c r="C3555" t="s">
        <v>40</v>
      </c>
      <c r="D3555">
        <v>4.2583780000000004</v>
      </c>
      <c r="E3555">
        <v>0.5347944</v>
      </c>
      <c r="F3555" t="s">
        <v>62</v>
      </c>
      <c r="G3555">
        <v>-452.57420000000002</v>
      </c>
      <c r="H3555" s="1">
        <v>-3.0486759999999998E-7</v>
      </c>
      <c r="I3555">
        <v>217.7715</v>
      </c>
      <c r="J3555">
        <v>-466.18709999999999</v>
      </c>
      <c r="K3555">
        <v>1.179254</v>
      </c>
      <c r="L3555">
        <v>220.32060000000001</v>
      </c>
      <c r="M3555">
        <v>0.9735549</v>
      </c>
      <c r="N3555">
        <v>0</v>
      </c>
      <c r="O3555">
        <v>-0.22749530000000001</v>
      </c>
      <c r="P3555">
        <v>0.9882978</v>
      </c>
      <c r="Q3555">
        <v>0.1090343</v>
      </c>
      <c r="R3555">
        <v>-0.106672699999999</v>
      </c>
      <c r="S3555">
        <v>3.0052189999999999</v>
      </c>
      <c r="T3555">
        <v>-0.25608239999999999</v>
      </c>
      <c r="U3555">
        <v>-0.56629940000000001</v>
      </c>
      <c r="V3555">
        <v>-0.123498499999999</v>
      </c>
      <c r="W3555">
        <v>0.1272645</v>
      </c>
      <c r="X3555">
        <v>0.98415039999999998</v>
      </c>
      <c r="Y3555">
        <v>-4.236355E-2</v>
      </c>
      <c r="Z3555">
        <v>2.0744370000000002E-2</v>
      </c>
      <c r="AA3555">
        <v>0.99888690000000002</v>
      </c>
      <c r="AB3555">
        <v>25</v>
      </c>
      <c r="AC3555">
        <v>13.6128999999999</v>
      </c>
      <c r="AD3555">
        <v>-1.1792543048676001</v>
      </c>
      <c r="AE3555">
        <v>-2.5491000000000099</v>
      </c>
      <c r="AF3555">
        <v>-0.61088734135866296</v>
      </c>
      <c r="AG3555">
        <v>-1.1792543048676001</v>
      </c>
      <c r="AH3555">
        <v>13.736245836298</v>
      </c>
      <c r="AI3555">
        <v>94.901979998693704</v>
      </c>
      <c r="AJ3555">
        <v>92.546417617362593</v>
      </c>
      <c r="AK3555">
        <v>13.8002997697367</v>
      </c>
      <c r="AL3555">
        <v>82.688453849349898</v>
      </c>
      <c r="AM3555">
        <v>97.152512468530702</v>
      </c>
      <c r="AN3555">
        <v>1.0000000711413199</v>
      </c>
    </row>
    <row r="3556" spans="1:40" x14ac:dyDescent="0.3">
      <c r="A3556" t="str">
        <f>"20200111150021044"</f>
        <v>20200111150021044</v>
      </c>
      <c r="B3556" t="str">
        <f>"1578726021039434"</f>
        <v>1578726021039434</v>
      </c>
      <c r="C3556" t="s">
        <v>40</v>
      </c>
      <c r="D3556">
        <v>4.158582</v>
      </c>
      <c r="E3556">
        <v>0.53493599999999997</v>
      </c>
      <c r="F3556" t="s">
        <v>62</v>
      </c>
      <c r="G3556">
        <v>-452.50319999999999</v>
      </c>
      <c r="H3556" s="1">
        <v>-3.3838679999999999E-7</v>
      </c>
      <c r="I3556">
        <v>217.67500000000001</v>
      </c>
      <c r="J3556">
        <v>-465.94799999999998</v>
      </c>
      <c r="K3556">
        <v>1.178917</v>
      </c>
      <c r="L3556">
        <v>220.25829999999999</v>
      </c>
      <c r="M3556">
        <v>0.97258420000000001</v>
      </c>
      <c r="N3556">
        <v>0</v>
      </c>
      <c r="O3556">
        <v>-0.23156979999999999</v>
      </c>
      <c r="P3556">
        <v>0.988263</v>
      </c>
      <c r="Q3556">
        <v>0.106007</v>
      </c>
      <c r="R3556">
        <v>-0.1099941</v>
      </c>
      <c r="S3556">
        <v>3.001465</v>
      </c>
      <c r="T3556">
        <v>-0.25866109999999998</v>
      </c>
      <c r="U3556">
        <v>-0.58029169999999997</v>
      </c>
      <c r="V3556">
        <v>-0.1247496</v>
      </c>
      <c r="W3556">
        <v>0.12425020000000001</v>
      </c>
      <c r="X3556">
        <v>0.98437770000000002</v>
      </c>
      <c r="Y3556">
        <v>-4.1797460000000002E-2</v>
      </c>
      <c r="Z3556">
        <v>2.1279030000000001E-2</v>
      </c>
      <c r="AA3556">
        <v>0.99889950000000005</v>
      </c>
      <c r="AB3556">
        <v>24</v>
      </c>
      <c r="AC3556">
        <v>13.444800000000001</v>
      </c>
      <c r="AD3556">
        <v>-1.1789173383867999</v>
      </c>
      <c r="AE3556">
        <v>-2.5832999999999799</v>
      </c>
      <c r="AF3556">
        <v>-0.59664561171493002</v>
      </c>
      <c r="AG3556">
        <v>-1.1789173383867999</v>
      </c>
      <c r="AH3556">
        <v>13.576856123327399</v>
      </c>
      <c r="AI3556">
        <v>94.957947634231502</v>
      </c>
      <c r="AJ3556">
        <v>92.516289043919997</v>
      </c>
      <c r="AK3556">
        <v>13.640999020242599</v>
      </c>
      <c r="AL3556">
        <v>82.862542261750804</v>
      </c>
      <c r="AM3556">
        <v>97.2225586632253</v>
      </c>
      <c r="AN3556">
        <v>1.0000000155787401</v>
      </c>
    </row>
    <row r="3557" spans="1:40" x14ac:dyDescent="0.3">
      <c r="A3557" t="str">
        <f>"20200111150021088"</f>
        <v>20200111150021088</v>
      </c>
      <c r="B3557" t="str">
        <f>"1578726021079450"</f>
        <v>1578726021079450</v>
      </c>
      <c r="C3557" t="s">
        <v>40</v>
      </c>
      <c r="D3557">
        <v>4.1809349999999998</v>
      </c>
      <c r="E3557">
        <v>0.53523209999999999</v>
      </c>
      <c r="F3557" t="s">
        <v>62</v>
      </c>
      <c r="G3557">
        <v>-452.74329999999998</v>
      </c>
      <c r="H3557" s="1">
        <v>-2.0994950000000001E-7</v>
      </c>
      <c r="I3557">
        <v>217.65960000000001</v>
      </c>
      <c r="J3557">
        <v>-465.48020000000002</v>
      </c>
      <c r="K3557">
        <v>1.1776390000000001</v>
      </c>
      <c r="L3557">
        <v>220.1352</v>
      </c>
      <c r="M3557">
        <v>0.97116460000000004</v>
      </c>
      <c r="N3557">
        <v>0</v>
      </c>
      <c r="O3557">
        <v>-0.23743739999999999</v>
      </c>
      <c r="P3557">
        <v>0.98760870000000001</v>
      </c>
      <c r="Q3557">
        <v>0.1059095</v>
      </c>
      <c r="R3557">
        <v>-0.1158112</v>
      </c>
      <c r="S3557">
        <v>2.998688</v>
      </c>
      <c r="T3557">
        <v>-0.2677234</v>
      </c>
      <c r="U3557">
        <v>-0.59014889999999998</v>
      </c>
      <c r="V3557">
        <v>-0.12556789999999901</v>
      </c>
      <c r="W3557">
        <v>0.123645</v>
      </c>
      <c r="X3557">
        <v>0.98434980000000005</v>
      </c>
      <c r="Y3557">
        <v>-4.4394929999999999E-2</v>
      </c>
      <c r="Z3557">
        <v>2.2648580000000001E-2</v>
      </c>
      <c r="AA3557">
        <v>0.99875729999999996</v>
      </c>
      <c r="AB3557">
        <v>24</v>
      </c>
      <c r="AC3557">
        <v>12.7369</v>
      </c>
      <c r="AD3557">
        <v>-1.1776392099495001</v>
      </c>
      <c r="AE3557">
        <v>-2.47559999999998</v>
      </c>
      <c r="AF3557">
        <v>-0.61507817910015194</v>
      </c>
      <c r="AG3557">
        <v>-1.1776392099495001</v>
      </c>
      <c r="AH3557">
        <v>12.854537212008401</v>
      </c>
      <c r="AI3557">
        <v>95.228462548151597</v>
      </c>
      <c r="AJ3557">
        <v>92.739462693194497</v>
      </c>
      <c r="AK3557">
        <v>12.923013665941999</v>
      </c>
      <c r="AL3557">
        <v>82.897486711387998</v>
      </c>
      <c r="AM3557">
        <v>97.269633994346506</v>
      </c>
      <c r="AN3557">
        <v>0.99999995614772397</v>
      </c>
    </row>
    <row r="3558" spans="1:40" x14ac:dyDescent="0.3">
      <c r="A3558" t="str">
        <f>"20200111150021111"</f>
        <v>20200111150021111</v>
      </c>
      <c r="B3558" t="str">
        <f>"1578726021098969"</f>
        <v>1578726021098969</v>
      </c>
      <c r="C3558" t="s">
        <v>40</v>
      </c>
      <c r="D3558">
        <v>4.0488239999999998</v>
      </c>
      <c r="E3558">
        <v>0.5349275</v>
      </c>
      <c r="F3558" t="s">
        <v>62</v>
      </c>
      <c r="G3558">
        <v>-452.45729999999998</v>
      </c>
      <c r="H3558" s="1">
        <v>-3.5528430000000002E-7</v>
      </c>
      <c r="I3558">
        <v>217.50210000000001</v>
      </c>
      <c r="J3558">
        <v>-465.23779999999999</v>
      </c>
      <c r="K3558">
        <v>1.176909</v>
      </c>
      <c r="L3558">
        <v>220.07079999999999</v>
      </c>
      <c r="M3558">
        <v>0.97058060000000002</v>
      </c>
      <c r="N3558">
        <v>0</v>
      </c>
      <c r="O3558">
        <v>-0.23982519999999999</v>
      </c>
      <c r="P3558">
        <v>0.98703629999999998</v>
      </c>
      <c r="Q3558">
        <v>0.108435</v>
      </c>
      <c r="R3558">
        <v>-0.11832810000000001</v>
      </c>
      <c r="S3558">
        <v>2.9956670000000001</v>
      </c>
      <c r="T3558">
        <v>-0.27089299999999999</v>
      </c>
      <c r="U3558">
        <v>-0.60569759999999995</v>
      </c>
      <c r="V3558">
        <v>-0.1258272</v>
      </c>
      <c r="W3558">
        <v>0.12569549999999999</v>
      </c>
      <c r="X3558">
        <v>0.98405699999999996</v>
      </c>
      <c r="Y3558">
        <v>-4.1650920000000001E-2</v>
      </c>
      <c r="Z3558">
        <v>2.3007030000000001E-2</v>
      </c>
      <c r="AA3558">
        <v>0.99886730000000001</v>
      </c>
      <c r="AB3558">
        <v>24</v>
      </c>
      <c r="AC3558">
        <v>12.7805</v>
      </c>
      <c r="AD3558">
        <v>-1.1769093552843</v>
      </c>
      <c r="AE3558">
        <v>-2.56869999999997</v>
      </c>
      <c r="AF3558">
        <v>-0.56746119292899799</v>
      </c>
      <c r="AG3558">
        <v>-1.1769093552843</v>
      </c>
      <c r="AH3558">
        <v>12.9182297886619</v>
      </c>
      <c r="AI3558">
        <v>95.200547689623605</v>
      </c>
      <c r="AJ3558">
        <v>92.5152241214562</v>
      </c>
      <c r="AK3558">
        <v>12.9841360401341</v>
      </c>
      <c r="AL3558">
        <v>82.779078289070199</v>
      </c>
      <c r="AM3558">
        <v>97.286628997869897</v>
      </c>
      <c r="AN3558">
        <v>1.00000001111454</v>
      </c>
    </row>
    <row r="3559" spans="1:40" x14ac:dyDescent="0.3">
      <c r="A3559" t="str">
        <f>"20200111150021135"</f>
        <v>20200111150021135</v>
      </c>
      <c r="B3559" t="str">
        <f>"1578726021129225"</f>
        <v>1578726021129225</v>
      </c>
      <c r="C3559" t="s">
        <v>40</v>
      </c>
      <c r="D3559">
        <v>4.2440670000000003</v>
      </c>
      <c r="E3559">
        <v>0.53475220000000001</v>
      </c>
      <c r="F3559" t="s">
        <v>62</v>
      </c>
      <c r="G3559">
        <v>-451.69729999999998</v>
      </c>
      <c r="H3559" s="1">
        <v>-7.5142079999999998E-7</v>
      </c>
      <c r="I3559">
        <v>217.31290000000001</v>
      </c>
      <c r="J3559">
        <v>-464.99270000000001</v>
      </c>
      <c r="K3559">
        <v>1.1762010000000001</v>
      </c>
      <c r="L3559">
        <v>220.00550000000001</v>
      </c>
      <c r="M3559">
        <v>0.97002350000000004</v>
      </c>
      <c r="N3559">
        <v>0</v>
      </c>
      <c r="O3559">
        <v>-0.24208950000000001</v>
      </c>
      <c r="P3559">
        <v>0.98663509999999999</v>
      </c>
      <c r="Q3559">
        <v>0.1108663</v>
      </c>
      <c r="R3559">
        <v>-0.11941549999999999</v>
      </c>
      <c r="S3559">
        <v>2.9948730000000001</v>
      </c>
      <c r="T3559">
        <v>-0.26030789999999998</v>
      </c>
      <c r="U3559">
        <v>-0.610000599999999</v>
      </c>
      <c r="V3559">
        <v>-0.12741730000000001</v>
      </c>
      <c r="W3559">
        <v>0.12746640000000001</v>
      </c>
      <c r="X3559">
        <v>0.98362450000000001</v>
      </c>
      <c r="Y3559">
        <v>-4.2622470000000003E-2</v>
      </c>
      <c r="Z3559">
        <v>2.234245E-2</v>
      </c>
      <c r="AA3559">
        <v>0.99884139999999999</v>
      </c>
      <c r="AB3559">
        <v>24</v>
      </c>
      <c r="AC3559">
        <v>13.295400000000001</v>
      </c>
      <c r="AD3559">
        <v>-1.1762017514208001</v>
      </c>
      <c r="AE3559">
        <v>-2.6925999999999899</v>
      </c>
      <c r="AF3559">
        <v>-0.60239830385732596</v>
      </c>
      <c r="AG3559">
        <v>-1.1762017514208001</v>
      </c>
      <c r="AH3559">
        <v>13.4506083014917</v>
      </c>
      <c r="AI3559">
        <v>94.992594331905494</v>
      </c>
      <c r="AJ3559">
        <v>92.564332476209799</v>
      </c>
      <c r="AK3559">
        <v>13.515368953775999</v>
      </c>
      <c r="AL3559">
        <v>82.67679035447</v>
      </c>
      <c r="AM3559">
        <v>97.380911343018298</v>
      </c>
      <c r="AN3559">
        <v>1.0000000042342401</v>
      </c>
    </row>
    <row r="3560" spans="1:40" x14ac:dyDescent="0.3">
      <c r="A3560" t="str">
        <f>"20200111150021154"</f>
        <v>20200111150021154</v>
      </c>
      <c r="B3560" t="str">
        <f>"1578726021149723"</f>
        <v>1578726021149723</v>
      </c>
      <c r="C3560" t="s">
        <v>40</v>
      </c>
      <c r="D3560">
        <v>4.2434419999999999</v>
      </c>
      <c r="E3560">
        <v>0.53450589999999998</v>
      </c>
      <c r="F3560" t="s">
        <v>62</v>
      </c>
      <c r="G3560">
        <v>-450.67250000000001</v>
      </c>
      <c r="H3560" s="1">
        <v>-1.286619E-6</v>
      </c>
      <c r="I3560">
        <v>217.08019999999999</v>
      </c>
      <c r="J3560">
        <v>-464.78100000000001</v>
      </c>
      <c r="K3560">
        <v>1.17561</v>
      </c>
      <c r="L3560">
        <v>219.94909999999999</v>
      </c>
      <c r="M3560">
        <v>0.96956120000000001</v>
      </c>
      <c r="N3560">
        <v>0</v>
      </c>
      <c r="O3560">
        <v>-0.2439568</v>
      </c>
      <c r="P3560">
        <v>0.98652669999999998</v>
      </c>
      <c r="Q3560">
        <v>0.11182010000000001</v>
      </c>
      <c r="R3560">
        <v>-0.11942129999999999</v>
      </c>
      <c r="S3560">
        <v>2.9942319999999998</v>
      </c>
      <c r="T3560">
        <v>-0.24593419999999999</v>
      </c>
      <c r="U3560">
        <v>-0.61166379999999998</v>
      </c>
      <c r="V3560">
        <v>-0.12963369999999999</v>
      </c>
      <c r="W3560">
        <v>0.1277663</v>
      </c>
      <c r="X3560">
        <v>0.9832959</v>
      </c>
      <c r="Y3560">
        <v>-4.4067469999999997E-2</v>
      </c>
      <c r="Z3560">
        <v>2.132057E-2</v>
      </c>
      <c r="AA3560">
        <v>0.9988011</v>
      </c>
      <c r="AB3560">
        <v>24</v>
      </c>
      <c r="AC3560">
        <v>14.1084999999999</v>
      </c>
      <c r="AD3560">
        <v>-1.1756112866190001</v>
      </c>
      <c r="AE3560">
        <v>-2.8688999999999898</v>
      </c>
      <c r="AF3560">
        <v>-0.65606008486467704</v>
      </c>
      <c r="AG3560">
        <v>-1.1756112866190001</v>
      </c>
      <c r="AH3560">
        <v>14.2868198767039</v>
      </c>
      <c r="AI3560">
        <v>94.699136889196097</v>
      </c>
      <c r="AJ3560">
        <v>92.629212515661195</v>
      </c>
      <c r="AK3560">
        <v>14.3501114602487</v>
      </c>
      <c r="AL3560">
        <v>82.659465483235707</v>
      </c>
      <c r="AM3560">
        <v>97.510328913364901</v>
      </c>
      <c r="AN3560">
        <v>0.99999997527409401</v>
      </c>
    </row>
    <row r="3561" spans="1:40" x14ac:dyDescent="0.3">
      <c r="A3561" t="str">
        <f>"20200111150021179"</f>
        <v>20200111150021179</v>
      </c>
      <c r="B3561" t="str">
        <f>"1578726021169831"</f>
        <v>1578726021169831</v>
      </c>
      <c r="C3561" t="s">
        <v>40</v>
      </c>
      <c r="D3561">
        <v>4.3129419999999996</v>
      </c>
      <c r="E3561">
        <v>0.53423240000000005</v>
      </c>
      <c r="F3561" t="s">
        <v>62</v>
      </c>
      <c r="G3561">
        <v>-450.13350000000003</v>
      </c>
      <c r="H3561" s="1">
        <v>-1.5682990000000001E-6</v>
      </c>
      <c r="I3561">
        <v>216.96199999999999</v>
      </c>
      <c r="J3561">
        <v>-464.52980000000002</v>
      </c>
      <c r="K3561">
        <v>1.1748510000000001</v>
      </c>
      <c r="L3561">
        <v>219.88239999999999</v>
      </c>
      <c r="M3561">
        <v>0.96908989999999995</v>
      </c>
      <c r="N3561">
        <v>0</v>
      </c>
      <c r="O3561">
        <v>-0.24585219999999999</v>
      </c>
      <c r="P3561">
        <v>0.9862071</v>
      </c>
      <c r="Q3561">
        <v>0.1144115</v>
      </c>
      <c r="R3561">
        <v>-0.11960750000000001</v>
      </c>
      <c r="S3561">
        <v>2.9942630000000001</v>
      </c>
      <c r="T3561">
        <v>-0.24031959999999999</v>
      </c>
      <c r="U3561">
        <v>-0.61062620000000001</v>
      </c>
      <c r="V3561">
        <v>-0.131751799999999</v>
      </c>
      <c r="W3561">
        <v>0.12955990000000001</v>
      </c>
      <c r="X3561">
        <v>0.98277959999999998</v>
      </c>
      <c r="Y3561">
        <v>-4.6381619999999998E-2</v>
      </c>
      <c r="Z3561">
        <v>2.107268E-2</v>
      </c>
      <c r="AA3561">
        <v>0.99870150000000002</v>
      </c>
      <c r="AB3561">
        <v>24</v>
      </c>
      <c r="AC3561">
        <v>14.396299999999901</v>
      </c>
      <c r="AD3561">
        <v>-1.1748525682989901</v>
      </c>
      <c r="AE3561">
        <v>-2.9203999999999701</v>
      </c>
      <c r="AF3561">
        <v>-0.70487257891990596</v>
      </c>
      <c r="AG3561">
        <v>-1.1748525682989901</v>
      </c>
      <c r="AH3561">
        <v>14.5791306550617</v>
      </c>
      <c r="AI3561">
        <v>94.601846302187894</v>
      </c>
      <c r="AJ3561">
        <v>92.7679839643706</v>
      </c>
      <c r="AK3561">
        <v>14.6433662307241</v>
      </c>
      <c r="AL3561">
        <v>82.555838805134698</v>
      </c>
      <c r="AM3561">
        <v>97.635568161293406</v>
      </c>
      <c r="AN3561">
        <v>1.0000000233337001</v>
      </c>
    </row>
    <row r="3562" spans="1:40" x14ac:dyDescent="0.3">
      <c r="A3562" t="str">
        <f>"20200111150021201"</f>
        <v>20200111150021201</v>
      </c>
      <c r="B3562" t="str">
        <f>"1578726021199111"</f>
        <v>1578726021199111</v>
      </c>
      <c r="C3562" t="s">
        <v>40</v>
      </c>
      <c r="D3562">
        <v>4.3323150000000004</v>
      </c>
      <c r="E3562">
        <v>0.53393219999999997</v>
      </c>
      <c r="F3562" t="s">
        <v>62</v>
      </c>
      <c r="G3562">
        <v>-449.19150000000002</v>
      </c>
      <c r="H3562" s="1">
        <v>3.2605730000000001E-6</v>
      </c>
      <c r="I3562">
        <v>216.76419999999999</v>
      </c>
      <c r="J3562">
        <v>-464.29829999999998</v>
      </c>
      <c r="K3562">
        <v>1.1740729999999999</v>
      </c>
      <c r="L3562">
        <v>219.8211</v>
      </c>
      <c r="M3562">
        <v>0.96880699999999997</v>
      </c>
      <c r="N3562">
        <v>0</v>
      </c>
      <c r="O3562">
        <v>-0.24699760000000001</v>
      </c>
      <c r="P3562">
        <v>0.98586510000000005</v>
      </c>
      <c r="Q3562">
        <v>0.11718430000000001</v>
      </c>
      <c r="R3562">
        <v>-0.11974269999999999</v>
      </c>
      <c r="S3562">
        <v>2.9946899999999999</v>
      </c>
      <c r="T3562">
        <v>-0.22937940000000001</v>
      </c>
      <c r="U3562">
        <v>-0.60881039999999997</v>
      </c>
      <c r="V3562">
        <v>-0.13309170000000001</v>
      </c>
      <c r="W3562">
        <v>0.1315875</v>
      </c>
      <c r="X3562">
        <v>0.98232949999999997</v>
      </c>
      <c r="Y3562">
        <v>-4.8239669999999998E-2</v>
      </c>
      <c r="Z3562">
        <v>2.0268689999999999E-2</v>
      </c>
      <c r="AA3562">
        <v>0.99863009999999997</v>
      </c>
      <c r="AB3562">
        <v>24</v>
      </c>
      <c r="AC3562">
        <v>15.1067999999999</v>
      </c>
      <c r="AD3562">
        <v>-1.1740697394270001</v>
      </c>
      <c r="AE3562">
        <v>-3.0569000000000099</v>
      </c>
      <c r="AF3562">
        <v>-0.76551135501174705</v>
      </c>
      <c r="AG3562">
        <v>-1.1740697394270001</v>
      </c>
      <c r="AH3562">
        <v>15.3049327849716</v>
      </c>
      <c r="AI3562">
        <v>94.381218531916502</v>
      </c>
      <c r="AJ3562">
        <v>92.863393747915595</v>
      </c>
      <c r="AK3562">
        <v>15.368975728401301</v>
      </c>
      <c r="AL3562">
        <v>82.438662181162599</v>
      </c>
      <c r="AM3562">
        <v>97.715782201455895</v>
      </c>
      <c r="AN3562">
        <v>0.99999995866769398</v>
      </c>
    </row>
    <row r="3563" spans="1:40" x14ac:dyDescent="0.3">
      <c r="A3563" t="str">
        <f>"20200111150021222"</f>
        <v>20200111150021222</v>
      </c>
      <c r="B3563" t="str">
        <f>"1578726021219606"</f>
        <v>1578726021219606</v>
      </c>
      <c r="C3563" t="s">
        <v>40</v>
      </c>
      <c r="D3563">
        <v>4.3770749999999996</v>
      </c>
      <c r="E3563">
        <v>0.53376539999999995</v>
      </c>
      <c r="F3563" t="s">
        <v>62</v>
      </c>
      <c r="G3563">
        <v>-448.17009999999999</v>
      </c>
      <c r="H3563" s="1">
        <v>2.7261110000000001E-6</v>
      </c>
      <c r="I3563">
        <v>216.55699999999999</v>
      </c>
      <c r="J3563">
        <v>-464.07409999999999</v>
      </c>
      <c r="K3563">
        <v>1.1732899999999999</v>
      </c>
      <c r="L3563">
        <v>219.7621</v>
      </c>
      <c r="M3563">
        <v>0.9687093</v>
      </c>
      <c r="N3563">
        <v>0</v>
      </c>
      <c r="O3563">
        <v>-0.247416</v>
      </c>
      <c r="P3563">
        <v>0.98575959999999996</v>
      </c>
      <c r="Q3563">
        <v>0.119418899999999</v>
      </c>
      <c r="R3563">
        <v>-0.118394899999999</v>
      </c>
      <c r="S3563">
        <v>2.9952999999999999</v>
      </c>
      <c r="T3563">
        <v>-0.21804670000000001</v>
      </c>
      <c r="U3563">
        <v>-0.6062012</v>
      </c>
      <c r="V3563">
        <v>-0.1351202</v>
      </c>
      <c r="W3563">
        <v>0.1330489</v>
      </c>
      <c r="X3563">
        <v>0.98185560000000005</v>
      </c>
      <c r="Y3563">
        <v>-4.9617639999999998E-2</v>
      </c>
      <c r="Z3563">
        <v>1.9346680000000002E-2</v>
      </c>
      <c r="AA3563">
        <v>0.99858089999999999</v>
      </c>
      <c r="AB3563">
        <v>24</v>
      </c>
      <c r="AC3563">
        <v>15.9039999999999</v>
      </c>
      <c r="AD3563">
        <v>-1.1732872738889999</v>
      </c>
      <c r="AE3563">
        <v>-3.2050999999999799</v>
      </c>
      <c r="AF3563">
        <v>-0.82593512294881899</v>
      </c>
      <c r="AG3563">
        <v>-1.1732872738889999</v>
      </c>
      <c r="AH3563">
        <v>16.118187138435601</v>
      </c>
      <c r="AI3563">
        <v>94.157938306741599</v>
      </c>
      <c r="AJ3563">
        <v>92.933409429895605</v>
      </c>
      <c r="AK3563">
        <v>16.1819259819103</v>
      </c>
      <c r="AL3563">
        <v>82.354187278596299</v>
      </c>
      <c r="AM3563">
        <v>97.835665812050493</v>
      </c>
      <c r="AN3563">
        <v>0.99999994874530296</v>
      </c>
    </row>
    <row r="3564" spans="1:40" x14ac:dyDescent="0.3">
      <c r="A3564" t="str">
        <f>"20200111150021244"</f>
        <v>20200111150021244</v>
      </c>
      <c r="B3564" t="str">
        <f>"1578726021239127"</f>
        <v>1578726021239127</v>
      </c>
      <c r="C3564" t="s">
        <v>40</v>
      </c>
      <c r="D3564">
        <v>4.3307330000000004</v>
      </c>
      <c r="E3564">
        <v>0.53358119999999998</v>
      </c>
      <c r="F3564" t="s">
        <v>62</v>
      </c>
      <c r="G3564">
        <v>-447.30810000000002</v>
      </c>
      <c r="H3564" s="1">
        <v>2.2740059999999999E-6</v>
      </c>
      <c r="I3564">
        <v>216.40530000000001</v>
      </c>
      <c r="J3564">
        <v>-463.8553</v>
      </c>
      <c r="K3564">
        <v>1.172533</v>
      </c>
      <c r="L3564">
        <v>219.70480000000001</v>
      </c>
      <c r="M3564">
        <v>0.96873160000000003</v>
      </c>
      <c r="N3564">
        <v>0</v>
      </c>
      <c r="O3564">
        <v>-0.2473641</v>
      </c>
      <c r="P3564">
        <v>0.98590140000000004</v>
      </c>
      <c r="Q3564">
        <v>0.1203862</v>
      </c>
      <c r="R3564">
        <v>-0.1162135</v>
      </c>
      <c r="S3564">
        <v>2.9966430000000002</v>
      </c>
      <c r="T3564">
        <v>-0.209705</v>
      </c>
      <c r="U3564">
        <v>-0.59997559999999905</v>
      </c>
      <c r="V3564">
        <v>-0.13744990000000001</v>
      </c>
      <c r="W3564">
        <v>0.1332526</v>
      </c>
      <c r="X3564">
        <v>0.98150459999999995</v>
      </c>
      <c r="Y3564">
        <v>-5.1693349999999999E-2</v>
      </c>
      <c r="Z3564">
        <v>1.8673260000000001E-2</v>
      </c>
      <c r="AA3564">
        <v>0.99848840000000005</v>
      </c>
      <c r="AB3564">
        <v>24</v>
      </c>
      <c r="AC3564">
        <v>16.547199999999901</v>
      </c>
      <c r="AD3564">
        <v>-1.1725307259939901</v>
      </c>
      <c r="AE3564">
        <v>-3.2994999999999899</v>
      </c>
      <c r="AF3564">
        <v>-0.89270834644415897</v>
      </c>
      <c r="AG3564">
        <v>-1.1725307259939901</v>
      </c>
      <c r="AH3564">
        <v>16.768116571943999</v>
      </c>
      <c r="AI3564">
        <v>93.994327019734996</v>
      </c>
      <c r="AJ3564">
        <v>93.047460847743693</v>
      </c>
      <c r="AK3564">
        <v>16.832750513968801</v>
      </c>
      <c r="AL3564">
        <v>82.342411705991907</v>
      </c>
      <c r="AM3564">
        <v>97.971857917224099</v>
      </c>
      <c r="AN3564">
        <v>1.0000000051189599</v>
      </c>
    </row>
    <row r="3565" spans="1:40" x14ac:dyDescent="0.3">
      <c r="A3565" t="str">
        <f>"20200111150021266"</f>
        <v>20200111150021266</v>
      </c>
      <c r="B3565" t="str">
        <f>"1578726021259622"</f>
        <v>1578726021259622</v>
      </c>
      <c r="C3565" t="s">
        <v>40</v>
      </c>
      <c r="D3565">
        <v>4.5720729999999996</v>
      </c>
      <c r="E3565">
        <v>0.53344539999999996</v>
      </c>
      <c r="F3565" t="s">
        <v>62</v>
      </c>
      <c r="G3565">
        <v>-446.68770000000001</v>
      </c>
      <c r="H3565" s="1">
        <v>1.9477820000000001E-6</v>
      </c>
      <c r="I3565">
        <v>216.31540000000001</v>
      </c>
      <c r="J3565">
        <v>-463.61779999999999</v>
      </c>
      <c r="K3565">
        <v>1.1717770000000001</v>
      </c>
      <c r="L3565">
        <v>219.64330000000001</v>
      </c>
      <c r="M3565">
        <v>0.96886399999999995</v>
      </c>
      <c r="N3565">
        <v>0</v>
      </c>
      <c r="O3565">
        <v>-0.24688270000000001</v>
      </c>
      <c r="P3565">
        <v>0.98581079999999999</v>
      </c>
      <c r="Q3565">
        <v>0.12213880000000001</v>
      </c>
      <c r="R3565">
        <v>-0.1151495</v>
      </c>
      <c r="S3565">
        <v>2.998138</v>
      </c>
      <c r="T3565">
        <v>-0.20477010000000001</v>
      </c>
      <c r="U3565">
        <v>-0.59193419999999997</v>
      </c>
      <c r="V3565">
        <v>-0.1382398</v>
      </c>
      <c r="W3565">
        <v>0.13427709999999901</v>
      </c>
      <c r="X3565">
        <v>0.98125399999999996</v>
      </c>
      <c r="Y3565">
        <v>-5.3895020000000002E-2</v>
      </c>
      <c r="Z3565">
        <v>1.8274869999999999E-2</v>
      </c>
      <c r="AA3565">
        <v>0.99837929999999997</v>
      </c>
      <c r="AB3565">
        <v>24</v>
      </c>
      <c r="AC3565">
        <v>16.9300999999999</v>
      </c>
      <c r="AD3565">
        <v>-1.1717750522179999</v>
      </c>
      <c r="AE3565">
        <v>-3.3279000000000001</v>
      </c>
      <c r="AF3565">
        <v>-0.95124694315313796</v>
      </c>
      <c r="AG3565">
        <v>-1.1717750522179999</v>
      </c>
      <c r="AH3565">
        <v>17.148501458308498</v>
      </c>
      <c r="AI3565">
        <v>93.903022558091095</v>
      </c>
      <c r="AJ3565">
        <v>93.175008384142501</v>
      </c>
      <c r="AK3565">
        <v>17.214791017769201</v>
      </c>
      <c r="AL3565">
        <v>82.283179805366402</v>
      </c>
      <c r="AM3565">
        <v>98.019097619441993</v>
      </c>
      <c r="AN3565">
        <v>0.99999999720222499</v>
      </c>
    </row>
    <row r="3566" spans="1:40" x14ac:dyDescent="0.3">
      <c r="A3566" t="str">
        <f>"20200111150021289"</f>
        <v>20200111150021289</v>
      </c>
      <c r="B3566" t="str">
        <f>"1578726021279704"</f>
        <v>1578726021279704</v>
      </c>
      <c r="C3566" t="s">
        <v>40</v>
      </c>
      <c r="D3566">
        <v>4.3048339999999996</v>
      </c>
      <c r="E3566">
        <v>0.53322369999999997</v>
      </c>
      <c r="F3566" t="s">
        <v>62</v>
      </c>
      <c r="G3566">
        <v>-445.78100000000001</v>
      </c>
      <c r="H3566" s="1">
        <v>1.4726549999999999E-6</v>
      </c>
      <c r="I3566">
        <v>216.14689999999999</v>
      </c>
      <c r="J3566">
        <v>-463.38389999999998</v>
      </c>
      <c r="K3566">
        <v>1.171144</v>
      </c>
      <c r="L3566">
        <v>219.58359999999999</v>
      </c>
      <c r="M3566">
        <v>0.96909520000000005</v>
      </c>
      <c r="N3566">
        <v>0</v>
      </c>
      <c r="O3566">
        <v>-0.24600849999999999</v>
      </c>
      <c r="P3566">
        <v>0.98558140000000005</v>
      </c>
      <c r="Q3566">
        <v>0.1237468</v>
      </c>
      <c r="R3566">
        <v>-0.1153971</v>
      </c>
      <c r="S3566">
        <v>2.9989319999999999</v>
      </c>
      <c r="T3566">
        <v>-0.1970124</v>
      </c>
      <c r="U3566">
        <v>-0.5878601</v>
      </c>
      <c r="V3566">
        <v>-0.13731260000000001</v>
      </c>
      <c r="W3566">
        <v>0.1352807</v>
      </c>
      <c r="X3566">
        <v>0.98124639999999996</v>
      </c>
      <c r="Y3566">
        <v>-5.4397580000000001E-2</v>
      </c>
      <c r="Z3566">
        <v>1.754379E-2</v>
      </c>
      <c r="AA3566">
        <v>0.99836519999999995</v>
      </c>
      <c r="AB3566">
        <v>24</v>
      </c>
      <c r="AC3566">
        <v>17.602899999999899</v>
      </c>
      <c r="AD3566">
        <v>-1.171142527345</v>
      </c>
      <c r="AE3566">
        <v>-3.4367000000000001</v>
      </c>
      <c r="AF3566">
        <v>-0.99589437057228403</v>
      </c>
      <c r="AG3566">
        <v>-1.171142527345</v>
      </c>
      <c r="AH3566">
        <v>17.831306332869801</v>
      </c>
      <c r="AI3566">
        <v>93.751902529211307</v>
      </c>
      <c r="AJ3566">
        <v>93.196699329357699</v>
      </c>
      <c r="AK3566">
        <v>17.8974541751987</v>
      </c>
      <c r="AL3566">
        <v>82.225148734293697</v>
      </c>
      <c r="AM3566">
        <v>97.966065681353498</v>
      </c>
      <c r="AN3566">
        <v>1.0000000577121</v>
      </c>
    </row>
    <row r="3567" spans="1:40" x14ac:dyDescent="0.3">
      <c r="A3567" t="str">
        <f>"20200111150021310"</f>
        <v>20200111150021310</v>
      </c>
      <c r="B3567" t="str">
        <f>"1578726021299223"</f>
        <v>1578726021299223</v>
      </c>
      <c r="C3567" t="s">
        <v>40</v>
      </c>
      <c r="D3567">
        <v>4.3568350000000002</v>
      </c>
      <c r="E3567">
        <v>0.53299890000000005</v>
      </c>
      <c r="F3567" t="s">
        <v>62</v>
      </c>
      <c r="G3567">
        <v>-444.93549999999999</v>
      </c>
      <c r="H3567" s="1">
        <v>1.030479E-6</v>
      </c>
      <c r="I3567">
        <v>215.9701</v>
      </c>
      <c r="J3567">
        <v>-463.1549</v>
      </c>
      <c r="K3567">
        <v>1.1706289999999999</v>
      </c>
      <c r="L3567">
        <v>219.52590000000001</v>
      </c>
      <c r="M3567">
        <v>0.96942530000000005</v>
      </c>
      <c r="N3567">
        <v>0</v>
      </c>
      <c r="O3567">
        <v>-0.24473549999999999</v>
      </c>
      <c r="P3567">
        <v>0.9852609</v>
      </c>
      <c r="Q3567">
        <v>0.1246731</v>
      </c>
      <c r="R3567">
        <v>-0.1171239</v>
      </c>
      <c r="S3567">
        <v>2.9990230000000002</v>
      </c>
      <c r="T3567">
        <v>-0.19038440000000001</v>
      </c>
      <c r="U3567">
        <v>-0.58741759999999998</v>
      </c>
      <c r="V3567">
        <v>-0.13448660000000001</v>
      </c>
      <c r="W3567">
        <v>0.1357536</v>
      </c>
      <c r="X3567">
        <v>0.98157240000000001</v>
      </c>
      <c r="Y3567">
        <v>-5.3276539999999997E-2</v>
      </c>
      <c r="Z3567">
        <v>1.6842070000000001E-2</v>
      </c>
      <c r="AA3567">
        <v>0.99843780000000004</v>
      </c>
      <c r="AB3567">
        <v>24</v>
      </c>
      <c r="AC3567">
        <v>18.2194</v>
      </c>
      <c r="AD3567">
        <v>-1.170627969521</v>
      </c>
      <c r="AE3567">
        <v>-3.5558000000000001</v>
      </c>
      <c r="AF3567">
        <v>-1.0080043366252101</v>
      </c>
      <c r="AG3567">
        <v>-1.170627969521</v>
      </c>
      <c r="AH3567">
        <v>18.462115274547699</v>
      </c>
      <c r="AI3567">
        <v>93.622717199044203</v>
      </c>
      <c r="AJ3567">
        <v>93.125162376271405</v>
      </c>
      <c r="AK3567">
        <v>18.5266333422014</v>
      </c>
      <c r="AL3567">
        <v>82.197801071279699</v>
      </c>
      <c r="AM3567">
        <v>97.801598936846901</v>
      </c>
      <c r="AN3567">
        <v>1.00000003096713</v>
      </c>
    </row>
    <row r="3568" spans="1:40" x14ac:dyDescent="0.3">
      <c r="A3568" t="str">
        <f>"20200111150021333"</f>
        <v>20200111150021333</v>
      </c>
      <c r="B3568" t="str">
        <f>"1578726021329479"</f>
        <v>1578726021329479</v>
      </c>
      <c r="C3568" t="s">
        <v>40</v>
      </c>
      <c r="D3568">
        <v>4.3823850000000002</v>
      </c>
      <c r="E3568">
        <v>0.53266950000000002</v>
      </c>
      <c r="F3568" t="s">
        <v>62</v>
      </c>
      <c r="G3568">
        <v>-444.3347</v>
      </c>
      <c r="H3568" s="1">
        <v>7.1723980000000005E-7</v>
      </c>
      <c r="I3568">
        <v>215.8218</v>
      </c>
      <c r="J3568">
        <v>-462.93079999999998</v>
      </c>
      <c r="K3568">
        <v>1.169227</v>
      </c>
      <c r="L3568">
        <v>219.471</v>
      </c>
      <c r="M3568">
        <v>0.96964850000000002</v>
      </c>
      <c r="N3568">
        <v>0</v>
      </c>
      <c r="O3568">
        <v>-0.24385770000000001</v>
      </c>
      <c r="P3568">
        <v>0.98501570000000005</v>
      </c>
      <c r="Q3568">
        <v>0.12514210000000001</v>
      </c>
      <c r="R3568">
        <v>-0.1186744</v>
      </c>
      <c r="S3568">
        <v>2.9983219999999999</v>
      </c>
      <c r="T3568">
        <v>-0.18649789999999999</v>
      </c>
      <c r="U3568">
        <v>-0.59011840000000004</v>
      </c>
      <c r="V3568">
        <v>-0.1320144</v>
      </c>
      <c r="W3568">
        <v>0.13626469999999999</v>
      </c>
      <c r="X3568">
        <v>0.98183710000000002</v>
      </c>
      <c r="Y3568">
        <v>-5.1489229999999997E-2</v>
      </c>
      <c r="Z3568">
        <v>1.6393689999999999E-2</v>
      </c>
      <c r="AA3568">
        <v>0.99853899999999995</v>
      </c>
      <c r="AB3568">
        <v>24</v>
      </c>
      <c r="AC3568">
        <v>18.5960999999999</v>
      </c>
      <c r="AD3568">
        <v>-1.16922628276019</v>
      </c>
      <c r="AE3568">
        <v>-3.6491999999999698</v>
      </c>
      <c r="AF3568">
        <v>-0.99273892203580905</v>
      </c>
      <c r="AG3568">
        <v>-1.16922628276019</v>
      </c>
      <c r="AH3568">
        <v>18.852782774400598</v>
      </c>
      <c r="AI3568">
        <v>93.5439706139462</v>
      </c>
      <c r="AJ3568">
        <v>93.014264060026306</v>
      </c>
      <c r="AK3568">
        <v>18.915074385430199</v>
      </c>
      <c r="AL3568">
        <v>82.168242131688999</v>
      </c>
      <c r="AM3568">
        <v>97.657863830066503</v>
      </c>
      <c r="AN3568">
        <v>0.99999998060492901</v>
      </c>
    </row>
    <row r="3569" spans="1:40" x14ac:dyDescent="0.3">
      <c r="A3569" t="str">
        <f>"20200111150021355"</f>
        <v>20200111150021355</v>
      </c>
      <c r="B3569" t="str">
        <f>"1578726021348999"</f>
        <v>1578726021348999</v>
      </c>
      <c r="C3569" t="s">
        <v>40</v>
      </c>
      <c r="D3569">
        <v>4.4420510000000002</v>
      </c>
      <c r="E3569">
        <v>0.53215069999999998</v>
      </c>
      <c r="F3569" t="s">
        <v>62</v>
      </c>
      <c r="G3569">
        <v>-443.67840000000001</v>
      </c>
      <c r="H3569" s="1">
        <v>3.7514719999999998E-7</v>
      </c>
      <c r="I3569">
        <v>215.65790000000001</v>
      </c>
      <c r="J3569">
        <v>-462.68920000000003</v>
      </c>
      <c r="K3569">
        <v>1.1674209999999901</v>
      </c>
      <c r="L3569">
        <v>219.4126</v>
      </c>
      <c r="M3569">
        <v>0.96962839999999995</v>
      </c>
      <c r="N3569">
        <v>0</v>
      </c>
      <c r="O3569">
        <v>-0.24395530000000001</v>
      </c>
      <c r="P3569">
        <v>0.98482000000000003</v>
      </c>
      <c r="Q3569">
        <v>0.12581809999999999</v>
      </c>
      <c r="R3569">
        <v>-0.1195819</v>
      </c>
      <c r="S3569">
        <v>2.9972530000000002</v>
      </c>
      <c r="T3569">
        <v>-0.18202779999999999</v>
      </c>
      <c r="U3569">
        <v>-0.59362789999999999</v>
      </c>
      <c r="V3569">
        <v>-0.13112389999999999</v>
      </c>
      <c r="W3569">
        <v>0.13682639999999999</v>
      </c>
      <c r="X3569">
        <v>0.98187829999999998</v>
      </c>
      <c r="Y3569">
        <v>-5.0422729999999999E-2</v>
      </c>
      <c r="Z3569">
        <v>1.5978289999999999E-2</v>
      </c>
      <c r="AA3569">
        <v>0.99860009999999999</v>
      </c>
      <c r="AB3569">
        <v>24</v>
      </c>
      <c r="AC3569">
        <v>19.0108</v>
      </c>
      <c r="AD3569">
        <v>-1.1674206248527901</v>
      </c>
      <c r="AE3569">
        <v>-3.7546999999999802</v>
      </c>
      <c r="AF3569">
        <v>-0.99366812436815799</v>
      </c>
      <c r="AG3569">
        <v>-1.1674206248527901</v>
      </c>
      <c r="AH3569">
        <v>19.282373772326899</v>
      </c>
      <c r="AI3569">
        <v>93.460072607734105</v>
      </c>
      <c r="AJ3569">
        <v>92.949982901958606</v>
      </c>
      <c r="AK3569">
        <v>19.343220661317901</v>
      </c>
      <c r="AL3569">
        <v>82.135754712066301</v>
      </c>
      <c r="AM3569">
        <v>97.606499323839301</v>
      </c>
      <c r="AN3569">
        <v>0.99999996844952899</v>
      </c>
    </row>
    <row r="3570" spans="1:40" x14ac:dyDescent="0.3">
      <c r="A3570" t="str">
        <f>"20200111150021378"</f>
        <v>20200111150021378</v>
      </c>
      <c r="B3570" t="str">
        <f>"1578726021369318"</f>
        <v>1578726021369318</v>
      </c>
      <c r="C3570" t="s">
        <v>40</v>
      </c>
      <c r="D3570">
        <v>4.4317880000000001</v>
      </c>
      <c r="E3570">
        <v>0.53135810000000006</v>
      </c>
      <c r="F3570" t="s">
        <v>62</v>
      </c>
      <c r="G3570">
        <v>-442.95679999999999</v>
      </c>
      <c r="H3570" s="1">
        <v>-1.943E-9</v>
      </c>
      <c r="I3570">
        <v>215.49979999999999</v>
      </c>
      <c r="J3570">
        <v>-462.45209999999997</v>
      </c>
      <c r="K3570">
        <v>1.166169</v>
      </c>
      <c r="L3570">
        <v>219.35570000000001</v>
      </c>
      <c r="M3570">
        <v>0.96973779999999998</v>
      </c>
      <c r="N3570">
        <v>0</v>
      </c>
      <c r="O3570">
        <v>-0.2435225</v>
      </c>
      <c r="P3570">
        <v>0.98491150000000005</v>
      </c>
      <c r="Q3570">
        <v>0.12642300000000001</v>
      </c>
      <c r="R3570">
        <v>-0.11818190000000001</v>
      </c>
      <c r="S3570">
        <v>2.9967350000000001</v>
      </c>
      <c r="T3570">
        <v>-0.1772947</v>
      </c>
      <c r="U3570">
        <v>-0.5942383</v>
      </c>
      <c r="V3570">
        <v>-0.13208039999999999</v>
      </c>
      <c r="W3570">
        <v>0.13735639999999999</v>
      </c>
      <c r="X3570">
        <v>0.98167610000000005</v>
      </c>
      <c r="Y3570">
        <v>-4.9775939999999998E-2</v>
      </c>
      <c r="Z3570">
        <v>1.5522380000000001E-2</v>
      </c>
      <c r="AA3570">
        <v>0.99863979999999997</v>
      </c>
      <c r="AB3570">
        <v>24</v>
      </c>
      <c r="AC3570">
        <v>19.495299999999901</v>
      </c>
      <c r="AD3570">
        <v>-1.166169001943</v>
      </c>
      <c r="AE3570">
        <v>-3.8559000000000201</v>
      </c>
      <c r="AF3570">
        <v>-1.0050254283234299</v>
      </c>
      <c r="AG3570">
        <v>-1.166169001943</v>
      </c>
      <c r="AH3570">
        <v>19.779249105259201</v>
      </c>
      <c r="AI3570">
        <v>93.369870567350603</v>
      </c>
      <c r="AJ3570">
        <v>92.908817911454705</v>
      </c>
      <c r="AK3570">
        <v>19.839070578546998</v>
      </c>
      <c r="AL3570">
        <v>82.1050986672401</v>
      </c>
      <c r="AM3570">
        <v>97.662888499954903</v>
      </c>
      <c r="AN3570">
        <v>0.999999988998165</v>
      </c>
    </row>
    <row r="3571" spans="1:40" x14ac:dyDescent="0.3">
      <c r="A3571" t="str">
        <f>"20200111150021400"</f>
        <v>20200111150021400</v>
      </c>
      <c r="B3571" t="str">
        <f>"1578726021389801"</f>
        <v>1578726021389801</v>
      </c>
      <c r="C3571" t="s">
        <v>40</v>
      </c>
      <c r="D3571">
        <v>4.4245570000000001</v>
      </c>
      <c r="E3571">
        <v>0.53066809999999998</v>
      </c>
      <c r="F3571" t="s">
        <v>62</v>
      </c>
      <c r="G3571">
        <v>-442.32089999999999</v>
      </c>
      <c r="H3571" s="1">
        <v>-3.369217E-7</v>
      </c>
      <c r="I3571">
        <v>215.42140000000001</v>
      </c>
      <c r="J3571">
        <v>-462.22359999999998</v>
      </c>
      <c r="K3571">
        <v>1.1651400000000001</v>
      </c>
      <c r="L3571">
        <v>219.3014</v>
      </c>
      <c r="M3571">
        <v>0.97023250000000005</v>
      </c>
      <c r="N3571">
        <v>0</v>
      </c>
      <c r="O3571">
        <v>-0.24150969999999999</v>
      </c>
      <c r="P3571">
        <v>0.98532370000000002</v>
      </c>
      <c r="Q3571">
        <v>0.1263338</v>
      </c>
      <c r="R3571">
        <v>-0.114791</v>
      </c>
      <c r="S3571">
        <v>2.9979550000000001</v>
      </c>
      <c r="T3571">
        <v>-0.17366709999999999</v>
      </c>
      <c r="U3571">
        <v>-0.58589169999999902</v>
      </c>
      <c r="V3571">
        <v>-0.13341049999999999</v>
      </c>
      <c r="W3571">
        <v>0.13768739999999999</v>
      </c>
      <c r="X3571">
        <v>0.98144980000000004</v>
      </c>
      <c r="Y3571">
        <v>-5.0481129999999999E-2</v>
      </c>
      <c r="Z3571">
        <v>1.5113339999999999E-2</v>
      </c>
      <c r="AA3571">
        <v>0.99861069999999996</v>
      </c>
      <c r="AB3571">
        <v>24</v>
      </c>
      <c r="AC3571">
        <v>19.9026999999999</v>
      </c>
      <c r="AD3571">
        <v>-1.1651403369216999</v>
      </c>
      <c r="AE3571">
        <v>-3.8799999999999901</v>
      </c>
      <c r="AF3571">
        <v>-1.0389306178651401</v>
      </c>
      <c r="AG3571">
        <v>-1.1651403369216999</v>
      </c>
      <c r="AH3571">
        <v>20.183923653459701</v>
      </c>
      <c r="AI3571">
        <v>93.299440282158997</v>
      </c>
      <c r="AJ3571">
        <v>92.946595152270902</v>
      </c>
      <c r="AK3571">
        <v>20.244201710172401</v>
      </c>
      <c r="AL3571">
        <v>82.085951500449895</v>
      </c>
      <c r="AM3571">
        <v>97.7408889233796</v>
      </c>
      <c r="AN3571">
        <v>0.999999945774523</v>
      </c>
    </row>
    <row r="3572" spans="1:40" x14ac:dyDescent="0.3">
      <c r="A3572" t="str">
        <f>"20200111150021422"</f>
        <v>20200111150021422</v>
      </c>
      <c r="B3572" t="str">
        <f>"1578726021419082"</f>
        <v>1578726021419082</v>
      </c>
      <c r="C3572" t="s">
        <v>40</v>
      </c>
      <c r="D3572">
        <v>4.379677</v>
      </c>
      <c r="E3572">
        <v>0.52965119999999999</v>
      </c>
      <c r="F3572" t="s">
        <v>62</v>
      </c>
      <c r="G3572">
        <v>-441.99630000000002</v>
      </c>
      <c r="H3572" s="1">
        <v>-5.1098090000000002E-7</v>
      </c>
      <c r="I3572">
        <v>215.452</v>
      </c>
      <c r="J3572">
        <v>-461.99919999999997</v>
      </c>
      <c r="K3572">
        <v>1.1641870000000001</v>
      </c>
      <c r="L3572">
        <v>219.249</v>
      </c>
      <c r="M3572">
        <v>0.97107019999999999</v>
      </c>
      <c r="N3572">
        <v>0</v>
      </c>
      <c r="O3572">
        <v>-0.23808399999999999</v>
      </c>
      <c r="P3572">
        <v>0.98596899999999998</v>
      </c>
      <c r="Q3572">
        <v>0.12522710000000001</v>
      </c>
      <c r="R3572">
        <v>-0.1103784</v>
      </c>
      <c r="S3572">
        <v>3.0003660000000001</v>
      </c>
      <c r="T3572">
        <v>-0.1728285</v>
      </c>
      <c r="U3572">
        <v>-0.57098389999999999</v>
      </c>
      <c r="V3572">
        <v>-0.1343231</v>
      </c>
      <c r="W3572">
        <v>0.137013</v>
      </c>
      <c r="X3572">
        <v>0.98141970000000001</v>
      </c>
      <c r="Y3572">
        <v>-5.1900960000000003E-2</v>
      </c>
      <c r="Z3572">
        <v>1.488941E-2</v>
      </c>
      <c r="AA3572">
        <v>0.99854120000000002</v>
      </c>
      <c r="AB3572">
        <v>24</v>
      </c>
      <c r="AC3572">
        <v>20.002899999999901</v>
      </c>
      <c r="AD3572">
        <v>-1.1641875109808999</v>
      </c>
      <c r="AE3572">
        <v>-3.7970000000000201</v>
      </c>
      <c r="AF3572">
        <v>-1.0718944146382601</v>
      </c>
      <c r="AG3572">
        <v>-1.1641875109808999</v>
      </c>
      <c r="AH3572">
        <v>20.2654097139269</v>
      </c>
      <c r="AI3572">
        <v>93.283279008543104</v>
      </c>
      <c r="AJ3572">
        <v>93.027713245881102</v>
      </c>
      <c r="AK3572">
        <v>20.327103115549399</v>
      </c>
      <c r="AL3572">
        <v>82.124961466011598</v>
      </c>
      <c r="AM3572">
        <v>97.793428356441297</v>
      </c>
      <c r="AN3572">
        <v>0.99999994245534796</v>
      </c>
    </row>
    <row r="3573" spans="1:40" x14ac:dyDescent="0.3">
      <c r="A3573" t="str">
        <f>"20200111150021444"</f>
        <v>20200111150021444</v>
      </c>
      <c r="B3573" t="str">
        <f>"1578726021439577"</f>
        <v>1578726021439577</v>
      </c>
      <c r="C3573" t="s">
        <v>40</v>
      </c>
      <c r="D3573">
        <v>4.4092750000000001</v>
      </c>
      <c r="E3573">
        <v>0.52905769999999996</v>
      </c>
      <c r="F3573" t="s">
        <v>62</v>
      </c>
      <c r="G3573">
        <v>-442.00959999999998</v>
      </c>
      <c r="H3573" s="1">
        <v>-5.0987150000000004E-7</v>
      </c>
      <c r="I3573">
        <v>215.5881</v>
      </c>
      <c r="J3573">
        <v>-461.76870000000002</v>
      </c>
      <c r="K3573">
        <v>1.163224</v>
      </c>
      <c r="L3573">
        <v>219.19669999999999</v>
      </c>
      <c r="M3573">
        <v>0.97206349999999997</v>
      </c>
      <c r="N3573">
        <v>0</v>
      </c>
      <c r="O3573">
        <v>-0.23396890000000001</v>
      </c>
      <c r="P3573">
        <v>0.98665539999999996</v>
      </c>
      <c r="Q3573">
        <v>0.1233036</v>
      </c>
      <c r="R3573">
        <v>-0.1063368</v>
      </c>
      <c r="S3573">
        <v>3.0033569999999998</v>
      </c>
      <c r="T3573">
        <v>-0.17491419999999999</v>
      </c>
      <c r="U3573">
        <v>-0.55003359999999901</v>
      </c>
      <c r="V3573">
        <v>-0.1341696</v>
      </c>
      <c r="W3573">
        <v>0.13543089999999999</v>
      </c>
      <c r="X3573">
        <v>0.98166030000000004</v>
      </c>
      <c r="Y3573">
        <v>-5.4577180000000003E-2</v>
      </c>
      <c r="Z3573">
        <v>1.4913890000000001E-2</v>
      </c>
      <c r="AA3573">
        <v>0.99839820000000001</v>
      </c>
      <c r="AB3573">
        <v>24</v>
      </c>
      <c r="AC3573">
        <v>19.7591</v>
      </c>
      <c r="AD3573">
        <v>-1.1632245098714999</v>
      </c>
      <c r="AE3573">
        <v>-3.6085999999999898</v>
      </c>
      <c r="AF3573">
        <v>-1.11169392264361</v>
      </c>
      <c r="AG3573">
        <v>-1.1632245098714999</v>
      </c>
      <c r="AH3573">
        <v>19.987884691641099</v>
      </c>
      <c r="AI3573">
        <v>93.325527823185098</v>
      </c>
      <c r="AJ3573">
        <v>93.183419054408901</v>
      </c>
      <c r="AK3573">
        <v>20.052543207392599</v>
      </c>
      <c r="AL3573">
        <v>82.216462345300201</v>
      </c>
      <c r="AM3573">
        <v>97.782746956919894</v>
      </c>
      <c r="AN3573">
        <v>0.999999977417529</v>
      </c>
    </row>
    <row r="3574" spans="1:40" x14ac:dyDescent="0.3">
      <c r="A3574" t="str">
        <f>"20200111150021467"</f>
        <v>20200111150021467</v>
      </c>
      <c r="B3574" t="str">
        <f>"1578726021459098"</f>
        <v>1578726021459098</v>
      </c>
      <c r="C3574" t="s">
        <v>40</v>
      </c>
      <c r="D3574">
        <v>4.4050240000000001</v>
      </c>
      <c r="E3574">
        <v>0.52846569999999904</v>
      </c>
      <c r="F3574" t="s">
        <v>62</v>
      </c>
      <c r="G3574">
        <v>-442.3691</v>
      </c>
      <c r="H3574" s="1">
        <v>-3.2596759999999998E-7</v>
      </c>
      <c r="I3574">
        <v>215.75749999999999</v>
      </c>
      <c r="J3574">
        <v>-461.5324</v>
      </c>
      <c r="K3574">
        <v>1.1621709999999901</v>
      </c>
      <c r="L3574">
        <v>219.14490000000001</v>
      </c>
      <c r="M3574">
        <v>0.97307089999999996</v>
      </c>
      <c r="N3574">
        <v>0</v>
      </c>
      <c r="O3574">
        <v>-0.2297091</v>
      </c>
      <c r="P3574">
        <v>0.9870662</v>
      </c>
      <c r="Q3574">
        <v>0.12322080000000001</v>
      </c>
      <c r="R3574">
        <v>-0.10255300000000001</v>
      </c>
      <c r="S3574">
        <v>3.0056759999999998</v>
      </c>
      <c r="T3574">
        <v>-0.18022350000000001</v>
      </c>
      <c r="U3574">
        <v>-0.5328522</v>
      </c>
      <c r="V3574">
        <v>-0.1336376</v>
      </c>
      <c r="W3574">
        <v>0.13579469999999999</v>
      </c>
      <c r="X3574">
        <v>0.98168270000000002</v>
      </c>
      <c r="Y3574">
        <v>-5.584633E-2</v>
      </c>
      <c r="Z3574">
        <v>1.5156579999999999E-2</v>
      </c>
      <c r="AA3574">
        <v>0.99832430000000005</v>
      </c>
      <c r="AB3574">
        <v>24</v>
      </c>
      <c r="AC3574">
        <v>19.1632999999999</v>
      </c>
      <c r="AD3574">
        <v>-1.1621713259676001</v>
      </c>
      <c r="AE3574">
        <v>-3.3874000000000102</v>
      </c>
      <c r="AF3574">
        <v>-1.10207635109388</v>
      </c>
      <c r="AG3574">
        <v>-1.1621713259676001</v>
      </c>
      <c r="AH3574">
        <v>19.3598830474164</v>
      </c>
      <c r="AI3574">
        <v>93.429796411770795</v>
      </c>
      <c r="AJ3574">
        <v>93.2580903747278</v>
      </c>
      <c r="AK3574">
        <v>19.4260208505031</v>
      </c>
      <c r="AL3574">
        <v>82.195424480342595</v>
      </c>
      <c r="AM3574">
        <v>97.752088590431299</v>
      </c>
      <c r="AN3574">
        <v>1.0000000660805599</v>
      </c>
    </row>
    <row r="3575" spans="1:40" x14ac:dyDescent="0.3">
      <c r="A3575" t="str">
        <f>"20200111150021490"</f>
        <v>20200111150021490</v>
      </c>
      <c r="B3575" t="str">
        <f>"1578726021479609"</f>
        <v>1578726021479609</v>
      </c>
      <c r="C3575" t="s">
        <v>40</v>
      </c>
      <c r="D3575">
        <v>4.4595840000000004</v>
      </c>
      <c r="E3575">
        <v>0.52787680000000003</v>
      </c>
      <c r="F3575" t="s">
        <v>62</v>
      </c>
      <c r="G3575">
        <v>-441.98579999999998</v>
      </c>
      <c r="H3575" s="1">
        <v>-5.3137319999999999E-7</v>
      </c>
      <c r="I3575">
        <v>215.79040000000001</v>
      </c>
      <c r="J3575">
        <v>-461.30099999999999</v>
      </c>
      <c r="K3575">
        <v>1.160957</v>
      </c>
      <c r="L3575">
        <v>219.09620000000001</v>
      </c>
      <c r="M3575">
        <v>0.97405549999999996</v>
      </c>
      <c r="N3575">
        <v>0</v>
      </c>
      <c r="O3575">
        <v>-0.22545090000000001</v>
      </c>
      <c r="P3575">
        <v>0.98736380000000001</v>
      </c>
      <c r="Q3575">
        <v>0.1241944</v>
      </c>
      <c r="R3575">
        <v>-9.8431110000000002E-2</v>
      </c>
      <c r="S3575">
        <v>3.007965</v>
      </c>
      <c r="T3575">
        <v>-0.17884249999999999</v>
      </c>
      <c r="U3575">
        <v>-0.51622009999999996</v>
      </c>
      <c r="V3575">
        <v>-0.1334148</v>
      </c>
      <c r="W3575">
        <v>0.13738420000000001</v>
      </c>
      <c r="X3575">
        <v>0.98149169999999997</v>
      </c>
      <c r="Y3575">
        <v>-5.6982119999999997E-2</v>
      </c>
      <c r="Z3575">
        <v>1.4828529999999999E-2</v>
      </c>
      <c r="AA3575">
        <v>0.99826510000000002</v>
      </c>
      <c r="AB3575">
        <v>24</v>
      </c>
      <c r="AC3575">
        <v>19.315200000000001</v>
      </c>
      <c r="AD3575">
        <v>-1.1609575313731999</v>
      </c>
      <c r="AE3575">
        <v>-3.3058000000000001</v>
      </c>
      <c r="AF3575">
        <v>-1.1308474314402099</v>
      </c>
      <c r="AG3575">
        <v>-1.1609575313731999</v>
      </c>
      <c r="AH3575">
        <v>19.4947410870152</v>
      </c>
      <c r="AI3575">
        <v>93.402366849888907</v>
      </c>
      <c r="AJ3575">
        <v>93.319882899502304</v>
      </c>
      <c r="AK3575">
        <v>19.561992954517802</v>
      </c>
      <c r="AL3575">
        <v>82.103490227939503</v>
      </c>
      <c r="AM3575">
        <v>97.740808934215806</v>
      </c>
      <c r="AN3575">
        <v>0.99999994221878297</v>
      </c>
    </row>
    <row r="3576" spans="1:40" x14ac:dyDescent="0.3">
      <c r="A3576" t="str">
        <f>"20200111150021512"</f>
        <v>20200111150021512</v>
      </c>
      <c r="B3576" t="str">
        <f>"1578726021508889"</f>
        <v>1578726021508889</v>
      </c>
      <c r="C3576" t="s">
        <v>40</v>
      </c>
      <c r="D3576">
        <v>4.5272600000000001</v>
      </c>
      <c r="E3576">
        <v>0.52705789999999997</v>
      </c>
      <c r="F3576" t="s">
        <v>62</v>
      </c>
      <c r="G3576">
        <v>-441.23390000000001</v>
      </c>
      <c r="H3576" s="1">
        <v>-9.3039340000000001E-7</v>
      </c>
      <c r="I3576">
        <v>215.76480000000001</v>
      </c>
      <c r="J3576">
        <v>-461.06869999999998</v>
      </c>
      <c r="K3576">
        <v>1.1594949999999999</v>
      </c>
      <c r="L3576">
        <v>219.04900000000001</v>
      </c>
      <c r="M3576">
        <v>0.97508799999999995</v>
      </c>
      <c r="N3576">
        <v>0</v>
      </c>
      <c r="O3576">
        <v>-0.22088540000000001</v>
      </c>
      <c r="P3576">
        <v>0.98782099999999995</v>
      </c>
      <c r="Q3576">
        <v>0.1246377</v>
      </c>
      <c r="R3576">
        <v>-9.3141189999999999E-2</v>
      </c>
      <c r="S3576">
        <v>3.010437</v>
      </c>
      <c r="T3576">
        <v>-0.1741646</v>
      </c>
      <c r="U3576">
        <v>-0.49977109999999902</v>
      </c>
      <c r="V3576">
        <v>-0.133968899999999</v>
      </c>
      <c r="W3576">
        <v>0.138548799999999</v>
      </c>
      <c r="X3576">
        <v>0.98125260000000003</v>
      </c>
      <c r="Y3576">
        <v>-5.7778660000000003E-2</v>
      </c>
      <c r="Z3576">
        <v>1.4206450000000001E-2</v>
      </c>
      <c r="AA3576">
        <v>0.99822829999999996</v>
      </c>
      <c r="AB3576">
        <v>24</v>
      </c>
      <c r="AC3576">
        <v>19.834799999999898</v>
      </c>
      <c r="AD3576">
        <v>-1.1594959303934</v>
      </c>
      <c r="AE3576">
        <v>-3.28419999999999</v>
      </c>
      <c r="AF3576">
        <v>-1.1751685072603999</v>
      </c>
      <c r="AG3576">
        <v>-1.1594959303934</v>
      </c>
      <c r="AH3576">
        <v>20.003718003356202</v>
      </c>
      <c r="AI3576">
        <v>93.311684718355906</v>
      </c>
      <c r="AJ3576">
        <v>93.362119740298994</v>
      </c>
      <c r="AK3576">
        <v>20.071726029189801</v>
      </c>
      <c r="AL3576">
        <v>82.036120148291602</v>
      </c>
      <c r="AM3576">
        <v>97.774436748382897</v>
      </c>
      <c r="AN3576">
        <v>1.0000000505777</v>
      </c>
    </row>
    <row r="3577" spans="1:40" x14ac:dyDescent="0.3">
      <c r="A3577" t="str">
        <f>"20200111150021534"</f>
        <v>20200111150021534</v>
      </c>
      <c r="B3577" t="str">
        <f>"1578726021529385"</f>
        <v>1578726021529385</v>
      </c>
      <c r="C3577" t="s">
        <v>40</v>
      </c>
      <c r="D3577">
        <v>4.5340660000000002</v>
      </c>
      <c r="E3577">
        <v>0.52659009999999995</v>
      </c>
      <c r="F3577" t="s">
        <v>62</v>
      </c>
      <c r="G3577">
        <v>-440.60210000000001</v>
      </c>
      <c r="H3577" s="1">
        <v>-1.268148E-6</v>
      </c>
      <c r="I3577">
        <v>215.8004</v>
      </c>
      <c r="J3577">
        <v>-460.8449</v>
      </c>
      <c r="K3577">
        <v>1.1578710000000001</v>
      </c>
      <c r="L3577">
        <v>219.005</v>
      </c>
      <c r="M3577">
        <v>0.97613589999999995</v>
      </c>
      <c r="N3577">
        <v>0</v>
      </c>
      <c r="O3577">
        <v>-0.21614849999999999</v>
      </c>
      <c r="P3577">
        <v>0.98854719999999996</v>
      </c>
      <c r="Q3577">
        <v>0.1225686</v>
      </c>
      <c r="R3577">
        <v>-8.8043239999999995E-2</v>
      </c>
      <c r="S3577">
        <v>3.0133969999999999</v>
      </c>
      <c r="T3577">
        <v>-0.17071800000000001</v>
      </c>
      <c r="U3577">
        <v>-0.478302</v>
      </c>
      <c r="V3577">
        <v>-0.13406609999999999</v>
      </c>
      <c r="W3577">
        <v>0.13726849999999999</v>
      </c>
      <c r="X3577">
        <v>0.98141920000000005</v>
      </c>
      <c r="Y3577">
        <v>-6.0043249999999999E-2</v>
      </c>
      <c r="Z3577">
        <v>1.3727110000000001E-2</v>
      </c>
      <c r="AA3577">
        <v>0.99810140000000003</v>
      </c>
      <c r="AB3577">
        <v>24</v>
      </c>
      <c r="AC3577">
        <v>20.2427999999999</v>
      </c>
      <c r="AD3577">
        <v>-1.15787226814799</v>
      </c>
      <c r="AE3577">
        <v>-3.2045999999999899</v>
      </c>
      <c r="AF3577">
        <v>-1.2436299675616</v>
      </c>
      <c r="AG3577">
        <v>-1.15787226814799</v>
      </c>
      <c r="AH3577">
        <v>20.391793545056299</v>
      </c>
      <c r="AI3577">
        <v>93.243824427075694</v>
      </c>
      <c r="AJ3577">
        <v>93.489962936657903</v>
      </c>
      <c r="AK3577">
        <v>20.4624663144442</v>
      </c>
      <c r="AL3577">
        <v>82.110183240146398</v>
      </c>
      <c r="AM3577">
        <v>97.778703850777006</v>
      </c>
      <c r="AN3577">
        <v>1.00000000319505</v>
      </c>
    </row>
    <row r="3578" spans="1:40" x14ac:dyDescent="0.3">
      <c r="A3578" t="str">
        <f>"20200111150021557"</f>
        <v>20200111150021557</v>
      </c>
      <c r="B3578" t="str">
        <f>"1578726021548905"</f>
        <v>1578726021548905</v>
      </c>
      <c r="C3578" t="s">
        <v>40</v>
      </c>
      <c r="D3578">
        <v>4.5926419999999997</v>
      </c>
      <c r="E3578">
        <v>0.52615349999999905</v>
      </c>
      <c r="F3578" t="s">
        <v>62</v>
      </c>
      <c r="G3578">
        <v>-441.00229999999999</v>
      </c>
      <c r="H3578" s="1">
        <v>-1.0631790000000001E-6</v>
      </c>
      <c r="I3578">
        <v>215.9836</v>
      </c>
      <c r="J3578">
        <v>-460.60059999999999</v>
      </c>
      <c r="K3578">
        <v>1.155956</v>
      </c>
      <c r="L3578">
        <v>218.95859999999999</v>
      </c>
      <c r="M3578">
        <v>0.97732660000000005</v>
      </c>
      <c r="N3578">
        <v>0</v>
      </c>
      <c r="O3578">
        <v>-0.21062030000000001</v>
      </c>
      <c r="P3578">
        <v>0.98950959999999999</v>
      </c>
      <c r="Q3578">
        <v>0.11861289999999999</v>
      </c>
      <c r="R3578">
        <v>-8.2473260000000007E-2</v>
      </c>
      <c r="S3578">
        <v>3.015717</v>
      </c>
      <c r="T3578">
        <v>-0.1759753</v>
      </c>
      <c r="U3578">
        <v>-0.459198</v>
      </c>
      <c r="V3578">
        <v>-0.13375680000000001</v>
      </c>
      <c r="W3578">
        <v>0.13432949999999999</v>
      </c>
      <c r="X3578">
        <v>0.98186799999999996</v>
      </c>
      <c r="Y3578">
        <v>-6.0671019999999999E-2</v>
      </c>
      <c r="Z3578">
        <v>1.385346E-2</v>
      </c>
      <c r="AA3578">
        <v>0.99806170000000005</v>
      </c>
      <c r="AB3578">
        <v>24</v>
      </c>
      <c r="AC3578">
        <v>19.598299999999899</v>
      </c>
      <c r="AD3578">
        <v>-1.1559570631789999</v>
      </c>
      <c r="AE3578">
        <v>-2.9749999999999899</v>
      </c>
      <c r="AF3578">
        <v>-1.21640467474208</v>
      </c>
      <c r="AG3578">
        <v>-1.1559570631789999</v>
      </c>
      <c r="AH3578">
        <v>19.7181501282124</v>
      </c>
      <c r="AI3578">
        <v>93.348717055007398</v>
      </c>
      <c r="AJ3578">
        <v>93.530079877224793</v>
      </c>
      <c r="AK3578">
        <v>19.789424487421901</v>
      </c>
      <c r="AL3578">
        <v>82.280150334077305</v>
      </c>
      <c r="AM3578">
        <v>97.757472543691804</v>
      </c>
      <c r="AN3578">
        <v>1.0000000327702401</v>
      </c>
    </row>
    <row r="3579" spans="1:40" x14ac:dyDescent="0.3">
      <c r="A3579" t="str">
        <f>"20200111150021580"</f>
        <v>20200111150021580</v>
      </c>
      <c r="B3579" t="str">
        <f>"1578726021569401"</f>
        <v>1578726021569401</v>
      </c>
      <c r="C3579" t="s">
        <v>40</v>
      </c>
      <c r="D3579">
        <v>4.4611799999999997</v>
      </c>
      <c r="E3579">
        <v>0.52574569999999998</v>
      </c>
      <c r="F3579" t="s">
        <v>62</v>
      </c>
      <c r="G3579">
        <v>-441.86689999999999</v>
      </c>
      <c r="H3579" s="1">
        <v>-6.1387889999999997E-7</v>
      </c>
      <c r="I3579">
        <v>216.2302</v>
      </c>
      <c r="J3579">
        <v>-460.37700000000001</v>
      </c>
      <c r="K3579">
        <v>1.154158</v>
      </c>
      <c r="L3579">
        <v>218.91739999999999</v>
      </c>
      <c r="M3579">
        <v>0.97844830000000005</v>
      </c>
      <c r="N3579">
        <v>0</v>
      </c>
      <c r="O3579">
        <v>-0.20525550000000001</v>
      </c>
      <c r="P3579">
        <v>0.990371</v>
      </c>
      <c r="Q3579">
        <v>0.1152902</v>
      </c>
      <c r="R3579">
        <v>-7.6640589999999995E-2</v>
      </c>
      <c r="S3579">
        <v>3.0175169999999998</v>
      </c>
      <c r="T3579">
        <v>-0.1861941</v>
      </c>
      <c r="U3579">
        <v>-0.43946839999999998</v>
      </c>
      <c r="V3579">
        <v>-0.13390239999999901</v>
      </c>
      <c r="W3579">
        <v>0.13206019999999999</v>
      </c>
      <c r="X3579">
        <v>0.98215589999999997</v>
      </c>
      <c r="Y3579">
        <v>-6.1626489999999999E-2</v>
      </c>
      <c r="Z3579">
        <v>1.436546E-2</v>
      </c>
      <c r="AA3579">
        <v>0.99799590000000005</v>
      </c>
      <c r="AB3579">
        <v>24</v>
      </c>
      <c r="AC3579">
        <v>18.510099999999898</v>
      </c>
      <c r="AD3579">
        <v>-1.1541586138789</v>
      </c>
      <c r="AE3579">
        <v>-2.68719999999999</v>
      </c>
      <c r="AF3579">
        <v>-1.1658722836181199</v>
      </c>
      <c r="AG3579">
        <v>-1.1541586138789</v>
      </c>
      <c r="AH3579">
        <v>18.596681500369598</v>
      </c>
      <c r="AI3579">
        <v>93.544429877648597</v>
      </c>
      <c r="AJ3579">
        <v>93.587320238815806</v>
      </c>
      <c r="AK3579">
        <v>18.668902032896501</v>
      </c>
      <c r="AL3579">
        <v>82.411340195514796</v>
      </c>
      <c r="AM3579">
        <v>97.763565266209795</v>
      </c>
      <c r="AN3579">
        <v>0.99999998052730399</v>
      </c>
    </row>
    <row r="3580" spans="1:40" x14ac:dyDescent="0.3">
      <c r="A3580" t="str">
        <f>"20200111150021601"</f>
        <v>20200111150021601</v>
      </c>
      <c r="B3580" t="str">
        <f>"1578726021589897"</f>
        <v>1578726021589897</v>
      </c>
      <c r="C3580" t="s">
        <v>40</v>
      </c>
      <c r="D3580">
        <v>5.2826529999999998</v>
      </c>
      <c r="E3580">
        <v>0.52515900000000004</v>
      </c>
      <c r="F3580" t="s">
        <v>62</v>
      </c>
      <c r="G3580">
        <v>-442.52179999999998</v>
      </c>
      <c r="H3580" s="1">
        <v>-2.7428279999999998E-7</v>
      </c>
      <c r="I3580">
        <v>216.43469999999999</v>
      </c>
      <c r="J3580">
        <v>-460.15429999999998</v>
      </c>
      <c r="K3580">
        <v>1.15032</v>
      </c>
      <c r="L3580">
        <v>218.87819999999999</v>
      </c>
      <c r="M3580">
        <v>0.97966030000000004</v>
      </c>
      <c r="N3580">
        <v>0</v>
      </c>
      <c r="O3580">
        <v>-0.19940830000000001</v>
      </c>
      <c r="P3580">
        <v>0.99116020000000005</v>
      </c>
      <c r="Q3580">
        <v>0.1129352</v>
      </c>
      <c r="R3580">
        <v>-6.9622610000000001E-2</v>
      </c>
      <c r="S3580">
        <v>3.0194399999999999</v>
      </c>
      <c r="T3580">
        <v>-0.19517609999999999</v>
      </c>
      <c r="U3580">
        <v>-0.41984559999999999</v>
      </c>
      <c r="V3580">
        <v>-0.1343821</v>
      </c>
      <c r="W3580">
        <v>0.13009409999999999</v>
      </c>
      <c r="X3580">
        <v>0.98235280000000003</v>
      </c>
      <c r="Y3580">
        <v>-6.2074879999999999E-2</v>
      </c>
      <c r="Z3580">
        <v>1.470367E-2</v>
      </c>
      <c r="AA3580">
        <v>0.99796320000000005</v>
      </c>
      <c r="AB3580">
        <v>24</v>
      </c>
      <c r="AC3580">
        <v>17.632499999999901</v>
      </c>
      <c r="AD3580">
        <v>-1.1503202742828</v>
      </c>
      <c r="AE3580">
        <v>-2.4434999999999998</v>
      </c>
      <c r="AF3580">
        <v>-1.1178805757734001</v>
      </c>
      <c r="AG3580">
        <v>-1.1503202742828</v>
      </c>
      <c r="AH3580">
        <v>17.691695884968901</v>
      </c>
      <c r="AI3580">
        <v>93.712771502198294</v>
      </c>
      <c r="AJ3580">
        <v>93.615526854935197</v>
      </c>
      <c r="AK3580">
        <v>17.764261791623699</v>
      </c>
      <c r="AL3580">
        <v>82.524970150611395</v>
      </c>
      <c r="AM3580">
        <v>97.789494507918704</v>
      </c>
      <c r="AN3580">
        <v>1.0000000236615201</v>
      </c>
    </row>
    <row r="3581" spans="1:40" x14ac:dyDescent="0.3">
      <c r="A3581" t="str">
        <f>"20200111150021623"</f>
        <v>20200111150021623</v>
      </c>
      <c r="B3581" t="str">
        <f>"1578726021619177"</f>
        <v>1578726021619177</v>
      </c>
      <c r="C3581" t="s">
        <v>40</v>
      </c>
      <c r="D3581">
        <v>4.4431570000000002</v>
      </c>
      <c r="E3581">
        <v>0.52453749999999999</v>
      </c>
      <c r="F3581" t="s">
        <v>62</v>
      </c>
      <c r="G3581">
        <v>-443.09050000000002</v>
      </c>
      <c r="H3581" s="1">
        <v>1.942745E-8</v>
      </c>
      <c r="I3581">
        <v>216.63910000000001</v>
      </c>
      <c r="J3581">
        <v>-459.93020000000001</v>
      </c>
      <c r="K3581">
        <v>1.147492</v>
      </c>
      <c r="L3581">
        <v>218.8391</v>
      </c>
      <c r="M3581">
        <v>0.98070310000000005</v>
      </c>
      <c r="N3581">
        <v>0</v>
      </c>
      <c r="O3581">
        <v>-0.19424089999999999</v>
      </c>
      <c r="P3581">
        <v>0.99187619999999999</v>
      </c>
      <c r="Q3581">
        <v>0.1104579</v>
      </c>
      <c r="R3581">
        <v>-6.3095139999999994E-2</v>
      </c>
      <c r="S3581">
        <v>3.0220950000000002</v>
      </c>
      <c r="T3581">
        <v>-0.20372899999999999</v>
      </c>
      <c r="U3581">
        <v>-0.39656069999999999</v>
      </c>
      <c r="V3581">
        <v>-0.13534209999999999</v>
      </c>
      <c r="W3581">
        <v>0.12765090000000001</v>
      </c>
      <c r="X3581">
        <v>0.98254149999999996</v>
      </c>
      <c r="Y3581">
        <v>-6.4441929999999994E-2</v>
      </c>
      <c r="Z3581">
        <v>1.50838E-2</v>
      </c>
      <c r="AA3581">
        <v>0.99780740000000001</v>
      </c>
      <c r="AB3581">
        <v>24</v>
      </c>
      <c r="AC3581">
        <v>16.839699999999901</v>
      </c>
      <c r="AD3581">
        <v>-1.1474919805725501</v>
      </c>
      <c r="AE3581">
        <v>-2.1999999999999802</v>
      </c>
      <c r="AF3581">
        <v>-1.10862427442008</v>
      </c>
      <c r="AG3581">
        <v>-1.1474919805725501</v>
      </c>
      <c r="AH3581">
        <v>16.869229319811598</v>
      </c>
      <c r="AI3581">
        <v>93.8830732909787</v>
      </c>
      <c r="AJ3581">
        <v>93.759998822109296</v>
      </c>
      <c r="AK3581">
        <v>16.944517799917001</v>
      </c>
      <c r="AL3581">
        <v>82.666132316930302</v>
      </c>
      <c r="AM3581">
        <v>97.8429629887126</v>
      </c>
      <c r="AN3581">
        <v>1.00000001776273</v>
      </c>
    </row>
    <row r="3582" spans="1:40" x14ac:dyDescent="0.3">
      <c r="A3582" t="str">
        <f>"20200111150021646"</f>
        <v>20200111150021646</v>
      </c>
      <c r="B3582" t="str">
        <f>"1578726021639673"</f>
        <v>1578726021639673</v>
      </c>
      <c r="C3582" t="s">
        <v>40</v>
      </c>
      <c r="D3582">
        <v>4.3934240000000004</v>
      </c>
      <c r="E3582">
        <v>0.52419709999999997</v>
      </c>
      <c r="F3582" t="s">
        <v>62</v>
      </c>
      <c r="G3582">
        <v>-443.50279999999998</v>
      </c>
      <c r="H3582" s="1">
        <v>2.3119509999999999E-7</v>
      </c>
      <c r="I3582">
        <v>216.8133</v>
      </c>
      <c r="J3582">
        <v>-459.69119999999998</v>
      </c>
      <c r="K3582">
        <v>1.14499</v>
      </c>
      <c r="L3582">
        <v>218.79839999999999</v>
      </c>
      <c r="M3582">
        <v>0.98181980000000002</v>
      </c>
      <c r="N3582">
        <v>0</v>
      </c>
      <c r="O3582">
        <v>-0.188495</v>
      </c>
      <c r="P3582">
        <v>0.99259070000000005</v>
      </c>
      <c r="Q3582">
        <v>0.1081826</v>
      </c>
      <c r="R3582">
        <v>-5.5320040000000001E-2</v>
      </c>
      <c r="S3582">
        <v>3.024384</v>
      </c>
      <c r="T3582">
        <v>-0.2112598</v>
      </c>
      <c r="U3582">
        <v>-0.37295529999999999</v>
      </c>
      <c r="V3582">
        <v>-0.13703460000000001</v>
      </c>
      <c r="W3582">
        <v>0.12573480000000001</v>
      </c>
      <c r="X3582">
        <v>0.98255400000000004</v>
      </c>
      <c r="Y3582">
        <v>-6.6326510000000005E-2</v>
      </c>
      <c r="Z3582">
        <v>1.5312569999999999E-2</v>
      </c>
      <c r="AA3582">
        <v>0.99768049999999997</v>
      </c>
      <c r="AB3582">
        <v>24</v>
      </c>
      <c r="AC3582">
        <v>16.188400000000001</v>
      </c>
      <c r="AD3582">
        <v>-1.1449897688049</v>
      </c>
      <c r="AE3582">
        <v>-1.9850999999999801</v>
      </c>
      <c r="AF3582">
        <v>-1.09728943863976</v>
      </c>
      <c r="AG3582">
        <v>-1.1449897688049</v>
      </c>
      <c r="AH3582">
        <v>16.1925330470382</v>
      </c>
      <c r="AI3582">
        <v>94.035483644550496</v>
      </c>
      <c r="AJ3582">
        <v>93.876730238902297</v>
      </c>
      <c r="AK3582">
        <v>16.2700083639266</v>
      </c>
      <c r="AL3582">
        <v>82.776808783667406</v>
      </c>
      <c r="AM3582">
        <v>97.939699007424906</v>
      </c>
      <c r="AN3582">
        <v>1.00000004222209</v>
      </c>
    </row>
    <row r="3583" spans="1:40" x14ac:dyDescent="0.3">
      <c r="A3583" t="str">
        <f>"20200111150021668"</f>
        <v>20200111150021668</v>
      </c>
      <c r="B3583" t="str">
        <f>"1578726021649432"</f>
        <v>1578726021649432</v>
      </c>
      <c r="C3583" t="s">
        <v>40</v>
      </c>
      <c r="D3583">
        <v>4.4378330000000004</v>
      </c>
      <c r="E3583">
        <v>0.52401419999999999</v>
      </c>
      <c r="F3583" t="s">
        <v>62</v>
      </c>
      <c r="G3583">
        <v>-443.80759999999998</v>
      </c>
      <c r="H3583" s="1">
        <v>3.8621600000000002E-7</v>
      </c>
      <c r="I3583">
        <v>216.97749999999999</v>
      </c>
      <c r="J3583">
        <v>-459.45490000000001</v>
      </c>
      <c r="K3583">
        <v>1.1428259999999999</v>
      </c>
      <c r="L3583">
        <v>218.7595</v>
      </c>
      <c r="M3583">
        <v>0.98302140000000005</v>
      </c>
      <c r="N3583">
        <v>0</v>
      </c>
      <c r="O3583">
        <v>-0.18206600000000001</v>
      </c>
      <c r="P3583">
        <v>0.99326000000000003</v>
      </c>
      <c r="Q3583">
        <v>0.1061096</v>
      </c>
      <c r="R3583">
        <v>-4.6642910000000003E-2</v>
      </c>
      <c r="S3583">
        <v>3.0268549999999999</v>
      </c>
      <c r="T3583">
        <v>-0.21819450000000001</v>
      </c>
      <c r="U3583">
        <v>-0.34698489999999999</v>
      </c>
      <c r="V3583">
        <v>-0.13900100000000001</v>
      </c>
      <c r="W3583">
        <v>0.1242629</v>
      </c>
      <c r="X3583">
        <v>0.98246500000000003</v>
      </c>
      <c r="Y3583">
        <v>-6.8309369999999994E-2</v>
      </c>
      <c r="Z3583">
        <v>1.543019E-2</v>
      </c>
      <c r="AA3583">
        <v>0.99754489999999996</v>
      </c>
      <c r="AB3583">
        <v>24</v>
      </c>
      <c r="AC3583">
        <v>15.6473</v>
      </c>
      <c r="AD3583">
        <v>-1.142825613784</v>
      </c>
      <c r="AE3583">
        <v>-1.78200000000001</v>
      </c>
      <c r="AF3583">
        <v>-1.09163444079951</v>
      </c>
      <c r="AG3583">
        <v>-1.142825613784</v>
      </c>
      <c r="AH3583">
        <v>15.6278675450401</v>
      </c>
      <c r="AI3583">
        <v>94.172317167501305</v>
      </c>
      <c r="AJ3583">
        <v>93.995722157101795</v>
      </c>
      <c r="AK3583">
        <v>15.7075765203031</v>
      </c>
      <c r="AL3583">
        <v>82.861808891163193</v>
      </c>
      <c r="AM3583">
        <v>98.0528669804185</v>
      </c>
      <c r="AN3583">
        <v>1.0000000112712</v>
      </c>
    </row>
    <row r="3584" spans="1:40" x14ac:dyDescent="0.3">
      <c r="A3584" t="str">
        <f>"20200111150022439"</f>
        <v>20200111150022439</v>
      </c>
      <c r="B3584" t="str">
        <f>"1578726022429257"</f>
        <v>1578726022429257</v>
      </c>
      <c r="C3584" t="s">
        <v>40</v>
      </c>
      <c r="D3584">
        <v>4.3888619999999996</v>
      </c>
      <c r="E3584">
        <v>0.65753079999999997</v>
      </c>
      <c r="F3584" t="s">
        <v>62</v>
      </c>
      <c r="G3584">
        <v>-444.0265</v>
      </c>
      <c r="H3584" s="1">
        <v>4.9602319999999998E-7</v>
      </c>
      <c r="I3584">
        <v>217.12970000000001</v>
      </c>
      <c r="J3584">
        <v>-451.185</v>
      </c>
      <c r="K3584">
        <v>1.1049549999999999</v>
      </c>
      <c r="L3584">
        <v>218.30690000000001</v>
      </c>
      <c r="M3584">
        <v>0.9999593</v>
      </c>
      <c r="N3584">
        <v>0</v>
      </c>
      <c r="O3584">
        <v>-7.8548919999999901E-3</v>
      </c>
      <c r="P3584">
        <v>0.98830830000000003</v>
      </c>
      <c r="Q3584">
        <v>0.1234774</v>
      </c>
      <c r="R3584">
        <v>8.9443040000000001E-2</v>
      </c>
      <c r="S3584">
        <v>3.0292970000000001</v>
      </c>
      <c r="T3584">
        <v>-0.22438749999999999</v>
      </c>
      <c r="U3584">
        <v>-0.32000729999999999</v>
      </c>
      <c r="V3584">
        <v>-9.7468340000000001E-2</v>
      </c>
      <c r="W3584">
        <v>0.1276707</v>
      </c>
      <c r="X3584">
        <v>0.9870158</v>
      </c>
      <c r="Y3584">
        <v>9.6996760000000001E-2</v>
      </c>
      <c r="Z3584">
        <v>-2.9981970000000002E-3</v>
      </c>
      <c r="AA3584">
        <v>0.99528019999999995</v>
      </c>
      <c r="AB3584">
        <v>26</v>
      </c>
      <c r="AC3584">
        <v>7.1585000000000001</v>
      </c>
      <c r="AD3584">
        <v>-1.1049545039767901</v>
      </c>
      <c r="AE3584">
        <v>-1.17719999999999</v>
      </c>
      <c r="AF3584">
        <v>1.0955196952644899</v>
      </c>
      <c r="AG3584">
        <v>-1.1049545039767901</v>
      </c>
      <c r="AH3584">
        <v>7.0050214706522098</v>
      </c>
      <c r="AI3584">
        <v>98.857904965493702</v>
      </c>
      <c r="AJ3584">
        <v>81.111475746160494</v>
      </c>
      <c r="AK3584">
        <v>7.1757517838111902</v>
      </c>
      <c r="AL3584">
        <v>82.664988645011903</v>
      </c>
      <c r="AM3584">
        <v>95.639704233098598</v>
      </c>
      <c r="AN3584">
        <v>1.00000003719524</v>
      </c>
    </row>
    <row r="3585" spans="1:40" x14ac:dyDescent="0.3">
      <c r="A3585" t="str">
        <f>"20200111150022484"</f>
        <v>20200111150022484</v>
      </c>
      <c r="B3585" t="str">
        <f>"1578726022479034"</f>
        <v>1578726022479034</v>
      </c>
      <c r="C3585" t="s">
        <v>40</v>
      </c>
      <c r="D3585">
        <v>4.4095519999999997</v>
      </c>
      <c r="E3585">
        <v>0.65792220000000001</v>
      </c>
      <c r="F3585" t="s">
        <v>53</v>
      </c>
      <c r="G3585">
        <v>-132.59880000000001</v>
      </c>
      <c r="H3585">
        <v>3.3667199999999902</v>
      </c>
      <c r="I3585">
        <v>117.9012</v>
      </c>
      <c r="J3585">
        <v>-450.64429999999999</v>
      </c>
      <c r="K3585">
        <v>1.1043289999999999</v>
      </c>
      <c r="L3585">
        <v>218.30459999999999</v>
      </c>
      <c r="M3585">
        <v>0.99996969999999996</v>
      </c>
      <c r="N3585">
        <v>0</v>
      </c>
      <c r="O3585">
        <v>-6.6192169999999897E-3</v>
      </c>
      <c r="P3585">
        <v>0.98819670000000004</v>
      </c>
      <c r="Q3585">
        <v>0.1245622</v>
      </c>
      <c r="R3585">
        <v>8.9170550000000001E-2</v>
      </c>
      <c r="S3585">
        <v>3.1217649999999999</v>
      </c>
      <c r="T3585">
        <v>2.2162680000000001E-2</v>
      </c>
      <c r="U3585">
        <v>-0.98385619999999996</v>
      </c>
      <c r="V3585">
        <v>-9.5799709999999996E-2</v>
      </c>
      <c r="W3585">
        <v>0.12854280000000001</v>
      </c>
      <c r="X3585">
        <v>0.987066</v>
      </c>
      <c r="Y3585">
        <v>0.2942592</v>
      </c>
      <c r="Z3585">
        <v>9.7392880000000005E-4</v>
      </c>
      <c r="AA3585">
        <v>0.95572509999999999</v>
      </c>
      <c r="AB3585">
        <v>27</v>
      </c>
      <c r="AC3585">
        <v>318.04549999999898</v>
      </c>
      <c r="AD3585">
        <v>2.2623909999999898</v>
      </c>
      <c r="AE3585">
        <v>-100.4034</v>
      </c>
      <c r="AF3585">
        <v>98.291447678781793</v>
      </c>
      <c r="AG3585">
        <v>2.2623909999999898</v>
      </c>
      <c r="AH3585">
        <v>318.68846542583202</v>
      </c>
      <c r="AI3585">
        <v>89.611326201061701</v>
      </c>
      <c r="AJ3585">
        <v>72.858936413521405</v>
      </c>
      <c r="AK3585">
        <v>333.50961769535098</v>
      </c>
      <c r="AL3585">
        <v>82.614606046185102</v>
      </c>
      <c r="AM3585">
        <v>95.543480580913595</v>
      </c>
      <c r="AN3585">
        <v>1.00000006211196</v>
      </c>
    </row>
    <row r="3586" spans="1:40" x14ac:dyDescent="0.3">
      <c r="A3586" t="str">
        <f>"20200111150022505"</f>
        <v>20200111150022505</v>
      </c>
      <c r="B3586" t="str">
        <f>"1578726022499529"</f>
        <v>1578726022499529</v>
      </c>
      <c r="C3586" t="s">
        <v>40</v>
      </c>
      <c r="D3586">
        <v>4.6216869999999997</v>
      </c>
      <c r="E3586">
        <v>0.65792220000000001</v>
      </c>
      <c r="F3586" t="s">
        <v>53</v>
      </c>
      <c r="G3586">
        <v>-133.5454</v>
      </c>
      <c r="H3586">
        <v>3.5427420000000001</v>
      </c>
      <c r="I3586">
        <v>117.9012</v>
      </c>
      <c r="J3586">
        <v>-450.38889999999998</v>
      </c>
      <c r="K3586">
        <v>1.1040589999999999</v>
      </c>
      <c r="L3586">
        <v>218.3031</v>
      </c>
      <c r="M3586">
        <v>0.99997069999999999</v>
      </c>
      <c r="N3586">
        <v>0</v>
      </c>
      <c r="O3586">
        <v>-6.5655799999999997E-3</v>
      </c>
      <c r="P3586">
        <v>0.9882301</v>
      </c>
      <c r="Q3586">
        <v>0.1251999</v>
      </c>
      <c r="R3586">
        <v>8.7901060000000003E-2</v>
      </c>
      <c r="S3586">
        <v>3.1220089999999998</v>
      </c>
      <c r="T3586">
        <v>2.4007560000000001E-2</v>
      </c>
      <c r="U3586">
        <v>-0.9885254</v>
      </c>
      <c r="V3586">
        <v>-9.4401330000000006E-2</v>
      </c>
      <c r="W3586">
        <v>0.1291088</v>
      </c>
      <c r="X3586">
        <v>0.98712679999999997</v>
      </c>
      <c r="Y3586">
        <v>0.2955873</v>
      </c>
      <c r="Z3586">
        <v>1.0600749999999999E-3</v>
      </c>
      <c r="AA3586">
        <v>0.95531509999999997</v>
      </c>
      <c r="AB3586">
        <v>27</v>
      </c>
      <c r="AC3586">
        <v>316.84349999999898</v>
      </c>
      <c r="AD3586">
        <v>2.4386830000000002</v>
      </c>
      <c r="AE3586">
        <v>-100.4019</v>
      </c>
      <c r="AF3586">
        <v>98.314165731410995</v>
      </c>
      <c r="AG3586">
        <v>2.4386830000000002</v>
      </c>
      <c r="AH3586">
        <v>317.47878109139401</v>
      </c>
      <c r="AI3586">
        <v>89.579592249831506</v>
      </c>
      <c r="AJ3586">
        <v>72.793731062671398</v>
      </c>
      <c r="AK3586">
        <v>332.361849196798</v>
      </c>
      <c r="AL3586">
        <v>82.581903723131305</v>
      </c>
      <c r="AM3586">
        <v>95.462721559835998</v>
      </c>
      <c r="AN3586">
        <v>1.0000000063107199</v>
      </c>
    </row>
    <row r="3587" spans="1:40" x14ac:dyDescent="0.3">
      <c r="A3587" t="str">
        <f>"20200111150022528"</f>
        <v>20200111150022528</v>
      </c>
      <c r="B3587" t="str">
        <f>"1578726022519049"</f>
        <v>1578726022519049</v>
      </c>
      <c r="C3587" t="s">
        <v>40</v>
      </c>
      <c r="D3587">
        <v>4.3738739999999998</v>
      </c>
      <c r="E3587">
        <v>0.658215199999999</v>
      </c>
      <c r="F3587" t="s">
        <v>53</v>
      </c>
      <c r="G3587">
        <v>-134.60830000000001</v>
      </c>
      <c r="H3587">
        <v>3.6554869999999999</v>
      </c>
      <c r="I3587">
        <v>117.90130000000001</v>
      </c>
      <c r="J3587">
        <v>-450.10340000000002</v>
      </c>
      <c r="K3587">
        <v>1.1037809999999999</v>
      </c>
      <c r="L3587">
        <v>218.30109999999999</v>
      </c>
      <c r="M3587">
        <v>0.999969</v>
      </c>
      <c r="N3587">
        <v>0</v>
      </c>
      <c r="O3587">
        <v>-6.8815269999999897E-3</v>
      </c>
      <c r="P3587">
        <v>0.98829480000000003</v>
      </c>
      <c r="Q3587">
        <v>0.12624169999999901</v>
      </c>
      <c r="R3587">
        <v>8.5655410000000001E-2</v>
      </c>
      <c r="S3587">
        <v>3.1207889999999998</v>
      </c>
      <c r="T3587">
        <v>2.5215270000000001E-2</v>
      </c>
      <c r="U3587">
        <v>-0.99224849999999998</v>
      </c>
      <c r="V3587">
        <v>-9.2389239999999997E-2</v>
      </c>
      <c r="W3587">
        <v>0.13008519999999901</v>
      </c>
      <c r="X3587">
        <v>0.98718899999999998</v>
      </c>
      <c r="Y3587">
        <v>0.29642750000000001</v>
      </c>
      <c r="Z3587">
        <v>1.1144429999999999E-3</v>
      </c>
      <c r="AA3587">
        <v>0.95505469999999903</v>
      </c>
      <c r="AB3587">
        <v>27</v>
      </c>
      <c r="AC3587">
        <v>315.49509999999998</v>
      </c>
      <c r="AD3587">
        <v>2.5517059999999998</v>
      </c>
      <c r="AE3587">
        <v>-100.399799999999</v>
      </c>
      <c r="AF3587">
        <v>98.220484514002095</v>
      </c>
      <c r="AG3587">
        <v>2.5517059999999998</v>
      </c>
      <c r="AH3587">
        <v>316.15975888632101</v>
      </c>
      <c r="AI3587">
        <v>89.558398076036596</v>
      </c>
      <c r="AJ3587">
        <v>72.741691359567895</v>
      </c>
      <c r="AK3587">
        <v>331.07516959254502</v>
      </c>
      <c r="AL3587">
        <v>82.525484473475004</v>
      </c>
      <c r="AM3587">
        <v>95.346635126051595</v>
      </c>
      <c r="AN3587">
        <v>1.0000000263238999</v>
      </c>
    </row>
    <row r="3588" spans="1:40" x14ac:dyDescent="0.3">
      <c r="A3588" t="str">
        <f>"20200111150022617"</f>
        <v>20200111150022617</v>
      </c>
      <c r="B3588" t="str">
        <f>"1578726022609818"</f>
        <v>1578726022609818</v>
      </c>
      <c r="C3588" t="s">
        <v>40</v>
      </c>
      <c r="D3588">
        <v>4.3551409999999997</v>
      </c>
      <c r="E3588">
        <v>0.65650090000000005</v>
      </c>
      <c r="F3588" t="s">
        <v>53</v>
      </c>
      <c r="G3588">
        <v>-137.17580000000001</v>
      </c>
      <c r="H3588">
        <v>3.6482670000000001</v>
      </c>
      <c r="I3588">
        <v>117.90130000000001</v>
      </c>
      <c r="J3588">
        <v>-449.00709999999998</v>
      </c>
      <c r="K3588">
        <v>1.1027849999999999</v>
      </c>
      <c r="L3588">
        <v>218.28819999999999</v>
      </c>
      <c r="M3588">
        <v>0.99992879999999995</v>
      </c>
      <c r="N3588">
        <v>0</v>
      </c>
      <c r="O3588">
        <v>-1.1403730000000001E-2</v>
      </c>
      <c r="P3588">
        <v>0.9897011</v>
      </c>
      <c r="Q3588">
        <v>0.1244165</v>
      </c>
      <c r="R3588">
        <v>7.0797669999999993E-2</v>
      </c>
      <c r="S3588">
        <v>3.119049</v>
      </c>
      <c r="T3588">
        <v>2.536178E-2</v>
      </c>
      <c r="U3588">
        <v>-1.0007170000000001</v>
      </c>
      <c r="V3588">
        <v>-8.1734479999999998E-2</v>
      </c>
      <c r="W3588">
        <v>0.128137</v>
      </c>
      <c r="X3588">
        <v>0.98838269999999995</v>
      </c>
      <c r="Y3588">
        <v>0.29461470000000001</v>
      </c>
      <c r="Z3588">
        <v>1.0780290000000001E-3</v>
      </c>
      <c r="AA3588">
        <v>0.95561549999999995</v>
      </c>
      <c r="AB3588">
        <v>28</v>
      </c>
      <c r="AC3588">
        <v>311.83129999999898</v>
      </c>
      <c r="AD3588">
        <v>2.5454819999999998</v>
      </c>
      <c r="AE3588">
        <v>-100.386899999999</v>
      </c>
      <c r="AF3588">
        <v>96.818464740519701</v>
      </c>
      <c r="AG3588">
        <v>2.5454819999999998</v>
      </c>
      <c r="AH3588">
        <v>312.93692088488302</v>
      </c>
      <c r="AI3588">
        <v>89.554777280269505</v>
      </c>
      <c r="AJ3588">
        <v>72.808637475464806</v>
      </c>
      <c r="AK3588">
        <v>327.58176238343202</v>
      </c>
      <c r="AL3588">
        <v>82.638050010114796</v>
      </c>
      <c r="AM3588">
        <v>94.727328142815495</v>
      </c>
      <c r="AN3588">
        <v>0.99999998882457997</v>
      </c>
    </row>
    <row r="3589" spans="1:40" x14ac:dyDescent="0.3">
      <c r="A3589" t="str">
        <f>"20200111150022640"</f>
        <v>20200111150022640</v>
      </c>
      <c r="B3589" t="str">
        <f>"1578726022629340"</f>
        <v>1578726022629340</v>
      </c>
      <c r="C3589" t="s">
        <v>40</v>
      </c>
      <c r="D3589">
        <v>4.327852</v>
      </c>
      <c r="E3589">
        <v>0.65453359999999905</v>
      </c>
      <c r="F3589" t="s">
        <v>78</v>
      </c>
      <c r="G3589">
        <v>-363.05680000000001</v>
      </c>
      <c r="H3589">
        <v>1.4914130000000001</v>
      </c>
      <c r="I3589">
        <v>189.7303</v>
      </c>
      <c r="J3589">
        <v>-448.72730000000001</v>
      </c>
      <c r="K3589">
        <v>1.1025830000000001</v>
      </c>
      <c r="L3589">
        <v>218.2834</v>
      </c>
      <c r="M3589">
        <v>0.99990679999999998</v>
      </c>
      <c r="N3589">
        <v>0</v>
      </c>
      <c r="O3589">
        <v>-1.3196370000000001E-2</v>
      </c>
      <c r="P3589">
        <v>0.98995129999999998</v>
      </c>
      <c r="Q3589">
        <v>0.1248049</v>
      </c>
      <c r="R3589">
        <v>6.6485459999999996E-2</v>
      </c>
      <c r="S3589">
        <v>3.1031490000000002</v>
      </c>
      <c r="T3589">
        <v>1.403427E-2</v>
      </c>
      <c r="U3589">
        <v>-1.0310520000000001</v>
      </c>
      <c r="V3589">
        <v>-7.9140130000000003E-2</v>
      </c>
      <c r="W3589">
        <v>0.12850729999999999</v>
      </c>
      <c r="X3589">
        <v>0.98854580000000003</v>
      </c>
      <c r="Y3589">
        <v>0.30275730000000001</v>
      </c>
      <c r="Z3589">
        <v>6.0861409999999998E-4</v>
      </c>
      <c r="AA3589">
        <v>0.95306749999999996</v>
      </c>
      <c r="AB3589">
        <v>28</v>
      </c>
      <c r="AC3589">
        <v>85.670500000000004</v>
      </c>
      <c r="AD3589">
        <v>0.38882999999999901</v>
      </c>
      <c r="AE3589">
        <v>-28.553100000000001</v>
      </c>
      <c r="AF3589">
        <v>27.419558784245101</v>
      </c>
      <c r="AG3589">
        <v>0.38882999999999901</v>
      </c>
      <c r="AH3589">
        <v>86.038244500968602</v>
      </c>
      <c r="AI3589">
        <v>89.753291907166698</v>
      </c>
      <c r="AJ3589">
        <v>72.323421231953603</v>
      </c>
      <c r="AK3589">
        <v>90.302618508546203</v>
      </c>
      <c r="AL3589">
        <v>82.616656911265196</v>
      </c>
      <c r="AM3589">
        <v>94.577173182951299</v>
      </c>
      <c r="AN3589">
        <v>1.0000000425136699</v>
      </c>
    </row>
    <row r="3590" spans="1:40" x14ac:dyDescent="0.3">
      <c r="A3590" t="str">
        <f>"20200111150022661"</f>
        <v>20200111150022661</v>
      </c>
      <c r="B3590" t="str">
        <f>"1578726022659593"</f>
        <v>1578726022659593</v>
      </c>
      <c r="C3590" t="s">
        <v>40</v>
      </c>
      <c r="D3590">
        <v>4.2396659999999997</v>
      </c>
      <c r="E3590">
        <v>0.65465119999999999</v>
      </c>
      <c r="F3590" t="s">
        <v>78</v>
      </c>
      <c r="G3590">
        <v>-363.0521</v>
      </c>
      <c r="H3590">
        <v>1.5312410000000001</v>
      </c>
      <c r="I3590">
        <v>189.83850000000001</v>
      </c>
      <c r="J3590">
        <v>-448.45929999999998</v>
      </c>
      <c r="K3590">
        <v>1.1024320000000001</v>
      </c>
      <c r="L3590">
        <v>218.27799999999999</v>
      </c>
      <c r="M3590">
        <v>0.9998804</v>
      </c>
      <c r="N3590">
        <v>0</v>
      </c>
      <c r="O3590">
        <v>-1.507063E-2</v>
      </c>
      <c r="P3590">
        <v>0.99017129999999998</v>
      </c>
      <c r="Q3590">
        <v>0.12509189999999901</v>
      </c>
      <c r="R3590">
        <v>6.2552430000000006E-2</v>
      </c>
      <c r="S3590">
        <v>3.0975649999999999</v>
      </c>
      <c r="T3590">
        <v>1.5501259999999999E-2</v>
      </c>
      <c r="U3590">
        <v>-1.0284120000000001</v>
      </c>
      <c r="V3590">
        <v>-7.7020790000000006E-2</v>
      </c>
      <c r="W3590">
        <v>0.128773</v>
      </c>
      <c r="X3590">
        <v>0.98867859999999996</v>
      </c>
      <c r="Y3590">
        <v>0.30075229999999997</v>
      </c>
      <c r="Z3590">
        <v>6.5946039999999998E-4</v>
      </c>
      <c r="AA3590">
        <v>0.95370200000000005</v>
      </c>
      <c r="AB3590">
        <v>28</v>
      </c>
      <c r="AC3590">
        <v>85.407199999999904</v>
      </c>
      <c r="AD3590">
        <v>0.428809</v>
      </c>
      <c r="AE3590">
        <v>-28.439499999999899</v>
      </c>
      <c r="AF3590">
        <v>27.1485060074132</v>
      </c>
      <c r="AG3590">
        <v>0.428809</v>
      </c>
      <c r="AH3590">
        <v>85.824156575265405</v>
      </c>
      <c r="AI3590">
        <v>89.727061406167294</v>
      </c>
      <c r="AJ3590">
        <v>72.446425852592</v>
      </c>
      <c r="AK3590">
        <v>90.016726820345497</v>
      </c>
      <c r="AL3590">
        <v>82.601305790008993</v>
      </c>
      <c r="AM3590">
        <v>94.4545025787383</v>
      </c>
      <c r="AN3590">
        <v>1.00000003085959</v>
      </c>
    </row>
    <row r="3591" spans="1:40" x14ac:dyDescent="0.3">
      <c r="A3591" t="str">
        <f>"20200111150022683"</f>
        <v>20200111150022683</v>
      </c>
      <c r="B3591" t="str">
        <f>"1578726022679113"</f>
        <v>1578726022679113</v>
      </c>
      <c r="C3591" t="s">
        <v>40</v>
      </c>
      <c r="D3591">
        <v>4.2726449999999998</v>
      </c>
      <c r="E3591">
        <v>0.65492830000000002</v>
      </c>
      <c r="F3591" t="s">
        <v>53</v>
      </c>
      <c r="G3591">
        <v>-150.56809999999999</v>
      </c>
      <c r="H3591">
        <v>4.5993120000000003</v>
      </c>
      <c r="I3591">
        <v>117.9016</v>
      </c>
      <c r="J3591">
        <v>-448.17250000000001</v>
      </c>
      <c r="K3591">
        <v>1.102311</v>
      </c>
      <c r="L3591">
        <v>218.27170000000001</v>
      </c>
      <c r="M3591">
        <v>0.99984649999999997</v>
      </c>
      <c r="N3591">
        <v>0</v>
      </c>
      <c r="O3591">
        <v>-1.7189389999999999E-2</v>
      </c>
      <c r="P3591">
        <v>0.99039719999999998</v>
      </c>
      <c r="Q3591">
        <v>0.1247076</v>
      </c>
      <c r="R3591">
        <v>5.9677620000000001E-2</v>
      </c>
      <c r="S3591">
        <v>3.0910030000000002</v>
      </c>
      <c r="T3591">
        <v>3.6284690000000001E-2</v>
      </c>
      <c r="U3591">
        <v>-1.041534</v>
      </c>
      <c r="V3591">
        <v>-7.6214889999999993E-2</v>
      </c>
      <c r="W3591">
        <v>0.12836589999999901</v>
      </c>
      <c r="X3591">
        <v>0.98879399999999995</v>
      </c>
      <c r="Y3591">
        <v>0.30296210000000001</v>
      </c>
      <c r="Z3591">
        <v>1.534145E-3</v>
      </c>
      <c r="AA3591">
        <v>0.9530014</v>
      </c>
      <c r="AB3591">
        <v>28</v>
      </c>
      <c r="AC3591">
        <v>297.6044</v>
      </c>
      <c r="AD3591">
        <v>3.497001</v>
      </c>
      <c r="AE3591">
        <v>-100.37009999999999</v>
      </c>
      <c r="AF3591">
        <v>95.227797103552504</v>
      </c>
      <c r="AG3591">
        <v>3.497001</v>
      </c>
      <c r="AH3591">
        <v>299.2486408451</v>
      </c>
      <c r="AI3591">
        <v>89.361997821372398</v>
      </c>
      <c r="AJ3591">
        <v>72.347733724448901</v>
      </c>
      <c r="AK3591">
        <v>314.05463124244699</v>
      </c>
      <c r="AL3591">
        <v>82.624826206098405</v>
      </c>
      <c r="AM3591">
        <v>94.407565537824894</v>
      </c>
      <c r="AN3591">
        <v>1.0000000440882599</v>
      </c>
    </row>
    <row r="3592" spans="1:40" x14ac:dyDescent="0.3">
      <c r="A3592" t="str">
        <f>"20200111150022706"</f>
        <v>20200111150022706</v>
      </c>
      <c r="B3592" t="str">
        <f>"1578726022699609"</f>
        <v>1578726022699609</v>
      </c>
      <c r="C3592" t="s">
        <v>40</v>
      </c>
      <c r="D3592">
        <v>4.2595130000000001</v>
      </c>
      <c r="E3592">
        <v>0.65499010000000002</v>
      </c>
      <c r="F3592" t="s">
        <v>53</v>
      </c>
      <c r="G3592">
        <v>-156.55609999999999</v>
      </c>
      <c r="H3592">
        <v>4.7481929999999997</v>
      </c>
      <c r="I3592">
        <v>118.8843</v>
      </c>
      <c r="J3592">
        <v>-447.88119999999998</v>
      </c>
      <c r="K3592">
        <v>1.1022209999999999</v>
      </c>
      <c r="L3592">
        <v>218.2645</v>
      </c>
      <c r="M3592">
        <v>0.99980599999999997</v>
      </c>
      <c r="N3592">
        <v>0</v>
      </c>
      <c r="O3592">
        <v>-1.9405740000000001E-2</v>
      </c>
      <c r="P3592">
        <v>0.99054240000000005</v>
      </c>
      <c r="Q3592">
        <v>0.12472129999999999</v>
      </c>
      <c r="R3592">
        <v>5.7188700000000002E-2</v>
      </c>
      <c r="S3592">
        <v>3.0876160000000001</v>
      </c>
      <c r="T3592">
        <v>3.860247E-2</v>
      </c>
      <c r="U3592">
        <v>-1.0523070000000001</v>
      </c>
      <c r="V3592">
        <v>-7.5900029999999993E-2</v>
      </c>
      <c r="W3592">
        <v>0.128356</v>
      </c>
      <c r="X3592">
        <v>0.98881949999999996</v>
      </c>
      <c r="Y3592">
        <v>0.30414550000000001</v>
      </c>
      <c r="Z3592">
        <v>1.6132360000000001E-3</v>
      </c>
      <c r="AA3592">
        <v>0.95262420000000003</v>
      </c>
      <c r="AB3592">
        <v>28</v>
      </c>
      <c r="AC3592">
        <v>291.32510000000002</v>
      </c>
      <c r="AD3592">
        <v>3.645972</v>
      </c>
      <c r="AE3592">
        <v>-99.380200000000002</v>
      </c>
      <c r="AF3592">
        <v>93.694928736361206</v>
      </c>
      <c r="AG3592">
        <v>3.645972</v>
      </c>
      <c r="AH3592">
        <v>293.15766703528902</v>
      </c>
      <c r="AI3592">
        <v>89.321274070827897</v>
      </c>
      <c r="AJ3592">
        <v>72.275811996305293</v>
      </c>
      <c r="AK3592">
        <v>307.78799606922598</v>
      </c>
      <c r="AL3592">
        <v>82.625398138727405</v>
      </c>
      <c r="AM3592">
        <v>94.389315497248504</v>
      </c>
      <c r="AN3592">
        <v>1.0000000404351199</v>
      </c>
    </row>
    <row r="3593" spans="1:40" x14ac:dyDescent="0.3">
      <c r="A3593" t="str">
        <f>"20200111150022729"</f>
        <v>20200111150022729</v>
      </c>
      <c r="B3593" t="str">
        <f>"1578726022719132"</f>
        <v>1578726022719132</v>
      </c>
      <c r="C3593" t="s">
        <v>40</v>
      </c>
      <c r="D3593">
        <v>4.2132820000000004</v>
      </c>
      <c r="E3593">
        <v>0.65544859999999905</v>
      </c>
      <c r="F3593" t="s">
        <v>79</v>
      </c>
      <c r="G3593">
        <v>-164.7535</v>
      </c>
      <c r="H3593">
        <v>5.5912189999999997</v>
      </c>
      <c r="I3593">
        <v>120.8798</v>
      </c>
      <c r="J3593">
        <v>-447.59030000000001</v>
      </c>
      <c r="K3593">
        <v>1.1021510000000001</v>
      </c>
      <c r="L3593">
        <v>218.2567</v>
      </c>
      <c r="M3593">
        <v>0.99976019999999999</v>
      </c>
      <c r="N3593">
        <v>0</v>
      </c>
      <c r="O3593">
        <v>-2.164526E-2</v>
      </c>
      <c r="P3593">
        <v>0.99063230000000002</v>
      </c>
      <c r="Q3593">
        <v>0.12464649999999999</v>
      </c>
      <c r="R3593">
        <v>5.5775610000000003E-2</v>
      </c>
      <c r="S3593">
        <v>3.0837400000000001</v>
      </c>
      <c r="T3593">
        <v>4.8892499999999998E-2</v>
      </c>
      <c r="U3593">
        <v>-1.060684</v>
      </c>
      <c r="V3593">
        <v>-7.6692129999999997E-2</v>
      </c>
      <c r="W3593">
        <v>0.12826279999999901</v>
      </c>
      <c r="X3593">
        <v>0.98877040000000005</v>
      </c>
      <c r="Y3593">
        <v>0.30468129999999999</v>
      </c>
      <c r="Z3593">
        <v>2.0144579999999998E-3</v>
      </c>
      <c r="AA3593">
        <v>0.95245219999999997</v>
      </c>
      <c r="AB3593">
        <v>28</v>
      </c>
      <c r="AC3593">
        <v>282.83679999999998</v>
      </c>
      <c r="AD3593">
        <v>4.4890679999999996</v>
      </c>
      <c r="AE3593">
        <v>-97.376900000000006</v>
      </c>
      <c r="AF3593">
        <v>91.211433957858503</v>
      </c>
      <c r="AG3593">
        <v>4.4890679999999996</v>
      </c>
      <c r="AH3593">
        <v>284.814150897275</v>
      </c>
      <c r="AI3593">
        <v>89.140029324555201</v>
      </c>
      <c r="AJ3593">
        <v>72.242390246941795</v>
      </c>
      <c r="AK3593">
        <v>299.09660306913099</v>
      </c>
      <c r="AL3593">
        <v>82.630782062801003</v>
      </c>
      <c r="AM3593">
        <v>94.435160354570499</v>
      </c>
      <c r="AN3593">
        <v>0.99999996629196697</v>
      </c>
    </row>
    <row r="3594" spans="1:40" x14ac:dyDescent="0.3">
      <c r="A3594" t="str">
        <f>"20200111150022751"</f>
        <v>20200111150022751</v>
      </c>
      <c r="B3594" t="str">
        <f>"1578726022739624"</f>
        <v>1578726022739624</v>
      </c>
      <c r="C3594" t="s">
        <v>40</v>
      </c>
      <c r="D3594">
        <v>4.2067600000000001</v>
      </c>
      <c r="E3594">
        <v>0.65594350000000001</v>
      </c>
      <c r="F3594" t="s">
        <v>79</v>
      </c>
      <c r="G3594">
        <v>-163.92140000000001</v>
      </c>
      <c r="H3594">
        <v>6.2856209999999999</v>
      </c>
      <c r="I3594">
        <v>119.83929999999999</v>
      </c>
      <c r="J3594">
        <v>-447.30759999999998</v>
      </c>
      <c r="K3594">
        <v>1.1021110000000001</v>
      </c>
      <c r="L3594">
        <v>218.2484</v>
      </c>
      <c r="M3594">
        <v>0.99971069999999995</v>
      </c>
      <c r="N3594">
        <v>0</v>
      </c>
      <c r="O3594">
        <v>-2.382695E-2</v>
      </c>
      <c r="P3594">
        <v>0.99070040000000004</v>
      </c>
      <c r="Q3594">
        <v>0.1243194</v>
      </c>
      <c r="R3594">
        <v>5.529792E-2</v>
      </c>
      <c r="S3594">
        <v>3.0814509999999999</v>
      </c>
      <c r="T3594">
        <v>5.6307200000000002E-2</v>
      </c>
      <c r="U3594">
        <v>-1.0690919999999999</v>
      </c>
      <c r="V3594">
        <v>-7.8367350000000002E-2</v>
      </c>
      <c r="W3594">
        <v>0.12792419999999999</v>
      </c>
      <c r="X3594">
        <v>0.98868290000000003</v>
      </c>
      <c r="Y3594">
        <v>0.30513170000000001</v>
      </c>
      <c r="Z3594">
        <v>2.2858890000000001E-3</v>
      </c>
      <c r="AA3594">
        <v>0.95230740000000003</v>
      </c>
      <c r="AB3594">
        <v>29</v>
      </c>
      <c r="AC3594">
        <v>283.38619999999997</v>
      </c>
      <c r="AD3594">
        <v>5.1835100000000001</v>
      </c>
      <c r="AE3594">
        <v>-98.409099999999995</v>
      </c>
      <c r="AF3594">
        <v>91.601546586241497</v>
      </c>
      <c r="AG3594">
        <v>5.1835100000000001</v>
      </c>
      <c r="AH3594">
        <v>285.56528584778499</v>
      </c>
      <c r="AI3594">
        <v>89.009782013880894</v>
      </c>
      <c r="AJ3594">
        <v>72.215177543357399</v>
      </c>
      <c r="AK3594">
        <v>299.94206873034398</v>
      </c>
      <c r="AL3594">
        <v>82.6503435109517</v>
      </c>
      <c r="AM3594">
        <v>94.532039672012999</v>
      </c>
      <c r="AN3594">
        <v>0.99999995962203503</v>
      </c>
    </row>
    <row r="3595" spans="1:40" x14ac:dyDescent="0.3">
      <c r="A3595" t="str">
        <f>"20200111150022773"</f>
        <v>20200111150022773</v>
      </c>
      <c r="B3595" t="str">
        <f>"1578726022769881"</f>
        <v>1578726022769881</v>
      </c>
      <c r="C3595" t="s">
        <v>40</v>
      </c>
      <c r="D3595">
        <v>4.2360749999999996</v>
      </c>
      <c r="E3595">
        <v>0.65644429999999998</v>
      </c>
      <c r="F3595" t="s">
        <v>78</v>
      </c>
      <c r="G3595">
        <v>-361.84960000000001</v>
      </c>
      <c r="H3595">
        <v>2.8823590000000001</v>
      </c>
      <c r="I3595">
        <v>188.41540000000001</v>
      </c>
      <c r="J3595">
        <v>-447.01949999999999</v>
      </c>
      <c r="K3595">
        <v>1.1020760000000001</v>
      </c>
      <c r="L3595">
        <v>218.23939999999999</v>
      </c>
      <c r="M3595">
        <v>0.99965550000000003</v>
      </c>
      <c r="N3595">
        <v>0</v>
      </c>
      <c r="O3595">
        <v>-2.604043E-2</v>
      </c>
      <c r="P3595">
        <v>0.99081739999999996</v>
      </c>
      <c r="Q3595">
        <v>0.1238824</v>
      </c>
      <c r="R3595">
        <v>5.4167470000000002E-2</v>
      </c>
      <c r="S3595">
        <v>3.080139</v>
      </c>
      <c r="T3595">
        <v>6.4168210000000003E-2</v>
      </c>
      <c r="U3595">
        <v>-1.075256</v>
      </c>
      <c r="V3595">
        <v>-7.9425599999999999E-2</v>
      </c>
      <c r="W3595">
        <v>0.12747629999999999</v>
      </c>
      <c r="X3595">
        <v>0.98865630000000004</v>
      </c>
      <c r="Y3595">
        <v>0.30483670000000002</v>
      </c>
      <c r="Z3595">
        <v>2.557517E-3</v>
      </c>
      <c r="AA3595">
        <v>0.95240119999999895</v>
      </c>
      <c r="AB3595">
        <v>29</v>
      </c>
      <c r="AC3595">
        <v>85.169899999999899</v>
      </c>
      <c r="AD3595">
        <v>1.7802830000000001</v>
      </c>
      <c r="AE3595">
        <v>-29.823999999999899</v>
      </c>
      <c r="AF3595">
        <v>27.5852773189965</v>
      </c>
      <c r="AG3595">
        <v>1.7802830000000001</v>
      </c>
      <c r="AH3595">
        <v>85.884225564466405</v>
      </c>
      <c r="AI3595">
        <v>88.869366449291206</v>
      </c>
      <c r="AJ3595">
        <v>72.193426753705396</v>
      </c>
      <c r="AK3595">
        <v>90.223151868764802</v>
      </c>
      <c r="AL3595">
        <v>82.676218107637894</v>
      </c>
      <c r="AM3595">
        <v>94.593101959175101</v>
      </c>
      <c r="AN3595">
        <v>0.99999995626336902</v>
      </c>
    </row>
    <row r="3596" spans="1:40" x14ac:dyDescent="0.3">
      <c r="A3596" t="str">
        <f>"20200111150022788"</f>
        <v>20200111150022788</v>
      </c>
      <c r="B3596" t="str">
        <f>"1578726022779641"</f>
        <v>1578726022779641</v>
      </c>
      <c r="C3596" t="s">
        <v>40</v>
      </c>
      <c r="D3596">
        <v>4.3512180000000003</v>
      </c>
      <c r="E3596">
        <v>0.65657889999999997</v>
      </c>
      <c r="F3596" t="s">
        <v>53</v>
      </c>
      <c r="G3596">
        <v>-159.4494</v>
      </c>
      <c r="H3596">
        <v>7.647386</v>
      </c>
      <c r="I3596">
        <v>117.1165</v>
      </c>
      <c r="J3596">
        <v>-446.8304</v>
      </c>
      <c r="K3596">
        <v>1.1020620000000001</v>
      </c>
      <c r="L3596">
        <v>218.23310000000001</v>
      </c>
      <c r="M3596">
        <v>0.99961690000000003</v>
      </c>
      <c r="N3596">
        <v>0</v>
      </c>
      <c r="O3596">
        <v>-2.7483270000000001E-2</v>
      </c>
      <c r="P3596">
        <v>0.99094199999999999</v>
      </c>
      <c r="Q3596">
        <v>0.1235662</v>
      </c>
      <c r="R3596">
        <v>5.2590779999999997E-2</v>
      </c>
      <c r="S3596">
        <v>3.078217</v>
      </c>
      <c r="T3596">
        <v>7.0062639999999995E-2</v>
      </c>
      <c r="U3596">
        <v>-1.082443</v>
      </c>
      <c r="V3596">
        <v>-7.9279000000000002E-2</v>
      </c>
      <c r="W3596">
        <v>0.12715280000000001</v>
      </c>
      <c r="X3596">
        <v>0.98870970000000002</v>
      </c>
      <c r="Y3596">
        <v>0.30561719999999998</v>
      </c>
      <c r="Z3596">
        <v>2.7698219999999999E-3</v>
      </c>
      <c r="AA3596">
        <v>0.95215039999999995</v>
      </c>
      <c r="AB3596">
        <v>29</v>
      </c>
      <c r="AC3596">
        <v>287.38099999999997</v>
      </c>
      <c r="AD3596">
        <v>6.5453239999999999</v>
      </c>
      <c r="AE3596">
        <v>-101.11660000000001</v>
      </c>
      <c r="AF3596">
        <v>93.137201018103596</v>
      </c>
      <c r="AG3596">
        <v>6.5453239999999999</v>
      </c>
      <c r="AH3596">
        <v>289.91765123796</v>
      </c>
      <c r="AI3596">
        <v>88.7686420582544</v>
      </c>
      <c r="AJ3596">
        <v>72.190177866542996</v>
      </c>
      <c r="AK3596">
        <v>304.58106306710403</v>
      </c>
      <c r="AL3596">
        <v>82.694905189196106</v>
      </c>
      <c r="AM3596">
        <v>94.5844138430014</v>
      </c>
      <c r="AN3596">
        <v>0.99999993263146203</v>
      </c>
    </row>
    <row r="3597" spans="1:40" x14ac:dyDescent="0.3">
      <c r="A3597" t="str">
        <f>"20200111150022885"</f>
        <v>20200111150022885</v>
      </c>
      <c r="B3597" t="str">
        <f>"1578726022879700"</f>
        <v>1578726022879700</v>
      </c>
      <c r="C3597" t="s">
        <v>40</v>
      </c>
      <c r="D3597">
        <v>4.4666589999999999</v>
      </c>
      <c r="E3597">
        <v>0.47154810000000003</v>
      </c>
      <c r="F3597" t="s">
        <v>53</v>
      </c>
      <c r="G3597">
        <v>-158.44059999999999</v>
      </c>
      <c r="H3597">
        <v>8.0080399999999994</v>
      </c>
      <c r="I3597">
        <v>116.1909</v>
      </c>
      <c r="J3597">
        <v>-445.55439999999999</v>
      </c>
      <c r="K3597">
        <v>1.101979</v>
      </c>
      <c r="L3597">
        <v>218.184</v>
      </c>
      <c r="M3597">
        <v>0.99930909999999995</v>
      </c>
      <c r="N3597">
        <v>0</v>
      </c>
      <c r="O3597">
        <v>-3.7024290000000001E-2</v>
      </c>
      <c r="P3597">
        <v>0.99121789999999999</v>
      </c>
      <c r="Q3597">
        <v>0.1222126</v>
      </c>
      <c r="R3597">
        <v>5.0510289999999999E-2</v>
      </c>
      <c r="S3597">
        <v>3.075958</v>
      </c>
      <c r="T3597">
        <v>7.3659059999999998E-2</v>
      </c>
      <c r="U3597">
        <v>-1.088379</v>
      </c>
      <c r="V3597">
        <v>-8.6641090000000004E-2</v>
      </c>
      <c r="W3597">
        <v>0.12581800000000001</v>
      </c>
      <c r="X3597">
        <v>0.98826270000000005</v>
      </c>
      <c r="Y3597">
        <v>0.29836960000000001</v>
      </c>
      <c r="Z3597">
        <v>2.607856E-3</v>
      </c>
      <c r="AA3597">
        <v>0.95444689999999999</v>
      </c>
      <c r="AB3597">
        <v>29</v>
      </c>
      <c r="AC3597">
        <v>287.11380000000003</v>
      </c>
      <c r="AD3597">
        <v>6.9060609999999896</v>
      </c>
      <c r="AE3597">
        <v>-101.9931</v>
      </c>
      <c r="AF3597">
        <v>91.246052396316003</v>
      </c>
      <c r="AG3597">
        <v>6.9060609999999896</v>
      </c>
      <c r="AH3597">
        <v>290.54392201290199</v>
      </c>
      <c r="AI3597">
        <v>88.700903867327796</v>
      </c>
      <c r="AJ3597">
        <v>72.564972059018999</v>
      </c>
      <c r="AK3597">
        <v>304.613371957119</v>
      </c>
      <c r="AL3597">
        <v>82.772003351431806</v>
      </c>
      <c r="AM3597">
        <v>95.010316430981007</v>
      </c>
      <c r="AN3597">
        <v>1.00000000590583</v>
      </c>
    </row>
    <row r="3598" spans="1:40" x14ac:dyDescent="0.3">
      <c r="A3598" t="str">
        <f>"20200111150022907"</f>
        <v>20200111150022907</v>
      </c>
      <c r="B3598" t="str">
        <f>"1578726022899220"</f>
        <v>1578726022899220</v>
      </c>
      <c r="C3598" t="s">
        <v>40</v>
      </c>
      <c r="D3598">
        <v>4.4539039999999996</v>
      </c>
      <c r="E3598">
        <v>0.46932410000000002</v>
      </c>
      <c r="F3598" t="s">
        <v>62</v>
      </c>
      <c r="G3598">
        <v>-395.66199999999998</v>
      </c>
      <c r="H3598">
        <v>8.0000210000000002E-2</v>
      </c>
      <c r="I3598">
        <v>224.43459999999999</v>
      </c>
      <c r="J3598">
        <v>-445.24959999999999</v>
      </c>
      <c r="K3598">
        <v>1.101961</v>
      </c>
      <c r="L3598">
        <v>218.1705</v>
      </c>
      <c r="M3598">
        <v>0.99922319999999998</v>
      </c>
      <c r="N3598">
        <v>0</v>
      </c>
      <c r="O3598">
        <v>-3.9270430000000002E-2</v>
      </c>
      <c r="P3598">
        <v>0.99111400000000005</v>
      </c>
      <c r="Q3598">
        <v>0.1226429</v>
      </c>
      <c r="R3598">
        <v>5.1497179999999997E-2</v>
      </c>
      <c r="S3598">
        <v>3.0149539999999999</v>
      </c>
      <c r="T3598">
        <v>-6.175721E-2</v>
      </c>
      <c r="U3598">
        <v>0.3777161</v>
      </c>
      <c r="V3598">
        <v>-8.9839890000000006E-2</v>
      </c>
      <c r="W3598">
        <v>0.1262674</v>
      </c>
      <c r="X3598">
        <v>0.98791969999999996</v>
      </c>
      <c r="Y3598">
        <v>-0.16313749999999999</v>
      </c>
      <c r="Z3598">
        <v>2.4656740000000002E-3</v>
      </c>
      <c r="AA3598">
        <v>0.98660029999999999</v>
      </c>
      <c r="AB3598">
        <v>30</v>
      </c>
      <c r="AC3598">
        <v>49.587600000000002</v>
      </c>
      <c r="AD3598">
        <v>-1.0219607900000001</v>
      </c>
      <c r="AE3598">
        <v>6.2640999999999796</v>
      </c>
      <c r="AF3598">
        <v>-8.2031753773802194</v>
      </c>
      <c r="AG3598">
        <v>-1.0219607900000001</v>
      </c>
      <c r="AH3598">
        <v>49.282749900449097</v>
      </c>
      <c r="AI3598">
        <v>91.171836231940304</v>
      </c>
      <c r="AJ3598">
        <v>99.450312962979297</v>
      </c>
      <c r="AK3598">
        <v>49.971251013743597</v>
      </c>
      <c r="AL3598">
        <v>82.746047567951194</v>
      </c>
      <c r="AM3598">
        <v>95.196097483322305</v>
      </c>
      <c r="AN3598">
        <v>0.99999999789303096</v>
      </c>
    </row>
    <row r="3599" spans="1:40" x14ac:dyDescent="0.3">
      <c r="A3599" t="str">
        <f>"20200111150022930"</f>
        <v>20200111150022930</v>
      </c>
      <c r="B3599" t="str">
        <f>"1578726022919715"</f>
        <v>1578726022919715</v>
      </c>
      <c r="C3599" t="s">
        <v>40</v>
      </c>
      <c r="D3599">
        <v>4.3589120000000001</v>
      </c>
      <c r="E3599">
        <v>0.46849940000000001</v>
      </c>
      <c r="F3599" t="s">
        <v>66</v>
      </c>
      <c r="G3599">
        <v>-404.17540000000002</v>
      </c>
      <c r="H3599">
        <v>7.9999529999999999E-2</v>
      </c>
      <c r="I3599">
        <v>223.59229999999999</v>
      </c>
      <c r="J3599">
        <v>-444.93819999999999</v>
      </c>
      <c r="K3599">
        <v>1.101936</v>
      </c>
      <c r="L3599">
        <v>218.15600000000001</v>
      </c>
      <c r="M3599">
        <v>0.99913070000000004</v>
      </c>
      <c r="N3599">
        <v>0</v>
      </c>
      <c r="O3599">
        <v>-4.1557599999999903E-2</v>
      </c>
      <c r="P3599">
        <v>0.99118329999999999</v>
      </c>
      <c r="Q3599">
        <v>0.1216637</v>
      </c>
      <c r="R3599">
        <v>5.2474720000000002E-2</v>
      </c>
      <c r="S3599">
        <v>3.0154719999999999</v>
      </c>
      <c r="T3599">
        <v>-7.5027469999999999E-2</v>
      </c>
      <c r="U3599">
        <v>0.39804079999999997</v>
      </c>
      <c r="V3599">
        <v>-9.3082360000000003E-2</v>
      </c>
      <c r="W3599">
        <v>0.12531129999999999</v>
      </c>
      <c r="X3599">
        <v>0.98774119999999999</v>
      </c>
      <c r="Y3599">
        <v>-0.1718867</v>
      </c>
      <c r="Z3599">
        <v>3.1586349999999999E-3</v>
      </c>
      <c r="AA3599">
        <v>0.98511170000000003</v>
      </c>
      <c r="AB3599">
        <v>30</v>
      </c>
      <c r="AC3599">
        <v>40.762799999999899</v>
      </c>
      <c r="AD3599">
        <v>-1.02193647</v>
      </c>
      <c r="AE3599">
        <v>5.4363000000000099</v>
      </c>
      <c r="AF3599">
        <v>-7.1212192569030996</v>
      </c>
      <c r="AG3599">
        <v>-1.02193647</v>
      </c>
      <c r="AH3599">
        <v>40.476668374746701</v>
      </c>
      <c r="AI3599">
        <v>91.424403091841299</v>
      </c>
      <c r="AJ3599">
        <v>99.978157336934402</v>
      </c>
      <c r="AK3599">
        <v>41.111030157037199</v>
      </c>
      <c r="AL3599">
        <v>82.801266418730904</v>
      </c>
      <c r="AM3599">
        <v>95.383517797187196</v>
      </c>
      <c r="AN3599">
        <v>0.99999996291414905</v>
      </c>
    </row>
    <row r="3600" spans="1:40" x14ac:dyDescent="0.3">
      <c r="A3600" t="str">
        <f>"20200111150022950"</f>
        <v>20200111150022950</v>
      </c>
      <c r="B3600" t="str">
        <f>"1578726022939238"</f>
        <v>1578726022939238</v>
      </c>
      <c r="C3600" t="s">
        <v>40</v>
      </c>
      <c r="D3600">
        <v>4.3820940000000004</v>
      </c>
      <c r="E3600">
        <v>0.46800730000000001</v>
      </c>
      <c r="F3600" t="s">
        <v>66</v>
      </c>
      <c r="G3600">
        <v>-405.21809999999999</v>
      </c>
      <c r="H3600">
        <v>7.9999719999999996E-2</v>
      </c>
      <c r="I3600">
        <v>223.5326</v>
      </c>
      <c r="J3600">
        <v>-444.65789999999998</v>
      </c>
      <c r="K3600">
        <v>1.1019129999999999</v>
      </c>
      <c r="L3600">
        <v>218.14240000000001</v>
      </c>
      <c r="M3600">
        <v>0.99904320000000002</v>
      </c>
      <c r="N3600">
        <v>0</v>
      </c>
      <c r="O3600">
        <v>-4.361197E-2</v>
      </c>
      <c r="P3600">
        <v>0.99134219999999895</v>
      </c>
      <c r="Q3600">
        <v>0.1200336</v>
      </c>
      <c r="R3600">
        <v>5.3222690000000003E-2</v>
      </c>
      <c r="S3600">
        <v>3.0146480000000002</v>
      </c>
      <c r="T3600">
        <v>-7.7562210000000006E-2</v>
      </c>
      <c r="U3600">
        <v>0.40806579999999998</v>
      </c>
      <c r="V3600">
        <v>-9.5871390000000001E-2</v>
      </c>
      <c r="W3600">
        <v>0.1237037</v>
      </c>
      <c r="X3600">
        <v>0.98767709999999997</v>
      </c>
      <c r="Y3600">
        <v>-0.17715629999999999</v>
      </c>
      <c r="Z3600">
        <v>3.3856170000000001E-3</v>
      </c>
      <c r="AA3600">
        <v>0.98417690000000002</v>
      </c>
      <c r="AB3600">
        <v>30</v>
      </c>
      <c r="AC3600">
        <v>39.439799999999899</v>
      </c>
      <c r="AD3600">
        <v>-1.0219132799999999</v>
      </c>
      <c r="AE3600">
        <v>5.3901999999999903</v>
      </c>
      <c r="AF3600">
        <v>-7.1004483896544803</v>
      </c>
      <c r="AG3600">
        <v>-1.0219132799999999</v>
      </c>
      <c r="AH3600">
        <v>39.141399594235203</v>
      </c>
      <c r="AI3600">
        <v>91.471546667621496</v>
      </c>
      <c r="AJ3600">
        <v>100.281932746244</v>
      </c>
      <c r="AK3600">
        <v>39.793339094395897</v>
      </c>
      <c r="AL3600">
        <v>82.894097680337097</v>
      </c>
      <c r="AM3600">
        <v>95.544191456723297</v>
      </c>
      <c r="AN3600">
        <v>0.99999999133931505</v>
      </c>
    </row>
    <row r="3601" spans="1:40" x14ac:dyDescent="0.3">
      <c r="A3601" t="str">
        <f>"20200111150023971"</f>
        <v>20200111150023971</v>
      </c>
      <c r="B3601" t="str">
        <f>"1578726023969498"</f>
        <v>1578726023969498</v>
      </c>
      <c r="C3601" t="s">
        <v>40</v>
      </c>
      <c r="D3601">
        <v>4.6300030000000003</v>
      </c>
      <c r="E3601">
        <v>0.46731349999999999</v>
      </c>
      <c r="F3601" t="s">
        <v>66</v>
      </c>
      <c r="G3601">
        <v>-408.78680000000003</v>
      </c>
      <c r="H3601">
        <v>7.9999890000000004E-2</v>
      </c>
      <c r="I3601">
        <v>223.06800000000001</v>
      </c>
      <c r="J3601">
        <v>-429.27510000000001</v>
      </c>
      <c r="K3601">
        <v>1.10446</v>
      </c>
      <c r="L3601">
        <v>217.16890000000001</v>
      </c>
      <c r="M3601">
        <v>0.99862189999999995</v>
      </c>
      <c r="N3601">
        <v>0</v>
      </c>
      <c r="O3601">
        <v>-5.2215860000000003E-2</v>
      </c>
      <c r="P3601">
        <v>0.99430050000000003</v>
      </c>
      <c r="Q3601">
        <v>0.10488690000000001</v>
      </c>
      <c r="R3601">
        <v>-1.911622E-2</v>
      </c>
      <c r="S3601">
        <v>3.0143430000000002</v>
      </c>
      <c r="T3601">
        <v>-8.5874199999999998E-2</v>
      </c>
      <c r="U3601">
        <v>0.4139099</v>
      </c>
      <c r="V3601">
        <v>-3.3038690000000003E-2</v>
      </c>
      <c r="W3601">
        <v>0.1100787</v>
      </c>
      <c r="X3601">
        <v>0.99337359999999997</v>
      </c>
      <c r="Y3601">
        <v>-0.18748690000000001</v>
      </c>
      <c r="Z3601">
        <v>4.1387589999999997E-3</v>
      </c>
      <c r="AA3601">
        <v>0.98225839999999998</v>
      </c>
      <c r="AB3601">
        <v>37</v>
      </c>
      <c r="AC3601">
        <v>20.488299999999899</v>
      </c>
      <c r="AD3601">
        <v>-1.0244601099999999</v>
      </c>
      <c r="AE3601">
        <v>5.8990999999999696</v>
      </c>
      <c r="AF3601">
        <v>-6.9448470475385502</v>
      </c>
      <c r="AG3601">
        <v>-1.0244601099999999</v>
      </c>
      <c r="AH3601">
        <v>20.1058978231979</v>
      </c>
      <c r="AI3601">
        <v>92.757296655557894</v>
      </c>
      <c r="AJ3601">
        <v>109.055599689152</v>
      </c>
      <c r="AK3601">
        <v>21.2961861916062</v>
      </c>
      <c r="AL3601">
        <v>83.680147652820807</v>
      </c>
      <c r="AM3601">
        <v>91.904902624661304</v>
      </c>
      <c r="AN3601">
        <v>0.99999999220378299</v>
      </c>
    </row>
    <row r="3602" spans="1:40" x14ac:dyDescent="0.3">
      <c r="A3602" t="str">
        <f>"20200111150023994"</f>
        <v>20200111150023994</v>
      </c>
      <c r="B3602" t="str">
        <f>"1578726023989527"</f>
        <v>1578726023989527</v>
      </c>
      <c r="C3602" t="s">
        <v>40</v>
      </c>
      <c r="D3602">
        <v>4.6519849999999998</v>
      </c>
      <c r="E3602">
        <v>0.49922870000000003</v>
      </c>
      <c r="F3602" t="s">
        <v>66</v>
      </c>
      <c r="G3602">
        <v>-403.80669999999998</v>
      </c>
      <c r="H3602" s="1">
        <v>5.8313140000000004E-6</v>
      </c>
      <c r="I3602">
        <v>218.8887</v>
      </c>
      <c r="J3602">
        <v>-428.91469999999998</v>
      </c>
      <c r="K3602">
        <v>1.1044400000000001</v>
      </c>
      <c r="L3602">
        <v>217.1508</v>
      </c>
      <c r="M3602">
        <v>0.99866149999999998</v>
      </c>
      <c r="N3602">
        <v>0</v>
      </c>
      <c r="O3602">
        <v>-5.144862E-2</v>
      </c>
      <c r="P3602">
        <v>0.99441239999999997</v>
      </c>
      <c r="Q3602">
        <v>0.1045373</v>
      </c>
      <c r="R3602">
        <v>-1.4703870000000001E-2</v>
      </c>
      <c r="S3602">
        <v>3.0350039999999998</v>
      </c>
      <c r="T3602">
        <v>-0.1316148</v>
      </c>
      <c r="U3602">
        <v>0.20494080000000001</v>
      </c>
      <c r="V3602">
        <v>-3.6682840000000001E-2</v>
      </c>
      <c r="W3602">
        <v>0.10975310000000001</v>
      </c>
      <c r="X3602">
        <v>0.99328170000000005</v>
      </c>
      <c r="Y3602">
        <v>-0.1184564</v>
      </c>
      <c r="Z3602">
        <v>4.7921270000000002E-3</v>
      </c>
      <c r="AA3602">
        <v>0.99294769999999999</v>
      </c>
      <c r="AB3602">
        <v>37</v>
      </c>
      <c r="AC3602">
        <v>25.108000000000001</v>
      </c>
      <c r="AD3602">
        <v>-1.104434168686</v>
      </c>
      <c r="AE3602">
        <v>1.73789999999999</v>
      </c>
      <c r="AF3602">
        <v>-3.0215700131474001</v>
      </c>
      <c r="AG3602">
        <v>-1.104434168686</v>
      </c>
      <c r="AH3602">
        <v>24.937312484846402</v>
      </c>
      <c r="AI3602">
        <v>92.5174935792855</v>
      </c>
      <c r="AJ3602">
        <v>96.908658160391397</v>
      </c>
      <c r="AK3602">
        <v>25.143969737179301</v>
      </c>
      <c r="AL3602">
        <v>83.698916645979395</v>
      </c>
      <c r="AM3602">
        <v>92.115026544290899</v>
      </c>
      <c r="AN3602">
        <v>0.99999995463248104</v>
      </c>
    </row>
    <row r="3603" spans="1:40" x14ac:dyDescent="0.3">
      <c r="A3603" t="str">
        <f>"20200111150024015"</f>
        <v>20200111150024015</v>
      </c>
      <c r="B3603" t="str">
        <f>"1578726024009046"</f>
        <v>1578726024009046</v>
      </c>
      <c r="C3603" t="s">
        <v>40</v>
      </c>
      <c r="D3603">
        <v>4.5821620000000003</v>
      </c>
      <c r="E3603">
        <v>0.49998419999999999</v>
      </c>
      <c r="F3603" t="s">
        <v>62</v>
      </c>
      <c r="G3603">
        <v>-344.94979999999998</v>
      </c>
      <c r="H3603" s="1">
        <v>1.097244E-6</v>
      </c>
      <c r="I3603">
        <v>216.13059999999999</v>
      </c>
      <c r="J3603">
        <v>-428.54969999999997</v>
      </c>
      <c r="K3603">
        <v>1.1044179999999999</v>
      </c>
      <c r="L3603">
        <v>217.1326</v>
      </c>
      <c r="M3603">
        <v>0.99869969999999997</v>
      </c>
      <c r="N3603">
        <v>0</v>
      </c>
      <c r="O3603">
        <v>-5.0701660000000003E-2</v>
      </c>
      <c r="P3603">
        <v>0.99450470000000002</v>
      </c>
      <c r="Q3603">
        <v>0.1041</v>
      </c>
      <c r="R3603">
        <v>-1.113666E-2</v>
      </c>
      <c r="S3603">
        <v>3.0204469999999999</v>
      </c>
      <c r="T3603">
        <v>-3.9729710000000001E-2</v>
      </c>
      <c r="U3603">
        <v>-3.6697390000000003E-2</v>
      </c>
      <c r="V3603">
        <v>-3.9501210000000002E-2</v>
      </c>
      <c r="W3603">
        <v>0.1093389</v>
      </c>
      <c r="X3603">
        <v>0.99321930000000003</v>
      </c>
      <c r="Y3603">
        <v>-3.855778E-2</v>
      </c>
      <c r="Z3603">
        <v>9.2016519999999998E-4</v>
      </c>
      <c r="AA3603">
        <v>0.99925600000000003</v>
      </c>
      <c r="AB3603">
        <v>37</v>
      </c>
      <c r="AC3603">
        <v>83.599899999999906</v>
      </c>
      <c r="AD3603">
        <v>-1.104416902756</v>
      </c>
      <c r="AE3603">
        <v>-1.002</v>
      </c>
      <c r="AF3603">
        <v>-3.2374374163745001</v>
      </c>
      <c r="AG3603">
        <v>-1.104416902756</v>
      </c>
      <c r="AH3603">
        <v>83.528602574050794</v>
      </c>
      <c r="AI3603">
        <v>90.756953560246899</v>
      </c>
      <c r="AJ3603">
        <v>92.219583418796901</v>
      </c>
      <c r="AK3603">
        <v>83.598613539303102</v>
      </c>
      <c r="AL3603">
        <v>83.722792278233996</v>
      </c>
      <c r="AM3603">
        <v>92.277503538325703</v>
      </c>
      <c r="AN3603">
        <v>0.99999995926858098</v>
      </c>
    </row>
    <row r="3604" spans="1:40" x14ac:dyDescent="0.3">
      <c r="A3604" t="str">
        <f>"20200111150024451"</f>
        <v>20200111150024451</v>
      </c>
      <c r="B3604" t="str">
        <f>"1578726024449490"</f>
        <v>1578726024449490</v>
      </c>
      <c r="C3604" t="s">
        <v>40</v>
      </c>
      <c r="D3604">
        <v>4.5632419999999998</v>
      </c>
      <c r="E3604">
        <v>0.50047980000000003</v>
      </c>
      <c r="F3604" t="s">
        <v>62</v>
      </c>
      <c r="G3604">
        <v>-375.81700000000001</v>
      </c>
      <c r="H3604" s="1">
        <v>1.5587509999999999E-6</v>
      </c>
      <c r="I3604">
        <v>216.5701</v>
      </c>
      <c r="J3604">
        <v>-421.0985</v>
      </c>
      <c r="K3604">
        <v>1.104779</v>
      </c>
      <c r="L3604">
        <v>216.8202</v>
      </c>
      <c r="M3604">
        <v>0.9993938</v>
      </c>
      <c r="N3604">
        <v>0</v>
      </c>
      <c r="O3604">
        <v>-3.4342669999999999E-2</v>
      </c>
      <c r="P3604">
        <v>0.99400259999999996</v>
      </c>
      <c r="Q3604">
        <v>0.10659730000000001</v>
      </c>
      <c r="R3604">
        <v>2.4413210000000001E-2</v>
      </c>
      <c r="S3604">
        <v>3.0228269999999999</v>
      </c>
      <c r="T3604">
        <v>-6.3309190000000001E-2</v>
      </c>
      <c r="U3604">
        <v>-3.2241819999999997E-2</v>
      </c>
      <c r="V3604">
        <v>-5.8841650000000002E-2</v>
      </c>
      <c r="W3604">
        <v>0.1121231</v>
      </c>
      <c r="X3604">
        <v>0.99195060000000002</v>
      </c>
      <c r="Y3604">
        <v>-2.3669349999999999E-2</v>
      </c>
      <c r="Z3604">
        <v>9.6686389999999997E-4</v>
      </c>
      <c r="AA3604">
        <v>0.99971940000000004</v>
      </c>
      <c r="AB3604">
        <v>39</v>
      </c>
      <c r="AC3604">
        <v>45.281500000000001</v>
      </c>
      <c r="AD3604">
        <v>-1.1047774412489999</v>
      </c>
      <c r="AE3604">
        <v>-0.25010000000000299</v>
      </c>
      <c r="AF3604">
        <v>-1.30438407907038</v>
      </c>
      <c r="AG3604">
        <v>-1.1047774412489999</v>
      </c>
      <c r="AH3604">
        <v>45.236450853930698</v>
      </c>
      <c r="AI3604">
        <v>91.398434676295693</v>
      </c>
      <c r="AJ3604">
        <v>91.651654774336194</v>
      </c>
      <c r="AK3604">
        <v>45.268735755270598</v>
      </c>
      <c r="AL3604">
        <v>83.562282249689702</v>
      </c>
      <c r="AM3604">
        <v>93.394757940418799</v>
      </c>
      <c r="AN3604">
        <v>0.99999996108434497</v>
      </c>
    </row>
    <row r="3605" spans="1:40" x14ac:dyDescent="0.3">
      <c r="A3605" t="str">
        <f>"20200111150024473"</f>
        <v>20200111150024473</v>
      </c>
      <c r="B3605" t="str">
        <f>"1578726024469988"</f>
        <v>1578726024469988</v>
      </c>
      <c r="C3605" t="s">
        <v>40</v>
      </c>
      <c r="D3605">
        <v>4.3577079999999997</v>
      </c>
      <c r="E3605">
        <v>0.55797529999999995</v>
      </c>
      <c r="F3605" t="s">
        <v>62</v>
      </c>
      <c r="G3605">
        <v>-363.56689999999998</v>
      </c>
      <c r="H3605" s="1">
        <v>3.6135759999999998E-7</v>
      </c>
      <c r="I3605">
        <v>218.19659999999999</v>
      </c>
      <c r="J3605">
        <v>-420.72160000000002</v>
      </c>
      <c r="K3605">
        <v>1.1048370000000001</v>
      </c>
      <c r="L3605">
        <v>216.8082</v>
      </c>
      <c r="M3605">
        <v>0.9994345</v>
      </c>
      <c r="N3605">
        <v>0</v>
      </c>
      <c r="O3605">
        <v>-3.3131319999999999E-2</v>
      </c>
      <c r="P3605">
        <v>0.99403059999999999</v>
      </c>
      <c r="Q3605">
        <v>0.1061845</v>
      </c>
      <c r="R3605">
        <v>2.505779E-2</v>
      </c>
      <c r="S3605">
        <v>3.0225520000000001</v>
      </c>
      <c r="T3605">
        <v>-5.8042049999999998E-2</v>
      </c>
      <c r="U3605">
        <v>7.2311399999999998E-2</v>
      </c>
      <c r="V3605">
        <v>-5.8299869999999997E-2</v>
      </c>
      <c r="W3605">
        <v>0.11172410000000001</v>
      </c>
      <c r="X3605">
        <v>0.99202760000000001</v>
      </c>
      <c r="Y3605">
        <v>-5.700976E-2</v>
      </c>
      <c r="Z3605">
        <v>1.183307E-3</v>
      </c>
      <c r="AA3605">
        <v>0.99837290000000001</v>
      </c>
      <c r="AB3605">
        <v>39</v>
      </c>
      <c r="AC3605">
        <v>57.154699999999998</v>
      </c>
      <c r="AD3605">
        <v>-1.1048366386424</v>
      </c>
      <c r="AE3605">
        <v>1.3883999999999801</v>
      </c>
      <c r="AF3605">
        <v>-3.2800547032448999</v>
      </c>
      <c r="AG3605">
        <v>-1.1048366386424</v>
      </c>
      <c r="AH3605">
        <v>57.056013414004397</v>
      </c>
      <c r="AI3605">
        <v>91.107512697152501</v>
      </c>
      <c r="AJ3605">
        <v>93.290217022701896</v>
      </c>
      <c r="AK3605">
        <v>57.160896507607497</v>
      </c>
      <c r="AL3605">
        <v>83.585287771060905</v>
      </c>
      <c r="AM3605">
        <v>93.363312585920994</v>
      </c>
      <c r="AN3605">
        <v>0.99999995426229205</v>
      </c>
    </row>
    <row r="3606" spans="1:40" x14ac:dyDescent="0.3">
      <c r="A3606" t="str">
        <f>"20200111150024495"</f>
        <v>20200111150024495</v>
      </c>
      <c r="B3606" t="str">
        <f>"1578726024489507"</f>
        <v>1578726024489507</v>
      </c>
      <c r="C3606" t="s">
        <v>40</v>
      </c>
      <c r="D3606">
        <v>4.2466879999999998</v>
      </c>
      <c r="E3606">
        <v>0.56153580000000003</v>
      </c>
      <c r="F3606" t="s">
        <v>76</v>
      </c>
      <c r="G3606">
        <v>-169.40430000000001</v>
      </c>
      <c r="H3606">
        <v>11.753500000000001</v>
      </c>
      <c r="I3606">
        <v>184.6534</v>
      </c>
      <c r="J3606">
        <v>-420.32670000000002</v>
      </c>
      <c r="K3606">
        <v>1.104908</v>
      </c>
      <c r="L3606">
        <v>216.7961</v>
      </c>
      <c r="M3606">
        <v>0.99947790000000003</v>
      </c>
      <c r="N3606">
        <v>0</v>
      </c>
      <c r="O3606">
        <v>-3.1793229999999999E-2</v>
      </c>
      <c r="P3606">
        <v>0.9940485</v>
      </c>
      <c r="Q3606">
        <v>0.10568660000000001</v>
      </c>
      <c r="R3606">
        <v>2.6432480000000001E-2</v>
      </c>
      <c r="S3606">
        <v>3.0140690000000001</v>
      </c>
      <c r="T3606">
        <v>0.12771070000000001</v>
      </c>
      <c r="U3606">
        <v>-0.38563540000000002</v>
      </c>
      <c r="V3606">
        <v>-5.8363150000000003E-2</v>
      </c>
      <c r="W3606">
        <v>0.1112379</v>
      </c>
      <c r="X3606">
        <v>0.99207849999999997</v>
      </c>
      <c r="Y3606">
        <v>9.5253760000000007E-2</v>
      </c>
      <c r="Z3606">
        <v>6.6870179999999903E-4</v>
      </c>
      <c r="AA3606">
        <v>0.99545280000000003</v>
      </c>
      <c r="AB3606">
        <v>39</v>
      </c>
      <c r="AC3606">
        <v>250.92240000000001</v>
      </c>
      <c r="AD3606">
        <v>10.648591999999899</v>
      </c>
      <c r="AE3606">
        <v>-32.142699999999898</v>
      </c>
      <c r="AF3606">
        <v>24.105971453166401</v>
      </c>
      <c r="AG3606">
        <v>10.648591999999899</v>
      </c>
      <c r="AH3606">
        <v>251.37207967222599</v>
      </c>
      <c r="AI3606">
        <v>87.585358123371094</v>
      </c>
      <c r="AJ3606">
        <v>84.522224860474196</v>
      </c>
      <c r="AK3606">
        <v>252.749703877222</v>
      </c>
      <c r="AL3606">
        <v>83.613319617526699</v>
      </c>
      <c r="AM3606">
        <v>93.3667824585809</v>
      </c>
      <c r="AN3606">
        <v>0.99999993891828898</v>
      </c>
    </row>
    <row r="3607" spans="1:40" x14ac:dyDescent="0.3">
      <c r="A3607" t="str">
        <f>"20200111150024518"</f>
        <v>20200111150024518</v>
      </c>
      <c r="B3607" t="str">
        <f>"1578726024509534"</f>
        <v>1578726024509534</v>
      </c>
      <c r="C3607" t="s">
        <v>40</v>
      </c>
      <c r="D3607">
        <v>4.3113839999999897</v>
      </c>
      <c r="E3607">
        <v>0.5624323</v>
      </c>
      <c r="F3607" t="s">
        <v>78</v>
      </c>
      <c r="G3607">
        <v>-237.41030000000001</v>
      </c>
      <c r="H3607">
        <v>6.4317549999999999</v>
      </c>
      <c r="I3607">
        <v>191.96510000000001</v>
      </c>
      <c r="J3607">
        <v>-419.91980000000001</v>
      </c>
      <c r="K3607">
        <v>1.104986</v>
      </c>
      <c r="L3607">
        <v>216.7843</v>
      </c>
      <c r="M3607">
        <v>0.99952260000000004</v>
      </c>
      <c r="N3607">
        <v>0</v>
      </c>
      <c r="O3607">
        <v>-3.0348710000000001E-2</v>
      </c>
      <c r="P3607">
        <v>0.99401280000000003</v>
      </c>
      <c r="Q3607">
        <v>0.105601399999999</v>
      </c>
      <c r="R3607">
        <v>2.805156E-2</v>
      </c>
      <c r="S3607">
        <v>3.019501</v>
      </c>
      <c r="T3607">
        <v>8.7934609999999996E-2</v>
      </c>
      <c r="U3607">
        <v>-0.40989690000000001</v>
      </c>
      <c r="V3607">
        <v>-5.8565140000000002E-2</v>
      </c>
      <c r="W3607">
        <v>0.111164899999999</v>
      </c>
      <c r="X3607">
        <v>0.99207480000000003</v>
      </c>
      <c r="Y3607">
        <v>0.10435</v>
      </c>
      <c r="Z3607">
        <v>6.3313349999999998E-4</v>
      </c>
      <c r="AA3607">
        <v>0.99454050000000005</v>
      </c>
      <c r="AB3607">
        <v>40</v>
      </c>
      <c r="AC3607">
        <v>182.5095</v>
      </c>
      <c r="AD3607">
        <v>5.3267689999999996</v>
      </c>
      <c r="AE3607">
        <v>-24.819199999999899</v>
      </c>
      <c r="AF3607">
        <v>19.252644102845899</v>
      </c>
      <c r="AG3607">
        <v>5.3267689999999996</v>
      </c>
      <c r="AH3607">
        <v>183.02559425770301</v>
      </c>
      <c r="AI3607">
        <v>88.342078875206596</v>
      </c>
      <c r="AJ3607">
        <v>83.995083474372095</v>
      </c>
      <c r="AK3607">
        <v>184.11248443903901</v>
      </c>
      <c r="AL3607">
        <v>83.617528445697602</v>
      </c>
      <c r="AM3607">
        <v>93.378420240029499</v>
      </c>
      <c r="AN3607">
        <v>0.999999959705134</v>
      </c>
    </row>
    <row r="3608" spans="1:40" x14ac:dyDescent="0.3">
      <c r="A3608" t="str">
        <f>"20200111150024542"</f>
        <v>20200111150024542</v>
      </c>
      <c r="B3608" t="str">
        <f>"1578726024539323"</f>
        <v>1578726024539323</v>
      </c>
      <c r="C3608" t="s">
        <v>40</v>
      </c>
      <c r="D3608">
        <v>4.4630830000000001</v>
      </c>
      <c r="E3608">
        <v>0.56285419999999997</v>
      </c>
      <c r="F3608" t="s">
        <v>78</v>
      </c>
      <c r="G3608">
        <v>-238.0531</v>
      </c>
      <c r="H3608">
        <v>6.7998900000000004</v>
      </c>
      <c r="I3608">
        <v>191.9442</v>
      </c>
      <c r="J3608">
        <v>-419.50909999999999</v>
      </c>
      <c r="K3608">
        <v>1.1050519999999999</v>
      </c>
      <c r="L3608">
        <v>216.77289999999999</v>
      </c>
      <c r="M3608">
        <v>0.99956739999999999</v>
      </c>
      <c r="N3608">
        <v>0</v>
      </c>
      <c r="O3608">
        <v>-2.883554E-2</v>
      </c>
      <c r="P3608">
        <v>0.99394090000000002</v>
      </c>
      <c r="Q3608">
        <v>0.1055053</v>
      </c>
      <c r="R3608">
        <v>3.0829169999999999E-2</v>
      </c>
      <c r="S3608">
        <v>3.0196230000000002</v>
      </c>
      <c r="T3608">
        <v>9.4556810000000005E-2</v>
      </c>
      <c r="U3608">
        <v>-0.41242980000000001</v>
      </c>
      <c r="V3608">
        <v>-5.9855230000000002E-2</v>
      </c>
      <c r="W3608">
        <v>0.1110782</v>
      </c>
      <c r="X3608">
        <v>0.99200759999999999</v>
      </c>
      <c r="Y3608">
        <v>0.1066624</v>
      </c>
      <c r="Z3608">
        <v>7.6384819999999998E-4</v>
      </c>
      <c r="AA3608">
        <v>0.99429500000000004</v>
      </c>
      <c r="AB3608">
        <v>40</v>
      </c>
      <c r="AC3608">
        <v>181.45599999999999</v>
      </c>
      <c r="AD3608">
        <v>5.6948379999999901</v>
      </c>
      <c r="AE3608">
        <v>-24.828700000000001</v>
      </c>
      <c r="AF3608">
        <v>19.566987102926198</v>
      </c>
      <c r="AG3608">
        <v>5.6948379999999901</v>
      </c>
      <c r="AH3608">
        <v>181.92061148738</v>
      </c>
      <c r="AI3608">
        <v>88.217275507302801</v>
      </c>
      <c r="AJ3608">
        <v>83.860990838304801</v>
      </c>
      <c r="AK3608">
        <v>183.058479858417</v>
      </c>
      <c r="AL3608">
        <v>83.622527504117798</v>
      </c>
      <c r="AM3608">
        <v>93.452896290026302</v>
      </c>
      <c r="AN3608">
        <v>1.00000004676567</v>
      </c>
    </row>
    <row r="3609" spans="1:40" x14ac:dyDescent="0.3">
      <c r="A3609" t="str">
        <f>"20200111150024630"</f>
        <v>20200111150024630</v>
      </c>
      <c r="B3609" t="str">
        <f>"1578726024619811"</f>
        <v>1578726024619811</v>
      </c>
      <c r="C3609" t="s">
        <v>40</v>
      </c>
      <c r="D3609">
        <v>4.3557350000000001</v>
      </c>
      <c r="E3609">
        <v>0.53180240000000001</v>
      </c>
      <c r="F3609" t="s">
        <v>78</v>
      </c>
      <c r="G3609">
        <v>-236.95660000000001</v>
      </c>
      <c r="H3609">
        <v>6.9544249999999996</v>
      </c>
      <c r="I3609">
        <v>192.14410000000001</v>
      </c>
      <c r="J3609">
        <v>-417.91849999999999</v>
      </c>
      <c r="K3609">
        <v>1.105216</v>
      </c>
      <c r="L3609">
        <v>216.7353</v>
      </c>
      <c r="M3609">
        <v>0.99972499999999997</v>
      </c>
      <c r="N3609">
        <v>0</v>
      </c>
      <c r="O3609">
        <v>-2.2694869999999999E-2</v>
      </c>
      <c r="P3609">
        <v>0.9935986</v>
      </c>
      <c r="Q3609">
        <v>0.1063056</v>
      </c>
      <c r="R3609">
        <v>3.8227709999999998E-2</v>
      </c>
      <c r="S3609">
        <v>3.0206909999999998</v>
      </c>
      <c r="T3609">
        <v>9.6790909999999994E-2</v>
      </c>
      <c r="U3609">
        <v>-0.4075317</v>
      </c>
      <c r="V3609">
        <v>-6.1193570000000003E-2</v>
      </c>
      <c r="W3609">
        <v>0.1119392</v>
      </c>
      <c r="X3609">
        <v>0.99182910000000002</v>
      </c>
      <c r="Y3609">
        <v>0.1111316</v>
      </c>
      <c r="Z3609">
        <v>1.048567E-3</v>
      </c>
      <c r="AA3609">
        <v>0.99380520000000006</v>
      </c>
      <c r="AB3609">
        <v>40</v>
      </c>
      <c r="AC3609">
        <v>180.96190000000001</v>
      </c>
      <c r="AD3609">
        <v>5.8492089999999903</v>
      </c>
      <c r="AE3609">
        <v>-24.591199999999901</v>
      </c>
      <c r="AF3609">
        <v>20.456902432118401</v>
      </c>
      <c r="AG3609">
        <v>5.8492089999999903</v>
      </c>
      <c r="AH3609">
        <v>181.28742418228899</v>
      </c>
      <c r="AI3609">
        <v>88.163648623002601</v>
      </c>
      <c r="AJ3609">
        <v>83.561842868963097</v>
      </c>
      <c r="AK3609">
        <v>182.531718530484</v>
      </c>
      <c r="AL3609">
        <v>83.572885950658701</v>
      </c>
      <c r="AM3609">
        <v>93.530542313655005</v>
      </c>
      <c r="AN3609">
        <v>1.00000000055639</v>
      </c>
    </row>
    <row r="3610" spans="1:40" x14ac:dyDescent="0.3">
      <c r="A3610" t="str">
        <f>"20200111150024652"</f>
        <v>20200111150024652</v>
      </c>
      <c r="B3610" t="str">
        <f>"1578726024649600"</f>
        <v>1578726024649600</v>
      </c>
      <c r="C3610" t="s">
        <v>40</v>
      </c>
      <c r="D3610">
        <v>4.3688390000000004</v>
      </c>
      <c r="E3610">
        <v>0.5290918</v>
      </c>
      <c r="F3610" t="s">
        <v>62</v>
      </c>
      <c r="G3610">
        <v>-366.16770000000002</v>
      </c>
      <c r="H3610" s="1">
        <v>1.745338E-6</v>
      </c>
      <c r="I3610">
        <v>214.42949999999999</v>
      </c>
      <c r="J3610">
        <v>-417.52010000000001</v>
      </c>
      <c r="K3610">
        <v>1.105237</v>
      </c>
      <c r="L3610">
        <v>216.72739999999999</v>
      </c>
      <c r="M3610">
        <v>0.99975910000000001</v>
      </c>
      <c r="N3610">
        <v>0</v>
      </c>
      <c r="O3610">
        <v>-2.113141E-2</v>
      </c>
      <c r="P3610">
        <v>0.99361100000000002</v>
      </c>
      <c r="Q3610">
        <v>0.10586470000000001</v>
      </c>
      <c r="R3610">
        <v>3.911369E-2</v>
      </c>
      <c r="S3610">
        <v>3.0314640000000002</v>
      </c>
      <c r="T3610">
        <v>-6.474125E-2</v>
      </c>
      <c r="U3610">
        <v>-0.13507079999999999</v>
      </c>
      <c r="V3610">
        <v>-6.0533360000000001E-2</v>
      </c>
      <c r="W3610">
        <v>0.1115208</v>
      </c>
      <c r="X3610">
        <v>0.99191669999999998</v>
      </c>
      <c r="Y3610">
        <v>2.3390859999999999E-2</v>
      </c>
      <c r="Z3610">
        <v>2.013257E-4</v>
      </c>
      <c r="AA3610">
        <v>0.99972640000000002</v>
      </c>
      <c r="AB3610">
        <v>40</v>
      </c>
      <c r="AC3610">
        <v>51.352399999999903</v>
      </c>
      <c r="AD3610">
        <v>-1.1052352546619999</v>
      </c>
      <c r="AE3610">
        <v>-2.2978999999999901</v>
      </c>
      <c r="AF3610">
        <v>1.2116590116300201</v>
      </c>
      <c r="AG3610">
        <v>-1.1052352546619999</v>
      </c>
      <c r="AH3610">
        <v>51.3657455486834</v>
      </c>
      <c r="AI3610">
        <v>91.232298724202494</v>
      </c>
      <c r="AJ3610">
        <v>88.648708887562293</v>
      </c>
      <c r="AK3610">
        <v>51.391920360117901</v>
      </c>
      <c r="AL3610">
        <v>83.597009279631294</v>
      </c>
      <c r="AM3610">
        <v>93.492238841361697</v>
      </c>
      <c r="AN3610">
        <v>0.99999995812220799</v>
      </c>
    </row>
    <row r="3611" spans="1:40" x14ac:dyDescent="0.3">
      <c r="A3611" t="str">
        <f>"20200111150024674"</f>
        <v>20200111150024674</v>
      </c>
      <c r="B3611" t="str">
        <f>"1578726024669124"</f>
        <v>1578726024669124</v>
      </c>
      <c r="C3611" t="s">
        <v>40</v>
      </c>
      <c r="D3611">
        <v>4.3178409999999996</v>
      </c>
      <c r="E3611">
        <v>0.52772450000000004</v>
      </c>
      <c r="F3611" t="s">
        <v>62</v>
      </c>
      <c r="G3611">
        <v>-342.64060000000001</v>
      </c>
      <c r="H3611" s="1">
        <v>-1.3158210000000001E-7</v>
      </c>
      <c r="I3611">
        <v>213.98</v>
      </c>
      <c r="J3611">
        <v>-417.1216</v>
      </c>
      <c r="K3611">
        <v>1.1052630000000001</v>
      </c>
      <c r="L3611">
        <v>216.7201</v>
      </c>
      <c r="M3611">
        <v>0.99979079999999998</v>
      </c>
      <c r="N3611">
        <v>0</v>
      </c>
      <c r="O3611">
        <v>-1.9567589999999999E-2</v>
      </c>
      <c r="P3611">
        <v>0.99357329999999999</v>
      </c>
      <c r="Q3611">
        <v>0.1057848</v>
      </c>
      <c r="R3611">
        <v>4.027323E-2</v>
      </c>
      <c r="S3611">
        <v>3.0284119999999999</v>
      </c>
      <c r="T3611">
        <v>-4.4700030000000002E-2</v>
      </c>
      <c r="U3611">
        <v>-0.1111145</v>
      </c>
      <c r="V3611">
        <v>-6.0146369999999998E-2</v>
      </c>
      <c r="W3611">
        <v>0.11146399999999999</v>
      </c>
      <c r="X3611">
        <v>0.99194669999999896</v>
      </c>
      <c r="Y3611">
        <v>1.7104479999999998E-2</v>
      </c>
      <c r="Z3611">
        <v>1.6249090000000001E-4</v>
      </c>
      <c r="AA3611">
        <v>0.99985369999999996</v>
      </c>
      <c r="AB3611">
        <v>40</v>
      </c>
      <c r="AC3611">
        <v>74.480999999999995</v>
      </c>
      <c r="AD3611">
        <v>-1.1052631315821</v>
      </c>
      <c r="AE3611">
        <v>-2.7401000000000102</v>
      </c>
      <c r="AF3611">
        <v>1.28185393869897</v>
      </c>
      <c r="AG3611">
        <v>-1.1052631315821</v>
      </c>
      <c r="AH3611">
        <v>74.503972726418198</v>
      </c>
      <c r="AI3611">
        <v>90.849792254000306</v>
      </c>
      <c r="AJ3611">
        <v>89.014313301141698</v>
      </c>
      <c r="AK3611">
        <v>74.5231957723839</v>
      </c>
      <c r="AL3611">
        <v>83.600284574816101</v>
      </c>
      <c r="AM3611">
        <v>93.469862983487701</v>
      </c>
      <c r="AN3611">
        <v>1.00000003238053</v>
      </c>
    </row>
    <row r="3612" spans="1:40" x14ac:dyDescent="0.3">
      <c r="A3612" t="str">
        <f>"20200111150024696"</f>
        <v>20200111150024696</v>
      </c>
      <c r="B3612" t="str">
        <f>"1578726024689480"</f>
        <v>1578726024689480</v>
      </c>
      <c r="C3612" t="s">
        <v>40</v>
      </c>
      <c r="D3612">
        <v>4.4313589999999996</v>
      </c>
      <c r="E3612">
        <v>0.52868340000000003</v>
      </c>
      <c r="F3612" t="s">
        <v>62</v>
      </c>
      <c r="G3612">
        <v>-331.91210000000001</v>
      </c>
      <c r="H3612" s="1">
        <v>-4.9214799999999997E-7</v>
      </c>
      <c r="I3612">
        <v>213.99600000000001</v>
      </c>
      <c r="J3612">
        <v>-416.72649999999999</v>
      </c>
      <c r="K3612">
        <v>1.105294</v>
      </c>
      <c r="L3612">
        <v>216.71350000000001</v>
      </c>
      <c r="M3612">
        <v>0.99981969999999998</v>
      </c>
      <c r="N3612">
        <v>0</v>
      </c>
      <c r="O3612">
        <v>-1.8017490000000001E-2</v>
      </c>
      <c r="P3612">
        <v>0.99355260000000001</v>
      </c>
      <c r="Q3612">
        <v>0.1053412</v>
      </c>
      <c r="R3612">
        <v>4.190924E-2</v>
      </c>
      <c r="S3612">
        <v>3.0274960000000002</v>
      </c>
      <c r="T3612">
        <v>-3.9270039999999999E-2</v>
      </c>
      <c r="U3612">
        <v>-9.6786499999999998E-2</v>
      </c>
      <c r="V3612">
        <v>-6.0247099999999998E-2</v>
      </c>
      <c r="W3612">
        <v>0.1110474</v>
      </c>
      <c r="X3612">
        <v>0.99198730000000002</v>
      </c>
      <c r="Y3612">
        <v>1.393937E-2</v>
      </c>
      <c r="Z3612">
        <v>1.432378E-4</v>
      </c>
      <c r="AA3612">
        <v>0.99990279999999998</v>
      </c>
      <c r="AB3612">
        <v>41</v>
      </c>
      <c r="AC3612">
        <v>84.814399999999907</v>
      </c>
      <c r="AD3612">
        <v>-1.1052944921479999</v>
      </c>
      <c r="AE3612">
        <v>-2.7175000000000198</v>
      </c>
      <c r="AF3612">
        <v>1.1886871251348701</v>
      </c>
      <c r="AG3612">
        <v>-1.1052944921479999</v>
      </c>
      <c r="AH3612">
        <v>84.835202282754906</v>
      </c>
      <c r="AI3612">
        <v>90.746375446052596</v>
      </c>
      <c r="AJ3612">
        <v>89.197240095743297</v>
      </c>
      <c r="AK3612">
        <v>84.850728926461102</v>
      </c>
      <c r="AL3612">
        <v>83.624303032914895</v>
      </c>
      <c r="AM3612">
        <v>93.475517992206505</v>
      </c>
      <c r="AN3612">
        <v>1.00000002073322</v>
      </c>
    </row>
    <row r="3613" spans="1:40" x14ac:dyDescent="0.3">
      <c r="A3613" t="str">
        <f>"20200111150024720"</f>
        <v>20200111150024720</v>
      </c>
      <c r="B3613" t="str">
        <f>"1578726024709507"</f>
        <v>1578726024709507</v>
      </c>
      <c r="C3613" t="s">
        <v>40</v>
      </c>
      <c r="D3613">
        <v>4.3710449999999996</v>
      </c>
      <c r="E3613">
        <v>0.52880050000000001</v>
      </c>
      <c r="F3613" t="s">
        <v>62</v>
      </c>
      <c r="G3613">
        <v>-343.0385</v>
      </c>
      <c r="H3613" s="1">
        <v>8.0127899999999996E-8</v>
      </c>
      <c r="I3613">
        <v>214.29570000000001</v>
      </c>
      <c r="J3613">
        <v>-416.29599999999999</v>
      </c>
      <c r="K3613">
        <v>1.1053189999999999</v>
      </c>
      <c r="L3613">
        <v>216.70689999999999</v>
      </c>
      <c r="M3613">
        <v>0.99984850000000003</v>
      </c>
      <c r="N3613">
        <v>0</v>
      </c>
      <c r="O3613">
        <v>-1.6329239999999998E-2</v>
      </c>
      <c r="P3613">
        <v>0.99344650000000001</v>
      </c>
      <c r="Q3613">
        <v>0.1055296</v>
      </c>
      <c r="R3613">
        <v>4.3904760000000001E-2</v>
      </c>
      <c r="S3613">
        <v>3.028473</v>
      </c>
      <c r="T3613">
        <v>-4.5426010000000003E-2</v>
      </c>
      <c r="U3613">
        <v>-9.9365229999999999E-2</v>
      </c>
      <c r="V3613">
        <v>-6.0572429999999997E-2</v>
      </c>
      <c r="W3613">
        <v>0.1112697</v>
      </c>
      <c r="X3613">
        <v>0.99194260000000001</v>
      </c>
      <c r="Y3613">
        <v>1.6467550000000001E-2</v>
      </c>
      <c r="Z3613">
        <v>1.213694E-4</v>
      </c>
      <c r="AA3613">
        <v>0.99986439999999999</v>
      </c>
      <c r="AB3613">
        <v>41</v>
      </c>
      <c r="AC3613">
        <v>73.257499999999993</v>
      </c>
      <c r="AD3613">
        <v>-1.1053189198720901</v>
      </c>
      <c r="AE3613">
        <v>-2.41119999999998</v>
      </c>
      <c r="AF3613">
        <v>1.21434132164562</v>
      </c>
      <c r="AG3613">
        <v>-1.1053189198720901</v>
      </c>
      <c r="AH3613">
        <v>73.270443838198503</v>
      </c>
      <c r="AI3613">
        <v>90.864149423692595</v>
      </c>
      <c r="AJ3613">
        <v>89.050500315905495</v>
      </c>
      <c r="AK3613">
        <v>73.288841544990206</v>
      </c>
      <c r="AL3613">
        <v>83.611486901258104</v>
      </c>
      <c r="AM3613">
        <v>93.4943962344109</v>
      </c>
      <c r="AN3613">
        <v>1.00000004355447</v>
      </c>
    </row>
    <row r="3614" spans="1:40" x14ac:dyDescent="0.3">
      <c r="A3614" t="str">
        <f>"20200111150024740"</f>
        <v>20200111150024740</v>
      </c>
      <c r="B3614" t="str">
        <f>"1578726024729027"</f>
        <v>1578726024729027</v>
      </c>
      <c r="C3614" t="s">
        <v>40</v>
      </c>
      <c r="D3614">
        <v>4.3555469999999996</v>
      </c>
      <c r="E3614">
        <v>0.52828819999999999</v>
      </c>
      <c r="F3614" t="s">
        <v>62</v>
      </c>
      <c r="G3614">
        <v>-346.72359999999998</v>
      </c>
      <c r="H3614" s="1">
        <v>2.0411889999999999E-6</v>
      </c>
      <c r="I3614">
        <v>214.5326</v>
      </c>
      <c r="J3614">
        <v>-415.90649999999999</v>
      </c>
      <c r="K3614">
        <v>1.1053389999999901</v>
      </c>
      <c r="L3614">
        <v>216.70160000000001</v>
      </c>
      <c r="M3614">
        <v>0.99987210000000004</v>
      </c>
      <c r="N3614">
        <v>0</v>
      </c>
      <c r="O3614">
        <v>-1.479668E-2</v>
      </c>
      <c r="P3614">
        <v>0.99336199999999997</v>
      </c>
      <c r="Q3614">
        <v>0.10557</v>
      </c>
      <c r="R3614">
        <v>4.5682689999999998E-2</v>
      </c>
      <c r="S3614">
        <v>3.029083</v>
      </c>
      <c r="T3614">
        <v>-4.812396E-2</v>
      </c>
      <c r="U3614">
        <v>-9.4665529999999998E-2</v>
      </c>
      <c r="V3614">
        <v>-6.0833489999999997E-2</v>
      </c>
      <c r="W3614">
        <v>0.1113446</v>
      </c>
      <c r="X3614">
        <v>0.99191819999999997</v>
      </c>
      <c r="Y3614">
        <v>1.6443599999999999E-2</v>
      </c>
      <c r="Z3614">
        <v>1.044094E-4</v>
      </c>
      <c r="AA3614">
        <v>0.9998648</v>
      </c>
      <c r="AB3614">
        <v>41</v>
      </c>
      <c r="AC3614">
        <v>69.182900000000004</v>
      </c>
      <c r="AD3614">
        <v>-1.10533695881099</v>
      </c>
      <c r="AE3614">
        <v>-2.1690000000000098</v>
      </c>
      <c r="AF3614">
        <v>1.14477451122589</v>
      </c>
      <c r="AG3614">
        <v>-1.10533695881099</v>
      </c>
      <c r="AH3614">
        <v>69.189775975453301</v>
      </c>
      <c r="AI3614">
        <v>90.9151220745552</v>
      </c>
      <c r="AJ3614">
        <v>89.052103249889797</v>
      </c>
      <c r="AK3614">
        <v>69.208073069602705</v>
      </c>
      <c r="AL3614">
        <v>83.607168491457102</v>
      </c>
      <c r="AM3614">
        <v>93.5095052208965</v>
      </c>
      <c r="AN3614">
        <v>1.0000000244729801</v>
      </c>
    </row>
    <row r="3615" spans="1:40" x14ac:dyDescent="0.3">
      <c r="A3615" t="str">
        <f>"20200111150024763"</f>
        <v>20200111150024763</v>
      </c>
      <c r="B3615" t="str">
        <f>"1578726024759283"</f>
        <v>1578726024759283</v>
      </c>
      <c r="C3615" t="s">
        <v>40</v>
      </c>
      <c r="D3615">
        <v>4.4399110000000004</v>
      </c>
      <c r="E3615">
        <v>0.5287501</v>
      </c>
      <c r="F3615" t="s">
        <v>62</v>
      </c>
      <c r="G3615">
        <v>-332.57530000000003</v>
      </c>
      <c r="H3615" s="1">
        <v>-1.5558409999999999E-7</v>
      </c>
      <c r="I3615">
        <v>214.37029999999999</v>
      </c>
      <c r="J3615">
        <v>-415.50220000000002</v>
      </c>
      <c r="K3615">
        <v>1.1053679999999999</v>
      </c>
      <c r="L3615">
        <v>216.6968</v>
      </c>
      <c r="M3615">
        <v>0.99989430000000001</v>
      </c>
      <c r="N3615">
        <v>0</v>
      </c>
      <c r="O3615">
        <v>-1.319032E-2</v>
      </c>
      <c r="P3615">
        <v>0.9933611</v>
      </c>
      <c r="Q3615">
        <v>0.1056069</v>
      </c>
      <c r="R3615">
        <v>4.5617129999999999E-2</v>
      </c>
      <c r="S3615">
        <v>3.028168</v>
      </c>
      <c r="T3615">
        <v>-4.0166849999999997E-2</v>
      </c>
      <c r="U3615">
        <v>-8.4716799999999995E-2</v>
      </c>
      <c r="V3615">
        <v>-5.9180730000000001E-2</v>
      </c>
      <c r="W3615">
        <v>0.1114251</v>
      </c>
      <c r="X3615">
        <v>0.99200909999999998</v>
      </c>
      <c r="Y3615">
        <v>1.477734E-2</v>
      </c>
      <c r="Z3615" s="1">
        <v>7.6928419999999995E-5</v>
      </c>
      <c r="AA3615">
        <v>0.99989079999999997</v>
      </c>
      <c r="AB3615">
        <v>41</v>
      </c>
      <c r="AC3615">
        <v>82.926899999999904</v>
      </c>
      <c r="AD3615">
        <v>-1.1053681555841</v>
      </c>
      <c r="AE3615">
        <v>-2.32650000000001</v>
      </c>
      <c r="AF3615">
        <v>1.23222602899559</v>
      </c>
      <c r="AG3615">
        <v>-1.1053681555841</v>
      </c>
      <c r="AH3615">
        <v>82.935649379227598</v>
      </c>
      <c r="AI3615">
        <v>90.763509937998094</v>
      </c>
      <c r="AJ3615">
        <v>89.148783942362201</v>
      </c>
      <c r="AK3615">
        <v>82.952167890297403</v>
      </c>
      <c r="AL3615">
        <v>83.602527034999397</v>
      </c>
      <c r="AM3615">
        <v>93.414073507058603</v>
      </c>
      <c r="AN3615">
        <v>0.99999998309807603</v>
      </c>
    </row>
    <row r="3616" spans="1:40" x14ac:dyDescent="0.3">
      <c r="A3616" t="str">
        <f>"20200111150024784"</f>
        <v>20200111150024784</v>
      </c>
      <c r="B3616" t="str">
        <f>"1578726024779781"</f>
        <v>1578726024779781</v>
      </c>
      <c r="C3616" t="s">
        <v>40</v>
      </c>
      <c r="D3616">
        <v>4.5105459999999997</v>
      </c>
      <c r="E3616">
        <v>0.52974129999999997</v>
      </c>
      <c r="F3616" t="s">
        <v>62</v>
      </c>
      <c r="G3616">
        <v>-276.04239999999999</v>
      </c>
      <c r="H3616" s="1">
        <v>1.7636440000000001E-6</v>
      </c>
      <c r="I3616">
        <v>212.67230000000001</v>
      </c>
      <c r="J3616">
        <v>-415.10989999999998</v>
      </c>
      <c r="K3616">
        <v>1.1054029999999999</v>
      </c>
      <c r="L3616">
        <v>216.69280000000001</v>
      </c>
      <c r="M3616">
        <v>0.99991359999999996</v>
      </c>
      <c r="N3616">
        <v>0</v>
      </c>
      <c r="O3616">
        <v>-1.1610179999999999E-2</v>
      </c>
      <c r="P3616">
        <v>0.99334440000000002</v>
      </c>
      <c r="Q3616">
        <v>0.10585650000000001</v>
      </c>
      <c r="R3616">
        <v>4.5401599999999903E-2</v>
      </c>
      <c r="S3616">
        <v>3.0265810000000002</v>
      </c>
      <c r="T3616">
        <v>-2.3988840000000001E-2</v>
      </c>
      <c r="U3616">
        <v>-8.7341310000000005E-2</v>
      </c>
      <c r="V3616">
        <v>-5.7405369999999997E-2</v>
      </c>
      <c r="W3616">
        <v>0.1117165</v>
      </c>
      <c r="X3616">
        <v>0.99208070000000004</v>
      </c>
      <c r="Y3616">
        <v>1.7238389999999999E-2</v>
      </c>
      <c r="Z3616" s="1">
        <v>2.369772E-5</v>
      </c>
      <c r="AA3616">
        <v>0.99985139999999995</v>
      </c>
      <c r="AB3616">
        <v>41</v>
      </c>
      <c r="AC3616">
        <v>139.0675</v>
      </c>
      <c r="AD3616">
        <v>-1.105401236356</v>
      </c>
      <c r="AE3616">
        <v>-4.0204999999999904</v>
      </c>
      <c r="AF3616">
        <v>2.4054477715620202</v>
      </c>
      <c r="AG3616">
        <v>-1.105401236356</v>
      </c>
      <c r="AH3616">
        <v>139.09602512338199</v>
      </c>
      <c r="AI3616">
        <v>90.455254018724801</v>
      </c>
      <c r="AJ3616">
        <v>89.009258040649499</v>
      </c>
      <c r="AK3616">
        <v>139.12121439952901</v>
      </c>
      <c r="AL3616">
        <v>83.585726476434701</v>
      </c>
      <c r="AM3616">
        <v>93.311647876614103</v>
      </c>
      <c r="AN3616">
        <v>1.0000000340947801</v>
      </c>
    </row>
    <row r="3617" spans="1:40" x14ac:dyDescent="0.3">
      <c r="A3617" t="str">
        <f>"20200111150024807"</f>
        <v>20200111150024807</v>
      </c>
      <c r="B3617" t="str">
        <f>"1578726024799300"</f>
        <v>1578726024799300</v>
      </c>
      <c r="C3617" t="s">
        <v>40</v>
      </c>
      <c r="D3617">
        <v>4.4984060000000001</v>
      </c>
      <c r="E3617">
        <v>0.53020230000000002</v>
      </c>
      <c r="F3617" t="s">
        <v>66</v>
      </c>
      <c r="G3617">
        <v>-313.32769999999999</v>
      </c>
      <c r="H3617" s="1">
        <v>2.3813570000000001E-6</v>
      </c>
      <c r="I3617">
        <v>213.47059999999999</v>
      </c>
      <c r="J3617">
        <v>-414.6902</v>
      </c>
      <c r="K3617">
        <v>1.1054409999999999</v>
      </c>
      <c r="L3617">
        <v>216.6892</v>
      </c>
      <c r="M3617">
        <v>0.99993209999999999</v>
      </c>
      <c r="N3617">
        <v>0</v>
      </c>
      <c r="O3617">
        <v>-9.8947219999999999E-3</v>
      </c>
      <c r="P3617">
        <v>0.99332129999999996</v>
      </c>
      <c r="Q3617">
        <v>0.1059817</v>
      </c>
      <c r="R3617">
        <v>4.5617989999999997E-2</v>
      </c>
      <c r="S3617">
        <v>3.0279539999999998</v>
      </c>
      <c r="T3617">
        <v>-3.2884959999999998E-2</v>
      </c>
      <c r="U3617">
        <v>-9.5855709999999997E-2</v>
      </c>
      <c r="V3617">
        <v>-5.59283E-2</v>
      </c>
      <c r="W3617">
        <v>0.11188430000000001</v>
      </c>
      <c r="X3617">
        <v>0.99214610000000003</v>
      </c>
      <c r="Y3617">
        <v>2.174887E-2</v>
      </c>
      <c r="Z3617" s="1">
        <v>-1.064064E-5</v>
      </c>
      <c r="AA3617">
        <v>0.99976350000000003</v>
      </c>
      <c r="AB3617">
        <v>41</v>
      </c>
      <c r="AC3617">
        <v>101.3625</v>
      </c>
      <c r="AD3617">
        <v>-1.1054386186430001</v>
      </c>
      <c r="AE3617">
        <v>-3.2185999999999999</v>
      </c>
      <c r="AF3617">
        <v>2.21520646744752</v>
      </c>
      <c r="AG3617">
        <v>-1.1054386186430001</v>
      </c>
      <c r="AH3617">
        <v>101.377340165088</v>
      </c>
      <c r="AI3617">
        <v>90.624590698341507</v>
      </c>
      <c r="AJ3617">
        <v>88.748223356340006</v>
      </c>
      <c r="AK3617">
        <v>101.407564970178</v>
      </c>
      <c r="AL3617">
        <v>83.576051225164704</v>
      </c>
      <c r="AM3617">
        <v>93.226407626119993</v>
      </c>
      <c r="AN3617">
        <v>0.99999997753629399</v>
      </c>
    </row>
    <row r="3618" spans="1:40" x14ac:dyDescent="0.3">
      <c r="A3618" t="str">
        <f>"20200111150024830"</f>
        <v>20200111150024830</v>
      </c>
      <c r="B3618" t="str">
        <f>"1578726024819795"</f>
        <v>1578726024819795</v>
      </c>
      <c r="C3618" t="s">
        <v>40</v>
      </c>
      <c r="D3618">
        <v>4.4865890000000004</v>
      </c>
      <c r="E3618">
        <v>0.53022950000000002</v>
      </c>
      <c r="F3618" t="s">
        <v>66</v>
      </c>
      <c r="G3618">
        <v>-319.29270000000002</v>
      </c>
      <c r="H3618" s="1">
        <v>5.026567E-6</v>
      </c>
      <c r="I3618">
        <v>213.55629999999999</v>
      </c>
      <c r="J3618">
        <v>-414.25369999999998</v>
      </c>
      <c r="K3618">
        <v>1.1054729999999999</v>
      </c>
      <c r="L3618">
        <v>216.68620000000001</v>
      </c>
      <c r="M3618">
        <v>0.99994799999999995</v>
      </c>
      <c r="N3618">
        <v>0</v>
      </c>
      <c r="O3618">
        <v>-8.0762639999999997E-3</v>
      </c>
      <c r="P3618">
        <v>0.99341829999999998</v>
      </c>
      <c r="Q3618">
        <v>0.1048526</v>
      </c>
      <c r="R3618">
        <v>4.6112159999999999E-2</v>
      </c>
      <c r="S3618">
        <v>3.028473</v>
      </c>
      <c r="T3618">
        <v>-3.5092949999999998E-2</v>
      </c>
      <c r="U3618">
        <v>-9.9456790000000003E-2</v>
      </c>
      <c r="V3618">
        <v>-5.4623530000000003E-2</v>
      </c>
      <c r="W3618">
        <v>0.1107977</v>
      </c>
      <c r="X3618">
        <v>0.99234069999999996</v>
      </c>
      <c r="Y3618">
        <v>2.4748630000000001E-2</v>
      </c>
      <c r="Z3618" s="1">
        <v>-4.9791340000000002E-5</v>
      </c>
      <c r="AA3618">
        <v>0.99969370000000002</v>
      </c>
      <c r="AB3618">
        <v>41</v>
      </c>
      <c r="AC3618">
        <v>94.960999999999899</v>
      </c>
      <c r="AD3618">
        <v>-1.105467973433</v>
      </c>
      <c r="AE3618">
        <v>-3.1299000000000201</v>
      </c>
      <c r="AF3618">
        <v>2.3625331234734199</v>
      </c>
      <c r="AG3618">
        <v>-1.105467973433</v>
      </c>
      <c r="AH3618">
        <v>94.970324889303299</v>
      </c>
      <c r="AI3618">
        <v>90.666694594901799</v>
      </c>
      <c r="AJ3618">
        <v>88.574973133578894</v>
      </c>
      <c r="AK3618">
        <v>95.0061378637171</v>
      </c>
      <c r="AL3618">
        <v>83.638698251983698</v>
      </c>
      <c r="AM3618">
        <v>93.150674465778906</v>
      </c>
      <c r="AN3618">
        <v>0.999999962615719</v>
      </c>
    </row>
    <row r="3619" spans="1:40" x14ac:dyDescent="0.3">
      <c r="A3619" t="str">
        <f>"20200111150024853"</f>
        <v>20200111150024853</v>
      </c>
      <c r="B3619" t="str">
        <f>"1578726024850053"</f>
        <v>1578726024850053</v>
      </c>
      <c r="C3619" t="s">
        <v>40</v>
      </c>
      <c r="D3619">
        <v>4.5620839999999996</v>
      </c>
      <c r="E3619">
        <v>0.53126569999999995</v>
      </c>
      <c r="F3619" t="s">
        <v>66</v>
      </c>
      <c r="G3619">
        <v>-290.79840000000002</v>
      </c>
      <c r="H3619" s="1">
        <v>1.036025E-6</v>
      </c>
      <c r="I3619">
        <v>212.68559999999999</v>
      </c>
      <c r="J3619">
        <v>-413.82900000000001</v>
      </c>
      <c r="K3619">
        <v>1.105505</v>
      </c>
      <c r="L3619">
        <v>216.6841</v>
      </c>
      <c r="M3619">
        <v>0.99996070000000004</v>
      </c>
      <c r="N3619">
        <v>0</v>
      </c>
      <c r="O3619">
        <v>-6.2698399999999996E-3</v>
      </c>
      <c r="P3619">
        <v>0.99340150000000005</v>
      </c>
      <c r="Q3619">
        <v>0.1043232</v>
      </c>
      <c r="R3619">
        <v>4.7651180000000001E-2</v>
      </c>
      <c r="S3619">
        <v>3.0272830000000002</v>
      </c>
      <c r="T3619">
        <v>-2.7107599999999999E-2</v>
      </c>
      <c r="U3619">
        <v>-9.8098749999999998E-2</v>
      </c>
      <c r="V3619">
        <v>-5.4377179999999997E-2</v>
      </c>
      <c r="W3619">
        <v>0.1103029</v>
      </c>
      <c r="X3619">
        <v>0.9924094</v>
      </c>
      <c r="Y3619">
        <v>2.6119779999999999E-2</v>
      </c>
      <c r="Z3619" s="1">
        <v>-6.0784469999999897E-5</v>
      </c>
      <c r="AA3619">
        <v>0.99965879999999996</v>
      </c>
      <c r="AB3619">
        <v>41</v>
      </c>
      <c r="AC3619">
        <v>123.03060000000001</v>
      </c>
      <c r="AD3619">
        <v>-1.1055039639749999</v>
      </c>
      <c r="AE3619">
        <v>-3.9984999999999999</v>
      </c>
      <c r="AF3619">
        <v>3.2267638160627601</v>
      </c>
      <c r="AG3619">
        <v>-1.1055039639749999</v>
      </c>
      <c r="AH3619">
        <v>123.043327944032</v>
      </c>
      <c r="AI3619">
        <v>90.514593033614403</v>
      </c>
      <c r="AJ3619">
        <v>88.497784591862001</v>
      </c>
      <c r="AK3619">
        <v>123.09059547862201</v>
      </c>
      <c r="AL3619">
        <v>83.6672233630498</v>
      </c>
      <c r="AM3619">
        <v>93.136276789136403</v>
      </c>
      <c r="AN3619">
        <v>1.00000001233076</v>
      </c>
    </row>
    <row r="3620" spans="1:40" x14ac:dyDescent="0.3">
      <c r="A3620" t="str">
        <f>"20200111150024873"</f>
        <v>20200111150024873</v>
      </c>
      <c r="B3620" t="str">
        <f>"1578726024869571"</f>
        <v>1578726024869571</v>
      </c>
      <c r="C3620" t="s">
        <v>40</v>
      </c>
      <c r="D3620">
        <v>4.5442519999999904</v>
      </c>
      <c r="E3620">
        <v>0.53128310000000001</v>
      </c>
      <c r="F3620" t="s">
        <v>62</v>
      </c>
      <c r="G3620">
        <v>-327.55549999999999</v>
      </c>
      <c r="H3620" s="1">
        <v>2.4838470000000001E-6</v>
      </c>
      <c r="I3620">
        <v>213.79249999999999</v>
      </c>
      <c r="J3620">
        <v>-413.46600000000001</v>
      </c>
      <c r="K3620">
        <v>1.1055410000000001</v>
      </c>
      <c r="L3620">
        <v>216.68289999999999</v>
      </c>
      <c r="M3620">
        <v>0.9999692</v>
      </c>
      <c r="N3620">
        <v>0</v>
      </c>
      <c r="O3620">
        <v>-4.696118E-3</v>
      </c>
      <c r="P3620">
        <v>0.99317420000000001</v>
      </c>
      <c r="Q3620">
        <v>0.1048456</v>
      </c>
      <c r="R3620">
        <v>5.1115670000000002E-2</v>
      </c>
      <c r="S3620">
        <v>3.02887</v>
      </c>
      <c r="T3620">
        <v>-3.8811680000000001E-2</v>
      </c>
      <c r="U3620">
        <v>-0.1015167</v>
      </c>
      <c r="V3620">
        <v>-5.6289730000000003E-2</v>
      </c>
      <c r="W3620">
        <v>0.1108422</v>
      </c>
      <c r="X3620">
        <v>0.99224259999999997</v>
      </c>
      <c r="Y3620">
        <v>2.880164E-2</v>
      </c>
      <c r="Z3620">
        <v>-1.2431540000000001E-4</v>
      </c>
      <c r="AA3620">
        <v>0.99958519999999895</v>
      </c>
      <c r="AB3620">
        <v>41</v>
      </c>
      <c r="AC3620">
        <v>85.910499999999999</v>
      </c>
      <c r="AD3620">
        <v>-1.10553851615299</v>
      </c>
      <c r="AE3620">
        <v>-2.8904000000000001</v>
      </c>
      <c r="AF3620">
        <v>2.48650300936532</v>
      </c>
      <c r="AG3620">
        <v>-1.10553851615299</v>
      </c>
      <c r="AH3620">
        <v>85.908916305248994</v>
      </c>
      <c r="AI3620">
        <v>90.736974538823802</v>
      </c>
      <c r="AJ3620">
        <v>88.342123590754298</v>
      </c>
      <c r="AK3620">
        <v>85.952002963098906</v>
      </c>
      <c r="AL3620">
        <v>83.636132720711998</v>
      </c>
      <c r="AM3620">
        <v>93.246898296162797</v>
      </c>
      <c r="AN3620">
        <v>0.99999995212953496</v>
      </c>
    </row>
    <row r="3621" spans="1:40" x14ac:dyDescent="0.3">
      <c r="A3621" t="str">
        <f>"20200111150026090"</f>
        <v>20200111150026090</v>
      </c>
      <c r="B3621" t="str">
        <f>"1578726026079441"</f>
        <v>1578726026079441</v>
      </c>
      <c r="C3621" t="s">
        <v>40</v>
      </c>
      <c r="D3621">
        <v>4.5670120000000001</v>
      </c>
      <c r="E3621">
        <v>0.53059109999999998</v>
      </c>
      <c r="F3621" t="s">
        <v>66</v>
      </c>
      <c r="G3621">
        <v>-297.11880000000002</v>
      </c>
      <c r="H3621" s="1">
        <v>2.15716E-6</v>
      </c>
      <c r="I3621">
        <v>213.16319999999999</v>
      </c>
      <c r="J3621">
        <v>-389.67790000000002</v>
      </c>
      <c r="K3621">
        <v>1.1050089999999999</v>
      </c>
      <c r="L3621">
        <v>217.52889999999999</v>
      </c>
      <c r="M3621">
        <v>0.99842660000000005</v>
      </c>
      <c r="N3621">
        <v>0</v>
      </c>
      <c r="O3621">
        <v>5.4082699999999997E-2</v>
      </c>
      <c r="P3621">
        <v>0.98756999999999995</v>
      </c>
      <c r="Q3621">
        <v>0.124442</v>
      </c>
      <c r="R3621">
        <v>9.6021750000000003E-2</v>
      </c>
      <c r="S3621">
        <v>3.0283509999999998</v>
      </c>
      <c r="T3621">
        <v>-2.877557E-2</v>
      </c>
      <c r="U3621">
        <v>-9.1613769999999997E-2</v>
      </c>
      <c r="V3621">
        <v>-4.2556650000000001E-2</v>
      </c>
      <c r="W3621">
        <v>0.1390971</v>
      </c>
      <c r="X3621">
        <v>0.98936389999999996</v>
      </c>
      <c r="Y3621">
        <v>8.4251599999999996E-2</v>
      </c>
      <c r="Z3621">
        <v>-9.1392280000000001E-4</v>
      </c>
      <c r="AA3621">
        <v>0.99644410000000005</v>
      </c>
      <c r="AB3621">
        <v>44</v>
      </c>
      <c r="AC3621">
        <v>92.559100000000001</v>
      </c>
      <c r="AD3621">
        <v>-1.1050068428399999</v>
      </c>
      <c r="AE3621">
        <v>-4.3657000000000004</v>
      </c>
      <c r="AF3621">
        <v>9.3643727570570494</v>
      </c>
      <c r="AG3621">
        <v>-1.1050068428399999</v>
      </c>
      <c r="AH3621">
        <v>92.174363533201401</v>
      </c>
      <c r="AI3621">
        <v>90.683324658018293</v>
      </c>
      <c r="AJ3621">
        <v>84.198989545398106</v>
      </c>
      <c r="AK3621">
        <v>92.655414358830697</v>
      </c>
      <c r="AL3621">
        <v>82.004397298244001</v>
      </c>
      <c r="AM3621">
        <v>92.463011129992395</v>
      </c>
      <c r="AN3621">
        <v>0.99999999915542104</v>
      </c>
    </row>
    <row r="3622" spans="1:40" x14ac:dyDescent="0.3">
      <c r="A3622" t="str">
        <f>"20200111150026179"</f>
        <v>20200111150026179</v>
      </c>
      <c r="B3622" t="str">
        <f>"1578726026169235"</f>
        <v>1578726026169235</v>
      </c>
      <c r="C3622" t="s">
        <v>40</v>
      </c>
      <c r="D3622">
        <v>5.9747589999999997</v>
      </c>
      <c r="E3622">
        <v>0.54000769999999998</v>
      </c>
      <c r="F3622" t="s">
        <v>80</v>
      </c>
      <c r="G3622">
        <v>-157.8382</v>
      </c>
      <c r="H3622">
        <v>3.7502309999999999</v>
      </c>
      <c r="I3622">
        <v>221.09119999999999</v>
      </c>
      <c r="J3622">
        <v>-387.9237</v>
      </c>
      <c r="K3622">
        <v>1.1045670000000001</v>
      </c>
      <c r="L3622">
        <v>217.62270000000001</v>
      </c>
      <c r="M3622">
        <v>0.99848369999999997</v>
      </c>
      <c r="N3622">
        <v>0</v>
      </c>
      <c r="O3622">
        <v>5.2937980000000003E-2</v>
      </c>
      <c r="P3622">
        <v>0.98627319999999996</v>
      </c>
      <c r="Q3622">
        <v>0.1401741</v>
      </c>
      <c r="R3622">
        <v>8.7273299999999998E-2</v>
      </c>
      <c r="S3622">
        <v>3.0288390000000001</v>
      </c>
      <c r="T3622">
        <v>3.4558890000000002E-2</v>
      </c>
      <c r="U3622">
        <v>4.653931E-2</v>
      </c>
      <c r="V3622">
        <v>-3.4822680000000002E-2</v>
      </c>
      <c r="W3622">
        <v>0.15512590000000001</v>
      </c>
      <c r="X3622">
        <v>0.98728079999999996</v>
      </c>
      <c r="Y3622">
        <v>3.7589850000000001E-2</v>
      </c>
      <c r="Z3622">
        <v>8.1818910000000002E-4</v>
      </c>
      <c r="AA3622">
        <v>0.99929290000000004</v>
      </c>
      <c r="AB3622">
        <v>44</v>
      </c>
      <c r="AC3622">
        <v>230.0855</v>
      </c>
      <c r="AD3622">
        <v>2.645664</v>
      </c>
      <c r="AE3622">
        <v>3.4684999999999699</v>
      </c>
      <c r="AF3622">
        <v>8.7168619672359604</v>
      </c>
      <c r="AG3622">
        <v>2.645664</v>
      </c>
      <c r="AH3622">
        <v>229.91604515391899</v>
      </c>
      <c r="AI3622">
        <v>89.341194838020101</v>
      </c>
      <c r="AJ3622">
        <v>87.828771337752102</v>
      </c>
      <c r="AK3622">
        <v>230.096438563867</v>
      </c>
      <c r="AL3622">
        <v>81.075902078085903</v>
      </c>
      <c r="AM3622">
        <v>92.020059368539805</v>
      </c>
      <c r="AN3622">
        <v>1.0000000209709099</v>
      </c>
    </row>
    <row r="3623" spans="1:40" x14ac:dyDescent="0.3">
      <c r="A3623" t="str">
        <f>"20200111150026202"</f>
        <v>20200111150026202</v>
      </c>
      <c r="B3623" t="str">
        <f>"1578726026199489"</f>
        <v>1578726026199489</v>
      </c>
      <c r="C3623" t="s">
        <v>40</v>
      </c>
      <c r="D3623">
        <v>4.2747699999999904</v>
      </c>
      <c r="E3623">
        <v>0.55523849999999997</v>
      </c>
      <c r="F3623" t="s">
        <v>41</v>
      </c>
      <c r="G3623">
        <v>-387.23680000000002</v>
      </c>
      <c r="H3623">
        <v>0.93272699999999997</v>
      </c>
      <c r="I3623">
        <v>217.6096</v>
      </c>
      <c r="J3623">
        <v>-387.49970000000002</v>
      </c>
      <c r="K3623">
        <v>1.1043860000000001</v>
      </c>
      <c r="L3623">
        <v>217.6446</v>
      </c>
      <c r="M3623">
        <v>0.99852260000000004</v>
      </c>
      <c r="N3623">
        <v>0</v>
      </c>
      <c r="O3623">
        <v>5.2185960000000003E-2</v>
      </c>
      <c r="P3623">
        <v>0.98627120000000001</v>
      </c>
      <c r="Q3623">
        <v>0.14204059999999999</v>
      </c>
      <c r="R3623">
        <v>8.422528E-2</v>
      </c>
      <c r="S3623">
        <v>3.159332</v>
      </c>
      <c r="T3623">
        <v>-0.79035540000000004</v>
      </c>
      <c r="U3623">
        <v>-5.9509279999999998E-2</v>
      </c>
      <c r="V3623">
        <v>-3.2446030000000001E-2</v>
      </c>
      <c r="W3623">
        <v>0.15704849999999901</v>
      </c>
      <c r="X3623">
        <v>0.98705770000000004</v>
      </c>
      <c r="Y3623">
        <v>6.730862E-2</v>
      </c>
      <c r="Z3623">
        <v>-2.1145190000000001E-2</v>
      </c>
      <c r="AA3623">
        <v>0.99750810000000001</v>
      </c>
      <c r="AB3623">
        <v>44</v>
      </c>
      <c r="AC3623">
        <v>0.26290000000000102</v>
      </c>
      <c r="AD3623">
        <v>-0.17165899999999901</v>
      </c>
      <c r="AE3623">
        <v>-3.4999999999996499E-2</v>
      </c>
      <c r="AF3623">
        <v>3.4303454246535699E-2</v>
      </c>
      <c r="AG3623">
        <v>-0.17165899999999901</v>
      </c>
      <c r="AH3623">
        <v>0.183742962759118</v>
      </c>
      <c r="AI3623">
        <v>132.56334258061099</v>
      </c>
      <c r="AJ3623">
        <v>79.425039905736</v>
      </c>
      <c r="AK3623">
        <v>0.25378143276792903</v>
      </c>
      <c r="AL3623">
        <v>80.9643775393006</v>
      </c>
      <c r="AM3623">
        <v>91.882718139986594</v>
      </c>
      <c r="AN3623">
        <v>0.99999993967214795</v>
      </c>
    </row>
    <row r="3624" spans="1:40" x14ac:dyDescent="0.3">
      <c r="A3624" t="str">
        <f>"20200111150026245"</f>
        <v>20200111150026245</v>
      </c>
      <c r="B3624" t="str">
        <f>"1578726026239506"</f>
        <v>1578726026239506</v>
      </c>
      <c r="C3624" t="s">
        <v>40</v>
      </c>
      <c r="D3624">
        <v>4.3105799999999999</v>
      </c>
      <c r="E3624">
        <v>0.55627599999999999</v>
      </c>
      <c r="F3624" t="s">
        <v>41</v>
      </c>
      <c r="G3624">
        <v>-386.4153</v>
      </c>
      <c r="H3624">
        <v>1.008445</v>
      </c>
      <c r="I3624">
        <v>217.5778</v>
      </c>
      <c r="J3624">
        <v>-386.64150000000001</v>
      </c>
      <c r="K3624">
        <v>1.103999</v>
      </c>
      <c r="L3624">
        <v>217.68719999999999</v>
      </c>
      <c r="M3624">
        <v>0.99863060000000003</v>
      </c>
      <c r="N3624">
        <v>0</v>
      </c>
      <c r="O3624">
        <v>5.0052430000000002E-2</v>
      </c>
      <c r="P3624">
        <v>0.9865043</v>
      </c>
      <c r="Q3624">
        <v>0.14384249999999901</v>
      </c>
      <c r="R3624">
        <v>7.8223500000000001E-2</v>
      </c>
      <c r="S3624">
        <v>3.0975039999999998</v>
      </c>
      <c r="T3624">
        <v>-0.27406819999999998</v>
      </c>
      <c r="U3624">
        <v>-0.19049070000000001</v>
      </c>
      <c r="V3624">
        <v>-2.8389310000000001E-2</v>
      </c>
      <c r="W3624">
        <v>0.15894549999999999</v>
      </c>
      <c r="X3624">
        <v>0.98687910000000001</v>
      </c>
      <c r="Y3624">
        <v>0.1106432</v>
      </c>
      <c r="Z3624">
        <v>-9.2974449999999997E-3</v>
      </c>
      <c r="AA3624">
        <v>0.9938167</v>
      </c>
      <c r="AB3624">
        <v>44</v>
      </c>
      <c r="AC3624">
        <v>0.22620000000000501</v>
      </c>
      <c r="AD3624">
        <v>-9.5553999999999903E-2</v>
      </c>
      <c r="AE3624">
        <v>-0.109399999999993</v>
      </c>
      <c r="AF3624">
        <v>0.10535024416944901</v>
      </c>
      <c r="AG3624">
        <v>-9.5553999999999903E-2</v>
      </c>
      <c r="AH3624">
        <v>0.192587938345326</v>
      </c>
      <c r="AI3624">
        <v>113.52287454173501</v>
      </c>
      <c r="AJ3624">
        <v>61.320277724919599</v>
      </c>
      <c r="AK3624">
        <v>0.23941460869935599</v>
      </c>
      <c r="AL3624">
        <v>80.854305340777401</v>
      </c>
      <c r="AM3624">
        <v>91.6477592722526</v>
      </c>
      <c r="AN3624">
        <v>0.999999991454668</v>
      </c>
    </row>
    <row r="3625" spans="1:40" x14ac:dyDescent="0.3">
      <c r="A3625" t="str">
        <f>"20200111150029988"</f>
        <v>20200111150029988</v>
      </c>
      <c r="B3625" t="str">
        <f>"1578726029980374"</f>
        <v>1578726029980374</v>
      </c>
      <c r="C3625" t="s">
        <v>40</v>
      </c>
      <c r="D3625">
        <v>6.1153209999999998</v>
      </c>
      <c r="E3625">
        <v>0.50385869999999999</v>
      </c>
      <c r="F3625" t="s">
        <v>62</v>
      </c>
      <c r="G3625">
        <v>-360.58089999999999</v>
      </c>
      <c r="H3625" s="1">
        <v>-1.2276459999999999E-6</v>
      </c>
      <c r="I3625">
        <v>215.82910000000001</v>
      </c>
      <c r="J3625">
        <v>-319.81990000000002</v>
      </c>
      <c r="K3625">
        <v>1.103302</v>
      </c>
      <c r="L3625">
        <v>216.6773</v>
      </c>
      <c r="M3625">
        <v>0.99866920000000003</v>
      </c>
      <c r="N3625">
        <v>0</v>
      </c>
      <c r="O3625">
        <v>-5.0927020000000003E-2</v>
      </c>
      <c r="P3625">
        <v>0.99362950000000005</v>
      </c>
      <c r="Q3625">
        <v>0.1113223</v>
      </c>
      <c r="R3625">
        <v>1.7541830000000001E-2</v>
      </c>
      <c r="S3625">
        <v>3.0774539999999999</v>
      </c>
      <c r="T3625">
        <v>-0.1303695</v>
      </c>
      <c r="U3625">
        <v>-0.21942139999999999</v>
      </c>
      <c r="V3625">
        <v>-6.7930359999999995E-2</v>
      </c>
      <c r="W3625">
        <v>0.11949890000000001</v>
      </c>
      <c r="X3625">
        <v>0.99050769999999999</v>
      </c>
      <c r="Y3625">
        <v>2.0254399999999999E-2</v>
      </c>
      <c r="Z3625">
        <v>1.72383E-3</v>
      </c>
      <c r="AA3625">
        <v>0.99979340000000005</v>
      </c>
      <c r="AB3625">
        <v>40</v>
      </c>
      <c r="AC3625">
        <v>-40.760999999999903</v>
      </c>
      <c r="AD3625">
        <v>-1.103303227646</v>
      </c>
      <c r="AE3625">
        <v>-0.84819999999999096</v>
      </c>
      <c r="AF3625">
        <v>2.92086526627314</v>
      </c>
      <c r="AG3625">
        <v>-1.103303227646</v>
      </c>
      <c r="AH3625">
        <v>-40.635147669020398</v>
      </c>
      <c r="AI3625">
        <v>91.551281017717301</v>
      </c>
      <c r="AJ3625">
        <v>-85.888635167093398</v>
      </c>
      <c r="AK3625">
        <v>40.754925567334098</v>
      </c>
      <c r="AL3625">
        <v>83.136816518187601</v>
      </c>
      <c r="AM3625">
        <v>93.923278959113702</v>
      </c>
      <c r="AN3625">
        <v>1.00000001233511</v>
      </c>
    </row>
    <row r="3626" spans="1:40" x14ac:dyDescent="0.3">
      <c r="A3626" t="str">
        <f>"20200111150030511"</f>
        <v>20200111150030511</v>
      </c>
      <c r="B3626" t="str">
        <f>"1578726030499436"</f>
        <v>1578726030499436</v>
      </c>
      <c r="C3626" t="s">
        <v>40</v>
      </c>
      <c r="D3626">
        <v>4.6158659999999996</v>
      </c>
      <c r="E3626">
        <v>0.4347549</v>
      </c>
      <c r="F3626" t="s">
        <v>81</v>
      </c>
      <c r="G3626">
        <v>-107.39749999999999</v>
      </c>
      <c r="H3626">
        <v>12.0303</v>
      </c>
      <c r="I3626">
        <v>218.08969999999999</v>
      </c>
      <c r="J3626">
        <v>-310.1583</v>
      </c>
      <c r="K3626">
        <v>1.1067229999999999</v>
      </c>
      <c r="L3626">
        <v>216.29830000000001</v>
      </c>
      <c r="M3626">
        <v>0.99981739999999997</v>
      </c>
      <c r="N3626">
        <v>0</v>
      </c>
      <c r="O3626">
        <v>-1.6970490000000001E-2</v>
      </c>
      <c r="P3626">
        <v>0.99208700000000005</v>
      </c>
      <c r="Q3626">
        <v>0.11178449999999999</v>
      </c>
      <c r="R3626">
        <v>5.7165500000000001E-2</v>
      </c>
      <c r="S3626">
        <v>3.0015869999999998</v>
      </c>
      <c r="T3626">
        <v>0.15440209999999999</v>
      </c>
      <c r="U3626">
        <v>1.9958500000000001E-2</v>
      </c>
      <c r="V3626">
        <v>-7.4802919999999995E-2</v>
      </c>
      <c r="W3626">
        <v>0.11999029999999999</v>
      </c>
      <c r="X3626">
        <v>0.98995299999999997</v>
      </c>
      <c r="Y3626">
        <v>-2.3565389999999999E-2</v>
      </c>
      <c r="Z3626">
        <v>-1.47809E-3</v>
      </c>
      <c r="AA3626">
        <v>0.99972119999999998</v>
      </c>
      <c r="AB3626">
        <v>42</v>
      </c>
      <c r="AC3626">
        <v>202.76079999999999</v>
      </c>
      <c r="AD3626">
        <v>10.923577</v>
      </c>
      <c r="AE3626">
        <v>1.7913999999999799</v>
      </c>
      <c r="AF3626">
        <v>-5.2170838672320903</v>
      </c>
      <c r="AG3626">
        <v>10.923577</v>
      </c>
      <c r="AH3626">
        <v>202.11461848209299</v>
      </c>
      <c r="AI3626">
        <v>86.907404631190701</v>
      </c>
      <c r="AJ3626">
        <v>91.478619051710893</v>
      </c>
      <c r="AK3626">
        <v>202.47681719820301</v>
      </c>
      <c r="AL3626">
        <v>83.108457550246698</v>
      </c>
      <c r="AM3626">
        <v>94.321177359139497</v>
      </c>
      <c r="AN3626">
        <v>1.0000000455717999</v>
      </c>
    </row>
    <row r="3627" spans="1:40" x14ac:dyDescent="0.3">
      <c r="A3627" t="str">
        <f>"20200111150030534"</f>
        <v>20200111150030534</v>
      </c>
      <c r="B3627" t="str">
        <f>"1578726030529692"</f>
        <v>1578726030529692</v>
      </c>
      <c r="C3627" t="s">
        <v>40</v>
      </c>
      <c r="D3627">
        <v>4.846279</v>
      </c>
      <c r="E3627">
        <v>0.43515039999999999</v>
      </c>
      <c r="F3627" t="s">
        <v>66</v>
      </c>
      <c r="G3627">
        <v>-298.52550000000002</v>
      </c>
      <c r="H3627" s="1">
        <v>2.406687E-6</v>
      </c>
      <c r="I3627">
        <v>218.96209999999999</v>
      </c>
      <c r="J3627">
        <v>-309.73770000000002</v>
      </c>
      <c r="K3627">
        <v>1.1067279999999999</v>
      </c>
      <c r="L3627">
        <v>216.2929</v>
      </c>
      <c r="M3627">
        <v>0.99985659999999998</v>
      </c>
      <c r="N3627">
        <v>0</v>
      </c>
      <c r="O3627">
        <v>-1.4451179999999999E-2</v>
      </c>
      <c r="P3627">
        <v>0.99180900000000005</v>
      </c>
      <c r="Q3627">
        <v>0.11243499999999999</v>
      </c>
      <c r="R3627">
        <v>6.0608080000000002E-2</v>
      </c>
      <c r="S3627">
        <v>3.0164789999999999</v>
      </c>
      <c r="T3627">
        <v>-0.28698179999999901</v>
      </c>
      <c r="U3627">
        <v>0.69075010000000003</v>
      </c>
      <c r="V3627">
        <v>-7.5748770000000007E-2</v>
      </c>
      <c r="W3627">
        <v>0.1206653</v>
      </c>
      <c r="X3627">
        <v>0.98979899999999998</v>
      </c>
      <c r="Y3627">
        <v>-0.23620189999999999</v>
      </c>
      <c r="Z3627">
        <v>1.2423200000000001E-2</v>
      </c>
      <c r="AA3627">
        <v>0.97162459999999995</v>
      </c>
      <c r="AB3627">
        <v>42</v>
      </c>
      <c r="AC3627">
        <v>11.2121999999999</v>
      </c>
      <c r="AD3627">
        <v>-1.106725593313</v>
      </c>
      <c r="AE3627">
        <v>2.66919999999998</v>
      </c>
      <c r="AF3627">
        <v>-2.8050925559734798</v>
      </c>
      <c r="AG3627">
        <v>-1.106725593313</v>
      </c>
      <c r="AH3627">
        <v>11.0703793768237</v>
      </c>
      <c r="AI3627">
        <v>95.535200757087793</v>
      </c>
      <c r="AJ3627">
        <v>104.21875423742701</v>
      </c>
      <c r="AK3627">
        <v>11.4737389430506</v>
      </c>
      <c r="AL3627">
        <v>83.069499702572799</v>
      </c>
      <c r="AM3627">
        <v>94.376284008219898</v>
      </c>
      <c r="AN3627">
        <v>1.0000000255907999</v>
      </c>
    </row>
    <row r="3628" spans="1:40" x14ac:dyDescent="0.3">
      <c r="A3628" t="str">
        <f>"20200111150030557"</f>
        <v>20200111150030557</v>
      </c>
      <c r="B3628" t="str">
        <f>"1578726030550188"</f>
        <v>1578726030550188</v>
      </c>
      <c r="C3628" t="s">
        <v>40</v>
      </c>
      <c r="D3628">
        <v>4.4948649999999999</v>
      </c>
      <c r="E3628">
        <v>0.43560219999999999</v>
      </c>
      <c r="F3628" t="s">
        <v>66</v>
      </c>
      <c r="G3628">
        <v>-298.12860000000001</v>
      </c>
      <c r="H3628" s="1">
        <v>2.3362810000000001E-6</v>
      </c>
      <c r="I3628">
        <v>218.98070000000001</v>
      </c>
      <c r="J3628">
        <v>-309.30619999999999</v>
      </c>
      <c r="K3628">
        <v>1.106714</v>
      </c>
      <c r="L3628">
        <v>216.2885</v>
      </c>
      <c r="M3628">
        <v>0.99988960000000005</v>
      </c>
      <c r="N3628">
        <v>0</v>
      </c>
      <c r="O3628">
        <v>-1.1942629999999999E-2</v>
      </c>
      <c r="P3628">
        <v>0.99143530000000002</v>
      </c>
      <c r="Q3628">
        <v>0.113985199999999</v>
      </c>
      <c r="R3628">
        <v>6.3745850000000007E-2</v>
      </c>
      <c r="S3628">
        <v>3.0147089999999999</v>
      </c>
      <c r="T3628">
        <v>-0.28739819999999999</v>
      </c>
      <c r="U3628">
        <v>0.69798280000000001</v>
      </c>
      <c r="V3628">
        <v>-7.6400319999999994E-2</v>
      </c>
      <c r="W3628">
        <v>0.1222428</v>
      </c>
      <c r="X3628">
        <v>0.98955530000000003</v>
      </c>
      <c r="Y3628">
        <v>-0.23611019999999999</v>
      </c>
      <c r="Z3628">
        <v>1.2204970000000001E-2</v>
      </c>
      <c r="AA3628">
        <v>0.9716496</v>
      </c>
      <c r="AB3628">
        <v>42</v>
      </c>
      <c r="AC3628">
        <v>11.177599999999901</v>
      </c>
      <c r="AD3628">
        <v>-1.106711663719</v>
      </c>
      <c r="AE3628">
        <v>2.6922000000000099</v>
      </c>
      <c r="AF3628">
        <v>-2.7995630542893699</v>
      </c>
      <c r="AG3628">
        <v>-1.106711663719</v>
      </c>
      <c r="AH3628">
        <v>11.0423339250412</v>
      </c>
      <c r="AI3628">
        <v>95.548914539663002</v>
      </c>
      <c r="AJ3628">
        <v>104.226442248594</v>
      </c>
      <c r="AK3628">
        <v>11.445326666970599</v>
      </c>
      <c r="AL3628">
        <v>82.978441333278496</v>
      </c>
      <c r="AM3628">
        <v>94.414861017173607</v>
      </c>
      <c r="AN3628">
        <v>1.0000000014030099</v>
      </c>
    </row>
    <row r="3629" spans="1:40" x14ac:dyDescent="0.3">
      <c r="A3629" t="str">
        <f>"20200111150030578"</f>
        <v>20200111150030578</v>
      </c>
      <c r="B3629" t="str">
        <f>"1578726030569707"</f>
        <v>1578726030569707</v>
      </c>
      <c r="C3629" t="s">
        <v>40</v>
      </c>
      <c r="D3629">
        <v>4.5554649999999999</v>
      </c>
      <c r="E3629">
        <v>0.43601309999999899</v>
      </c>
      <c r="F3629" t="s">
        <v>66</v>
      </c>
      <c r="G3629">
        <v>-297.05349999999999</v>
      </c>
      <c r="H3629" s="1">
        <v>2.1455890000000002E-6</v>
      </c>
      <c r="I3629">
        <v>219.15430000000001</v>
      </c>
      <c r="J3629">
        <v>-308.8879</v>
      </c>
      <c r="K3629">
        <v>1.1066830000000001</v>
      </c>
      <c r="L3629">
        <v>216.2851</v>
      </c>
      <c r="M3629">
        <v>0.99991459999999999</v>
      </c>
      <c r="N3629">
        <v>0</v>
      </c>
      <c r="O3629">
        <v>-9.5927979999999996E-3</v>
      </c>
      <c r="P3629">
        <v>0.9911411</v>
      </c>
      <c r="Q3629">
        <v>0.1146628</v>
      </c>
      <c r="R3629">
        <v>6.7020940000000001E-2</v>
      </c>
      <c r="S3629">
        <v>3.011841</v>
      </c>
      <c r="T3629">
        <v>-0.27204109999999998</v>
      </c>
      <c r="U3629">
        <v>0.70443730000000004</v>
      </c>
      <c r="V3629">
        <v>-7.7339130000000006E-2</v>
      </c>
      <c r="W3629">
        <v>0.1229461</v>
      </c>
      <c r="X3629">
        <v>0.98939520000000003</v>
      </c>
      <c r="Y3629">
        <v>-0.23612459999999999</v>
      </c>
      <c r="Z3629">
        <v>1.135483E-2</v>
      </c>
      <c r="AA3629">
        <v>0.97165639999999998</v>
      </c>
      <c r="AB3629">
        <v>42</v>
      </c>
      <c r="AC3629">
        <v>11.8344</v>
      </c>
      <c r="AD3629">
        <v>-1.1066808544110001</v>
      </c>
      <c r="AE3629">
        <v>2.8692000000000002</v>
      </c>
      <c r="AF3629">
        <v>-2.9581648920473702</v>
      </c>
      <c r="AG3629">
        <v>-1.1066808544110001</v>
      </c>
      <c r="AH3629">
        <v>11.709616708054</v>
      </c>
      <c r="AI3629">
        <v>95.235487153667094</v>
      </c>
      <c r="AJ3629">
        <v>104.177815738853</v>
      </c>
      <c r="AK3629">
        <v>12.128091584894999</v>
      </c>
      <c r="AL3629">
        <v>82.937838740338904</v>
      </c>
      <c r="AM3629">
        <v>94.469612775984004</v>
      </c>
      <c r="AN3629">
        <v>0.99999997315870304</v>
      </c>
    </row>
    <row r="3630" spans="1:40" x14ac:dyDescent="0.3">
      <c r="A3630" t="str">
        <f>"20200111150030600"</f>
        <v>20200111150030600</v>
      </c>
      <c r="B3630" t="str">
        <f>"1578726030590207"</f>
        <v>1578726030590207</v>
      </c>
      <c r="C3630" t="s">
        <v>40</v>
      </c>
      <c r="D3630">
        <v>4.5390899999999998</v>
      </c>
      <c r="E3630">
        <v>0.43589909999999998</v>
      </c>
      <c r="F3630" t="s">
        <v>66</v>
      </c>
      <c r="G3630">
        <v>-296.5557</v>
      </c>
      <c r="H3630" s="1">
        <v>2.0572730000000001E-6</v>
      </c>
      <c r="I3630">
        <v>219.19589999999999</v>
      </c>
      <c r="J3630">
        <v>-308.47109999999998</v>
      </c>
      <c r="K3630">
        <v>1.1066400000000001</v>
      </c>
      <c r="L3630">
        <v>216.28270000000001</v>
      </c>
      <c r="M3630">
        <v>0.99993350000000003</v>
      </c>
      <c r="N3630">
        <v>0</v>
      </c>
      <c r="O3630">
        <v>-7.3371790000000001E-3</v>
      </c>
      <c r="P3630">
        <v>0.99097310000000005</v>
      </c>
      <c r="Q3630">
        <v>0.11502270000000001</v>
      </c>
      <c r="R3630">
        <v>6.8864819999999993E-2</v>
      </c>
      <c r="S3630">
        <v>3.0100099999999999</v>
      </c>
      <c r="T3630">
        <v>-0.2701151</v>
      </c>
      <c r="U3630">
        <v>0.710449199999999</v>
      </c>
      <c r="V3630">
        <v>-7.6935699999999996E-2</v>
      </c>
      <c r="W3630">
        <v>0.1233422</v>
      </c>
      <c r="X3630">
        <v>0.98937739999999996</v>
      </c>
      <c r="Y3630">
        <v>-0.23592550000000001</v>
      </c>
      <c r="Z3630">
        <v>1.1070699999999999E-2</v>
      </c>
      <c r="AA3630">
        <v>0.97170809999999996</v>
      </c>
      <c r="AB3630">
        <v>42</v>
      </c>
      <c r="AC3630">
        <v>11.915399999999901</v>
      </c>
      <c r="AD3630">
        <v>-1.1066379427269999</v>
      </c>
      <c r="AE3630">
        <v>2.9131999999999798</v>
      </c>
      <c r="AF3630">
        <v>-2.97632564853197</v>
      </c>
      <c r="AG3630">
        <v>-1.1066379427269999</v>
      </c>
      <c r="AH3630">
        <v>11.797680431019099</v>
      </c>
      <c r="AI3630">
        <v>95.196846114146894</v>
      </c>
      <c r="AJ3630">
        <v>104.159158540501</v>
      </c>
      <c r="AK3630">
        <v>12.217545803263601</v>
      </c>
      <c r="AL3630">
        <v>82.914970154338903</v>
      </c>
      <c r="AM3630">
        <v>94.446471008712606</v>
      </c>
      <c r="AN3630">
        <v>1.0000000199330401</v>
      </c>
    </row>
    <row r="3631" spans="1:40" x14ac:dyDescent="0.3">
      <c r="A3631" t="str">
        <f>"20200111150030634"</f>
        <v>20200111150030634</v>
      </c>
      <c r="B3631" t="str">
        <f>"1578726030630221"</f>
        <v>1578726030630221</v>
      </c>
      <c r="C3631" t="s">
        <v>40</v>
      </c>
      <c r="D3631">
        <v>4.7363309999999998</v>
      </c>
      <c r="E3631">
        <v>0.46118389999999998</v>
      </c>
      <c r="F3631" t="s">
        <v>66</v>
      </c>
      <c r="G3631">
        <v>-296.17140000000001</v>
      </c>
      <c r="H3631" s="1">
        <v>1.9891149999999999E-6</v>
      </c>
      <c r="I3631">
        <v>219.2183</v>
      </c>
      <c r="J3631">
        <v>-307.84690000000001</v>
      </c>
      <c r="K3631">
        <v>1.1065529999999999</v>
      </c>
      <c r="L3631">
        <v>216.2808</v>
      </c>
      <c r="M3631">
        <v>0.99995160000000005</v>
      </c>
      <c r="N3631">
        <v>0</v>
      </c>
      <c r="O3631">
        <v>-4.1297189999999996E-3</v>
      </c>
      <c r="P3631">
        <v>0.99100889999999997</v>
      </c>
      <c r="Q3631">
        <v>0.1148663</v>
      </c>
      <c r="R3631">
        <v>6.861138E-2</v>
      </c>
      <c r="S3631">
        <v>3.0088499999999998</v>
      </c>
      <c r="T3631">
        <v>-0.27071400000000001</v>
      </c>
      <c r="U3631">
        <v>0.71813959999999999</v>
      </c>
      <c r="V3631">
        <v>-7.3478299999999996E-2</v>
      </c>
      <c r="W3631">
        <v>0.123266</v>
      </c>
      <c r="X3631">
        <v>0.98964969999999997</v>
      </c>
      <c r="Y3631">
        <v>-0.23525479999999999</v>
      </c>
      <c r="Z3631">
        <v>1.078225E-2</v>
      </c>
      <c r="AA3631">
        <v>0.97187389999999996</v>
      </c>
      <c r="AB3631">
        <v>42</v>
      </c>
      <c r="AC3631">
        <v>11.6755</v>
      </c>
      <c r="AD3631">
        <v>-1.1065510108849901</v>
      </c>
      <c r="AE3631">
        <v>2.9375</v>
      </c>
      <c r="AF3631">
        <v>-2.96068258897412</v>
      </c>
      <c r="AG3631">
        <v>-1.1065510108849901</v>
      </c>
      <c r="AH3631">
        <v>11.565567010434201</v>
      </c>
      <c r="AI3631">
        <v>95.295475193218195</v>
      </c>
      <c r="AJ3631">
        <v>104.358859684527</v>
      </c>
      <c r="AK3631">
        <v>11.989680429652401</v>
      </c>
      <c r="AL3631">
        <v>82.9193698654977</v>
      </c>
      <c r="AM3631">
        <v>94.246235790810204</v>
      </c>
      <c r="AN3631">
        <v>1.0000000480184801</v>
      </c>
    </row>
    <row r="3632" spans="1:40" x14ac:dyDescent="0.3">
      <c r="A3632" t="str">
        <f>"20200111150030679"</f>
        <v>20200111150030679</v>
      </c>
      <c r="B3632" t="str">
        <f>"1578726030670238"</f>
        <v>1578726030670238</v>
      </c>
      <c r="C3632" t="s">
        <v>40</v>
      </c>
      <c r="D3632">
        <v>4.3555089999999996</v>
      </c>
      <c r="E3632">
        <v>0.46118389999999998</v>
      </c>
      <c r="F3632" t="s">
        <v>66</v>
      </c>
      <c r="G3632">
        <v>-292.58100000000002</v>
      </c>
      <c r="H3632" s="1">
        <v>1.352232E-6</v>
      </c>
      <c r="I3632">
        <v>218.89580000000001</v>
      </c>
      <c r="J3632">
        <v>-306.99149999999997</v>
      </c>
      <c r="K3632">
        <v>1.1064350000000001</v>
      </c>
      <c r="L3632">
        <v>216.28110000000001</v>
      </c>
      <c r="M3632">
        <v>0.99995959999999995</v>
      </c>
      <c r="N3632">
        <v>0</v>
      </c>
      <c r="O3632" s="1">
        <v>9.7016159999999992E-6</v>
      </c>
      <c r="P3632">
        <v>0.9911624</v>
      </c>
      <c r="Q3632">
        <v>0.1137499</v>
      </c>
      <c r="R3632">
        <v>6.8251679999999995E-2</v>
      </c>
      <c r="S3632">
        <v>3.016785</v>
      </c>
      <c r="T3632">
        <v>-0.21867239999999999</v>
      </c>
      <c r="U3632">
        <v>0.51676940000000005</v>
      </c>
      <c r="V3632">
        <v>-6.8975309999999998E-2</v>
      </c>
      <c r="W3632">
        <v>0.1222594</v>
      </c>
      <c r="X3632">
        <v>0.99009849999999999</v>
      </c>
      <c r="Y3632">
        <v>-0.1684001</v>
      </c>
      <c r="Z3632">
        <v>6.0506709999999997E-3</v>
      </c>
      <c r="AA3632">
        <v>0.98570009999999997</v>
      </c>
      <c r="AB3632">
        <v>42</v>
      </c>
      <c r="AC3632">
        <v>14.410500000000001</v>
      </c>
      <c r="AD3632">
        <v>-1.1064336477679999</v>
      </c>
      <c r="AE3632">
        <v>2.6146999999999898</v>
      </c>
      <c r="AF3632">
        <v>-2.59972298010902</v>
      </c>
      <c r="AG3632">
        <v>-1.1064336477679999</v>
      </c>
      <c r="AH3632">
        <v>14.328747951094799</v>
      </c>
      <c r="AI3632">
        <v>94.344834050382701</v>
      </c>
      <c r="AJ3632">
        <v>100.28354099443099</v>
      </c>
      <c r="AK3632">
        <v>14.604649014482501</v>
      </c>
      <c r="AL3632">
        <v>82.977483004196003</v>
      </c>
      <c r="AM3632">
        <v>93.985077645571195</v>
      </c>
      <c r="AN3632">
        <v>0.999999996990103</v>
      </c>
    </row>
    <row r="3633" spans="1:40" x14ac:dyDescent="0.3">
      <c r="A3633" t="str">
        <f>"20200111150030701"</f>
        <v>20200111150030701</v>
      </c>
      <c r="B3633" t="str">
        <f>"1578726030689762"</f>
        <v>1578726030689762</v>
      </c>
      <c r="C3633" t="s">
        <v>40</v>
      </c>
      <c r="D3633">
        <v>4.3322289999999999</v>
      </c>
      <c r="E3633">
        <v>0.56643399999999999</v>
      </c>
      <c r="F3633" t="s">
        <v>66</v>
      </c>
      <c r="G3633">
        <v>-291.98090000000002</v>
      </c>
      <c r="H3633" s="1">
        <v>1.2457870000000001E-6</v>
      </c>
      <c r="I3633">
        <v>218.8458</v>
      </c>
      <c r="J3633">
        <v>-306.5693</v>
      </c>
      <c r="K3633">
        <v>1.1063769999999999</v>
      </c>
      <c r="L3633">
        <v>216.2824</v>
      </c>
      <c r="M3633">
        <v>0.9999574</v>
      </c>
      <c r="N3633">
        <v>0</v>
      </c>
      <c r="O3633">
        <v>1.9408330000000001E-3</v>
      </c>
      <c r="P3633">
        <v>0.99111369999999999</v>
      </c>
      <c r="Q3633">
        <v>0.113968</v>
      </c>
      <c r="R3633">
        <v>6.8596130000000005E-2</v>
      </c>
      <c r="S3633">
        <v>3.016785</v>
      </c>
      <c r="T3633">
        <v>-0.22236790000000001</v>
      </c>
      <c r="U3633">
        <v>0.51545719999999995</v>
      </c>
      <c r="V3633">
        <v>-6.7389060000000001E-2</v>
      </c>
      <c r="W3633">
        <v>0.12252440000000001</v>
      </c>
      <c r="X3633">
        <v>0.99017489999999997</v>
      </c>
      <c r="Y3633">
        <v>-0.16607620000000001</v>
      </c>
      <c r="Z3633">
        <v>5.9268280000000003E-3</v>
      </c>
      <c r="AA3633">
        <v>0.9860951</v>
      </c>
      <c r="AB3633">
        <v>43</v>
      </c>
      <c r="AC3633">
        <v>14.588399999999901</v>
      </c>
      <c r="AD3633">
        <v>-1.1063757542129999</v>
      </c>
      <c r="AE3633">
        <v>2.5634000000000001</v>
      </c>
      <c r="AF3633">
        <v>-2.5210147454963998</v>
      </c>
      <c r="AG3633">
        <v>-1.1063757542129999</v>
      </c>
      <c r="AH3633">
        <v>14.512378209487499</v>
      </c>
      <c r="AI3633">
        <v>94.295523147664099</v>
      </c>
      <c r="AJ3633">
        <v>99.854781012095202</v>
      </c>
      <c r="AK3633">
        <v>14.7712120000942</v>
      </c>
      <c r="AL3633">
        <v>82.962184085621502</v>
      </c>
      <c r="AM3633">
        <v>93.893417082768494</v>
      </c>
      <c r="AN3633">
        <v>0.99999992329652299</v>
      </c>
    </row>
    <row r="3634" spans="1:40" x14ac:dyDescent="0.3">
      <c r="A3634" t="str">
        <f>"20200111150030723"</f>
        <v>20200111150030723</v>
      </c>
      <c r="B3634" t="str">
        <f>"1578726030720012"</f>
        <v>1578726030720012</v>
      </c>
      <c r="C3634" t="s">
        <v>40</v>
      </c>
      <c r="D3634">
        <v>4.2846929999999999</v>
      </c>
      <c r="E3634">
        <v>0.56663050000000004</v>
      </c>
      <c r="F3634" t="s">
        <v>62</v>
      </c>
      <c r="G3634">
        <v>-273.52069999999998</v>
      </c>
      <c r="H3634" s="1">
        <v>4.1556289999999998E-7</v>
      </c>
      <c r="I3634">
        <v>212.8135</v>
      </c>
      <c r="J3634">
        <v>-306.14400000000001</v>
      </c>
      <c r="K3634">
        <v>1.1063080000000001</v>
      </c>
      <c r="L3634">
        <v>216.28469999999999</v>
      </c>
      <c r="M3634">
        <v>0.99995179999999995</v>
      </c>
      <c r="N3634">
        <v>0</v>
      </c>
      <c r="O3634">
        <v>3.801886E-3</v>
      </c>
      <c r="P3634">
        <v>0.99091839999999998</v>
      </c>
      <c r="Q3634">
        <v>0.1146124</v>
      </c>
      <c r="R3634">
        <v>7.0318980000000003E-2</v>
      </c>
      <c r="S3634">
        <v>3.060883</v>
      </c>
      <c r="T3634">
        <v>-0.10247000000000001</v>
      </c>
      <c r="U3634">
        <v>-0.32128909999999899</v>
      </c>
      <c r="V3634">
        <v>-6.7250649999999995E-2</v>
      </c>
      <c r="W3634">
        <v>0.12320540000000001</v>
      </c>
      <c r="X3634">
        <v>0.99009990000000003</v>
      </c>
      <c r="Y3634">
        <v>0.1081111</v>
      </c>
      <c r="Z3634">
        <v>-1.9310799999999999E-3</v>
      </c>
      <c r="AA3634">
        <v>0.99413689999999999</v>
      </c>
      <c r="AB3634">
        <v>43</v>
      </c>
      <c r="AC3634">
        <v>32.6233</v>
      </c>
      <c r="AD3634">
        <v>-1.1063075844371</v>
      </c>
      <c r="AE3634">
        <v>-3.4711999999999801</v>
      </c>
      <c r="AF3634">
        <v>3.5911265143087299</v>
      </c>
      <c r="AG3634">
        <v>-1.1063075844371</v>
      </c>
      <c r="AH3634">
        <v>32.572827305106898</v>
      </c>
      <c r="AI3634">
        <v>91.933546725228894</v>
      </c>
      <c r="AJ3634">
        <v>83.708597330488601</v>
      </c>
      <c r="AK3634">
        <v>32.788857631236098</v>
      </c>
      <c r="AL3634">
        <v>82.922868433371605</v>
      </c>
      <c r="AM3634">
        <v>93.885738355345396</v>
      </c>
      <c r="AN3634">
        <v>1.00000001624729</v>
      </c>
    </row>
    <row r="3635" spans="1:40" x14ac:dyDescent="0.3">
      <c r="A3635" t="str">
        <f>"20200111150030746"</f>
        <v>20200111150030746</v>
      </c>
      <c r="B3635" t="str">
        <f>"1578726030739531"</f>
        <v>1578726030739531</v>
      </c>
      <c r="C3635" t="s">
        <v>40</v>
      </c>
      <c r="D3635">
        <v>4.2963959999999997</v>
      </c>
      <c r="E3635">
        <v>0.56759079999999995</v>
      </c>
      <c r="F3635" t="s">
        <v>62</v>
      </c>
      <c r="G3635">
        <v>-277.46690000000001</v>
      </c>
      <c r="H3635" s="1">
        <v>2.493872E-6</v>
      </c>
      <c r="I3635">
        <v>213.3091</v>
      </c>
      <c r="J3635">
        <v>-305.7072</v>
      </c>
      <c r="K3635">
        <v>1.106236</v>
      </c>
      <c r="L3635">
        <v>216.2877</v>
      </c>
      <c r="M3635">
        <v>0.99994280000000002</v>
      </c>
      <c r="N3635">
        <v>0</v>
      </c>
      <c r="O3635">
        <v>5.6436530000000002E-3</v>
      </c>
      <c r="P3635">
        <v>0.99062649999999997</v>
      </c>
      <c r="Q3635">
        <v>0.1157243</v>
      </c>
      <c r="R3635">
        <v>7.2573479999999996E-2</v>
      </c>
      <c r="S3635">
        <v>3.0637210000000001</v>
      </c>
      <c r="T3635">
        <v>-0.11819259999999999</v>
      </c>
      <c r="U3635">
        <v>-0.31790159999999901</v>
      </c>
      <c r="V3635">
        <v>-6.7665349999999999E-2</v>
      </c>
      <c r="W3635">
        <v>0.1243491</v>
      </c>
      <c r="X3635">
        <v>0.98992869999999999</v>
      </c>
      <c r="Y3635">
        <v>0.108737</v>
      </c>
      <c r="Z3635">
        <v>-2.3081299999999998E-3</v>
      </c>
      <c r="AA3635">
        <v>0.99406779999999995</v>
      </c>
      <c r="AB3635">
        <v>43</v>
      </c>
      <c r="AC3635">
        <v>28.240299999999898</v>
      </c>
      <c r="AD3635">
        <v>-1.106233506128</v>
      </c>
      <c r="AE3635">
        <v>-2.9786000000000001</v>
      </c>
      <c r="AF3635">
        <v>3.1331827510691599</v>
      </c>
      <c r="AG3635">
        <v>-1.106233506128</v>
      </c>
      <c r="AH3635">
        <v>28.1802736487254</v>
      </c>
      <c r="AI3635">
        <v>92.234272553659295</v>
      </c>
      <c r="AJ3635">
        <v>83.655708686522004</v>
      </c>
      <c r="AK3635">
        <v>28.375489592934301</v>
      </c>
      <c r="AL3635">
        <v>82.856831772618193</v>
      </c>
      <c r="AM3635">
        <v>93.910299653291901</v>
      </c>
      <c r="AN3635">
        <v>1.00000006467255</v>
      </c>
    </row>
    <row r="3636" spans="1:40" x14ac:dyDescent="0.3">
      <c r="A3636" t="str">
        <f>"20200111150030768"</f>
        <v>20200111150030768</v>
      </c>
      <c r="B3636" t="str">
        <f>"1578726030760031"</f>
        <v>1578726030760031</v>
      </c>
      <c r="C3636" t="s">
        <v>40</v>
      </c>
      <c r="D3636">
        <v>4.304996</v>
      </c>
      <c r="E3636">
        <v>0.56760440000000001</v>
      </c>
      <c r="F3636" t="s">
        <v>62</v>
      </c>
      <c r="G3636">
        <v>-277.9941</v>
      </c>
      <c r="H3636" s="1">
        <v>2.769911E-6</v>
      </c>
      <c r="I3636">
        <v>213.41229999999999</v>
      </c>
      <c r="J3636">
        <v>-305.26920000000001</v>
      </c>
      <c r="K3636">
        <v>1.1061650000000001</v>
      </c>
      <c r="L3636">
        <v>216.29150000000001</v>
      </c>
      <c r="M3636">
        <v>0.99993120000000002</v>
      </c>
      <c r="N3636">
        <v>0</v>
      </c>
      <c r="O3636">
        <v>7.4123610000000001E-3</v>
      </c>
      <c r="P3636">
        <v>0.99038190000000004</v>
      </c>
      <c r="Q3636">
        <v>0.116458199999999</v>
      </c>
      <c r="R3636">
        <v>7.4706930000000005E-2</v>
      </c>
      <c r="S3636">
        <v>3.0659480000000001</v>
      </c>
      <c r="T3636">
        <v>-0.12238449999999999</v>
      </c>
      <c r="U3636">
        <v>-0.31811519999999999</v>
      </c>
      <c r="V3636">
        <v>-6.8027879999999999E-2</v>
      </c>
      <c r="W3636">
        <v>0.12511459999999999</v>
      </c>
      <c r="X3636">
        <v>0.98980729999999995</v>
      </c>
      <c r="Y3636">
        <v>0.11048090000000001</v>
      </c>
      <c r="Z3636">
        <v>-2.4932919999999998E-3</v>
      </c>
      <c r="AA3636">
        <v>0.99387510000000001</v>
      </c>
      <c r="AB3636">
        <v>43</v>
      </c>
      <c r="AC3636">
        <v>27.275099999999998</v>
      </c>
      <c r="AD3636">
        <v>-1.1061622300889999</v>
      </c>
      <c r="AE3636">
        <v>-2.87920000000002</v>
      </c>
      <c r="AF3636">
        <v>3.0762981003123602</v>
      </c>
      <c r="AG3636">
        <v>-1.1061622300889999</v>
      </c>
      <c r="AH3636">
        <v>27.2087491631242</v>
      </c>
      <c r="AI3636">
        <v>92.313335142787196</v>
      </c>
      <c r="AJ3636">
        <v>83.549370683650395</v>
      </c>
      <c r="AK3636">
        <v>27.404438251915899</v>
      </c>
      <c r="AL3636">
        <v>82.812625974863806</v>
      </c>
      <c r="AM3636">
        <v>93.931664962354503</v>
      </c>
      <c r="AN3636">
        <v>0.99999997336187096</v>
      </c>
    </row>
    <row r="3637" spans="1:40" x14ac:dyDescent="0.3">
      <c r="A3637" t="str">
        <f>"20200111150030857"</f>
        <v>20200111150030857</v>
      </c>
      <c r="B3637" t="str">
        <f>"1578726030849820"</f>
        <v>1578726030849820</v>
      </c>
      <c r="C3637" t="s">
        <v>40</v>
      </c>
      <c r="D3637">
        <v>4.2948700000000004</v>
      </c>
      <c r="E3637">
        <v>0.56792580000000004</v>
      </c>
      <c r="F3637" t="s">
        <v>62</v>
      </c>
      <c r="G3637">
        <v>-278.20139999999998</v>
      </c>
      <c r="H3637" s="1">
        <v>2.8744719999999998E-6</v>
      </c>
      <c r="I3637">
        <v>213.54349999999999</v>
      </c>
      <c r="J3637">
        <v>-303.57420000000002</v>
      </c>
      <c r="K3637">
        <v>1.105739</v>
      </c>
      <c r="L3637">
        <v>216.31219999999999</v>
      </c>
      <c r="M3637">
        <v>0.99987179999999998</v>
      </c>
      <c r="N3637">
        <v>0</v>
      </c>
      <c r="O3637">
        <v>1.3126179999999999E-2</v>
      </c>
      <c r="P3637">
        <v>0.98955729999999997</v>
      </c>
      <c r="Q3637">
        <v>0.11903519999999899</v>
      </c>
      <c r="R3637">
        <v>8.1285659999999996E-2</v>
      </c>
      <c r="S3637">
        <v>3.0673520000000001</v>
      </c>
      <c r="T3637">
        <v>-0.1253513</v>
      </c>
      <c r="U3637">
        <v>-0.31140139999999999</v>
      </c>
      <c r="V3637">
        <v>-6.8827910000000006E-2</v>
      </c>
      <c r="W3637">
        <v>0.127831</v>
      </c>
      <c r="X3637">
        <v>0.98940490000000003</v>
      </c>
      <c r="Y3637">
        <v>0.11394799999999999</v>
      </c>
      <c r="Z3637">
        <v>-2.8563070000000002E-3</v>
      </c>
      <c r="AA3637">
        <v>0.99348259999999999</v>
      </c>
      <c r="AB3637">
        <v>43</v>
      </c>
      <c r="AC3637">
        <v>25.372800000000002</v>
      </c>
      <c r="AD3637">
        <v>-1.105736125528</v>
      </c>
      <c r="AE3637">
        <v>-2.7686999999999902</v>
      </c>
      <c r="AF3637">
        <v>3.0957132596853998</v>
      </c>
      <c r="AG3637">
        <v>-1.105736125528</v>
      </c>
      <c r="AH3637">
        <v>25.2868108139123</v>
      </c>
      <c r="AI3637">
        <v>92.485290710612801</v>
      </c>
      <c r="AJ3637">
        <v>83.020351044726297</v>
      </c>
      <c r="AK3637">
        <v>25.499586155545401</v>
      </c>
      <c r="AL3637">
        <v>82.6557283565337</v>
      </c>
      <c r="AM3637">
        <v>93.979367644159794</v>
      </c>
      <c r="AN3637">
        <v>1.00000005094998</v>
      </c>
    </row>
    <row r="3638" spans="1:40" x14ac:dyDescent="0.3">
      <c r="A3638" t="str">
        <f>"20200111150030879"</f>
        <v>20200111150030879</v>
      </c>
      <c r="B3638" t="str">
        <f>"1578726030870316"</f>
        <v>1578726030870316</v>
      </c>
      <c r="C3638" t="s">
        <v>40</v>
      </c>
      <c r="D3638">
        <v>4.203678</v>
      </c>
      <c r="E3638">
        <v>0.56802649999999999</v>
      </c>
      <c r="F3638" t="s">
        <v>62</v>
      </c>
      <c r="G3638">
        <v>-274.38580000000002</v>
      </c>
      <c r="H3638" s="1">
        <v>8.452423E-7</v>
      </c>
      <c r="I3638">
        <v>213.51480000000001</v>
      </c>
      <c r="J3638">
        <v>-303.15449999999998</v>
      </c>
      <c r="K3638">
        <v>1.105591</v>
      </c>
      <c r="L3638">
        <v>216.3184</v>
      </c>
      <c r="M3638">
        <v>0.99985749999999995</v>
      </c>
      <c r="N3638">
        <v>0</v>
      </c>
      <c r="O3638">
        <v>1.4167559999999999E-2</v>
      </c>
      <c r="P3638">
        <v>0.98946999999999996</v>
      </c>
      <c r="Q3638">
        <v>0.11931940000000001</v>
      </c>
      <c r="R3638">
        <v>8.1929870000000002E-2</v>
      </c>
      <c r="S3638">
        <v>3.0698240000000001</v>
      </c>
      <c r="T3638">
        <v>-0.11629340000000001</v>
      </c>
      <c r="U3638">
        <v>-0.29420469999999999</v>
      </c>
      <c r="V3638">
        <v>-6.8394730000000001E-2</v>
      </c>
      <c r="W3638">
        <v>0.1281573</v>
      </c>
      <c r="X3638">
        <v>0.98939270000000001</v>
      </c>
      <c r="Y3638">
        <v>0.10940660000000001</v>
      </c>
      <c r="Z3638">
        <v>-2.6022290000000002E-3</v>
      </c>
      <c r="AA3638">
        <v>0.99399369999999998</v>
      </c>
      <c r="AB3638">
        <v>43</v>
      </c>
      <c r="AC3638">
        <v>28.7686999999999</v>
      </c>
      <c r="AD3638">
        <v>-1.1055901547577001</v>
      </c>
      <c r="AE3638">
        <v>-2.8035999999999799</v>
      </c>
      <c r="AF3638">
        <v>3.2062273552959901</v>
      </c>
      <c r="AG3638">
        <v>-1.1055901547577001</v>
      </c>
      <c r="AH3638">
        <v>28.6841258182139</v>
      </c>
      <c r="AI3638">
        <v>92.193646521216607</v>
      </c>
      <c r="AJ3638">
        <v>83.622120068781001</v>
      </c>
      <c r="AK3638">
        <v>28.883928011945802</v>
      </c>
      <c r="AL3638">
        <v>82.636877494846601</v>
      </c>
      <c r="AM3638">
        <v>93.954451139259902</v>
      </c>
      <c r="AN3638">
        <v>1.00000002372417</v>
      </c>
    </row>
    <row r="3639" spans="1:40" x14ac:dyDescent="0.3">
      <c r="A3639" t="str">
        <f>"20200111150030901"</f>
        <v>20200111150030901</v>
      </c>
      <c r="B3639" t="str">
        <f>"1578726030899596"</f>
        <v>1578726030899596</v>
      </c>
      <c r="C3639" t="s">
        <v>40</v>
      </c>
      <c r="D3639">
        <v>4.1820409999999999</v>
      </c>
      <c r="E3639">
        <v>0.56795479999999998</v>
      </c>
      <c r="F3639" t="s">
        <v>62</v>
      </c>
      <c r="G3639">
        <v>-272.42829999999998</v>
      </c>
      <c r="H3639" s="1">
        <v>-1.9063159999999999E-7</v>
      </c>
      <c r="I3639">
        <v>213.3827</v>
      </c>
      <c r="J3639">
        <v>-302.72559999999999</v>
      </c>
      <c r="K3639">
        <v>1.105421</v>
      </c>
      <c r="L3639">
        <v>216.32509999999999</v>
      </c>
      <c r="M3639">
        <v>0.99984439999999997</v>
      </c>
      <c r="N3639">
        <v>0</v>
      </c>
      <c r="O3639">
        <v>1.505315E-2</v>
      </c>
      <c r="P3639">
        <v>0.98934509999999998</v>
      </c>
      <c r="Q3639">
        <v>0.1199607</v>
      </c>
      <c r="R3639">
        <v>8.2499589999999998E-2</v>
      </c>
      <c r="S3639">
        <v>3.06955</v>
      </c>
      <c r="T3639">
        <v>-0.11044859999999999</v>
      </c>
      <c r="U3639">
        <v>-0.29327389999999998</v>
      </c>
      <c r="V3639">
        <v>-6.8038080000000001E-2</v>
      </c>
      <c r="W3639">
        <v>0.1288426</v>
      </c>
      <c r="X3639">
        <v>0.98932830000000005</v>
      </c>
      <c r="Y3639">
        <v>0.1100044</v>
      </c>
      <c r="Z3639">
        <v>-2.5143040000000002E-3</v>
      </c>
      <c r="AA3639">
        <v>0.99392789999999998</v>
      </c>
      <c r="AB3639">
        <v>43</v>
      </c>
      <c r="AC3639">
        <v>30.2973</v>
      </c>
      <c r="AD3639">
        <v>-1.1054211906316</v>
      </c>
      <c r="AE3639">
        <v>-2.9423999999999899</v>
      </c>
      <c r="AF3639">
        <v>3.3936801717148901</v>
      </c>
      <c r="AG3639">
        <v>-1.1054211906316</v>
      </c>
      <c r="AH3639">
        <v>30.209732767657599</v>
      </c>
      <c r="AI3639">
        <v>92.082519362361197</v>
      </c>
      <c r="AJ3639">
        <v>83.590418279929906</v>
      </c>
      <c r="AK3639">
        <v>30.419845085237899</v>
      </c>
      <c r="AL3639">
        <v>82.5972845769586</v>
      </c>
      <c r="AM3639">
        <v>93.9341505105902</v>
      </c>
      <c r="AN3639">
        <v>1.00000004054286</v>
      </c>
    </row>
    <row r="3640" spans="1:40" x14ac:dyDescent="0.3">
      <c r="A3640" t="str">
        <f>"20200111150030924"</f>
        <v>20200111150030924</v>
      </c>
      <c r="B3640" t="str">
        <f>"1578726030920092"</f>
        <v>1578726030920092</v>
      </c>
      <c r="C3640" t="s">
        <v>40</v>
      </c>
      <c r="D3640">
        <v>4.190048</v>
      </c>
      <c r="E3640">
        <v>0.56804319999999997</v>
      </c>
      <c r="F3640" t="s">
        <v>62</v>
      </c>
      <c r="G3640">
        <v>-269.29239999999999</v>
      </c>
      <c r="H3640" s="1">
        <v>3.4720489999999998E-6</v>
      </c>
      <c r="I3640">
        <v>213.15520000000001</v>
      </c>
      <c r="J3640">
        <v>-302.2774</v>
      </c>
      <c r="K3640">
        <v>1.1052379999999999</v>
      </c>
      <c r="L3640">
        <v>216.3323</v>
      </c>
      <c r="M3640">
        <v>0.99983299999999997</v>
      </c>
      <c r="N3640">
        <v>0</v>
      </c>
      <c r="O3640">
        <v>1.5783490000000001E-2</v>
      </c>
      <c r="P3640">
        <v>0.98937850000000005</v>
      </c>
      <c r="Q3640">
        <v>0.1199538</v>
      </c>
      <c r="R3640">
        <v>8.2107509999999995E-2</v>
      </c>
      <c r="S3640">
        <v>3.0689090000000001</v>
      </c>
      <c r="T3640">
        <v>-0.1014689</v>
      </c>
      <c r="U3640">
        <v>-0.2909698</v>
      </c>
      <c r="V3640">
        <v>-6.6866350000000005E-2</v>
      </c>
      <c r="W3640">
        <v>0.12888369999999999</v>
      </c>
      <c r="X3640">
        <v>0.98940280000000003</v>
      </c>
      <c r="Y3640">
        <v>0.1100226</v>
      </c>
      <c r="Z3640">
        <v>-2.3349569999999999E-3</v>
      </c>
      <c r="AA3640">
        <v>0.99392630000000004</v>
      </c>
      <c r="AB3640">
        <v>43</v>
      </c>
      <c r="AC3640">
        <v>32.984999999999999</v>
      </c>
      <c r="AD3640">
        <v>-1.1052345279510001</v>
      </c>
      <c r="AE3640">
        <v>-3.17709999999999</v>
      </c>
      <c r="AF3640">
        <v>3.6932363143832099</v>
      </c>
      <c r="AG3640">
        <v>-1.1052345279510001</v>
      </c>
      <c r="AH3640">
        <v>32.8941511328375</v>
      </c>
      <c r="AI3640">
        <v>91.912391607450502</v>
      </c>
      <c r="AJ3640">
        <v>83.593865759301707</v>
      </c>
      <c r="AK3640">
        <v>33.119280133867797</v>
      </c>
      <c r="AL3640">
        <v>82.594909684943104</v>
      </c>
      <c r="AM3640">
        <v>93.866314879248606</v>
      </c>
      <c r="AN3640">
        <v>1.0000000087679199</v>
      </c>
    </row>
    <row r="3641" spans="1:40" x14ac:dyDescent="0.3">
      <c r="A3641" t="str">
        <f>"20200111150030946"</f>
        <v>20200111150030946</v>
      </c>
      <c r="B3641" t="str">
        <f>"1578726030939612"</f>
        <v>1578726030939612</v>
      </c>
      <c r="C3641" t="s">
        <v>40</v>
      </c>
      <c r="D3641">
        <v>4.2471370000000004</v>
      </c>
      <c r="E3641">
        <v>0.56855819999999901</v>
      </c>
      <c r="F3641" t="s">
        <v>62</v>
      </c>
      <c r="G3641">
        <v>-267.4932</v>
      </c>
      <c r="H3641" s="1">
        <v>2.5204130000000002E-6</v>
      </c>
      <c r="I3641">
        <v>213.0223</v>
      </c>
      <c r="J3641">
        <v>-301.8458</v>
      </c>
      <c r="K3641">
        <v>1.105075</v>
      </c>
      <c r="L3641">
        <v>216.33949999999999</v>
      </c>
      <c r="M3641">
        <v>0.99982380000000004</v>
      </c>
      <c r="N3641">
        <v>0</v>
      </c>
      <c r="O3641">
        <v>1.6343719999999999E-2</v>
      </c>
      <c r="P3641">
        <v>0.98940989999999995</v>
      </c>
      <c r="Q3641">
        <v>0.1197025</v>
      </c>
      <c r="R3641">
        <v>8.2094269999999997E-2</v>
      </c>
      <c r="S3641">
        <v>3.0682680000000002</v>
      </c>
      <c r="T3641">
        <v>-9.7491380000000002E-2</v>
      </c>
      <c r="U3641">
        <v>-0.29197689999999998</v>
      </c>
      <c r="V3641">
        <v>-6.6247280000000006E-2</v>
      </c>
      <c r="W3641">
        <v>0.1286747</v>
      </c>
      <c r="X3641">
        <v>0.98947160000000001</v>
      </c>
      <c r="Y3641">
        <v>0.11092680000000001</v>
      </c>
      <c r="Z3641">
        <v>-2.275998E-3</v>
      </c>
      <c r="AA3641">
        <v>0.99382599999999999</v>
      </c>
      <c r="AB3641">
        <v>43</v>
      </c>
      <c r="AC3641">
        <v>34.352599999999903</v>
      </c>
      <c r="AD3641">
        <v>-1.1050724795869999</v>
      </c>
      <c r="AE3641">
        <v>-3.3171999999999802</v>
      </c>
      <c r="AF3641">
        <v>3.8742580027768598</v>
      </c>
      <c r="AG3641">
        <v>-1.1050724795869999</v>
      </c>
      <c r="AH3641">
        <v>34.258669677978801</v>
      </c>
      <c r="AI3641">
        <v>91.835839701315805</v>
      </c>
      <c r="AJ3641">
        <v>83.547924184941706</v>
      </c>
      <c r="AK3641">
        <v>34.494746097950603</v>
      </c>
      <c r="AL3641">
        <v>82.606984717018406</v>
      </c>
      <c r="AM3641">
        <v>93.830360812045001</v>
      </c>
      <c r="AN3641">
        <v>0.99999996386702295</v>
      </c>
    </row>
    <row r="3642" spans="1:40" x14ac:dyDescent="0.3">
      <c r="A3642" t="str">
        <f>"20200111150030968"</f>
        <v>20200111150030968</v>
      </c>
      <c r="B3642" t="str">
        <f>"1578726030960111"</f>
        <v>1578726030960111</v>
      </c>
      <c r="C3642" t="s">
        <v>40</v>
      </c>
      <c r="D3642">
        <v>4.2182019999999998</v>
      </c>
      <c r="E3642">
        <v>0.56885160000000001</v>
      </c>
      <c r="F3642" t="s">
        <v>62</v>
      </c>
      <c r="G3642">
        <v>-267.46600000000001</v>
      </c>
      <c r="H3642" s="1">
        <v>2.5055559999999998E-6</v>
      </c>
      <c r="I3642">
        <v>213.03030000000001</v>
      </c>
      <c r="J3642">
        <v>-301.42070000000001</v>
      </c>
      <c r="K3642">
        <v>1.104932</v>
      </c>
      <c r="L3642">
        <v>216.3467</v>
      </c>
      <c r="M3642">
        <v>0.9998165</v>
      </c>
      <c r="N3642">
        <v>0</v>
      </c>
      <c r="O3642">
        <v>1.6773670000000001E-2</v>
      </c>
      <c r="P3642">
        <v>0.98936000000000002</v>
      </c>
      <c r="Q3642">
        <v>0.1200869</v>
      </c>
      <c r="R3642">
        <v>8.2134310000000002E-2</v>
      </c>
      <c r="S3642">
        <v>3.0685419999999999</v>
      </c>
      <c r="T3642">
        <v>-9.8632339999999999E-2</v>
      </c>
      <c r="U3642">
        <v>-0.29536440000000003</v>
      </c>
      <c r="V3642">
        <v>-6.5819009999999997E-2</v>
      </c>
      <c r="W3642">
        <v>0.1290955</v>
      </c>
      <c r="X3642">
        <v>0.98944540000000003</v>
      </c>
      <c r="Y3642">
        <v>0.1124303</v>
      </c>
      <c r="Z3642">
        <v>-2.3401870000000001E-3</v>
      </c>
      <c r="AA3642">
        <v>0.99365689999999995</v>
      </c>
      <c r="AB3642">
        <v>43</v>
      </c>
      <c r="AC3642">
        <v>33.954700000000003</v>
      </c>
      <c r="AD3642">
        <v>-1.104929494444</v>
      </c>
      <c r="AE3642">
        <v>-3.3163999999999798</v>
      </c>
      <c r="AF3642">
        <v>3.8814313519819601</v>
      </c>
      <c r="AG3642">
        <v>-1.104929494444</v>
      </c>
      <c r="AH3642">
        <v>33.858776554719199</v>
      </c>
      <c r="AI3642">
        <v>91.856944018616204</v>
      </c>
      <c r="AJ3642">
        <v>83.4603935038716</v>
      </c>
      <c r="AK3642">
        <v>34.098432930418497</v>
      </c>
      <c r="AL3642">
        <v>82.582672102854204</v>
      </c>
      <c r="AM3642">
        <v>93.8057720868985</v>
      </c>
      <c r="AN3642">
        <v>0.99999999488939495</v>
      </c>
    </row>
    <row r="3643" spans="1:40" x14ac:dyDescent="0.3">
      <c r="A3643" t="str">
        <f>"20200111150030991"</f>
        <v>20200111150030991</v>
      </c>
      <c r="B3643" t="str">
        <f>"1578726030979628"</f>
        <v>1578726030979628</v>
      </c>
      <c r="C3643" t="s">
        <v>40</v>
      </c>
      <c r="D3643">
        <v>4.2364870000000003</v>
      </c>
      <c r="E3643">
        <v>0.56916889999999998</v>
      </c>
      <c r="F3643" t="s">
        <v>62</v>
      </c>
      <c r="G3643">
        <v>-266.39030000000002</v>
      </c>
      <c r="H3643" s="1">
        <v>1.936486E-6</v>
      </c>
      <c r="I3643">
        <v>212.95310000000001</v>
      </c>
      <c r="J3643">
        <v>-300.9853</v>
      </c>
      <c r="K3643">
        <v>1.104805</v>
      </c>
      <c r="L3643">
        <v>216.35429999999999</v>
      </c>
      <c r="M3643">
        <v>0.99981059999999999</v>
      </c>
      <c r="N3643">
        <v>0</v>
      </c>
      <c r="O3643">
        <v>1.7110799999999999E-2</v>
      </c>
      <c r="P3643">
        <v>0.98941860000000004</v>
      </c>
      <c r="Q3643">
        <v>0.119808999999999</v>
      </c>
      <c r="R3643">
        <v>8.1833989999999995E-2</v>
      </c>
      <c r="S3643">
        <v>3.068695</v>
      </c>
      <c r="T3643">
        <v>-9.6792580000000003E-2</v>
      </c>
      <c r="U3643">
        <v>-0.29728700000000002</v>
      </c>
      <c r="V3643">
        <v>-6.5142610000000004E-2</v>
      </c>
      <c r="W3643">
        <v>0.12885350000000001</v>
      </c>
      <c r="X3643">
        <v>0.98952169999999895</v>
      </c>
      <c r="Y3643">
        <v>0.1133793</v>
      </c>
      <c r="Z3643">
        <v>-2.3219130000000001E-3</v>
      </c>
      <c r="AA3643">
        <v>0.99354900000000002</v>
      </c>
      <c r="AB3643">
        <v>43</v>
      </c>
      <c r="AC3643">
        <v>34.594999999999899</v>
      </c>
      <c r="AD3643">
        <v>-1.104803063514</v>
      </c>
      <c r="AE3643">
        <v>-3.4011999999999798</v>
      </c>
      <c r="AF3643">
        <v>3.9886466550535702</v>
      </c>
      <c r="AG3643">
        <v>-1.104803063514</v>
      </c>
      <c r="AH3643">
        <v>34.496889692693699</v>
      </c>
      <c r="AI3643">
        <v>91.822205473793403</v>
      </c>
      <c r="AJ3643">
        <v>83.4045557892848</v>
      </c>
      <c r="AK3643">
        <v>34.744284284150901</v>
      </c>
      <c r="AL3643">
        <v>82.596654422928495</v>
      </c>
      <c r="AM3643">
        <v>93.766485002716905</v>
      </c>
      <c r="AN3643">
        <v>0.99999998943537505</v>
      </c>
    </row>
    <row r="3644" spans="1:40" x14ac:dyDescent="0.3">
      <c r="A3644" t="str">
        <f>"20200111150031013"</f>
        <v>20200111150031013</v>
      </c>
      <c r="B3644" t="str">
        <f>"1578726031000124"</f>
        <v>1578726031000124</v>
      </c>
      <c r="C3644" t="s">
        <v>40</v>
      </c>
      <c r="D3644">
        <v>4.221101</v>
      </c>
      <c r="E3644">
        <v>0.56933429999999996</v>
      </c>
      <c r="F3644" t="s">
        <v>62</v>
      </c>
      <c r="G3644">
        <v>-266.53539999999998</v>
      </c>
      <c r="H3644" s="1">
        <v>2.0123760000000002E-6</v>
      </c>
      <c r="I3644">
        <v>212.9846</v>
      </c>
      <c r="J3644">
        <v>-300.54649999999998</v>
      </c>
      <c r="K3644">
        <v>1.1046879999999999</v>
      </c>
      <c r="L3644">
        <v>216.36199999999999</v>
      </c>
      <c r="M3644">
        <v>0.99980610000000003</v>
      </c>
      <c r="N3644">
        <v>0</v>
      </c>
      <c r="O3644">
        <v>1.7372930000000002E-2</v>
      </c>
      <c r="P3644">
        <v>0.9894773</v>
      </c>
      <c r="Q3644">
        <v>0.1195952</v>
      </c>
      <c r="R3644">
        <v>8.1435889999999997E-2</v>
      </c>
      <c r="S3644">
        <v>3.0688780000000002</v>
      </c>
      <c r="T3644">
        <v>-9.8418469999999994E-2</v>
      </c>
      <c r="U3644">
        <v>-0.30018620000000001</v>
      </c>
      <c r="V3644">
        <v>-6.4447679999999993E-2</v>
      </c>
      <c r="W3644">
        <v>0.12867239999999999</v>
      </c>
      <c r="X3644">
        <v>0.98959079999999999</v>
      </c>
      <c r="Y3644">
        <v>0.11456089999999999</v>
      </c>
      <c r="Z3644">
        <v>-2.3879349999999999E-3</v>
      </c>
      <c r="AA3644">
        <v>0.9934134</v>
      </c>
      <c r="AB3644">
        <v>43</v>
      </c>
      <c r="AC3644">
        <v>34.011099999999999</v>
      </c>
      <c r="AD3644">
        <v>-1.1046859876239901</v>
      </c>
      <c r="AE3644">
        <v>-3.37739999999999</v>
      </c>
      <c r="AF3644">
        <v>3.9636474270774502</v>
      </c>
      <c r="AG3644">
        <v>-1.1046859876239901</v>
      </c>
      <c r="AH3644">
        <v>33.911862378116098</v>
      </c>
      <c r="AI3644">
        <v>91.853155921520894</v>
      </c>
      <c r="AJ3644">
        <v>83.333468029385202</v>
      </c>
      <c r="AK3644">
        <v>34.1605802352612</v>
      </c>
      <c r="AL3644">
        <v>82.607118024583301</v>
      </c>
      <c r="AM3644">
        <v>93.726159146105203</v>
      </c>
      <c r="AN3644">
        <v>1.00000002071189</v>
      </c>
    </row>
    <row r="3645" spans="1:40" x14ac:dyDescent="0.3">
      <c r="A3645" t="str">
        <f>"20200111150031037"</f>
        <v>20200111150031037</v>
      </c>
      <c r="B3645" t="str">
        <f>"1578726031029405"</f>
        <v>1578726031029405</v>
      </c>
      <c r="C3645" t="s">
        <v>40</v>
      </c>
      <c r="D3645">
        <v>4.1998939999999996</v>
      </c>
      <c r="E3645">
        <v>0.56953659999999995</v>
      </c>
      <c r="F3645" t="s">
        <v>62</v>
      </c>
      <c r="G3645">
        <v>-265.70769999999999</v>
      </c>
      <c r="H3645" s="1">
        <v>1.574348E-6</v>
      </c>
      <c r="I3645">
        <v>212.92840000000001</v>
      </c>
      <c r="J3645">
        <v>-300.09199999999998</v>
      </c>
      <c r="K3645">
        <v>1.1045849999999999</v>
      </c>
      <c r="L3645">
        <v>216.37010000000001</v>
      </c>
      <c r="M3645">
        <v>0.99980210000000003</v>
      </c>
      <c r="N3645">
        <v>0</v>
      </c>
      <c r="O3645">
        <v>1.75902E-2</v>
      </c>
      <c r="P3645">
        <v>0.98950819999999995</v>
      </c>
      <c r="Q3645">
        <v>0.1193786</v>
      </c>
      <c r="R3645">
        <v>8.1377450000000004E-2</v>
      </c>
      <c r="S3645">
        <v>3.0685419999999999</v>
      </c>
      <c r="T3645">
        <v>-9.7298860000000001E-2</v>
      </c>
      <c r="U3645">
        <v>-0.30242920000000001</v>
      </c>
      <c r="V3645">
        <v>-6.4142050000000006E-2</v>
      </c>
      <c r="W3645">
        <v>0.1284855</v>
      </c>
      <c r="X3645">
        <v>0.98963489999999998</v>
      </c>
      <c r="Y3645">
        <v>0.115507399999999</v>
      </c>
      <c r="Z3645">
        <v>-2.382796E-3</v>
      </c>
      <c r="AA3645">
        <v>0.99330379999999996</v>
      </c>
      <c r="AB3645">
        <v>43</v>
      </c>
      <c r="AC3645">
        <v>34.384300000000003</v>
      </c>
      <c r="AD3645">
        <v>-1.104583425652</v>
      </c>
      <c r="AE3645">
        <v>-3.4416999999999902</v>
      </c>
      <c r="AF3645">
        <v>4.04189045838831</v>
      </c>
      <c r="AG3645">
        <v>-1.104583425652</v>
      </c>
      <c r="AH3645">
        <v>34.283407541725701</v>
      </c>
      <c r="AI3645">
        <v>91.832700737558994</v>
      </c>
      <c r="AJ3645">
        <v>83.276072223127102</v>
      </c>
      <c r="AK3645">
        <v>34.538514960749097</v>
      </c>
      <c r="AL3645">
        <v>82.617915942237204</v>
      </c>
      <c r="AM3645">
        <v>93.708373225986406</v>
      </c>
      <c r="AN3645">
        <v>0.99999998079323105</v>
      </c>
    </row>
    <row r="3646" spans="1:40" x14ac:dyDescent="0.3">
      <c r="A3646" t="str">
        <f>"20200111150031058"</f>
        <v>20200111150031058</v>
      </c>
      <c r="B3646" t="str">
        <f>"1578726031049900"</f>
        <v>1578726031049900</v>
      </c>
      <c r="C3646" t="s">
        <v>40</v>
      </c>
      <c r="D3646">
        <v>5.1324719999999999</v>
      </c>
      <c r="E3646">
        <v>0.56930259999999999</v>
      </c>
      <c r="F3646" t="s">
        <v>62</v>
      </c>
      <c r="G3646">
        <v>-265.00760000000002</v>
      </c>
      <c r="H3646" s="1">
        <v>1.2034180000000001E-6</v>
      </c>
      <c r="I3646">
        <v>212.8914</v>
      </c>
      <c r="J3646">
        <v>-299.67349999999999</v>
      </c>
      <c r="K3646">
        <v>1.104503</v>
      </c>
      <c r="L3646">
        <v>216.3776</v>
      </c>
      <c r="M3646">
        <v>0.99979910000000005</v>
      </c>
      <c r="N3646">
        <v>0</v>
      </c>
      <c r="O3646">
        <v>1.775999E-2</v>
      </c>
      <c r="P3646">
        <v>0.98950740000000004</v>
      </c>
      <c r="Q3646">
        <v>0.1192363</v>
      </c>
      <c r="R3646">
        <v>8.159653E-2</v>
      </c>
      <c r="S3646">
        <v>3.0684809999999998</v>
      </c>
      <c r="T3646">
        <v>-9.6606849999999994E-2</v>
      </c>
      <c r="U3646">
        <v>-0.30424499999999999</v>
      </c>
      <c r="V3646">
        <v>-6.4169000000000004E-2</v>
      </c>
      <c r="W3646">
        <v>0.12836729999999999</v>
      </c>
      <c r="X3646">
        <v>0.98964850000000004</v>
      </c>
      <c r="Y3646">
        <v>0.11626060000000001</v>
      </c>
      <c r="Z3646">
        <v>-2.3829939999999998E-3</v>
      </c>
      <c r="AA3646">
        <v>0.99321590000000004</v>
      </c>
      <c r="AB3646">
        <v>43</v>
      </c>
      <c r="AC3646">
        <v>34.665899999999901</v>
      </c>
      <c r="AD3646">
        <v>-1.1045017965819901</v>
      </c>
      <c r="AE3646">
        <v>-3.48619999999999</v>
      </c>
      <c r="AF3646">
        <v>4.097225091176</v>
      </c>
      <c r="AG3646">
        <v>-1.1045017965819901</v>
      </c>
      <c r="AH3646">
        <v>34.563778503567796</v>
      </c>
      <c r="AI3646">
        <v>91.817573676238098</v>
      </c>
      <c r="AJ3646">
        <v>83.239648259625895</v>
      </c>
      <c r="AK3646">
        <v>34.823296255669298</v>
      </c>
      <c r="AL3646">
        <v>82.624744913639205</v>
      </c>
      <c r="AM3646">
        <v>93.709876149619902</v>
      </c>
      <c r="AN3646">
        <v>0.99999998891126995</v>
      </c>
    </row>
    <row r="3647" spans="1:40" x14ac:dyDescent="0.3">
      <c r="A3647" t="str">
        <f>"20200111150031080"</f>
        <v>20200111150031080</v>
      </c>
      <c r="B3647" t="str">
        <f>"1578726031070396"</f>
        <v>1578726031070396</v>
      </c>
      <c r="C3647" t="s">
        <v>40</v>
      </c>
      <c r="D3647">
        <v>4.2237780000000003</v>
      </c>
      <c r="E3647">
        <v>0.56961099999999998</v>
      </c>
      <c r="F3647" t="s">
        <v>62</v>
      </c>
      <c r="G3647">
        <v>-262.85390000000001</v>
      </c>
      <c r="H3647" s="1">
        <v>6.3598239999999995E-8</v>
      </c>
      <c r="I3647">
        <v>212.74780000000001</v>
      </c>
      <c r="J3647">
        <v>-299.24849999999998</v>
      </c>
      <c r="K3647">
        <v>1.104438</v>
      </c>
      <c r="L3647">
        <v>216.3854</v>
      </c>
      <c r="M3647">
        <v>0.99979620000000002</v>
      </c>
      <c r="N3647">
        <v>0</v>
      </c>
      <c r="O3647">
        <v>1.7917300000000001E-2</v>
      </c>
      <c r="P3647">
        <v>0.98949739999999997</v>
      </c>
      <c r="Q3647">
        <v>0.1189529</v>
      </c>
      <c r="R3647">
        <v>8.2128030000000005E-2</v>
      </c>
      <c r="S3647">
        <v>3.0678709999999998</v>
      </c>
      <c r="T3647">
        <v>-9.202921E-2</v>
      </c>
      <c r="U3647">
        <v>-0.30244450000000001</v>
      </c>
      <c r="V3647">
        <v>-6.4523700000000003E-2</v>
      </c>
      <c r="W3647">
        <v>0.12810579999999999</v>
      </c>
      <c r="X3647">
        <v>0.98965930000000002</v>
      </c>
      <c r="Y3647">
        <v>0.1158651</v>
      </c>
      <c r="Z3647">
        <v>-2.2694360000000001E-3</v>
      </c>
      <c r="AA3647">
        <v>0.99326239999999999</v>
      </c>
      <c r="AB3647">
        <v>44</v>
      </c>
      <c r="AC3647">
        <v>36.394599999999897</v>
      </c>
      <c r="AD3647">
        <v>-1.10443793640176</v>
      </c>
      <c r="AE3647">
        <v>-3.6375999999999902</v>
      </c>
      <c r="AF3647">
        <v>4.2852299925194099</v>
      </c>
      <c r="AG3647">
        <v>-1.10443793640176</v>
      </c>
      <c r="AH3647">
        <v>36.290489291320803</v>
      </c>
      <c r="AI3647">
        <v>91.731139744383896</v>
      </c>
      <c r="AJ3647">
        <v>83.265621040749906</v>
      </c>
      <c r="AK3647">
        <v>36.559302403733298</v>
      </c>
      <c r="AL3647">
        <v>82.639852331864205</v>
      </c>
      <c r="AM3647">
        <v>93.730284492577894</v>
      </c>
      <c r="AN3647">
        <v>0.99999996696590898</v>
      </c>
    </row>
    <row r="3648" spans="1:40" x14ac:dyDescent="0.3">
      <c r="A3648" t="str">
        <f>"20200111150031103"</f>
        <v>20200111150031103</v>
      </c>
      <c r="B3648" t="str">
        <f>"1578726031099676"</f>
        <v>1578726031099676</v>
      </c>
      <c r="C3648" t="s">
        <v>40</v>
      </c>
      <c r="D3648">
        <v>4.2984349999999996</v>
      </c>
      <c r="E3648">
        <v>0.56940210000000002</v>
      </c>
      <c r="F3648" t="s">
        <v>62</v>
      </c>
      <c r="G3648">
        <v>-261.8698</v>
      </c>
      <c r="H3648" s="1">
        <v>-4.5759359999999999E-7</v>
      </c>
      <c r="I3648">
        <v>212.6902</v>
      </c>
      <c r="J3648">
        <v>-298.80950000000001</v>
      </c>
      <c r="K3648">
        <v>1.1043780000000001</v>
      </c>
      <c r="L3648">
        <v>216.39340000000001</v>
      </c>
      <c r="M3648">
        <v>0.99979320000000005</v>
      </c>
      <c r="N3648">
        <v>0</v>
      </c>
      <c r="O3648">
        <v>1.8072899999999999E-2</v>
      </c>
      <c r="P3648">
        <v>0.98950360000000004</v>
      </c>
      <c r="Q3648">
        <v>0.118214899999999</v>
      </c>
      <c r="R3648">
        <v>8.3114549999999995E-2</v>
      </c>
      <c r="S3648">
        <v>3.0679020000000001</v>
      </c>
      <c r="T3648">
        <v>-9.0648060000000003E-2</v>
      </c>
      <c r="U3648">
        <v>-0.30328369999999999</v>
      </c>
      <c r="V3648">
        <v>-6.5337199999999998E-2</v>
      </c>
      <c r="W3648">
        <v>0.1273879</v>
      </c>
      <c r="X3648">
        <v>0.98969859999999998</v>
      </c>
      <c r="Y3648">
        <v>0.1162893</v>
      </c>
      <c r="Z3648">
        <v>-2.2461780000000002E-3</v>
      </c>
      <c r="AA3648">
        <v>0.99321280000000001</v>
      </c>
      <c r="AB3648">
        <v>44</v>
      </c>
      <c r="AC3648">
        <v>36.939700000000002</v>
      </c>
      <c r="AD3648">
        <v>-1.1043784575936</v>
      </c>
      <c r="AE3648">
        <v>-3.7031999999999998</v>
      </c>
      <c r="AF3648">
        <v>4.3663677272622303</v>
      </c>
      <c r="AG3648">
        <v>-1.1043784575936</v>
      </c>
      <c r="AH3648">
        <v>36.834140274048799</v>
      </c>
      <c r="AI3648">
        <v>91.705421034016595</v>
      </c>
      <c r="AJ3648">
        <v>83.2396303633641</v>
      </c>
      <c r="AK3648">
        <v>37.1084721948449</v>
      </c>
      <c r="AL3648">
        <v>82.681324808935798</v>
      </c>
      <c r="AM3648">
        <v>93.777030207920006</v>
      </c>
      <c r="AN3648">
        <v>0.99999997280610398</v>
      </c>
    </row>
    <row r="3649" spans="1:40" x14ac:dyDescent="0.3">
      <c r="A3649" t="str">
        <f>"20200111150031126"</f>
        <v>20200111150031126</v>
      </c>
      <c r="B3649" t="str">
        <f>"1578726031120173"</f>
        <v>1578726031120173</v>
      </c>
      <c r="C3649" t="s">
        <v>40</v>
      </c>
      <c r="D3649">
        <v>4.3281519999999896</v>
      </c>
      <c r="E3649">
        <v>0.56932869999999902</v>
      </c>
      <c r="F3649" t="s">
        <v>62</v>
      </c>
      <c r="G3649">
        <v>-259.7373</v>
      </c>
      <c r="H3649" s="1">
        <v>3.7337170000000002E-6</v>
      </c>
      <c r="I3649">
        <v>212.58449999999999</v>
      </c>
      <c r="J3649">
        <v>-298.35939999999999</v>
      </c>
      <c r="K3649">
        <v>1.1043240000000001</v>
      </c>
      <c r="L3649">
        <v>216.40170000000001</v>
      </c>
      <c r="M3649">
        <v>0.99979019999999996</v>
      </c>
      <c r="N3649">
        <v>0</v>
      </c>
      <c r="O3649">
        <v>1.8230550000000002E-2</v>
      </c>
      <c r="P3649">
        <v>0.98964379999999996</v>
      </c>
      <c r="Q3649">
        <v>0.1170448</v>
      </c>
      <c r="R3649">
        <v>8.3100759999999996E-2</v>
      </c>
      <c r="S3649">
        <v>3.067291</v>
      </c>
      <c r="T3649">
        <v>-8.6696860000000001E-2</v>
      </c>
      <c r="U3649">
        <v>-0.29901119999999998</v>
      </c>
      <c r="V3649">
        <v>-6.5149589999999993E-2</v>
      </c>
      <c r="W3649">
        <v>0.12623899999999999</v>
      </c>
      <c r="X3649">
        <v>0.98985820000000002</v>
      </c>
      <c r="Y3649">
        <v>0.1151003</v>
      </c>
      <c r="Z3649">
        <v>-2.1365659999999999E-3</v>
      </c>
      <c r="AA3649">
        <v>0.9933516</v>
      </c>
      <c r="AB3649">
        <v>44</v>
      </c>
      <c r="AC3649">
        <v>38.622099999999897</v>
      </c>
      <c r="AD3649">
        <v>-1.1043202662830001</v>
      </c>
      <c r="AE3649">
        <v>-3.8172000000000099</v>
      </c>
      <c r="AF3649">
        <v>4.5170411739296004</v>
      </c>
      <c r="AG3649">
        <v>-1.1043202662830001</v>
      </c>
      <c r="AH3649">
        <v>38.5149045921641</v>
      </c>
      <c r="AI3649">
        <v>91.631191896664106</v>
      </c>
      <c r="AJ3649">
        <v>83.310888568330597</v>
      </c>
      <c r="AK3649">
        <v>38.7946009125111</v>
      </c>
      <c r="AL3649">
        <v>82.747687946832897</v>
      </c>
      <c r="AM3649">
        <v>93.765610558214306</v>
      </c>
      <c r="AN3649">
        <v>1.0000000051527</v>
      </c>
    </row>
    <row r="3650" spans="1:40" x14ac:dyDescent="0.3">
      <c r="A3650" t="str">
        <f>"20200111150031605"</f>
        <v>20200111150031605</v>
      </c>
      <c r="B3650" t="str">
        <f>"1578726031599630"</f>
        <v>1578726031599630</v>
      </c>
      <c r="C3650" t="s">
        <v>40</v>
      </c>
      <c r="D3650">
        <v>5.5356930000000002</v>
      </c>
      <c r="E3650">
        <v>0.56842979999999999</v>
      </c>
      <c r="F3650" t="s">
        <v>62</v>
      </c>
      <c r="G3650">
        <v>-259.1232</v>
      </c>
      <c r="H3650" s="1">
        <v>3.4072939999999998E-6</v>
      </c>
      <c r="I3650">
        <v>212.5761</v>
      </c>
      <c r="J3650">
        <v>-288.86619999999999</v>
      </c>
      <c r="K3650">
        <v>1.103974</v>
      </c>
      <c r="L3650">
        <v>216.58670000000001</v>
      </c>
      <c r="M3650">
        <v>0.99975890000000001</v>
      </c>
      <c r="N3650">
        <v>0</v>
      </c>
      <c r="O3650">
        <v>1.9765189999999998E-2</v>
      </c>
      <c r="P3650">
        <v>0.9908671</v>
      </c>
      <c r="Q3650">
        <v>0.1160418</v>
      </c>
      <c r="R3650">
        <v>6.8680930000000001E-2</v>
      </c>
      <c r="S3650">
        <v>3.0667110000000002</v>
      </c>
      <c r="T3650">
        <v>-8.6313959999999995E-2</v>
      </c>
      <c r="U3650">
        <v>-0.29901119999999998</v>
      </c>
      <c r="V3650">
        <v>-4.907868E-2</v>
      </c>
      <c r="W3650">
        <v>0.12554319999999999</v>
      </c>
      <c r="X3650">
        <v>0.99087349999999996</v>
      </c>
      <c r="Y3650">
        <v>0.11664239999999999</v>
      </c>
      <c r="Z3650">
        <v>-2.1922780000000002E-3</v>
      </c>
      <c r="AA3650">
        <v>0.99317160000000004</v>
      </c>
      <c r="AB3650">
        <v>45</v>
      </c>
      <c r="AC3650">
        <v>29.742999999999899</v>
      </c>
      <c r="AD3650">
        <v>-1.103970592706</v>
      </c>
      <c r="AE3650">
        <v>-4.0106000000000099</v>
      </c>
      <c r="AF3650">
        <v>4.5915067679103601</v>
      </c>
      <c r="AG3650">
        <v>-1.103970592706</v>
      </c>
      <c r="AH3650">
        <v>29.6178402837484</v>
      </c>
      <c r="AI3650">
        <v>92.1094708724562</v>
      </c>
      <c r="AJ3650">
        <v>81.187866194411498</v>
      </c>
      <c r="AK3650">
        <v>29.991951396048801</v>
      </c>
      <c r="AL3650">
        <v>82.787874411883394</v>
      </c>
      <c r="AM3650">
        <v>92.835584010733299</v>
      </c>
      <c r="AN3650">
        <v>1.0000000524495101</v>
      </c>
    </row>
    <row r="3651" spans="1:40" x14ac:dyDescent="0.3">
      <c r="A3651" t="str">
        <f>"20200111150031641"</f>
        <v>20200111150031641</v>
      </c>
      <c r="B3651" t="str">
        <f>"1578726031629416"</f>
        <v>1578726031629416</v>
      </c>
      <c r="C3651" t="s">
        <v>40</v>
      </c>
      <c r="D3651">
        <v>4.2745889999999997</v>
      </c>
      <c r="E3651">
        <v>0.56934259999999903</v>
      </c>
      <c r="F3651" t="s">
        <v>62</v>
      </c>
      <c r="G3651">
        <v>-243.4085</v>
      </c>
      <c r="H3651" s="1">
        <v>4.089455E-7</v>
      </c>
      <c r="I3651">
        <v>211.59909999999999</v>
      </c>
      <c r="J3651">
        <v>-288.13470000000001</v>
      </c>
      <c r="K3651">
        <v>1.1039509999999999</v>
      </c>
      <c r="L3651">
        <v>216.6011</v>
      </c>
      <c r="M3651">
        <v>0.99975939999999996</v>
      </c>
      <c r="N3651">
        <v>0</v>
      </c>
      <c r="O3651">
        <v>1.972467E-2</v>
      </c>
      <c r="P3651">
        <v>0.99099499999999996</v>
      </c>
      <c r="Q3651">
        <v>0.115649</v>
      </c>
      <c r="R3651">
        <v>6.7488090000000001E-2</v>
      </c>
      <c r="S3651">
        <v>3.0596009999999998</v>
      </c>
      <c r="T3651">
        <v>-7.4304700000000001E-2</v>
      </c>
      <c r="U3651">
        <v>-0.33569339999999998</v>
      </c>
      <c r="V3651">
        <v>-4.7918580000000002E-2</v>
      </c>
      <c r="W3651">
        <v>0.1251737</v>
      </c>
      <c r="X3651">
        <v>0.990977</v>
      </c>
      <c r="Y3651">
        <v>0.128607</v>
      </c>
      <c r="Z3651">
        <v>-2.0344120000000002E-3</v>
      </c>
      <c r="AA3651">
        <v>0.99169359999999995</v>
      </c>
      <c r="AB3651">
        <v>45</v>
      </c>
      <c r="AC3651">
        <v>44.726199999999999</v>
      </c>
      <c r="AD3651">
        <v>-1.1039505910545</v>
      </c>
      <c r="AE3651">
        <v>-5.0019999999999998</v>
      </c>
      <c r="AF3651">
        <v>5.8797391096247296</v>
      </c>
      <c r="AG3651">
        <v>-1.1039505910545</v>
      </c>
      <c r="AH3651">
        <v>44.591999537331297</v>
      </c>
      <c r="AI3651">
        <v>91.405999722857402</v>
      </c>
      <c r="AJ3651">
        <v>82.488518386528696</v>
      </c>
      <c r="AK3651">
        <v>44.991515440603898</v>
      </c>
      <c r="AL3651">
        <v>82.809213372508694</v>
      </c>
      <c r="AM3651">
        <v>92.768374571681804</v>
      </c>
      <c r="AN3651">
        <v>1.0000000300049501</v>
      </c>
    </row>
    <row r="3652" spans="1:40" x14ac:dyDescent="0.3">
      <c r="A3652" t="str">
        <f>"20200111150031674"</f>
        <v>20200111150031674</v>
      </c>
      <c r="B3652" t="str">
        <f>"1578726031670447"</f>
        <v>1578726031670447</v>
      </c>
      <c r="C3652" t="s">
        <v>40</v>
      </c>
      <c r="D3652">
        <v>4.2776889999999996</v>
      </c>
      <c r="E3652">
        <v>0.56897209999999998</v>
      </c>
      <c r="F3652" t="s">
        <v>62</v>
      </c>
      <c r="G3652">
        <v>-250.63980000000001</v>
      </c>
      <c r="H3652" s="1">
        <v>-1.097804E-6</v>
      </c>
      <c r="I3652">
        <v>212.36189999999999</v>
      </c>
      <c r="J3652">
        <v>-287.47269999999997</v>
      </c>
      <c r="K3652">
        <v>1.1039369999999999</v>
      </c>
      <c r="L3652">
        <v>216.61410000000001</v>
      </c>
      <c r="M3652">
        <v>0.99976019999999999</v>
      </c>
      <c r="N3652">
        <v>0</v>
      </c>
      <c r="O3652">
        <v>1.9674609999999999E-2</v>
      </c>
      <c r="P3652">
        <v>0.99110739999999997</v>
      </c>
      <c r="Q3652">
        <v>0.11532489999999999</v>
      </c>
      <c r="R3652">
        <v>6.638107E-2</v>
      </c>
      <c r="S3652">
        <v>3.06134</v>
      </c>
      <c r="T3652">
        <v>-9.0134019999999995E-2</v>
      </c>
      <c r="U3652">
        <v>-0.34611510000000001</v>
      </c>
      <c r="V3652">
        <v>-4.6855649999999999E-2</v>
      </c>
      <c r="W3652">
        <v>0.1248856</v>
      </c>
      <c r="X3652">
        <v>0.9910641</v>
      </c>
      <c r="Y3652">
        <v>0.1318086</v>
      </c>
      <c r="Z3652">
        <v>-2.5112910000000001E-3</v>
      </c>
      <c r="AA3652">
        <v>0.99127200000000004</v>
      </c>
      <c r="AB3652">
        <v>45</v>
      </c>
      <c r="AC3652">
        <v>36.832899999999903</v>
      </c>
      <c r="AD3652">
        <v>-1.1039380978039901</v>
      </c>
      <c r="AE3652">
        <v>-4.25220000000001</v>
      </c>
      <c r="AF3652">
        <v>4.9716760166790896</v>
      </c>
      <c r="AG3652">
        <v>-1.1039380978039901</v>
      </c>
      <c r="AH3652">
        <v>36.709563377358897</v>
      </c>
      <c r="AI3652">
        <v>91.706918530956102</v>
      </c>
      <c r="AJ3652">
        <v>82.287204366414599</v>
      </c>
      <c r="AK3652">
        <v>37.061142522795201</v>
      </c>
      <c r="AL3652">
        <v>82.825850318563596</v>
      </c>
      <c r="AM3652">
        <v>92.706821306432104</v>
      </c>
      <c r="AN3652">
        <v>0.99999995766654504</v>
      </c>
    </row>
    <row r="3653" spans="1:40" x14ac:dyDescent="0.3">
      <c r="A3653" t="str">
        <f>"20200111150031696"</f>
        <v>20200111150031696</v>
      </c>
      <c r="B3653" t="str">
        <f>"1578726031689499"</f>
        <v>1578726031689499</v>
      </c>
      <c r="C3653" t="s">
        <v>40</v>
      </c>
      <c r="D3653">
        <v>6.1368070000000001</v>
      </c>
      <c r="E3653">
        <v>0.54183819999999905</v>
      </c>
      <c r="F3653" t="s">
        <v>41</v>
      </c>
      <c r="G3653">
        <v>-286.66550000000001</v>
      </c>
      <c r="H3653">
        <v>0.9222728</v>
      </c>
      <c r="I3653">
        <v>216.52529999999999</v>
      </c>
      <c r="J3653">
        <v>-287.02080000000001</v>
      </c>
      <c r="K3653">
        <v>1.1039350000000001</v>
      </c>
      <c r="L3653">
        <v>216.62299999999999</v>
      </c>
      <c r="M3653">
        <v>0.9997606</v>
      </c>
      <c r="N3653">
        <v>0</v>
      </c>
      <c r="O3653">
        <v>1.9635690000000001E-2</v>
      </c>
      <c r="P3653">
        <v>0.99120439999999999</v>
      </c>
      <c r="Q3653">
        <v>0.1153598</v>
      </c>
      <c r="R3653">
        <v>6.4855200000000002E-2</v>
      </c>
      <c r="S3653">
        <v>3.1318969999999999</v>
      </c>
      <c r="T3653">
        <v>-0.70501349999999996</v>
      </c>
      <c r="U3653">
        <v>-0.34317019999999998</v>
      </c>
      <c r="V3653">
        <v>-4.5365639999999999E-2</v>
      </c>
      <c r="W3653">
        <v>0.1249546</v>
      </c>
      <c r="X3653">
        <v>0.99112469999999997</v>
      </c>
      <c r="Y3653">
        <v>0.1248445</v>
      </c>
      <c r="Z3653">
        <v>-1.8192280000000002E-2</v>
      </c>
      <c r="AA3653">
        <v>0.99200949999999999</v>
      </c>
      <c r="AB3653">
        <v>45</v>
      </c>
      <c r="AC3653">
        <v>0.35529999999999901</v>
      </c>
      <c r="AD3653">
        <v>-0.1816622</v>
      </c>
      <c r="AE3653">
        <v>-9.7700000000003201E-2</v>
      </c>
      <c r="AF3653">
        <v>8.4195056412513E-2</v>
      </c>
      <c r="AG3653">
        <v>-0.1816622</v>
      </c>
      <c r="AH3653">
        <v>0.28423239611365497</v>
      </c>
      <c r="AI3653">
        <v>121.50046918383001</v>
      </c>
      <c r="AJ3653">
        <v>73.4997062718096</v>
      </c>
      <c r="AK3653">
        <v>0.34767516079475103</v>
      </c>
      <c r="AL3653">
        <v>82.821865513178693</v>
      </c>
      <c r="AM3653">
        <v>92.620706334269002</v>
      </c>
      <c r="AN3653">
        <v>0.99999993215192695</v>
      </c>
    </row>
    <row r="3654" spans="1:40" x14ac:dyDescent="0.3">
      <c r="A3654" t="str">
        <f>"20200111150031730"</f>
        <v>20200111150031730</v>
      </c>
      <c r="B3654" t="str">
        <f>"1578726031728070"</f>
        <v>1578726031728070</v>
      </c>
      <c r="C3654" t="s">
        <v>40</v>
      </c>
      <c r="D3654">
        <v>6.2915150000000004</v>
      </c>
      <c r="E3654">
        <v>0.54353180000000001</v>
      </c>
      <c r="F3654" t="s">
        <v>62</v>
      </c>
      <c r="G3654">
        <v>-232.1619</v>
      </c>
      <c r="H3654" s="1">
        <v>-3.666935E-7</v>
      </c>
      <c r="I3654">
        <v>214.16650000000001</v>
      </c>
      <c r="J3654">
        <v>-286.34359999999998</v>
      </c>
      <c r="K3654">
        <v>1.1039399999999999</v>
      </c>
      <c r="L3654">
        <v>216.6362</v>
      </c>
      <c r="M3654">
        <v>0.99976109999999896</v>
      </c>
      <c r="N3654">
        <v>0</v>
      </c>
      <c r="O3654">
        <v>1.957279E-2</v>
      </c>
      <c r="P3654">
        <v>0.99133729999999998</v>
      </c>
      <c r="Q3654">
        <v>0.1146287</v>
      </c>
      <c r="R3654">
        <v>6.4116149999999997E-2</v>
      </c>
      <c r="S3654">
        <v>3.0426639999999998</v>
      </c>
      <c r="T3654">
        <v>-6.1228039999999997E-2</v>
      </c>
      <c r="U3654">
        <v>-0.1362457</v>
      </c>
      <c r="V3654">
        <v>-4.4684550000000003E-2</v>
      </c>
      <c r="W3654">
        <v>0.1242965</v>
      </c>
      <c r="X3654">
        <v>0.99123850000000002</v>
      </c>
      <c r="Y3654">
        <v>6.4262239999999998E-2</v>
      </c>
      <c r="Z3654">
        <v>-1.039863E-3</v>
      </c>
      <c r="AA3654">
        <v>0.9979325</v>
      </c>
      <c r="AB3654">
        <v>45</v>
      </c>
      <c r="AC3654">
        <v>54.1816999999999</v>
      </c>
      <c r="AD3654">
        <v>-1.1039403666934999</v>
      </c>
      <c r="AE3654">
        <v>-2.46969999999998</v>
      </c>
      <c r="AF3654">
        <v>3.5283023990584601</v>
      </c>
      <c r="AG3654">
        <v>-1.1039403666934999</v>
      </c>
      <c r="AH3654">
        <v>54.100566173147101</v>
      </c>
      <c r="AI3654">
        <v>91.166500119563807</v>
      </c>
      <c r="AJ3654">
        <v>86.268598144354598</v>
      </c>
      <c r="AK3654">
        <v>54.226735679067801</v>
      </c>
      <c r="AL3654">
        <v>82.859868963357798</v>
      </c>
      <c r="AM3654">
        <v>92.581118433091206</v>
      </c>
      <c r="AN3654">
        <v>1.0000000464015999</v>
      </c>
    </row>
    <row r="3655" spans="1:40" x14ac:dyDescent="0.3">
      <c r="A3655" t="str">
        <f>"20200111150031752"</f>
        <v>20200111150031752</v>
      </c>
      <c r="B3655" t="str">
        <f>"1578726031749582"</f>
        <v>1578726031749582</v>
      </c>
      <c r="C3655" t="s">
        <v>40</v>
      </c>
      <c r="D3655">
        <v>4.6542149999999998</v>
      </c>
      <c r="E3655">
        <v>0.54752270000000003</v>
      </c>
      <c r="F3655" t="s">
        <v>76</v>
      </c>
      <c r="G3655">
        <v>-151.6688</v>
      </c>
      <c r="H3655">
        <v>1.797747</v>
      </c>
      <c r="I3655">
        <v>209.8603</v>
      </c>
      <c r="J3655">
        <v>-285.89210000000003</v>
      </c>
      <c r="K3655">
        <v>1.1039429999999999</v>
      </c>
      <c r="L3655">
        <v>216.64510000000001</v>
      </c>
      <c r="M3655">
        <v>0.99976120000000002</v>
      </c>
      <c r="N3655">
        <v>0</v>
      </c>
      <c r="O3655">
        <v>1.9529399999999999E-2</v>
      </c>
      <c r="P3655">
        <v>0.99141029999999997</v>
      </c>
      <c r="Q3655">
        <v>0.1133556</v>
      </c>
      <c r="R3655">
        <v>6.5241670000000002E-2</v>
      </c>
      <c r="S3655">
        <v>3.0342709999999999</v>
      </c>
      <c r="T3655">
        <v>1.5632509999999999E-2</v>
      </c>
      <c r="U3655">
        <v>-0.1526642</v>
      </c>
      <c r="V3655">
        <v>-4.5850439999999999E-2</v>
      </c>
      <c r="W3655">
        <v>0.123088</v>
      </c>
      <c r="X3655">
        <v>0.99133599999999999</v>
      </c>
      <c r="Y3655">
        <v>6.9744639999999997E-2</v>
      </c>
      <c r="Z3655">
        <v>2.8011000000000003E-4</v>
      </c>
      <c r="AA3655">
        <v>0.99756489999999998</v>
      </c>
      <c r="AB3655">
        <v>45</v>
      </c>
      <c r="AC3655">
        <v>134.22329999999999</v>
      </c>
      <c r="AD3655">
        <v>0.69380399999999998</v>
      </c>
      <c r="AE3655">
        <v>-6.7848000000000104</v>
      </c>
      <c r="AF3655">
        <v>9.4046817948024799</v>
      </c>
      <c r="AG3655">
        <v>0.69380399999999998</v>
      </c>
      <c r="AH3655">
        <v>134.06161659763899</v>
      </c>
      <c r="AI3655">
        <v>89.704208903721593</v>
      </c>
      <c r="AJ3655">
        <v>85.987164372407307</v>
      </c>
      <c r="AK3655">
        <v>134.39288094398501</v>
      </c>
      <c r="AL3655">
        <v>82.929646375432398</v>
      </c>
      <c r="AM3655">
        <v>92.648109092755504</v>
      </c>
      <c r="AN3655">
        <v>0.99999999174409604</v>
      </c>
    </row>
    <row r="3656" spans="1:40" x14ac:dyDescent="0.3">
      <c r="A3656" t="str">
        <f>"20200111150031786"</f>
        <v>20200111150031786</v>
      </c>
      <c r="B3656" t="str">
        <f>"1578726031780347"</f>
        <v>1578726031780347</v>
      </c>
      <c r="C3656" t="s">
        <v>40</v>
      </c>
      <c r="D3656">
        <v>4.2679309999999999</v>
      </c>
      <c r="E3656">
        <v>0.57651569999999996</v>
      </c>
      <c r="F3656" t="s">
        <v>76</v>
      </c>
      <c r="G3656">
        <v>-169.3929</v>
      </c>
      <c r="H3656">
        <v>2.3372480000000002</v>
      </c>
      <c r="I3656">
        <v>209.6705</v>
      </c>
      <c r="J3656">
        <v>-285.2208</v>
      </c>
      <c r="K3656">
        <v>1.10395</v>
      </c>
      <c r="L3656">
        <v>216.65819999999999</v>
      </c>
      <c r="M3656">
        <v>0.99976149999999997</v>
      </c>
      <c r="N3656">
        <v>0</v>
      </c>
      <c r="O3656">
        <v>1.9464519999999999E-2</v>
      </c>
      <c r="P3656">
        <v>0.99114809999999998</v>
      </c>
      <c r="Q3656">
        <v>0.1128845</v>
      </c>
      <c r="R3656">
        <v>6.9877239999999993E-2</v>
      </c>
      <c r="S3656">
        <v>3.0343019999999998</v>
      </c>
      <c r="T3656">
        <v>3.212309E-2</v>
      </c>
      <c r="U3656">
        <v>-0.18165590000000001</v>
      </c>
      <c r="V3656">
        <v>-5.0553250000000001E-2</v>
      </c>
      <c r="W3656">
        <v>0.1227256</v>
      </c>
      <c r="X3656">
        <v>0.99115229999999999</v>
      </c>
      <c r="Y3656">
        <v>7.9174300000000003E-2</v>
      </c>
      <c r="Z3656">
        <v>6.2461299999999999E-4</v>
      </c>
      <c r="AA3656">
        <v>0.99686059999999999</v>
      </c>
      <c r="AB3656">
        <v>45</v>
      </c>
      <c r="AC3656">
        <v>115.8279</v>
      </c>
      <c r="AD3656">
        <v>1.23329799999999</v>
      </c>
      <c r="AE3656">
        <v>-6.9876999999999896</v>
      </c>
      <c r="AF3656">
        <v>9.2399773147327497</v>
      </c>
      <c r="AG3656">
        <v>1.23329799999999</v>
      </c>
      <c r="AH3656">
        <v>115.656870338018</v>
      </c>
      <c r="AI3656">
        <v>89.390994375185798</v>
      </c>
      <c r="AJ3656">
        <v>85.432267440803102</v>
      </c>
      <c r="AK3656">
        <v>116.03193466075901</v>
      </c>
      <c r="AL3656">
        <v>82.950569359354105</v>
      </c>
      <c r="AM3656">
        <v>92.919813714255</v>
      </c>
      <c r="AN3656">
        <v>1.0000000428881</v>
      </c>
    </row>
    <row r="3657" spans="1:40" x14ac:dyDescent="0.3">
      <c r="A3657" t="str">
        <f>"20200111150031808"</f>
        <v>20200111150031808</v>
      </c>
      <c r="B3657" t="str">
        <f>"1578726031799397"</f>
        <v>1578726031799397</v>
      </c>
      <c r="C3657" t="s">
        <v>40</v>
      </c>
      <c r="D3657">
        <v>4.3106</v>
      </c>
      <c r="E3657">
        <v>0.56489009999999995</v>
      </c>
      <c r="F3657" t="s">
        <v>76</v>
      </c>
      <c r="G3657">
        <v>-168.4177</v>
      </c>
      <c r="H3657">
        <v>16.367529999999999</v>
      </c>
      <c r="I3657">
        <v>201.16829999999999</v>
      </c>
      <c r="J3657">
        <v>-284.75839999999999</v>
      </c>
      <c r="K3657">
        <v>1.1039650000000001</v>
      </c>
      <c r="L3657">
        <v>216.6671</v>
      </c>
      <c r="M3657">
        <v>0.99976149999999997</v>
      </c>
      <c r="N3657">
        <v>0</v>
      </c>
      <c r="O3657">
        <v>1.9420119999999999E-2</v>
      </c>
      <c r="P3657">
        <v>0.99068619999999996</v>
      </c>
      <c r="Q3657">
        <v>0.1150717</v>
      </c>
      <c r="R3657">
        <v>7.2798950000000001E-2</v>
      </c>
      <c r="S3657">
        <v>3.0101010000000001</v>
      </c>
      <c r="T3657">
        <v>0.39335419999999999</v>
      </c>
      <c r="U3657">
        <v>-0.39918520000000002</v>
      </c>
      <c r="V3657">
        <v>-5.3526110000000002E-2</v>
      </c>
      <c r="W3657">
        <v>0.12499390000000001</v>
      </c>
      <c r="X3657">
        <v>0.99071260000000005</v>
      </c>
      <c r="Y3657">
        <v>0.14928139999999901</v>
      </c>
      <c r="Z3657">
        <v>1.218778E-2</v>
      </c>
      <c r="AA3657">
        <v>0.98871960000000003</v>
      </c>
      <c r="AB3657">
        <v>45</v>
      </c>
      <c r="AC3657">
        <v>116.3407</v>
      </c>
      <c r="AD3657">
        <v>15.2635649999999</v>
      </c>
      <c r="AE3657">
        <v>-15.498799999999999</v>
      </c>
      <c r="AF3657">
        <v>17.460046319459298</v>
      </c>
      <c r="AG3657">
        <v>15.2635649999999</v>
      </c>
      <c r="AH3657">
        <v>114.088232775048</v>
      </c>
      <c r="AI3657">
        <v>82.466484505718498</v>
      </c>
      <c r="AJ3657">
        <v>81.298972705794796</v>
      </c>
      <c r="AK3657">
        <v>116.421452025477</v>
      </c>
      <c r="AL3657">
        <v>82.819596396393194</v>
      </c>
      <c r="AM3657">
        <v>93.092563255023606</v>
      </c>
      <c r="AN3657">
        <v>0.99999998764385101</v>
      </c>
    </row>
    <row r="3658" spans="1:40" x14ac:dyDescent="0.3">
      <c r="A3658" t="str">
        <f>"20200111150031830"</f>
        <v>20200111150031830</v>
      </c>
      <c r="B3658" t="str">
        <f>"1578726031819425"</f>
        <v>1578726031819425</v>
      </c>
      <c r="C3658" t="s">
        <v>40</v>
      </c>
      <c r="D3658">
        <v>6.4962629999999999</v>
      </c>
      <c r="E3658">
        <v>0.57459769999999999</v>
      </c>
      <c r="F3658" t="s">
        <v>76</v>
      </c>
      <c r="G3658">
        <v>-168.4162</v>
      </c>
      <c r="H3658">
        <v>15.87439</v>
      </c>
      <c r="I3658">
        <v>205.14599999999999</v>
      </c>
      <c r="J3658">
        <v>-284.29860000000002</v>
      </c>
      <c r="K3658">
        <v>1.103985</v>
      </c>
      <c r="L3658">
        <v>216.67609999999999</v>
      </c>
      <c r="M3658">
        <v>0.99976149999999997</v>
      </c>
      <c r="N3658">
        <v>0</v>
      </c>
      <c r="O3658">
        <v>1.937318E-2</v>
      </c>
      <c r="P3658">
        <v>0.99025600000000003</v>
      </c>
      <c r="Q3658">
        <v>0.1174867</v>
      </c>
      <c r="R3658">
        <v>7.4767249999999993E-2</v>
      </c>
      <c r="S3658">
        <v>3.0057369999999999</v>
      </c>
      <c r="T3658">
        <v>0.38159949999999998</v>
      </c>
      <c r="U3658">
        <v>-0.29765320000000001</v>
      </c>
      <c r="V3658">
        <v>-5.5547550000000001E-2</v>
      </c>
      <c r="W3658">
        <v>0.12749479999999999</v>
      </c>
      <c r="X3658">
        <v>0.99028249999999995</v>
      </c>
      <c r="Y3658">
        <v>0.1167253</v>
      </c>
      <c r="Z3658">
        <v>9.8065579999999999E-3</v>
      </c>
      <c r="AA3658">
        <v>0.99311579999999999</v>
      </c>
      <c r="AB3658">
        <v>45</v>
      </c>
      <c r="AC3658">
        <v>115.8824</v>
      </c>
      <c r="AD3658">
        <v>14.770404999999901</v>
      </c>
      <c r="AE3658">
        <v>-11.530099999999999</v>
      </c>
      <c r="AF3658">
        <v>13.555002962523</v>
      </c>
      <c r="AG3658">
        <v>14.770404999999901</v>
      </c>
      <c r="AH3658">
        <v>113.80647342347299</v>
      </c>
      <c r="AI3658">
        <v>82.656518327188095</v>
      </c>
      <c r="AJ3658">
        <v>83.207742529379303</v>
      </c>
      <c r="AK3658">
        <v>115.55871391749599</v>
      </c>
      <c r="AL3658">
        <v>82.675149311081498</v>
      </c>
      <c r="AM3658">
        <v>93.210506627624397</v>
      </c>
      <c r="AN3658">
        <v>0.99999994207214404</v>
      </c>
    </row>
    <row r="3659" spans="1:40" x14ac:dyDescent="0.3">
      <c r="A3659" t="str">
        <f>"20200111150037150"</f>
        <v>20200111150037150</v>
      </c>
      <c r="B3659" t="str">
        <f>"1578726037140701"</f>
        <v>1578726037140701</v>
      </c>
      <c r="C3659" t="s">
        <v>40</v>
      </c>
      <c r="D3659">
        <v>5.0197269999999996</v>
      </c>
      <c r="E3659">
        <v>0.67842519999999995</v>
      </c>
      <c r="F3659" t="s">
        <v>61</v>
      </c>
      <c r="G3659">
        <v>-234.4829</v>
      </c>
      <c r="H3659">
        <v>8.9375330000000002</v>
      </c>
      <c r="I3659">
        <v>210.5558</v>
      </c>
      <c r="J3659">
        <v>-190.24629999999999</v>
      </c>
      <c r="K3659">
        <v>1.0874950000000001</v>
      </c>
      <c r="L3659">
        <v>203.50059999999999</v>
      </c>
      <c r="M3659">
        <v>0.4727885</v>
      </c>
      <c r="N3659">
        <v>0</v>
      </c>
      <c r="O3659">
        <v>-0.88100249999999902</v>
      </c>
      <c r="P3659">
        <v>0.37164350000000002</v>
      </c>
      <c r="Q3659">
        <v>0.1186212</v>
      </c>
      <c r="R3659">
        <v>-0.92076630000000004</v>
      </c>
      <c r="S3659">
        <v>3.001404</v>
      </c>
      <c r="T3659">
        <v>0.47197640000000002</v>
      </c>
      <c r="U3659">
        <v>-0.36874390000000001</v>
      </c>
      <c r="V3659">
        <v>0.1134655</v>
      </c>
      <c r="W3659">
        <v>0.1312661</v>
      </c>
      <c r="X3659">
        <v>0.98483229999999999</v>
      </c>
      <c r="Y3659">
        <v>-0.80081749999999996</v>
      </c>
      <c r="Z3659">
        <v>-0.17337230000000001</v>
      </c>
      <c r="AA3659">
        <v>0.57326560000000004</v>
      </c>
      <c r="AB3659">
        <v>35</v>
      </c>
      <c r="AC3659">
        <v>-44.236600000000003</v>
      </c>
      <c r="AD3659">
        <v>7.8500379999999996</v>
      </c>
      <c r="AE3659">
        <v>7.0552000000000099</v>
      </c>
      <c r="AF3659">
        <v>34.580440313695</v>
      </c>
      <c r="AG3659">
        <v>7.8500379999999996</v>
      </c>
      <c r="AH3659">
        <v>-26.3258989007617</v>
      </c>
      <c r="AI3659">
        <v>79.761481644506006</v>
      </c>
      <c r="AJ3659">
        <v>-37.281818610602699</v>
      </c>
      <c r="AK3659">
        <v>44.164271779613898</v>
      </c>
      <c r="AL3659">
        <v>82.457237988187202</v>
      </c>
      <c r="AM3659">
        <v>83.427758249739099</v>
      </c>
      <c r="AN3659">
        <v>0.99999993391137199</v>
      </c>
    </row>
    <row r="3660" spans="1:40" x14ac:dyDescent="0.3">
      <c r="A3660" t="str">
        <f>"20200111150037167"</f>
        <v>20200111150037167</v>
      </c>
      <c r="B3660" t="str">
        <f>"1578726037160221"</f>
        <v>1578726037160221</v>
      </c>
      <c r="C3660" t="s">
        <v>40</v>
      </c>
      <c r="D3660">
        <v>5.0794519999999999</v>
      </c>
      <c r="E3660">
        <v>0.67387929999999996</v>
      </c>
      <c r="F3660" t="s">
        <v>42</v>
      </c>
      <c r="G3660">
        <v>-191.16040000000001</v>
      </c>
      <c r="H3660" s="1">
        <v>-4.154685E-6</v>
      </c>
      <c r="I3660">
        <v>188.5907</v>
      </c>
      <c r="J3660">
        <v>-190.12899999999999</v>
      </c>
      <c r="K3660">
        <v>1.087512</v>
      </c>
      <c r="L3660">
        <v>203.26499999999999</v>
      </c>
      <c r="M3660">
        <v>0.46124890000000002</v>
      </c>
      <c r="N3660">
        <v>0</v>
      </c>
      <c r="O3660">
        <v>-0.88709859999999896</v>
      </c>
      <c r="P3660">
        <v>0.3607514</v>
      </c>
      <c r="Q3660">
        <v>0.1178732</v>
      </c>
      <c r="R3660">
        <v>-0.92518350000000005</v>
      </c>
      <c r="S3660">
        <v>-0.2068024</v>
      </c>
      <c r="T3660">
        <v>-0.2460436</v>
      </c>
      <c r="U3660">
        <v>-3.3733369999999998</v>
      </c>
      <c r="V3660">
        <v>0.1122377</v>
      </c>
      <c r="W3660">
        <v>0.13057439999999901</v>
      </c>
      <c r="X3660">
        <v>0.98506499999999997</v>
      </c>
      <c r="Y3660">
        <v>0.51454940000000005</v>
      </c>
      <c r="Z3660">
        <v>5.5151249999999999E-2</v>
      </c>
      <c r="AA3660">
        <v>0.85568519999999904</v>
      </c>
      <c r="AB3660">
        <v>35</v>
      </c>
      <c r="AC3660">
        <v>-1.0313999999999901</v>
      </c>
      <c r="AD3660">
        <v>-1.0875161546850001</v>
      </c>
      <c r="AE3660">
        <v>-14.674299999999899</v>
      </c>
      <c r="AF3660">
        <v>7.6428614808149202</v>
      </c>
      <c r="AG3660">
        <v>-1.0875161546850001</v>
      </c>
      <c r="AH3660">
        <v>12.4755522167344</v>
      </c>
      <c r="AI3660">
        <v>94.251087147616403</v>
      </c>
      <c r="AJ3660">
        <v>58.507234971942502</v>
      </c>
      <c r="AK3660">
        <v>14.670904066010801</v>
      </c>
      <c r="AL3660">
        <v>82.497214165837207</v>
      </c>
      <c r="AM3660">
        <v>83.499786400596804</v>
      </c>
      <c r="AN3660">
        <v>1.0000000147308199</v>
      </c>
    </row>
    <row r="3661" spans="1:40" x14ac:dyDescent="0.3">
      <c r="A3661" t="str">
        <f>"20200111150037180"</f>
        <v>20200111150037180</v>
      </c>
      <c r="B3661" t="str">
        <f>"1578726037160221"</f>
        <v>1578726037160221</v>
      </c>
      <c r="C3661" t="s">
        <v>40</v>
      </c>
      <c r="D3661">
        <v>5.0794519999999999</v>
      </c>
      <c r="E3661">
        <v>0.67387929999999996</v>
      </c>
      <c r="F3661" t="s">
        <v>42</v>
      </c>
      <c r="G3661">
        <v>-191.02459999999999</v>
      </c>
      <c r="H3661" s="1">
        <v>-4.3227519999999999E-6</v>
      </c>
      <c r="I3661">
        <v>189.15530000000001</v>
      </c>
      <c r="J3661">
        <v>-190.02930000000001</v>
      </c>
      <c r="K3661">
        <v>1.08752</v>
      </c>
      <c r="L3661">
        <v>203.05969999999999</v>
      </c>
      <c r="M3661">
        <v>0.45118209999999997</v>
      </c>
      <c r="N3661">
        <v>0</v>
      </c>
      <c r="O3661">
        <v>-0.89226079999999997</v>
      </c>
      <c r="P3661">
        <v>0.35302830000000002</v>
      </c>
      <c r="Q3661">
        <v>0.11584220000000001</v>
      </c>
      <c r="R3661">
        <v>-0.92841359999999995</v>
      </c>
      <c r="S3661">
        <v>-0.21319579999999999</v>
      </c>
      <c r="T3661">
        <v>-0.25887320000000003</v>
      </c>
      <c r="U3661">
        <v>-3.3586879999999999</v>
      </c>
      <c r="V3661">
        <v>0.1093214</v>
      </c>
      <c r="W3661">
        <v>0.1286738</v>
      </c>
      <c r="X3661">
        <v>0.98564289999999999</v>
      </c>
      <c r="Y3661">
        <v>0.50665749999999998</v>
      </c>
      <c r="Z3661">
        <v>5.9035650000000002E-2</v>
      </c>
      <c r="AA3661">
        <v>0.86012379999999999</v>
      </c>
      <c r="AB3661">
        <v>35</v>
      </c>
      <c r="AC3661">
        <v>-0.99529999999998597</v>
      </c>
      <c r="AD3661">
        <v>-1.087524322752</v>
      </c>
      <c r="AE3661">
        <v>-13.9043999999999</v>
      </c>
      <c r="AF3661">
        <v>7.1192473703362804</v>
      </c>
      <c r="AG3661">
        <v>-1.087524322752</v>
      </c>
      <c r="AH3661">
        <v>11.8867691613613</v>
      </c>
      <c r="AI3661">
        <v>94.487922205712593</v>
      </c>
      <c r="AJ3661">
        <v>59.081681070435003</v>
      </c>
      <c r="AK3661">
        <v>13.898261523230399</v>
      </c>
      <c r="AL3661">
        <v>82.607037138836702</v>
      </c>
      <c r="AM3661">
        <v>83.670975692966707</v>
      </c>
      <c r="AN3661">
        <v>1.0000000208124</v>
      </c>
    </row>
    <row r="3662" spans="1:40" x14ac:dyDescent="0.3">
      <c r="A3662" t="str">
        <f>"20200111150037210"</f>
        <v>20200111150037210</v>
      </c>
      <c r="B3662" t="str">
        <f>"1578726037199800"</f>
        <v>1578726037199800</v>
      </c>
      <c r="C3662" t="s">
        <v>40</v>
      </c>
      <c r="D3662">
        <v>4.8899879999999998</v>
      </c>
      <c r="E3662">
        <v>0.67268899999999998</v>
      </c>
      <c r="F3662" t="s">
        <v>42</v>
      </c>
      <c r="G3662">
        <v>-191.01339999999999</v>
      </c>
      <c r="H3662" s="1">
        <v>-4.3923420000000002E-6</v>
      </c>
      <c r="I3662">
        <v>189.3656</v>
      </c>
      <c r="J3662">
        <v>-189.83189999999999</v>
      </c>
      <c r="K3662">
        <v>1.087567</v>
      </c>
      <c r="L3662">
        <v>202.6301</v>
      </c>
      <c r="M3662">
        <v>0.43017480000000002</v>
      </c>
      <c r="N3662">
        <v>0</v>
      </c>
      <c r="O3662">
        <v>-0.90257679999999996</v>
      </c>
      <c r="P3662">
        <v>0.3354299</v>
      </c>
      <c r="Q3662">
        <v>0.1136895</v>
      </c>
      <c r="R3662">
        <v>-0.93517989999999995</v>
      </c>
      <c r="S3662">
        <v>-0.24119570000000001</v>
      </c>
      <c r="T3662">
        <v>-0.26654080000000002</v>
      </c>
      <c r="U3662">
        <v>-3.3562769999999902</v>
      </c>
      <c r="V3662">
        <v>0.10486529999999999</v>
      </c>
      <c r="W3662">
        <v>0.12671579999999999</v>
      </c>
      <c r="X3662">
        <v>0.98638049999999999</v>
      </c>
      <c r="Y3662">
        <v>0.4935947</v>
      </c>
      <c r="Z3662">
        <v>6.2322900000000001E-2</v>
      </c>
      <c r="AA3662">
        <v>0.86745609999999995</v>
      </c>
      <c r="AB3662">
        <v>35</v>
      </c>
      <c r="AC3662">
        <v>-1.18149999999999</v>
      </c>
      <c r="AD3662">
        <v>-1.0875713923419901</v>
      </c>
      <c r="AE3662">
        <v>-13.2644999999999</v>
      </c>
      <c r="AF3662">
        <v>6.72860305816622</v>
      </c>
      <c r="AG3662">
        <v>-1.0875713923419901</v>
      </c>
      <c r="AH3662">
        <v>11.3897602406971</v>
      </c>
      <c r="AI3662">
        <v>94.699859466713093</v>
      </c>
      <c r="AJ3662">
        <v>59.427148667533203</v>
      </c>
      <c r="AK3662">
        <v>13.273415121526501</v>
      </c>
      <c r="AL3662">
        <v>82.720148546889803</v>
      </c>
      <c r="AM3662">
        <v>83.931495033441095</v>
      </c>
      <c r="AN3662">
        <v>1.0000000579469801</v>
      </c>
    </row>
    <row r="3663" spans="1:40" x14ac:dyDescent="0.3">
      <c r="A3663" t="str">
        <f>"20200111150037238"</f>
        <v>20200111150037238</v>
      </c>
      <c r="B3663" t="str">
        <f>"1578726037230056"</f>
        <v>1578726037230056</v>
      </c>
      <c r="C3663" t="s">
        <v>40</v>
      </c>
      <c r="D3663">
        <v>4.502694</v>
      </c>
      <c r="E3663">
        <v>0.67268899999999998</v>
      </c>
      <c r="F3663" t="s">
        <v>42</v>
      </c>
      <c r="G3663">
        <v>-191.02180000000001</v>
      </c>
      <c r="H3663" s="1">
        <v>-4.3134449999999998E-6</v>
      </c>
      <c r="I3663">
        <v>189.1294</v>
      </c>
      <c r="J3663">
        <v>-189.6464</v>
      </c>
      <c r="K3663">
        <v>1.0876300000000001</v>
      </c>
      <c r="L3663">
        <v>202.2029</v>
      </c>
      <c r="M3663">
        <v>0.40930870000000003</v>
      </c>
      <c r="N3663">
        <v>0</v>
      </c>
      <c r="O3663">
        <v>-0.91222959999999997</v>
      </c>
      <c r="P3663">
        <v>0.3214089</v>
      </c>
      <c r="Q3663">
        <v>0.1094128</v>
      </c>
      <c r="R3663">
        <v>-0.9405985</v>
      </c>
      <c r="S3663">
        <v>-0.29493709999999901</v>
      </c>
      <c r="T3663">
        <v>-0.2695825</v>
      </c>
      <c r="U3663">
        <v>-3.3464969999999998</v>
      </c>
      <c r="V3663">
        <v>9.6926700000000005E-2</v>
      </c>
      <c r="W3663">
        <v>0.122781399999999</v>
      </c>
      <c r="X3663">
        <v>0.98768920000000004</v>
      </c>
      <c r="Y3663">
        <v>0.48760409999999998</v>
      </c>
      <c r="Z3663">
        <v>6.4463530000000005E-2</v>
      </c>
      <c r="AA3663">
        <v>0.87068179999999995</v>
      </c>
      <c r="AB3663">
        <v>35</v>
      </c>
      <c r="AC3663">
        <v>-1.3754000000000099</v>
      </c>
      <c r="AD3663">
        <v>-1.0876343134449999</v>
      </c>
      <c r="AE3663">
        <v>-13.0734999999999</v>
      </c>
      <c r="AF3663">
        <v>6.5618618257619001</v>
      </c>
      <c r="AG3663">
        <v>-1.0876343134449999</v>
      </c>
      <c r="AH3663">
        <v>11.2875273448822</v>
      </c>
      <c r="AI3663">
        <v>94.761948288834503</v>
      </c>
      <c r="AJ3663">
        <v>59.828961376242098</v>
      </c>
      <c r="AK3663">
        <v>13.1014981044778</v>
      </c>
      <c r="AL3663">
        <v>82.947347634265796</v>
      </c>
      <c r="AM3663">
        <v>84.3952352458669</v>
      </c>
      <c r="AN3663">
        <v>1.0000000065777399</v>
      </c>
    </row>
    <row r="3664" spans="1:40" x14ac:dyDescent="0.3">
      <c r="A3664" t="str">
        <f>"20200111150037252"</f>
        <v>20200111150037252</v>
      </c>
      <c r="B3664" t="str">
        <f>"1578726037250550"</f>
        <v>1578726037250550</v>
      </c>
      <c r="C3664" t="s">
        <v>40</v>
      </c>
      <c r="D3664">
        <v>4.5144039999999999</v>
      </c>
      <c r="E3664">
        <v>0.64290890000000001</v>
      </c>
      <c r="F3664" t="s">
        <v>42</v>
      </c>
      <c r="G3664">
        <v>-190.97329999999999</v>
      </c>
      <c r="H3664" s="1">
        <v>-4.3893009999999999E-6</v>
      </c>
      <c r="I3664">
        <v>189.3776</v>
      </c>
      <c r="J3664">
        <v>-189.5685</v>
      </c>
      <c r="K3664">
        <v>1.087664</v>
      </c>
      <c r="L3664">
        <v>202.01300000000001</v>
      </c>
      <c r="M3664">
        <v>0.4000823</v>
      </c>
      <c r="N3664">
        <v>0</v>
      </c>
      <c r="O3664">
        <v>-0.91631359999999995</v>
      </c>
      <c r="P3664">
        <v>0.31492779999999998</v>
      </c>
      <c r="Q3664">
        <v>0.1078252</v>
      </c>
      <c r="R3664">
        <v>-0.94297089999999995</v>
      </c>
      <c r="S3664">
        <v>-0.34561160000000002</v>
      </c>
      <c r="T3664">
        <v>-0.28328959999999997</v>
      </c>
      <c r="U3664">
        <v>-3.3405149999999999</v>
      </c>
      <c r="V3664">
        <v>9.37476E-2</v>
      </c>
      <c r="W3664">
        <v>0.1213275</v>
      </c>
      <c r="X3664">
        <v>0.98817560000000004</v>
      </c>
      <c r="Y3664">
        <v>0.4919771</v>
      </c>
      <c r="Z3664">
        <v>6.8196300000000001E-2</v>
      </c>
      <c r="AA3664">
        <v>0.86793310000000001</v>
      </c>
      <c r="AB3664">
        <v>35</v>
      </c>
      <c r="AC3664">
        <v>-1.4047999999999901</v>
      </c>
      <c r="AD3664">
        <v>-1.087668389301</v>
      </c>
      <c r="AE3664">
        <v>-12.635400000000001</v>
      </c>
      <c r="AF3664">
        <v>6.2973070966857696</v>
      </c>
      <c r="AG3664">
        <v>-1.087668389301</v>
      </c>
      <c r="AH3664">
        <v>10.9375683108111</v>
      </c>
      <c r="AI3664">
        <v>94.925586611549903</v>
      </c>
      <c r="AJ3664">
        <v>60.068805727612201</v>
      </c>
      <c r="AK3664">
        <v>12.667655653226101</v>
      </c>
      <c r="AL3664">
        <v>83.0312774078659</v>
      </c>
      <c r="AM3664">
        <v>84.5806050022682</v>
      </c>
      <c r="AN3664">
        <v>0.99999999559868402</v>
      </c>
    </row>
    <row r="3665" spans="1:40" x14ac:dyDescent="0.3">
      <c r="A3665" t="str">
        <f>"20200111150037267"</f>
        <v>20200111150037267</v>
      </c>
      <c r="B3665" t="str">
        <f>"1578726037260310"</f>
        <v>1578726037260310</v>
      </c>
      <c r="C3665" t="s">
        <v>40</v>
      </c>
      <c r="D3665">
        <v>4.4828970000000004</v>
      </c>
      <c r="E3665">
        <v>0.64336479999999996</v>
      </c>
      <c r="F3665" t="s">
        <v>42</v>
      </c>
      <c r="G3665">
        <v>-198.6335</v>
      </c>
      <c r="H3665" s="1">
        <v>-3.9704140000000001E-6</v>
      </c>
      <c r="I3665">
        <v>-5.846177</v>
      </c>
      <c r="J3665">
        <v>-189.4794</v>
      </c>
      <c r="K3665">
        <v>1.087717</v>
      </c>
      <c r="L3665">
        <v>201.79079999999999</v>
      </c>
      <c r="M3665">
        <v>0.38929360000000002</v>
      </c>
      <c r="N3665">
        <v>0</v>
      </c>
      <c r="O3665">
        <v>-0.92094949999999998</v>
      </c>
      <c r="P3665">
        <v>0.30688110000000002</v>
      </c>
      <c r="Q3665">
        <v>0.10669149999999999</v>
      </c>
      <c r="R3665">
        <v>-0.94574919999999996</v>
      </c>
      <c r="S3665">
        <v>-0.14088439999999999</v>
      </c>
      <c r="T3665">
        <v>-1.690388E-2</v>
      </c>
      <c r="U3665">
        <v>-3.230423</v>
      </c>
      <c r="V3665">
        <v>9.0545109999999998E-2</v>
      </c>
      <c r="W3665">
        <v>0.1203254</v>
      </c>
      <c r="X3665">
        <v>0.98859669999999999</v>
      </c>
      <c r="Y3665">
        <v>0.4291142</v>
      </c>
      <c r="Z3665">
        <v>4.3562430000000001E-3</v>
      </c>
      <c r="AA3665">
        <v>0.90323980000000004</v>
      </c>
      <c r="AB3665">
        <v>35</v>
      </c>
      <c r="AC3665">
        <v>-9.1540999999999997</v>
      </c>
      <c r="AD3665">
        <v>-1.0877209704140001</v>
      </c>
      <c r="AE3665">
        <v>-207.636977</v>
      </c>
      <c r="AF3665">
        <v>89.273269431592595</v>
      </c>
      <c r="AG3665">
        <v>-1.0877209704140001</v>
      </c>
      <c r="AH3665">
        <v>187.68278811040801</v>
      </c>
      <c r="AI3665">
        <v>90.2998621937639</v>
      </c>
      <c r="AJ3665">
        <v>64.561417431103607</v>
      </c>
      <c r="AK3665">
        <v>207.835821563107</v>
      </c>
      <c r="AL3665">
        <v>83.089117484905103</v>
      </c>
      <c r="AM3665">
        <v>84.766906575892705</v>
      </c>
      <c r="AN3665">
        <v>1.0000000270404801</v>
      </c>
    </row>
    <row r="3666" spans="1:40" x14ac:dyDescent="0.3">
      <c r="A3666" t="str">
        <f>"20200111150037279"</f>
        <v>20200111150037279</v>
      </c>
      <c r="B3666" t="str">
        <f>"1578726037270071"</f>
        <v>1578726037270071</v>
      </c>
      <c r="C3666" t="s">
        <v>40</v>
      </c>
      <c r="D3666">
        <v>4.4487410000000001</v>
      </c>
      <c r="E3666">
        <v>0.64226619999999901</v>
      </c>
      <c r="F3666" t="s">
        <v>42</v>
      </c>
      <c r="G3666">
        <v>-199.559</v>
      </c>
      <c r="H3666" s="1">
        <v>-3.4655760000000001E-6</v>
      </c>
      <c r="I3666">
        <v>12.187889999999999</v>
      </c>
      <c r="J3666">
        <v>-189.40729999999999</v>
      </c>
      <c r="K3666">
        <v>1.087761</v>
      </c>
      <c r="L3666">
        <v>201.6062</v>
      </c>
      <c r="M3666">
        <v>0.38034240000000002</v>
      </c>
      <c r="N3666">
        <v>0</v>
      </c>
      <c r="O3666">
        <v>-0.92468240000000002</v>
      </c>
      <c r="P3666">
        <v>0.30373719999999998</v>
      </c>
      <c r="Q3666">
        <v>0.106508199999999</v>
      </c>
      <c r="R3666">
        <v>-0.94678410000000002</v>
      </c>
      <c r="S3666">
        <v>-0.1717072</v>
      </c>
      <c r="T3666">
        <v>-1.8529420000000001E-2</v>
      </c>
      <c r="U3666">
        <v>-3.2299039999999999</v>
      </c>
      <c r="V3666">
        <v>8.4216460000000007E-2</v>
      </c>
      <c r="W3666">
        <v>0.1204045</v>
      </c>
      <c r="X3666">
        <v>0.98914630000000003</v>
      </c>
      <c r="Y3666">
        <v>0.42895830000000001</v>
      </c>
      <c r="Z3666">
        <v>4.8068549999999996E-3</v>
      </c>
      <c r="AA3666">
        <v>0.90331150000000004</v>
      </c>
      <c r="AB3666">
        <v>35</v>
      </c>
      <c r="AC3666">
        <v>-10.1517</v>
      </c>
      <c r="AD3666">
        <v>-1.0877644655759999</v>
      </c>
      <c r="AE3666">
        <v>-189.41830999999999</v>
      </c>
      <c r="AF3666">
        <v>81.440538542135499</v>
      </c>
      <c r="AG3666">
        <v>-1.0877644655759999</v>
      </c>
      <c r="AH3666">
        <v>171.310903073242</v>
      </c>
      <c r="AI3666">
        <v>90.3285657114115</v>
      </c>
      <c r="AJ3666">
        <v>64.573766856927307</v>
      </c>
      <c r="AK3666">
        <v>189.687031874441</v>
      </c>
      <c r="AL3666">
        <v>83.084552213471198</v>
      </c>
      <c r="AM3666">
        <v>85.133542019761606</v>
      </c>
      <c r="AN3666">
        <v>1.00000002927943</v>
      </c>
    </row>
    <row r="3667" spans="1:40" x14ac:dyDescent="0.3">
      <c r="A3667" t="str">
        <f>"20200111150037296"</f>
        <v>20200111150037296</v>
      </c>
      <c r="B3667" t="str">
        <f>"1578726037290566"</f>
        <v>1578726037290566</v>
      </c>
      <c r="C3667" t="s">
        <v>40</v>
      </c>
      <c r="D3667">
        <v>4.4625899999999996</v>
      </c>
      <c r="E3667">
        <v>0.64137819999999901</v>
      </c>
      <c r="F3667" t="s">
        <v>42</v>
      </c>
      <c r="G3667">
        <v>-200.92320000000001</v>
      </c>
      <c r="H3667">
        <v>7.9985870000000001E-2</v>
      </c>
      <c r="I3667">
        <v>-12.00906</v>
      </c>
      <c r="J3667">
        <v>-189.31870000000001</v>
      </c>
      <c r="K3667">
        <v>1.087833</v>
      </c>
      <c r="L3667">
        <v>201.36879999999999</v>
      </c>
      <c r="M3667">
        <v>0.36890119999999998</v>
      </c>
      <c r="N3667">
        <v>0</v>
      </c>
      <c r="O3667">
        <v>-0.92930639999999998</v>
      </c>
      <c r="P3667">
        <v>0.29470590000000002</v>
      </c>
      <c r="Q3667">
        <v>0.1073124</v>
      </c>
      <c r="R3667">
        <v>-0.94954340000000004</v>
      </c>
      <c r="S3667">
        <v>-0.17391970000000001</v>
      </c>
      <c r="T3667">
        <v>-1.5220050000000001E-2</v>
      </c>
      <c r="U3667">
        <v>-3.2261510000000002</v>
      </c>
      <c r="V3667">
        <v>8.1402260000000004E-2</v>
      </c>
      <c r="W3667">
        <v>0.1213171</v>
      </c>
      <c r="X3667">
        <v>0.98927030000000005</v>
      </c>
      <c r="Y3667">
        <v>0.4184544</v>
      </c>
      <c r="Z3667">
        <v>3.9973129999999997E-3</v>
      </c>
      <c r="AA3667">
        <v>0.90822899999999995</v>
      </c>
      <c r="AB3667">
        <v>35</v>
      </c>
      <c r="AC3667">
        <v>-11.6045</v>
      </c>
      <c r="AD3667">
        <v>-1.00784713</v>
      </c>
      <c r="AE3667">
        <v>-213.37786</v>
      </c>
      <c r="AF3667">
        <v>89.510989640755298</v>
      </c>
      <c r="AG3667">
        <v>-1.00784713</v>
      </c>
      <c r="AH3667">
        <v>194.03743671793799</v>
      </c>
      <c r="AI3667">
        <v>90.270229695661101</v>
      </c>
      <c r="AJ3667">
        <v>65.235753868600597</v>
      </c>
      <c r="AK3667">
        <v>213.69080436549601</v>
      </c>
      <c r="AL3667">
        <v>83.031877375063203</v>
      </c>
      <c r="AM3667">
        <v>85.296005474304707</v>
      </c>
      <c r="AN3667">
        <v>0.99999994657380198</v>
      </c>
    </row>
    <row r="3668" spans="1:40" x14ac:dyDescent="0.3">
      <c r="A3668" t="str">
        <f>"20200111150037309"</f>
        <v>20200111150037309</v>
      </c>
      <c r="B3668" t="str">
        <f>"1578726037300326"</f>
        <v>1578726037300326</v>
      </c>
      <c r="C3668" t="s">
        <v>40</v>
      </c>
      <c r="D3668">
        <v>4.4299049999999998</v>
      </c>
      <c r="E3668">
        <v>0.64090380000000002</v>
      </c>
      <c r="F3668" t="s">
        <v>42</v>
      </c>
      <c r="G3668">
        <v>-199.95779999999999</v>
      </c>
      <c r="H3668">
        <v>4.4554370000000003E-2</v>
      </c>
      <c r="I3668">
        <v>27.682189999999999</v>
      </c>
      <c r="J3668">
        <v>-189.24539999999999</v>
      </c>
      <c r="K3668">
        <v>1.0879030000000001</v>
      </c>
      <c r="L3668">
        <v>201.166</v>
      </c>
      <c r="M3668">
        <v>0.35916769999999998</v>
      </c>
      <c r="N3668">
        <v>0</v>
      </c>
      <c r="O3668">
        <v>-0.93311189999999999</v>
      </c>
      <c r="P3668">
        <v>0.28711039999999999</v>
      </c>
      <c r="Q3668">
        <v>0.1077577</v>
      </c>
      <c r="R3668">
        <v>-0.95181749999999998</v>
      </c>
      <c r="S3668">
        <v>-0.19741819999999999</v>
      </c>
      <c r="T3668">
        <v>-1.935899E-2</v>
      </c>
      <c r="U3668">
        <v>-3.2229160000000001</v>
      </c>
      <c r="V3668">
        <v>7.8940499999999997E-2</v>
      </c>
      <c r="W3668">
        <v>0.1218557</v>
      </c>
      <c r="X3668">
        <v>0.9894037</v>
      </c>
      <c r="Y3668">
        <v>0.41560750000000002</v>
      </c>
      <c r="Z3668">
        <v>5.1264179999999998E-3</v>
      </c>
      <c r="AA3668">
        <v>0.90952960000000005</v>
      </c>
      <c r="AB3668">
        <v>35</v>
      </c>
      <c r="AC3668">
        <v>-10.712400000000001</v>
      </c>
      <c r="AD3668">
        <v>-1.0433486300000001</v>
      </c>
      <c r="AE3668">
        <v>-173.48381000000001</v>
      </c>
      <c r="AF3668">
        <v>72.313918575357107</v>
      </c>
      <c r="AG3668">
        <v>-1.0433486300000001</v>
      </c>
      <c r="AH3668">
        <v>158.05033372660199</v>
      </c>
      <c r="AI3668">
        <v>90.343935635754406</v>
      </c>
      <c r="AJ3668">
        <v>65.414139404556494</v>
      </c>
      <c r="AK3668">
        <v>173.81110260042999</v>
      </c>
      <c r="AL3668">
        <v>83.000787916087006</v>
      </c>
      <c r="AM3668">
        <v>85.438265930929006</v>
      </c>
      <c r="AN3668">
        <v>1.0000000478682101</v>
      </c>
    </row>
    <row r="3669" spans="1:40" x14ac:dyDescent="0.3">
      <c r="A3669" t="str">
        <f>"20200111150037324"</f>
        <v>20200111150037324</v>
      </c>
      <c r="B3669" t="str">
        <f>"1578726037319847"</f>
        <v>1578726037319847</v>
      </c>
      <c r="C3669" t="s">
        <v>40</v>
      </c>
      <c r="D3669">
        <v>4.4554369999999999</v>
      </c>
      <c r="E3669">
        <v>0.63976690000000003</v>
      </c>
      <c r="F3669" t="s">
        <v>42</v>
      </c>
      <c r="G3669">
        <v>-199.95779999999999</v>
      </c>
      <c r="H3669">
        <v>1.2984030000000001E-2</v>
      </c>
      <c r="I3669">
        <v>43.497190000000003</v>
      </c>
      <c r="J3669">
        <v>-189.16970000000001</v>
      </c>
      <c r="K3669">
        <v>1.0879859999999999</v>
      </c>
      <c r="L3669">
        <v>200.9503</v>
      </c>
      <c r="M3669">
        <v>0.348852</v>
      </c>
      <c r="N3669">
        <v>0</v>
      </c>
      <c r="O3669">
        <v>-0.93701780000000001</v>
      </c>
      <c r="P3669">
        <v>0.27992040000000001</v>
      </c>
      <c r="Q3669">
        <v>0.10812529999999999</v>
      </c>
      <c r="R3669">
        <v>-0.95391519999999996</v>
      </c>
      <c r="S3669">
        <v>-0.21879580000000001</v>
      </c>
      <c r="T3669">
        <v>-2.1954769999999998E-2</v>
      </c>
      <c r="U3669">
        <v>-3.2203219999999999</v>
      </c>
      <c r="V3669">
        <v>7.5461239999999999E-2</v>
      </c>
      <c r="W3669">
        <v>0.1223569</v>
      </c>
      <c r="X3669">
        <v>0.98961319999999997</v>
      </c>
      <c r="Y3669">
        <v>0.4116264</v>
      </c>
      <c r="Z3669">
        <v>5.863226E-3</v>
      </c>
      <c r="AA3669">
        <v>0.91133390000000003</v>
      </c>
      <c r="AB3669">
        <v>35</v>
      </c>
      <c r="AC3669">
        <v>-10.788099999999901</v>
      </c>
      <c r="AD3669">
        <v>-1.07500197</v>
      </c>
      <c r="AE3669">
        <v>-157.45310999999899</v>
      </c>
      <c r="AF3669">
        <v>65.043211515769201</v>
      </c>
      <c r="AG3669">
        <v>-1.07500197</v>
      </c>
      <c r="AH3669">
        <v>143.78781063903199</v>
      </c>
      <c r="AI3669">
        <v>90.390280698395998</v>
      </c>
      <c r="AJ3669">
        <v>65.660119145216399</v>
      </c>
      <c r="AK3669">
        <v>157.81859675553699</v>
      </c>
      <c r="AL3669">
        <v>82.971854058751205</v>
      </c>
      <c r="AM3669">
        <v>85.6394481016047</v>
      </c>
      <c r="AN3669">
        <v>0.99999994766709199</v>
      </c>
    </row>
    <row r="3670" spans="1:40" x14ac:dyDescent="0.3">
      <c r="A3670" t="str">
        <f>"20200111150037338"</f>
        <v>20200111150037338</v>
      </c>
      <c r="B3670" t="str">
        <f>"1578726037330583"</f>
        <v>1578726037330583</v>
      </c>
      <c r="C3670" t="s">
        <v>40</v>
      </c>
      <c r="D3670">
        <v>4.4662860000000002</v>
      </c>
      <c r="E3670">
        <v>0.63915299999999997</v>
      </c>
      <c r="F3670" t="s">
        <v>42</v>
      </c>
      <c r="G3670">
        <v>-199.98159999999999</v>
      </c>
      <c r="H3670">
        <v>7.3804209999999995E-2</v>
      </c>
      <c r="I3670">
        <v>51.682049999999997</v>
      </c>
      <c r="J3670">
        <v>-189.09379999999999</v>
      </c>
      <c r="K3670">
        <v>1.088082</v>
      </c>
      <c r="L3670">
        <v>200.72569999999999</v>
      </c>
      <c r="M3670">
        <v>0.3381807</v>
      </c>
      <c r="N3670">
        <v>0</v>
      </c>
      <c r="O3670">
        <v>-0.94092260000000005</v>
      </c>
      <c r="P3670">
        <v>0.27049119999999999</v>
      </c>
      <c r="Q3670">
        <v>0.1079285</v>
      </c>
      <c r="R3670">
        <v>-0.956654</v>
      </c>
      <c r="S3670">
        <v>-0.2329254</v>
      </c>
      <c r="T3670">
        <v>-2.1848920000000001E-2</v>
      </c>
      <c r="U3670">
        <v>-3.2157439999999999</v>
      </c>
      <c r="V3670">
        <v>7.3950680000000005E-2</v>
      </c>
      <c r="W3670">
        <v>0.1222102</v>
      </c>
      <c r="X3670">
        <v>0.9897454</v>
      </c>
      <c r="Y3670">
        <v>0.40533150000000001</v>
      </c>
      <c r="Z3670">
        <v>5.8917309999999999E-3</v>
      </c>
      <c r="AA3670">
        <v>0.91415080000000004</v>
      </c>
      <c r="AB3670">
        <v>35</v>
      </c>
      <c r="AC3670">
        <v>-10.8878</v>
      </c>
      <c r="AD3670">
        <v>-1.01427779</v>
      </c>
      <c r="AE3670">
        <v>-149.04365000000001</v>
      </c>
      <c r="AF3670">
        <v>60.6545219136461</v>
      </c>
      <c r="AG3670">
        <v>-1.01427779</v>
      </c>
      <c r="AH3670">
        <v>136.570587568777</v>
      </c>
      <c r="AI3670">
        <v>90.388887236942196</v>
      </c>
      <c r="AJ3670">
        <v>66.052758190313398</v>
      </c>
      <c r="AK3670">
        <v>149.43736205142699</v>
      </c>
      <c r="AL3670">
        <v>82.980323251109496</v>
      </c>
      <c r="AM3670">
        <v>85.726978333259197</v>
      </c>
      <c r="AN3670">
        <v>0.99999999643883097</v>
      </c>
    </row>
    <row r="3671" spans="1:40" x14ac:dyDescent="0.3">
      <c r="A3671" t="str">
        <f>"20200111150037352"</f>
        <v>20200111150037352</v>
      </c>
      <c r="B3671" t="str">
        <f>"1578726037340342"</f>
        <v>1578726037340342</v>
      </c>
      <c r="C3671" t="s">
        <v>40</v>
      </c>
      <c r="D3671">
        <v>4.5642719999999999</v>
      </c>
      <c r="E3671">
        <v>0.63915299999999997</v>
      </c>
      <c r="F3671" t="s">
        <v>42</v>
      </c>
      <c r="G3671">
        <v>-199.98</v>
      </c>
      <c r="H3671">
        <v>7.2271199999999994E-2</v>
      </c>
      <c r="I3671">
        <v>66.011719999999997</v>
      </c>
      <c r="J3671">
        <v>-189.03149999999999</v>
      </c>
      <c r="K3671">
        <v>1.0881730000000001</v>
      </c>
      <c r="L3671">
        <v>200.53309999999999</v>
      </c>
      <c r="M3671">
        <v>0.32910909999999999</v>
      </c>
      <c r="N3671">
        <v>0</v>
      </c>
      <c r="O3671">
        <v>-0.94413409999999998</v>
      </c>
      <c r="P3671">
        <v>0.2630942</v>
      </c>
      <c r="Q3671">
        <v>0.1075825</v>
      </c>
      <c r="R3671">
        <v>-0.95875319999999997</v>
      </c>
      <c r="S3671">
        <v>-0.2595673</v>
      </c>
      <c r="T3671">
        <v>-2.4220470000000001E-2</v>
      </c>
      <c r="U3671">
        <v>-3.2120510000000002</v>
      </c>
      <c r="V3671">
        <v>7.2037649999999995E-2</v>
      </c>
      <c r="W3671">
        <v>0.12193</v>
      </c>
      <c r="X3671">
        <v>0.98992100000000005</v>
      </c>
      <c r="Y3671">
        <v>0.4041457</v>
      </c>
      <c r="Z3671">
        <v>6.5747940000000001E-3</v>
      </c>
      <c r="AA3671">
        <v>0.91467089999999995</v>
      </c>
      <c r="AB3671">
        <v>35</v>
      </c>
      <c r="AC3671">
        <v>-10.9484999999999</v>
      </c>
      <c r="AD3671">
        <v>-1.0159018</v>
      </c>
      <c r="AE3671">
        <v>-134.52137999999999</v>
      </c>
      <c r="AF3671">
        <v>54.614106836116001</v>
      </c>
      <c r="AG3671">
        <v>-1.0159018</v>
      </c>
      <c r="AH3671">
        <v>123.41437001548699</v>
      </c>
      <c r="AI3671">
        <v>90.431286426038497</v>
      </c>
      <c r="AJ3671">
        <v>66.129348915732507</v>
      </c>
      <c r="AK3671">
        <v>134.96236308057701</v>
      </c>
      <c r="AL3671">
        <v>82.996498288861801</v>
      </c>
      <c r="AM3671">
        <v>85.837859237559101</v>
      </c>
      <c r="AN3671">
        <v>0.99999996707925998</v>
      </c>
    </row>
    <row r="3672" spans="1:40" x14ac:dyDescent="0.3">
      <c r="A3672" t="str">
        <f>"20200111150037364"</f>
        <v>20200111150037364</v>
      </c>
      <c r="B3672" t="str">
        <f>"1578726037359863"</f>
        <v>1578726037359863</v>
      </c>
      <c r="C3672" t="s">
        <v>40</v>
      </c>
      <c r="D3672">
        <v>4.4375049999999998</v>
      </c>
      <c r="E3672">
        <v>0.63839609999999902</v>
      </c>
      <c r="F3672" t="s">
        <v>42</v>
      </c>
      <c r="G3672">
        <v>-199.97040000000001</v>
      </c>
      <c r="H3672">
        <v>6.2617510000000001E-2</v>
      </c>
      <c r="I3672">
        <v>76.898669999999996</v>
      </c>
      <c r="J3672">
        <v>-188.96940000000001</v>
      </c>
      <c r="K3672">
        <v>1.0882670000000001</v>
      </c>
      <c r="L3672">
        <v>200.3366</v>
      </c>
      <c r="M3672">
        <v>0.31988919999999998</v>
      </c>
      <c r="N3672">
        <v>0</v>
      </c>
      <c r="O3672">
        <v>-0.94729819999999998</v>
      </c>
      <c r="P3672">
        <v>0.25520799999999999</v>
      </c>
      <c r="Q3672">
        <v>0.1072205</v>
      </c>
      <c r="R3672">
        <v>-0.96092270000000002</v>
      </c>
      <c r="S3672">
        <v>-0.28401179999999998</v>
      </c>
      <c r="T3672">
        <v>-2.6626940000000002E-2</v>
      </c>
      <c r="U3672">
        <v>-3.2099760000000002</v>
      </c>
      <c r="V3672">
        <v>7.0486099999999996E-2</v>
      </c>
      <c r="W3672">
        <v>0.12161810000000001</v>
      </c>
      <c r="X3672">
        <v>0.99007109999999998</v>
      </c>
      <c r="Y3672">
        <v>0.40218999999999999</v>
      </c>
      <c r="Z3672">
        <v>7.2731949999999997E-3</v>
      </c>
      <c r="AA3672">
        <v>0.91552730000000004</v>
      </c>
      <c r="AB3672">
        <v>35</v>
      </c>
      <c r="AC3672">
        <v>-11.000999999999999</v>
      </c>
      <c r="AD3672">
        <v>-1.0256494899999999</v>
      </c>
      <c r="AE3672">
        <v>-123.43792999999999</v>
      </c>
      <c r="AF3672">
        <v>49.911682870103398</v>
      </c>
      <c r="AG3672">
        <v>-1.0256494899999999</v>
      </c>
      <c r="AH3672">
        <v>113.422505611324</v>
      </c>
      <c r="AI3672">
        <v>90.474214558219302</v>
      </c>
      <c r="AJ3672">
        <v>66.248059180730394</v>
      </c>
      <c r="AK3672">
        <v>123.922930981126</v>
      </c>
      <c r="AL3672">
        <v>83.014503191810206</v>
      </c>
      <c r="AM3672">
        <v>85.927814011554901</v>
      </c>
      <c r="AN3672">
        <v>1.00000001779801</v>
      </c>
    </row>
    <row r="3673" spans="1:40" x14ac:dyDescent="0.3">
      <c r="A3673" t="str">
        <f>"20200111150037379"</f>
        <v>20200111150037379</v>
      </c>
      <c r="B3673" t="str">
        <f>"1578726037370598"</f>
        <v>1578726037370598</v>
      </c>
      <c r="C3673" t="s">
        <v>40</v>
      </c>
      <c r="D3673">
        <v>4.4147879999999997</v>
      </c>
      <c r="E3673">
        <v>0.6201624</v>
      </c>
      <c r="F3673" t="s">
        <v>42</v>
      </c>
      <c r="G3673">
        <v>-202.02350000000001</v>
      </c>
      <c r="H3673">
        <v>7.9985959999999995E-2</v>
      </c>
      <c r="I3673">
        <v>62.836319999999901</v>
      </c>
      <c r="J3673">
        <v>-188.9025</v>
      </c>
      <c r="K3673">
        <v>1.0883830000000001</v>
      </c>
      <c r="L3673">
        <v>200.11699999999999</v>
      </c>
      <c r="M3673">
        <v>0.30967209999999901</v>
      </c>
      <c r="N3673">
        <v>0</v>
      </c>
      <c r="O3673">
        <v>-0.95068810000000004</v>
      </c>
      <c r="P3673">
        <v>0.2477964</v>
      </c>
      <c r="Q3673">
        <v>0.10526249999999999</v>
      </c>
      <c r="R3673">
        <v>-0.96307710000000002</v>
      </c>
      <c r="S3673">
        <v>-0.30432130000000002</v>
      </c>
      <c r="T3673">
        <v>-2.3505330000000001E-2</v>
      </c>
      <c r="U3673">
        <v>-3.205444</v>
      </c>
      <c r="V3673">
        <v>6.7403669999999999E-2</v>
      </c>
      <c r="W3673">
        <v>0.11977160000000001</v>
      </c>
      <c r="X3673">
        <v>0.99051080000000002</v>
      </c>
      <c r="Y3673">
        <v>0.39819549999999998</v>
      </c>
      <c r="Z3673">
        <v>6.4714159999999998E-3</v>
      </c>
      <c r="AA3673">
        <v>0.91727780000000003</v>
      </c>
      <c r="AB3673">
        <v>35</v>
      </c>
      <c r="AC3673">
        <v>-13.121</v>
      </c>
      <c r="AD3673">
        <v>-1.00839704</v>
      </c>
      <c r="AE3673">
        <v>-137.28067999999999</v>
      </c>
      <c r="AF3673">
        <v>54.991155971515397</v>
      </c>
      <c r="AG3673">
        <v>-1.00839704</v>
      </c>
      <c r="AH3673">
        <v>126.45981551898601</v>
      </c>
      <c r="AI3673">
        <v>90.418972567648794</v>
      </c>
      <c r="AJ3673">
        <v>66.498146954759804</v>
      </c>
      <c r="AK3673">
        <v>137.90260708474599</v>
      </c>
      <c r="AL3673">
        <v>83.121079314640994</v>
      </c>
      <c r="AM3673">
        <v>86.107057970022893</v>
      </c>
      <c r="AN3673">
        <v>1.0000000679063299</v>
      </c>
    </row>
    <row r="3674" spans="1:40" x14ac:dyDescent="0.3">
      <c r="A3674" t="str">
        <f>"20200111150037394"</f>
        <v>20200111150037394</v>
      </c>
      <c r="B3674" t="str">
        <f>"1578726037389813"</f>
        <v>1578726037389813</v>
      </c>
      <c r="C3674" t="s">
        <v>40</v>
      </c>
      <c r="D3674">
        <v>4.3842739999999996</v>
      </c>
      <c r="E3674">
        <v>0.61921709999999996</v>
      </c>
      <c r="F3674" t="s">
        <v>55</v>
      </c>
      <c r="G3674">
        <v>-193.50540000000001</v>
      </c>
      <c r="H3674" s="1">
        <v>-2.6120339999999998E-6</v>
      </c>
      <c r="I3674">
        <v>122.6591</v>
      </c>
      <c r="J3674">
        <v>-188.83840000000001</v>
      </c>
      <c r="K3674">
        <v>1.088524</v>
      </c>
      <c r="L3674">
        <v>199.89619999999999</v>
      </c>
      <c r="M3674">
        <v>0.29954049999999999</v>
      </c>
      <c r="N3674">
        <v>0</v>
      </c>
      <c r="O3674">
        <v>-0.95392940000000004</v>
      </c>
      <c r="P3674">
        <v>0.2388711</v>
      </c>
      <c r="Q3674">
        <v>0.1045758</v>
      </c>
      <c r="R3674">
        <v>-0.96540369999999998</v>
      </c>
      <c r="S3674">
        <v>-0.18827820000000001</v>
      </c>
      <c r="T3674">
        <v>-4.4519309999999999E-2</v>
      </c>
      <c r="U3674">
        <v>-3.1683349999999999</v>
      </c>
      <c r="V3674">
        <v>6.5985329999999995E-2</v>
      </c>
      <c r="W3674">
        <v>0.11912300000000001</v>
      </c>
      <c r="X3674">
        <v>0.99068440000000002</v>
      </c>
      <c r="Y3674">
        <v>0.35564679999999999</v>
      </c>
      <c r="Z3674">
        <v>1.2608629999999999E-2</v>
      </c>
      <c r="AA3674">
        <v>0.93453540000000002</v>
      </c>
      <c r="AB3674">
        <v>35</v>
      </c>
      <c r="AC3674">
        <v>-4.6669999999999998</v>
      </c>
      <c r="AD3674">
        <v>-1.088526612034</v>
      </c>
      <c r="AE3674">
        <v>-77.237099999999998</v>
      </c>
      <c r="AF3674">
        <v>27.5862276572099</v>
      </c>
      <c r="AG3674">
        <v>-1.088526612034</v>
      </c>
      <c r="AH3674">
        <v>72.277115824887801</v>
      </c>
      <c r="AI3674">
        <v>90.8061235749405</v>
      </c>
      <c r="AJ3674">
        <v>69.109491982088002</v>
      </c>
      <c r="AK3674">
        <v>77.370319364112603</v>
      </c>
      <c r="AL3674">
        <v>83.158508637971806</v>
      </c>
      <c r="AM3674">
        <v>86.189396979668203</v>
      </c>
      <c r="AN3674">
        <v>0.99999996665378299</v>
      </c>
    </row>
    <row r="3675" spans="1:40" x14ac:dyDescent="0.3">
      <c r="A3675" t="str">
        <f>"20200111150037407"</f>
        <v>20200111150037407</v>
      </c>
      <c r="B3675" t="str">
        <f>"1578726037389813"</f>
        <v>1578726037389813</v>
      </c>
      <c r="C3675" t="s">
        <v>40</v>
      </c>
      <c r="D3675">
        <v>4.3842739999999996</v>
      </c>
      <c r="E3675">
        <v>0.61921709999999996</v>
      </c>
      <c r="F3675" t="s">
        <v>42</v>
      </c>
      <c r="G3675">
        <v>-195.58690000000001</v>
      </c>
      <c r="H3675" s="1">
        <v>-4.8434790000000004E-6</v>
      </c>
      <c r="I3675">
        <v>98.307410000000004</v>
      </c>
      <c r="J3675">
        <v>-188.78110000000001</v>
      </c>
      <c r="K3675">
        <v>1.0886670000000001</v>
      </c>
      <c r="L3675">
        <v>199.69239999999999</v>
      </c>
      <c r="M3675">
        <v>0.29028140000000002</v>
      </c>
      <c r="N3675">
        <v>0</v>
      </c>
      <c r="O3675">
        <v>-0.95678839999999998</v>
      </c>
      <c r="P3675">
        <v>0.2305373</v>
      </c>
      <c r="Q3675">
        <v>0.10405300000000001</v>
      </c>
      <c r="R3675">
        <v>-0.96748420000000002</v>
      </c>
      <c r="S3675">
        <v>-0.2101288</v>
      </c>
      <c r="T3675">
        <v>-3.3893590000000001E-2</v>
      </c>
      <c r="U3675">
        <v>-3.1631770000000001</v>
      </c>
      <c r="V3675">
        <v>6.4877760000000007E-2</v>
      </c>
      <c r="W3675">
        <v>0.11862590000000001</v>
      </c>
      <c r="X3675">
        <v>0.99081719999999895</v>
      </c>
      <c r="Y3675">
        <v>0.35311019999999999</v>
      </c>
      <c r="Z3675">
        <v>9.6641739999999993E-3</v>
      </c>
      <c r="AA3675">
        <v>0.93553180000000002</v>
      </c>
      <c r="AB3675">
        <v>34</v>
      </c>
      <c r="AC3675">
        <v>-6.8057999999999996</v>
      </c>
      <c r="AD3675">
        <v>-1.0886718434789999</v>
      </c>
      <c r="AE3675">
        <v>-101.38499</v>
      </c>
      <c r="AF3675">
        <v>35.943022171453698</v>
      </c>
      <c r="AG3675">
        <v>-1.0886718434789999</v>
      </c>
      <c r="AH3675">
        <v>95.031385675652203</v>
      </c>
      <c r="AI3675">
        <v>90.613907412134395</v>
      </c>
      <c r="AJ3675">
        <v>69.282246840849595</v>
      </c>
      <c r="AK3675">
        <v>101.607333951024</v>
      </c>
      <c r="AL3675">
        <v>83.187193832067507</v>
      </c>
      <c r="AM3675">
        <v>86.253675328228496</v>
      </c>
      <c r="AN3675">
        <v>0.99999997585463296</v>
      </c>
    </row>
    <row r="3676" spans="1:40" x14ac:dyDescent="0.3">
      <c r="A3676" t="str">
        <f>"20200111150037597"</f>
        <v>20200111150037597</v>
      </c>
      <c r="B3676" t="str">
        <f>"1578726037589876"</f>
        <v>1578726037589876</v>
      </c>
      <c r="C3676" t="s">
        <v>40</v>
      </c>
      <c r="D3676">
        <v>4.5018529999999997</v>
      </c>
      <c r="E3676">
        <v>0.61921709999999996</v>
      </c>
      <c r="F3676" t="s">
        <v>42</v>
      </c>
      <c r="G3676">
        <v>-195.87029999999999</v>
      </c>
      <c r="H3676" s="1">
        <v>-3.8242060000000003E-6</v>
      </c>
      <c r="I3676">
        <v>105.1645</v>
      </c>
      <c r="J3676">
        <v>-188.1677</v>
      </c>
      <c r="K3676">
        <v>1.092668</v>
      </c>
      <c r="L3676">
        <v>196.8073</v>
      </c>
      <c r="M3676">
        <v>0.1778101</v>
      </c>
      <c r="N3676">
        <v>0</v>
      </c>
      <c r="O3676">
        <v>-0.98393120000000001</v>
      </c>
      <c r="P3676">
        <v>0.131434299999999</v>
      </c>
      <c r="Q3676">
        <v>9.4326149999999997E-2</v>
      </c>
      <c r="R3676">
        <v>-0.98682740000000002</v>
      </c>
      <c r="S3676">
        <v>-0.2370758</v>
      </c>
      <c r="T3676">
        <v>-3.6407589999999997E-2</v>
      </c>
      <c r="U3676">
        <v>-3.1612239999999998</v>
      </c>
      <c r="V3676">
        <v>4.9313830000000003E-2</v>
      </c>
      <c r="W3676">
        <v>0.1090711</v>
      </c>
      <c r="X3676">
        <v>0.99280999999999997</v>
      </c>
      <c r="Y3676">
        <v>0.25092360000000002</v>
      </c>
      <c r="Z3676">
        <v>1.104049E-2</v>
      </c>
      <c r="AA3676">
        <v>0.96794389999999997</v>
      </c>
      <c r="AB3676">
        <v>34</v>
      </c>
      <c r="AC3676">
        <v>-7.7025999999999897</v>
      </c>
      <c r="AD3676">
        <v>-1.0926718242060001</v>
      </c>
      <c r="AE3676">
        <v>-91.642799999999994</v>
      </c>
      <c r="AF3676">
        <v>23.873613362586401</v>
      </c>
      <c r="AG3676">
        <v>-1.0926718242060001</v>
      </c>
      <c r="AH3676">
        <v>88.799752621896999</v>
      </c>
      <c r="AI3676">
        <v>90.680810520142103</v>
      </c>
      <c r="AJ3676">
        <v>74.951976186116596</v>
      </c>
      <c r="AK3676">
        <v>91.959444389425201</v>
      </c>
      <c r="AL3676">
        <v>83.738228836595297</v>
      </c>
      <c r="AM3676">
        <v>87.156400429227006</v>
      </c>
      <c r="AN3676">
        <v>1.00000002739223</v>
      </c>
    </row>
    <row r="3677" spans="1:40" x14ac:dyDescent="0.3">
      <c r="A3677" t="str">
        <f>"20200111150037609"</f>
        <v>20200111150037609</v>
      </c>
      <c r="B3677" t="str">
        <f>"1578726037600612"</f>
        <v>1578726037600612</v>
      </c>
      <c r="C3677" t="s">
        <v>40</v>
      </c>
      <c r="D3677">
        <v>4.518929</v>
      </c>
      <c r="E3677">
        <v>0.57647479999999995</v>
      </c>
      <c r="F3677" t="s">
        <v>55</v>
      </c>
      <c r="G3677">
        <v>-195.84479999999999</v>
      </c>
      <c r="H3677" s="1">
        <v>-1.30377399999999E-5</v>
      </c>
      <c r="I3677">
        <v>153.35679999999999</v>
      </c>
      <c r="J3677">
        <v>-188.13929999999999</v>
      </c>
      <c r="K3677">
        <v>1.0930340000000001</v>
      </c>
      <c r="L3677">
        <v>196.6249</v>
      </c>
      <c r="M3677">
        <v>0.17229929999999999</v>
      </c>
      <c r="N3677">
        <v>0</v>
      </c>
      <c r="O3677">
        <v>-0.98491209999999996</v>
      </c>
      <c r="P3677">
        <v>0.12769629999999901</v>
      </c>
      <c r="Q3677">
        <v>9.5176380000000005E-2</v>
      </c>
      <c r="R3677">
        <v>-0.98723629999999996</v>
      </c>
      <c r="S3677">
        <v>-0.55143739999999997</v>
      </c>
      <c r="T3677">
        <v>-7.8486199999999895E-2</v>
      </c>
      <c r="U3677">
        <v>-3.1210019999999998</v>
      </c>
      <c r="V3677">
        <v>4.7428419999999999E-2</v>
      </c>
      <c r="W3677">
        <v>0.1099479</v>
      </c>
      <c r="X3677">
        <v>0.9928051</v>
      </c>
      <c r="Y3677">
        <v>0.34103070000000002</v>
      </c>
      <c r="Z3677">
        <v>2.3636339999999999E-2</v>
      </c>
      <c r="AA3677">
        <v>0.93975500000000001</v>
      </c>
      <c r="AB3677">
        <v>34</v>
      </c>
      <c r="AC3677">
        <v>-7.7054999999999998</v>
      </c>
      <c r="AD3677">
        <v>-1.0930470377399999</v>
      </c>
      <c r="AE3677">
        <v>-43.268099999999997</v>
      </c>
      <c r="AF3677">
        <v>15.0369667207614</v>
      </c>
      <c r="AG3677">
        <v>-1.0930470377399999</v>
      </c>
      <c r="AH3677">
        <v>41.267487823921002</v>
      </c>
      <c r="AI3677">
        <v>91.425583594722895</v>
      </c>
      <c r="AJ3677">
        <v>69.979369926990799</v>
      </c>
      <c r="AK3677">
        <v>43.935300969556003</v>
      </c>
      <c r="AL3677">
        <v>83.687687638130996</v>
      </c>
      <c r="AM3677">
        <v>87.264937611200097</v>
      </c>
      <c r="AN3677">
        <v>0.99999998116205802</v>
      </c>
    </row>
    <row r="3678" spans="1:40" x14ac:dyDescent="0.3">
      <c r="A3678" t="str">
        <f>"20200111150040526"</f>
        <v>20200111150040526</v>
      </c>
      <c r="B3678" t="str">
        <f>"1578726040520302"</f>
        <v>1578726040520302</v>
      </c>
      <c r="C3678" t="s">
        <v>40</v>
      </c>
      <c r="D3678">
        <v>5.0578409999999998</v>
      </c>
      <c r="E3678">
        <v>0.67268219999999901</v>
      </c>
      <c r="F3678" t="s">
        <v>42</v>
      </c>
      <c r="G3678">
        <v>-190.05629999999999</v>
      </c>
      <c r="H3678" s="1">
        <v>-3.7660449999999999E-7</v>
      </c>
      <c r="I3678">
        <v>170.43199999999999</v>
      </c>
      <c r="J3678">
        <v>-189.22730000000001</v>
      </c>
      <c r="K3678">
        <v>1.0897829999999999</v>
      </c>
      <c r="L3678">
        <v>156.31049999999999</v>
      </c>
      <c r="M3678">
        <v>-0.49426710000000001</v>
      </c>
      <c r="N3678">
        <v>0</v>
      </c>
      <c r="O3678">
        <v>-0.86912789999999995</v>
      </c>
      <c r="P3678">
        <v>-0.66382439999999998</v>
      </c>
      <c r="Q3678">
        <v>0.13987040000000001</v>
      </c>
      <c r="R3678">
        <v>-0.73469269999999998</v>
      </c>
      <c r="S3678">
        <v>-0.2254486</v>
      </c>
      <c r="T3678">
        <v>-0.1285433</v>
      </c>
      <c r="U3678">
        <v>-3.0803379999999998</v>
      </c>
      <c r="V3678">
        <v>0.21960379999999999</v>
      </c>
      <c r="W3678">
        <v>0.14890100000000001</v>
      </c>
      <c r="X3678">
        <v>0.96415899999999999</v>
      </c>
      <c r="Y3678">
        <v>-0.42959419999999998</v>
      </c>
      <c r="Z3678">
        <v>3.1508510000000003E-2</v>
      </c>
      <c r="AA3678">
        <v>0.9024721</v>
      </c>
      <c r="AB3678">
        <v>28</v>
      </c>
      <c r="AC3678">
        <v>-0.82899999999997898</v>
      </c>
      <c r="AD3678">
        <v>-1.0897833766045</v>
      </c>
      <c r="AE3678">
        <v>14.121499999999999</v>
      </c>
      <c r="AF3678">
        <v>7.6560803784507296</v>
      </c>
      <c r="AG3678">
        <v>-1.0897833766045</v>
      </c>
      <c r="AH3678">
        <v>-11.795514430087399</v>
      </c>
      <c r="AI3678">
        <v>94.431366835896497</v>
      </c>
      <c r="AJ3678">
        <v>-57.013723905172</v>
      </c>
      <c r="AK3678">
        <v>14.104515420234099</v>
      </c>
      <c r="AL3678">
        <v>81.436756349340996</v>
      </c>
      <c r="AM3678">
        <v>77.168796889472603</v>
      </c>
      <c r="AN3678">
        <v>0.99999995702821898</v>
      </c>
    </row>
    <row r="3679" spans="1:40" x14ac:dyDescent="0.3">
      <c r="A3679" t="str">
        <f>"20200111150040878"</f>
        <v>20200111150040878</v>
      </c>
      <c r="B3679" t="str">
        <f>"1578726040870686"</f>
        <v>1578726040870686</v>
      </c>
      <c r="C3679" t="s">
        <v>40</v>
      </c>
      <c r="D3679">
        <v>4.6750189999999998</v>
      </c>
      <c r="E3679">
        <v>0.67141090000000003</v>
      </c>
      <c r="F3679" t="s">
        <v>55</v>
      </c>
      <c r="G3679">
        <v>-200.83959999999999</v>
      </c>
      <c r="H3679">
        <v>7.9984689999999997E-2</v>
      </c>
      <c r="I3679">
        <v>151.24889999999999</v>
      </c>
      <c r="J3679">
        <v>-192.19120000000001</v>
      </c>
      <c r="K3679">
        <v>1.090957</v>
      </c>
      <c r="L3679">
        <v>153.0444</v>
      </c>
      <c r="M3679">
        <v>-0.7395815</v>
      </c>
      <c r="N3679">
        <v>0</v>
      </c>
      <c r="O3679">
        <v>-0.67283979999999999</v>
      </c>
      <c r="P3679">
        <v>-0.85348979999999997</v>
      </c>
      <c r="Q3679">
        <v>0.13062480000000001</v>
      </c>
      <c r="R3679">
        <v>-0.50447240000000004</v>
      </c>
      <c r="S3679">
        <v>-3.0866850000000001</v>
      </c>
      <c r="T3679">
        <v>-0.26841619999999999</v>
      </c>
      <c r="U3679">
        <v>-1.3454440000000001</v>
      </c>
      <c r="V3679">
        <v>0.20618529999999999</v>
      </c>
      <c r="W3679">
        <v>0.14052339999999999</v>
      </c>
      <c r="X3679">
        <v>0.96837010000000001</v>
      </c>
      <c r="Y3679">
        <v>0.31868869999999999</v>
      </c>
      <c r="Z3679">
        <v>6.3159290000000007E-2</v>
      </c>
      <c r="AA3679">
        <v>0.94575290000000001</v>
      </c>
      <c r="AB3679">
        <v>27</v>
      </c>
      <c r="AC3679">
        <v>-8.6483999999999792</v>
      </c>
      <c r="AD3679">
        <v>-1.0109723100000001</v>
      </c>
      <c r="AE3679">
        <v>-1.7955000000000001</v>
      </c>
      <c r="AF3679">
        <v>4.4336736969933197</v>
      </c>
      <c r="AG3679">
        <v>-1.0109723100000001</v>
      </c>
      <c r="AH3679">
        <v>7.5070985076724304</v>
      </c>
      <c r="AI3679">
        <v>96.614239310144995</v>
      </c>
      <c r="AJ3679">
        <v>59.434006875678797</v>
      </c>
      <c r="AK3679">
        <v>8.7770185978437301</v>
      </c>
      <c r="AL3679">
        <v>81.921865136237599</v>
      </c>
      <c r="AM3679">
        <v>77.980081625007799</v>
      </c>
      <c r="AN3679">
        <v>0.99999992722882702</v>
      </c>
    </row>
    <row r="3680" spans="1:40" x14ac:dyDescent="0.3">
      <c r="A3680" t="str">
        <f>"20200111150040901"</f>
        <v>20200111150040901</v>
      </c>
      <c r="B3680" t="str">
        <f>"1578726040890206"</f>
        <v>1578726040890206</v>
      </c>
      <c r="C3680" t="s">
        <v>40</v>
      </c>
      <c r="D3680">
        <v>4.501214</v>
      </c>
      <c r="E3680">
        <v>0.67330440000000003</v>
      </c>
      <c r="F3680" t="s">
        <v>55</v>
      </c>
      <c r="G3680">
        <v>-205.70339999999999</v>
      </c>
      <c r="H3680">
        <v>7.9984689999999997E-2</v>
      </c>
      <c r="I3680">
        <v>151.57499999999999</v>
      </c>
      <c r="J3680">
        <v>-192.4068</v>
      </c>
      <c r="K3680">
        <v>1.091105</v>
      </c>
      <c r="L3680">
        <v>152.87440000000001</v>
      </c>
      <c r="M3680">
        <v>-0.75216899999999998</v>
      </c>
      <c r="N3680">
        <v>0</v>
      </c>
      <c r="O3680">
        <v>-0.65873990000000004</v>
      </c>
      <c r="P3680">
        <v>-0.86179269999999997</v>
      </c>
      <c r="Q3680">
        <v>0.12922690000000001</v>
      </c>
      <c r="R3680">
        <v>-0.49052440000000003</v>
      </c>
      <c r="S3680">
        <v>-3.3386230000000001</v>
      </c>
      <c r="T3680">
        <v>-0.2497945</v>
      </c>
      <c r="U3680">
        <v>-0.36308289999999999</v>
      </c>
      <c r="V3680">
        <v>0.2036626</v>
      </c>
      <c r="W3680">
        <v>0.13924819999999999</v>
      </c>
      <c r="X3680">
        <v>0.96908799999999995</v>
      </c>
      <c r="Y3680">
        <v>0.57056390000000001</v>
      </c>
      <c r="Z3680">
        <v>6.6440250000000006E-2</v>
      </c>
      <c r="AA3680">
        <v>0.81856130000000005</v>
      </c>
      <c r="AB3680">
        <v>27</v>
      </c>
      <c r="AC3680">
        <v>-13.2965999999999</v>
      </c>
      <c r="AD3680">
        <v>-1.0111203099999999</v>
      </c>
      <c r="AE3680">
        <v>-1.2994000000000201</v>
      </c>
      <c r="AF3680">
        <v>7.7384884322453802</v>
      </c>
      <c r="AG3680">
        <v>-1.0111203099999999</v>
      </c>
      <c r="AH3680">
        <v>10.797060478371399</v>
      </c>
      <c r="AI3680">
        <v>94.3527609460522</v>
      </c>
      <c r="AJ3680">
        <v>54.370006423359399</v>
      </c>
      <c r="AK3680">
        <v>13.322277675791799</v>
      </c>
      <c r="AL3680">
        <v>81.995655104421104</v>
      </c>
      <c r="AM3680">
        <v>78.131493930287306</v>
      </c>
      <c r="AN3680">
        <v>1.00000003379299</v>
      </c>
    </row>
    <row r="3681" spans="1:40" x14ac:dyDescent="0.3">
      <c r="A3681" t="str">
        <f>"20200111150040914"</f>
        <v>20200111150040914</v>
      </c>
      <c r="B3681" t="str">
        <f>"1578726040910631"</f>
        <v>1578726040910631</v>
      </c>
      <c r="C3681" t="s">
        <v>40</v>
      </c>
      <c r="D3681">
        <v>4.4999419999999999</v>
      </c>
      <c r="E3681">
        <v>0.67156059999999995</v>
      </c>
      <c r="F3681" t="s">
        <v>42</v>
      </c>
      <c r="G3681">
        <v>-212.55940000000001</v>
      </c>
      <c r="H3681">
        <v>7.9985870000000001E-2</v>
      </c>
      <c r="I3681">
        <v>151.11760000000001</v>
      </c>
      <c r="J3681">
        <v>-192.54239999999999</v>
      </c>
      <c r="K3681">
        <v>1.0912059999999999</v>
      </c>
      <c r="L3681">
        <v>152.7713</v>
      </c>
      <c r="M3681">
        <v>-0.7597739</v>
      </c>
      <c r="N3681">
        <v>0</v>
      </c>
      <c r="O3681">
        <v>-0.6499547</v>
      </c>
      <c r="P3681">
        <v>-0.86700699999999997</v>
      </c>
      <c r="Q3681">
        <v>0.12896179999999999</v>
      </c>
      <c r="R3681">
        <v>-0.48131940000000001</v>
      </c>
      <c r="S3681">
        <v>-3.3404690000000001</v>
      </c>
      <c r="T3681">
        <v>-0.16760169999999999</v>
      </c>
      <c r="U3681">
        <v>-0.29121399999999997</v>
      </c>
      <c r="V3681">
        <v>0.20269899999999999</v>
      </c>
      <c r="W3681">
        <v>0.1390361</v>
      </c>
      <c r="X3681">
        <v>0.96932039999999997</v>
      </c>
      <c r="Y3681">
        <v>0.58019750000000003</v>
      </c>
      <c r="Z3681">
        <v>4.4609120000000002E-2</v>
      </c>
      <c r="AA3681">
        <v>0.81325319999999901</v>
      </c>
      <c r="AB3681">
        <v>27</v>
      </c>
      <c r="AC3681">
        <v>-20.016999999999999</v>
      </c>
      <c r="AD3681">
        <v>-1.0112201300000001</v>
      </c>
      <c r="AE3681">
        <v>-1.65369999999998</v>
      </c>
      <c r="AF3681">
        <v>11.725761172416201</v>
      </c>
      <c r="AG3681">
        <v>-1.0112201300000001</v>
      </c>
      <c r="AH3681">
        <v>16.2445115359574</v>
      </c>
      <c r="AI3681">
        <v>92.889504361103207</v>
      </c>
      <c r="AJ3681">
        <v>54.177152688912599</v>
      </c>
      <c r="AK3681">
        <v>20.059915160979902</v>
      </c>
      <c r="AL3681">
        <v>82.007926479397099</v>
      </c>
      <c r="AM3681">
        <v>78.188819220365502</v>
      </c>
      <c r="AN3681">
        <v>0.99999997978018396</v>
      </c>
    </row>
    <row r="3682" spans="1:40" x14ac:dyDescent="0.3">
      <c r="A3682" t="str">
        <f>"20200111150040927"</f>
        <v>20200111150040927</v>
      </c>
      <c r="B3682" t="str">
        <f>"1578726040920393"</f>
        <v>1578726040920393</v>
      </c>
      <c r="C3682" t="s">
        <v>40</v>
      </c>
      <c r="D3682">
        <v>4.5265570000000004</v>
      </c>
      <c r="E3682">
        <v>0.67106909999999997</v>
      </c>
      <c r="F3682" t="s">
        <v>42</v>
      </c>
      <c r="G3682">
        <v>-217.35480000000001</v>
      </c>
      <c r="H3682">
        <v>7.9986009999999996E-2</v>
      </c>
      <c r="I3682">
        <v>150.78569999999999</v>
      </c>
      <c r="J3682">
        <v>-192.67240000000001</v>
      </c>
      <c r="K3682">
        <v>1.091302</v>
      </c>
      <c r="L3682">
        <v>152.67429999999999</v>
      </c>
      <c r="M3682">
        <v>-0.76689370000000001</v>
      </c>
      <c r="N3682">
        <v>0</v>
      </c>
      <c r="O3682">
        <v>-0.64153919999999998</v>
      </c>
      <c r="P3682">
        <v>-0.8719749</v>
      </c>
      <c r="Q3682">
        <v>0.12828000000000001</v>
      </c>
      <c r="R3682">
        <v>-0.4724447</v>
      </c>
      <c r="S3682">
        <v>-3.3323360000000002</v>
      </c>
      <c r="T3682">
        <v>-0.13580799999999901</v>
      </c>
      <c r="U3682">
        <v>-0.26667790000000002</v>
      </c>
      <c r="V3682">
        <v>0.2019108</v>
      </c>
      <c r="W3682">
        <v>0.1383991</v>
      </c>
      <c r="X3682">
        <v>0.96957610000000005</v>
      </c>
      <c r="Y3682">
        <v>0.57748159999999904</v>
      </c>
      <c r="Z3682">
        <v>3.5957940000000001E-2</v>
      </c>
      <c r="AA3682">
        <v>0.81561149999999905</v>
      </c>
      <c r="AB3682">
        <v>27</v>
      </c>
      <c r="AC3682">
        <v>-24.682400000000001</v>
      </c>
      <c r="AD3682">
        <v>-1.0113159899999999</v>
      </c>
      <c r="AE3682">
        <v>-1.8885999999999901</v>
      </c>
      <c r="AF3682">
        <v>14.3645661315801</v>
      </c>
      <c r="AG3682">
        <v>-1.0113159899999999</v>
      </c>
      <c r="AH3682">
        <v>20.109860993608802</v>
      </c>
      <c r="AI3682">
        <v>92.343346396660394</v>
      </c>
      <c r="AJ3682">
        <v>54.4616058612581</v>
      </c>
      <c r="AK3682">
        <v>24.733985310952999</v>
      </c>
      <c r="AL3682">
        <v>82.044780740014502</v>
      </c>
      <c r="AM3682">
        <v>78.236481039739502</v>
      </c>
      <c r="AN3682">
        <v>1.0000000478643201</v>
      </c>
    </row>
    <row r="3683" spans="1:40" x14ac:dyDescent="0.3">
      <c r="A3683" t="str">
        <f>"20200111150040947"</f>
        <v>20200111150040947</v>
      </c>
      <c r="B3683" t="str">
        <f>"1578726040940888"</f>
        <v>1578726040940888</v>
      </c>
      <c r="C3683" t="s">
        <v>40</v>
      </c>
      <c r="D3683">
        <v>4.5312919999999997</v>
      </c>
      <c r="E3683">
        <v>0.6692399</v>
      </c>
      <c r="F3683" t="s">
        <v>42</v>
      </c>
      <c r="G3683">
        <v>-219.3142</v>
      </c>
      <c r="H3683">
        <v>7.9986660000000001E-2</v>
      </c>
      <c r="I3683">
        <v>150.78919999999999</v>
      </c>
      <c r="J3683">
        <v>-192.86060000000001</v>
      </c>
      <c r="K3683">
        <v>1.0914509999999999</v>
      </c>
      <c r="L3683">
        <v>152.5377</v>
      </c>
      <c r="M3683">
        <v>-0.77686099999999902</v>
      </c>
      <c r="N3683">
        <v>0</v>
      </c>
      <c r="O3683">
        <v>-0.6294343</v>
      </c>
      <c r="P3683">
        <v>-0.87869889999999995</v>
      </c>
      <c r="Q3683">
        <v>0.1277017</v>
      </c>
      <c r="R3683">
        <v>-0.45997919999999998</v>
      </c>
      <c r="S3683">
        <v>-3.3313449999999998</v>
      </c>
      <c r="T3683">
        <v>-0.12645719999999999</v>
      </c>
      <c r="U3683">
        <v>-0.23571780000000001</v>
      </c>
      <c r="V3683">
        <v>0.2004908</v>
      </c>
      <c r="W3683">
        <v>0.13789709999999999</v>
      </c>
      <c r="X3683">
        <v>0.96994219999999998</v>
      </c>
      <c r="Y3683">
        <v>0.57232329999999998</v>
      </c>
      <c r="Z3683">
        <v>3.3076990000000001E-2</v>
      </c>
      <c r="AA3683">
        <v>0.81936069999999905</v>
      </c>
      <c r="AB3683">
        <v>27</v>
      </c>
      <c r="AC3683">
        <v>-26.453599999999899</v>
      </c>
      <c r="AD3683">
        <v>-1.0114643400000001</v>
      </c>
      <c r="AE3683">
        <v>-1.7484999999999999</v>
      </c>
      <c r="AF3683">
        <v>15.2725214136786</v>
      </c>
      <c r="AG3683">
        <v>-1.0114643400000001</v>
      </c>
      <c r="AH3683">
        <v>21.623104158816901</v>
      </c>
      <c r="AI3683">
        <v>92.188075565040705</v>
      </c>
      <c r="AJ3683">
        <v>54.766221461149001</v>
      </c>
      <c r="AK3683">
        <v>26.4921045578755</v>
      </c>
      <c r="AL3683">
        <v>82.073821464234499</v>
      </c>
      <c r="AM3683">
        <v>78.3212182671178</v>
      </c>
      <c r="AN3683">
        <v>1.00000002120694</v>
      </c>
    </row>
    <row r="3684" spans="1:40" x14ac:dyDescent="0.3">
      <c r="A3684" t="str">
        <f>"20200111150040961"</f>
        <v>20200111150040961</v>
      </c>
      <c r="B3684" t="str">
        <f>"1578726040950648"</f>
        <v>1578726040950648</v>
      </c>
      <c r="C3684" t="s">
        <v>40</v>
      </c>
      <c r="D3684">
        <v>4.540991</v>
      </c>
      <c r="E3684">
        <v>0.66796549999999999</v>
      </c>
      <c r="F3684" t="s">
        <v>42</v>
      </c>
      <c r="G3684">
        <v>-221.3486</v>
      </c>
      <c r="H3684">
        <v>7.9985819999999999E-2</v>
      </c>
      <c r="I3684">
        <v>150.81460000000001</v>
      </c>
      <c r="J3684">
        <v>-193.0085</v>
      </c>
      <c r="K3684">
        <v>1.0915790000000001</v>
      </c>
      <c r="L3684">
        <v>152.43299999999999</v>
      </c>
      <c r="M3684">
        <v>-0.78443799999999997</v>
      </c>
      <c r="N3684">
        <v>0</v>
      </c>
      <c r="O3684">
        <v>-0.61996680000000004</v>
      </c>
      <c r="P3684">
        <v>-0.88400879999999904</v>
      </c>
      <c r="Q3684">
        <v>0.1273368</v>
      </c>
      <c r="R3684">
        <v>-0.44979330000000001</v>
      </c>
      <c r="S3684">
        <v>-3.3260190000000001</v>
      </c>
      <c r="T3684">
        <v>-0.11809020000000001</v>
      </c>
      <c r="U3684">
        <v>-0.20117189999999999</v>
      </c>
      <c r="V3684">
        <v>0.19991110000000001</v>
      </c>
      <c r="W3684">
        <v>0.1375759</v>
      </c>
      <c r="X3684">
        <v>0.97010739999999995</v>
      </c>
      <c r="Y3684">
        <v>0.57086749999999997</v>
      </c>
      <c r="Z3684">
        <v>3.0682020000000001E-2</v>
      </c>
      <c r="AA3684">
        <v>0.82046869999999905</v>
      </c>
      <c r="AB3684">
        <v>27</v>
      </c>
      <c r="AC3684">
        <v>-28.3401</v>
      </c>
      <c r="AD3684">
        <v>-1.01159318</v>
      </c>
      <c r="AE3684">
        <v>-1.6183999999999801</v>
      </c>
      <c r="AF3684">
        <v>16.2821396039276</v>
      </c>
      <c r="AG3684">
        <v>-1.01159318</v>
      </c>
      <c r="AH3684">
        <v>23.208396479451199</v>
      </c>
      <c r="AI3684">
        <v>92.0435587697812</v>
      </c>
      <c r="AJ3684">
        <v>54.947941973835697</v>
      </c>
      <c r="AK3684">
        <v>28.3683108060916</v>
      </c>
      <c r="AL3684">
        <v>82.092401567937102</v>
      </c>
      <c r="AM3684">
        <v>78.355991679532295</v>
      </c>
      <c r="AN3684">
        <v>0.99999997184938905</v>
      </c>
    </row>
    <row r="3685" spans="1:40" x14ac:dyDescent="0.3">
      <c r="A3685" t="str">
        <f>"20200111150040978"</f>
        <v>20200111150040978</v>
      </c>
      <c r="B3685" t="str">
        <f>"1578726040970170"</f>
        <v>1578726040970170</v>
      </c>
      <c r="C3685" t="s">
        <v>40</v>
      </c>
      <c r="D3685">
        <v>4.5731619999999999</v>
      </c>
      <c r="E3685">
        <v>0.66493530000000001</v>
      </c>
      <c r="F3685" t="s">
        <v>42</v>
      </c>
      <c r="G3685">
        <v>-222.35220000000001</v>
      </c>
      <c r="H3685">
        <v>7.9986130000000003E-2</v>
      </c>
      <c r="I3685">
        <v>150.9145</v>
      </c>
      <c r="J3685">
        <v>-193.1926</v>
      </c>
      <c r="K3685">
        <v>1.0917509999999999</v>
      </c>
      <c r="L3685">
        <v>152.30670000000001</v>
      </c>
      <c r="M3685">
        <v>-0.79349360000000002</v>
      </c>
      <c r="N3685">
        <v>0</v>
      </c>
      <c r="O3685">
        <v>-0.60833510000000002</v>
      </c>
      <c r="P3685">
        <v>-0.89046970000000003</v>
      </c>
      <c r="Q3685">
        <v>0.12667709999999999</v>
      </c>
      <c r="R3685">
        <v>-0.43705480000000002</v>
      </c>
      <c r="S3685">
        <v>-3.3226469999999999</v>
      </c>
      <c r="T3685">
        <v>-0.1145447</v>
      </c>
      <c r="U3685">
        <v>-0.17193599999999901</v>
      </c>
      <c r="V3685">
        <v>0.19950899999999999</v>
      </c>
      <c r="W3685">
        <v>0.1369619</v>
      </c>
      <c r="X3685">
        <v>0.9702771</v>
      </c>
      <c r="Y3685">
        <v>0.56595150000000005</v>
      </c>
      <c r="Z3685">
        <v>2.9413959999999999E-2</v>
      </c>
      <c r="AA3685">
        <v>0.82391369999999897</v>
      </c>
      <c r="AB3685">
        <v>27</v>
      </c>
      <c r="AC3685">
        <v>-29.159600000000001</v>
      </c>
      <c r="AD3685">
        <v>-1.0117648699999999</v>
      </c>
      <c r="AE3685">
        <v>-1.3922000000000001</v>
      </c>
      <c r="AF3685">
        <v>16.616611888029901</v>
      </c>
      <c r="AG3685">
        <v>-1.0117648699999999</v>
      </c>
      <c r="AH3685">
        <v>23.959654608965302</v>
      </c>
      <c r="AI3685">
        <v>91.987345510684904</v>
      </c>
      <c r="AJ3685">
        <v>55.257736858596097</v>
      </c>
      <c r="AK3685">
        <v>29.1753407481471</v>
      </c>
      <c r="AL3685">
        <v>82.127917813771006</v>
      </c>
      <c r="AM3685">
        <v>78.380751936777799</v>
      </c>
      <c r="AN3685">
        <v>1.0000000269585001</v>
      </c>
    </row>
    <row r="3686" spans="1:40" x14ac:dyDescent="0.3">
      <c r="A3686" t="str">
        <f>"20200111150040992"</f>
        <v>20200111150040992</v>
      </c>
      <c r="B3686" t="str">
        <f>"1578726040990664"</f>
        <v>1578726040990664</v>
      </c>
      <c r="C3686" t="s">
        <v>40</v>
      </c>
      <c r="D3686">
        <v>4.5391909999999998</v>
      </c>
      <c r="E3686">
        <v>0.66360929999999996</v>
      </c>
      <c r="F3686" t="s">
        <v>42</v>
      </c>
      <c r="G3686">
        <v>-223.43119999999999</v>
      </c>
      <c r="H3686">
        <v>7.9986459999999995E-2</v>
      </c>
      <c r="I3686">
        <v>150.97</v>
      </c>
      <c r="J3686">
        <v>-193.32730000000001</v>
      </c>
      <c r="K3686">
        <v>1.091896</v>
      </c>
      <c r="L3686">
        <v>152.21700000000001</v>
      </c>
      <c r="M3686">
        <v>-0.7998651</v>
      </c>
      <c r="N3686">
        <v>0</v>
      </c>
      <c r="O3686">
        <v>-0.59993459999999998</v>
      </c>
      <c r="P3686">
        <v>-0.89507780000000003</v>
      </c>
      <c r="Q3686">
        <v>0.1259333</v>
      </c>
      <c r="R3686">
        <v>-0.42775780000000002</v>
      </c>
      <c r="S3686">
        <v>-3.312897</v>
      </c>
      <c r="T3686">
        <v>-0.1108476</v>
      </c>
      <c r="U3686">
        <v>-0.1464386</v>
      </c>
      <c r="V3686">
        <v>0.19936909999999999</v>
      </c>
      <c r="W3686">
        <v>0.1362477</v>
      </c>
      <c r="X3686">
        <v>0.9704064</v>
      </c>
      <c r="Y3686">
        <v>0.56350230000000001</v>
      </c>
      <c r="Z3686">
        <v>2.830098E-2</v>
      </c>
      <c r="AA3686">
        <v>0.82562959999999996</v>
      </c>
      <c r="AB3686">
        <v>27</v>
      </c>
      <c r="AC3686">
        <v>-30.1038999999999</v>
      </c>
      <c r="AD3686">
        <v>-1.01190954</v>
      </c>
      <c r="AE3686">
        <v>-1.2470000000000101</v>
      </c>
      <c r="AF3686">
        <v>17.046223329756899</v>
      </c>
      <c r="AG3686">
        <v>-1.01190954</v>
      </c>
      <c r="AH3686">
        <v>24.8028549228037</v>
      </c>
      <c r="AI3686">
        <v>91.925729544614995</v>
      </c>
      <c r="AJ3686">
        <v>55.500481006979697</v>
      </c>
      <c r="AK3686">
        <v>30.1127764088059</v>
      </c>
      <c r="AL3686">
        <v>82.169225698960005</v>
      </c>
      <c r="AM3686">
        <v>78.390183398522396</v>
      </c>
      <c r="AN3686">
        <v>1.0000000274755201</v>
      </c>
    </row>
    <row r="3687" spans="1:40" x14ac:dyDescent="0.3">
      <c r="A3687" t="str">
        <f>"20200111150041007"</f>
        <v>20200111150041007</v>
      </c>
      <c r="B3687" t="str">
        <f>"1578726041000423"</f>
        <v>1578726041000423</v>
      </c>
      <c r="C3687" t="s">
        <v>40</v>
      </c>
      <c r="D3687">
        <v>4.5620320000000003</v>
      </c>
      <c r="E3687">
        <v>0.64374540000000002</v>
      </c>
      <c r="F3687" t="s">
        <v>42</v>
      </c>
      <c r="G3687">
        <v>-223.7012</v>
      </c>
      <c r="H3687">
        <v>7.9986539999999995E-2</v>
      </c>
      <c r="I3687">
        <v>151.09729999999999</v>
      </c>
      <c r="J3687">
        <v>-193.4751</v>
      </c>
      <c r="K3687">
        <v>1.092071</v>
      </c>
      <c r="L3687">
        <v>152.12039999999999</v>
      </c>
      <c r="M3687">
        <v>-0.8066354</v>
      </c>
      <c r="N3687">
        <v>0</v>
      </c>
      <c r="O3687">
        <v>-0.59080169999999999</v>
      </c>
      <c r="P3687">
        <v>-0.89985820000000005</v>
      </c>
      <c r="Q3687">
        <v>0.12522549999999999</v>
      </c>
      <c r="R3687">
        <v>-0.41782059999999999</v>
      </c>
      <c r="S3687">
        <v>-3.3088679999999999</v>
      </c>
      <c r="T3687">
        <v>-0.1102354</v>
      </c>
      <c r="U3687">
        <v>-0.1219788</v>
      </c>
      <c r="V3687">
        <v>0.1990536</v>
      </c>
      <c r="W3687">
        <v>0.1355835</v>
      </c>
      <c r="X3687">
        <v>0.97056410000000004</v>
      </c>
      <c r="Y3687">
        <v>0.56016759999999999</v>
      </c>
      <c r="Z3687">
        <v>2.7893680000000001E-2</v>
      </c>
      <c r="AA3687">
        <v>0.82790949999999996</v>
      </c>
      <c r="AB3687">
        <v>27</v>
      </c>
      <c r="AC3687">
        <v>-30.226099999999999</v>
      </c>
      <c r="AD3687">
        <v>-1.0120844600000001</v>
      </c>
      <c r="AE3687">
        <v>-1.0230999999999899</v>
      </c>
      <c r="AF3687">
        <v>17.0157999968566</v>
      </c>
      <c r="AG3687">
        <v>-1.0120844600000001</v>
      </c>
      <c r="AH3687">
        <v>24.9615947323244</v>
      </c>
      <c r="AI3687">
        <v>91.918811500361997</v>
      </c>
      <c r="AJ3687">
        <v>55.718559270060098</v>
      </c>
      <c r="AK3687">
        <v>30.226527687910298</v>
      </c>
      <c r="AL3687">
        <v>82.207637371967493</v>
      </c>
      <c r="AM3687">
        <v>78.409890724760899</v>
      </c>
      <c r="AN3687">
        <v>0.99999994667700798</v>
      </c>
    </row>
    <row r="3688" spans="1:40" x14ac:dyDescent="0.3">
      <c r="A3688" t="str">
        <f>"20200111150041023"</f>
        <v>20200111150041023</v>
      </c>
      <c r="B3688" t="str">
        <f>"1578726041019944"</f>
        <v>1578726041019944</v>
      </c>
      <c r="C3688" t="s">
        <v>40</v>
      </c>
      <c r="D3688">
        <v>4.5710519999999999</v>
      </c>
      <c r="E3688">
        <v>0.64341969999999904</v>
      </c>
      <c r="F3688" t="s">
        <v>55</v>
      </c>
      <c r="G3688">
        <v>-297.7595</v>
      </c>
      <c r="H3688" s="1">
        <v>-9.6095649999999995E-6</v>
      </c>
      <c r="I3688">
        <v>144.79650000000001</v>
      </c>
      <c r="J3688">
        <v>-193.6464</v>
      </c>
      <c r="K3688">
        <v>1.092295</v>
      </c>
      <c r="L3688">
        <v>152.011</v>
      </c>
      <c r="M3688">
        <v>-0.81417740000000005</v>
      </c>
      <c r="N3688">
        <v>0</v>
      </c>
      <c r="O3688">
        <v>-0.58036619999999906</v>
      </c>
      <c r="P3688">
        <v>-0.90468389999999999</v>
      </c>
      <c r="Q3688">
        <v>0.1221655</v>
      </c>
      <c r="R3688">
        <v>-0.40819430000000001</v>
      </c>
      <c r="S3688">
        <v>-3.2331699999999999</v>
      </c>
      <c r="T3688">
        <v>-3.3858180000000002E-2</v>
      </c>
      <c r="U3688">
        <v>-0.22706599999999999</v>
      </c>
      <c r="V3688">
        <v>0.19697310000000001</v>
      </c>
      <c r="W3688">
        <v>0.13264579999999901</v>
      </c>
      <c r="X3688">
        <v>0.97139419999999999</v>
      </c>
      <c r="Y3688">
        <v>0.5219203</v>
      </c>
      <c r="Z3688">
        <v>8.4593459999999995E-3</v>
      </c>
      <c r="AA3688">
        <v>0.8529523</v>
      </c>
      <c r="AB3688">
        <v>27</v>
      </c>
      <c r="AC3688">
        <v>-104.1131</v>
      </c>
      <c r="AD3688">
        <v>-1.092304609565</v>
      </c>
      <c r="AE3688">
        <v>-7.2144999999999797</v>
      </c>
      <c r="AF3688">
        <v>54.551783303563298</v>
      </c>
      <c r="AG3688">
        <v>-1.092304609565</v>
      </c>
      <c r="AH3688">
        <v>88.956751703235895</v>
      </c>
      <c r="AI3688">
        <v>90.599725528420905</v>
      </c>
      <c r="AJ3688">
        <v>58.481734549920198</v>
      </c>
      <c r="AK3688">
        <v>104.357049903445</v>
      </c>
      <c r="AL3688">
        <v>82.377490151259806</v>
      </c>
      <c r="AM3688">
        <v>78.537345851319301</v>
      </c>
      <c r="AN3688">
        <v>1.0000000010874399</v>
      </c>
    </row>
    <row r="3689" spans="1:40" x14ac:dyDescent="0.3">
      <c r="A3689" t="str">
        <f>"20200111150041038"</f>
        <v>20200111150041038</v>
      </c>
      <c r="B3689" t="str">
        <f>"1578726041030680"</f>
        <v>1578726041030680</v>
      </c>
      <c r="C3689" t="s">
        <v>40</v>
      </c>
      <c r="D3689">
        <v>4.3506539999999996</v>
      </c>
      <c r="E3689">
        <v>0.64341969999999904</v>
      </c>
      <c r="F3689" t="s">
        <v>42</v>
      </c>
      <c r="G3689">
        <v>-274.03559999999999</v>
      </c>
      <c r="H3689" s="1">
        <v>-4.2432350000000002E-6</v>
      </c>
      <c r="I3689">
        <v>147.17339999999999</v>
      </c>
      <c r="J3689">
        <v>-193.80080000000001</v>
      </c>
      <c r="K3689">
        <v>1.0925290000000001</v>
      </c>
      <c r="L3689">
        <v>151.91499999999999</v>
      </c>
      <c r="M3689">
        <v>-0.82068229999999998</v>
      </c>
      <c r="N3689">
        <v>0</v>
      </c>
      <c r="O3689">
        <v>-0.57113290000000005</v>
      </c>
      <c r="P3689">
        <v>-0.90880749999999999</v>
      </c>
      <c r="Q3689">
        <v>0.11960610000000001</v>
      </c>
      <c r="R3689">
        <v>-0.39970430000000001</v>
      </c>
      <c r="S3689">
        <v>-3.2341920000000002</v>
      </c>
      <c r="T3689">
        <v>-4.3945070000000003E-2</v>
      </c>
      <c r="U3689">
        <v>-0.19462589999999999</v>
      </c>
      <c r="V3689">
        <v>0.19512850000000001</v>
      </c>
      <c r="W3689">
        <v>0.1301967</v>
      </c>
      <c r="X3689">
        <v>0.97209760000000001</v>
      </c>
      <c r="Y3689">
        <v>0.52078459999999904</v>
      </c>
      <c r="Z3689">
        <v>1.087462E-2</v>
      </c>
      <c r="AA3689">
        <v>0.85361889999999996</v>
      </c>
      <c r="AB3689">
        <v>27</v>
      </c>
      <c r="AC3689">
        <v>-80.234799999999893</v>
      </c>
      <c r="AD3689">
        <v>-1.0925332432349999</v>
      </c>
      <c r="AE3689">
        <v>-4.7416</v>
      </c>
      <c r="AF3689">
        <v>41.931674078399801</v>
      </c>
      <c r="AG3689">
        <v>-1.0925332432349999</v>
      </c>
      <c r="AH3689">
        <v>68.552563878256606</v>
      </c>
      <c r="AI3689">
        <v>90.778916592128297</v>
      </c>
      <c r="AJ3689">
        <v>58.547047860489698</v>
      </c>
      <c r="AK3689">
        <v>80.367362369230307</v>
      </c>
      <c r="AL3689">
        <v>82.519041210502394</v>
      </c>
      <c r="AM3689">
        <v>78.649892845896801</v>
      </c>
      <c r="AN3689">
        <v>1.0000000280644401</v>
      </c>
    </row>
    <row r="3690" spans="1:40" x14ac:dyDescent="0.3">
      <c r="A3690" t="str">
        <f>"20200111150041058"</f>
        <v>20200111150041058</v>
      </c>
      <c r="B3690" t="str">
        <f>"1578726041050200"</f>
        <v>1578726041050200</v>
      </c>
      <c r="C3690" t="s">
        <v>40</v>
      </c>
      <c r="D3690">
        <v>4.5457599999999996</v>
      </c>
      <c r="E3690">
        <v>0.64051559999999996</v>
      </c>
      <c r="F3690" t="s">
        <v>42</v>
      </c>
      <c r="G3690">
        <v>-262.37740000000002</v>
      </c>
      <c r="H3690" s="1">
        <v>-5.0328289999999997E-6</v>
      </c>
      <c r="I3690">
        <v>148.44370000000001</v>
      </c>
      <c r="J3690">
        <v>-194.0129</v>
      </c>
      <c r="K3690">
        <v>1.092862</v>
      </c>
      <c r="L3690">
        <v>151.78659999999999</v>
      </c>
      <c r="M3690">
        <v>-0.82918860000000005</v>
      </c>
      <c r="N3690">
        <v>0</v>
      </c>
      <c r="O3690">
        <v>-0.55871499999999996</v>
      </c>
      <c r="P3690">
        <v>-0.91324539999999998</v>
      </c>
      <c r="Q3690">
        <v>0.1160094</v>
      </c>
      <c r="R3690">
        <v>-0.39054470000000002</v>
      </c>
      <c r="S3690">
        <v>-3.235779</v>
      </c>
      <c r="T3690">
        <v>-5.1551100000000002E-2</v>
      </c>
      <c r="U3690">
        <v>-0.16378779999999901</v>
      </c>
      <c r="V3690">
        <v>0.19029579999999999</v>
      </c>
      <c r="W3690">
        <v>0.12682599999999999</v>
      </c>
      <c r="X3690">
        <v>0.97350020000000004</v>
      </c>
      <c r="Y3690">
        <v>0.51602749999999997</v>
      </c>
      <c r="Z3690">
        <v>1.255791E-2</v>
      </c>
      <c r="AA3690">
        <v>0.85647999999999902</v>
      </c>
      <c r="AB3690">
        <v>27</v>
      </c>
      <c r="AC3690">
        <v>-68.364500000000007</v>
      </c>
      <c r="AD3690">
        <v>-1.092867032829</v>
      </c>
      <c r="AE3690">
        <v>-3.3428999999999802</v>
      </c>
      <c r="AF3690">
        <v>35.420375057850499</v>
      </c>
      <c r="AG3690">
        <v>-1.092867032829</v>
      </c>
      <c r="AH3690">
        <v>58.548177323237802</v>
      </c>
      <c r="AI3690">
        <v>90.914986134809297</v>
      </c>
      <c r="AJ3690">
        <v>58.826973219314198</v>
      </c>
      <c r="AK3690">
        <v>68.437463391504593</v>
      </c>
      <c r="AL3690">
        <v>82.713782644790797</v>
      </c>
      <c r="AM3690">
        <v>78.939526706956499</v>
      </c>
      <c r="AN3690">
        <v>0.99999998258683997</v>
      </c>
    </row>
    <row r="3691" spans="1:40" x14ac:dyDescent="0.3">
      <c r="A3691" t="str">
        <f>"20200111150041081"</f>
        <v>20200111150041081</v>
      </c>
      <c r="B3691" t="str">
        <f>"1578726041070696"</f>
        <v>1578726041070696</v>
      </c>
      <c r="C3691" t="s">
        <v>40</v>
      </c>
      <c r="D3691">
        <v>4.5746880000000001</v>
      </c>
      <c r="E3691">
        <v>0.63822919999999905</v>
      </c>
      <c r="F3691" t="s">
        <v>42</v>
      </c>
      <c r="G3691">
        <v>-243.39060000000001</v>
      </c>
      <c r="H3691" s="1">
        <v>-4.8673900000000003E-6</v>
      </c>
      <c r="I3691">
        <v>149.4547</v>
      </c>
      <c r="J3691">
        <v>-194.24019999999999</v>
      </c>
      <c r="K3691">
        <v>1.0932569999999999</v>
      </c>
      <c r="L3691">
        <v>151.6532</v>
      </c>
      <c r="M3691">
        <v>-0.83775509999999997</v>
      </c>
      <c r="N3691">
        <v>0</v>
      </c>
      <c r="O3691">
        <v>-0.54579</v>
      </c>
      <c r="P3691">
        <v>-0.91743759999999996</v>
      </c>
      <c r="Q3691">
        <v>0.11303239999999901</v>
      </c>
      <c r="R3691">
        <v>-0.38148720000000003</v>
      </c>
      <c r="S3691">
        <v>-3.228882</v>
      </c>
      <c r="T3691">
        <v>-7.1464299999999994E-2</v>
      </c>
      <c r="U3691">
        <v>-0.15248110000000001</v>
      </c>
      <c r="V3691">
        <v>0.18480569999999999</v>
      </c>
      <c r="W3691">
        <v>0.12410110000000001</v>
      </c>
      <c r="X3691">
        <v>0.97490810000000006</v>
      </c>
      <c r="Y3691">
        <v>0.50549140000000004</v>
      </c>
      <c r="Z3691">
        <v>1.7092650000000001E-2</v>
      </c>
      <c r="AA3691">
        <v>0.86266229999999999</v>
      </c>
      <c r="AB3691">
        <v>27</v>
      </c>
      <c r="AC3691">
        <v>-49.150399999999998</v>
      </c>
      <c r="AD3691">
        <v>-1.0932618673900001</v>
      </c>
      <c r="AE3691">
        <v>-2.1984999999999899</v>
      </c>
      <c r="AF3691">
        <v>24.9751545517503</v>
      </c>
      <c r="AG3691">
        <v>-1.0932618673900001</v>
      </c>
      <c r="AH3691">
        <v>42.360927797201299</v>
      </c>
      <c r="AI3691">
        <v>91.273586949527001</v>
      </c>
      <c r="AJ3691">
        <v>59.477250171589901</v>
      </c>
      <c r="AK3691">
        <v>49.187414754530501</v>
      </c>
      <c r="AL3691">
        <v>82.871151704596599</v>
      </c>
      <c r="AM3691">
        <v>79.266246336226502</v>
      </c>
      <c r="AN3691">
        <v>1.0000000166096501</v>
      </c>
    </row>
    <row r="3692" spans="1:40" x14ac:dyDescent="0.3">
      <c r="A3692" t="str">
        <f>"20200111150041101"</f>
        <v>20200111150041101</v>
      </c>
      <c r="B3692" t="str">
        <f>"1578726041090216"</f>
        <v>1578726041090216</v>
      </c>
      <c r="C3692" t="s">
        <v>40</v>
      </c>
      <c r="D3692">
        <v>4.6070830000000003</v>
      </c>
      <c r="E3692">
        <v>0.63615690000000003</v>
      </c>
      <c r="F3692" t="s">
        <v>42</v>
      </c>
      <c r="G3692">
        <v>-232.66839999999999</v>
      </c>
      <c r="H3692">
        <v>7.9986180000000004E-2</v>
      </c>
      <c r="I3692">
        <v>150.00890000000001</v>
      </c>
      <c r="J3692">
        <v>-194.4624</v>
      </c>
      <c r="K3692">
        <v>1.0936920000000001</v>
      </c>
      <c r="L3692">
        <v>151.52690000000001</v>
      </c>
      <c r="M3692">
        <v>-0.84557309999999997</v>
      </c>
      <c r="N3692">
        <v>0</v>
      </c>
      <c r="O3692">
        <v>-0.53360109999999905</v>
      </c>
      <c r="P3692">
        <v>-0.92063720000000004</v>
      </c>
      <c r="Q3692">
        <v>0.11127919999999999</v>
      </c>
      <c r="R3692">
        <v>-0.37422440000000001</v>
      </c>
      <c r="S3692">
        <v>-3.2230989999999999</v>
      </c>
      <c r="T3692">
        <v>-8.4986329999999999E-2</v>
      </c>
      <c r="U3692">
        <v>-0.1379089</v>
      </c>
      <c r="V3692">
        <v>0.17830660000000001</v>
      </c>
      <c r="W3692">
        <v>0.12262049999999999</v>
      </c>
      <c r="X3692">
        <v>0.97630479999999997</v>
      </c>
      <c r="Y3692">
        <v>0.49669489999999999</v>
      </c>
      <c r="Z3692">
        <v>1.9979719999999999E-2</v>
      </c>
      <c r="AA3692">
        <v>0.867695199999999</v>
      </c>
      <c r="AB3692">
        <v>26</v>
      </c>
      <c r="AC3692">
        <v>-38.205999999999896</v>
      </c>
      <c r="AD3692">
        <v>-1.01370582</v>
      </c>
      <c r="AE3692">
        <v>-1.518</v>
      </c>
      <c r="AF3692">
        <v>19.092400936065101</v>
      </c>
      <c r="AG3692">
        <v>-1.01370582</v>
      </c>
      <c r="AH3692">
        <v>33.097280134455403</v>
      </c>
      <c r="AI3692">
        <v>91.5197206295325</v>
      </c>
      <c r="AJ3692">
        <v>60.021197040595702</v>
      </c>
      <c r="AK3692">
        <v>38.222733095522898</v>
      </c>
      <c r="AL3692">
        <v>82.956636999387499</v>
      </c>
      <c r="AM3692">
        <v>79.649904400920207</v>
      </c>
      <c r="AN3692">
        <v>1.00000004656342</v>
      </c>
    </row>
    <row r="3693" spans="1:40" x14ac:dyDescent="0.3">
      <c r="A3693" t="str">
        <f>"20200111150041125"</f>
        <v>20200111150041125</v>
      </c>
      <c r="B3693" t="str">
        <f>"1578726041120472"</f>
        <v>1578726041120472</v>
      </c>
      <c r="C3693" t="s">
        <v>40</v>
      </c>
      <c r="D3693">
        <v>4.6357089999999896</v>
      </c>
      <c r="E3693">
        <v>0.62330940000000001</v>
      </c>
      <c r="F3693" t="s">
        <v>42</v>
      </c>
      <c r="G3693">
        <v>-229.75069999999999</v>
      </c>
      <c r="H3693">
        <v>7.9986799999999997E-2</v>
      </c>
      <c r="I3693">
        <v>150.1302</v>
      </c>
      <c r="J3693">
        <v>-194.71129999999999</v>
      </c>
      <c r="K3693">
        <v>1.094157</v>
      </c>
      <c r="L3693">
        <v>151.38980000000001</v>
      </c>
      <c r="M3693">
        <v>-0.85376319999999895</v>
      </c>
      <c r="N3693">
        <v>0</v>
      </c>
      <c r="O3693">
        <v>-0.52040140000000001</v>
      </c>
      <c r="P3693">
        <v>-0.92367319999999997</v>
      </c>
      <c r="Q3693">
        <v>0.1108614</v>
      </c>
      <c r="R3693">
        <v>-0.36679430000000002</v>
      </c>
      <c r="S3693">
        <v>-3.2180179999999998</v>
      </c>
      <c r="T3693">
        <v>-9.2442270000000007E-2</v>
      </c>
      <c r="U3693">
        <v>-0.12736510000000001</v>
      </c>
      <c r="V3693">
        <v>0.17086219999999999</v>
      </c>
      <c r="W3693">
        <v>0.12248000000000001</v>
      </c>
      <c r="X3693">
        <v>0.97765270000000004</v>
      </c>
      <c r="Y3693">
        <v>0.4859001</v>
      </c>
      <c r="Z3693">
        <v>2.129033E-2</v>
      </c>
      <c r="AA3693">
        <v>0.87375499999999995</v>
      </c>
      <c r="AB3693">
        <v>26</v>
      </c>
      <c r="AC3693">
        <v>-35.039400000000001</v>
      </c>
      <c r="AD3693">
        <v>-1.0141701999999999</v>
      </c>
      <c r="AE3693">
        <v>-1.2596000000000001</v>
      </c>
      <c r="AF3693">
        <v>17.147130080036799</v>
      </c>
      <c r="AG3693">
        <v>-1.0141701999999999</v>
      </c>
      <c r="AH3693">
        <v>30.5494283233121</v>
      </c>
      <c r="AI3693">
        <v>91.658205351129993</v>
      </c>
      <c r="AJ3693">
        <v>60.694879073184403</v>
      </c>
      <c r="AK3693">
        <v>35.047399076928102</v>
      </c>
      <c r="AL3693">
        <v>82.964748020645203</v>
      </c>
      <c r="AM3693">
        <v>80.086664408094293</v>
      </c>
      <c r="AN3693">
        <v>1.00000002180306</v>
      </c>
    </row>
    <row r="3694" spans="1:40" x14ac:dyDescent="0.3">
      <c r="A3694" t="str">
        <f>"20200111150041147"</f>
        <v>20200111150041147</v>
      </c>
      <c r="B3694" t="str">
        <f>"1578726041139992"</f>
        <v>1578726041139992</v>
      </c>
      <c r="C3694" t="s">
        <v>40</v>
      </c>
      <c r="D3694">
        <v>4.6370100000000001</v>
      </c>
      <c r="E3694">
        <v>0.62281560000000002</v>
      </c>
      <c r="F3694" t="s">
        <v>42</v>
      </c>
      <c r="G3694">
        <v>-232.8372</v>
      </c>
      <c r="H3694" s="1">
        <v>-4.9814000000000003E-6</v>
      </c>
      <c r="I3694">
        <v>149.036</v>
      </c>
      <c r="J3694">
        <v>-194.94579999999999</v>
      </c>
      <c r="K3694">
        <v>1.094576</v>
      </c>
      <c r="L3694">
        <v>151.2647</v>
      </c>
      <c r="M3694">
        <v>-0.86097780000000002</v>
      </c>
      <c r="N3694">
        <v>0</v>
      </c>
      <c r="O3694">
        <v>-0.50838030000000001</v>
      </c>
      <c r="P3694">
        <v>-0.92604330000000001</v>
      </c>
      <c r="Q3694">
        <v>0.1117983</v>
      </c>
      <c r="R3694">
        <v>-0.36047970000000001</v>
      </c>
      <c r="S3694">
        <v>-3.1808930000000002</v>
      </c>
      <c r="T3694">
        <v>-9.1287370000000007E-2</v>
      </c>
      <c r="U3694">
        <v>-0.19638059999999999</v>
      </c>
      <c r="V3694">
        <v>0.16365660000000001</v>
      </c>
      <c r="W3694">
        <v>0.1236578</v>
      </c>
      <c r="X3694">
        <v>0.97873659999999996</v>
      </c>
      <c r="Y3694">
        <v>0.45404499999999998</v>
      </c>
      <c r="Z3694">
        <v>2.048227E-2</v>
      </c>
      <c r="AA3694">
        <v>0.89074330000000002</v>
      </c>
      <c r="AB3694">
        <v>26</v>
      </c>
      <c r="AC3694">
        <v>-37.891399999999997</v>
      </c>
      <c r="AD3694">
        <v>-1.0945809814</v>
      </c>
      <c r="AE3694">
        <v>-2.2286999999999999</v>
      </c>
      <c r="AF3694">
        <v>17.3322798708239</v>
      </c>
      <c r="AG3694">
        <v>-1.0945809814</v>
      </c>
      <c r="AH3694">
        <v>33.733131233381002</v>
      </c>
      <c r="AI3694">
        <v>91.653181000228798</v>
      </c>
      <c r="AJ3694">
        <v>62.805636397126101</v>
      </c>
      <c r="AK3694">
        <v>37.941140940329099</v>
      </c>
      <c r="AL3694">
        <v>82.8967482037975</v>
      </c>
      <c r="AM3694">
        <v>80.507274205526002</v>
      </c>
      <c r="AN3694">
        <v>1.0000000332019701</v>
      </c>
    </row>
    <row r="3695" spans="1:40" x14ac:dyDescent="0.3">
      <c r="A3695" t="str">
        <f>"20200111150041169"</f>
        <v>20200111150041169</v>
      </c>
      <c r="B3695" t="str">
        <f>"1578726041160487"</f>
        <v>1578726041160487</v>
      </c>
      <c r="C3695" t="s">
        <v>40</v>
      </c>
      <c r="D3695">
        <v>4.5690099999999996</v>
      </c>
      <c r="E3695">
        <v>0.6226062</v>
      </c>
      <c r="F3695" t="s">
        <v>42</v>
      </c>
      <c r="G3695">
        <v>-238.5735</v>
      </c>
      <c r="H3695" s="1">
        <v>-2.9917710000000001E-6</v>
      </c>
      <c r="I3695">
        <v>148.82429999999999</v>
      </c>
      <c r="J3695">
        <v>-195.1824</v>
      </c>
      <c r="K3695">
        <v>1.094981</v>
      </c>
      <c r="L3695">
        <v>151.142</v>
      </c>
      <c r="M3695">
        <v>-0.86778089999999997</v>
      </c>
      <c r="N3695">
        <v>0</v>
      </c>
      <c r="O3695">
        <v>-0.49668240000000002</v>
      </c>
      <c r="P3695">
        <v>-0.92853669999999999</v>
      </c>
      <c r="Q3695">
        <v>0.11345769999999999</v>
      </c>
      <c r="R3695">
        <v>-0.35347849999999997</v>
      </c>
      <c r="S3695">
        <v>-3.1799770000000001</v>
      </c>
      <c r="T3695">
        <v>-7.9782720000000001E-2</v>
      </c>
      <c r="U3695">
        <v>-0.17787169999999999</v>
      </c>
      <c r="V3695">
        <v>0.15760829999999901</v>
      </c>
      <c r="W3695">
        <v>0.1255067</v>
      </c>
      <c r="X3695">
        <v>0.97949359999999996</v>
      </c>
      <c r="Y3695">
        <v>0.44721959999999999</v>
      </c>
      <c r="Z3695">
        <v>1.7573129999999999E-2</v>
      </c>
      <c r="AA3695">
        <v>0.89425159999999904</v>
      </c>
      <c r="AB3695">
        <v>26</v>
      </c>
      <c r="AC3695">
        <v>-43.391100000000002</v>
      </c>
      <c r="AD3695">
        <v>-1.094983991771</v>
      </c>
      <c r="AE3695">
        <v>-2.3176999999999999</v>
      </c>
      <c r="AF3695">
        <v>19.530507046596401</v>
      </c>
      <c r="AG3695">
        <v>-1.094983991771</v>
      </c>
      <c r="AH3695">
        <v>38.785601571699402</v>
      </c>
      <c r="AI3695">
        <v>91.444424216548498</v>
      </c>
      <c r="AJ3695">
        <v>63.2724395039765</v>
      </c>
      <c r="AK3695">
        <v>43.439182597258899</v>
      </c>
      <c r="AL3695">
        <v>82.789982074597702</v>
      </c>
      <c r="AM3695">
        <v>80.859007498116398</v>
      </c>
      <c r="AN3695">
        <v>1.0000000102073601</v>
      </c>
    </row>
    <row r="3696" spans="1:40" x14ac:dyDescent="0.3">
      <c r="A3696" t="str">
        <f>"20200111150041191"</f>
        <v>20200111150041191</v>
      </c>
      <c r="B3696" t="str">
        <f>"1578726041180010"</f>
        <v>1578726041180010</v>
      </c>
      <c r="C3696" t="s">
        <v>40</v>
      </c>
      <c r="D3696">
        <v>4.5863569999999996</v>
      </c>
      <c r="E3696">
        <v>0.61477729999999997</v>
      </c>
      <c r="F3696" t="s">
        <v>42</v>
      </c>
      <c r="G3696">
        <v>-244.64850000000001</v>
      </c>
      <c r="H3696" s="1">
        <v>-4.3100140000000002E-6</v>
      </c>
      <c r="I3696">
        <v>148.72569999999999</v>
      </c>
      <c r="J3696">
        <v>-195.41890000000001</v>
      </c>
      <c r="K3696">
        <v>1.0953809999999999</v>
      </c>
      <c r="L3696">
        <v>151.023</v>
      </c>
      <c r="M3696">
        <v>-0.87412690000000004</v>
      </c>
      <c r="N3696">
        <v>0</v>
      </c>
      <c r="O3696">
        <v>-0.48543120000000001</v>
      </c>
      <c r="P3696">
        <v>-0.93140299999999998</v>
      </c>
      <c r="Q3696">
        <v>0.1160434</v>
      </c>
      <c r="R3696">
        <v>-0.34499649999999998</v>
      </c>
      <c r="S3696">
        <v>-3.1803439999999998</v>
      </c>
      <c r="T3696">
        <v>-7.0400480000000001E-2</v>
      </c>
      <c r="U3696">
        <v>-0.15534970000000001</v>
      </c>
      <c r="V3696">
        <v>0.15366640000000001</v>
      </c>
      <c r="W3696">
        <v>0.1282112</v>
      </c>
      <c r="X3696">
        <v>0.97976960000000002</v>
      </c>
      <c r="Y3696">
        <v>0.44204539999999998</v>
      </c>
      <c r="Z3696">
        <v>1.52365E-2</v>
      </c>
      <c r="AA3696">
        <v>0.89686330000000003</v>
      </c>
      <c r="AB3696">
        <v>26</v>
      </c>
      <c r="AC3696">
        <v>-49.229599999999998</v>
      </c>
      <c r="AD3696">
        <v>-1.0953853100140001</v>
      </c>
      <c r="AE3696">
        <v>-2.2972999999999999</v>
      </c>
      <c r="AF3696">
        <v>21.881474479655399</v>
      </c>
      <c r="AG3696">
        <v>-1.0953853100140001</v>
      </c>
      <c r="AH3696">
        <v>44.132008986287801</v>
      </c>
      <c r="AI3696">
        <v>91.273895517325499</v>
      </c>
      <c r="AJ3696">
        <v>63.626926745297901</v>
      </c>
      <c r="AK3696">
        <v>49.271015937841199</v>
      </c>
      <c r="AL3696">
        <v>82.6337631781998</v>
      </c>
      <c r="AM3696">
        <v>81.086382850450093</v>
      </c>
      <c r="AN3696">
        <v>0.99999997168927901</v>
      </c>
    </row>
    <row r="3697" spans="1:40" x14ac:dyDescent="0.3">
      <c r="A3697" t="str">
        <f>"20200111150041205"</f>
        <v>20200111150041205</v>
      </c>
      <c r="B3697" t="str">
        <f>"1578726041200085"</f>
        <v>1578726041200085</v>
      </c>
      <c r="C3697" t="s">
        <v>40</v>
      </c>
      <c r="D3697">
        <v>4.5470100000000002</v>
      </c>
      <c r="E3697">
        <v>0.61295769999999905</v>
      </c>
      <c r="F3697" t="s">
        <v>42</v>
      </c>
      <c r="G3697">
        <v>-272.99419999999998</v>
      </c>
      <c r="H3697" s="1">
        <v>-4.4728109999999999E-6</v>
      </c>
      <c r="I3697">
        <v>146.46979999999999</v>
      </c>
      <c r="J3697">
        <v>-195.5686</v>
      </c>
      <c r="K3697">
        <v>1.0956349999999999</v>
      </c>
      <c r="L3697">
        <v>150.94929999999999</v>
      </c>
      <c r="M3697">
        <v>-0.87793159999999903</v>
      </c>
      <c r="N3697">
        <v>0</v>
      </c>
      <c r="O3697">
        <v>-0.47851840000000001</v>
      </c>
      <c r="P3697">
        <v>-0.93341189999999996</v>
      </c>
      <c r="Q3697">
        <v>0.117228</v>
      </c>
      <c r="R3697">
        <v>-0.33911639999999998</v>
      </c>
      <c r="S3697">
        <v>-3.157883</v>
      </c>
      <c r="T3697">
        <v>-4.4590230000000002E-2</v>
      </c>
      <c r="U3697">
        <v>-0.1853485</v>
      </c>
      <c r="V3697">
        <v>0.15198819999999999</v>
      </c>
      <c r="W3697">
        <v>0.1294478</v>
      </c>
      <c r="X3697">
        <v>0.97986879999999998</v>
      </c>
      <c r="Y3697">
        <v>0.42622399999999999</v>
      </c>
      <c r="Z3697">
        <v>9.5153749999999995E-3</v>
      </c>
      <c r="AA3697">
        <v>0.90456760000000003</v>
      </c>
      <c r="AB3697">
        <v>26</v>
      </c>
      <c r="AC3697">
        <v>-77.425599999999903</v>
      </c>
      <c r="AD3697">
        <v>-1.0956394728109999</v>
      </c>
      <c r="AE3697">
        <v>-4.4794999999999998</v>
      </c>
      <c r="AF3697">
        <v>33.114514525345001</v>
      </c>
      <c r="AG3697">
        <v>-1.0956394728109999</v>
      </c>
      <c r="AH3697">
        <v>70.112896461351596</v>
      </c>
      <c r="AI3697">
        <v>90.809539145807605</v>
      </c>
      <c r="AJ3697">
        <v>64.718504774381501</v>
      </c>
      <c r="AK3697">
        <v>77.547338757070804</v>
      </c>
      <c r="AL3697">
        <v>82.562316075506203</v>
      </c>
      <c r="AM3697">
        <v>81.183069597680102</v>
      </c>
      <c r="AN3697">
        <v>1.0000000055387599</v>
      </c>
    </row>
    <row r="3698" spans="1:40" x14ac:dyDescent="0.3">
      <c r="A3698" t="str">
        <f>"20200111150041224"</f>
        <v>20200111150041224</v>
      </c>
      <c r="B3698" t="str">
        <f>"1578726041220582"</f>
        <v>1578726041220582</v>
      </c>
      <c r="C3698" t="s">
        <v>40</v>
      </c>
      <c r="D3698">
        <v>4.6183389999999997</v>
      </c>
      <c r="E3698">
        <v>0.59569320000000003</v>
      </c>
      <c r="F3698" t="s">
        <v>42</v>
      </c>
      <c r="G3698">
        <v>-261.72489999999999</v>
      </c>
      <c r="H3698" s="1">
        <v>-5.0306550000000002E-6</v>
      </c>
      <c r="I3698">
        <v>147.17949999999999</v>
      </c>
      <c r="J3698">
        <v>-195.77019999999999</v>
      </c>
      <c r="K3698">
        <v>1.095987</v>
      </c>
      <c r="L3698">
        <v>150.85210000000001</v>
      </c>
      <c r="M3698">
        <v>-0.88278819999999902</v>
      </c>
      <c r="N3698">
        <v>0</v>
      </c>
      <c r="O3698">
        <v>-0.46950219999999998</v>
      </c>
      <c r="P3698">
        <v>-0.93599429999999995</v>
      </c>
      <c r="Q3698">
        <v>0.11863410000000001</v>
      </c>
      <c r="R3698">
        <v>-0.3314222</v>
      </c>
      <c r="S3698">
        <v>-3.1552730000000002</v>
      </c>
      <c r="T3698">
        <v>-5.2255749999999997E-2</v>
      </c>
      <c r="U3698">
        <v>-0.17979429999999999</v>
      </c>
      <c r="V3698">
        <v>0.14985200000000001</v>
      </c>
      <c r="W3698">
        <v>0.13092239999999999</v>
      </c>
      <c r="X3698">
        <v>0.98000189999999998</v>
      </c>
      <c r="Y3698">
        <v>0.4184563</v>
      </c>
      <c r="Z3698">
        <v>1.096453E-2</v>
      </c>
      <c r="AA3698">
        <v>0.90817079999999994</v>
      </c>
      <c r="AB3698">
        <v>26</v>
      </c>
      <c r="AC3698">
        <v>-65.954700000000003</v>
      </c>
      <c r="AD3698">
        <v>-1.0959920306549999</v>
      </c>
      <c r="AE3698">
        <v>-3.6726000000000099</v>
      </c>
      <c r="AF3698">
        <v>27.719621333884401</v>
      </c>
      <c r="AG3698">
        <v>-1.0959920306549999</v>
      </c>
      <c r="AH3698">
        <v>59.939399651120503</v>
      </c>
      <c r="AI3698">
        <v>90.950805505248496</v>
      </c>
      <c r="AJ3698">
        <v>65.181309999863501</v>
      </c>
      <c r="AK3698">
        <v>66.047787517538694</v>
      </c>
      <c r="AL3698">
        <v>82.477102555532397</v>
      </c>
      <c r="AM3698">
        <v>81.306247754860706</v>
      </c>
      <c r="AN3698">
        <v>1.00000001036468</v>
      </c>
    </row>
    <row r="3699" spans="1:40" x14ac:dyDescent="0.3">
      <c r="A3699" t="str">
        <f>"20200111150041246"</f>
        <v>20200111150041246</v>
      </c>
      <c r="B3699" t="str">
        <f>"1578726041240101"</f>
        <v>1578726041240101</v>
      </c>
      <c r="C3699" t="s">
        <v>40</v>
      </c>
      <c r="D3699">
        <v>4.5630730000000002</v>
      </c>
      <c r="E3699">
        <v>0.59786470000000003</v>
      </c>
      <c r="F3699" t="s">
        <v>46</v>
      </c>
      <c r="G3699">
        <v>0</v>
      </c>
      <c r="H3699">
        <v>0</v>
      </c>
      <c r="I3699">
        <v>0</v>
      </c>
      <c r="J3699">
        <v>-196.0232</v>
      </c>
      <c r="K3699">
        <v>1.09643</v>
      </c>
      <c r="L3699">
        <v>150.73330000000001</v>
      </c>
      <c r="M3699">
        <v>-0.88847419999999999</v>
      </c>
      <c r="N3699">
        <v>0</v>
      </c>
      <c r="O3699">
        <v>-0.45865549999999999</v>
      </c>
      <c r="P3699">
        <v>-0.93942959999999998</v>
      </c>
      <c r="Q3699">
        <v>0.11866939999999999</v>
      </c>
      <c r="R3699">
        <v>-0.32154260000000001</v>
      </c>
      <c r="S3699">
        <v>-3.0925289999999999</v>
      </c>
      <c r="T3699">
        <v>0.1045369</v>
      </c>
      <c r="U3699">
        <v>-0.28063959999999999</v>
      </c>
      <c r="V3699">
        <v>0.14802570000000001</v>
      </c>
      <c r="W3699">
        <v>0.1310278</v>
      </c>
      <c r="X3699">
        <v>0.98026530000000001</v>
      </c>
      <c r="Y3699">
        <v>0.37607570000000001</v>
      </c>
      <c r="Z3699">
        <v>-2.1275530000000001E-2</v>
      </c>
      <c r="AA3699">
        <v>0.92634459999999996</v>
      </c>
      <c r="AB3699">
        <v>26</v>
      </c>
      <c r="AC3699">
        <v>-3.0925289999999999</v>
      </c>
      <c r="AD3699">
        <v>0.1045369</v>
      </c>
      <c r="AE3699">
        <v>-0.28063959999999999</v>
      </c>
      <c r="AF3699">
        <v>1.16788622688654</v>
      </c>
      <c r="AG3699">
        <v>0.1045369</v>
      </c>
      <c r="AH3699">
        <v>2.8734503881914999</v>
      </c>
      <c r="AI3699">
        <v>88.0696986510724</v>
      </c>
      <c r="AJ3699">
        <v>67.881190225187694</v>
      </c>
      <c r="AK3699">
        <v>3.1034824529568001</v>
      </c>
      <c r="AL3699">
        <v>82.471010841143197</v>
      </c>
      <c r="AM3699">
        <v>81.412885347284004</v>
      </c>
      <c r="AN3699">
        <v>0.99999997530870899</v>
      </c>
    </row>
    <row r="3700" spans="1:40" x14ac:dyDescent="0.3">
      <c r="A3700" t="str">
        <f>"20200111150041305"</f>
        <v>20200111150041305</v>
      </c>
      <c r="B3700" t="str">
        <f>"1578726041300613"</f>
        <v>1578726041300613</v>
      </c>
      <c r="C3700" t="s">
        <v>40</v>
      </c>
      <c r="D3700">
        <v>4.6317149999999998</v>
      </c>
      <c r="E3700">
        <v>0.59786470000000003</v>
      </c>
      <c r="F3700" t="s">
        <v>46</v>
      </c>
      <c r="G3700">
        <v>0</v>
      </c>
      <c r="H3700">
        <v>0</v>
      </c>
      <c r="I3700">
        <v>0</v>
      </c>
      <c r="J3700">
        <v>-196.64959999999999</v>
      </c>
      <c r="K3700">
        <v>1.097518</v>
      </c>
      <c r="L3700">
        <v>150.45179999999999</v>
      </c>
      <c r="M3700">
        <v>-0.90085879999999996</v>
      </c>
      <c r="N3700">
        <v>0</v>
      </c>
      <c r="O3700">
        <v>-0.43383719999999998</v>
      </c>
      <c r="P3700">
        <v>-0.94765949999999999</v>
      </c>
      <c r="Q3700">
        <v>0.11398659999999999</v>
      </c>
      <c r="R3700">
        <v>-0.29824339999999999</v>
      </c>
      <c r="S3700">
        <v>-3.1105800000000001</v>
      </c>
      <c r="T3700">
        <v>2.1478770000000001E-2</v>
      </c>
      <c r="U3700">
        <v>-0.2340546</v>
      </c>
      <c r="V3700">
        <v>0.14484179999999999</v>
      </c>
      <c r="W3700">
        <v>0.1265096</v>
      </c>
      <c r="X3700">
        <v>0.98133389999999998</v>
      </c>
      <c r="Y3700">
        <v>0.36504589999999998</v>
      </c>
      <c r="Z3700">
        <v>-4.1603229999999996E-3</v>
      </c>
      <c r="AA3700">
        <v>0.93098020000000004</v>
      </c>
      <c r="AB3700">
        <v>26</v>
      </c>
      <c r="AC3700">
        <v>-3.1105800000000001</v>
      </c>
      <c r="AD3700">
        <v>2.1478770000000001E-2</v>
      </c>
      <c r="AE3700">
        <v>-0.2340546</v>
      </c>
      <c r="AF3700">
        <v>1.13871710720856</v>
      </c>
      <c r="AG3700">
        <v>2.1478770000000001E-2</v>
      </c>
      <c r="AH3700">
        <v>2.9039439099996902</v>
      </c>
      <c r="AI3700">
        <v>89.605471463062997</v>
      </c>
      <c r="AJ3700">
        <v>68.588474268194702</v>
      </c>
      <c r="AK3700">
        <v>3.1192993155890698</v>
      </c>
      <c r="AL3700">
        <v>82.732058543197198</v>
      </c>
      <c r="AM3700">
        <v>81.603941691236002</v>
      </c>
      <c r="AN3700">
        <v>1.0000000246042999</v>
      </c>
    </row>
    <row r="3701" spans="1:40" x14ac:dyDescent="0.3">
      <c r="A3701" t="str">
        <f>"20200111150041318"</f>
        <v>20200111150041318</v>
      </c>
      <c r="B3701" t="str">
        <f>"1578726041310004"</f>
        <v>1578726041310004</v>
      </c>
      <c r="C3701" t="s">
        <v>40</v>
      </c>
      <c r="D3701">
        <v>4.6039089999999998</v>
      </c>
      <c r="E3701">
        <v>0.51727959999999995</v>
      </c>
      <c r="F3701" t="s">
        <v>46</v>
      </c>
      <c r="G3701">
        <v>0</v>
      </c>
      <c r="H3701">
        <v>0</v>
      </c>
      <c r="I3701">
        <v>0</v>
      </c>
      <c r="J3701">
        <v>-196.8014</v>
      </c>
      <c r="K3701">
        <v>1.0977939999999999</v>
      </c>
      <c r="L3701">
        <v>150.386</v>
      </c>
      <c r="M3701">
        <v>-0.90350070000000005</v>
      </c>
      <c r="N3701">
        <v>0</v>
      </c>
      <c r="O3701">
        <v>-0.42831019999999997</v>
      </c>
      <c r="P3701">
        <v>-0.94931779999999999</v>
      </c>
      <c r="Q3701">
        <v>0.112983</v>
      </c>
      <c r="R3701">
        <v>-0.29331000000000002</v>
      </c>
      <c r="S3701">
        <v>-3.115402</v>
      </c>
      <c r="T3701">
        <v>2.137899E-3</v>
      </c>
      <c r="U3701">
        <v>-0.1589661</v>
      </c>
      <c r="V3701">
        <v>0.143876799999999</v>
      </c>
      <c r="W3701">
        <v>0.125555</v>
      </c>
      <c r="X3701">
        <v>0.98159839999999998</v>
      </c>
      <c r="Y3701">
        <v>0.3817567</v>
      </c>
      <c r="Z3701">
        <v>-4.1643449999999999E-4</v>
      </c>
      <c r="AA3701">
        <v>0.92426280000000005</v>
      </c>
      <c r="AB3701">
        <v>26</v>
      </c>
      <c r="AC3701">
        <v>-3.115402</v>
      </c>
      <c r="AD3701">
        <v>2.137899E-3</v>
      </c>
      <c r="AE3701">
        <v>-0.1589661</v>
      </c>
      <c r="AF3701">
        <v>1.1908729538440901</v>
      </c>
      <c r="AG3701">
        <v>2.137899E-3</v>
      </c>
      <c r="AH3701">
        <v>2.88319480943241</v>
      </c>
      <c r="AI3701">
        <v>89.960732683783903</v>
      </c>
      <c r="AJ3701">
        <v>67.557447950456904</v>
      </c>
      <c r="AK3701">
        <v>3.11945432278588</v>
      </c>
      <c r="AL3701">
        <v>82.787192587125702</v>
      </c>
      <c r="AM3701">
        <v>81.661306309603006</v>
      </c>
      <c r="AN3701">
        <v>1.0000000052428999</v>
      </c>
    </row>
    <row r="3702" spans="1:40" x14ac:dyDescent="0.3">
      <c r="A3702" t="str">
        <f>"20200111150041337"</f>
        <v>20200111150041337</v>
      </c>
      <c r="B3702" t="str">
        <f>"1578726041330501"</f>
        <v>1578726041330501</v>
      </c>
      <c r="C3702" t="s">
        <v>40</v>
      </c>
      <c r="D3702">
        <v>4.6420409999999999</v>
      </c>
      <c r="E3702">
        <v>0.51453359999999904</v>
      </c>
      <c r="F3702" t="s">
        <v>42</v>
      </c>
      <c r="G3702">
        <v>-220.0444</v>
      </c>
      <c r="H3702" s="1">
        <v>-5.1047259999999999E-6</v>
      </c>
      <c r="I3702">
        <v>144.3734</v>
      </c>
      <c r="J3702">
        <v>-196.99799999999999</v>
      </c>
      <c r="K3702">
        <v>1.098176</v>
      </c>
      <c r="L3702">
        <v>150.3021</v>
      </c>
      <c r="M3702">
        <v>-0.90668139999999997</v>
      </c>
      <c r="N3702">
        <v>0</v>
      </c>
      <c r="O3702">
        <v>-0.42153930000000001</v>
      </c>
      <c r="P3702">
        <v>-0.95115439999999996</v>
      </c>
      <c r="Q3702">
        <v>0.11068260000000001</v>
      </c>
      <c r="R3702">
        <v>-0.28819260000000002</v>
      </c>
      <c r="S3702">
        <v>-2.941589</v>
      </c>
      <c r="T3702">
        <v>-0.13893539999999999</v>
      </c>
      <c r="U3702">
        <v>-0.76094059999999997</v>
      </c>
      <c r="V3702">
        <v>0.14176800000000001</v>
      </c>
      <c r="W3702">
        <v>0.1233422</v>
      </c>
      <c r="X3702">
        <v>0.98218559999999999</v>
      </c>
      <c r="Y3702">
        <v>0.1804665</v>
      </c>
      <c r="Z3702">
        <v>2.3036569999999999E-2</v>
      </c>
      <c r="AA3702">
        <v>0.9833113</v>
      </c>
      <c r="AB3702">
        <v>26</v>
      </c>
      <c r="AC3702">
        <v>-23.046399999999998</v>
      </c>
      <c r="AD3702">
        <v>-1.0981811047259999</v>
      </c>
      <c r="AE3702">
        <v>-5.9286999999999903</v>
      </c>
      <c r="AF3702">
        <v>4.33080476279126</v>
      </c>
      <c r="AG3702">
        <v>-1.0981811047259999</v>
      </c>
      <c r="AH3702">
        <v>23.347930242549101</v>
      </c>
      <c r="AI3702">
        <v>92.647849298314497</v>
      </c>
      <c r="AJ3702">
        <v>79.4916450573985</v>
      </c>
      <c r="AK3702">
        <v>23.77157374351</v>
      </c>
      <c r="AL3702">
        <v>82.914970072821006</v>
      </c>
      <c r="AM3702">
        <v>81.786691017710595</v>
      </c>
      <c r="AN3702">
        <v>1.0000000084861</v>
      </c>
    </row>
    <row r="3703" spans="1:40" x14ac:dyDescent="0.3">
      <c r="A3703" t="str">
        <f>"20200111150041360"</f>
        <v>20200111150041360</v>
      </c>
      <c r="B3703" t="str">
        <f>"1578726041350020"</f>
        <v>1578726041350020</v>
      </c>
      <c r="C3703" t="s">
        <v>40</v>
      </c>
      <c r="D3703">
        <v>4.609362</v>
      </c>
      <c r="E3703">
        <v>0.51371639999999996</v>
      </c>
      <c r="F3703" t="s">
        <v>42</v>
      </c>
      <c r="G3703">
        <v>-219.37190000000001</v>
      </c>
      <c r="H3703" s="1">
        <v>-1.5674039999999999E-6</v>
      </c>
      <c r="I3703">
        <v>144.46469999999999</v>
      </c>
      <c r="J3703">
        <v>-197.25020000000001</v>
      </c>
      <c r="K3703">
        <v>1.098738</v>
      </c>
      <c r="L3703">
        <v>150.1962</v>
      </c>
      <c r="M3703">
        <v>-0.91041289999999997</v>
      </c>
      <c r="N3703">
        <v>0</v>
      </c>
      <c r="O3703">
        <v>-0.41342269999999998</v>
      </c>
      <c r="P3703">
        <v>-0.95341339999999997</v>
      </c>
      <c r="Q3703">
        <v>0.10784489999999899</v>
      </c>
      <c r="R3703">
        <v>-0.28173130000000002</v>
      </c>
      <c r="S3703">
        <v>-2.9385680000000001</v>
      </c>
      <c r="T3703">
        <v>-0.14423349999999999</v>
      </c>
      <c r="U3703">
        <v>-0.76667790000000002</v>
      </c>
      <c r="V3703">
        <v>0.13957259999999999</v>
      </c>
      <c r="W3703">
        <v>0.1206194</v>
      </c>
      <c r="X3703">
        <v>0.98283799999999999</v>
      </c>
      <c r="Y3703">
        <v>0.169598</v>
      </c>
      <c r="Z3703">
        <v>2.3316010000000002E-2</v>
      </c>
      <c r="AA3703">
        <v>0.98523749999999999</v>
      </c>
      <c r="AB3703">
        <v>26</v>
      </c>
      <c r="AC3703">
        <v>-22.121700000000001</v>
      </c>
      <c r="AD3703">
        <v>-1.0987395674039999</v>
      </c>
      <c r="AE3703">
        <v>-5.7315000000000103</v>
      </c>
      <c r="AF3703">
        <v>3.9189736090315801</v>
      </c>
      <c r="AG3703">
        <v>-1.0987395674039999</v>
      </c>
      <c r="AH3703">
        <v>22.4600809956228</v>
      </c>
      <c r="AI3703">
        <v>92.759038198931194</v>
      </c>
      <c r="AJ3703">
        <v>80.102322213123898</v>
      </c>
      <c r="AK3703">
        <v>22.825880511279301</v>
      </c>
      <c r="AL3703">
        <v>83.072149044857198</v>
      </c>
      <c r="AM3703">
        <v>81.917483055111006</v>
      </c>
      <c r="AN3703">
        <v>1.00000004228555</v>
      </c>
    </row>
    <row r="3704" spans="1:40" x14ac:dyDescent="0.3">
      <c r="A3704" t="str">
        <f>"20200111150041471"</f>
        <v>20200111150041471</v>
      </c>
      <c r="B3704" t="str">
        <f>"1578726041459931"</f>
        <v>1578726041459931</v>
      </c>
      <c r="C3704" t="s">
        <v>40</v>
      </c>
      <c r="D3704">
        <v>5.0666169999999999</v>
      </c>
      <c r="E3704">
        <v>0.51832699999999998</v>
      </c>
      <c r="F3704" t="s">
        <v>42</v>
      </c>
      <c r="G3704">
        <v>-217.90029999999999</v>
      </c>
      <c r="H3704" s="1">
        <v>-2.3812620000000002E-6</v>
      </c>
      <c r="I3704">
        <v>144.90889999999999</v>
      </c>
      <c r="J3704">
        <v>-198.46190000000001</v>
      </c>
      <c r="K3704">
        <v>1.10158</v>
      </c>
      <c r="L3704">
        <v>149.7063</v>
      </c>
      <c r="M3704">
        <v>-0.92285810000000001</v>
      </c>
      <c r="N3704">
        <v>0</v>
      </c>
      <c r="O3704">
        <v>-0.38486160000000003</v>
      </c>
      <c r="P3704">
        <v>-0.95853290000000002</v>
      </c>
      <c r="Q3704">
        <v>0.105379399999999</v>
      </c>
      <c r="R3704">
        <v>-0.2647834</v>
      </c>
      <c r="S3704">
        <v>-2.9417270000000002</v>
      </c>
      <c r="T3704">
        <v>-0.1565222</v>
      </c>
      <c r="U3704">
        <v>-0.75320430000000005</v>
      </c>
      <c r="V3704">
        <v>0.12559380000000001</v>
      </c>
      <c r="W3704">
        <v>0.1187333</v>
      </c>
      <c r="X3704">
        <v>0.98495109999999997</v>
      </c>
      <c r="Y3704">
        <v>0.14327979999999901</v>
      </c>
      <c r="Z3704">
        <v>2.324849E-2</v>
      </c>
      <c r="AA3704">
        <v>0.98940910000000004</v>
      </c>
      <c r="AB3704">
        <v>26</v>
      </c>
      <c r="AC3704">
        <v>-19.438399999999898</v>
      </c>
      <c r="AD3704">
        <v>-1.101582381262</v>
      </c>
      <c r="AE3704">
        <v>-4.7973999999999997</v>
      </c>
      <c r="AF3704">
        <v>3.0448844811462799</v>
      </c>
      <c r="AG3704">
        <v>-1.101582381262</v>
      </c>
      <c r="AH3704">
        <v>19.7276234812776</v>
      </c>
      <c r="AI3704">
        <v>93.158727426846298</v>
      </c>
      <c r="AJ3704">
        <v>81.225849587787195</v>
      </c>
      <c r="AK3704">
        <v>19.991596571191799</v>
      </c>
      <c r="AL3704">
        <v>83.180996866094802</v>
      </c>
      <c r="AM3704">
        <v>82.733274056620303</v>
      </c>
      <c r="AN3704">
        <v>1.0000000342592601</v>
      </c>
    </row>
    <row r="3705" spans="1:40" x14ac:dyDescent="0.3">
      <c r="A3705" t="str">
        <f>"20200111150041493"</f>
        <v>20200111150041493</v>
      </c>
      <c r="B3705" t="str">
        <f>"1578726041490179"</f>
        <v>1578726041490179</v>
      </c>
      <c r="C3705" t="s">
        <v>40</v>
      </c>
      <c r="D3705">
        <v>4.7174360000000002</v>
      </c>
      <c r="E3705">
        <v>0.58617089999999905</v>
      </c>
      <c r="F3705" t="s">
        <v>76</v>
      </c>
      <c r="G3705">
        <v>-333.05369999999999</v>
      </c>
      <c r="H3705">
        <v>3.906965</v>
      </c>
      <c r="I3705">
        <v>119.4901</v>
      </c>
      <c r="J3705">
        <v>-198.69839999999999</v>
      </c>
      <c r="K3705">
        <v>1.1020909999999999</v>
      </c>
      <c r="L3705">
        <v>149.6129</v>
      </c>
      <c r="M3705">
        <v>-0.92436010000000002</v>
      </c>
      <c r="N3705">
        <v>0</v>
      </c>
      <c r="O3705">
        <v>-0.38124360000000002</v>
      </c>
      <c r="P3705">
        <v>-0.9583528</v>
      </c>
      <c r="Q3705">
        <v>0.1075757</v>
      </c>
      <c r="R3705">
        <v>-0.26455200000000001</v>
      </c>
      <c r="S3705">
        <v>-2.940674</v>
      </c>
      <c r="T3705">
        <v>6.1294670000000002E-2</v>
      </c>
      <c r="U3705">
        <v>-0.66018679999999996</v>
      </c>
      <c r="V3705">
        <v>0.1217448</v>
      </c>
      <c r="W3705">
        <v>0.12102789999999999</v>
      </c>
      <c r="X3705">
        <v>0.985155</v>
      </c>
      <c r="Y3705">
        <v>0.16941339999999999</v>
      </c>
      <c r="Z3705">
        <v>-9.3574980000000006E-3</v>
      </c>
      <c r="AA3705">
        <v>0.98550059999999995</v>
      </c>
      <c r="AB3705">
        <v>26</v>
      </c>
      <c r="AC3705">
        <v>-134.3553</v>
      </c>
      <c r="AD3705">
        <v>2.8048739999999999</v>
      </c>
      <c r="AE3705">
        <v>-30.122800000000002</v>
      </c>
      <c r="AF3705">
        <v>23.370560931928502</v>
      </c>
      <c r="AG3705">
        <v>2.8048739999999999</v>
      </c>
      <c r="AH3705">
        <v>135.634883979194</v>
      </c>
      <c r="AI3705">
        <v>88.832514644973799</v>
      </c>
      <c r="AJ3705">
        <v>80.223649696762294</v>
      </c>
      <c r="AK3705">
        <v>137.662166874121</v>
      </c>
      <c r="AL3705">
        <v>83.048570422020504</v>
      </c>
      <c r="AM3705">
        <v>82.955143431776307</v>
      </c>
      <c r="AN3705">
        <v>0.99999996146522396</v>
      </c>
    </row>
    <row r="3706" spans="1:40" x14ac:dyDescent="0.3">
      <c r="A3706" t="str">
        <f>"20200111150041516"</f>
        <v>20200111150041516</v>
      </c>
      <c r="B3706" t="str">
        <f>"1578726041499954"</f>
        <v>1578726041499954</v>
      </c>
      <c r="C3706" t="s">
        <v>40</v>
      </c>
      <c r="D3706">
        <v>5.150271</v>
      </c>
      <c r="E3706">
        <v>0.58930360000000004</v>
      </c>
      <c r="F3706" t="s">
        <v>42</v>
      </c>
      <c r="G3706">
        <v>-217.97219999999999</v>
      </c>
      <c r="H3706" s="1">
        <v>-3.2643869999999999E-6</v>
      </c>
      <c r="I3706">
        <v>148.7184</v>
      </c>
      <c r="J3706">
        <v>-198.94540000000001</v>
      </c>
      <c r="K3706">
        <v>1.1026180000000001</v>
      </c>
      <c r="L3706">
        <v>149.51580000000001</v>
      </c>
      <c r="M3706">
        <v>-0.92565390000000003</v>
      </c>
      <c r="N3706">
        <v>0</v>
      </c>
      <c r="O3706">
        <v>-0.37809369999999998</v>
      </c>
      <c r="P3706">
        <v>-0.959291</v>
      </c>
      <c r="Q3706">
        <v>0.1091724</v>
      </c>
      <c r="R3706">
        <v>-0.260465</v>
      </c>
      <c r="S3706">
        <v>-3.110474</v>
      </c>
      <c r="T3706">
        <v>-0.17785989999999999</v>
      </c>
      <c r="U3706">
        <v>-0.1443634</v>
      </c>
      <c r="V3706">
        <v>0.1223751</v>
      </c>
      <c r="W3706">
        <v>0.122692</v>
      </c>
      <c r="X3706">
        <v>0.9848711</v>
      </c>
      <c r="Y3706">
        <v>0.33367570000000002</v>
      </c>
      <c r="Z3706">
        <v>3.0656240000000001E-2</v>
      </c>
      <c r="AA3706">
        <v>0.94218930000000001</v>
      </c>
      <c r="AB3706">
        <v>26</v>
      </c>
      <c r="AC3706">
        <v>-19.026799999999898</v>
      </c>
      <c r="AD3706">
        <v>-1.1026212643869999</v>
      </c>
      <c r="AE3706">
        <v>-0.79740000000000999</v>
      </c>
      <c r="AF3706">
        <v>6.4349022649931698</v>
      </c>
      <c r="AG3706">
        <v>-1.1026212643869999</v>
      </c>
      <c r="AH3706">
        <v>17.8557448312412</v>
      </c>
      <c r="AI3706">
        <v>93.324817620083294</v>
      </c>
      <c r="AJ3706">
        <v>70.181712554043102</v>
      </c>
      <c r="AK3706">
        <v>19.011874297161999</v>
      </c>
      <c r="AL3706">
        <v>82.952509120944597</v>
      </c>
      <c r="AM3706">
        <v>82.917019508865593</v>
      </c>
      <c r="AN3706">
        <v>1.0000000377895999</v>
      </c>
    </row>
    <row r="3707" spans="1:40" x14ac:dyDescent="0.3">
      <c r="A3707" t="str">
        <f>"20200111150041538"</f>
        <v>20200111150041538</v>
      </c>
      <c r="B3707" t="str">
        <f>"1578726041529843"</f>
        <v>1578726041529843</v>
      </c>
      <c r="C3707" t="s">
        <v>40</v>
      </c>
      <c r="D3707">
        <v>5.2523369999999998</v>
      </c>
      <c r="E3707">
        <v>0.58136619999999894</v>
      </c>
      <c r="F3707" t="s">
        <v>42</v>
      </c>
      <c r="G3707">
        <v>-223.40440000000001</v>
      </c>
      <c r="H3707" s="1">
        <v>-4.7245820000000004E-6</v>
      </c>
      <c r="I3707">
        <v>148.6763</v>
      </c>
      <c r="J3707">
        <v>-199.19</v>
      </c>
      <c r="K3707">
        <v>1.1031230000000001</v>
      </c>
      <c r="L3707">
        <v>149.41970000000001</v>
      </c>
      <c r="M3707">
        <v>-0.92668709999999999</v>
      </c>
      <c r="N3707">
        <v>0</v>
      </c>
      <c r="O3707">
        <v>-0.375558</v>
      </c>
      <c r="P3707">
        <v>-0.9605591</v>
      </c>
      <c r="Q3707">
        <v>0.1084348</v>
      </c>
      <c r="R3707">
        <v>-0.2560636</v>
      </c>
      <c r="S3707">
        <v>-3.114258</v>
      </c>
      <c r="T3707">
        <v>-0.14039219999999999</v>
      </c>
      <c r="U3707">
        <v>-0.10688780000000001</v>
      </c>
      <c r="V3707">
        <v>0.12407120000000001</v>
      </c>
      <c r="W3707">
        <v>0.1220247</v>
      </c>
      <c r="X3707">
        <v>0.98474170000000005</v>
      </c>
      <c r="Y3707">
        <v>0.3428735</v>
      </c>
      <c r="Z3707">
        <v>2.4292069999999999E-2</v>
      </c>
      <c r="AA3707">
        <v>0.93906750000000005</v>
      </c>
      <c r="AB3707">
        <v>26</v>
      </c>
      <c r="AC3707">
        <v>-24.214400000000001</v>
      </c>
      <c r="AD3707">
        <v>-1.1031277245819999</v>
      </c>
      <c r="AE3707">
        <v>-0.74340000000000805</v>
      </c>
      <c r="AF3707">
        <v>8.3884901969246997</v>
      </c>
      <c r="AG3707">
        <v>-1.1031277245819999</v>
      </c>
      <c r="AH3707">
        <v>22.673703054905001</v>
      </c>
      <c r="AI3707">
        <v>92.612573803475996</v>
      </c>
      <c r="AJ3707">
        <v>69.697259855663901</v>
      </c>
      <c r="AK3707">
        <v>24.200836117428899</v>
      </c>
      <c r="AL3707">
        <v>82.991031457756705</v>
      </c>
      <c r="AM3707">
        <v>82.818934510839796</v>
      </c>
      <c r="AN3707">
        <v>0.99999995289920895</v>
      </c>
    </row>
    <row r="3708" spans="1:40" x14ac:dyDescent="0.3">
      <c r="A3708" t="str">
        <f>"20200111150041561"</f>
        <v>20200111150041561</v>
      </c>
      <c r="B3708" t="str">
        <f>"1578726041550339"</f>
        <v>1578726041550339</v>
      </c>
      <c r="C3708" t="s">
        <v>40</v>
      </c>
      <c r="D3708">
        <v>3.818997</v>
      </c>
      <c r="E3708">
        <v>0.59885219999999995</v>
      </c>
      <c r="F3708" t="s">
        <v>42</v>
      </c>
      <c r="G3708">
        <v>-219.5067</v>
      </c>
      <c r="H3708" s="1">
        <v>-2.5511520000000002E-6</v>
      </c>
      <c r="I3708">
        <v>148.4014</v>
      </c>
      <c r="J3708">
        <v>-199.42959999999999</v>
      </c>
      <c r="K3708">
        <v>1.1035740000000001</v>
      </c>
      <c r="L3708">
        <v>149.32570000000001</v>
      </c>
      <c r="M3708">
        <v>-0.92747939999999995</v>
      </c>
      <c r="N3708">
        <v>0</v>
      </c>
      <c r="O3708">
        <v>-0.3735984</v>
      </c>
      <c r="P3708">
        <v>-0.96186289999999997</v>
      </c>
      <c r="Q3708">
        <v>0.1052836</v>
      </c>
      <c r="R3708">
        <v>-0.2524575</v>
      </c>
      <c r="S3708">
        <v>-3.1007539999999998</v>
      </c>
      <c r="T3708">
        <v>-0.1683605</v>
      </c>
      <c r="U3708">
        <v>-0.15542600000000001</v>
      </c>
      <c r="V3708">
        <v>0.12566910000000001</v>
      </c>
      <c r="W3708">
        <v>0.11894589999999899</v>
      </c>
      <c r="X3708">
        <v>0.98491580000000001</v>
      </c>
      <c r="Y3708">
        <v>0.32572950000000001</v>
      </c>
      <c r="Z3708">
        <v>2.8662630000000001E-2</v>
      </c>
      <c r="AA3708">
        <v>0.94502839999999999</v>
      </c>
      <c r="AB3708">
        <v>26</v>
      </c>
      <c r="AC3708">
        <v>-20.077100000000002</v>
      </c>
      <c r="AD3708">
        <v>-1.1035765511519999</v>
      </c>
      <c r="AE3708">
        <v>-0.924300000000016</v>
      </c>
      <c r="AF3708">
        <v>6.6242164363103599</v>
      </c>
      <c r="AG3708">
        <v>-1.1035765511519999</v>
      </c>
      <c r="AH3708">
        <v>18.911352162607798</v>
      </c>
      <c r="AI3708">
        <v>93.1523415207554</v>
      </c>
      <c r="AJ3708">
        <v>70.695803310736594</v>
      </c>
      <c r="AK3708">
        <v>20.068317448593099</v>
      </c>
      <c r="AL3708">
        <v>83.168728552222007</v>
      </c>
      <c r="AM3708">
        <v>82.728706079569307</v>
      </c>
      <c r="AN3708">
        <v>0.99999999145563001</v>
      </c>
    </row>
    <row r="3709" spans="1:40" x14ac:dyDescent="0.3">
      <c r="A3709" t="str">
        <f>"20200111150041626"</f>
        <v>20200111150041626</v>
      </c>
      <c r="B3709" t="str">
        <f>"1578726041620604"</f>
        <v>1578726041620604</v>
      </c>
      <c r="C3709" t="s">
        <v>40</v>
      </c>
      <c r="D3709">
        <v>5.1901679999999999</v>
      </c>
      <c r="E3709">
        <v>0.60484869999999902</v>
      </c>
      <c r="F3709" t="s">
        <v>46</v>
      </c>
      <c r="G3709">
        <v>0</v>
      </c>
      <c r="H3709">
        <v>0</v>
      </c>
      <c r="I3709">
        <v>0</v>
      </c>
      <c r="J3709">
        <v>-200.14</v>
      </c>
      <c r="K3709">
        <v>1.104403</v>
      </c>
      <c r="L3709">
        <v>149.04640000000001</v>
      </c>
      <c r="M3709">
        <v>-0.92887609999999998</v>
      </c>
      <c r="N3709">
        <v>0</v>
      </c>
      <c r="O3709">
        <v>-0.37011860000000002</v>
      </c>
      <c r="P3709">
        <v>-0.96420660000000002</v>
      </c>
      <c r="Q3709">
        <v>9.9143029999999993E-2</v>
      </c>
      <c r="R3709">
        <v>-0.2459189</v>
      </c>
      <c r="S3709">
        <v>-3.08989</v>
      </c>
      <c r="T3709">
        <v>0.27509800000000001</v>
      </c>
      <c r="U3709">
        <v>4.0588380000000004E-3</v>
      </c>
      <c r="V3709">
        <v>0.12865679999999999</v>
      </c>
      <c r="W3709">
        <v>0.1129101</v>
      </c>
      <c r="X3709">
        <v>0.98524049999999996</v>
      </c>
      <c r="Y3709">
        <v>0.36850769999999999</v>
      </c>
      <c r="Z3709">
        <v>-4.8657850000000002E-2</v>
      </c>
      <c r="AA3709">
        <v>0.92835040000000002</v>
      </c>
      <c r="AB3709">
        <v>26</v>
      </c>
      <c r="AC3709">
        <v>-3.08989</v>
      </c>
      <c r="AD3709">
        <v>0.27509800000000001</v>
      </c>
      <c r="AE3709">
        <v>4.0588380000000004E-3</v>
      </c>
      <c r="AF3709">
        <v>1.1384871304316599</v>
      </c>
      <c r="AG3709">
        <v>0.27509800000000001</v>
      </c>
      <c r="AH3709">
        <v>2.8463497187800102</v>
      </c>
      <c r="AI3709">
        <v>84.872166962730404</v>
      </c>
      <c r="AJ3709">
        <v>68.199506016945904</v>
      </c>
      <c r="AK3709">
        <v>3.0779113985561</v>
      </c>
      <c r="AL3709">
        <v>83.516902895998896</v>
      </c>
      <c r="AM3709">
        <v>82.560176847923998</v>
      </c>
      <c r="AN3709">
        <v>1.0000000528542401</v>
      </c>
    </row>
    <row r="3710" spans="1:40" x14ac:dyDescent="0.3">
      <c r="A3710" t="str">
        <f>"20200111150042642"</f>
        <v>20200111150042642</v>
      </c>
      <c r="B3710" t="str">
        <f>"1578726042630297"</f>
        <v>1578726042630297</v>
      </c>
      <c r="C3710" t="s">
        <v>40</v>
      </c>
      <c r="D3710">
        <v>4.2603739999999997</v>
      </c>
      <c r="E3710">
        <v>0.64562430000000004</v>
      </c>
      <c r="F3710" t="s">
        <v>41</v>
      </c>
      <c r="G3710">
        <v>-211.9383</v>
      </c>
      <c r="H3710">
        <v>1.0149870000000001</v>
      </c>
      <c r="I3710">
        <v>145.11000000000001</v>
      </c>
      <c r="J3710">
        <v>-211.2552</v>
      </c>
      <c r="K3710">
        <v>1.1021700000000001</v>
      </c>
      <c r="L3710">
        <v>145.21950000000001</v>
      </c>
      <c r="M3710">
        <v>-0.96035029999999999</v>
      </c>
      <c r="N3710">
        <v>0</v>
      </c>
      <c r="O3710">
        <v>-0.27868670000000001</v>
      </c>
      <c r="P3710">
        <v>-0.97838099999999995</v>
      </c>
      <c r="Q3710">
        <v>0.1189432</v>
      </c>
      <c r="R3710">
        <v>-0.16918440000000001</v>
      </c>
      <c r="S3710">
        <v>-2.999924</v>
      </c>
      <c r="T3710">
        <v>-0.27988740000000001</v>
      </c>
      <c r="U3710">
        <v>-0.57841489999999995</v>
      </c>
      <c r="V3710">
        <v>0.1108777</v>
      </c>
      <c r="W3710">
        <v>0.12603800000000001</v>
      </c>
      <c r="X3710">
        <v>0.98580959999999995</v>
      </c>
      <c r="Y3710">
        <v>9.0331679999999998E-2</v>
      </c>
      <c r="Z3710">
        <v>2.944807E-2</v>
      </c>
      <c r="AA3710">
        <v>0.99547620000000003</v>
      </c>
      <c r="AB3710">
        <v>27</v>
      </c>
      <c r="AC3710">
        <v>-0.68309999999999504</v>
      </c>
      <c r="AD3710">
        <v>-8.7182999999999997E-2</v>
      </c>
      <c r="AE3710">
        <v>-0.109499999999997</v>
      </c>
      <c r="AF3710">
        <v>8.3882985403301594E-2</v>
      </c>
      <c r="AG3710">
        <v>-8.7182999999999997E-2</v>
      </c>
      <c r="AH3710">
        <v>0.67581977084322498</v>
      </c>
      <c r="AI3710">
        <v>97.295377932493693</v>
      </c>
      <c r="AJ3710">
        <v>82.924613947203397</v>
      </c>
      <c r="AK3710">
        <v>0.68656361205044902</v>
      </c>
      <c r="AL3710">
        <v>82.759297121327904</v>
      </c>
      <c r="AM3710">
        <v>83.582698634398795</v>
      </c>
      <c r="AN3710">
        <v>1.0000000046267199</v>
      </c>
    </row>
    <row r="3711" spans="1:40" x14ac:dyDescent="0.3">
      <c r="A3711" t="str">
        <f>"20200111150043950"</f>
        <v>20200111150043950</v>
      </c>
      <c r="B3711" t="str">
        <f>"1578726043940285"</f>
        <v>1578726043940285</v>
      </c>
      <c r="C3711" t="s">
        <v>40</v>
      </c>
      <c r="D3711">
        <v>4.3323689999999999</v>
      </c>
      <c r="E3711">
        <v>0.57569669999999995</v>
      </c>
      <c r="F3711" t="s">
        <v>42</v>
      </c>
      <c r="G3711">
        <v>-219.7576</v>
      </c>
      <c r="H3711" s="1">
        <v>-2.013083E-6</v>
      </c>
      <c r="I3711">
        <v>146.82499999999999</v>
      </c>
      <c r="J3711">
        <v>-228.50040000000001</v>
      </c>
      <c r="K3711">
        <v>1.102314</v>
      </c>
      <c r="L3711">
        <v>142.22640000000001</v>
      </c>
      <c r="M3711">
        <v>-0.99704199999999998</v>
      </c>
      <c r="N3711">
        <v>0</v>
      </c>
      <c r="O3711">
        <v>-7.5539880000000004E-2</v>
      </c>
      <c r="P3711">
        <v>-0.99312549999999999</v>
      </c>
      <c r="Q3711">
        <v>0.105008199999999</v>
      </c>
      <c r="R3711">
        <v>-5.1720160000000001E-2</v>
      </c>
      <c r="S3711">
        <v>-3.2222749999999998</v>
      </c>
      <c r="T3711">
        <v>-0.41770499999999999</v>
      </c>
      <c r="U3711">
        <v>0.60844419999999899</v>
      </c>
      <c r="V3711">
        <v>2.4234100000000001E-2</v>
      </c>
      <c r="W3711">
        <v>0.1189383</v>
      </c>
      <c r="X3711">
        <v>0.99260590000000004</v>
      </c>
      <c r="Y3711">
        <v>0.25655879999999998</v>
      </c>
      <c r="Z3711">
        <v>2.6094590000000001E-2</v>
      </c>
      <c r="AA3711">
        <v>0.96617629999999999</v>
      </c>
      <c r="AB3711">
        <v>30</v>
      </c>
      <c r="AC3711">
        <v>8.7428000000000097</v>
      </c>
      <c r="AD3711">
        <v>-1.1023160130830001</v>
      </c>
      <c r="AE3711">
        <v>4.59859999999997</v>
      </c>
      <c r="AF3711">
        <v>3.8766896214908</v>
      </c>
      <c r="AG3711">
        <v>-1.1023160130830001</v>
      </c>
      <c r="AH3711">
        <v>-8.9537365955644592</v>
      </c>
      <c r="AI3711">
        <v>96.445801609865697</v>
      </c>
      <c r="AJ3711">
        <v>-66.588888250971905</v>
      </c>
      <c r="AK3711">
        <v>9.8190234767426805</v>
      </c>
      <c r="AL3711">
        <v>83.169167458685394</v>
      </c>
      <c r="AM3711">
        <v>88.601422917441596</v>
      </c>
      <c r="AN3711">
        <v>1.0000000417622501</v>
      </c>
    </row>
    <row r="3712" spans="1:40" x14ac:dyDescent="0.3">
      <c r="A3712" t="str">
        <f>"20200111150043971"</f>
        <v>20200111150043971</v>
      </c>
      <c r="B3712" t="str">
        <f>"1578726043960783"</f>
        <v>1578726043960783</v>
      </c>
      <c r="C3712" t="s">
        <v>40</v>
      </c>
      <c r="D3712">
        <v>4.4501220000000004</v>
      </c>
      <c r="E3712">
        <v>0.48738389999999998</v>
      </c>
      <c r="F3712" t="s">
        <v>42</v>
      </c>
      <c r="G3712">
        <v>-246.94470000000001</v>
      </c>
      <c r="H3712" s="1">
        <v>-2.7031380000000002E-6</v>
      </c>
      <c r="I3712">
        <v>144.916</v>
      </c>
      <c r="J3712">
        <v>-228.78620000000001</v>
      </c>
      <c r="K3712">
        <v>1.1025370000000001</v>
      </c>
      <c r="L3712">
        <v>142.20769999999999</v>
      </c>
      <c r="M3712">
        <v>-0.99724080000000004</v>
      </c>
      <c r="N3712">
        <v>0</v>
      </c>
      <c r="O3712">
        <v>-7.2867260000000003E-2</v>
      </c>
      <c r="P3712">
        <v>-0.99324920000000005</v>
      </c>
      <c r="Q3712">
        <v>0.1054649</v>
      </c>
      <c r="R3712">
        <v>-4.8305250000000001E-2</v>
      </c>
      <c r="S3712">
        <v>-3.0633849999999998</v>
      </c>
      <c r="T3712">
        <v>-0.18308170000000001</v>
      </c>
      <c r="U3712">
        <v>0.44671630000000001</v>
      </c>
      <c r="V3712">
        <v>2.49248E-2</v>
      </c>
      <c r="W3712">
        <v>0.11941649999999999</v>
      </c>
      <c r="X3712">
        <v>0.99253139999999995</v>
      </c>
      <c r="Y3712">
        <v>0.2155215</v>
      </c>
      <c r="Z3712">
        <v>1.0732220000000001E-2</v>
      </c>
      <c r="AA3712">
        <v>0.97644010000000003</v>
      </c>
      <c r="AB3712">
        <v>30</v>
      </c>
      <c r="AC3712">
        <v>-18.1585</v>
      </c>
      <c r="AD3712">
        <v>-1.102539703138</v>
      </c>
      <c r="AE3712">
        <v>2.7082999999999999</v>
      </c>
      <c r="AF3712">
        <v>4.0099307697588298</v>
      </c>
      <c r="AG3712">
        <v>-1.102539703138</v>
      </c>
      <c r="AH3712">
        <v>17.848483620519701</v>
      </c>
      <c r="AI3712">
        <v>93.449036449708899</v>
      </c>
      <c r="AJ3712">
        <v>77.337883367492196</v>
      </c>
      <c r="AK3712">
        <v>18.326579226009802</v>
      </c>
      <c r="AL3712">
        <v>83.141572090669996</v>
      </c>
      <c r="AM3712">
        <v>88.561470437446701</v>
      </c>
      <c r="AN3712">
        <v>1.0000000630566199</v>
      </c>
    </row>
    <row r="3713" spans="1:40" x14ac:dyDescent="0.3">
      <c r="A3713" t="str">
        <f>"20200111150044084"</f>
        <v>20200111150044084</v>
      </c>
      <c r="B3713" t="str">
        <f>"1578726044080827"</f>
        <v>1578726044080827</v>
      </c>
      <c r="C3713" t="s">
        <v>40</v>
      </c>
      <c r="D3713">
        <v>5.2361620000000002</v>
      </c>
      <c r="E3713">
        <v>0.49167349999999999</v>
      </c>
      <c r="F3713" t="s">
        <v>41</v>
      </c>
      <c r="G3713">
        <v>-230.85679999999999</v>
      </c>
      <c r="H3713">
        <v>0.80143589999999998</v>
      </c>
      <c r="I3713">
        <v>142.0823</v>
      </c>
      <c r="J3713">
        <v>-230.2938</v>
      </c>
      <c r="K3713">
        <v>1.1042209999999999</v>
      </c>
      <c r="L3713">
        <v>142.11359999999999</v>
      </c>
      <c r="M3713">
        <v>-0.99780170000000001</v>
      </c>
      <c r="N3713">
        <v>0</v>
      </c>
      <c r="O3713">
        <v>-6.4727190000000004E-2</v>
      </c>
      <c r="P3713">
        <v>-0.99287999999999998</v>
      </c>
      <c r="Q3713">
        <v>0.1124211</v>
      </c>
      <c r="R3713">
        <v>-3.9383689999999999E-2</v>
      </c>
      <c r="S3713">
        <v>-3.1365660000000002</v>
      </c>
      <c r="T3713">
        <v>-1.0997859999999999</v>
      </c>
      <c r="U3713">
        <v>-0.18179319999999999</v>
      </c>
      <c r="V3713">
        <v>2.5244269999999999E-2</v>
      </c>
      <c r="W3713">
        <v>0.12648499999999999</v>
      </c>
      <c r="X3713">
        <v>0.99164719999999995</v>
      </c>
      <c r="Y3713">
        <v>2.8702879999999999E-3</v>
      </c>
      <c r="Z3713">
        <v>2.2489450000000001E-2</v>
      </c>
      <c r="AA3713">
        <v>0.99974300000000005</v>
      </c>
      <c r="AB3713">
        <v>30</v>
      </c>
      <c r="AC3713">
        <v>-0.56299999999998795</v>
      </c>
      <c r="AD3713">
        <v>-0.30278509999999897</v>
      </c>
      <c r="AE3713">
        <v>-3.12999999999874E-2</v>
      </c>
      <c r="AF3713">
        <v>4.0445243577752997E-3</v>
      </c>
      <c r="AG3713">
        <v>-0.30278509999999897</v>
      </c>
      <c r="AH3713">
        <v>0.43765097801256803</v>
      </c>
      <c r="AI3713">
        <v>124.675947546877</v>
      </c>
      <c r="AJ3713">
        <v>89.470519681672698</v>
      </c>
      <c r="AK3713">
        <v>0.53219691234978705</v>
      </c>
      <c r="AL3713">
        <v>82.733478879833598</v>
      </c>
      <c r="AM3713">
        <v>88.541741656732597</v>
      </c>
      <c r="AN3713">
        <v>0.99999994883033505</v>
      </c>
    </row>
    <row r="3714" spans="1:40" x14ac:dyDescent="0.3">
      <c r="A3714" t="str">
        <f>"20200111150044107"</f>
        <v>20200111150044107</v>
      </c>
      <c r="B3714" t="str">
        <f>"1578726044100346"</f>
        <v>1578726044100346</v>
      </c>
      <c r="C3714" t="s">
        <v>40</v>
      </c>
      <c r="D3714">
        <v>4.5021000000000004</v>
      </c>
      <c r="E3714">
        <v>0.51251979999999997</v>
      </c>
      <c r="F3714" t="s">
        <v>41</v>
      </c>
      <c r="G3714">
        <v>-231.12719999999999</v>
      </c>
      <c r="H3714">
        <v>0.81346490000000005</v>
      </c>
      <c r="I3714">
        <v>142.06610000000001</v>
      </c>
      <c r="J3714">
        <v>-230.58879999999999</v>
      </c>
      <c r="K3714">
        <v>1.104508</v>
      </c>
      <c r="L3714">
        <v>142.0951</v>
      </c>
      <c r="M3714">
        <v>-0.99782910000000002</v>
      </c>
      <c r="N3714">
        <v>0</v>
      </c>
      <c r="O3714">
        <v>-6.4304710000000001E-2</v>
      </c>
      <c r="P3714">
        <v>-0.99275999999999998</v>
      </c>
      <c r="Q3714">
        <v>0.1132587</v>
      </c>
      <c r="R3714">
        <v>-4.0005640000000002E-2</v>
      </c>
      <c r="S3714">
        <v>-3.1383969999999999</v>
      </c>
      <c r="T3714">
        <v>-1.09494</v>
      </c>
      <c r="U3714">
        <v>-0.1794434</v>
      </c>
      <c r="V3714">
        <v>2.4113470000000001E-2</v>
      </c>
      <c r="W3714">
        <v>0.1273406</v>
      </c>
      <c r="X3714">
        <v>0.9915659</v>
      </c>
      <c r="Y3714">
        <v>3.266695E-3</v>
      </c>
      <c r="Z3714">
        <v>2.230855E-2</v>
      </c>
      <c r="AA3714">
        <v>0.99974580000000002</v>
      </c>
      <c r="AB3714">
        <v>30</v>
      </c>
      <c r="AC3714">
        <v>-0.53839999999999499</v>
      </c>
      <c r="AD3714">
        <v>-0.291043099999999</v>
      </c>
      <c r="AE3714">
        <v>-2.89999999999963E-2</v>
      </c>
      <c r="AF3714">
        <v>4.4024421586001802E-3</v>
      </c>
      <c r="AG3714">
        <v>-0.291043099999999</v>
      </c>
      <c r="AH3714">
        <v>0.41750238692668401</v>
      </c>
      <c r="AI3714">
        <v>124.879060560935</v>
      </c>
      <c r="AJ3714">
        <v>89.395854934544403</v>
      </c>
      <c r="AK3714">
        <v>0.50895354468168197</v>
      </c>
      <c r="AL3714">
        <v>82.684057432084202</v>
      </c>
      <c r="AM3714">
        <v>88.606922847218996</v>
      </c>
      <c r="AN3714">
        <v>1.0000000109433</v>
      </c>
    </row>
    <row r="3715" spans="1:40" x14ac:dyDescent="0.3">
      <c r="A3715" t="str">
        <f>"20200111150044129"</f>
        <v>20200111150044129</v>
      </c>
      <c r="B3715" t="str">
        <f>"1578726044120842"</f>
        <v>1578726044120842</v>
      </c>
      <c r="C3715" t="s">
        <v>40</v>
      </c>
      <c r="D3715">
        <v>4.4808839999999996</v>
      </c>
      <c r="E3715">
        <v>0.50870669999999996</v>
      </c>
      <c r="F3715" t="s">
        <v>42</v>
      </c>
      <c r="G3715">
        <v>-265.16730000000001</v>
      </c>
      <c r="H3715" s="1">
        <v>-2.659204E-6</v>
      </c>
      <c r="I3715">
        <v>141.88499999999999</v>
      </c>
      <c r="J3715">
        <v>-230.8922</v>
      </c>
      <c r="K3715">
        <v>1.1047640000000001</v>
      </c>
      <c r="L3715">
        <v>142.07589999999999</v>
      </c>
      <c r="M3715">
        <v>-0.9978359</v>
      </c>
      <c r="N3715">
        <v>0</v>
      </c>
      <c r="O3715">
        <v>-6.419482E-2</v>
      </c>
      <c r="P3715">
        <v>-0.99265369999999997</v>
      </c>
      <c r="Q3715">
        <v>0.1138705</v>
      </c>
      <c r="R3715">
        <v>-4.0895380000000002E-2</v>
      </c>
      <c r="S3715">
        <v>-3.032181</v>
      </c>
      <c r="T3715">
        <v>-9.6854449999999995E-2</v>
      </c>
      <c r="U3715">
        <v>-1.8417360000000001E-2</v>
      </c>
      <c r="V3715">
        <v>2.3032150000000001E-2</v>
      </c>
      <c r="W3715">
        <v>0.12796769999999999</v>
      </c>
      <c r="X3715">
        <v>0.99151089999999997</v>
      </c>
      <c r="Y3715">
        <v>5.8076500000000003E-2</v>
      </c>
      <c r="Z3715">
        <v>2.9763300000000001E-3</v>
      </c>
      <c r="AA3715">
        <v>0.99830770000000002</v>
      </c>
      <c r="AB3715">
        <v>30</v>
      </c>
      <c r="AC3715">
        <v>-34.275100000000002</v>
      </c>
      <c r="AD3715">
        <v>-1.104766659204</v>
      </c>
      <c r="AE3715">
        <v>-0.19089999999999899</v>
      </c>
      <c r="AF3715">
        <v>2.0079145611693301</v>
      </c>
      <c r="AG3715">
        <v>-1.104766659204</v>
      </c>
      <c r="AH3715">
        <v>34.181134882570902</v>
      </c>
      <c r="AI3715">
        <v>91.848025825441994</v>
      </c>
      <c r="AJ3715">
        <v>86.638117139126393</v>
      </c>
      <c r="AK3715">
        <v>34.257878102952397</v>
      </c>
      <c r="AL3715">
        <v>82.647831073392993</v>
      </c>
      <c r="AM3715">
        <v>88.669295815432406</v>
      </c>
      <c r="AN3715">
        <v>1.00000003849786</v>
      </c>
    </row>
    <row r="3716" spans="1:40" x14ac:dyDescent="0.3">
      <c r="A3716" t="str">
        <f>"20200111150044143"</f>
        <v>20200111150044143</v>
      </c>
      <c r="B3716" t="str">
        <f>"1578726044140362"</f>
        <v>1578726044140362</v>
      </c>
      <c r="C3716" t="s">
        <v>40</v>
      </c>
      <c r="D3716">
        <v>4.3486250000000002</v>
      </c>
      <c r="E3716">
        <v>0.50758610000000004</v>
      </c>
      <c r="F3716" t="s">
        <v>42</v>
      </c>
      <c r="G3716">
        <v>-252.65430000000001</v>
      </c>
      <c r="H3716" s="1">
        <v>-3.6901239999999999E-6</v>
      </c>
      <c r="I3716">
        <v>141.70779999999999</v>
      </c>
      <c r="J3716">
        <v>-231.0746</v>
      </c>
      <c r="K3716">
        <v>1.104911</v>
      </c>
      <c r="L3716">
        <v>142.0643</v>
      </c>
      <c r="M3716">
        <v>-0.99783200000000005</v>
      </c>
      <c r="N3716">
        <v>0</v>
      </c>
      <c r="O3716">
        <v>-6.4258209999999996E-2</v>
      </c>
      <c r="P3716">
        <v>-0.99257110000000004</v>
      </c>
      <c r="Q3716">
        <v>0.1144168</v>
      </c>
      <c r="R3716">
        <v>-4.1375700000000001E-2</v>
      </c>
      <c r="S3716">
        <v>-3.0377960000000002</v>
      </c>
      <c r="T3716">
        <v>-0.15421609999999999</v>
      </c>
      <c r="U3716">
        <v>-5.137634E-2</v>
      </c>
      <c r="V3716">
        <v>2.2566010000000001E-2</v>
      </c>
      <c r="W3716">
        <v>0.12852149999999901</v>
      </c>
      <c r="X3716">
        <v>0.99145000000000005</v>
      </c>
      <c r="Y3716">
        <v>4.7237109999999999E-2</v>
      </c>
      <c r="Z3716">
        <v>4.4561430000000001E-3</v>
      </c>
      <c r="AA3716">
        <v>0.99887380000000003</v>
      </c>
      <c r="AB3716">
        <v>30</v>
      </c>
      <c r="AC3716">
        <v>-21.579699999999999</v>
      </c>
      <c r="AD3716">
        <v>-1.1049146901239999</v>
      </c>
      <c r="AE3716">
        <v>-0.35650000000001097</v>
      </c>
      <c r="AF3716">
        <v>1.0283548205417301</v>
      </c>
      <c r="AG3716">
        <v>-1.1049146901239999</v>
      </c>
      <c r="AH3716">
        <v>21.501649316843899</v>
      </c>
      <c r="AI3716">
        <v>92.938343070609605</v>
      </c>
      <c r="AJ3716">
        <v>87.261813413415695</v>
      </c>
      <c r="AK3716">
        <v>21.5545650258574</v>
      </c>
      <c r="AL3716">
        <v>82.615836575882895</v>
      </c>
      <c r="AM3716">
        <v>88.696138044217406</v>
      </c>
      <c r="AN3716">
        <v>1.00000005163478</v>
      </c>
    </row>
    <row r="3717" spans="1:40" x14ac:dyDescent="0.3">
      <c r="A3717" t="str">
        <f>"20200111150044162"</f>
        <v>20200111150044162</v>
      </c>
      <c r="B3717" t="str">
        <f>"1578726044151098"</f>
        <v>1578726044151098</v>
      </c>
      <c r="C3717" t="s">
        <v>40</v>
      </c>
      <c r="D3717">
        <v>4.4704329999999999</v>
      </c>
      <c r="E3717">
        <v>0.50537619999999905</v>
      </c>
      <c r="F3717" t="s">
        <v>42</v>
      </c>
      <c r="G3717">
        <v>-251.45910000000001</v>
      </c>
      <c r="H3717" s="1">
        <v>-4.1401359999999997E-6</v>
      </c>
      <c r="I3717">
        <v>141.64940000000001</v>
      </c>
      <c r="J3717">
        <v>-231.3278</v>
      </c>
      <c r="K3717">
        <v>1.1051029999999999</v>
      </c>
      <c r="L3717">
        <v>142.0479</v>
      </c>
      <c r="M3717">
        <v>-0.99781470000000005</v>
      </c>
      <c r="N3717">
        <v>0</v>
      </c>
      <c r="O3717">
        <v>-6.4525979999999997E-2</v>
      </c>
      <c r="P3717">
        <v>-0.99242969999999997</v>
      </c>
      <c r="Q3717">
        <v>0.1151667</v>
      </c>
      <c r="R3717">
        <v>-4.2659700000000002E-2</v>
      </c>
      <c r="S3717">
        <v>-3.0388489999999999</v>
      </c>
      <c r="T3717">
        <v>-0.164717</v>
      </c>
      <c r="U3717">
        <v>-6.1843870000000002E-2</v>
      </c>
      <c r="V3717">
        <v>2.1481360000000001E-2</v>
      </c>
      <c r="W3717">
        <v>0.1292809</v>
      </c>
      <c r="X3717">
        <v>0.99137529999999996</v>
      </c>
      <c r="Y3717">
        <v>4.4055509999999999E-2</v>
      </c>
      <c r="Z3717">
        <v>4.6855669999999999E-3</v>
      </c>
      <c r="AA3717">
        <v>0.99901810000000002</v>
      </c>
      <c r="AB3717">
        <v>30</v>
      </c>
      <c r="AC3717">
        <v>-20.1313</v>
      </c>
      <c r="AD3717">
        <v>-1.105107140136</v>
      </c>
      <c r="AE3717">
        <v>-0.39849999999998398</v>
      </c>
      <c r="AF3717">
        <v>0.89874658074606795</v>
      </c>
      <c r="AG3717">
        <v>-1.105107140136</v>
      </c>
      <c r="AH3717">
        <v>20.0546444775261</v>
      </c>
      <c r="AI3717">
        <v>93.150926310208504</v>
      </c>
      <c r="AJ3717">
        <v>87.434013146374596</v>
      </c>
      <c r="AK3717">
        <v>20.1051678015268</v>
      </c>
      <c r="AL3717">
        <v>82.571959679870403</v>
      </c>
      <c r="AM3717">
        <v>88.758695424026698</v>
      </c>
      <c r="AN3717">
        <v>0.99999999269117401</v>
      </c>
    </row>
    <row r="3718" spans="1:40" x14ac:dyDescent="0.3">
      <c r="A3718" t="str">
        <f>"20200111150045992"</f>
        <v>20200111150045992</v>
      </c>
      <c r="B3718" t="str">
        <f>"1578726045990908"</f>
        <v>1578726045990908</v>
      </c>
      <c r="C3718" t="s">
        <v>40</v>
      </c>
      <c r="D3718">
        <v>4.3947430000000001</v>
      </c>
      <c r="E3718">
        <v>0.61030660000000003</v>
      </c>
      <c r="F3718" t="s">
        <v>57</v>
      </c>
      <c r="G3718">
        <v>-321.5917</v>
      </c>
      <c r="H3718">
        <v>0.1488148</v>
      </c>
      <c r="I3718">
        <v>160.024</v>
      </c>
      <c r="J3718">
        <v>-254.25069999999999</v>
      </c>
      <c r="K3718">
        <v>1.10466</v>
      </c>
      <c r="L3718">
        <v>140.95580000000001</v>
      </c>
      <c r="M3718">
        <v>-0.9999015</v>
      </c>
      <c r="N3718">
        <v>0</v>
      </c>
      <c r="O3718">
        <v>-1.0973619999999999E-3</v>
      </c>
      <c r="P3718">
        <v>-0.99493229999999999</v>
      </c>
      <c r="Q3718">
        <v>0.1004631</v>
      </c>
      <c r="R3718">
        <v>-4.1260000000000003E-3</v>
      </c>
      <c r="S3718">
        <v>-3.0234679999999998</v>
      </c>
      <c r="T3718">
        <v>-4.2749759999999998E-2</v>
      </c>
      <c r="U3718">
        <v>0.85282899999999995</v>
      </c>
      <c r="V3718">
        <v>-2.9131259999999998E-3</v>
      </c>
      <c r="W3718">
        <v>0.1143773</v>
      </c>
      <c r="X3718">
        <v>0.99343309999999996</v>
      </c>
      <c r="Y3718">
        <v>0.27250750000000001</v>
      </c>
      <c r="Z3718">
        <v>1.9047980000000001E-3</v>
      </c>
      <c r="AA3718">
        <v>0.9621518</v>
      </c>
      <c r="AB3718">
        <v>27</v>
      </c>
      <c r="AC3718">
        <v>-67.340999999999994</v>
      </c>
      <c r="AD3718">
        <v>-0.95584519999999995</v>
      </c>
      <c r="AE3718">
        <v>19.068199999999901</v>
      </c>
      <c r="AF3718">
        <v>19.1385235308577</v>
      </c>
      <c r="AG3718">
        <v>-0.95584519999999995</v>
      </c>
      <c r="AH3718">
        <v>67.307478635805296</v>
      </c>
      <c r="AI3718">
        <v>90.782594461802304</v>
      </c>
      <c r="AJ3718">
        <v>74.127180437218598</v>
      </c>
      <c r="AK3718">
        <v>69.982093447516604</v>
      </c>
      <c r="AL3718">
        <v>83.432289944748405</v>
      </c>
      <c r="AM3718">
        <v>90.168012668976303</v>
      </c>
      <c r="AN3718">
        <v>0.99999998861699502</v>
      </c>
    </row>
    <row r="3719" spans="1:40" x14ac:dyDescent="0.3">
      <c r="A3719" t="str">
        <f>"20200111150046006"</f>
        <v>20200111150046006</v>
      </c>
      <c r="B3719" t="str">
        <f>"1578726046000669"</f>
        <v>1578726046000669</v>
      </c>
      <c r="C3719" t="s">
        <v>40</v>
      </c>
      <c r="D3719">
        <v>4.4105129999999999</v>
      </c>
      <c r="E3719">
        <v>0.6108789</v>
      </c>
      <c r="F3719" t="s">
        <v>55</v>
      </c>
      <c r="G3719">
        <v>-297.05970000000002</v>
      </c>
      <c r="H3719" s="1">
        <v>-1.2228369999999999E-5</v>
      </c>
      <c r="I3719">
        <v>153.25960000000001</v>
      </c>
      <c r="J3719">
        <v>-254.405</v>
      </c>
      <c r="K3719">
        <v>1.10466</v>
      </c>
      <c r="L3719">
        <v>140.95599999999999</v>
      </c>
      <c r="M3719">
        <v>-0.99990199999999996</v>
      </c>
      <c r="N3719">
        <v>0</v>
      </c>
      <c r="O3719">
        <v>-7.5618859999999997E-4</v>
      </c>
      <c r="P3719">
        <v>-0.99488359999999998</v>
      </c>
      <c r="Q3719">
        <v>0.10095030000000001</v>
      </c>
      <c r="R3719">
        <v>-3.9781369999999996E-3</v>
      </c>
      <c r="S3719">
        <v>-3.0267940000000002</v>
      </c>
      <c r="T3719">
        <v>-7.8105569999999999E-2</v>
      </c>
      <c r="U3719">
        <v>0.86993410000000004</v>
      </c>
      <c r="V3719">
        <v>-3.1043279999999999E-3</v>
      </c>
      <c r="W3719">
        <v>0.1148628</v>
      </c>
      <c r="X3719">
        <v>0.9933765</v>
      </c>
      <c r="Y3719">
        <v>0.2768698</v>
      </c>
      <c r="Z3719">
        <v>3.5199770000000001E-3</v>
      </c>
      <c r="AA3719">
        <v>0.96090100000000001</v>
      </c>
      <c r="AB3719">
        <v>27</v>
      </c>
      <c r="AC3719">
        <v>-42.654699999999998</v>
      </c>
      <c r="AD3719">
        <v>-1.1046722283699999</v>
      </c>
      <c r="AE3719">
        <v>12.3035999999999</v>
      </c>
      <c r="AF3719">
        <v>12.3282211213069</v>
      </c>
      <c r="AG3719">
        <v>-1.1046722283699999</v>
      </c>
      <c r="AH3719">
        <v>42.618993799638702</v>
      </c>
      <c r="AI3719">
        <v>91.426309169721307</v>
      </c>
      <c r="AJ3719">
        <v>73.866647116882106</v>
      </c>
      <c r="AK3719">
        <v>44.379995146930902</v>
      </c>
      <c r="AL3719">
        <v>83.404288273088497</v>
      </c>
      <c r="AM3719">
        <v>90.179050252981099</v>
      </c>
      <c r="AN3719">
        <v>0.99999998521420996</v>
      </c>
    </row>
    <row r="3720" spans="1:40" x14ac:dyDescent="0.3">
      <c r="A3720" t="str">
        <f>"20200111150046027"</f>
        <v>20200111150046027</v>
      </c>
      <c r="B3720" t="str">
        <f>"1578726046020189"</f>
        <v>1578726046020189</v>
      </c>
      <c r="C3720" t="s">
        <v>40</v>
      </c>
      <c r="D3720">
        <v>4.4699879999999999</v>
      </c>
      <c r="E3720">
        <v>0.61140869999999903</v>
      </c>
      <c r="F3720" t="s">
        <v>55</v>
      </c>
      <c r="G3720">
        <v>-295.05099999999999</v>
      </c>
      <c r="H3720" s="1">
        <v>-1.197488E-5</v>
      </c>
      <c r="I3720">
        <v>152.70439999999999</v>
      </c>
      <c r="J3720">
        <v>-254.6534</v>
      </c>
      <c r="K3720">
        <v>1.104668</v>
      </c>
      <c r="L3720">
        <v>140.95650000000001</v>
      </c>
      <c r="M3720">
        <v>-0.99990219999999996</v>
      </c>
      <c r="N3720">
        <v>0</v>
      </c>
      <c r="O3720">
        <v>-2.066456E-4</v>
      </c>
      <c r="P3720">
        <v>-0.9948186</v>
      </c>
      <c r="Q3720">
        <v>0.1015799</v>
      </c>
      <c r="R3720">
        <v>-4.1857589999999998E-3</v>
      </c>
      <c r="S3720">
        <v>-3.027298</v>
      </c>
      <c r="T3720">
        <v>-8.2275509999999996E-2</v>
      </c>
      <c r="U3720">
        <v>0.87501530000000005</v>
      </c>
      <c r="V3720">
        <v>-3.8581420000000002E-3</v>
      </c>
      <c r="W3720">
        <v>0.11548899999999999</v>
      </c>
      <c r="X3720">
        <v>0.99330130000000005</v>
      </c>
      <c r="Y3720">
        <v>0.277779</v>
      </c>
      <c r="Z3720">
        <v>3.703872E-3</v>
      </c>
      <c r="AA3720">
        <v>0.96063790000000004</v>
      </c>
      <c r="AB3720">
        <v>27</v>
      </c>
      <c r="AC3720">
        <v>-40.397599999999898</v>
      </c>
      <c r="AD3720">
        <v>-1.10467997487999</v>
      </c>
      <c r="AE3720">
        <v>11.7478999999999</v>
      </c>
      <c r="AF3720">
        <v>11.7481487530201</v>
      </c>
      <c r="AG3720">
        <v>-1.10467997487999</v>
      </c>
      <c r="AH3720">
        <v>40.367339856509403</v>
      </c>
      <c r="AI3720">
        <v>91.505131461012994</v>
      </c>
      <c r="AJ3720">
        <v>73.7733647135924</v>
      </c>
      <c r="AK3720">
        <v>42.056645658693697</v>
      </c>
      <c r="AL3720">
        <v>83.368169608539901</v>
      </c>
      <c r="AM3720">
        <v>90.222544903250395</v>
      </c>
      <c r="AN3720">
        <v>1.00000003348119</v>
      </c>
    </row>
    <row r="3721" spans="1:40" x14ac:dyDescent="0.3">
      <c r="A3721" t="str">
        <f>"20200111150046039"</f>
        <v>20200111150046039</v>
      </c>
      <c r="B3721" t="str">
        <f>"1578726046030924"</f>
        <v>1578726046030924</v>
      </c>
      <c r="C3721" t="s">
        <v>40</v>
      </c>
      <c r="D3721">
        <v>4.3288289999999998</v>
      </c>
      <c r="E3721">
        <v>0.61110509999999996</v>
      </c>
      <c r="F3721" t="s">
        <v>55</v>
      </c>
      <c r="G3721">
        <v>-292.93560000000002</v>
      </c>
      <c r="H3721" s="1">
        <v>-1.190873E-5</v>
      </c>
      <c r="I3721">
        <v>152.0652</v>
      </c>
      <c r="J3721">
        <v>-254.81</v>
      </c>
      <c r="K3721">
        <v>1.10467</v>
      </c>
      <c r="L3721">
        <v>140.95679999999999</v>
      </c>
      <c r="M3721">
        <v>-0.99990219999999996</v>
      </c>
      <c r="N3721">
        <v>0</v>
      </c>
      <c r="O3721">
        <v>1.3929E-4</v>
      </c>
      <c r="P3721">
        <v>-0.99472890000000003</v>
      </c>
      <c r="Q3721">
        <v>0.1024547</v>
      </c>
      <c r="R3721">
        <v>-4.1649219999999997E-3</v>
      </c>
      <c r="S3721">
        <v>-3.0282589999999998</v>
      </c>
      <c r="T3721">
        <v>-8.7384219999999999E-2</v>
      </c>
      <c r="U3721">
        <v>0.87873840000000003</v>
      </c>
      <c r="V3721">
        <v>-4.180263E-3</v>
      </c>
      <c r="W3721">
        <v>0.1163609</v>
      </c>
      <c r="X3721">
        <v>0.99319820000000003</v>
      </c>
      <c r="Y3721">
        <v>0.27844269999999999</v>
      </c>
      <c r="Z3721">
        <v>3.9315130000000002E-3</v>
      </c>
      <c r="AA3721">
        <v>0.96044479999999999</v>
      </c>
      <c r="AB3721">
        <v>26</v>
      </c>
      <c r="AC3721">
        <v>-38.125599999999999</v>
      </c>
      <c r="AD3721">
        <v>-1.1046819087299999</v>
      </c>
      <c r="AE3721">
        <v>11.1084</v>
      </c>
      <c r="AF3721">
        <v>11.094503424191601</v>
      </c>
      <c r="AG3721">
        <v>-1.1046819087299999</v>
      </c>
      <c r="AH3721">
        <v>38.097665355694303</v>
      </c>
      <c r="AI3721">
        <v>91.594680216628305</v>
      </c>
      <c r="AJ3721">
        <v>73.763797890541994</v>
      </c>
      <c r="AK3721">
        <v>39.695597160180697</v>
      </c>
      <c r="AL3721">
        <v>83.317874095366705</v>
      </c>
      <c r="AM3721">
        <v>90.241150268771705</v>
      </c>
      <c r="AN3721">
        <v>0.99999999906539905</v>
      </c>
    </row>
    <row r="3722" spans="1:40" x14ac:dyDescent="0.3">
      <c r="A3722" t="str">
        <f>"20200111150046062"</f>
        <v>20200111150046062</v>
      </c>
      <c r="B3722" t="str">
        <f>"1578726046050446"</f>
        <v>1578726046050446</v>
      </c>
      <c r="C3722" t="s">
        <v>40</v>
      </c>
      <c r="D3722">
        <v>4.3783969999999997</v>
      </c>
      <c r="E3722">
        <v>0.61134630000000001</v>
      </c>
      <c r="F3722" t="s">
        <v>55</v>
      </c>
      <c r="G3722">
        <v>-288.61410000000001</v>
      </c>
      <c r="H3722">
        <v>7.9984749999999993E-2</v>
      </c>
      <c r="I3722">
        <v>150.74019999999999</v>
      </c>
      <c r="J3722">
        <v>-255.06219999999999</v>
      </c>
      <c r="K3722">
        <v>1.104678</v>
      </c>
      <c r="L3722">
        <v>140.95750000000001</v>
      </c>
      <c r="M3722">
        <v>-0.99990210000000002</v>
      </c>
      <c r="N3722">
        <v>0</v>
      </c>
      <c r="O3722">
        <v>6.9615839999999905E-4</v>
      </c>
      <c r="P3722">
        <v>-0.99463699999999999</v>
      </c>
      <c r="Q3722">
        <v>0.10333630000000001</v>
      </c>
      <c r="R3722">
        <v>-4.3498390000000003E-3</v>
      </c>
      <c r="S3722">
        <v>-3.0290219999999999</v>
      </c>
      <c r="T3722">
        <v>-9.1817019999999999E-2</v>
      </c>
      <c r="U3722">
        <v>0.87664789999999904</v>
      </c>
      <c r="V3722">
        <v>-4.9180839999999997E-3</v>
      </c>
      <c r="W3722">
        <v>0.11723889999999999</v>
      </c>
      <c r="X3722">
        <v>0.99309159999999996</v>
      </c>
      <c r="Y3722">
        <v>0.2772211</v>
      </c>
      <c r="Z3722">
        <v>4.0955760000000001E-3</v>
      </c>
      <c r="AA3722">
        <v>0.96079740000000002</v>
      </c>
      <c r="AB3722">
        <v>26</v>
      </c>
      <c r="AC3722">
        <v>-33.551900000000003</v>
      </c>
      <c r="AD3722">
        <v>-1.0246932500000001</v>
      </c>
      <c r="AE3722">
        <v>9.78269999999997</v>
      </c>
      <c r="AF3722">
        <v>9.7509555583534109</v>
      </c>
      <c r="AG3722">
        <v>-1.0246932500000001</v>
      </c>
      <c r="AH3722">
        <v>33.529879076056801</v>
      </c>
      <c r="AI3722">
        <v>91.680856219150002</v>
      </c>
      <c r="AJ3722">
        <v>73.784833882622706</v>
      </c>
      <c r="AK3722">
        <v>34.9339937798782</v>
      </c>
      <c r="AL3722">
        <v>83.267221961231897</v>
      </c>
      <c r="AM3722">
        <v>90.283743365572704</v>
      </c>
      <c r="AN3722">
        <v>1.0000000366069901</v>
      </c>
    </row>
    <row r="3723" spans="1:40" x14ac:dyDescent="0.3">
      <c r="A3723" t="str">
        <f>"20200111150046082"</f>
        <v>20200111150046082</v>
      </c>
      <c r="B3723" t="str">
        <f>"1578726046070941"</f>
        <v>1578726046070941</v>
      </c>
      <c r="C3723" t="s">
        <v>40</v>
      </c>
      <c r="D3723">
        <v>4.3349580000000003</v>
      </c>
      <c r="E3723">
        <v>0.61140519999999998</v>
      </c>
      <c r="F3723" t="s">
        <v>55</v>
      </c>
      <c r="G3723">
        <v>-287.27890000000002</v>
      </c>
      <c r="H3723">
        <v>7.998487E-2</v>
      </c>
      <c r="I3723">
        <v>150.28960000000001</v>
      </c>
      <c r="J3723">
        <v>-255.31270000000001</v>
      </c>
      <c r="K3723">
        <v>1.1046800000000001</v>
      </c>
      <c r="L3723">
        <v>140.95830000000001</v>
      </c>
      <c r="M3723">
        <v>-0.99990159999999995</v>
      </c>
      <c r="N3723">
        <v>0</v>
      </c>
      <c r="O3723">
        <v>1.248849E-3</v>
      </c>
      <c r="P3723">
        <v>-0.99453009999999997</v>
      </c>
      <c r="Q3723">
        <v>0.10437200000000001</v>
      </c>
      <c r="R3723">
        <v>-4.0767299999999998E-3</v>
      </c>
      <c r="S3723">
        <v>-3.0300289999999999</v>
      </c>
      <c r="T3723">
        <v>-9.6373680000000003E-2</v>
      </c>
      <c r="U3723">
        <v>0.87770079999999995</v>
      </c>
      <c r="V3723">
        <v>-5.1944670000000004E-3</v>
      </c>
      <c r="W3723">
        <v>0.11827070000000001</v>
      </c>
      <c r="X3723">
        <v>0.99296779999999996</v>
      </c>
      <c r="Y3723">
        <v>0.27690130000000002</v>
      </c>
      <c r="Z3723">
        <v>4.2749570000000002E-3</v>
      </c>
      <c r="AA3723">
        <v>0.96088890000000005</v>
      </c>
      <c r="AB3723">
        <v>26</v>
      </c>
      <c r="AC3723">
        <v>-31.966200000000001</v>
      </c>
      <c r="AD3723">
        <v>-1.02469512999999</v>
      </c>
      <c r="AE3723">
        <v>9.3313000000000006</v>
      </c>
      <c r="AF3723">
        <v>9.2825784268534797</v>
      </c>
      <c r="AG3723">
        <v>-1.02469512999999</v>
      </c>
      <c r="AH3723">
        <v>31.9475792284106</v>
      </c>
      <c r="AI3723">
        <v>91.764179167373896</v>
      </c>
      <c r="AJ3723">
        <v>73.7984310939094</v>
      </c>
      <c r="AK3723">
        <v>33.284592244996901</v>
      </c>
      <c r="AL3723">
        <v>83.207689719311503</v>
      </c>
      <c r="AM3723">
        <v>90.299726054624699</v>
      </c>
      <c r="AN3723">
        <v>0.99999999640137105</v>
      </c>
    </row>
    <row r="3724" spans="1:40" x14ac:dyDescent="0.3">
      <c r="A3724" t="str">
        <f>"20200111150046105"</f>
        <v>20200111150046105</v>
      </c>
      <c r="B3724" t="str">
        <f>"1578726046100221"</f>
        <v>1578726046100221</v>
      </c>
      <c r="C3724" t="s">
        <v>40</v>
      </c>
      <c r="D3724">
        <v>4.3310690000000003</v>
      </c>
      <c r="E3724">
        <v>0.6115659</v>
      </c>
      <c r="F3724" t="s">
        <v>55</v>
      </c>
      <c r="G3724">
        <v>-287.38170000000002</v>
      </c>
      <c r="H3724">
        <v>7.9984830000000007E-2</v>
      </c>
      <c r="I3724">
        <v>150.2578</v>
      </c>
      <c r="J3724">
        <v>-255.5736</v>
      </c>
      <c r="K3724">
        <v>1.1046860000000001</v>
      </c>
      <c r="L3724">
        <v>140.95930000000001</v>
      </c>
      <c r="M3724">
        <v>-0.99990060000000003</v>
      </c>
      <c r="N3724">
        <v>0</v>
      </c>
      <c r="O3724">
        <v>1.8242460000000001E-3</v>
      </c>
      <c r="P3724">
        <v>-0.99443550000000003</v>
      </c>
      <c r="Q3724">
        <v>0.1052724</v>
      </c>
      <c r="R3724">
        <v>-3.9767450000000003E-3</v>
      </c>
      <c r="S3724">
        <v>-3.0302579999999999</v>
      </c>
      <c r="T3724">
        <v>-9.6825359999999999E-2</v>
      </c>
      <c r="U3724">
        <v>0.87872309999999998</v>
      </c>
      <c r="V3724">
        <v>-5.6654449999999999E-3</v>
      </c>
      <c r="W3724">
        <v>0.119167</v>
      </c>
      <c r="X3724">
        <v>0.99285809999999997</v>
      </c>
      <c r="Y3724">
        <v>0.27662730000000002</v>
      </c>
      <c r="Z3724">
        <v>4.2721759999999999E-3</v>
      </c>
      <c r="AA3724">
        <v>0.96096780000000004</v>
      </c>
      <c r="AB3724">
        <v>26</v>
      </c>
      <c r="AC3724">
        <v>-31.8081</v>
      </c>
      <c r="AD3724">
        <v>-1.0247011699999999</v>
      </c>
      <c r="AE3724">
        <v>9.29849999999999</v>
      </c>
      <c r="AF3724">
        <v>9.23162663766092</v>
      </c>
      <c r="AG3724">
        <v>-1.0247011699999999</v>
      </c>
      <c r="AH3724">
        <v>31.794612443667098</v>
      </c>
      <c r="AI3724">
        <v>91.772768940255801</v>
      </c>
      <c r="AJ3724">
        <v>73.809243626078</v>
      </c>
      <c r="AK3724">
        <v>33.123561452657299</v>
      </c>
      <c r="AL3724">
        <v>83.155970034365893</v>
      </c>
      <c r="AM3724">
        <v>90.326937519569796</v>
      </c>
      <c r="AN3724">
        <v>1.0000000389458199</v>
      </c>
    </row>
    <row r="3725" spans="1:40" x14ac:dyDescent="0.3">
      <c r="A3725" t="str">
        <f>"20200111150046128"</f>
        <v>20200111150046128</v>
      </c>
      <c r="B3725" t="str">
        <f>"1578726046120717"</f>
        <v>1578726046120717</v>
      </c>
      <c r="C3725" t="s">
        <v>40</v>
      </c>
      <c r="D3725">
        <v>4.2648809999999999</v>
      </c>
      <c r="E3725">
        <v>0.61220439999999998</v>
      </c>
      <c r="F3725" t="s">
        <v>55</v>
      </c>
      <c r="G3725">
        <v>-293.47919999999999</v>
      </c>
      <c r="H3725" s="1">
        <v>-1.183598E-5</v>
      </c>
      <c r="I3725">
        <v>151.97559999999999</v>
      </c>
      <c r="J3725">
        <v>-255.8503</v>
      </c>
      <c r="K3725">
        <v>1.104687</v>
      </c>
      <c r="L3725">
        <v>140.9605</v>
      </c>
      <c r="M3725">
        <v>-0.99989939999999999</v>
      </c>
      <c r="N3725">
        <v>0</v>
      </c>
      <c r="O3725">
        <v>2.4345080000000002E-3</v>
      </c>
      <c r="P3725">
        <v>-0.99437299999999995</v>
      </c>
      <c r="Q3725">
        <v>0.1058648</v>
      </c>
      <c r="R3725">
        <v>-3.8696059999999998E-3</v>
      </c>
      <c r="S3725">
        <v>-3.0296630000000002</v>
      </c>
      <c r="T3725">
        <v>-8.8294510000000007E-2</v>
      </c>
      <c r="U3725">
        <v>0.88049319999999898</v>
      </c>
      <c r="V3725">
        <v>-6.1654209999999999E-3</v>
      </c>
      <c r="W3725">
        <v>0.119756</v>
      </c>
      <c r="X3725">
        <v>0.99278420000000001</v>
      </c>
      <c r="Y3725">
        <v>0.27663110000000002</v>
      </c>
      <c r="Z3725">
        <v>3.8789889999999998E-3</v>
      </c>
      <c r="AA3725">
        <v>0.96096839999999994</v>
      </c>
      <c r="AB3725">
        <v>26</v>
      </c>
      <c r="AC3725">
        <v>-37.628899999999902</v>
      </c>
      <c r="AD3725">
        <v>-1.1046988359799901</v>
      </c>
      <c r="AE3725">
        <v>11.015099999999901</v>
      </c>
      <c r="AF3725">
        <v>10.914785841963999</v>
      </c>
      <c r="AG3725">
        <v>-1.1046988359799901</v>
      </c>
      <c r="AH3725">
        <v>37.625738231730899</v>
      </c>
      <c r="AI3725">
        <v>91.615182143466399</v>
      </c>
      <c r="AJ3725">
        <v>73.823175190142095</v>
      </c>
      <c r="AK3725">
        <v>39.192462119352697</v>
      </c>
      <c r="AL3725">
        <v>83.121979069292394</v>
      </c>
      <c r="AM3725">
        <v>90.355815554910805</v>
      </c>
      <c r="AN3725">
        <v>0.99999998986087302</v>
      </c>
    </row>
    <row r="3726" spans="1:40" x14ac:dyDescent="0.3">
      <c r="A3726" t="str">
        <f>"20200111150046149"</f>
        <v>20200111150046149</v>
      </c>
      <c r="B3726" t="str">
        <f>"1578726046140239"</f>
        <v>1578726046140239</v>
      </c>
      <c r="C3726" t="s">
        <v>40</v>
      </c>
      <c r="D3726">
        <v>4.2908229999999996</v>
      </c>
      <c r="E3726">
        <v>0.61263040000000002</v>
      </c>
      <c r="F3726" t="s">
        <v>55</v>
      </c>
      <c r="G3726">
        <v>-293.60660000000001</v>
      </c>
      <c r="H3726" s="1">
        <v>-1.182862E-5</v>
      </c>
      <c r="I3726">
        <v>151.999</v>
      </c>
      <c r="J3726">
        <v>-256.1046</v>
      </c>
      <c r="K3726">
        <v>1.1046990000000001</v>
      </c>
      <c r="L3726">
        <v>140.96180000000001</v>
      </c>
      <c r="M3726">
        <v>-0.99989799999999995</v>
      </c>
      <c r="N3726">
        <v>0</v>
      </c>
      <c r="O3726">
        <v>2.9954199999999999E-3</v>
      </c>
      <c r="P3726">
        <v>-0.99431389999999997</v>
      </c>
      <c r="Q3726">
        <v>0.1064293</v>
      </c>
      <c r="R3726">
        <v>-3.5883040000000001E-3</v>
      </c>
      <c r="S3726">
        <v>-3.0298609999999999</v>
      </c>
      <c r="T3726">
        <v>-8.8649749999999999E-2</v>
      </c>
      <c r="U3726">
        <v>0.88581849999999995</v>
      </c>
      <c r="V3726">
        <v>-6.4414440000000002E-3</v>
      </c>
      <c r="W3726">
        <v>0.1203169</v>
      </c>
      <c r="X3726">
        <v>0.9927146</v>
      </c>
      <c r="Y3726">
        <v>0.27763080000000001</v>
      </c>
      <c r="Z3726">
        <v>3.8916599999999999E-3</v>
      </c>
      <c r="AA3726">
        <v>0.96067990000000003</v>
      </c>
      <c r="AB3726">
        <v>26</v>
      </c>
      <c r="AC3726">
        <v>-37.502000000000002</v>
      </c>
      <c r="AD3726">
        <v>-1.10471082861999</v>
      </c>
      <c r="AE3726">
        <v>11.037199999999901</v>
      </c>
      <c r="AF3726">
        <v>10.9160880498089</v>
      </c>
      <c r="AG3726">
        <v>-1.10471082861999</v>
      </c>
      <c r="AH3726">
        <v>37.5049457814495</v>
      </c>
      <c r="AI3726">
        <v>91.619978534475393</v>
      </c>
      <c r="AJ3726">
        <v>73.771977719515206</v>
      </c>
      <c r="AK3726">
        <v>39.0768770808968</v>
      </c>
      <c r="AL3726">
        <v>83.089607617242095</v>
      </c>
      <c r="AM3726">
        <v>90.371770875162497</v>
      </c>
      <c r="AN3726">
        <v>0.99999996283978698</v>
      </c>
    </row>
    <row r="3727" spans="1:40" x14ac:dyDescent="0.3">
      <c r="A3727" t="str">
        <f>"20200111150046162"</f>
        <v>20200111150046162</v>
      </c>
      <c r="B3727" t="str">
        <f>"1578726046150973"</f>
        <v>1578726046150973</v>
      </c>
      <c r="C3727" t="s">
        <v>40</v>
      </c>
      <c r="D3727">
        <v>4.2664739999999997</v>
      </c>
      <c r="E3727">
        <v>0.6128557</v>
      </c>
      <c r="F3727" t="s">
        <v>55</v>
      </c>
      <c r="G3727">
        <v>-293.04809999999998</v>
      </c>
      <c r="H3727" s="1">
        <v>-1.1842500000000001E-5</v>
      </c>
      <c r="I3727">
        <v>151.81180000000001</v>
      </c>
      <c r="J3727">
        <v>-256.25940000000003</v>
      </c>
      <c r="K3727">
        <v>1.1047020000000001</v>
      </c>
      <c r="L3727">
        <v>140.96260000000001</v>
      </c>
      <c r="M3727">
        <v>-0.99989689999999998</v>
      </c>
      <c r="N3727">
        <v>0</v>
      </c>
      <c r="O3727">
        <v>3.3367589999999999E-3</v>
      </c>
      <c r="P3727">
        <v>-0.99428059999999996</v>
      </c>
      <c r="Q3727">
        <v>0.1067478</v>
      </c>
      <c r="R3727">
        <v>-3.337343E-3</v>
      </c>
      <c r="S3727">
        <v>-3.0300600000000002</v>
      </c>
      <c r="T3727">
        <v>-9.0607049999999995E-2</v>
      </c>
      <c r="U3727">
        <v>0.88990780000000003</v>
      </c>
      <c r="V3727">
        <v>-6.5292369999999898E-3</v>
      </c>
      <c r="W3727">
        <v>0.12063309999999999</v>
      </c>
      <c r="X3727">
        <v>0.99267570000000005</v>
      </c>
      <c r="Y3727">
        <v>0.27847490000000003</v>
      </c>
      <c r="Z3727">
        <v>3.978924E-3</v>
      </c>
      <c r="AA3727">
        <v>0.96043529999999999</v>
      </c>
      <c r="AB3727">
        <v>26</v>
      </c>
      <c r="AC3727">
        <v>-36.788699999999899</v>
      </c>
      <c r="AD3727">
        <v>-1.1047138425</v>
      </c>
      <c r="AE3727">
        <v>10.8491999999999</v>
      </c>
      <c r="AF3727">
        <v>10.717481682797001</v>
      </c>
      <c r="AG3727">
        <v>-1.1047138425</v>
      </c>
      <c r="AH3727">
        <v>36.794176485025503</v>
      </c>
      <c r="AI3727">
        <v>91.651160173503001</v>
      </c>
      <c r="AJ3727">
        <v>73.760108721241096</v>
      </c>
      <c r="AK3727">
        <v>38.339225729089797</v>
      </c>
      <c r="AL3727">
        <v>83.071358097939395</v>
      </c>
      <c r="AM3727">
        <v>90.376852509735798</v>
      </c>
      <c r="AN3727">
        <v>1.0000000105609499</v>
      </c>
    </row>
    <row r="3728" spans="1:40" x14ac:dyDescent="0.3">
      <c r="A3728" t="str">
        <f>"20200111150046176"</f>
        <v>20200111150046176</v>
      </c>
      <c r="B3728" t="str">
        <f>"1578726046170493"</f>
        <v>1578726046170493</v>
      </c>
      <c r="C3728" t="s">
        <v>40</v>
      </c>
      <c r="D3728">
        <v>4.3099509999999999</v>
      </c>
      <c r="E3728">
        <v>0.61282169999999903</v>
      </c>
      <c r="F3728" t="s">
        <v>55</v>
      </c>
      <c r="G3728">
        <v>-293.12849999999997</v>
      </c>
      <c r="H3728" s="1">
        <v>-1.1836769999999999E-5</v>
      </c>
      <c r="I3728">
        <v>151.82169999999999</v>
      </c>
      <c r="J3728">
        <v>-256.42169999999999</v>
      </c>
      <c r="K3728">
        <v>1.104706</v>
      </c>
      <c r="L3728">
        <v>140.96350000000001</v>
      </c>
      <c r="M3728">
        <v>-0.99989570000000005</v>
      </c>
      <c r="N3728">
        <v>0</v>
      </c>
      <c r="O3728">
        <v>3.6947260000000002E-3</v>
      </c>
      <c r="P3728">
        <v>-0.99426700000000001</v>
      </c>
      <c r="Q3728">
        <v>0.1068795</v>
      </c>
      <c r="R3728">
        <v>-3.1572169999999999E-3</v>
      </c>
      <c r="S3728">
        <v>-3.0299990000000001</v>
      </c>
      <c r="T3728">
        <v>-9.0788250000000001E-2</v>
      </c>
      <c r="U3728">
        <v>0.89242549999999898</v>
      </c>
      <c r="V3728">
        <v>-6.7052149999999996E-3</v>
      </c>
      <c r="W3728">
        <v>0.1207633</v>
      </c>
      <c r="X3728">
        <v>0.9926587</v>
      </c>
      <c r="Y3728">
        <v>0.27887030000000002</v>
      </c>
      <c r="Z3728">
        <v>3.9817969999999996E-3</v>
      </c>
      <c r="AA3728">
        <v>0.96032050000000002</v>
      </c>
      <c r="AB3728">
        <v>26</v>
      </c>
      <c r="AC3728">
        <v>-36.706799999999902</v>
      </c>
      <c r="AD3728">
        <v>-1.1047178367699999</v>
      </c>
      <c r="AE3728">
        <v>10.858199999999901</v>
      </c>
      <c r="AF3728">
        <v>10.7135680324755</v>
      </c>
      <c r="AG3728">
        <v>-1.1047178367699999</v>
      </c>
      <c r="AH3728">
        <v>36.716091519041299</v>
      </c>
      <c r="AI3728">
        <v>91.654447871672104</v>
      </c>
      <c r="AJ3728">
        <v>73.733024636454601</v>
      </c>
      <c r="AK3728">
        <v>38.263197957305898</v>
      </c>
      <c r="AL3728">
        <v>83.063843276550202</v>
      </c>
      <c r="AM3728">
        <v>90.387015876995605</v>
      </c>
      <c r="AN3728">
        <v>1.00000001461038</v>
      </c>
    </row>
    <row r="3729" spans="1:40" x14ac:dyDescent="0.3">
      <c r="A3729" t="str">
        <f>"20200111150046193"</f>
        <v>20200111150046193</v>
      </c>
      <c r="B3729" t="str">
        <f>"1578726046190990"</f>
        <v>1578726046190990</v>
      </c>
      <c r="C3729" t="s">
        <v>40</v>
      </c>
      <c r="D3729">
        <v>4.2644929999999999</v>
      </c>
      <c r="E3729">
        <v>0.56091869999999999</v>
      </c>
      <c r="F3729" t="s">
        <v>55</v>
      </c>
      <c r="G3729">
        <v>-291.92</v>
      </c>
      <c r="H3729" s="1">
        <v>-1.186755E-5</v>
      </c>
      <c r="I3729">
        <v>151.41990000000001</v>
      </c>
      <c r="J3729">
        <v>-256.62009999999998</v>
      </c>
      <c r="K3729">
        <v>1.104711</v>
      </c>
      <c r="L3729">
        <v>140.9648</v>
      </c>
      <c r="M3729">
        <v>-0.99989410000000001</v>
      </c>
      <c r="N3729">
        <v>0</v>
      </c>
      <c r="O3729">
        <v>4.1321459999999997E-3</v>
      </c>
      <c r="P3729">
        <v>-0.99421599999999999</v>
      </c>
      <c r="Q3729">
        <v>0.10735989999999999</v>
      </c>
      <c r="R3729">
        <v>-2.958273E-3</v>
      </c>
      <c r="S3729">
        <v>-3.0302730000000002</v>
      </c>
      <c r="T3729">
        <v>-9.430289E-2</v>
      </c>
      <c r="U3729">
        <v>0.89259339999999998</v>
      </c>
      <c r="V3729">
        <v>-6.9410030000000003E-3</v>
      </c>
      <c r="W3729">
        <v>0.121240899999999</v>
      </c>
      <c r="X3729">
        <v>0.9925988</v>
      </c>
      <c r="Y3729">
        <v>0.27846690000000002</v>
      </c>
      <c r="Z3729">
        <v>4.1160149999999998E-3</v>
      </c>
      <c r="AA3729">
        <v>0.96043699999999999</v>
      </c>
      <c r="AB3729">
        <v>26</v>
      </c>
      <c r="AC3729">
        <v>-35.299900000000001</v>
      </c>
      <c r="AD3729">
        <v>-1.10472286755</v>
      </c>
      <c r="AE3729">
        <v>10.4551</v>
      </c>
      <c r="AF3729">
        <v>10.2998580541756</v>
      </c>
      <c r="AG3729">
        <v>-1.10472286755</v>
      </c>
      <c r="AH3729">
        <v>35.311010287564002</v>
      </c>
      <c r="AI3729">
        <v>91.7202986354784</v>
      </c>
      <c r="AJ3729">
        <v>73.738578967126401</v>
      </c>
      <c r="AK3729">
        <v>36.799115968711902</v>
      </c>
      <c r="AL3729">
        <v>83.036275843590303</v>
      </c>
      <c r="AM3729">
        <v>90.400648978726693</v>
      </c>
      <c r="AN3729">
        <v>0.99999995555844701</v>
      </c>
    </row>
    <row r="3730" spans="1:40" x14ac:dyDescent="0.3">
      <c r="A3730" t="str">
        <f>"20200111150046208"</f>
        <v>20200111150046208</v>
      </c>
      <c r="B3730" t="str">
        <f>"1578726046200749"</f>
        <v>1578726046200749</v>
      </c>
      <c r="C3730" t="s">
        <v>40</v>
      </c>
      <c r="D3730">
        <v>4.2823969999999996</v>
      </c>
      <c r="E3730">
        <v>0.54296160000000004</v>
      </c>
      <c r="F3730" t="s">
        <v>42</v>
      </c>
      <c r="G3730">
        <v>-274.60809999999998</v>
      </c>
      <c r="H3730" s="1">
        <v>-3.4092540000000001E-6</v>
      </c>
      <c r="I3730">
        <v>143.8023</v>
      </c>
      <c r="J3730">
        <v>-256.79500000000002</v>
      </c>
      <c r="K3730">
        <v>1.104714</v>
      </c>
      <c r="L3730">
        <v>140.9659</v>
      </c>
      <c r="M3730">
        <v>-0.99989240000000001</v>
      </c>
      <c r="N3730">
        <v>0</v>
      </c>
      <c r="O3730">
        <v>4.5180100000000003E-3</v>
      </c>
      <c r="P3730">
        <v>-0.99420459999999999</v>
      </c>
      <c r="Q3730">
        <v>0.1074711</v>
      </c>
      <c r="R3730">
        <v>-2.742782E-3</v>
      </c>
      <c r="S3730">
        <v>-3.0390320000000002</v>
      </c>
      <c r="T3730">
        <v>-0.186639</v>
      </c>
      <c r="U3730">
        <v>0.47940060000000001</v>
      </c>
      <c r="V3730">
        <v>-7.1089309999999998E-3</v>
      </c>
      <c r="W3730">
        <v>0.12135020000000001</v>
      </c>
      <c r="X3730">
        <v>0.99258429999999997</v>
      </c>
      <c r="Y3730">
        <v>0.15108669999999999</v>
      </c>
      <c r="Z3730">
        <v>4.3311369999999997E-3</v>
      </c>
      <c r="AA3730">
        <v>0.98851100000000003</v>
      </c>
      <c r="AB3730">
        <v>26</v>
      </c>
      <c r="AC3730">
        <v>-17.813099999999899</v>
      </c>
      <c r="AD3730">
        <v>-1.104717409254</v>
      </c>
      <c r="AE3730">
        <v>2.83639999999999</v>
      </c>
      <c r="AF3730">
        <v>2.7455847007680898</v>
      </c>
      <c r="AG3730">
        <v>-1.104717409254</v>
      </c>
      <c r="AH3730">
        <v>17.7591194879368</v>
      </c>
      <c r="AI3730">
        <v>93.517848149458402</v>
      </c>
      <c r="AJ3730">
        <v>81.211570753614893</v>
      </c>
      <c r="AK3730">
        <v>18.0040262411</v>
      </c>
      <c r="AL3730">
        <v>83.029967144821896</v>
      </c>
      <c r="AM3730">
        <v>90.410347795176605</v>
      </c>
      <c r="AN3730">
        <v>1.0000000002732401</v>
      </c>
    </row>
    <row r="3731" spans="1:40" x14ac:dyDescent="0.3">
      <c r="A3731" t="str">
        <f>"20200111150046222"</f>
        <v>20200111150046222</v>
      </c>
      <c r="B3731" t="str">
        <f>"1578726046210509"</f>
        <v>1578726046210509</v>
      </c>
      <c r="C3731" t="s">
        <v>40</v>
      </c>
      <c r="D3731">
        <v>4.319013</v>
      </c>
      <c r="E3731">
        <v>0.52987469999999903</v>
      </c>
      <c r="F3731" t="s">
        <v>41</v>
      </c>
      <c r="G3731">
        <v>-257.67610000000002</v>
      </c>
      <c r="H3731">
        <v>1.0515410000000001</v>
      </c>
      <c r="I3731">
        <v>141.06360000000001</v>
      </c>
      <c r="J3731">
        <v>-256.95190000000002</v>
      </c>
      <c r="K3731">
        <v>1.1047149999999999</v>
      </c>
      <c r="L3731">
        <v>140.96700000000001</v>
      </c>
      <c r="M3731">
        <v>-0.99989070000000002</v>
      </c>
      <c r="N3731">
        <v>0</v>
      </c>
      <c r="O3731">
        <v>4.8642980000000004E-3</v>
      </c>
      <c r="P3731">
        <v>-0.99419310000000005</v>
      </c>
      <c r="Q3731">
        <v>0.1075826</v>
      </c>
      <c r="R3731">
        <v>-2.440092E-3</v>
      </c>
      <c r="S3731">
        <v>-3.0382389999999999</v>
      </c>
      <c r="T3731">
        <v>-0.18339749999999999</v>
      </c>
      <c r="U3731">
        <v>0.33668520000000002</v>
      </c>
      <c r="V3731">
        <v>-7.1504849999999998E-3</v>
      </c>
      <c r="W3731">
        <v>0.1214596</v>
      </c>
      <c r="X3731">
        <v>0.99257059999999997</v>
      </c>
      <c r="Y3731">
        <v>0.105125</v>
      </c>
      <c r="Z3731">
        <v>2.8678309999999999E-3</v>
      </c>
      <c r="AA3731">
        <v>0.99445490000000003</v>
      </c>
      <c r="AB3731">
        <v>26</v>
      </c>
      <c r="AC3731">
        <v>-0.72419999999999596</v>
      </c>
      <c r="AD3731">
        <v>-5.3173999999999798E-2</v>
      </c>
      <c r="AE3731">
        <v>9.6599999999995106E-2</v>
      </c>
      <c r="AF3731">
        <v>9.2585372791384998E-2</v>
      </c>
      <c r="AG3731">
        <v>-5.3173999999999798E-2</v>
      </c>
      <c r="AH3731">
        <v>0.72084312826283503</v>
      </c>
      <c r="AI3731">
        <v>94.184610162563004</v>
      </c>
      <c r="AJ3731">
        <v>82.680979305448005</v>
      </c>
      <c r="AK3731">
        <v>0.728707308248428</v>
      </c>
      <c r="AL3731">
        <v>83.0236521332302</v>
      </c>
      <c r="AM3731">
        <v>90.412752024715402</v>
      </c>
      <c r="AN3731">
        <v>0.99999997992612699</v>
      </c>
    </row>
    <row r="3732" spans="1:40" x14ac:dyDescent="0.3">
      <c r="A3732" t="str">
        <f>"20200111150046238"</f>
        <v>20200111150046238</v>
      </c>
      <c r="B3732" t="str">
        <f>"1578726046231008"</f>
        <v>1578726046231008</v>
      </c>
      <c r="C3732" t="s">
        <v>40</v>
      </c>
      <c r="D3732">
        <v>4.3410830000000002</v>
      </c>
      <c r="E3732">
        <v>0.51847679999999996</v>
      </c>
      <c r="F3732" t="s">
        <v>41</v>
      </c>
      <c r="G3732">
        <v>-257.89600000000002</v>
      </c>
      <c r="H3732">
        <v>1.047677</v>
      </c>
      <c r="I3732">
        <v>141.03970000000001</v>
      </c>
      <c r="J3732">
        <v>-257.15249999999997</v>
      </c>
      <c r="K3732">
        <v>1.1047180000000001</v>
      </c>
      <c r="L3732">
        <v>140.96850000000001</v>
      </c>
      <c r="M3732">
        <v>-0.99988869999999996</v>
      </c>
      <c r="N3732">
        <v>0</v>
      </c>
      <c r="O3732">
        <v>5.3065450000000002E-3</v>
      </c>
      <c r="P3732">
        <v>-0.99415589999999998</v>
      </c>
      <c r="Q3732">
        <v>0.10793220000000001</v>
      </c>
      <c r="R3732">
        <v>-2.2677610000000001E-3</v>
      </c>
      <c r="S3732">
        <v>-3.0379640000000001</v>
      </c>
      <c r="T3732">
        <v>-0.18355289999999999</v>
      </c>
      <c r="U3732">
        <v>0.23312379999999999</v>
      </c>
      <c r="V3732">
        <v>-7.4175769999999999E-3</v>
      </c>
      <c r="W3732">
        <v>0.1218069</v>
      </c>
      <c r="X3732">
        <v>0.99252609999999997</v>
      </c>
      <c r="Y3732">
        <v>7.1100070000000001E-2</v>
      </c>
      <c r="Z3732">
        <v>1.822953E-3</v>
      </c>
      <c r="AA3732">
        <v>0.99746749999999995</v>
      </c>
      <c r="AB3732">
        <v>26</v>
      </c>
      <c r="AC3732">
        <v>-0.74349999999998295</v>
      </c>
      <c r="AD3732">
        <v>-5.7041000000000099E-2</v>
      </c>
      <c r="AE3732">
        <v>7.1200000000004496E-2</v>
      </c>
      <c r="AF3732">
        <v>6.6863224062344906E-2</v>
      </c>
      <c r="AG3732">
        <v>-5.7041000000000099E-2</v>
      </c>
      <c r="AH3732">
        <v>0.73955401334861104</v>
      </c>
      <c r="AI3732">
        <v>94.392584137538506</v>
      </c>
      <c r="AJ3732">
        <v>84.833922579578896</v>
      </c>
      <c r="AK3732">
        <v>0.74475801779708795</v>
      </c>
      <c r="AL3732">
        <v>83.0036045997023</v>
      </c>
      <c r="AM3732">
        <v>90.428188179898896</v>
      </c>
      <c r="AN3732">
        <v>1.00000000025868</v>
      </c>
    </row>
    <row r="3733" spans="1:40" x14ac:dyDescent="0.3">
      <c r="A3733" t="str">
        <f>"20200111150046252"</f>
        <v>20200111150046252</v>
      </c>
      <c r="B3733" t="str">
        <f>"1578726046240765"</f>
        <v>1578726046240765</v>
      </c>
      <c r="C3733" t="s">
        <v>40</v>
      </c>
      <c r="D3733">
        <v>4.3461129999999999</v>
      </c>
      <c r="E3733">
        <v>0.51536459999999995</v>
      </c>
      <c r="F3733" t="s">
        <v>42</v>
      </c>
      <c r="G3733">
        <v>-278.64870000000002</v>
      </c>
      <c r="H3733" s="1">
        <v>-1.190106E-6</v>
      </c>
      <c r="I3733">
        <v>141.97669999999999</v>
      </c>
      <c r="J3733">
        <v>-257.3048</v>
      </c>
      <c r="K3733">
        <v>1.104722</v>
      </c>
      <c r="L3733">
        <v>140.96969999999999</v>
      </c>
      <c r="M3733">
        <v>-0.99988679999999996</v>
      </c>
      <c r="N3733">
        <v>0</v>
      </c>
      <c r="O3733">
        <v>5.6429389999999996E-3</v>
      </c>
      <c r="P3733">
        <v>-0.99411510000000003</v>
      </c>
      <c r="Q3733">
        <v>0.1083147</v>
      </c>
      <c r="R3733">
        <v>-1.8591110000000001E-3</v>
      </c>
      <c r="S3733">
        <v>-3.0348820000000001</v>
      </c>
      <c r="T3733">
        <v>-0.15596660000000001</v>
      </c>
      <c r="U3733">
        <v>0.14234920000000001</v>
      </c>
      <c r="V3733">
        <v>-7.3429289999999998E-3</v>
      </c>
      <c r="W3733">
        <v>0.122187</v>
      </c>
      <c r="X3733">
        <v>0.99247989999999997</v>
      </c>
      <c r="Y3733">
        <v>4.1168059999999999E-2</v>
      </c>
      <c r="Z3733">
        <v>7.6689800000000002E-4</v>
      </c>
      <c r="AA3733">
        <v>0.99915189999999998</v>
      </c>
      <c r="AB3733">
        <v>26</v>
      </c>
      <c r="AC3733">
        <v>-21.343900000000001</v>
      </c>
      <c r="AD3733">
        <v>-1.104723190106</v>
      </c>
      <c r="AE3733">
        <v>1.0069999999999999</v>
      </c>
      <c r="AF3733">
        <v>0.88416657188755199</v>
      </c>
      <c r="AG3733">
        <v>-1.104723190106</v>
      </c>
      <c r="AH3733">
        <v>21.292329385126202</v>
      </c>
      <c r="AI3733">
        <v>92.967496695634097</v>
      </c>
      <c r="AJ3733">
        <v>87.622151883313293</v>
      </c>
      <c r="AK3733">
        <v>21.339293673838199</v>
      </c>
      <c r="AL3733">
        <v>82.981662340863707</v>
      </c>
      <c r="AM3733">
        <v>90.423898926990006</v>
      </c>
      <c r="AN3733">
        <v>0.99999996673965397</v>
      </c>
    </row>
    <row r="3734" spans="1:40" x14ac:dyDescent="0.3">
      <c r="A3734" t="str">
        <f>"20200111150046272"</f>
        <v>20200111150046272</v>
      </c>
      <c r="B3734" t="str">
        <f>"1578726046260285"</f>
        <v>1578726046260285</v>
      </c>
      <c r="C3734" t="s">
        <v>40</v>
      </c>
      <c r="D3734">
        <v>4.3254479999999997</v>
      </c>
      <c r="E3734">
        <v>0.51145879999999999</v>
      </c>
      <c r="F3734" t="s">
        <v>55</v>
      </c>
      <c r="G3734">
        <v>-280.32709999999997</v>
      </c>
      <c r="H3734" s="1">
        <v>-4.4918809999999998E-6</v>
      </c>
      <c r="I3734">
        <v>141.87010000000001</v>
      </c>
      <c r="J3734">
        <v>-257.53809999999999</v>
      </c>
      <c r="K3734">
        <v>1.1047279999999999</v>
      </c>
      <c r="L3734">
        <v>140.9716</v>
      </c>
      <c r="M3734">
        <v>-0.99988370000000004</v>
      </c>
      <c r="N3734">
        <v>0</v>
      </c>
      <c r="O3734">
        <v>6.158078E-3</v>
      </c>
      <c r="P3734">
        <v>-0.99402789999999996</v>
      </c>
      <c r="Q3734">
        <v>0.1091211</v>
      </c>
      <c r="R3734">
        <v>-1.1085680000000001E-3</v>
      </c>
      <c r="S3734">
        <v>-3.0338440000000002</v>
      </c>
      <c r="T3734">
        <v>-0.14557929999999999</v>
      </c>
      <c r="U3734">
        <v>0.1186523</v>
      </c>
      <c r="V3734">
        <v>-7.1036989999999998E-3</v>
      </c>
      <c r="W3734">
        <v>0.1229896</v>
      </c>
      <c r="X3734">
        <v>0.99238249999999995</v>
      </c>
      <c r="Y3734">
        <v>3.2894270000000003E-2</v>
      </c>
      <c r="Z3734">
        <v>4.9323080000000005E-4</v>
      </c>
      <c r="AA3734">
        <v>0.99945870000000003</v>
      </c>
      <c r="AB3734">
        <v>26</v>
      </c>
      <c r="AC3734">
        <v>-22.788999999999898</v>
      </c>
      <c r="AD3734">
        <v>-1.104732491881</v>
      </c>
      <c r="AE3734">
        <v>0.89850000000001196</v>
      </c>
      <c r="AF3734">
        <v>0.75635819318806596</v>
      </c>
      <c r="AG3734">
        <v>-1.104732491881</v>
      </c>
      <c r="AH3734">
        <v>22.7407440863857</v>
      </c>
      <c r="AI3734">
        <v>92.779675460323205</v>
      </c>
      <c r="AJ3734">
        <v>88.095041974703193</v>
      </c>
      <c r="AK3734">
        <v>22.780121887239901</v>
      </c>
      <c r="AL3734">
        <v>82.935327257813</v>
      </c>
      <c r="AM3734">
        <v>90.410129179073493</v>
      </c>
      <c r="AN3734">
        <v>0.99999996527694501</v>
      </c>
    </row>
    <row r="3735" spans="1:40" x14ac:dyDescent="0.3">
      <c r="A3735" t="str">
        <f>"20200111150046286"</f>
        <v>20200111150046286</v>
      </c>
      <c r="B3735" t="str">
        <f>"1578726046280781"</f>
        <v>1578726046280781</v>
      </c>
      <c r="C3735" t="s">
        <v>40</v>
      </c>
      <c r="D3735">
        <v>4.3193720000000004</v>
      </c>
      <c r="E3735">
        <v>0.50955980000000001</v>
      </c>
      <c r="F3735" t="s">
        <v>55</v>
      </c>
      <c r="G3735">
        <v>-280.82260000000002</v>
      </c>
      <c r="H3735" s="1">
        <v>-4.6438630000000002E-6</v>
      </c>
      <c r="I3735">
        <v>141.66069999999999</v>
      </c>
      <c r="J3735">
        <v>-257.69600000000003</v>
      </c>
      <c r="K3735">
        <v>1.104733</v>
      </c>
      <c r="L3735">
        <v>140.97299999999899</v>
      </c>
      <c r="M3735">
        <v>-0.99988160000000004</v>
      </c>
      <c r="N3735">
        <v>0</v>
      </c>
      <c r="O3735">
        <v>6.5064490000000001E-3</v>
      </c>
      <c r="P3735">
        <v>-0.99396799999999996</v>
      </c>
      <c r="Q3735">
        <v>0.1096694</v>
      </c>
      <c r="R3735">
        <v>-7.0518879999999999E-4</v>
      </c>
      <c r="S3735">
        <v>-3.0339360000000002</v>
      </c>
      <c r="T3735">
        <v>-0.14394489999999999</v>
      </c>
      <c r="U3735">
        <v>8.9782710000000002E-2</v>
      </c>
      <c r="V3735">
        <v>-7.0459609999999999E-3</v>
      </c>
      <c r="W3735">
        <v>0.123535199999999</v>
      </c>
      <c r="X3735">
        <v>0.99231519999999995</v>
      </c>
      <c r="Y3735">
        <v>2.3056409999999999E-2</v>
      </c>
      <c r="Z3735">
        <v>2.380502E-4</v>
      </c>
      <c r="AA3735">
        <v>0.99973420000000002</v>
      </c>
      <c r="AB3735">
        <v>26</v>
      </c>
      <c r="AC3735">
        <v>-23.1266</v>
      </c>
      <c r="AD3735">
        <v>-1.1047376438630001</v>
      </c>
      <c r="AE3735">
        <v>0.68770000000000597</v>
      </c>
      <c r="AF3735">
        <v>0.53597680547019899</v>
      </c>
      <c r="AG3735">
        <v>-1.1047376438630001</v>
      </c>
      <c r="AH3735">
        <v>23.077970432269801</v>
      </c>
      <c r="AI3735">
        <v>92.739907209797593</v>
      </c>
      <c r="AJ3735">
        <v>88.669567178313898</v>
      </c>
      <c r="AK3735">
        <v>23.110613052675301</v>
      </c>
      <c r="AL3735">
        <v>82.903826874019799</v>
      </c>
      <c r="AM3735">
        <v>90.406823400006004</v>
      </c>
      <c r="AN3735">
        <v>1.00000002367824</v>
      </c>
    </row>
    <row r="3736" spans="1:40" x14ac:dyDescent="0.3">
      <c r="A3736" t="str">
        <f>"20200111150046299"</f>
        <v>20200111150046299</v>
      </c>
      <c r="B3736" t="str">
        <f>"1578726046290541"</f>
        <v>1578726046290541</v>
      </c>
      <c r="C3736" t="s">
        <v>40</v>
      </c>
      <c r="D3736">
        <v>4.3146579999999997</v>
      </c>
      <c r="E3736">
        <v>0.50861429999999996</v>
      </c>
      <c r="F3736" t="s">
        <v>55</v>
      </c>
      <c r="G3736">
        <v>-280.58350000000002</v>
      </c>
      <c r="H3736" s="1">
        <v>-4.500049E-6</v>
      </c>
      <c r="I3736">
        <v>141.54390000000001</v>
      </c>
      <c r="J3736">
        <v>-257.86470000000003</v>
      </c>
      <c r="K3736">
        <v>1.104738</v>
      </c>
      <c r="L3736">
        <v>140.97450000000001</v>
      </c>
      <c r="M3736">
        <v>-0.99987910000000002</v>
      </c>
      <c r="N3736">
        <v>0</v>
      </c>
      <c r="O3736">
        <v>6.8784199999999997E-3</v>
      </c>
      <c r="P3736">
        <v>-0.99394890000000002</v>
      </c>
      <c r="Q3736">
        <v>0.1098442</v>
      </c>
      <c r="R3736">
        <v>-3.9252500000000001E-4</v>
      </c>
      <c r="S3736">
        <v>-3.034424</v>
      </c>
      <c r="T3736">
        <v>-0.1464657</v>
      </c>
      <c r="U3736">
        <v>7.5683589999999995E-2</v>
      </c>
      <c r="V3736">
        <v>-7.1030599999999996E-3</v>
      </c>
      <c r="W3736">
        <v>0.1237079</v>
      </c>
      <c r="X3736">
        <v>0.99229319999999999</v>
      </c>
      <c r="Y3736">
        <v>1.8043380000000001E-2</v>
      </c>
      <c r="Z3736">
        <v>1.033521E-4</v>
      </c>
      <c r="AA3736">
        <v>0.99983719999999998</v>
      </c>
      <c r="AB3736">
        <v>26</v>
      </c>
      <c r="AC3736">
        <v>-22.718799999999899</v>
      </c>
      <c r="AD3736">
        <v>-1.1047425000489901</v>
      </c>
      <c r="AE3736">
        <v>0.56940000000000102</v>
      </c>
      <c r="AF3736">
        <v>0.41212798984940902</v>
      </c>
      <c r="AG3736">
        <v>-1.1047425000489901</v>
      </c>
      <c r="AH3736">
        <v>22.668611630757798</v>
      </c>
      <c r="AI3736">
        <v>92.789611041123493</v>
      </c>
      <c r="AJ3736">
        <v>88.958445550436906</v>
      </c>
      <c r="AK3736">
        <v>22.6992567882202</v>
      </c>
      <c r="AL3736">
        <v>82.893854854194004</v>
      </c>
      <c r="AM3736">
        <v>90.410129192333102</v>
      </c>
      <c r="AN3736">
        <v>0.999999946375005</v>
      </c>
    </row>
    <row r="3737" spans="1:40" x14ac:dyDescent="0.3">
      <c r="A3737" t="str">
        <f>"20200111150046317"</f>
        <v>20200111150046317</v>
      </c>
      <c r="B3737" t="str">
        <f>"1578726046311037"</f>
        <v>1578726046311037</v>
      </c>
      <c r="C3737" t="s">
        <v>40</v>
      </c>
      <c r="D3737">
        <v>4.3423689999999997</v>
      </c>
      <c r="E3737">
        <v>0.50712079999999904</v>
      </c>
      <c r="F3737" t="s">
        <v>55</v>
      </c>
      <c r="G3737">
        <v>-280.24079999999998</v>
      </c>
      <c r="H3737" s="1">
        <v>-4.3291340000000003E-6</v>
      </c>
      <c r="I3737">
        <v>141.4854</v>
      </c>
      <c r="J3737">
        <v>-258.06290000000001</v>
      </c>
      <c r="K3737">
        <v>1.104741</v>
      </c>
      <c r="L3737">
        <v>140.97630000000001</v>
      </c>
      <c r="M3737">
        <v>-0.99987599999999999</v>
      </c>
      <c r="N3737">
        <v>0</v>
      </c>
      <c r="O3737">
        <v>7.3140929999999998E-3</v>
      </c>
      <c r="P3737">
        <v>-0.99390489999999998</v>
      </c>
      <c r="Q3737">
        <v>0.1102422</v>
      </c>
      <c r="R3737" s="1">
        <v>5.0769190000000001E-5</v>
      </c>
      <c r="S3737">
        <v>-3.0348510000000002</v>
      </c>
      <c r="T3737">
        <v>-0.1498352</v>
      </c>
      <c r="U3737">
        <v>6.9290160000000003E-2</v>
      </c>
      <c r="V3737">
        <v>-7.0927710000000003E-3</v>
      </c>
      <c r="W3737">
        <v>0.124103</v>
      </c>
      <c r="X3737">
        <v>0.99224400000000001</v>
      </c>
      <c r="Y3737">
        <v>1.550206E-2</v>
      </c>
      <c r="Z3737" s="1">
        <v>2.1531190000000001E-5</v>
      </c>
      <c r="AA3737">
        <v>0.99987979999999999</v>
      </c>
      <c r="AB3737">
        <v>26</v>
      </c>
      <c r="AC3737">
        <v>-22.177899999999902</v>
      </c>
      <c r="AD3737">
        <v>-1.1047453291339999</v>
      </c>
      <c r="AE3737">
        <v>0.50909999999998901</v>
      </c>
      <c r="AF3737">
        <v>0.34600129100383897</v>
      </c>
      <c r="AG3737">
        <v>-1.1047453291339999</v>
      </c>
      <c r="AH3737">
        <v>22.126157375643899</v>
      </c>
      <c r="AI3737">
        <v>92.858020254923602</v>
      </c>
      <c r="AJ3737">
        <v>89.104101193392097</v>
      </c>
      <c r="AK3737">
        <v>22.156421627766999</v>
      </c>
      <c r="AL3737">
        <v>82.8710419383398</v>
      </c>
      <c r="AM3737">
        <v>90.409555433818298</v>
      </c>
      <c r="AN3737">
        <v>1.0000000087727201</v>
      </c>
    </row>
    <row r="3738" spans="1:40" x14ac:dyDescent="0.3">
      <c r="A3738" t="str">
        <f>"20200111150046331"</f>
        <v>20200111150046331</v>
      </c>
      <c r="B3738" t="str">
        <f>"1578726046320797"</f>
        <v>1578726046320797</v>
      </c>
      <c r="C3738" t="s">
        <v>40</v>
      </c>
      <c r="D3738">
        <v>4.315118</v>
      </c>
      <c r="E3738">
        <v>0.50643559999999999</v>
      </c>
      <c r="F3738" t="s">
        <v>42</v>
      </c>
      <c r="G3738">
        <v>-279.81150000000002</v>
      </c>
      <c r="H3738" s="1">
        <v>-5.3679590000000005E-7</v>
      </c>
      <c r="I3738">
        <v>141.39619999999999</v>
      </c>
      <c r="J3738">
        <v>-258.22160000000002</v>
      </c>
      <c r="K3738">
        <v>1.1047450000000001</v>
      </c>
      <c r="L3738">
        <v>140.97790000000001</v>
      </c>
      <c r="M3738">
        <v>-0.99987349999999997</v>
      </c>
      <c r="N3738">
        <v>0</v>
      </c>
      <c r="O3738">
        <v>7.6604150000000003E-3</v>
      </c>
      <c r="P3738">
        <v>-0.99390210000000001</v>
      </c>
      <c r="Q3738">
        <v>0.1102668</v>
      </c>
      <c r="R3738">
        <v>2.8955400000000003E-4</v>
      </c>
      <c r="S3738">
        <v>-3.0354610000000002</v>
      </c>
      <c r="T3738">
        <v>-0.1541892</v>
      </c>
      <c r="U3738">
        <v>5.8609010000000003E-2</v>
      </c>
      <c r="V3738">
        <v>-7.1982610000000001E-3</v>
      </c>
      <c r="W3738">
        <v>0.12412570000000001</v>
      </c>
      <c r="X3738">
        <v>0.99224040000000002</v>
      </c>
      <c r="Y3738">
        <v>1.163908E-2</v>
      </c>
      <c r="Z3738" s="1">
        <v>-9.3467800000000007E-5</v>
      </c>
      <c r="AA3738">
        <v>0.99993220000000005</v>
      </c>
      <c r="AB3738">
        <v>26</v>
      </c>
      <c r="AC3738">
        <v>-21.5899</v>
      </c>
      <c r="AD3738">
        <v>-1.10474553679589</v>
      </c>
      <c r="AE3738">
        <v>0.41829999999998702</v>
      </c>
      <c r="AF3738">
        <v>0.25222390449605597</v>
      </c>
      <c r="AG3738">
        <v>-1.10474553679589</v>
      </c>
      <c r="AH3738">
        <v>21.536103741529899</v>
      </c>
      <c r="AI3738">
        <v>92.9363479665234</v>
      </c>
      <c r="AJ3738">
        <v>89.329000978311697</v>
      </c>
      <c r="AK3738">
        <v>21.5658953898281</v>
      </c>
      <c r="AL3738">
        <v>82.869731182922607</v>
      </c>
      <c r="AM3738">
        <v>90.415648002404893</v>
      </c>
      <c r="AN3738">
        <v>1.0000000078770299</v>
      </c>
    </row>
    <row r="3739" spans="1:40" x14ac:dyDescent="0.3">
      <c r="A3739" t="str">
        <f>"20200111150046347"</f>
        <v>20200111150046347</v>
      </c>
      <c r="B3739" t="str">
        <f>"1578726046340317"</f>
        <v>1578726046340317</v>
      </c>
      <c r="C3739" t="s">
        <v>40</v>
      </c>
      <c r="D3739">
        <v>4.3350350000000004</v>
      </c>
      <c r="E3739">
        <v>0.50510100000000002</v>
      </c>
      <c r="F3739" t="s">
        <v>42</v>
      </c>
      <c r="G3739">
        <v>-279.44779999999997</v>
      </c>
      <c r="H3739" s="1">
        <v>-6.8157559999999997E-7</v>
      </c>
      <c r="I3739">
        <v>141.35380000000001</v>
      </c>
      <c r="J3739">
        <v>-258.40339999999998</v>
      </c>
      <c r="K3739">
        <v>1.104749</v>
      </c>
      <c r="L3739">
        <v>140.97970000000001</v>
      </c>
      <c r="M3739">
        <v>-0.9998705</v>
      </c>
      <c r="N3739">
        <v>0</v>
      </c>
      <c r="O3739">
        <v>8.0539219999999998E-3</v>
      </c>
      <c r="P3739">
        <v>-0.99390489999999998</v>
      </c>
      <c r="Q3739">
        <v>0.1102397</v>
      </c>
      <c r="R3739">
        <v>4.9125239999999999E-4</v>
      </c>
      <c r="S3739">
        <v>-3.0358890000000001</v>
      </c>
      <c r="T3739">
        <v>-0.15800719999999999</v>
      </c>
      <c r="U3739">
        <v>5.3771970000000002E-2</v>
      </c>
      <c r="V3739">
        <v>-7.3889619999999998E-3</v>
      </c>
      <c r="W3739">
        <v>0.1240969</v>
      </c>
      <c r="X3739">
        <v>0.99224259999999997</v>
      </c>
      <c r="Y3739">
        <v>9.6531459999999996E-3</v>
      </c>
      <c r="Z3739">
        <v>-1.6787509999999901E-4</v>
      </c>
      <c r="AA3739">
        <v>0.99995339999999999</v>
      </c>
      <c r="AB3739">
        <v>26</v>
      </c>
      <c r="AC3739">
        <v>-21.0444</v>
      </c>
      <c r="AD3739">
        <v>-1.1047496815755999</v>
      </c>
      <c r="AE3739">
        <v>0.37409999999999799</v>
      </c>
      <c r="AF3739">
        <v>0.20401938726261901</v>
      </c>
      <c r="AG3739">
        <v>-1.1047496815755999</v>
      </c>
      <c r="AH3739">
        <v>20.988906706151099</v>
      </c>
      <c r="AI3739">
        <v>93.012837032558295</v>
      </c>
      <c r="AJ3739">
        <v>89.443082869728698</v>
      </c>
      <c r="AK3739">
        <v>21.018950984500499</v>
      </c>
      <c r="AL3739">
        <v>82.8713941548653</v>
      </c>
      <c r="AM3739">
        <v>90.426658271146195</v>
      </c>
      <c r="AN3739">
        <v>1.0000000073019</v>
      </c>
    </row>
    <row r="3740" spans="1:40" x14ac:dyDescent="0.3">
      <c r="A3740" t="str">
        <f>"20200111150046361"</f>
        <v>20200111150046361</v>
      </c>
      <c r="B3740" t="str">
        <f>"1578726046351053"</f>
        <v>1578726046351053</v>
      </c>
      <c r="C3740" t="s">
        <v>40</v>
      </c>
      <c r="D3740">
        <v>4.3331819999999999</v>
      </c>
      <c r="E3740">
        <v>0.50480649999999905</v>
      </c>
      <c r="F3740" t="s">
        <v>42</v>
      </c>
      <c r="G3740">
        <v>-279.85219999999998</v>
      </c>
      <c r="H3740" s="1">
        <v>-4.9085520000000005E-7</v>
      </c>
      <c r="I3740">
        <v>141.28909999999999</v>
      </c>
      <c r="J3740">
        <v>-258.58019999999999</v>
      </c>
      <c r="K3740">
        <v>1.104752</v>
      </c>
      <c r="L3740">
        <v>140.98159999999999</v>
      </c>
      <c r="M3740">
        <v>-0.99986739999999996</v>
      </c>
      <c r="N3740">
        <v>0</v>
      </c>
      <c r="O3740">
        <v>8.4326279999999993E-3</v>
      </c>
      <c r="P3740">
        <v>-0.99391510000000005</v>
      </c>
      <c r="Q3740">
        <v>0.1101497</v>
      </c>
      <c r="R3740">
        <v>6.1927360000000003E-4</v>
      </c>
      <c r="S3740">
        <v>-3.0357059999999998</v>
      </c>
      <c r="T3740">
        <v>-0.15635859999999999</v>
      </c>
      <c r="U3740">
        <v>4.379272E-2</v>
      </c>
      <c r="V3740">
        <v>-7.6393399999999997E-3</v>
      </c>
      <c r="W3740">
        <v>0.1240055</v>
      </c>
      <c r="X3740">
        <v>0.99225209999999997</v>
      </c>
      <c r="Y3740">
        <v>5.994531E-3</v>
      </c>
      <c r="Z3740">
        <v>-2.7978829999999999E-4</v>
      </c>
      <c r="AA3740">
        <v>0.99998200000000004</v>
      </c>
      <c r="AB3740">
        <v>26</v>
      </c>
      <c r="AC3740">
        <v>-21.271999999999899</v>
      </c>
      <c r="AD3740">
        <v>-1.1047524908552</v>
      </c>
      <c r="AE3740">
        <v>0.30750000000000399</v>
      </c>
      <c r="AF3740">
        <v>0.12774830210033</v>
      </c>
      <c r="AG3740">
        <v>-1.1047524908552</v>
      </c>
      <c r="AH3740">
        <v>21.216623262647001</v>
      </c>
      <c r="AI3740">
        <v>92.980653267475802</v>
      </c>
      <c r="AJ3740">
        <v>89.6550181426949</v>
      </c>
      <c r="AK3740">
        <v>21.245750171830501</v>
      </c>
      <c r="AL3740">
        <v>82.876671535453198</v>
      </c>
      <c r="AM3740">
        <v>90.441110976122403</v>
      </c>
      <c r="AN3740">
        <v>0.99999997675014696</v>
      </c>
    </row>
    <row r="3741" spans="1:40" x14ac:dyDescent="0.3">
      <c r="A3741" t="str">
        <f>"20200111150046384"</f>
        <v>20200111150046384</v>
      </c>
      <c r="B3741" t="str">
        <f>"1578726046380333"</f>
        <v>1578726046380333</v>
      </c>
      <c r="C3741" t="s">
        <v>40</v>
      </c>
      <c r="D3741">
        <v>4.3154510000000004</v>
      </c>
      <c r="E3741">
        <v>0.50382629999999995</v>
      </c>
      <c r="F3741" t="s">
        <v>42</v>
      </c>
      <c r="G3741">
        <v>-279.56880000000001</v>
      </c>
      <c r="H3741" s="1">
        <v>-6.0771809999999898E-7</v>
      </c>
      <c r="I3741">
        <v>141.2714</v>
      </c>
      <c r="J3741">
        <v>-258.83080000000001</v>
      </c>
      <c r="K3741">
        <v>1.10476</v>
      </c>
      <c r="L3741">
        <v>140.98429999999999</v>
      </c>
      <c r="M3741">
        <v>-0.99986269999999999</v>
      </c>
      <c r="N3741">
        <v>0</v>
      </c>
      <c r="O3741">
        <v>8.9593199999999998E-3</v>
      </c>
      <c r="P3741">
        <v>-0.99397469999999999</v>
      </c>
      <c r="Q3741">
        <v>0.1096019</v>
      </c>
      <c r="R3741">
        <v>1.3717499999999999E-3</v>
      </c>
      <c r="S3741">
        <v>-3.0360719999999999</v>
      </c>
      <c r="T3741">
        <v>-0.15980620000000001</v>
      </c>
      <c r="U3741">
        <v>4.193115E-2</v>
      </c>
      <c r="V3741">
        <v>-7.4141629999999997E-3</v>
      </c>
      <c r="W3741">
        <v>0.1234552</v>
      </c>
      <c r="X3741">
        <v>0.99232240000000005</v>
      </c>
      <c r="Y3741">
        <v>4.8554619999999996E-3</v>
      </c>
      <c r="Z3741">
        <v>-3.4357540000000002E-4</v>
      </c>
      <c r="AA3741">
        <v>0.99998810000000005</v>
      </c>
      <c r="AB3741">
        <v>26</v>
      </c>
      <c r="AC3741">
        <v>-20.738</v>
      </c>
      <c r="AD3741">
        <v>-1.1047606077181</v>
      </c>
      <c r="AE3741">
        <v>0.28710000000000901</v>
      </c>
      <c r="AF3741">
        <v>0.10098550715720001</v>
      </c>
      <c r="AG3741">
        <v>-1.1047606077181</v>
      </c>
      <c r="AH3741">
        <v>20.6810596984215</v>
      </c>
      <c r="AI3741">
        <v>93.057737982206206</v>
      </c>
      <c r="AJ3741">
        <v>89.720227229631703</v>
      </c>
      <c r="AK3741">
        <v>20.710792460036199</v>
      </c>
      <c r="AL3741">
        <v>82.908445375188506</v>
      </c>
      <c r="AM3741">
        <v>90.428078963193101</v>
      </c>
      <c r="AN3741">
        <v>0.999999950880894</v>
      </c>
    </row>
    <row r="3742" spans="1:40" x14ac:dyDescent="0.3">
      <c r="A3742" t="str">
        <f>"20200111150046397"</f>
        <v>20200111150046397</v>
      </c>
      <c r="B3742" t="str">
        <f>"1578726046391070"</f>
        <v>1578726046391070</v>
      </c>
      <c r="C3742" t="s">
        <v>40</v>
      </c>
      <c r="D3742">
        <v>4.3154349999999999</v>
      </c>
      <c r="E3742">
        <v>0.50345720000000005</v>
      </c>
      <c r="F3742" t="s">
        <v>42</v>
      </c>
      <c r="G3742">
        <v>-279.54090000000002</v>
      </c>
      <c r="H3742" s="1">
        <v>-6.0938759999999996E-7</v>
      </c>
      <c r="I3742">
        <v>141.23259999999999</v>
      </c>
      <c r="J3742">
        <v>-259.00099999999998</v>
      </c>
      <c r="K3742">
        <v>1.1047670000000001</v>
      </c>
      <c r="L3742">
        <v>140.9862</v>
      </c>
      <c r="M3742">
        <v>-0.99985959999999996</v>
      </c>
      <c r="N3742">
        <v>0</v>
      </c>
      <c r="O3742">
        <v>9.3094360000000008E-3</v>
      </c>
      <c r="P3742">
        <v>-0.99396669999999998</v>
      </c>
      <c r="Q3742">
        <v>0.10966960000000001</v>
      </c>
      <c r="R3742">
        <v>1.80576E-3</v>
      </c>
      <c r="S3742">
        <v>-3.0360109999999998</v>
      </c>
      <c r="T3742">
        <v>-0.16195399999999999</v>
      </c>
      <c r="U3742">
        <v>3.6407469999999997E-2</v>
      </c>
      <c r="V3742">
        <v>-7.3303509999999997E-3</v>
      </c>
      <c r="W3742">
        <v>0.12352059999999999</v>
      </c>
      <c r="X3742">
        <v>0.9923149</v>
      </c>
      <c r="Y3742">
        <v>2.6902369999999998E-3</v>
      </c>
      <c r="Z3742">
        <v>-4.2457010000000002E-4</v>
      </c>
      <c r="AA3742">
        <v>0.99999629999999995</v>
      </c>
      <c r="AB3742">
        <v>26</v>
      </c>
      <c r="AC3742">
        <v>-20.539899999999999</v>
      </c>
      <c r="AD3742">
        <v>-1.1047676093876</v>
      </c>
      <c r="AE3742">
        <v>0.24639999999999401</v>
      </c>
      <c r="AF3742">
        <v>5.4996792836478098E-2</v>
      </c>
      <c r="AG3742">
        <v>-1.1047676093876</v>
      </c>
      <c r="AH3742">
        <v>20.482058194849198</v>
      </c>
      <c r="AI3742">
        <v>93.087434597653996</v>
      </c>
      <c r="AJ3742">
        <v>89.846154301810301</v>
      </c>
      <c r="AK3742">
        <v>20.511904933846701</v>
      </c>
      <c r="AL3742">
        <v>82.904669442395104</v>
      </c>
      <c r="AM3742">
        <v>90.423243201521302</v>
      </c>
      <c r="AN3742">
        <v>0.99999996671607605</v>
      </c>
    </row>
    <row r="3743" spans="1:40" x14ac:dyDescent="0.3">
      <c r="A3743" t="str">
        <f>"20200111150046418"</f>
        <v>20200111150046418</v>
      </c>
      <c r="B3743" t="str">
        <f>"1578726046410588"</f>
        <v>1578726046410588</v>
      </c>
      <c r="C3743" t="s">
        <v>40</v>
      </c>
      <c r="D3743">
        <v>4.2127650000000001</v>
      </c>
      <c r="E3743">
        <v>0.50325120000000001</v>
      </c>
      <c r="F3743" t="s">
        <v>55</v>
      </c>
      <c r="G3743">
        <v>-280.03989999999999</v>
      </c>
      <c r="H3743" s="1">
        <v>-4.1565440000000003E-6</v>
      </c>
      <c r="I3743">
        <v>141.22730000000001</v>
      </c>
      <c r="J3743">
        <v>-259.23169999999999</v>
      </c>
      <c r="K3743">
        <v>1.104779</v>
      </c>
      <c r="L3743">
        <v>140.9889</v>
      </c>
      <c r="M3743">
        <v>-0.99985520000000006</v>
      </c>
      <c r="N3743">
        <v>0</v>
      </c>
      <c r="O3743">
        <v>9.7726810000000001E-3</v>
      </c>
      <c r="P3743">
        <v>-0.99397279999999999</v>
      </c>
      <c r="Q3743">
        <v>0.1096109</v>
      </c>
      <c r="R3743">
        <v>1.9173809999999999E-3</v>
      </c>
      <c r="S3743">
        <v>-3.0357669999999999</v>
      </c>
      <c r="T3743">
        <v>-0.15941069999999999</v>
      </c>
      <c r="U3743">
        <v>3.4790040000000001E-2</v>
      </c>
      <c r="V3743">
        <v>-7.682449E-3</v>
      </c>
      <c r="W3743">
        <v>0.12346</v>
      </c>
      <c r="X3743">
        <v>0.99231979999999997</v>
      </c>
      <c r="Y3743">
        <v>1.696889E-3</v>
      </c>
      <c r="Z3743">
        <v>-4.6831770000000002E-4</v>
      </c>
      <c r="AA3743">
        <v>0.99999850000000001</v>
      </c>
      <c r="AB3743">
        <v>26</v>
      </c>
      <c r="AC3743">
        <v>-20.808199999999999</v>
      </c>
      <c r="AD3743">
        <v>-1.1047831565440001</v>
      </c>
      <c r="AE3743">
        <v>0.23840000000001199</v>
      </c>
      <c r="AF3743">
        <v>3.4918556775648403E-2</v>
      </c>
      <c r="AG3743">
        <v>-1.1047831565440001</v>
      </c>
      <c r="AH3743">
        <v>20.7510479919051</v>
      </c>
      <c r="AI3743">
        <v>93.0475384787986</v>
      </c>
      <c r="AJ3743">
        <v>89.903586361405303</v>
      </c>
      <c r="AK3743">
        <v>20.780465776563801</v>
      </c>
      <c r="AL3743">
        <v>82.9081685037673</v>
      </c>
      <c r="AM3743">
        <v>90.443569815018193</v>
      </c>
      <c r="AN3743">
        <v>0.99999998854733796</v>
      </c>
    </row>
    <row r="3744" spans="1:40" x14ac:dyDescent="0.3">
      <c r="A3744" t="str">
        <f>"20200111150046432"</f>
        <v>20200111150046432</v>
      </c>
      <c r="B3744" t="str">
        <f>"1578726046420349"</f>
        <v>1578726046420349</v>
      </c>
      <c r="C3744" t="s">
        <v>40</v>
      </c>
      <c r="D3744">
        <v>4.2700779999999998</v>
      </c>
      <c r="E3744">
        <v>0.50314429999999999</v>
      </c>
      <c r="F3744" t="s">
        <v>55</v>
      </c>
      <c r="G3744">
        <v>-280.63189999999997</v>
      </c>
      <c r="H3744" s="1">
        <v>-4.4195419999999997E-6</v>
      </c>
      <c r="I3744">
        <v>141.22880000000001</v>
      </c>
      <c r="J3744">
        <v>-259.39030000000002</v>
      </c>
      <c r="K3744">
        <v>1.1047899999999999</v>
      </c>
      <c r="L3744">
        <v>140.99080000000001</v>
      </c>
      <c r="M3744">
        <v>-0.99985219999999997</v>
      </c>
      <c r="N3744">
        <v>0</v>
      </c>
      <c r="O3744">
        <v>1.00795E-2</v>
      </c>
      <c r="P3744">
        <v>-0.99399389999999999</v>
      </c>
      <c r="Q3744">
        <v>0.1094151</v>
      </c>
      <c r="R3744">
        <v>2.1715039999999999E-3</v>
      </c>
      <c r="S3744">
        <v>-3.0354000000000001</v>
      </c>
      <c r="T3744">
        <v>-0.1567026</v>
      </c>
      <c r="U3744">
        <v>3.4027099999999998E-2</v>
      </c>
      <c r="V3744">
        <v>-7.7365810000000002E-3</v>
      </c>
      <c r="W3744">
        <v>0.1232622</v>
      </c>
      <c r="X3744">
        <v>0.992344</v>
      </c>
      <c r="Y3744">
        <v>1.140875E-3</v>
      </c>
      <c r="Z3744">
        <v>-4.9059959999999997E-4</v>
      </c>
      <c r="AA3744">
        <v>0.99999919999999998</v>
      </c>
      <c r="AB3744">
        <v>26</v>
      </c>
      <c r="AC3744">
        <v>-21.241599999999899</v>
      </c>
      <c r="AD3744">
        <v>-1.1047944195420001</v>
      </c>
      <c r="AE3744">
        <v>0.23799999999999899</v>
      </c>
      <c r="AF3744">
        <v>2.3798062128409899E-2</v>
      </c>
      <c r="AG3744">
        <v>-1.1047944195420001</v>
      </c>
      <c r="AH3744">
        <v>21.185617181648301</v>
      </c>
      <c r="AI3744">
        <v>92.985172919216794</v>
      </c>
      <c r="AJ3744">
        <v>89.935638979249703</v>
      </c>
      <c r="AK3744">
        <v>21.214417560342401</v>
      </c>
      <c r="AL3744">
        <v>82.919589059530793</v>
      </c>
      <c r="AM3744">
        <v>90.446684273296995</v>
      </c>
      <c r="AN3744">
        <v>1.0000000194851999</v>
      </c>
    </row>
    <row r="3745" spans="1:40" x14ac:dyDescent="0.3">
      <c r="A3745" t="str">
        <f>"20200111150046446"</f>
        <v>20200111150046446</v>
      </c>
      <c r="B3745" t="str">
        <f>"1578726046440845"</f>
        <v>1578726046440845</v>
      </c>
      <c r="C3745" t="s">
        <v>40</v>
      </c>
      <c r="D3745">
        <v>4.1995940000000003</v>
      </c>
      <c r="E3745">
        <v>0.50266290000000002</v>
      </c>
      <c r="F3745" t="s">
        <v>55</v>
      </c>
      <c r="G3745">
        <v>-280.85480000000001</v>
      </c>
      <c r="H3745" s="1">
        <v>-4.519158E-6</v>
      </c>
      <c r="I3745">
        <v>141.2311</v>
      </c>
      <c r="J3745">
        <v>-259.55700000000002</v>
      </c>
      <c r="K3745">
        <v>1.1048020000000001</v>
      </c>
      <c r="L3745">
        <v>140.99289999999999</v>
      </c>
      <c r="M3745">
        <v>-0.99984899999999999</v>
      </c>
      <c r="N3745">
        <v>0</v>
      </c>
      <c r="O3745">
        <v>1.0394280000000001E-2</v>
      </c>
      <c r="P3745">
        <v>-0.99401309999999998</v>
      </c>
      <c r="Q3745">
        <v>0.10923099999999999</v>
      </c>
      <c r="R3745">
        <v>2.6316960000000002E-3</v>
      </c>
      <c r="S3745">
        <v>-3.0352480000000002</v>
      </c>
      <c r="T3745">
        <v>-0.15622610000000001</v>
      </c>
      <c r="U3745">
        <v>3.3981320000000002E-2</v>
      </c>
      <c r="V3745">
        <v>-7.5929099999999996E-3</v>
      </c>
      <c r="W3745">
        <v>0.1230767</v>
      </c>
      <c r="X3745">
        <v>0.99236809999999998</v>
      </c>
      <c r="Y3745">
        <v>8.1231279999999999E-4</v>
      </c>
      <c r="Z3745">
        <v>-5.1377559999999896E-4</v>
      </c>
      <c r="AA3745">
        <v>0.99999950000000004</v>
      </c>
      <c r="AB3745">
        <v>26</v>
      </c>
      <c r="AC3745">
        <v>-21.297799999999899</v>
      </c>
      <c r="AD3745">
        <v>-1.1048065191580001</v>
      </c>
      <c r="AE3745">
        <v>0.23820000000000599</v>
      </c>
      <c r="AF3745">
        <v>1.6745308547933699E-2</v>
      </c>
      <c r="AG3745">
        <v>-1.1048065191580001</v>
      </c>
      <c r="AH3745">
        <v>21.241971800323601</v>
      </c>
      <c r="AI3745">
        <v>92.977301069303707</v>
      </c>
      <c r="AJ3745">
        <v>89.954833039196302</v>
      </c>
      <c r="AK3745">
        <v>21.2706897823243</v>
      </c>
      <c r="AL3745">
        <v>82.930298738434502</v>
      </c>
      <c r="AM3745">
        <v>90.438378871762893</v>
      </c>
      <c r="AN3745">
        <v>0.99999998613138297</v>
      </c>
    </row>
    <row r="3746" spans="1:40" x14ac:dyDescent="0.3">
      <c r="A3746" t="str">
        <f>"20200111150046461"</f>
        <v>20200111150046461</v>
      </c>
      <c r="B3746" t="str">
        <f>"1578726046450605"</f>
        <v>1578726046450605</v>
      </c>
      <c r="C3746" t="s">
        <v>40</v>
      </c>
      <c r="D3746">
        <v>4.1765790000000003</v>
      </c>
      <c r="E3746">
        <v>0.50238819999999995</v>
      </c>
      <c r="F3746" t="s">
        <v>42</v>
      </c>
      <c r="G3746">
        <v>-279.84809999999999</v>
      </c>
      <c r="H3746" s="1">
        <v>-4.6944990000000002E-7</v>
      </c>
      <c r="I3746">
        <v>141.2021</v>
      </c>
      <c r="J3746">
        <v>-259.73129999999998</v>
      </c>
      <c r="K3746">
        <v>1.1048169999999999</v>
      </c>
      <c r="L3746">
        <v>140.995</v>
      </c>
      <c r="M3746">
        <v>-0.99984550000000005</v>
      </c>
      <c r="N3746">
        <v>0</v>
      </c>
      <c r="O3746">
        <v>1.071386E-2</v>
      </c>
      <c r="P3746">
        <v>-0.99403759999999997</v>
      </c>
      <c r="Q3746">
        <v>0.1089812</v>
      </c>
      <c r="R3746">
        <v>3.5070700000000002E-3</v>
      </c>
      <c r="S3746">
        <v>-3.036133</v>
      </c>
      <c r="T3746">
        <v>-0.1653105</v>
      </c>
      <c r="U3746">
        <v>3.1311039999999998E-2</v>
      </c>
      <c r="V3746">
        <v>-7.0394890000000003E-3</v>
      </c>
      <c r="W3746">
        <v>0.1228245</v>
      </c>
      <c r="X3746">
        <v>0.99240340000000005</v>
      </c>
      <c r="Y3746">
        <v>-3.862324E-4</v>
      </c>
      <c r="Z3746">
        <v>-5.9344509999999999E-4</v>
      </c>
      <c r="AA3746">
        <v>0.99999979999999999</v>
      </c>
      <c r="AB3746">
        <v>26</v>
      </c>
      <c r="AC3746">
        <v>-20.116800000000001</v>
      </c>
      <c r="AD3746">
        <v>-1.1048174694499</v>
      </c>
      <c r="AE3746">
        <v>0.20709999999999601</v>
      </c>
      <c r="AF3746">
        <v>-8.43595537871724E-3</v>
      </c>
      <c r="AG3746">
        <v>-1.1048174694499</v>
      </c>
      <c r="AH3746">
        <v>20.057373152698599</v>
      </c>
      <c r="AI3746">
        <v>93.152828987610704</v>
      </c>
      <c r="AJ3746">
        <v>90.024098101340599</v>
      </c>
      <c r="AK3746">
        <v>20.087780131033401</v>
      </c>
      <c r="AL3746">
        <v>82.944859024184595</v>
      </c>
      <c r="AM3746">
        <v>90.406413606741793</v>
      </c>
      <c r="AN3746">
        <v>0.99999996026859395</v>
      </c>
    </row>
    <row r="3747" spans="1:40" x14ac:dyDescent="0.3">
      <c r="A3747" t="str">
        <f>"20200111150046475"</f>
        <v>20200111150046475</v>
      </c>
      <c r="B3747" t="str">
        <f>"1578726046471101"</f>
        <v>1578726046471101</v>
      </c>
      <c r="C3747" t="s">
        <v>40</v>
      </c>
      <c r="D3747">
        <v>4.1703000000000001</v>
      </c>
      <c r="E3747">
        <v>0.50201579999999901</v>
      </c>
      <c r="F3747" t="s">
        <v>42</v>
      </c>
      <c r="G3747">
        <v>-279.22379999999998</v>
      </c>
      <c r="H3747" s="1">
        <v>-7.3504450000000001E-7</v>
      </c>
      <c r="I3747">
        <v>141.19370000000001</v>
      </c>
      <c r="J3747">
        <v>-259.90050000000002</v>
      </c>
      <c r="K3747">
        <v>1.1048290000000001</v>
      </c>
      <c r="L3747">
        <v>140.99719999999999</v>
      </c>
      <c r="M3747">
        <v>-0.99984240000000002</v>
      </c>
      <c r="N3747">
        <v>0</v>
      </c>
      <c r="O3747">
        <v>1.101212E-2</v>
      </c>
      <c r="P3747">
        <v>-0.99401980000000001</v>
      </c>
      <c r="Q3747">
        <v>0.10913589999999999</v>
      </c>
      <c r="R3747">
        <v>3.7633739999999999E-3</v>
      </c>
      <c r="S3747">
        <v>-3.0367739999999999</v>
      </c>
      <c r="T3747">
        <v>-0.17212149999999901</v>
      </c>
      <c r="U3747">
        <v>3.0960080000000001E-2</v>
      </c>
      <c r="V3747">
        <v>-7.0828899999999997E-3</v>
      </c>
      <c r="W3747">
        <v>0.1229773</v>
      </c>
      <c r="X3747">
        <v>0.99238419999999905</v>
      </c>
      <c r="Y3747">
        <v>-7.9974470000000004E-4</v>
      </c>
      <c r="Z3747">
        <v>-6.4632779999999998E-4</v>
      </c>
      <c r="AA3747">
        <v>0.99999950000000004</v>
      </c>
      <c r="AB3747">
        <v>26</v>
      </c>
      <c r="AC3747">
        <v>-19.3232999999999</v>
      </c>
      <c r="AD3747">
        <v>-1.1048297350445</v>
      </c>
      <c r="AE3747">
        <v>0.196500000000014</v>
      </c>
      <c r="AF3747">
        <v>-1.62698671486445E-2</v>
      </c>
      <c r="AG3747">
        <v>-1.1048297350445</v>
      </c>
      <c r="AH3747">
        <v>19.261331496431801</v>
      </c>
      <c r="AI3747">
        <v>93.282886767253601</v>
      </c>
      <c r="AJ3747">
        <v>90.048397199296403</v>
      </c>
      <c r="AK3747">
        <v>19.292998845888398</v>
      </c>
      <c r="AL3747">
        <v>82.936037576642505</v>
      </c>
      <c r="AM3747">
        <v>90.408927120272395</v>
      </c>
      <c r="AN3747">
        <v>0.99999999202784096</v>
      </c>
    </row>
    <row r="3748" spans="1:40" x14ac:dyDescent="0.3">
      <c r="A3748" t="str">
        <f>"20200111150046490"</f>
        <v>20200111150046490</v>
      </c>
      <c r="B3748" t="str">
        <f>"1578726046480861"</f>
        <v>1578726046480861</v>
      </c>
      <c r="C3748" t="s">
        <v>40</v>
      </c>
      <c r="D3748">
        <v>4.2408140000000003</v>
      </c>
      <c r="E3748">
        <v>0.50198039999999999</v>
      </c>
      <c r="F3748" t="s">
        <v>42</v>
      </c>
      <c r="G3748">
        <v>-278.80799999999999</v>
      </c>
      <c r="H3748" s="1">
        <v>-9.0928929999999996E-7</v>
      </c>
      <c r="I3748">
        <v>141.1781</v>
      </c>
      <c r="J3748">
        <v>-260.06130000000002</v>
      </c>
      <c r="K3748">
        <v>1.104841</v>
      </c>
      <c r="L3748">
        <v>140.99930000000001</v>
      </c>
      <c r="M3748">
        <v>-0.99983940000000004</v>
      </c>
      <c r="N3748">
        <v>0</v>
      </c>
      <c r="O3748">
        <v>1.128857E-2</v>
      </c>
      <c r="P3748">
        <v>-0.99401810000000002</v>
      </c>
      <c r="Q3748">
        <v>0.109138899999999</v>
      </c>
      <c r="R3748">
        <v>4.0963950000000001E-3</v>
      </c>
      <c r="S3748">
        <v>-3.0374150000000002</v>
      </c>
      <c r="T3748">
        <v>-0.1774868</v>
      </c>
      <c r="U3748">
        <v>2.9067989999999998E-2</v>
      </c>
      <c r="V3748">
        <v>-7.0279979999999997E-3</v>
      </c>
      <c r="W3748">
        <v>0.1229783</v>
      </c>
      <c r="X3748">
        <v>0.9923845</v>
      </c>
      <c r="Y3748">
        <v>-1.6980700000000001E-3</v>
      </c>
      <c r="Z3748">
        <v>-7.0866699999999996E-4</v>
      </c>
      <c r="AA3748">
        <v>0.99999830000000001</v>
      </c>
      <c r="AB3748">
        <v>26</v>
      </c>
      <c r="AC3748">
        <v>-18.746699999999901</v>
      </c>
      <c r="AD3748">
        <v>-1.1048419092893</v>
      </c>
      <c r="AE3748">
        <v>0.17879999999999499</v>
      </c>
      <c r="AF3748">
        <v>-3.2741620084115103E-2</v>
      </c>
      <c r="AG3748">
        <v>-1.1048419092893</v>
      </c>
      <c r="AH3748">
        <v>18.6826381111266</v>
      </c>
      <c r="AI3748">
        <v>93.384374353649704</v>
      </c>
      <c r="AJ3748">
        <v>90.100411661004998</v>
      </c>
      <c r="AK3748">
        <v>18.7153069557923</v>
      </c>
      <c r="AL3748">
        <v>82.935980079809298</v>
      </c>
      <c r="AM3748">
        <v>90.405757941755098</v>
      </c>
      <c r="AN3748">
        <v>1.00000002543351</v>
      </c>
    </row>
    <row r="3749" spans="1:40" x14ac:dyDescent="0.3">
      <c r="A3749" t="str">
        <f>"20200111150046508"</f>
        <v>20200111150046508</v>
      </c>
      <c r="B3749" t="str">
        <f>"1578726046500381"</f>
        <v>1578726046500381</v>
      </c>
      <c r="C3749" t="s">
        <v>40</v>
      </c>
      <c r="D3749">
        <v>4.1928669999999997</v>
      </c>
      <c r="E3749">
        <v>0.5017682</v>
      </c>
      <c r="F3749" t="s">
        <v>42</v>
      </c>
      <c r="G3749">
        <v>-278.88389999999998</v>
      </c>
      <c r="H3749" s="1">
        <v>-8.7885449999999998E-7</v>
      </c>
      <c r="I3749">
        <v>141.18610000000001</v>
      </c>
      <c r="J3749">
        <v>-260.26139999999998</v>
      </c>
      <c r="K3749">
        <v>1.1048519999999999</v>
      </c>
      <c r="L3749">
        <v>141.00190000000001</v>
      </c>
      <c r="M3749">
        <v>-0.99983549999999999</v>
      </c>
      <c r="N3749">
        <v>0</v>
      </c>
      <c r="O3749">
        <v>1.162349E-2</v>
      </c>
      <c r="P3749">
        <v>-0.9940563</v>
      </c>
      <c r="Q3749">
        <v>0.1087933</v>
      </c>
      <c r="R3749">
        <v>4.0347070000000002E-3</v>
      </c>
      <c r="S3749">
        <v>-3.0375369999999999</v>
      </c>
      <c r="T3749">
        <v>-0.17829690000000001</v>
      </c>
      <c r="U3749">
        <v>3.015137E-2</v>
      </c>
      <c r="V3749">
        <v>-7.4262829999999997E-3</v>
      </c>
      <c r="W3749">
        <v>0.1226314</v>
      </c>
      <c r="X3749">
        <v>0.99242450000000004</v>
      </c>
      <c r="Y3749">
        <v>-1.6760529999999901E-3</v>
      </c>
      <c r="Z3749">
        <v>-7.3086199999999998E-4</v>
      </c>
      <c r="AA3749">
        <v>0.99999830000000001</v>
      </c>
      <c r="AB3749">
        <v>26</v>
      </c>
      <c r="AC3749">
        <v>-18.622499999999999</v>
      </c>
      <c r="AD3749">
        <v>-1.1048528788545</v>
      </c>
      <c r="AE3749">
        <v>0.184200000000004</v>
      </c>
      <c r="AF3749">
        <v>-3.2178618627465502E-2</v>
      </c>
      <c r="AG3749">
        <v>-1.1048528788545</v>
      </c>
      <c r="AH3749">
        <v>18.5580664262048</v>
      </c>
      <c r="AI3749">
        <v>93.407072607936399</v>
      </c>
      <c r="AJ3749">
        <v>90.099347483075405</v>
      </c>
      <c r="AK3749">
        <v>18.590953843922101</v>
      </c>
      <c r="AL3749">
        <v>82.956007390050601</v>
      </c>
      <c r="AM3749">
        <v>90.428734610845098</v>
      </c>
      <c r="AN3749">
        <v>0.99999999907270298</v>
      </c>
    </row>
    <row r="3750" spans="1:40" x14ac:dyDescent="0.3">
      <c r="A3750" t="str">
        <f>"20200111150046529"</f>
        <v>20200111150046529</v>
      </c>
      <c r="B3750" t="str">
        <f>"1578726046511117"</f>
        <v>1578726046511117</v>
      </c>
      <c r="C3750" t="s">
        <v>40</v>
      </c>
      <c r="D3750">
        <v>4.1869990000000001</v>
      </c>
      <c r="E3750">
        <v>0.50167289999999998</v>
      </c>
      <c r="F3750" t="s">
        <v>42</v>
      </c>
      <c r="G3750">
        <v>-278.95999999999998</v>
      </c>
      <c r="H3750" s="1">
        <v>-8.4443139999999999E-7</v>
      </c>
      <c r="I3750">
        <v>141.17939999999999</v>
      </c>
      <c r="J3750">
        <v>-260.51650000000001</v>
      </c>
      <c r="K3750">
        <v>1.1048639999999901</v>
      </c>
      <c r="L3750">
        <v>141.00540000000001</v>
      </c>
      <c r="M3750">
        <v>-0.99983069999999996</v>
      </c>
      <c r="N3750">
        <v>0</v>
      </c>
      <c r="O3750">
        <v>1.2035870000000001E-2</v>
      </c>
      <c r="P3750">
        <v>-0.99409309999999995</v>
      </c>
      <c r="Q3750">
        <v>0.1084431</v>
      </c>
      <c r="R3750">
        <v>4.3821060000000002E-3</v>
      </c>
      <c r="S3750">
        <v>-3.037445</v>
      </c>
      <c r="T3750">
        <v>-0.17947539999999901</v>
      </c>
      <c r="U3750">
        <v>2.8839110000000001E-2</v>
      </c>
      <c r="V3750">
        <v>-7.4933369999999897E-3</v>
      </c>
      <c r="W3750">
        <v>0.12227929999999999</v>
      </c>
      <c r="X3750">
        <v>0.99246749999999995</v>
      </c>
      <c r="Y3750">
        <v>-2.5176980000000001E-3</v>
      </c>
      <c r="Z3750">
        <v>-7.8489710000000004E-4</v>
      </c>
      <c r="AA3750">
        <v>0.99999649999999995</v>
      </c>
      <c r="AB3750">
        <v>26</v>
      </c>
      <c r="AC3750">
        <v>-18.443499999999901</v>
      </c>
      <c r="AD3750">
        <v>-1.10486484443139</v>
      </c>
      <c r="AE3750">
        <v>0.17399999999997801</v>
      </c>
      <c r="AF3750">
        <v>-4.7845990063203503E-2</v>
      </c>
      <c r="AG3750">
        <v>-1.10486484443139</v>
      </c>
      <c r="AH3750">
        <v>18.378310719295701</v>
      </c>
      <c r="AI3750">
        <v>93.440347756602804</v>
      </c>
      <c r="AJ3750">
        <v>90.149163170966801</v>
      </c>
      <c r="AK3750">
        <v>18.411553993571601</v>
      </c>
      <c r="AL3750">
        <v>82.976334628833698</v>
      </c>
      <c r="AM3750">
        <v>90.432586887372906</v>
      </c>
      <c r="AN3750">
        <v>1.00000005793206</v>
      </c>
    </row>
    <row r="3751" spans="1:40" x14ac:dyDescent="0.3">
      <c r="A3751" t="str">
        <f>"20200111150046552"</f>
        <v>20200111150046552</v>
      </c>
      <c r="B3751" t="str">
        <f>"1578726046540400"</f>
        <v>1578726046540400</v>
      </c>
      <c r="C3751" t="s">
        <v>40</v>
      </c>
      <c r="D3751">
        <v>4.1019629999999996</v>
      </c>
      <c r="E3751">
        <v>0.50173519999999905</v>
      </c>
      <c r="F3751" t="s">
        <v>42</v>
      </c>
      <c r="G3751">
        <v>-279.1123</v>
      </c>
      <c r="H3751" s="1">
        <v>-7.7964839999999898E-7</v>
      </c>
      <c r="I3751">
        <v>141.1816</v>
      </c>
      <c r="J3751">
        <v>-260.76560000000001</v>
      </c>
      <c r="K3751">
        <v>1.10487</v>
      </c>
      <c r="L3751">
        <v>141.00880000000001</v>
      </c>
      <c r="M3751">
        <v>-0.99982599999999999</v>
      </c>
      <c r="N3751">
        <v>0</v>
      </c>
      <c r="O3751">
        <v>1.242679E-2</v>
      </c>
      <c r="P3751">
        <v>-0.9941352</v>
      </c>
      <c r="Q3751">
        <v>0.10808719999999999</v>
      </c>
      <c r="R3751">
        <v>3.548556E-3</v>
      </c>
      <c r="S3751">
        <v>-3.0374150000000002</v>
      </c>
      <c r="T3751">
        <v>-0.18046760000000001</v>
      </c>
      <c r="U3751">
        <v>2.8793329999999999E-2</v>
      </c>
      <c r="V3751">
        <v>-8.7189499999999996E-3</v>
      </c>
      <c r="W3751">
        <v>0.121922</v>
      </c>
      <c r="X3751">
        <v>0.99250139999999998</v>
      </c>
      <c r="Y3751">
        <v>-2.921973E-3</v>
      </c>
      <c r="Z3751">
        <v>-8.244414E-4</v>
      </c>
      <c r="AA3751">
        <v>0.99999539999999998</v>
      </c>
      <c r="AB3751">
        <v>26</v>
      </c>
      <c r="AC3751">
        <v>-18.346699999999998</v>
      </c>
      <c r="AD3751">
        <v>-1.1048707796483901</v>
      </c>
      <c r="AE3751">
        <v>0.17279999999999501</v>
      </c>
      <c r="AF3751">
        <v>-5.5026455257781298E-2</v>
      </c>
      <c r="AG3751">
        <v>-1.1048707796483901</v>
      </c>
      <c r="AH3751">
        <v>18.281137012400698</v>
      </c>
      <c r="AI3751">
        <v>93.458605308521001</v>
      </c>
      <c r="AJ3751">
        <v>90.172460505282402</v>
      </c>
      <c r="AK3751">
        <v>18.314577194591902</v>
      </c>
      <c r="AL3751">
        <v>82.996960413856002</v>
      </c>
      <c r="AM3751">
        <v>90.503320384772906</v>
      </c>
      <c r="AN3751">
        <v>1.00000001158753</v>
      </c>
    </row>
    <row r="3752" spans="1:40" x14ac:dyDescent="0.3">
      <c r="A3752" t="str">
        <f>"20200111150046574"</f>
        <v>20200111150046574</v>
      </c>
      <c r="B3752" t="str">
        <f>"1578726046570653"</f>
        <v>1578726046570653</v>
      </c>
      <c r="C3752" t="s">
        <v>40</v>
      </c>
      <c r="D3752">
        <v>5.2533849999999997</v>
      </c>
      <c r="E3752">
        <v>0.47913860000000003</v>
      </c>
      <c r="F3752" t="s">
        <v>42</v>
      </c>
      <c r="G3752">
        <v>-279.3021</v>
      </c>
      <c r="H3752" s="1">
        <v>-6.9556500000000005E-7</v>
      </c>
      <c r="I3752">
        <v>141.17150000000001</v>
      </c>
      <c r="J3752">
        <v>-261.02670000000001</v>
      </c>
      <c r="K3752">
        <v>1.104876</v>
      </c>
      <c r="L3752">
        <v>141.01249999999999</v>
      </c>
      <c r="M3752">
        <v>-0.99982090000000001</v>
      </c>
      <c r="N3752">
        <v>0</v>
      </c>
      <c r="O3752">
        <v>1.2828839999999999E-2</v>
      </c>
      <c r="P3752">
        <v>-0.9941103</v>
      </c>
      <c r="Q3752">
        <v>0.1083469</v>
      </c>
      <c r="R3752">
        <v>2.3732649999999998E-3</v>
      </c>
      <c r="S3752">
        <v>-3.0373540000000001</v>
      </c>
      <c r="T3752">
        <v>-0.18104229999999999</v>
      </c>
      <c r="U3752">
        <v>2.6672359999999999E-2</v>
      </c>
      <c r="V3752">
        <v>-1.0295520000000001E-2</v>
      </c>
      <c r="W3752">
        <v>0.1221785</v>
      </c>
      <c r="X3752">
        <v>0.99245479999999997</v>
      </c>
      <c r="Y3752">
        <v>-4.0193E-3</v>
      </c>
      <c r="Z3752">
        <v>-8.8369860000000002E-4</v>
      </c>
      <c r="AA3752">
        <v>0.99999150000000003</v>
      </c>
      <c r="AB3752">
        <v>26</v>
      </c>
      <c r="AC3752">
        <v>-18.275399999999902</v>
      </c>
      <c r="AD3752">
        <v>-1.104876695565</v>
      </c>
      <c r="AE3752">
        <v>0.15900000000001999</v>
      </c>
      <c r="AF3752">
        <v>-7.5213079512264497E-2</v>
      </c>
      <c r="AG3752">
        <v>-1.104876695565</v>
      </c>
      <c r="AH3752">
        <v>18.2093845018872</v>
      </c>
      <c r="AI3752">
        <v>93.472205057989001</v>
      </c>
      <c r="AJ3752">
        <v>90.236656407194502</v>
      </c>
      <c r="AK3752">
        <v>18.243028626226</v>
      </c>
      <c r="AL3752">
        <v>82.982153666787596</v>
      </c>
      <c r="AM3752">
        <v>90.594353198569095</v>
      </c>
      <c r="AN3752">
        <v>1.00000005681867</v>
      </c>
    </row>
    <row r="3753" spans="1:40" x14ac:dyDescent="0.3">
      <c r="A3753" t="str">
        <f>"20200111150046590"</f>
        <v>20200111150046590</v>
      </c>
      <c r="B3753" t="str">
        <f>"1578726046580413"</f>
        <v>1578726046580413</v>
      </c>
      <c r="C3753" t="s">
        <v>40</v>
      </c>
      <c r="D3753">
        <v>4.0992470000000001</v>
      </c>
      <c r="E3753">
        <v>0.47913860000000003</v>
      </c>
      <c r="F3753" t="s">
        <v>46</v>
      </c>
      <c r="G3753">
        <v>0</v>
      </c>
      <c r="H3753">
        <v>0</v>
      </c>
      <c r="I3753">
        <v>0</v>
      </c>
      <c r="J3753">
        <v>-261.20549999999997</v>
      </c>
      <c r="K3753">
        <v>1.104881</v>
      </c>
      <c r="L3753">
        <v>141.01519999999999</v>
      </c>
      <c r="M3753">
        <v>-0.99981739999999997</v>
      </c>
      <c r="N3753">
        <v>0</v>
      </c>
      <c r="O3753">
        <v>1.310184E-2</v>
      </c>
      <c r="P3753">
        <v>-0.99409040000000004</v>
      </c>
      <c r="Q3753">
        <v>0.1085348</v>
      </c>
      <c r="R3753">
        <v>2.242249E-3</v>
      </c>
      <c r="S3753">
        <v>-2.9557799999999999</v>
      </c>
      <c r="T3753">
        <v>0.57229030000000003</v>
      </c>
      <c r="U3753">
        <v>-0.1603088</v>
      </c>
      <c r="V3753">
        <v>-1.069847E-2</v>
      </c>
      <c r="W3753">
        <v>0.122365</v>
      </c>
      <c r="X3753">
        <v>0.99242750000000002</v>
      </c>
      <c r="Y3753">
        <v>-6.5774490000000005E-2</v>
      </c>
      <c r="Z3753">
        <v>8.8164709999999993E-3</v>
      </c>
      <c r="AA3753">
        <v>0.9977956</v>
      </c>
      <c r="AB3753">
        <v>26</v>
      </c>
      <c r="AC3753">
        <v>-2.9557799999999999</v>
      </c>
      <c r="AD3753">
        <v>0.57229030000000003</v>
      </c>
      <c r="AE3753">
        <v>-0.1603088</v>
      </c>
      <c r="AF3753">
        <v>-0.19185387874247001</v>
      </c>
      <c r="AG3753">
        <v>0.57229030000000003</v>
      </c>
      <c r="AH3753">
        <v>2.8470108932282301</v>
      </c>
      <c r="AI3753">
        <v>78.659242785125002</v>
      </c>
      <c r="AJ3753">
        <v>93.855209496475695</v>
      </c>
      <c r="AK3753">
        <v>2.9102912439174999</v>
      </c>
      <c r="AL3753">
        <v>82.971386794950902</v>
      </c>
      <c r="AM3753">
        <v>90.617630441605399</v>
      </c>
      <c r="AN3753">
        <v>0.99999999662079497</v>
      </c>
    </row>
    <row r="3754" spans="1:40" x14ac:dyDescent="0.3">
      <c r="A3754" t="str">
        <f>"20200111150046607"</f>
        <v>20200111150046607</v>
      </c>
      <c r="B3754" t="str">
        <f>"1578726046600909"</f>
        <v>1578726046600909</v>
      </c>
      <c r="C3754" t="s">
        <v>40</v>
      </c>
      <c r="D3754">
        <v>4.1923110000000001</v>
      </c>
      <c r="E3754">
        <v>0.47962389999999999</v>
      </c>
      <c r="F3754" t="s">
        <v>46</v>
      </c>
      <c r="G3754">
        <v>0</v>
      </c>
      <c r="H3754">
        <v>0</v>
      </c>
      <c r="I3754">
        <v>0</v>
      </c>
      <c r="J3754">
        <v>-261.40989999999999</v>
      </c>
      <c r="K3754">
        <v>1.104886</v>
      </c>
      <c r="L3754">
        <v>141.01820000000001</v>
      </c>
      <c r="M3754">
        <v>-0.99981339999999996</v>
      </c>
      <c r="N3754">
        <v>0</v>
      </c>
      <c r="O3754">
        <v>1.3413420000000001E-2</v>
      </c>
      <c r="P3754">
        <v>-0.99407449999999997</v>
      </c>
      <c r="Q3754">
        <v>0.10869040000000001</v>
      </c>
      <c r="R3754">
        <v>1.6324670000000001E-3</v>
      </c>
      <c r="S3754">
        <v>-2.9556580000000001</v>
      </c>
      <c r="T3754">
        <v>0.57285569999999997</v>
      </c>
      <c r="U3754">
        <v>-0.16069029999999901</v>
      </c>
      <c r="V3754">
        <v>-1.16182E-2</v>
      </c>
      <c r="W3754">
        <v>0.1225178</v>
      </c>
      <c r="X3754">
        <v>0.99239829999999996</v>
      </c>
      <c r="Y3754">
        <v>-6.619941E-2</v>
      </c>
      <c r="Z3754">
        <v>8.9259219999999993E-3</v>
      </c>
      <c r="AA3754">
        <v>0.9977665</v>
      </c>
      <c r="AB3754">
        <v>26</v>
      </c>
      <c r="AC3754">
        <v>-2.9556580000000001</v>
      </c>
      <c r="AD3754">
        <v>0.57285569999999997</v>
      </c>
      <c r="AE3754">
        <v>-0.16069029999999901</v>
      </c>
      <c r="AF3754">
        <v>-0.193093013050151</v>
      </c>
      <c r="AG3754">
        <v>0.57285569999999997</v>
      </c>
      <c r="AH3754">
        <v>2.8466186535095601</v>
      </c>
      <c r="AI3754">
        <v>78.647136675736306</v>
      </c>
      <c r="AJ3754">
        <v>93.880566481213293</v>
      </c>
      <c r="AK3754">
        <v>2.9101007410775002</v>
      </c>
      <c r="AL3754">
        <v>82.962565579301398</v>
      </c>
      <c r="AM3754">
        <v>90.670742196933702</v>
      </c>
      <c r="AN3754">
        <v>0.999999989865485</v>
      </c>
    </row>
    <row r="3755" spans="1:40" x14ac:dyDescent="0.3">
      <c r="A3755" t="str">
        <f>"20200111150046622"</f>
        <v>20200111150046622</v>
      </c>
      <c r="B3755" t="str">
        <f>"1578726046600909"</f>
        <v>1578726046600909</v>
      </c>
      <c r="C3755" t="s">
        <v>40</v>
      </c>
      <c r="D3755">
        <v>4.1923110000000001</v>
      </c>
      <c r="E3755">
        <v>0.47962389999999999</v>
      </c>
      <c r="F3755" t="s">
        <v>55</v>
      </c>
      <c r="G3755">
        <v>-316.95690000000002</v>
      </c>
      <c r="H3755" s="1">
        <v>-6.248116E-6</v>
      </c>
      <c r="I3755">
        <v>138.1482</v>
      </c>
      <c r="J3755">
        <v>-261.56610000000001</v>
      </c>
      <c r="K3755">
        <v>1.104887</v>
      </c>
      <c r="L3755">
        <v>141.0206</v>
      </c>
      <c r="M3755">
        <v>-0.99981019999999998</v>
      </c>
      <c r="N3755">
        <v>0</v>
      </c>
      <c r="O3755">
        <v>1.3651699999999999E-2</v>
      </c>
      <c r="P3755">
        <v>-0.99407109999999999</v>
      </c>
      <c r="Q3755">
        <v>0.1087167</v>
      </c>
      <c r="R3755">
        <v>1.8663460000000001E-3</v>
      </c>
      <c r="S3755">
        <v>-3.0247190000000002</v>
      </c>
      <c r="T3755">
        <v>-6.0165169999999997E-2</v>
      </c>
      <c r="U3755">
        <v>-0.15628049999999999</v>
      </c>
      <c r="V3755">
        <v>-1.162147E-2</v>
      </c>
      <c r="W3755">
        <v>0.122542899999999</v>
      </c>
      <c r="X3755">
        <v>0.99239520000000003</v>
      </c>
      <c r="Y3755">
        <v>-6.5213400000000005E-2</v>
      </c>
      <c r="Z3755">
        <v>-9.1947290000000004E-4</v>
      </c>
      <c r="AA3755">
        <v>0.99787090000000001</v>
      </c>
      <c r="AB3755">
        <v>26</v>
      </c>
      <c r="AC3755">
        <v>-55.390799999999999</v>
      </c>
      <c r="AD3755">
        <v>-1.1048932481160001</v>
      </c>
      <c r="AE3755">
        <v>-2.8723999999999901</v>
      </c>
      <c r="AF3755">
        <v>-3.62694465030618</v>
      </c>
      <c r="AG3755">
        <v>-1.1048932481160001</v>
      </c>
      <c r="AH3755">
        <v>55.324466136371797</v>
      </c>
      <c r="AI3755">
        <v>91.141660512462806</v>
      </c>
      <c r="AJ3755">
        <v>93.750812133954099</v>
      </c>
      <c r="AK3755">
        <v>55.454234012027101</v>
      </c>
      <c r="AL3755">
        <v>82.961116798657997</v>
      </c>
      <c r="AM3755">
        <v>90.670933059028897</v>
      </c>
      <c r="AN3755">
        <v>1.0000000269442</v>
      </c>
    </row>
    <row r="3756" spans="1:40" x14ac:dyDescent="0.3">
      <c r="A3756" t="str">
        <f>"20200111150046635"</f>
        <v>20200111150046635</v>
      </c>
      <c r="B3756" t="str">
        <f>"1578726046631165"</f>
        <v>1578726046631165</v>
      </c>
      <c r="C3756" t="s">
        <v>40</v>
      </c>
      <c r="D3756">
        <v>4.035819</v>
      </c>
      <c r="E3756">
        <v>0.48369859999999998</v>
      </c>
      <c r="F3756" t="s">
        <v>55</v>
      </c>
      <c r="G3756">
        <v>-317.22539999999998</v>
      </c>
      <c r="H3756" s="1">
        <v>-6.131887E-6</v>
      </c>
      <c r="I3756">
        <v>138.15710000000001</v>
      </c>
      <c r="J3756">
        <v>-261.72370000000001</v>
      </c>
      <c r="K3756">
        <v>1.104886</v>
      </c>
      <c r="L3756">
        <v>141.023</v>
      </c>
      <c r="M3756">
        <v>-0.99980670000000005</v>
      </c>
      <c r="N3756">
        <v>0</v>
      </c>
      <c r="O3756">
        <v>1.38931E-2</v>
      </c>
      <c r="P3756">
        <v>-0.99402000000000001</v>
      </c>
      <c r="Q3756">
        <v>0.1091805</v>
      </c>
      <c r="R3756">
        <v>1.882136E-3</v>
      </c>
      <c r="S3756">
        <v>-3.02475</v>
      </c>
      <c r="T3756">
        <v>-6.004429E-2</v>
      </c>
      <c r="U3756">
        <v>-0.1556091</v>
      </c>
      <c r="V3756">
        <v>-1.1845090000000001E-2</v>
      </c>
      <c r="W3756">
        <v>0.1230043</v>
      </c>
      <c r="X3756">
        <v>0.99233539999999998</v>
      </c>
      <c r="Y3756">
        <v>-6.5232929999999995E-2</v>
      </c>
      <c r="Z3756">
        <v>-9.2260499999999995E-4</v>
      </c>
      <c r="AA3756">
        <v>0.99786960000000002</v>
      </c>
      <c r="AB3756">
        <v>26</v>
      </c>
      <c r="AC3756">
        <v>-55.5016999999999</v>
      </c>
      <c r="AD3756">
        <v>-1.104892131887</v>
      </c>
      <c r="AE3756">
        <v>-2.8658999999999799</v>
      </c>
      <c r="AF3756">
        <v>-3.6353517777573199</v>
      </c>
      <c r="AG3756">
        <v>-1.104892131887</v>
      </c>
      <c r="AH3756">
        <v>55.434611721264098</v>
      </c>
      <c r="AI3756">
        <v>91.139389950985105</v>
      </c>
      <c r="AJ3756">
        <v>93.752032948689305</v>
      </c>
      <c r="AK3756">
        <v>55.564671742560101</v>
      </c>
      <c r="AL3756">
        <v>82.934478493008697</v>
      </c>
      <c r="AM3756">
        <v>90.683883125401707</v>
      </c>
      <c r="AN3756">
        <v>0.999999955034378</v>
      </c>
    </row>
    <row r="3757" spans="1:40" x14ac:dyDescent="0.3">
      <c r="A3757" t="str">
        <f>"20200111150046652"</f>
        <v>20200111150046652</v>
      </c>
      <c r="B3757" t="str">
        <f>"1578726046640925"</f>
        <v>1578726046640925</v>
      </c>
      <c r="C3757" t="s">
        <v>40</v>
      </c>
      <c r="D3757">
        <v>4.093674</v>
      </c>
      <c r="E3757">
        <v>0.4834059</v>
      </c>
      <c r="F3757" t="s">
        <v>55</v>
      </c>
      <c r="G3757">
        <v>-305.22719999999998</v>
      </c>
      <c r="H3757" s="1">
        <v>-8.6916809999999998E-6</v>
      </c>
      <c r="I3757">
        <v>139.25550000000001</v>
      </c>
      <c r="J3757">
        <v>-261.9083</v>
      </c>
      <c r="K3757">
        <v>1.104892</v>
      </c>
      <c r="L3757">
        <v>141.02590000000001</v>
      </c>
      <c r="M3757">
        <v>-0.99980279999999999</v>
      </c>
      <c r="N3757">
        <v>0</v>
      </c>
      <c r="O3757">
        <v>1.417652E-2</v>
      </c>
      <c r="P3757">
        <v>-0.99401859999999997</v>
      </c>
      <c r="Q3757">
        <v>0.1091983</v>
      </c>
      <c r="R3757">
        <v>1.7061379999999901E-3</v>
      </c>
      <c r="S3757">
        <v>-3.0267330000000001</v>
      </c>
      <c r="T3757">
        <v>-7.6872469999999998E-2</v>
      </c>
      <c r="U3757">
        <v>-0.1229706</v>
      </c>
      <c r="V3757">
        <v>-1.230263E-2</v>
      </c>
      <c r="W3757">
        <v>0.1230204</v>
      </c>
      <c r="X3757">
        <v>0.99232790000000004</v>
      </c>
      <c r="Y3757">
        <v>-5.4734600000000001E-2</v>
      </c>
      <c r="Z3757">
        <v>-1.0545699999999999E-3</v>
      </c>
      <c r="AA3757">
        <v>0.99850039999999995</v>
      </c>
      <c r="AB3757">
        <v>26</v>
      </c>
      <c r="AC3757">
        <v>-43.3188999999999</v>
      </c>
      <c r="AD3757">
        <v>-1.104900691681</v>
      </c>
      <c r="AE3757">
        <v>-1.77039999999999</v>
      </c>
      <c r="AF3757">
        <v>-2.3828450821567602</v>
      </c>
      <c r="AG3757">
        <v>-1.104900691681</v>
      </c>
      <c r="AH3757">
        <v>43.261347970463802</v>
      </c>
      <c r="AI3757">
        <v>91.460810634436001</v>
      </c>
      <c r="AJ3757">
        <v>93.152679169611304</v>
      </c>
      <c r="AK3757">
        <v>43.341008115243397</v>
      </c>
      <c r="AL3757">
        <v>82.933549413711106</v>
      </c>
      <c r="AM3757">
        <v>90.710302173777904</v>
      </c>
      <c r="AN3757">
        <v>1.0000000173197401</v>
      </c>
    </row>
    <row r="3758" spans="1:40" x14ac:dyDescent="0.3">
      <c r="A3758" t="str">
        <f>"20200111150046674"</f>
        <v>20200111150046674</v>
      </c>
      <c r="B3758" t="str">
        <f>"1578726046671182"</f>
        <v>1578726046671182</v>
      </c>
      <c r="C3758" t="s">
        <v>40</v>
      </c>
      <c r="D3758">
        <v>4.2348229999999996</v>
      </c>
      <c r="E3758">
        <v>0.48447669999999998</v>
      </c>
      <c r="F3758" t="s">
        <v>55</v>
      </c>
      <c r="G3758">
        <v>-303.86189999999999</v>
      </c>
      <c r="H3758" s="1">
        <v>-8.5054490000000006E-6</v>
      </c>
      <c r="I3758">
        <v>139.28620000000001</v>
      </c>
      <c r="J3758">
        <v>-262.16140000000001</v>
      </c>
      <c r="K3758">
        <v>1.104895</v>
      </c>
      <c r="L3758">
        <v>141.0299</v>
      </c>
      <c r="M3758">
        <v>-0.9997973</v>
      </c>
      <c r="N3758">
        <v>0</v>
      </c>
      <c r="O3758">
        <v>1.4566630000000001E-2</v>
      </c>
      <c r="P3758">
        <v>-0.9940215</v>
      </c>
      <c r="Q3758">
        <v>0.10917739999999999</v>
      </c>
      <c r="R3758">
        <v>1.449756E-3</v>
      </c>
      <c r="S3758">
        <v>-3.0270079999999999</v>
      </c>
      <c r="T3758">
        <v>-7.9720020000000003E-2</v>
      </c>
      <c r="U3758">
        <v>-0.12551880000000001</v>
      </c>
      <c r="V3758">
        <v>-1.294619E-2</v>
      </c>
      <c r="W3758">
        <v>0.1229972</v>
      </c>
      <c r="X3758">
        <v>0.99232260000000005</v>
      </c>
      <c r="Y3758">
        <v>-5.5957409999999999E-2</v>
      </c>
      <c r="Z3758">
        <v>-1.1198650000000001E-3</v>
      </c>
      <c r="AA3758">
        <v>0.99843249999999995</v>
      </c>
      <c r="AB3758">
        <v>25</v>
      </c>
      <c r="AC3758">
        <v>-41.700499999999899</v>
      </c>
      <c r="AD3758">
        <v>-1.104903505449</v>
      </c>
      <c r="AE3758">
        <v>-1.74369999999998</v>
      </c>
      <c r="AF3758">
        <v>-2.3493629078264102</v>
      </c>
      <c r="AG3758">
        <v>-1.104903505449</v>
      </c>
      <c r="AH3758">
        <v>41.6414892225541</v>
      </c>
      <c r="AI3758">
        <v>91.517501279176798</v>
      </c>
      <c r="AJ3758">
        <v>93.229135904657596</v>
      </c>
      <c r="AK3758">
        <v>41.722343444503601</v>
      </c>
      <c r="AL3758">
        <v>82.934888929217095</v>
      </c>
      <c r="AM3758">
        <v>90.747458505563401</v>
      </c>
      <c r="AN3758">
        <v>1.0000000287570501</v>
      </c>
    </row>
    <row r="3759" spans="1:40" x14ac:dyDescent="0.3">
      <c r="A3759" t="str">
        <f>"20200111150046689"</f>
        <v>20200111150046689</v>
      </c>
      <c r="B3759" t="str">
        <f>"1578726046680941"</f>
        <v>1578726046680941</v>
      </c>
      <c r="C3759" t="s">
        <v>40</v>
      </c>
      <c r="D3759">
        <v>4.0900100000000004</v>
      </c>
      <c r="E3759">
        <v>0.48422270000000001</v>
      </c>
      <c r="F3759" t="s">
        <v>55</v>
      </c>
      <c r="G3759">
        <v>-296.66430000000003</v>
      </c>
      <c r="H3759" s="1">
        <v>-8.3576289999999902E-6</v>
      </c>
      <c r="I3759">
        <v>139.68440000000001</v>
      </c>
      <c r="J3759">
        <v>-262.33359999999999</v>
      </c>
      <c r="K3759">
        <v>1.104897</v>
      </c>
      <c r="L3759">
        <v>141.03270000000001</v>
      </c>
      <c r="M3759">
        <v>-0.99979340000000005</v>
      </c>
      <c r="N3759">
        <v>0</v>
      </c>
      <c r="O3759">
        <v>1.483319E-2</v>
      </c>
      <c r="P3759">
        <v>-0.99402559999999995</v>
      </c>
      <c r="Q3759">
        <v>0.1091367</v>
      </c>
      <c r="R3759">
        <v>1.61327E-3</v>
      </c>
      <c r="S3759">
        <v>-3.0288390000000001</v>
      </c>
      <c r="T3759">
        <v>-9.6993919999999997E-2</v>
      </c>
      <c r="U3759">
        <v>-0.1181183</v>
      </c>
      <c r="V3759">
        <v>-1.3047990000000001E-2</v>
      </c>
      <c r="W3759">
        <v>0.1229546</v>
      </c>
      <c r="X3759">
        <v>0.9923265</v>
      </c>
      <c r="Y3759">
        <v>-5.3752220000000003E-2</v>
      </c>
      <c r="Z3759">
        <v>-1.334895E-3</v>
      </c>
      <c r="AA3759">
        <v>0.99855340000000004</v>
      </c>
      <c r="AB3759">
        <v>25</v>
      </c>
      <c r="AC3759">
        <v>-34.3307</v>
      </c>
      <c r="AD3759">
        <v>-1.104905357629</v>
      </c>
      <c r="AE3759">
        <v>-1.3482999999999901</v>
      </c>
      <c r="AF3759">
        <v>-1.8555155898933799</v>
      </c>
      <c r="AG3759">
        <v>-1.104905357629</v>
      </c>
      <c r="AH3759">
        <v>34.271476305512302</v>
      </c>
      <c r="AI3759">
        <v>91.843865928960597</v>
      </c>
      <c r="AJ3759">
        <v>93.0990644832914</v>
      </c>
      <c r="AK3759">
        <v>34.3394502302082</v>
      </c>
      <c r="AL3759">
        <v>82.937348073835395</v>
      </c>
      <c r="AM3759">
        <v>90.753332373871501</v>
      </c>
      <c r="AN3759">
        <v>0.99999998315322403</v>
      </c>
    </row>
    <row r="3760" spans="1:40" x14ac:dyDescent="0.3">
      <c r="A3760" t="str">
        <f>"20200111150046704"</f>
        <v>20200111150046704</v>
      </c>
      <c r="B3760" t="str">
        <f>"1578726046700461"</f>
        <v>1578726046700461</v>
      </c>
      <c r="C3760" t="s">
        <v>40</v>
      </c>
      <c r="D3760">
        <v>4.0778270000000001</v>
      </c>
      <c r="E3760">
        <v>0.48386630000000003</v>
      </c>
      <c r="F3760" t="s">
        <v>55</v>
      </c>
      <c r="G3760">
        <v>-298.11689999999999</v>
      </c>
      <c r="H3760" s="1">
        <v>-8.2120420000000002E-6</v>
      </c>
      <c r="I3760">
        <v>139.61619999999999</v>
      </c>
      <c r="J3760">
        <v>-262.50700000000001</v>
      </c>
      <c r="K3760">
        <v>1.1048960000000001</v>
      </c>
      <c r="L3760">
        <v>141.03559999999999</v>
      </c>
      <c r="M3760">
        <v>-0.99978940000000005</v>
      </c>
      <c r="N3760">
        <v>0</v>
      </c>
      <c r="O3760">
        <v>1.510213E-2</v>
      </c>
      <c r="P3760">
        <v>-0.99403010000000003</v>
      </c>
      <c r="Q3760">
        <v>0.1090946</v>
      </c>
      <c r="R3760">
        <v>1.576814E-3</v>
      </c>
      <c r="S3760">
        <v>-3.0285639999999998</v>
      </c>
      <c r="T3760">
        <v>-9.351516E-2</v>
      </c>
      <c r="U3760">
        <v>-0.1198883</v>
      </c>
      <c r="V3760">
        <v>-1.335184E-2</v>
      </c>
      <c r="W3760">
        <v>0.12291150000000001</v>
      </c>
      <c r="X3760">
        <v>0.99232779999999998</v>
      </c>
      <c r="Y3760">
        <v>-5.4608959999999998E-2</v>
      </c>
      <c r="Z3760">
        <v>-1.3086619999999999E-3</v>
      </c>
      <c r="AA3760">
        <v>0.99850700000000003</v>
      </c>
      <c r="AB3760">
        <v>25</v>
      </c>
      <c r="AC3760">
        <v>-35.609899999999897</v>
      </c>
      <c r="AD3760">
        <v>-1.1049042120419901</v>
      </c>
      <c r="AE3760">
        <v>-1.41939999999999</v>
      </c>
      <c r="AF3760">
        <v>-1.95519600590686</v>
      </c>
      <c r="AG3760">
        <v>-1.1049042120419901</v>
      </c>
      <c r="AH3760">
        <v>35.550228862562399</v>
      </c>
      <c r="AI3760">
        <v>91.777500237618099</v>
      </c>
      <c r="AJ3760">
        <v>93.147989114704501</v>
      </c>
      <c r="AK3760">
        <v>35.621094549716901</v>
      </c>
      <c r="AL3760">
        <v>82.939836413048596</v>
      </c>
      <c r="AM3760">
        <v>90.7708722063213</v>
      </c>
      <c r="AN3760">
        <v>0.99999998555823699</v>
      </c>
    </row>
    <row r="3761" spans="1:40" x14ac:dyDescent="0.3">
      <c r="A3761" t="str">
        <f>"20200111150047590"</f>
        <v>20200111150047590</v>
      </c>
      <c r="B3761" t="str">
        <f>"1578726047580243"</f>
        <v>1578726047580243</v>
      </c>
      <c r="C3761" t="s">
        <v>40</v>
      </c>
      <c r="D3761">
        <v>5.5886009999999997</v>
      </c>
      <c r="E3761">
        <v>0.48386630000000003</v>
      </c>
      <c r="F3761" t="s">
        <v>55</v>
      </c>
      <c r="G3761">
        <v>-297.00200000000001</v>
      </c>
      <c r="H3761" s="1">
        <v>-8.3146E-6</v>
      </c>
      <c r="I3761">
        <v>139.6337</v>
      </c>
      <c r="J3761">
        <v>-272.40519999999998</v>
      </c>
      <c r="K3761">
        <v>1.104627</v>
      </c>
      <c r="L3761">
        <v>141.27869999999999</v>
      </c>
      <c r="M3761">
        <v>-0.99945550000000005</v>
      </c>
      <c r="N3761">
        <v>0</v>
      </c>
      <c r="O3761">
        <v>3.0728220000000001E-2</v>
      </c>
      <c r="P3761">
        <v>-0.99494559999999999</v>
      </c>
      <c r="Q3761">
        <v>0.1004126</v>
      </c>
      <c r="R3761">
        <v>1.0305570000000001E-3</v>
      </c>
      <c r="S3761">
        <v>-3.02887</v>
      </c>
      <c r="T3761">
        <v>-9.7017049999999994E-2</v>
      </c>
      <c r="U3761">
        <v>-0.1230927</v>
      </c>
      <c r="V3761">
        <v>-2.9467340000000002E-2</v>
      </c>
      <c r="W3761">
        <v>0.1123884</v>
      </c>
      <c r="X3761">
        <v>0.99322730000000004</v>
      </c>
      <c r="Y3761">
        <v>-7.1239990000000003E-2</v>
      </c>
      <c r="Z3761">
        <v>-2.1238730000000001E-3</v>
      </c>
      <c r="AA3761">
        <v>0.99745700000000004</v>
      </c>
      <c r="AB3761">
        <v>25</v>
      </c>
      <c r="AC3761">
        <v>-24.596800000000002</v>
      </c>
      <c r="AD3761">
        <v>-1.1046353145999901</v>
      </c>
      <c r="AE3761">
        <v>-1.64499999999998</v>
      </c>
      <c r="AF3761">
        <v>-2.39528407305081</v>
      </c>
      <c r="AG3761">
        <v>-1.1046353145999901</v>
      </c>
      <c r="AH3761">
        <v>24.485467153086599</v>
      </c>
      <c r="AI3761">
        <v>92.570830390683497</v>
      </c>
      <c r="AJ3761">
        <v>95.587166628521999</v>
      </c>
      <c r="AK3761">
        <v>24.627133545619099</v>
      </c>
      <c r="AL3761">
        <v>83.546985067453406</v>
      </c>
      <c r="AM3761">
        <v>91.699368422658196</v>
      </c>
      <c r="AN3761">
        <v>0.99999997302326205</v>
      </c>
    </row>
    <row r="3762" spans="1:40" x14ac:dyDescent="0.3">
      <c r="A3762" t="str">
        <f>"20200111150047634"</f>
        <v>20200111150047634</v>
      </c>
      <c r="B3762" t="str">
        <f>"1578726047630996"</f>
        <v>1578726047630996</v>
      </c>
      <c r="C3762" t="s">
        <v>40</v>
      </c>
      <c r="D3762">
        <v>4.7469830000000002</v>
      </c>
      <c r="E3762">
        <v>0.52638799999999997</v>
      </c>
      <c r="F3762" t="s">
        <v>55</v>
      </c>
      <c r="G3762">
        <v>-299.86110000000002</v>
      </c>
      <c r="H3762" s="1">
        <v>-8.1860609999999994E-6</v>
      </c>
      <c r="I3762">
        <v>140.09870000000001</v>
      </c>
      <c r="J3762">
        <v>-272.89569999999998</v>
      </c>
      <c r="K3762">
        <v>1.104625</v>
      </c>
      <c r="L3762">
        <v>141.29480000000001</v>
      </c>
      <c r="M3762">
        <v>-0.99943119999999996</v>
      </c>
      <c r="N3762">
        <v>0</v>
      </c>
      <c r="O3762">
        <v>3.1510339999999998E-2</v>
      </c>
      <c r="P3762">
        <v>-0.99490829999999997</v>
      </c>
      <c r="Q3762">
        <v>0.1007173</v>
      </c>
      <c r="R3762">
        <v>3.6641529999999999E-3</v>
      </c>
      <c r="S3762">
        <v>-3.0276489999999998</v>
      </c>
      <c r="T3762">
        <v>-0.1218115</v>
      </c>
      <c r="U3762">
        <v>-0.13012699999999999</v>
      </c>
      <c r="V3762">
        <v>-2.76122E-2</v>
      </c>
      <c r="W3762">
        <v>0.1126793</v>
      </c>
      <c r="X3762">
        <v>0.99324769999999896</v>
      </c>
      <c r="Y3762">
        <v>-7.4316640000000003E-2</v>
      </c>
      <c r="Z3762">
        <v>-2.7605080000000001E-3</v>
      </c>
      <c r="AA3762">
        <v>0.99723090000000003</v>
      </c>
      <c r="AB3762">
        <v>25</v>
      </c>
      <c r="AC3762">
        <v>-26.965399999999999</v>
      </c>
      <c r="AD3762">
        <v>-1.1046331860609999</v>
      </c>
      <c r="AE3762">
        <v>-1.1960999999999999</v>
      </c>
      <c r="AF3762">
        <v>-2.0418365139860599</v>
      </c>
      <c r="AG3762">
        <v>-1.1046331860609999</v>
      </c>
      <c r="AH3762">
        <v>26.8693141768515</v>
      </c>
      <c r="AI3762">
        <v>92.347419427740107</v>
      </c>
      <c r="AJ3762">
        <v>94.345633831094105</v>
      </c>
      <c r="AK3762">
        <v>26.9694151801618</v>
      </c>
      <c r="AL3762">
        <v>83.530211518633095</v>
      </c>
      <c r="AM3762">
        <v>91.592407567711703</v>
      </c>
      <c r="AN3762">
        <v>1.0000000258963</v>
      </c>
    </row>
    <row r="3763" spans="1:40" x14ac:dyDescent="0.3">
      <c r="A3763" t="str">
        <f>"20200111150047657"</f>
        <v>20200111150047657</v>
      </c>
      <c r="B3763" t="str">
        <f>"1578726047650515"</f>
        <v>1578726047650515</v>
      </c>
      <c r="C3763" t="s">
        <v>40</v>
      </c>
      <c r="D3763">
        <v>6.0646690000000003</v>
      </c>
      <c r="E3763">
        <v>0.52638799999999997</v>
      </c>
      <c r="F3763" t="s">
        <v>41</v>
      </c>
      <c r="G3763">
        <v>-273.66109999999998</v>
      </c>
      <c r="H3763">
        <v>0.9862919</v>
      </c>
      <c r="I3763">
        <v>141.3484</v>
      </c>
      <c r="J3763">
        <v>-273.15179999999998</v>
      </c>
      <c r="K3763">
        <v>1.104619</v>
      </c>
      <c r="L3763">
        <v>141.30340000000001</v>
      </c>
      <c r="M3763">
        <v>-0.99941849999999999</v>
      </c>
      <c r="N3763">
        <v>0</v>
      </c>
      <c r="O3763">
        <v>3.1918290000000002E-2</v>
      </c>
      <c r="P3763">
        <v>-0.99492259999999999</v>
      </c>
      <c r="Q3763">
        <v>0.1005837</v>
      </c>
      <c r="R3763">
        <v>3.4613859999999999E-3</v>
      </c>
      <c r="S3763">
        <v>-3.0624690000000001</v>
      </c>
      <c r="T3763">
        <v>-0.47347309999999998</v>
      </c>
      <c r="U3763">
        <v>0.2132568</v>
      </c>
      <c r="V3763">
        <v>-2.8221710000000001E-2</v>
      </c>
      <c r="W3763">
        <v>0.1125405</v>
      </c>
      <c r="X3763">
        <v>0.99324630000000003</v>
      </c>
      <c r="Y3763">
        <v>3.7522189999999997E-2</v>
      </c>
      <c r="Z3763">
        <v>-2.0181259999999999E-3</v>
      </c>
      <c r="AA3763">
        <v>0.99929369999999995</v>
      </c>
      <c r="AB3763">
        <v>25</v>
      </c>
      <c r="AC3763">
        <v>-0.50929999999999598</v>
      </c>
      <c r="AD3763">
        <v>-0.1183271</v>
      </c>
      <c r="AE3763">
        <v>4.4999999999987397E-2</v>
      </c>
      <c r="AF3763">
        <v>2.7259864548445201E-2</v>
      </c>
      <c r="AG3763">
        <v>-0.1183271</v>
      </c>
      <c r="AH3763">
        <v>0.48452551354055601</v>
      </c>
      <c r="AI3763">
        <v>103.70286688546101</v>
      </c>
      <c r="AJ3763">
        <v>86.779879828267397</v>
      </c>
      <c r="AK3763">
        <v>0.49950913513303102</v>
      </c>
      <c r="AL3763">
        <v>83.5382150477474</v>
      </c>
      <c r="AM3763">
        <v>91.627541865352995</v>
      </c>
      <c r="AN3763">
        <v>1.00000002075963</v>
      </c>
    </row>
    <row r="3764" spans="1:40" x14ac:dyDescent="0.3">
      <c r="A3764" t="str">
        <f>"20200111150047679"</f>
        <v>20200111150047679</v>
      </c>
      <c r="B3764" t="str">
        <f>"1578726047671014"</f>
        <v>1578726047671014</v>
      </c>
      <c r="C3764" t="s">
        <v>40</v>
      </c>
      <c r="D3764">
        <v>4.0065</v>
      </c>
      <c r="E3764">
        <v>0.52638799999999997</v>
      </c>
      <c r="F3764" t="s">
        <v>41</v>
      </c>
      <c r="G3764">
        <v>-273.88619999999997</v>
      </c>
      <c r="H3764">
        <v>0.99108289999999999</v>
      </c>
      <c r="I3764">
        <v>141.35489999999999</v>
      </c>
      <c r="J3764">
        <v>-273.4006</v>
      </c>
      <c r="K3764">
        <v>1.104616</v>
      </c>
      <c r="L3764">
        <v>141.31180000000001</v>
      </c>
      <c r="M3764">
        <v>-0.99940560000000001</v>
      </c>
      <c r="N3764">
        <v>0</v>
      </c>
      <c r="O3764">
        <v>3.2314849999999999E-2</v>
      </c>
      <c r="P3764">
        <v>-0.99500230000000001</v>
      </c>
      <c r="Q3764">
        <v>9.979789E-2</v>
      </c>
      <c r="R3764">
        <v>3.3535629999999999E-3</v>
      </c>
      <c r="S3764">
        <v>-3.0624389999999999</v>
      </c>
      <c r="T3764">
        <v>-0.47345969999999998</v>
      </c>
      <c r="U3764">
        <v>0.21434020000000001</v>
      </c>
      <c r="V3764">
        <v>-2.8726789999999999E-2</v>
      </c>
      <c r="W3764">
        <v>0.11175209999999999</v>
      </c>
      <c r="X3764">
        <v>0.9933208</v>
      </c>
      <c r="Y3764">
        <v>3.7483309999999999E-2</v>
      </c>
      <c r="Z3764">
        <v>-2.081865E-3</v>
      </c>
      <c r="AA3764">
        <v>0.99929509999999999</v>
      </c>
      <c r="AB3764">
        <v>25</v>
      </c>
      <c r="AC3764">
        <v>-0.485599999999976</v>
      </c>
      <c r="AD3764">
        <v>-0.1135331</v>
      </c>
      <c r="AE3764">
        <v>4.3099999999981202E-2</v>
      </c>
      <c r="AF3764">
        <v>2.59754837157932E-2</v>
      </c>
      <c r="AG3764">
        <v>-0.1135331</v>
      </c>
      <c r="AH3764">
        <v>0.46169897021677297</v>
      </c>
      <c r="AI3764">
        <v>103.794112960967</v>
      </c>
      <c r="AJ3764">
        <v>86.779896884110599</v>
      </c>
      <c r="AK3764">
        <v>0.47616218838659202</v>
      </c>
      <c r="AL3764">
        <v>83.583673583933304</v>
      </c>
      <c r="AM3764">
        <v>91.656529484208406</v>
      </c>
      <c r="AN3764">
        <v>0.99999998601537698</v>
      </c>
    </row>
    <row r="3765" spans="1:40" x14ac:dyDescent="0.3">
      <c r="A3765" t="str">
        <f>"20200111150047702"</f>
        <v>20200111150047702</v>
      </c>
      <c r="B3765" t="str">
        <f>"1578726047690531"</f>
        <v>1578726047690531</v>
      </c>
      <c r="C3765" t="s">
        <v>40</v>
      </c>
      <c r="D3765">
        <v>4.1336139999999997</v>
      </c>
      <c r="E3765">
        <v>0.52800919999999996</v>
      </c>
      <c r="F3765" t="s">
        <v>41</v>
      </c>
      <c r="G3765">
        <v>-274.1105</v>
      </c>
      <c r="H3765">
        <v>0.99419020000000002</v>
      </c>
      <c r="I3765">
        <v>141.3612</v>
      </c>
      <c r="J3765">
        <v>-273.63900000000001</v>
      </c>
      <c r="K3765">
        <v>1.1046149999999999</v>
      </c>
      <c r="L3765">
        <v>141.31989999999999</v>
      </c>
      <c r="M3765">
        <v>-0.99939330000000004</v>
      </c>
      <c r="N3765">
        <v>0</v>
      </c>
      <c r="O3765">
        <v>3.2696549999999998E-2</v>
      </c>
      <c r="P3765">
        <v>-0.99503580000000003</v>
      </c>
      <c r="Q3765">
        <v>9.9448170000000002E-2</v>
      </c>
      <c r="R3765">
        <v>3.7761240000000001E-3</v>
      </c>
      <c r="S3765">
        <v>-3.0621339999999999</v>
      </c>
      <c r="T3765">
        <v>-0.4763097</v>
      </c>
      <c r="U3765">
        <v>0.21235660000000001</v>
      </c>
      <c r="V3765">
        <v>-2.8685760000000001E-2</v>
      </c>
      <c r="W3765">
        <v>0.11140419999999999</v>
      </c>
      <c r="X3765">
        <v>0.9933611</v>
      </c>
      <c r="Y3765">
        <v>3.6480169999999999E-2</v>
      </c>
      <c r="Z3765">
        <v>-2.2308689999999999E-3</v>
      </c>
      <c r="AA3765">
        <v>0.99933190000000005</v>
      </c>
      <c r="AB3765">
        <v>25</v>
      </c>
      <c r="AC3765">
        <v>-0.47149999999999098</v>
      </c>
      <c r="AD3765">
        <v>-0.110424799999999</v>
      </c>
      <c r="AE3765">
        <v>4.1300000000006699E-2</v>
      </c>
      <c r="AF3765">
        <v>2.4525425432384101E-2</v>
      </c>
      <c r="AG3765">
        <v>-0.110424799999999</v>
      </c>
      <c r="AH3765">
        <v>0.44820201329961101</v>
      </c>
      <c r="AI3765">
        <v>103.82059944786999</v>
      </c>
      <c r="AJ3765">
        <v>86.867922635601403</v>
      </c>
      <c r="AK3765">
        <v>0.46225553287495003</v>
      </c>
      <c r="AL3765">
        <v>83.603732267608393</v>
      </c>
      <c r="AM3765">
        <v>91.654097734847099</v>
      </c>
      <c r="AN3765">
        <v>1.0000000217988101</v>
      </c>
    </row>
    <row r="3766" spans="1:40" x14ac:dyDescent="0.3">
      <c r="A3766" t="str">
        <f>"20200111150047793"</f>
        <v>20200111150047793</v>
      </c>
      <c r="B3766" t="str">
        <f>"1578726047780323"</f>
        <v>1578726047780323</v>
      </c>
      <c r="C3766" t="s">
        <v>40</v>
      </c>
      <c r="D3766">
        <v>4.1026339999999903</v>
      </c>
      <c r="E3766">
        <v>0.52674600000000005</v>
      </c>
      <c r="F3766" t="s">
        <v>72</v>
      </c>
      <c r="G3766">
        <v>-511.92540000000002</v>
      </c>
      <c r="H3766">
        <v>0.54720029999999997</v>
      </c>
      <c r="I3766">
        <v>159.57689999999999</v>
      </c>
      <c r="J3766">
        <v>-274.65370000000001</v>
      </c>
      <c r="K3766">
        <v>1.1046320000000001</v>
      </c>
      <c r="L3766">
        <v>141.35570000000001</v>
      </c>
      <c r="M3766">
        <v>-0.9993377</v>
      </c>
      <c r="N3766">
        <v>0</v>
      </c>
      <c r="O3766">
        <v>3.4301110000000003E-2</v>
      </c>
      <c r="P3766">
        <v>-0.99504919999999997</v>
      </c>
      <c r="Q3766">
        <v>9.8958459999999998E-2</v>
      </c>
      <c r="R3766">
        <v>9.1939269999999993E-3</v>
      </c>
      <c r="S3766">
        <v>-3.0148009999999998</v>
      </c>
      <c r="T3766">
        <v>-7.0518259999999998E-3</v>
      </c>
      <c r="U3766">
        <v>0.23098750000000001</v>
      </c>
      <c r="V3766">
        <v>-2.486824E-2</v>
      </c>
      <c r="W3766">
        <v>0.11106779999999999</v>
      </c>
      <c r="X3766">
        <v>0.99350170000000004</v>
      </c>
      <c r="Y3766">
        <v>4.214557E-2</v>
      </c>
      <c r="Z3766" s="1">
        <v>-3.0864500000000002E-5</v>
      </c>
      <c r="AA3766">
        <v>0.99911150000000004</v>
      </c>
      <c r="AB3766">
        <v>25</v>
      </c>
      <c r="AC3766">
        <v>-237.27170000000001</v>
      </c>
      <c r="AD3766">
        <v>-0.55743169999999898</v>
      </c>
      <c r="AE3766">
        <v>18.2211999999999</v>
      </c>
      <c r="AF3766">
        <v>10.071137414300001</v>
      </c>
      <c r="AG3766">
        <v>-0.55743169999999898</v>
      </c>
      <c r="AH3766">
        <v>237.75580431700601</v>
      </c>
      <c r="AI3766">
        <v>90.134212539684796</v>
      </c>
      <c r="AJ3766">
        <v>87.574448632927798</v>
      </c>
      <c r="AK3766">
        <v>237.96966408629601</v>
      </c>
      <c r="AL3766">
        <v>83.623127154092003</v>
      </c>
      <c r="AM3766">
        <v>91.433865418427104</v>
      </c>
      <c r="AN3766">
        <v>1.0000000567302101</v>
      </c>
    </row>
    <row r="3767" spans="1:40" x14ac:dyDescent="0.3">
      <c r="A3767" t="str">
        <f>"20200111150047950"</f>
        <v>20200111150047950</v>
      </c>
      <c r="B3767" t="str">
        <f>"1578726047940601"</f>
        <v>1578726047940601</v>
      </c>
      <c r="C3767" t="s">
        <v>40</v>
      </c>
      <c r="D3767">
        <v>4.2745499999999996</v>
      </c>
      <c r="E3767">
        <v>0.52505729999999995</v>
      </c>
      <c r="F3767" t="s">
        <v>55</v>
      </c>
      <c r="G3767">
        <v>-313.13049999999998</v>
      </c>
      <c r="H3767" s="1">
        <v>-9.550566E-6</v>
      </c>
      <c r="I3767">
        <v>144.3836</v>
      </c>
      <c r="J3767">
        <v>-276.39949999999999</v>
      </c>
      <c r="K3767">
        <v>1.1047400000000001</v>
      </c>
      <c r="L3767">
        <v>141.4211</v>
      </c>
      <c r="M3767">
        <v>-0.9992219</v>
      </c>
      <c r="N3767">
        <v>0</v>
      </c>
      <c r="O3767">
        <v>3.720979E-2</v>
      </c>
      <c r="P3767">
        <v>-0.99524100000000004</v>
      </c>
      <c r="Q3767">
        <v>9.6914669999999994E-2</v>
      </c>
      <c r="R3767">
        <v>1.014994E-2</v>
      </c>
      <c r="S3767">
        <v>-3.0213930000000002</v>
      </c>
      <c r="T3767">
        <v>-8.674192E-2</v>
      </c>
      <c r="U3767">
        <v>0.23776249999999999</v>
      </c>
      <c r="V3767">
        <v>-2.6811539999999998E-2</v>
      </c>
      <c r="W3767">
        <v>0.10993849999999999</v>
      </c>
      <c r="X3767">
        <v>0.99357669999999998</v>
      </c>
      <c r="Y3767">
        <v>4.129617E-2</v>
      </c>
      <c r="Z3767">
        <v>-4.7416E-4</v>
      </c>
      <c r="AA3767">
        <v>0.9991468</v>
      </c>
      <c r="AB3767">
        <v>25</v>
      </c>
      <c r="AC3767">
        <v>-36.731000000000002</v>
      </c>
      <c r="AD3767">
        <v>-1.1047495505660001</v>
      </c>
      <c r="AE3767">
        <v>2.9624999999999999</v>
      </c>
      <c r="AF3767">
        <v>1.5921473933097801</v>
      </c>
      <c r="AG3767">
        <v>-1.1047495505660001</v>
      </c>
      <c r="AH3767">
        <v>36.782742932001803</v>
      </c>
      <c r="AI3767">
        <v>91.718721831642796</v>
      </c>
      <c r="AJ3767">
        <v>87.521489413341499</v>
      </c>
      <c r="AK3767">
        <v>36.833756019352997</v>
      </c>
      <c r="AL3767">
        <v>83.6882295949585</v>
      </c>
      <c r="AM3767">
        <v>91.545744149963497</v>
      </c>
      <c r="AN3767">
        <v>0.99999999562115505</v>
      </c>
    </row>
    <row r="3768" spans="1:40" x14ac:dyDescent="0.3">
      <c r="A3768" t="str">
        <f>"20200111150048008"</f>
        <v>20200111150048008</v>
      </c>
      <c r="B3768" t="str">
        <f>"1578726048001114"</f>
        <v>1578726048001114</v>
      </c>
      <c r="C3768" t="s">
        <v>40</v>
      </c>
      <c r="D3768">
        <v>4.3454879999999996</v>
      </c>
      <c r="E3768">
        <v>0.51700990000000002</v>
      </c>
      <c r="F3768" t="s">
        <v>55</v>
      </c>
      <c r="G3768">
        <v>-310.62900000000002</v>
      </c>
      <c r="H3768" s="1">
        <v>-1.0491859999999999E-5</v>
      </c>
      <c r="I3768">
        <v>143.9966</v>
      </c>
      <c r="J3768">
        <v>-277.05</v>
      </c>
      <c r="K3768">
        <v>1.104749</v>
      </c>
      <c r="L3768">
        <v>141.4469</v>
      </c>
      <c r="M3768">
        <v>-0.9991757</v>
      </c>
      <c r="N3768">
        <v>0</v>
      </c>
      <c r="O3768">
        <v>3.8353600000000002E-2</v>
      </c>
      <c r="P3768">
        <v>-0.99532770000000004</v>
      </c>
      <c r="Q3768">
        <v>9.5816120000000005E-2</v>
      </c>
      <c r="R3768">
        <v>1.191068E-2</v>
      </c>
      <c r="S3768">
        <v>-3.021515</v>
      </c>
      <c r="T3768">
        <v>-9.7518919999999995E-2</v>
      </c>
      <c r="U3768">
        <v>0.22734070000000001</v>
      </c>
      <c r="V3768">
        <v>-2.6196259999999999E-2</v>
      </c>
      <c r="W3768">
        <v>0.1090687</v>
      </c>
      <c r="X3768">
        <v>0.99368889999999999</v>
      </c>
      <c r="Y3768">
        <v>3.6725309999999997E-2</v>
      </c>
      <c r="Z3768">
        <v>-6.4356419999999997E-4</v>
      </c>
      <c r="AA3768">
        <v>0.99932520000000002</v>
      </c>
      <c r="AB3768">
        <v>25</v>
      </c>
      <c r="AC3768">
        <v>-33.579000000000001</v>
      </c>
      <c r="AD3768">
        <v>-1.1047594918600001</v>
      </c>
      <c r="AE3768">
        <v>2.5497000000000001</v>
      </c>
      <c r="AF3768">
        <v>1.2584797911499901</v>
      </c>
      <c r="AG3768">
        <v>-1.1047594918600001</v>
      </c>
      <c r="AH3768">
        <v>33.615909738792404</v>
      </c>
      <c r="AI3768">
        <v>91.880984935396199</v>
      </c>
      <c r="AJ3768">
        <v>87.856017480355405</v>
      </c>
      <c r="AK3768">
        <v>33.6575942765704</v>
      </c>
      <c r="AL3768">
        <v>83.738366544839295</v>
      </c>
      <c r="AM3768">
        <v>91.510118077187798</v>
      </c>
      <c r="AN3768">
        <v>0.99999992767044099</v>
      </c>
    </row>
    <row r="3769" spans="1:40" x14ac:dyDescent="0.3">
      <c r="A3769" t="str">
        <f>"20200111150050280"</f>
        <v>20200111150050280</v>
      </c>
      <c r="B3769" t="str">
        <f>"1578726050270668"</f>
        <v>1578726050270668</v>
      </c>
      <c r="C3769" t="s">
        <v>40</v>
      </c>
      <c r="D3769">
        <v>4.0841029999999998</v>
      </c>
      <c r="E3769">
        <v>0.59909999999999997</v>
      </c>
      <c r="F3769" t="s">
        <v>55</v>
      </c>
      <c r="G3769">
        <v>-310.86849999999998</v>
      </c>
      <c r="H3769" s="1">
        <v>-1.0189979999999999E-5</v>
      </c>
      <c r="I3769">
        <v>143.33879999999999</v>
      </c>
      <c r="J3769">
        <v>-300.52229999999997</v>
      </c>
      <c r="K3769">
        <v>1.1043909999999999</v>
      </c>
      <c r="L3769">
        <v>141.48140000000001</v>
      </c>
      <c r="M3769">
        <v>-0.99968140000000005</v>
      </c>
      <c r="N3769">
        <v>0</v>
      </c>
      <c r="O3769">
        <v>-2.3126009999999999E-2</v>
      </c>
      <c r="P3769">
        <v>-0.99486640000000004</v>
      </c>
      <c r="Q3769">
        <v>9.3725000000000003E-2</v>
      </c>
      <c r="R3769">
        <v>-3.8167369999999999E-2</v>
      </c>
      <c r="S3769">
        <v>-3.0215450000000001</v>
      </c>
      <c r="T3769">
        <v>-9.8705769999999998E-2</v>
      </c>
      <c r="U3769">
        <v>0.16903689999999999</v>
      </c>
      <c r="V3769">
        <v>-1.507031E-2</v>
      </c>
      <c r="W3769">
        <v>0.1038092</v>
      </c>
      <c r="X3769">
        <v>0.99448309999999995</v>
      </c>
      <c r="Y3769">
        <v>7.8878390000000007E-2</v>
      </c>
      <c r="Z3769">
        <v>2.0418070000000001E-3</v>
      </c>
      <c r="AA3769">
        <v>0.99688209999999999</v>
      </c>
      <c r="AB3769">
        <v>23</v>
      </c>
      <c r="AC3769">
        <v>-10.3462</v>
      </c>
      <c r="AD3769">
        <v>-1.1044011899799999</v>
      </c>
      <c r="AE3769">
        <v>1.85739999999998</v>
      </c>
      <c r="AF3769">
        <v>2.07329538802666</v>
      </c>
      <c r="AG3769">
        <v>-1.1044011899799999</v>
      </c>
      <c r="AH3769">
        <v>10.1880143621051</v>
      </c>
      <c r="AI3769">
        <v>96.063491480712898</v>
      </c>
      <c r="AJ3769">
        <v>78.497189494696002</v>
      </c>
      <c r="AK3769">
        <v>10.455328421283699</v>
      </c>
      <c r="AL3769">
        <v>84.041436479035198</v>
      </c>
      <c r="AM3769">
        <v>90.868188783069499</v>
      </c>
      <c r="AN3769">
        <v>1.00000005021687</v>
      </c>
    </row>
    <row r="3770" spans="1:40" x14ac:dyDescent="0.3">
      <c r="A3770" t="str">
        <f>"20200111150050303"</f>
        <v>20200111150050303</v>
      </c>
      <c r="B3770" t="str">
        <f>"1578726050300926"</f>
        <v>1578726050300926</v>
      </c>
      <c r="C3770" t="s">
        <v>40</v>
      </c>
      <c r="D3770">
        <v>4.4352410000000004</v>
      </c>
      <c r="E3770">
        <v>0.60178830000000005</v>
      </c>
      <c r="F3770" t="s">
        <v>82</v>
      </c>
      <c r="G3770">
        <v>-446.74020000000002</v>
      </c>
      <c r="H3770">
        <v>5.9684439999999999</v>
      </c>
      <c r="I3770">
        <v>173.94130000000001</v>
      </c>
      <c r="J3770">
        <v>-300.76249999999999</v>
      </c>
      <c r="K3770">
        <v>1.1043590000000001</v>
      </c>
      <c r="L3770">
        <v>141.47640000000001</v>
      </c>
      <c r="M3770">
        <v>-0.99969220000000003</v>
      </c>
      <c r="N3770">
        <v>0</v>
      </c>
      <c r="O3770">
        <v>-2.2635809999999999E-2</v>
      </c>
      <c r="P3770">
        <v>-0.99492530000000001</v>
      </c>
      <c r="Q3770">
        <v>9.2930840000000001E-2</v>
      </c>
      <c r="R3770">
        <v>-3.8567730000000001E-2</v>
      </c>
      <c r="S3770">
        <v>-3.0317989999999999</v>
      </c>
      <c r="T3770">
        <v>0.1008556</v>
      </c>
      <c r="U3770">
        <v>0.67304989999999998</v>
      </c>
      <c r="V3770">
        <v>-1.5951219999999999E-2</v>
      </c>
      <c r="W3770">
        <v>0.1030513</v>
      </c>
      <c r="X3770">
        <v>0.99454810000000005</v>
      </c>
      <c r="Y3770">
        <v>0.23862639999999999</v>
      </c>
      <c r="Z3770">
        <v>-4.664484E-3</v>
      </c>
      <c r="AA3770">
        <v>0.97110030000000003</v>
      </c>
      <c r="AB3770">
        <v>23</v>
      </c>
      <c r="AC3770">
        <v>-145.9777</v>
      </c>
      <c r="AD3770">
        <v>4.8640849999999904</v>
      </c>
      <c r="AE3770">
        <v>32.4649</v>
      </c>
      <c r="AF3770">
        <v>35.723281480872302</v>
      </c>
      <c r="AG3770">
        <v>4.8640849999999904</v>
      </c>
      <c r="AH3770">
        <v>145.05192907649101</v>
      </c>
      <c r="AI3770">
        <v>88.135080402128295</v>
      </c>
      <c r="AJ3770">
        <v>76.164574161675304</v>
      </c>
      <c r="AK3770">
        <v>149.46529460533699</v>
      </c>
      <c r="AL3770">
        <v>84.085094612287605</v>
      </c>
      <c r="AM3770">
        <v>90.918868810354098</v>
      </c>
      <c r="AN3770">
        <v>0.99999996753239295</v>
      </c>
    </row>
    <row r="3771" spans="1:40" x14ac:dyDescent="0.3">
      <c r="A3771" t="str">
        <f>"20200111150050348"</f>
        <v>20200111150050348</v>
      </c>
      <c r="B3771" t="str">
        <f>"1578726050340940"</f>
        <v>1578726050340940</v>
      </c>
      <c r="C3771" t="s">
        <v>40</v>
      </c>
      <c r="D3771">
        <v>4.4855229999999997</v>
      </c>
      <c r="E3771">
        <v>0.50810059999999901</v>
      </c>
      <c r="F3771" t="s">
        <v>82</v>
      </c>
      <c r="G3771">
        <v>-443.68939999999998</v>
      </c>
      <c r="H3771">
        <v>3.3181729999999998</v>
      </c>
      <c r="I3771">
        <v>174.06599999999901</v>
      </c>
      <c r="J3771">
        <v>-301.2355</v>
      </c>
      <c r="K3771">
        <v>1.1043160000000001</v>
      </c>
      <c r="L3771">
        <v>141.46690000000001</v>
      </c>
      <c r="M3771">
        <v>-0.99971489999999996</v>
      </c>
      <c r="N3771">
        <v>0</v>
      </c>
      <c r="O3771">
        <v>-2.1597229999999999E-2</v>
      </c>
      <c r="P3771">
        <v>-0.9951236</v>
      </c>
      <c r="Q3771">
        <v>9.1494240000000004E-2</v>
      </c>
      <c r="R3771">
        <v>-3.6858009999999997E-2</v>
      </c>
      <c r="S3771">
        <v>-3.03775</v>
      </c>
      <c r="T3771">
        <v>4.7052499999999997E-2</v>
      </c>
      <c r="U3771">
        <v>0.69265750000000004</v>
      </c>
      <c r="V3771">
        <v>-1.5265310000000001E-2</v>
      </c>
      <c r="W3771">
        <v>0.1016563</v>
      </c>
      <c r="X3771">
        <v>0.99470250000000004</v>
      </c>
      <c r="Y3771">
        <v>0.24328640000000001</v>
      </c>
      <c r="Z3771">
        <v>-2.1906489999999998E-3</v>
      </c>
      <c r="AA3771">
        <v>0.96995200000000004</v>
      </c>
      <c r="AB3771">
        <v>23</v>
      </c>
      <c r="AC3771">
        <v>-142.45389999999901</v>
      </c>
      <c r="AD3771">
        <v>2.213857</v>
      </c>
      <c r="AE3771">
        <v>32.5990999999999</v>
      </c>
      <c r="AF3771">
        <v>35.660080707054703</v>
      </c>
      <c r="AG3771">
        <v>2.213857</v>
      </c>
      <c r="AH3771">
        <v>141.68406628048899</v>
      </c>
      <c r="AI3771">
        <v>89.131878430987001</v>
      </c>
      <c r="AJ3771">
        <v>75.872804090753604</v>
      </c>
      <c r="AK3771">
        <v>146.11953037367701</v>
      </c>
      <c r="AL3771">
        <v>84.165444698227702</v>
      </c>
      <c r="AM3771">
        <v>90.879226885653196</v>
      </c>
      <c r="AN3771">
        <v>1.0000000482626601</v>
      </c>
    </row>
    <row r="3772" spans="1:40" x14ac:dyDescent="0.3">
      <c r="A3772" t="str">
        <f>"20200111150050370"</f>
        <v>20200111150050370</v>
      </c>
      <c r="B3772" t="str">
        <f>"1578726050360460"</f>
        <v>1578726050360460</v>
      </c>
      <c r="C3772" t="s">
        <v>40</v>
      </c>
      <c r="D3772">
        <v>4.4476550000000001</v>
      </c>
      <c r="E3772">
        <v>0.50873849999999998</v>
      </c>
      <c r="F3772" t="s">
        <v>46</v>
      </c>
      <c r="G3772">
        <v>0</v>
      </c>
      <c r="H3772">
        <v>0</v>
      </c>
      <c r="I3772">
        <v>0</v>
      </c>
      <c r="J3772">
        <v>-301.46030000000002</v>
      </c>
      <c r="K3772">
        <v>1.104306</v>
      </c>
      <c r="L3772">
        <v>141.46270000000001</v>
      </c>
      <c r="M3772">
        <v>-0.9997258</v>
      </c>
      <c r="N3772">
        <v>0</v>
      </c>
      <c r="O3772">
        <v>-2.1086899999999999E-2</v>
      </c>
      <c r="P3772">
        <v>-0.99511499999999997</v>
      </c>
      <c r="Q3772">
        <v>9.1652769999999995E-2</v>
      </c>
      <c r="R3772">
        <v>-3.6690779999999999E-2</v>
      </c>
      <c r="S3772">
        <v>-3.0049440000000001</v>
      </c>
      <c r="T3772">
        <v>8.6162920000000004E-2</v>
      </c>
      <c r="U3772">
        <v>-4.8629760000000001E-2</v>
      </c>
      <c r="V3772">
        <v>-1.5605600000000001E-2</v>
      </c>
      <c r="W3772">
        <v>0.10182140000000001</v>
      </c>
      <c r="X3772">
        <v>0.99468029999999996</v>
      </c>
      <c r="Y3772">
        <v>4.8970209999999997E-3</v>
      </c>
      <c r="Z3772">
        <v>-6.7463699999999996E-4</v>
      </c>
      <c r="AA3772">
        <v>0.99998779999999998</v>
      </c>
      <c r="AB3772">
        <v>23</v>
      </c>
      <c r="AC3772">
        <v>-3.0049440000000001</v>
      </c>
      <c r="AD3772">
        <v>8.6162920000000004E-2</v>
      </c>
      <c r="AE3772">
        <v>-4.8629760000000001E-2</v>
      </c>
      <c r="AF3772">
        <v>1.47371789712632E-2</v>
      </c>
      <c r="AG3772">
        <v>8.6162920000000004E-2</v>
      </c>
      <c r="AH3772">
        <v>3.0028330459097501</v>
      </c>
      <c r="AI3772">
        <v>88.356432749313399</v>
      </c>
      <c r="AJ3772">
        <v>89.7188084169468</v>
      </c>
      <c r="AK3772">
        <v>3.0041051138125301</v>
      </c>
      <c r="AL3772">
        <v>84.155935634487307</v>
      </c>
      <c r="AM3772">
        <v>90.898843241216397</v>
      </c>
      <c r="AN3772">
        <v>1.0000000157286999</v>
      </c>
    </row>
    <row r="3773" spans="1:40" x14ac:dyDescent="0.3">
      <c r="A3773" t="str">
        <f>"20200111150050392"</f>
        <v>20200111150050392</v>
      </c>
      <c r="B3773" t="str">
        <f>"1578726050380956"</f>
        <v>1578726050380956</v>
      </c>
      <c r="C3773" t="s">
        <v>40</v>
      </c>
      <c r="D3773">
        <v>4.465643</v>
      </c>
      <c r="E3773">
        <v>0.50853349999999997</v>
      </c>
      <c r="F3773" t="s">
        <v>46</v>
      </c>
      <c r="G3773">
        <v>0</v>
      </c>
      <c r="H3773">
        <v>0</v>
      </c>
      <c r="I3773">
        <v>0</v>
      </c>
      <c r="J3773">
        <v>-301.69670000000002</v>
      </c>
      <c r="K3773">
        <v>1.104298</v>
      </c>
      <c r="L3773">
        <v>141.45830000000001</v>
      </c>
      <c r="M3773">
        <v>-0.99973679999999998</v>
      </c>
      <c r="N3773">
        <v>0</v>
      </c>
      <c r="O3773">
        <v>-2.0547860000000001E-2</v>
      </c>
      <c r="P3773">
        <v>-0.99514630000000004</v>
      </c>
      <c r="Q3773">
        <v>9.1403830000000005E-2</v>
      </c>
      <c r="R3773">
        <v>-3.6455540000000002E-2</v>
      </c>
      <c r="S3773">
        <v>-3.012848</v>
      </c>
      <c r="T3773">
        <v>2.5434490000000001E-3</v>
      </c>
      <c r="U3773">
        <v>-4.3991089999999997E-2</v>
      </c>
      <c r="V3773">
        <v>-1.590718E-2</v>
      </c>
      <c r="W3773">
        <v>0.10157190000000001</v>
      </c>
      <c r="X3773">
        <v>0.99470099999999995</v>
      </c>
      <c r="Y3773">
        <v>5.9502110000000004E-3</v>
      </c>
      <c r="Z3773" s="1">
        <v>-1.9856390000000001E-5</v>
      </c>
      <c r="AA3773">
        <v>0.99998229999999999</v>
      </c>
      <c r="AB3773">
        <v>23</v>
      </c>
      <c r="AC3773">
        <v>-3.012848</v>
      </c>
      <c r="AD3773">
        <v>2.5434490000000001E-3</v>
      </c>
      <c r="AE3773">
        <v>-4.3991089999999997E-2</v>
      </c>
      <c r="AF3773">
        <v>1.79289879591331E-2</v>
      </c>
      <c r="AG3773">
        <v>2.5434490000000001E-3</v>
      </c>
      <c r="AH3773">
        <v>3.0131136553808102</v>
      </c>
      <c r="AI3773">
        <v>89.951635983447304</v>
      </c>
      <c r="AJ3773">
        <v>89.659075848117197</v>
      </c>
      <c r="AK3773">
        <v>3.0131680699861998</v>
      </c>
      <c r="AL3773">
        <v>84.170305248416696</v>
      </c>
      <c r="AM3773">
        <v>90.916191493098594</v>
      </c>
      <c r="AN3773">
        <v>0.99999998432308101</v>
      </c>
    </row>
    <row r="3774" spans="1:40" x14ac:dyDescent="0.3">
      <c r="A3774" t="str">
        <f>"20200111150050415"</f>
        <v>20200111150050415</v>
      </c>
      <c r="B3774" t="str">
        <f>"1578726050411214"</f>
        <v>1578726050411214</v>
      </c>
      <c r="C3774" t="s">
        <v>40</v>
      </c>
      <c r="D3774">
        <v>4.4294570000000002</v>
      </c>
      <c r="E3774">
        <v>0.50926539999999998</v>
      </c>
      <c r="F3774" t="s">
        <v>55</v>
      </c>
      <c r="G3774">
        <v>-407.86790000000002</v>
      </c>
      <c r="H3774" s="1">
        <v>-9.4755669999999993E-6</v>
      </c>
      <c r="I3774">
        <v>139.858</v>
      </c>
      <c r="J3774">
        <v>-301.93200000000002</v>
      </c>
      <c r="K3774">
        <v>1.1042920000000001</v>
      </c>
      <c r="L3774">
        <v>141.45400000000001</v>
      </c>
      <c r="M3774">
        <v>-0.99974770000000002</v>
      </c>
      <c r="N3774">
        <v>0</v>
      </c>
      <c r="O3774">
        <v>-2.001468E-2</v>
      </c>
      <c r="P3774">
        <v>-0.99519679999999999</v>
      </c>
      <c r="Q3774">
        <v>9.0899499999999994E-2</v>
      </c>
      <c r="R3774">
        <v>-3.6340259999999999E-2</v>
      </c>
      <c r="S3774">
        <v>-3.0158079999999998</v>
      </c>
      <c r="T3774">
        <v>-3.1368020000000003E-2</v>
      </c>
      <c r="U3774">
        <v>-4.5455929999999999E-2</v>
      </c>
      <c r="V3774">
        <v>-1.6323529999999999E-2</v>
      </c>
      <c r="W3774">
        <v>0.1010605</v>
      </c>
      <c r="X3774">
        <v>0.99474640000000003</v>
      </c>
      <c r="Y3774">
        <v>4.9442699999999997E-3</v>
      </c>
      <c r="Z3774">
        <v>2.3386270000000001E-4</v>
      </c>
      <c r="AA3774">
        <v>0.99998770000000003</v>
      </c>
      <c r="AB3774">
        <v>23</v>
      </c>
      <c r="AC3774">
        <v>-105.9359</v>
      </c>
      <c r="AD3774">
        <v>-1.104301475567</v>
      </c>
      <c r="AE3774">
        <v>-1.5960000000000001</v>
      </c>
      <c r="AF3774">
        <v>0.52464608404480295</v>
      </c>
      <c r="AG3774">
        <v>-1.104301475567</v>
      </c>
      <c r="AH3774">
        <v>105.93511365545901</v>
      </c>
      <c r="AI3774">
        <v>90.597240557307103</v>
      </c>
      <c r="AJ3774">
        <v>89.716243655623202</v>
      </c>
      <c r="AK3774">
        <v>105.942168377174</v>
      </c>
      <c r="AL3774">
        <v>84.199758197567206</v>
      </c>
      <c r="AM3774">
        <v>90.940124477625403</v>
      </c>
      <c r="AN3774">
        <v>1.0000000413024299</v>
      </c>
    </row>
    <row r="3775" spans="1:40" x14ac:dyDescent="0.3">
      <c r="A3775" t="str">
        <f>"20200111150050438"</f>
        <v>20200111150050438</v>
      </c>
      <c r="B3775" t="str">
        <f>"1578726050430732"</f>
        <v>1578726050430732</v>
      </c>
      <c r="C3775" t="s">
        <v>40</v>
      </c>
      <c r="D3775">
        <v>4.4404490000000001</v>
      </c>
      <c r="E3775">
        <v>0.50935489999999894</v>
      </c>
      <c r="F3775" t="s">
        <v>42</v>
      </c>
      <c r="G3775">
        <v>-367.96660000000003</v>
      </c>
      <c r="H3775" s="1">
        <v>-1.1148459999999999E-6</v>
      </c>
      <c r="I3775">
        <v>140.5941</v>
      </c>
      <c r="J3775">
        <v>-302.1825</v>
      </c>
      <c r="K3775">
        <v>1.1042860000000001</v>
      </c>
      <c r="L3775">
        <v>141.44970000000001</v>
      </c>
      <c r="M3775">
        <v>-0.99975899999999995</v>
      </c>
      <c r="N3775">
        <v>0</v>
      </c>
      <c r="O3775">
        <v>-1.9454639999999999E-2</v>
      </c>
      <c r="P3775">
        <v>-0.9952647</v>
      </c>
      <c r="Q3775">
        <v>9.0135380000000001E-2</v>
      </c>
      <c r="R3775">
        <v>-3.6389320000000003E-2</v>
      </c>
      <c r="S3775">
        <v>-3.017639</v>
      </c>
      <c r="T3775">
        <v>-5.0463910000000001E-2</v>
      </c>
      <c r="U3775">
        <v>-3.9291380000000001E-2</v>
      </c>
      <c r="V3775">
        <v>-1.6931060000000001E-2</v>
      </c>
      <c r="W3775">
        <v>0.1002815</v>
      </c>
      <c r="X3775">
        <v>0.99481509999999995</v>
      </c>
      <c r="Y3775">
        <v>6.433373E-3</v>
      </c>
      <c r="Z3775">
        <v>3.7908069999999998E-4</v>
      </c>
      <c r="AA3775">
        <v>0.99997930000000002</v>
      </c>
      <c r="AB3775">
        <v>24</v>
      </c>
      <c r="AC3775">
        <v>-65.784099999999995</v>
      </c>
      <c r="AD3775">
        <v>-1.1042871148459901</v>
      </c>
      <c r="AE3775">
        <v>-0.85560000000000902</v>
      </c>
      <c r="AF3775">
        <v>0.424314592698045</v>
      </c>
      <c r="AG3775">
        <v>-1.1042871148459901</v>
      </c>
      <c r="AH3775">
        <v>65.769764721711496</v>
      </c>
      <c r="AI3775">
        <v>90.961896859670702</v>
      </c>
      <c r="AJ3775">
        <v>89.630360574322793</v>
      </c>
      <c r="AK3775">
        <v>65.780403194681597</v>
      </c>
      <c r="AL3775">
        <v>84.2446196321889</v>
      </c>
      <c r="AM3775">
        <v>90.975040119251204</v>
      </c>
      <c r="AN3775">
        <v>1.0000000616114799</v>
      </c>
    </row>
    <row r="3776" spans="1:40" x14ac:dyDescent="0.3">
      <c r="A3776" t="str">
        <f>"20200111150050460"</f>
        <v>20200111150050460</v>
      </c>
      <c r="B3776" t="str">
        <f>"1578726050451228"</f>
        <v>1578726050451228</v>
      </c>
      <c r="C3776" t="s">
        <v>40</v>
      </c>
      <c r="D3776">
        <v>4.4856170000000004</v>
      </c>
      <c r="E3776">
        <v>0.50911969999999995</v>
      </c>
      <c r="F3776" t="s">
        <v>42</v>
      </c>
      <c r="G3776">
        <v>-354.85660000000001</v>
      </c>
      <c r="H3776" s="1">
        <v>-2.4953000000000001E-6</v>
      </c>
      <c r="I3776">
        <v>140.76820000000001</v>
      </c>
      <c r="J3776">
        <v>-302.40710000000001</v>
      </c>
      <c r="K3776">
        <v>1.1042829999999999</v>
      </c>
      <c r="L3776">
        <v>141.44579999999999</v>
      </c>
      <c r="M3776">
        <v>-0.99976860000000001</v>
      </c>
      <c r="N3776">
        <v>0</v>
      </c>
      <c r="O3776">
        <v>-1.8960109999999999E-2</v>
      </c>
      <c r="P3776">
        <v>-0.99528030000000001</v>
      </c>
      <c r="Q3776">
        <v>8.9735270000000006E-2</v>
      </c>
      <c r="R3776">
        <v>-3.6943990000000003E-2</v>
      </c>
      <c r="S3776">
        <v>-3.0185550000000001</v>
      </c>
      <c r="T3776">
        <v>-6.3282610000000003E-2</v>
      </c>
      <c r="U3776">
        <v>-3.9047239999999997E-2</v>
      </c>
      <c r="V3776">
        <v>-1.7979220000000001E-2</v>
      </c>
      <c r="W3776">
        <v>9.9858299999999997E-2</v>
      </c>
      <c r="X3776">
        <v>0.99483920000000003</v>
      </c>
      <c r="Y3776">
        <v>6.0216810000000001E-3</v>
      </c>
      <c r="Z3776">
        <v>4.605314E-4</v>
      </c>
      <c r="AA3776">
        <v>0.99998180000000003</v>
      </c>
      <c r="AB3776">
        <v>24</v>
      </c>
      <c r="AC3776">
        <v>-52.4495</v>
      </c>
      <c r="AD3776">
        <v>-1.1042854953000001</v>
      </c>
      <c r="AE3776">
        <v>-0.67759999999998399</v>
      </c>
      <c r="AF3776">
        <v>0.31688101024739002</v>
      </c>
      <c r="AG3776">
        <v>-1.1042854953000001</v>
      </c>
      <c r="AH3776">
        <v>52.4296815360591</v>
      </c>
      <c r="AI3776">
        <v>91.206575890004999</v>
      </c>
      <c r="AJ3776">
        <v>89.653712879899103</v>
      </c>
      <c r="AK3776">
        <v>52.442266980007297</v>
      </c>
      <c r="AL3776">
        <v>84.268989080470604</v>
      </c>
      <c r="AM3776">
        <v>91.035364604272004</v>
      </c>
      <c r="AN3776">
        <v>0.999999983143669</v>
      </c>
    </row>
    <row r="3777" spans="1:40" x14ac:dyDescent="0.3">
      <c r="A3777" t="str">
        <f>"20200111150050482"</f>
        <v>20200111150050482</v>
      </c>
      <c r="B3777" t="str">
        <f>"1578726050470749"</f>
        <v>1578726050470749</v>
      </c>
      <c r="C3777" t="s">
        <v>40</v>
      </c>
      <c r="D3777">
        <v>4.4740310000000001</v>
      </c>
      <c r="E3777">
        <v>0.50919970000000003</v>
      </c>
      <c r="F3777" t="s">
        <v>42</v>
      </c>
      <c r="G3777">
        <v>-351.19349999999997</v>
      </c>
      <c r="H3777" s="1">
        <v>-4.0630020000000004E-6</v>
      </c>
      <c r="I3777">
        <v>140.75409999999999</v>
      </c>
      <c r="J3777">
        <v>-302.64299999999997</v>
      </c>
      <c r="K3777">
        <v>1.104279</v>
      </c>
      <c r="L3777">
        <v>141.44200000000001</v>
      </c>
      <c r="M3777">
        <v>-0.99977859999999996</v>
      </c>
      <c r="N3777">
        <v>0</v>
      </c>
      <c r="O3777">
        <v>-1.8447539999999998E-2</v>
      </c>
      <c r="P3777">
        <v>-0.99521729999999997</v>
      </c>
      <c r="Q3777">
        <v>9.0407879999999996E-2</v>
      </c>
      <c r="R3777">
        <v>-3.7001770000000003E-2</v>
      </c>
      <c r="S3777">
        <v>-3.018799</v>
      </c>
      <c r="T3777">
        <v>-6.8330999999999906E-2</v>
      </c>
      <c r="U3777">
        <v>-4.2800900000000003E-2</v>
      </c>
      <c r="V3777">
        <v>-1.854869E-2</v>
      </c>
      <c r="W3777">
        <v>0.1005002</v>
      </c>
      <c r="X3777">
        <v>0.99476410000000004</v>
      </c>
      <c r="Y3777">
        <v>4.2665300000000001E-3</v>
      </c>
      <c r="Z3777">
        <v>4.6575680000000001E-4</v>
      </c>
      <c r="AA3777">
        <v>0.99999079999999996</v>
      </c>
      <c r="AB3777">
        <v>24</v>
      </c>
      <c r="AC3777">
        <v>-48.5505</v>
      </c>
      <c r="AD3777">
        <v>-1.104283063002</v>
      </c>
      <c r="AE3777">
        <v>-0.68790000000001295</v>
      </c>
      <c r="AF3777">
        <v>0.207792763399262</v>
      </c>
      <c r="AG3777">
        <v>-1.104283063002</v>
      </c>
      <c r="AH3777">
        <v>48.529826782736798</v>
      </c>
      <c r="AI3777">
        <v>91.303513050504193</v>
      </c>
      <c r="AJ3777">
        <v>89.7546750856297</v>
      </c>
      <c r="AK3777">
        <v>48.542833729379602</v>
      </c>
      <c r="AL3777">
        <v>84.232024945038205</v>
      </c>
      <c r="AM3777">
        <v>91.068231663497698</v>
      </c>
      <c r="AN3777">
        <v>0.99999997937478202</v>
      </c>
    </row>
    <row r="3778" spans="1:40" x14ac:dyDescent="0.3">
      <c r="A3778" t="str">
        <f>"20200111150050504"</f>
        <v>20200111150050504</v>
      </c>
      <c r="B3778" t="str">
        <f>"1578726050501006"</f>
        <v>1578726050501006</v>
      </c>
      <c r="C3778" t="s">
        <v>40</v>
      </c>
      <c r="D3778">
        <v>4.5582349999999998</v>
      </c>
      <c r="E3778">
        <v>0.50954469999999996</v>
      </c>
      <c r="F3778" t="s">
        <v>42</v>
      </c>
      <c r="G3778">
        <v>-349.43360000000001</v>
      </c>
      <c r="H3778" s="1">
        <v>-5.3336909999999998E-7</v>
      </c>
      <c r="I3778">
        <v>140.7741</v>
      </c>
      <c r="J3778">
        <v>-302.88299999999998</v>
      </c>
      <c r="K3778">
        <v>1.1042780000000001</v>
      </c>
      <c r="L3778">
        <v>141.43809999999999</v>
      </c>
      <c r="M3778">
        <v>-0.99978829999999996</v>
      </c>
      <c r="N3778">
        <v>0</v>
      </c>
      <c r="O3778">
        <v>-1.7930310000000001E-2</v>
      </c>
      <c r="P3778">
        <v>-0.99514959999999997</v>
      </c>
      <c r="Q3778">
        <v>9.1208429999999993E-2</v>
      </c>
      <c r="R3778">
        <v>-3.6854869999999998E-2</v>
      </c>
      <c r="S3778">
        <v>-3.0193180000000002</v>
      </c>
      <c r="T3778">
        <v>-7.1257349999999997E-2</v>
      </c>
      <c r="U3778">
        <v>-4.3090820000000002E-2</v>
      </c>
      <c r="V3778">
        <v>-1.8918609999999999E-2</v>
      </c>
      <c r="W3778">
        <v>0.1012702</v>
      </c>
      <c r="X3778">
        <v>0.99467910000000004</v>
      </c>
      <c r="Y3778">
        <v>3.6554320000000001E-3</v>
      </c>
      <c r="Z3778">
        <v>4.6620150000000003E-4</v>
      </c>
      <c r="AA3778">
        <v>0.99999320000000003</v>
      </c>
      <c r="AB3778">
        <v>24</v>
      </c>
      <c r="AC3778">
        <v>-46.550600000000003</v>
      </c>
      <c r="AD3778">
        <v>-1.1042785333691001</v>
      </c>
      <c r="AE3778">
        <v>-0.66399999999998705</v>
      </c>
      <c r="AF3778">
        <v>0.17071990615767699</v>
      </c>
      <c r="AG3778">
        <v>-1.1042785333691001</v>
      </c>
      <c r="AH3778">
        <v>46.528843802701203</v>
      </c>
      <c r="AI3778">
        <v>91.359548039810207</v>
      </c>
      <c r="AJ3778">
        <v>89.789775859268801</v>
      </c>
      <c r="AK3778">
        <v>46.542259098391199</v>
      </c>
      <c r="AL3778">
        <v>84.187681304187606</v>
      </c>
      <c r="AM3778">
        <v>91.089623605590404</v>
      </c>
      <c r="AN3778">
        <v>1.0000000395945901</v>
      </c>
    </row>
    <row r="3779" spans="1:40" x14ac:dyDescent="0.3">
      <c r="A3779" t="str">
        <f>"20200111150050527"</f>
        <v>20200111150050527</v>
      </c>
      <c r="B3779" t="str">
        <f>"1578726050520524"</f>
        <v>1578726050520524</v>
      </c>
      <c r="C3779" t="s">
        <v>40</v>
      </c>
      <c r="D3779">
        <v>4.4841419999999896</v>
      </c>
      <c r="E3779">
        <v>0.50959379999999999</v>
      </c>
      <c r="F3779" t="s">
        <v>42</v>
      </c>
      <c r="G3779">
        <v>-347.10109999999997</v>
      </c>
      <c r="H3779" s="1">
        <v>-1.553577E-6</v>
      </c>
      <c r="I3779">
        <v>140.84780000000001</v>
      </c>
      <c r="J3779">
        <v>-303.12380000000002</v>
      </c>
      <c r="K3779">
        <v>1.104276</v>
      </c>
      <c r="L3779">
        <v>141.43440000000001</v>
      </c>
      <c r="M3779">
        <v>-0.99979779999999996</v>
      </c>
      <c r="N3779">
        <v>0</v>
      </c>
      <c r="O3779">
        <v>-1.741405E-2</v>
      </c>
      <c r="P3779">
        <v>-0.99519869999999999</v>
      </c>
      <c r="Q3779">
        <v>9.0782719999999997E-2</v>
      </c>
      <c r="R3779">
        <v>-3.6587130000000002E-2</v>
      </c>
      <c r="S3779">
        <v>-3.0200499999999999</v>
      </c>
      <c r="T3779">
        <v>-7.5421210000000002E-2</v>
      </c>
      <c r="U3779">
        <v>-4.0313719999999997E-2</v>
      </c>
      <c r="V3779">
        <v>-1.916518E-2</v>
      </c>
      <c r="W3779">
        <v>0.10081809999999999</v>
      </c>
      <c r="X3779">
        <v>0.9947203</v>
      </c>
      <c r="Y3779">
        <v>4.0612080000000002E-3</v>
      </c>
      <c r="Z3779">
        <v>4.854967E-4</v>
      </c>
      <c r="AA3779">
        <v>0.99999170000000004</v>
      </c>
      <c r="AB3779">
        <v>24</v>
      </c>
      <c r="AC3779">
        <v>-43.9772999999999</v>
      </c>
      <c r="AD3779">
        <v>-1.104277553577</v>
      </c>
      <c r="AE3779">
        <v>-0.58660000000000401</v>
      </c>
      <c r="AF3779">
        <v>0.179237585972327</v>
      </c>
      <c r="AG3779">
        <v>-1.104277553577</v>
      </c>
      <c r="AH3779">
        <v>43.953137944695399</v>
      </c>
      <c r="AI3779">
        <v>91.439183027436002</v>
      </c>
      <c r="AJ3779">
        <v>89.766353421818096</v>
      </c>
      <c r="AK3779">
        <v>43.967373019239901</v>
      </c>
      <c r="AL3779">
        <v>84.213717951900307</v>
      </c>
      <c r="AM3779">
        <v>91.103775687811094</v>
      </c>
      <c r="AN3779">
        <v>1.0000000343220601</v>
      </c>
    </row>
    <row r="3780" spans="1:40" x14ac:dyDescent="0.3">
      <c r="A3780" t="str">
        <f>"20200111150050549"</f>
        <v>20200111150050549</v>
      </c>
      <c r="B3780" t="str">
        <f>"1578726050541024"</f>
        <v>1578726050541024</v>
      </c>
      <c r="C3780" t="s">
        <v>40</v>
      </c>
      <c r="D3780">
        <v>4.4718970000000002</v>
      </c>
      <c r="E3780">
        <v>0.50972659999999903</v>
      </c>
      <c r="F3780" t="s">
        <v>46</v>
      </c>
      <c r="G3780">
        <v>0</v>
      </c>
      <c r="H3780">
        <v>0</v>
      </c>
      <c r="I3780">
        <v>0</v>
      </c>
      <c r="J3780">
        <v>-303.36239999999998</v>
      </c>
      <c r="K3780">
        <v>1.104276</v>
      </c>
      <c r="L3780">
        <v>141.43090000000001</v>
      </c>
      <c r="M3780">
        <v>-0.99980659999999999</v>
      </c>
      <c r="N3780">
        <v>0</v>
      </c>
      <c r="O3780">
        <v>-1.6906870000000001E-2</v>
      </c>
      <c r="P3780">
        <v>-0.99524829999999997</v>
      </c>
      <c r="Q3780">
        <v>9.0302649999999998E-2</v>
      </c>
      <c r="R3780">
        <v>-3.6418520000000003E-2</v>
      </c>
      <c r="S3780">
        <v>-3.0073240000000001</v>
      </c>
      <c r="T3780">
        <v>6.4008469999999998E-2</v>
      </c>
      <c r="U3780">
        <v>-3.6575320000000001E-2</v>
      </c>
      <c r="V3780">
        <v>-1.9501999999999999E-2</v>
      </c>
      <c r="W3780">
        <v>0.10031379999999999</v>
      </c>
      <c r="X3780">
        <v>0.99476469999999995</v>
      </c>
      <c r="Y3780">
        <v>4.7421329999999999E-3</v>
      </c>
      <c r="Z3780">
        <v>-4.1024989999999999E-4</v>
      </c>
      <c r="AA3780">
        <v>0.99998869999999895</v>
      </c>
      <c r="AB3780">
        <v>24</v>
      </c>
      <c r="AC3780">
        <v>-3.0073240000000001</v>
      </c>
      <c r="AD3780">
        <v>6.4008469999999998E-2</v>
      </c>
      <c r="AE3780">
        <v>-3.6575320000000001E-2</v>
      </c>
      <c r="AF3780">
        <v>1.4270446218346999E-2</v>
      </c>
      <c r="AG3780">
        <v>6.4008469999999998E-2</v>
      </c>
      <c r="AH3780">
        <v>3.0061508852471501</v>
      </c>
      <c r="AI3780">
        <v>88.780227626870797</v>
      </c>
      <c r="AJ3780">
        <v>89.7280142515732</v>
      </c>
      <c r="AK3780">
        <v>3.0068661218516599</v>
      </c>
      <c r="AL3780">
        <v>84.242759228554604</v>
      </c>
      <c r="AM3780">
        <v>91.123119037940896</v>
      </c>
      <c r="AN3780">
        <v>0.99999999742026502</v>
      </c>
    </row>
    <row r="3781" spans="1:40" x14ac:dyDescent="0.3">
      <c r="A3781" t="str">
        <f>"20200111150050572"</f>
        <v>20200111150050572</v>
      </c>
      <c r="B3781" t="str">
        <f>"1578726050560541"</f>
        <v>1578726050560541</v>
      </c>
      <c r="C3781" t="s">
        <v>40</v>
      </c>
      <c r="D3781">
        <v>4.4689189999999996</v>
      </c>
      <c r="E3781">
        <v>0.50811579999999901</v>
      </c>
      <c r="F3781" t="s">
        <v>42</v>
      </c>
      <c r="G3781">
        <v>-335.53489999999999</v>
      </c>
      <c r="H3781" s="1">
        <v>-2.467489E-6</v>
      </c>
      <c r="I3781">
        <v>141.03059999999999</v>
      </c>
      <c r="J3781">
        <v>-303.59550000000002</v>
      </c>
      <c r="K3781">
        <v>1.1042799999999999</v>
      </c>
      <c r="L3781">
        <v>141.42750000000001</v>
      </c>
      <c r="M3781">
        <v>-0.99981500000000001</v>
      </c>
      <c r="N3781">
        <v>0</v>
      </c>
      <c r="O3781">
        <v>-1.64187999999999E-2</v>
      </c>
      <c r="P3781">
        <v>-0.99529579999999995</v>
      </c>
      <c r="Q3781">
        <v>9.0166200000000002E-2</v>
      </c>
      <c r="R3781">
        <v>-3.5449219999999997E-2</v>
      </c>
      <c r="S3781">
        <v>-3.0223390000000001</v>
      </c>
      <c r="T3781">
        <v>-0.10373780000000001</v>
      </c>
      <c r="U3781">
        <v>-3.7597659999999998E-2</v>
      </c>
      <c r="V3781">
        <v>-1.9019419999999999E-2</v>
      </c>
      <c r="W3781">
        <v>0.1001544</v>
      </c>
      <c r="X3781">
        <v>0.99479010000000001</v>
      </c>
      <c r="Y3781">
        <v>3.9690680000000001E-3</v>
      </c>
      <c r="Z3781">
        <v>6.3145490000000002E-4</v>
      </c>
      <c r="AA3781">
        <v>0.99999199999999999</v>
      </c>
      <c r="AB3781">
        <v>24</v>
      </c>
      <c r="AC3781">
        <v>-31.9393999999999</v>
      </c>
      <c r="AD3781">
        <v>-1.1042824674889999</v>
      </c>
      <c r="AE3781">
        <v>-0.39690000000001602</v>
      </c>
      <c r="AF3781">
        <v>0.1274341424972</v>
      </c>
      <c r="AG3781">
        <v>-1.1042824674889999</v>
      </c>
      <c r="AH3781">
        <v>31.903480193092602</v>
      </c>
      <c r="AI3781">
        <v>91.982384702472601</v>
      </c>
      <c r="AJ3781">
        <v>89.771140964691796</v>
      </c>
      <c r="AK3781">
        <v>31.922840219186799</v>
      </c>
      <c r="AL3781">
        <v>84.251938375554801</v>
      </c>
      <c r="AM3781">
        <v>91.095306180299701</v>
      </c>
      <c r="AN3781">
        <v>0.99999999261725303</v>
      </c>
    </row>
    <row r="3782" spans="1:40" x14ac:dyDescent="0.3">
      <c r="A3782" t="str">
        <f>"20200111150050617"</f>
        <v>20200111150050617</v>
      </c>
      <c r="B3782" t="str">
        <f>"1578726050611293"</f>
        <v>1578726050611293</v>
      </c>
      <c r="C3782" t="s">
        <v>40</v>
      </c>
      <c r="D3782">
        <v>4.5171190000000001</v>
      </c>
      <c r="E3782">
        <v>0.50880779999999903</v>
      </c>
      <c r="F3782" t="s">
        <v>42</v>
      </c>
      <c r="G3782">
        <v>-330.416</v>
      </c>
      <c r="H3782" s="1">
        <v>-4.7975009999999996E-6</v>
      </c>
      <c r="I3782">
        <v>141.00290000000001</v>
      </c>
      <c r="J3782">
        <v>-304.08170000000001</v>
      </c>
      <c r="K3782">
        <v>1.1042829999999999</v>
      </c>
      <c r="L3782">
        <v>141.42080000000001</v>
      </c>
      <c r="M3782">
        <v>-0.99983120000000003</v>
      </c>
      <c r="N3782">
        <v>0</v>
      </c>
      <c r="O3782">
        <v>-1.542759E-2</v>
      </c>
      <c r="P3782">
        <v>-0.99543099999999995</v>
      </c>
      <c r="Q3782">
        <v>8.9550350000000001E-2</v>
      </c>
      <c r="R3782">
        <v>-3.3136699999999998E-2</v>
      </c>
      <c r="S3782">
        <v>-3.0237120000000002</v>
      </c>
      <c r="T3782">
        <v>-0.12449589999999899</v>
      </c>
      <c r="U3782">
        <v>-4.7866819999999997E-2</v>
      </c>
      <c r="V3782">
        <v>-1.7696659999999999E-2</v>
      </c>
      <c r="W3782">
        <v>9.9497710000000003E-2</v>
      </c>
      <c r="X3782">
        <v>0.9948804</v>
      </c>
      <c r="Y3782">
        <v>-4.1290899999999999E-4</v>
      </c>
      <c r="Z3782">
        <v>6.2639140000000004E-4</v>
      </c>
      <c r="AA3782">
        <v>0.99999970000000005</v>
      </c>
      <c r="AB3782">
        <v>24</v>
      </c>
      <c r="AC3782">
        <v>-26.334299999999899</v>
      </c>
      <c r="AD3782">
        <v>-1.1042877975009999</v>
      </c>
      <c r="AE3782">
        <v>-0.41790000000000299</v>
      </c>
      <c r="AF3782">
        <v>-1.15349722399251E-2</v>
      </c>
      <c r="AG3782">
        <v>-1.1042877975009999</v>
      </c>
      <c r="AH3782">
        <v>26.291393591889801</v>
      </c>
      <c r="AI3782">
        <v>92.405116203247502</v>
      </c>
      <c r="AJ3782">
        <v>90.0251377007245</v>
      </c>
      <c r="AK3782">
        <v>26.314576979289601</v>
      </c>
      <c r="AL3782">
        <v>84.289752803435803</v>
      </c>
      <c r="AM3782">
        <v>91.019054161090594</v>
      </c>
      <c r="AN3782">
        <v>0.99999998818727898</v>
      </c>
    </row>
    <row r="3783" spans="1:40" x14ac:dyDescent="0.3">
      <c r="A3783" t="str">
        <f>"20200111150050639"</f>
        <v>20200111150050639</v>
      </c>
      <c r="B3783" t="str">
        <f>"1578726050630813"</f>
        <v>1578726050630813</v>
      </c>
      <c r="C3783" t="s">
        <v>40</v>
      </c>
      <c r="D3783">
        <v>6.0803529999999997</v>
      </c>
      <c r="E3783">
        <v>0.50113790000000003</v>
      </c>
      <c r="F3783" t="s">
        <v>42</v>
      </c>
      <c r="G3783">
        <v>-329.95150000000001</v>
      </c>
      <c r="H3783" s="1">
        <v>-4.011373E-7</v>
      </c>
      <c r="I3783">
        <v>141.1123</v>
      </c>
      <c r="J3783">
        <v>-304.31880000000001</v>
      </c>
      <c r="K3783">
        <v>1.104285</v>
      </c>
      <c r="L3783">
        <v>141.4177</v>
      </c>
      <c r="M3783">
        <v>-0.99983849999999996</v>
      </c>
      <c r="N3783">
        <v>0</v>
      </c>
      <c r="O3783">
        <v>-1.4957679999999999E-2</v>
      </c>
      <c r="P3783">
        <v>-0.99552799999999997</v>
      </c>
      <c r="Q3783">
        <v>8.8930850000000006E-2</v>
      </c>
      <c r="R3783">
        <v>-3.1868790000000001E-2</v>
      </c>
      <c r="S3783">
        <v>-3.0241699999999998</v>
      </c>
      <c r="T3783">
        <v>-0.1290905</v>
      </c>
      <c r="U3783">
        <v>-3.6056520000000002E-2</v>
      </c>
      <c r="V3783">
        <v>-1.6897430000000001E-2</v>
      </c>
      <c r="W3783">
        <v>9.8862850000000002E-2</v>
      </c>
      <c r="X3783">
        <v>0.9949576</v>
      </c>
      <c r="Y3783">
        <v>3.0203890000000001E-3</v>
      </c>
      <c r="Z3783">
        <v>7.0260690000000002E-4</v>
      </c>
      <c r="AA3783">
        <v>0.99999519999999997</v>
      </c>
      <c r="AB3783">
        <v>24</v>
      </c>
      <c r="AC3783">
        <v>-25.6327</v>
      </c>
      <c r="AD3783">
        <v>-1.1042854011373</v>
      </c>
      <c r="AE3783">
        <v>-0.30539999999999101</v>
      </c>
      <c r="AF3783">
        <v>7.7914332545153106E-2</v>
      </c>
      <c r="AG3783">
        <v>-1.1042854011373</v>
      </c>
      <c r="AH3783">
        <v>25.586918286575301</v>
      </c>
      <c r="AI3783">
        <v>92.471237832351605</v>
      </c>
      <c r="AJ3783">
        <v>89.825530039590802</v>
      </c>
      <c r="AK3783">
        <v>25.610855204273498</v>
      </c>
      <c r="AL3783">
        <v>84.326307939913804</v>
      </c>
      <c r="AM3783">
        <v>90.972964436061105</v>
      </c>
      <c r="AN3783">
        <v>1.00000000602424</v>
      </c>
    </row>
    <row r="3784" spans="1:40" x14ac:dyDescent="0.3">
      <c r="A3784" t="str">
        <f>"20200111150050661"</f>
        <v>20200111150050661</v>
      </c>
      <c r="B3784" t="str">
        <f>"1578726050651309"</f>
        <v>1578726050651309</v>
      </c>
      <c r="C3784" t="s">
        <v>40</v>
      </c>
      <c r="D3784">
        <v>3.8482539999999998</v>
      </c>
      <c r="E3784">
        <v>0.50113790000000003</v>
      </c>
      <c r="F3784" t="s">
        <v>41</v>
      </c>
      <c r="G3784">
        <v>-305.03149999999999</v>
      </c>
      <c r="H3784">
        <v>0.99054909999999996</v>
      </c>
      <c r="I3784">
        <v>141.39490000000001</v>
      </c>
      <c r="J3784">
        <v>-304.54969999999997</v>
      </c>
      <c r="K3784">
        <v>1.104285</v>
      </c>
      <c r="L3784">
        <v>141.41470000000001</v>
      </c>
      <c r="M3784">
        <v>-0.99984530000000005</v>
      </c>
      <c r="N3784">
        <v>0</v>
      </c>
      <c r="O3784">
        <v>-1.4507539999999999E-2</v>
      </c>
      <c r="P3784">
        <v>-0.99563599999999997</v>
      </c>
      <c r="Q3784">
        <v>8.8081179999999995E-2</v>
      </c>
      <c r="R3784">
        <v>-3.0837030000000001E-2</v>
      </c>
      <c r="S3784">
        <v>-3.053833</v>
      </c>
      <c r="T3784">
        <v>-0.4873227</v>
      </c>
      <c r="U3784">
        <v>-9.9273680000000003E-2</v>
      </c>
      <c r="V3784">
        <v>-1.631432E-2</v>
      </c>
      <c r="W3784">
        <v>9.7999680000000006E-2</v>
      </c>
      <c r="X3784">
        <v>0.99505270000000001</v>
      </c>
      <c r="Y3784">
        <v>-1.7943290000000001E-2</v>
      </c>
      <c r="Z3784">
        <v>8.7754100000000002E-4</v>
      </c>
      <c r="AA3784">
        <v>0.99983869999999997</v>
      </c>
      <c r="AB3784">
        <v>24</v>
      </c>
      <c r="AC3784">
        <v>-0.48180000000002099</v>
      </c>
      <c r="AD3784">
        <v>-0.113735899999999</v>
      </c>
      <c r="AE3784">
        <v>-1.9800000000003599E-2</v>
      </c>
      <c r="AF3784">
        <v>-1.21328562656139E-2</v>
      </c>
      <c r="AG3784">
        <v>-0.113735899999999</v>
      </c>
      <c r="AH3784">
        <v>0.45663291617275997</v>
      </c>
      <c r="AI3784">
        <v>103.981617433507</v>
      </c>
      <c r="AJ3784">
        <v>91.522005778265395</v>
      </c>
      <c r="AK3784">
        <v>0.47074056685441001</v>
      </c>
      <c r="AL3784">
        <v>84.376005158482002</v>
      </c>
      <c r="AM3784">
        <v>90.939304962531693</v>
      </c>
      <c r="AN3784">
        <v>0.99999998504722698</v>
      </c>
    </row>
    <row r="3785" spans="1:40" x14ac:dyDescent="0.3">
      <c r="A3785" t="str">
        <f>"20200111150050684"</f>
        <v>20200111150050684</v>
      </c>
      <c r="B3785" t="str">
        <f>"1578726050680589"</f>
        <v>1578726050680589</v>
      </c>
      <c r="C3785" t="s">
        <v>40</v>
      </c>
      <c r="D3785">
        <v>4.7566030000000001</v>
      </c>
      <c r="E3785">
        <v>0.50257959999999902</v>
      </c>
      <c r="F3785" t="s">
        <v>41</v>
      </c>
      <c r="G3785">
        <v>-305.44659999999999</v>
      </c>
      <c r="H3785">
        <v>0.96039149999999995</v>
      </c>
      <c r="I3785">
        <v>141.3869</v>
      </c>
      <c r="J3785">
        <v>-304.79360000000003</v>
      </c>
      <c r="K3785">
        <v>1.1042809999999901</v>
      </c>
      <c r="L3785">
        <v>141.4117</v>
      </c>
      <c r="M3785">
        <v>-0.99985219999999997</v>
      </c>
      <c r="N3785">
        <v>0</v>
      </c>
      <c r="O3785">
        <v>-1.404008E-2</v>
      </c>
      <c r="P3785">
        <v>-0.9956102</v>
      </c>
      <c r="Q3785">
        <v>8.8641150000000002E-2</v>
      </c>
      <c r="R3785">
        <v>-3.005656E-2</v>
      </c>
      <c r="S3785">
        <v>-3.0534970000000001</v>
      </c>
      <c r="T3785">
        <v>-0.48991600000000002</v>
      </c>
      <c r="U3785">
        <v>-9.5901490000000006E-2</v>
      </c>
      <c r="V3785">
        <v>-1.6000299999999999E-2</v>
      </c>
      <c r="W3785">
        <v>9.8541580000000004E-2</v>
      </c>
      <c r="X3785">
        <v>0.99500429999999995</v>
      </c>
      <c r="Y3785">
        <v>-1.7312859999999999E-2</v>
      </c>
      <c r="Z3785">
        <v>8.5801249999999996E-4</v>
      </c>
      <c r="AA3785">
        <v>0.99984969999999995</v>
      </c>
      <c r="AB3785">
        <v>24</v>
      </c>
      <c r="AC3785">
        <v>-0.65299999999996305</v>
      </c>
      <c r="AD3785">
        <v>-0.143889499999999</v>
      </c>
      <c r="AE3785">
        <v>-2.4799999999999E-2</v>
      </c>
      <c r="AF3785">
        <v>-1.49062067964486E-2</v>
      </c>
      <c r="AG3785">
        <v>-0.143889499999999</v>
      </c>
      <c r="AH3785">
        <v>0.62307419397934805</v>
      </c>
      <c r="AI3785">
        <v>103.000028691842</v>
      </c>
      <c r="AJ3785">
        <v>91.370462561011806</v>
      </c>
      <c r="AK3785">
        <v>0.63964664809121197</v>
      </c>
      <c r="AL3785">
        <v>84.344805672234202</v>
      </c>
      <c r="AM3785">
        <v>90.921273057228802</v>
      </c>
      <c r="AN3785">
        <v>1.0000000048037301</v>
      </c>
    </row>
    <row r="3786" spans="1:40" x14ac:dyDescent="0.3">
      <c r="A3786" t="str">
        <f>"20200111150050706"</f>
        <v>20200111150050706</v>
      </c>
      <c r="B3786" t="str">
        <f>"1578726050701086"</f>
        <v>1578726050701086</v>
      </c>
      <c r="C3786" t="s">
        <v>40</v>
      </c>
      <c r="D3786">
        <v>4.4797890000000002</v>
      </c>
      <c r="E3786">
        <v>0.50257959999999902</v>
      </c>
      <c r="F3786" t="s">
        <v>41</v>
      </c>
      <c r="G3786">
        <v>-305.66449999999998</v>
      </c>
      <c r="H3786">
        <v>0.96635789999999999</v>
      </c>
      <c r="I3786">
        <v>141.38829999999999</v>
      </c>
      <c r="J3786">
        <v>-305.0421</v>
      </c>
      <c r="K3786">
        <v>1.104282</v>
      </c>
      <c r="L3786">
        <v>141.40880000000001</v>
      </c>
      <c r="M3786">
        <v>-0.99985880000000005</v>
      </c>
      <c r="N3786">
        <v>0</v>
      </c>
      <c r="O3786">
        <v>-1.35695E-2</v>
      </c>
      <c r="P3786">
        <v>-0.99559730000000002</v>
      </c>
      <c r="Q3786">
        <v>8.8974189999999995E-2</v>
      </c>
      <c r="R3786">
        <v>-2.9486600000000002E-2</v>
      </c>
      <c r="S3786">
        <v>-3.0538020000000001</v>
      </c>
      <c r="T3786">
        <v>-0.48368549999999899</v>
      </c>
      <c r="U3786">
        <v>-8.2443240000000001E-2</v>
      </c>
      <c r="V3786">
        <v>-1.5899699999999999E-2</v>
      </c>
      <c r="W3786">
        <v>9.8854300000000006E-2</v>
      </c>
      <c r="X3786">
        <v>0.9949749</v>
      </c>
      <c r="Y3786">
        <v>-1.3421219999999999E-2</v>
      </c>
      <c r="Z3786">
        <v>1.0794019999999999E-3</v>
      </c>
      <c r="AA3786">
        <v>0.9999093</v>
      </c>
      <c r="AB3786">
        <v>24</v>
      </c>
      <c r="AC3786">
        <v>-0.62239999999996998</v>
      </c>
      <c r="AD3786">
        <v>-0.13792409999999999</v>
      </c>
      <c r="AE3786">
        <v>-2.0500000000026799E-2</v>
      </c>
      <c r="AF3786">
        <v>-1.14884896945991E-2</v>
      </c>
      <c r="AG3786">
        <v>-0.13792409999999999</v>
      </c>
      <c r="AH3786">
        <v>0.59350725290314499</v>
      </c>
      <c r="AI3786">
        <v>103.08029108093901</v>
      </c>
      <c r="AJ3786">
        <v>91.108932999867406</v>
      </c>
      <c r="AK3786">
        <v>0.60943080165422403</v>
      </c>
      <c r="AL3786">
        <v>84.326800266371393</v>
      </c>
      <c r="AM3786">
        <v>90.915508696920298</v>
      </c>
      <c r="AN3786">
        <v>1.00000001235929</v>
      </c>
    </row>
    <row r="3787" spans="1:40" x14ac:dyDescent="0.3">
      <c r="A3787" t="str">
        <f>"20200111150050730"</f>
        <v>20200111150050730</v>
      </c>
      <c r="B3787" t="str">
        <f>"1578726050720604"</f>
        <v>1578726050720604</v>
      </c>
      <c r="C3787" t="s">
        <v>40</v>
      </c>
      <c r="D3787">
        <v>4.5240429999999998</v>
      </c>
      <c r="E3787">
        <v>0.49973060000000002</v>
      </c>
      <c r="F3787" t="s">
        <v>41</v>
      </c>
      <c r="G3787">
        <v>-305.88229999999999</v>
      </c>
      <c r="H3787">
        <v>0.97148279999999998</v>
      </c>
      <c r="I3787">
        <v>141.38659999999999</v>
      </c>
      <c r="J3787">
        <v>-305.28859999999997</v>
      </c>
      <c r="K3787">
        <v>1.104287</v>
      </c>
      <c r="L3787">
        <v>141.40600000000001</v>
      </c>
      <c r="M3787">
        <v>-0.99986520000000001</v>
      </c>
      <c r="N3787">
        <v>0</v>
      </c>
      <c r="O3787">
        <v>-1.3108109999999999E-2</v>
      </c>
      <c r="P3787">
        <v>-0.99558849999999999</v>
      </c>
      <c r="Q3787">
        <v>8.9158029999999999E-2</v>
      </c>
      <c r="R3787">
        <v>-2.9235589999999999E-2</v>
      </c>
      <c r="S3787">
        <v>-3.0539860000000001</v>
      </c>
      <c r="T3787">
        <v>-0.48264119999999999</v>
      </c>
      <c r="U3787">
        <v>-8.1222530000000001E-2</v>
      </c>
      <c r="V3787">
        <v>-1.6108190000000001E-2</v>
      </c>
      <c r="W3787">
        <v>9.9018949999999994E-2</v>
      </c>
      <c r="X3787">
        <v>0.99495520000000004</v>
      </c>
      <c r="Y3787">
        <v>-1.347523E-2</v>
      </c>
      <c r="Z3787">
        <v>1.0003550000000001E-3</v>
      </c>
      <c r="AA3787">
        <v>0.99990869999999998</v>
      </c>
      <c r="AB3787">
        <v>24</v>
      </c>
      <c r="AC3787">
        <v>-0.593700000000012</v>
      </c>
      <c r="AD3787">
        <v>-0.13280419999999901</v>
      </c>
      <c r="AE3787">
        <v>-1.9400000000018701E-2</v>
      </c>
      <c r="AF3787">
        <v>-1.10627153048263E-2</v>
      </c>
      <c r="AG3787">
        <v>-0.13280419999999901</v>
      </c>
      <c r="AH3787">
        <v>0.56563111408704003</v>
      </c>
      <c r="AI3787">
        <v>103.21067880200501</v>
      </c>
      <c r="AJ3787">
        <v>91.120458333118805</v>
      </c>
      <c r="AK3787">
        <v>0.581117799100063</v>
      </c>
      <c r="AL3787">
        <v>84.317320150617405</v>
      </c>
      <c r="AM3787">
        <v>90.927529880981496</v>
      </c>
      <c r="AN3787">
        <v>1.0000000381256</v>
      </c>
    </row>
    <row r="3788" spans="1:40" x14ac:dyDescent="0.3">
      <c r="A3788" t="str">
        <f>"20200111150050751"</f>
        <v>20200111150050751</v>
      </c>
      <c r="B3788" t="str">
        <f>"1578726050741101"</f>
        <v>1578726050741101</v>
      </c>
      <c r="C3788" t="s">
        <v>40</v>
      </c>
      <c r="D3788">
        <v>4.5129260000000002</v>
      </c>
      <c r="E3788">
        <v>0.50256290000000003</v>
      </c>
      <c r="F3788" t="s">
        <v>46</v>
      </c>
      <c r="G3788">
        <v>0</v>
      </c>
      <c r="H3788">
        <v>0</v>
      </c>
      <c r="I3788">
        <v>0</v>
      </c>
      <c r="J3788">
        <v>-305.52080000000001</v>
      </c>
      <c r="K3788">
        <v>1.1042860000000001</v>
      </c>
      <c r="L3788">
        <v>141.4034</v>
      </c>
      <c r="M3788">
        <v>-0.99987079999999995</v>
      </c>
      <c r="N3788">
        <v>0</v>
      </c>
      <c r="O3788">
        <v>-1.267977E-2</v>
      </c>
      <c r="P3788">
        <v>-0.99561359999999999</v>
      </c>
      <c r="Q3788">
        <v>8.8949669999999995E-2</v>
      </c>
      <c r="R3788">
        <v>-2.9011410000000001E-2</v>
      </c>
      <c r="S3788">
        <v>-3.0032649999999999</v>
      </c>
      <c r="T3788">
        <v>8.1422449999999993E-2</v>
      </c>
      <c r="U3788">
        <v>-9.3185420000000005E-2</v>
      </c>
      <c r="V3788">
        <v>-1.6311610000000001E-2</v>
      </c>
      <c r="W3788">
        <v>9.8796410000000001E-2</v>
      </c>
      <c r="X3788">
        <v>0.99497400000000003</v>
      </c>
      <c r="Y3788">
        <v>-1.833425E-2</v>
      </c>
      <c r="Z3788" s="1">
        <v>-9.5185099999999998E-5</v>
      </c>
      <c r="AA3788">
        <v>0.9998319</v>
      </c>
      <c r="AB3788">
        <v>24</v>
      </c>
      <c r="AC3788">
        <v>-3.0032649999999999</v>
      </c>
      <c r="AD3788">
        <v>8.1422449999999993E-2</v>
      </c>
      <c r="AE3788">
        <v>-9.3185420000000005E-2</v>
      </c>
      <c r="AF3788">
        <v>-5.5054932170770399E-2</v>
      </c>
      <c r="AG3788">
        <v>8.1422449999999993E-2</v>
      </c>
      <c r="AH3788">
        <v>3.0020007489767502</v>
      </c>
      <c r="AI3788">
        <v>88.446624128002696</v>
      </c>
      <c r="AJ3788">
        <v>91.050653195675295</v>
      </c>
      <c r="AK3788">
        <v>3.0036093550555698</v>
      </c>
      <c r="AL3788">
        <v>84.330133535696206</v>
      </c>
      <c r="AM3788">
        <v>90.939223231973003</v>
      </c>
      <c r="AN3788">
        <v>1.00000002996283</v>
      </c>
    </row>
    <row r="3789" spans="1:40" x14ac:dyDescent="0.3">
      <c r="A3789" t="str">
        <f>"20200111150050773"</f>
        <v>20200111150050773</v>
      </c>
      <c r="B3789" t="str">
        <f>"1578726050770382"</f>
        <v>1578726050770382</v>
      </c>
      <c r="C3789" t="s">
        <v>40</v>
      </c>
      <c r="D3789">
        <v>4.2677550000000002</v>
      </c>
      <c r="E3789">
        <v>0.50469889999999995</v>
      </c>
      <c r="F3789" t="s">
        <v>46</v>
      </c>
      <c r="G3789">
        <v>0</v>
      </c>
      <c r="H3789">
        <v>0</v>
      </c>
      <c r="I3789">
        <v>0</v>
      </c>
      <c r="J3789">
        <v>-305.75639999999999</v>
      </c>
      <c r="K3789">
        <v>1.1042879999999999</v>
      </c>
      <c r="L3789">
        <v>141.40090000000001</v>
      </c>
      <c r="M3789">
        <v>-0.99987619999999999</v>
      </c>
      <c r="N3789">
        <v>0</v>
      </c>
      <c r="O3789">
        <v>-1.2255530000000001E-2</v>
      </c>
      <c r="P3789">
        <v>-0.99564680000000005</v>
      </c>
      <c r="Q3789">
        <v>8.8745989999999997E-2</v>
      </c>
      <c r="R3789">
        <v>-2.8489420000000001E-2</v>
      </c>
      <c r="S3789">
        <v>-3.0076290000000001</v>
      </c>
      <c r="T3789">
        <v>3.9245719999999998E-2</v>
      </c>
      <c r="U3789">
        <v>-7.0693969999999995E-2</v>
      </c>
      <c r="V3789">
        <v>-1.6213269999999998E-2</v>
      </c>
      <c r="W3789">
        <v>9.8579079999999999E-2</v>
      </c>
      <c r="X3789">
        <v>0.99499709999999997</v>
      </c>
      <c r="Y3789">
        <v>-1.1243970000000001E-2</v>
      </c>
      <c r="Z3789" s="1">
        <v>-8.6542630000000003E-5</v>
      </c>
      <c r="AA3789">
        <v>0.99993679999999996</v>
      </c>
      <c r="AB3789">
        <v>24</v>
      </c>
      <c r="AC3789">
        <v>-3.0076290000000001</v>
      </c>
      <c r="AD3789">
        <v>3.9245719999999998E-2</v>
      </c>
      <c r="AE3789">
        <v>-7.0693969999999995E-2</v>
      </c>
      <c r="AF3789">
        <v>-3.38210223283264E-2</v>
      </c>
      <c r="AG3789">
        <v>3.9245719999999998E-2</v>
      </c>
      <c r="AH3789">
        <v>3.0077576881381201</v>
      </c>
      <c r="AI3789">
        <v>89.252484863141405</v>
      </c>
      <c r="AJ3789">
        <v>90.644240784276704</v>
      </c>
      <c r="AK3789">
        <v>3.0082038492501799</v>
      </c>
      <c r="AL3789">
        <v>84.342646353849403</v>
      </c>
      <c r="AM3789">
        <v>90.933540145688497</v>
      </c>
      <c r="AN3789">
        <v>0.99999996707307404</v>
      </c>
    </row>
    <row r="3790" spans="1:40" x14ac:dyDescent="0.3">
      <c r="A3790" t="str">
        <f>"20200111150050820"</f>
        <v>20200111150050820</v>
      </c>
      <c r="B3790" t="str">
        <f>"1578726050810397"</f>
        <v>1578726050810397</v>
      </c>
      <c r="C3790" t="s">
        <v>40</v>
      </c>
      <c r="D3790">
        <v>4.2676270000000001</v>
      </c>
      <c r="E3790">
        <v>0.50517709999999905</v>
      </c>
      <c r="F3790" t="s">
        <v>42</v>
      </c>
      <c r="G3790">
        <v>-374.2328</v>
      </c>
      <c r="H3790" s="1">
        <v>-2.606247E-6</v>
      </c>
      <c r="I3790">
        <v>140.17930000000001</v>
      </c>
      <c r="J3790">
        <v>-306.26069999999999</v>
      </c>
      <c r="K3790">
        <v>1.1043069999999999</v>
      </c>
      <c r="L3790">
        <v>141.39580000000001</v>
      </c>
      <c r="M3790">
        <v>-0.99988659999999996</v>
      </c>
      <c r="N3790">
        <v>0</v>
      </c>
      <c r="O3790">
        <v>-1.140325E-2</v>
      </c>
      <c r="P3790">
        <v>-0.99570970000000003</v>
      </c>
      <c r="Q3790">
        <v>8.8467030000000002E-2</v>
      </c>
      <c r="R3790">
        <v>-2.713219E-2</v>
      </c>
      <c r="S3790">
        <v>-3.01593</v>
      </c>
      <c r="T3790">
        <v>-4.863667E-2</v>
      </c>
      <c r="U3790">
        <v>-5.3802490000000001E-2</v>
      </c>
      <c r="V3790">
        <v>-1.5710350000000001E-2</v>
      </c>
      <c r="W3790">
        <v>9.8275390000000004E-2</v>
      </c>
      <c r="X3790">
        <v>0.99503520000000001</v>
      </c>
      <c r="Y3790">
        <v>-6.4340969999999997E-3</v>
      </c>
      <c r="Z3790">
        <v>1.3199770000000001E-4</v>
      </c>
      <c r="AA3790">
        <v>0.99997930000000002</v>
      </c>
      <c r="AB3790">
        <v>24</v>
      </c>
      <c r="AC3790">
        <v>-67.972099999999998</v>
      </c>
      <c r="AD3790">
        <v>-1.1043096062469999</v>
      </c>
      <c r="AE3790">
        <v>-1.2164999999999899</v>
      </c>
      <c r="AF3790">
        <v>-0.44116414007719601</v>
      </c>
      <c r="AG3790">
        <v>-1.1043096062469999</v>
      </c>
      <c r="AH3790">
        <v>67.963619609742295</v>
      </c>
      <c r="AI3790">
        <v>90.9308712524778</v>
      </c>
      <c r="AJ3790">
        <v>90.371912038178493</v>
      </c>
      <c r="AK3790">
        <v>67.974022361213002</v>
      </c>
      <c r="AL3790">
        <v>84.360131363248598</v>
      </c>
      <c r="AM3790">
        <v>90.904552888402307</v>
      </c>
      <c r="AN3790">
        <v>0.999999958307906</v>
      </c>
    </row>
    <row r="3791" spans="1:40" x14ac:dyDescent="0.3">
      <c r="A3791" t="str">
        <f>"20200111150050841"</f>
        <v>20200111150050841</v>
      </c>
      <c r="B3791" t="str">
        <f>"1578726050830893"</f>
        <v>1578726050830893</v>
      </c>
      <c r="C3791" t="s">
        <v>40</v>
      </c>
      <c r="D3791">
        <v>4.2183169999999999</v>
      </c>
      <c r="E3791">
        <v>0.50572620000000001</v>
      </c>
      <c r="F3791" t="s">
        <v>42</v>
      </c>
      <c r="G3791">
        <v>-340.40559999999999</v>
      </c>
      <c r="H3791" s="1">
        <v>-4.3591889999999996E-6</v>
      </c>
      <c r="I3791">
        <v>140.86330000000001</v>
      </c>
      <c r="J3791">
        <v>-306.49340000000001</v>
      </c>
      <c r="K3791">
        <v>1.104317</v>
      </c>
      <c r="L3791">
        <v>141.39359999999999</v>
      </c>
      <c r="M3791">
        <v>-0.99989079999999997</v>
      </c>
      <c r="N3791">
        <v>0</v>
      </c>
      <c r="O3791">
        <v>-1.104721E-2</v>
      </c>
      <c r="P3791">
        <v>-0.99569059999999998</v>
      </c>
      <c r="Q3791">
        <v>8.8678759999999995E-2</v>
      </c>
      <c r="R3791">
        <v>-2.714215E-2</v>
      </c>
      <c r="S3791">
        <v>-3.0203250000000001</v>
      </c>
      <c r="T3791">
        <v>-9.7683430000000002E-2</v>
      </c>
      <c r="U3791">
        <v>-4.7103880000000001E-2</v>
      </c>
      <c r="V3791">
        <v>-1.607917E-2</v>
      </c>
      <c r="W3791">
        <v>9.8477060000000005E-2</v>
      </c>
      <c r="X3791">
        <v>0.99500940000000004</v>
      </c>
      <c r="Y3791">
        <v>-4.5497840000000003E-3</v>
      </c>
      <c r="Z3791">
        <v>2.8362739999999997E-4</v>
      </c>
      <c r="AA3791">
        <v>0.99998960000000003</v>
      </c>
      <c r="AB3791">
        <v>24</v>
      </c>
      <c r="AC3791">
        <v>-33.912199999999899</v>
      </c>
      <c r="AD3791">
        <v>-1.104321359189</v>
      </c>
      <c r="AE3791">
        <v>-0.53029999999998201</v>
      </c>
      <c r="AF3791">
        <v>-0.155449590990616</v>
      </c>
      <c r="AG3791">
        <v>-1.104321359189</v>
      </c>
      <c r="AH3791">
        <v>33.880070605594803</v>
      </c>
      <c r="AI3791">
        <v>91.866876106304304</v>
      </c>
      <c r="AJ3791">
        <v>90.262884428283897</v>
      </c>
      <c r="AK3791">
        <v>33.898419940755197</v>
      </c>
      <c r="AL3791">
        <v>84.348520372146197</v>
      </c>
      <c r="AM3791">
        <v>90.925808739467001</v>
      </c>
      <c r="AN3791">
        <v>0.99999998857124595</v>
      </c>
    </row>
    <row r="3792" spans="1:40" x14ac:dyDescent="0.3">
      <c r="A3792" t="str">
        <f>"20200111150050864"</f>
        <v>20200111150050864</v>
      </c>
      <c r="B3792" t="str">
        <f>"1578726050861149"</f>
        <v>1578726050861149</v>
      </c>
      <c r="C3792" t="s">
        <v>40</v>
      </c>
      <c r="D3792">
        <v>4.2547670000000002</v>
      </c>
      <c r="E3792">
        <v>0.50504170000000004</v>
      </c>
      <c r="F3792" t="s">
        <v>42</v>
      </c>
      <c r="G3792">
        <v>-334.67180000000002</v>
      </c>
      <c r="H3792" s="1">
        <v>-2.865847E-6</v>
      </c>
      <c r="I3792">
        <v>140.99459999999999</v>
      </c>
      <c r="J3792">
        <v>-306.73919999999998</v>
      </c>
      <c r="K3792">
        <v>1.104336</v>
      </c>
      <c r="L3792">
        <v>141.3913</v>
      </c>
      <c r="M3792">
        <v>-0.99989450000000002</v>
      </c>
      <c r="N3792">
        <v>0</v>
      </c>
      <c r="O3792">
        <v>-1.0703850000000001E-2</v>
      </c>
      <c r="P3792">
        <v>-0.99573140000000004</v>
      </c>
      <c r="Q3792">
        <v>8.8247110000000004E-2</v>
      </c>
      <c r="R3792">
        <v>-2.7050439999999999E-2</v>
      </c>
      <c r="S3792">
        <v>-3.0223689999999999</v>
      </c>
      <c r="T3792">
        <v>-0.1184475</v>
      </c>
      <c r="U3792">
        <v>-4.2800900000000003E-2</v>
      </c>
      <c r="V3792">
        <v>-1.633418E-2</v>
      </c>
      <c r="W3792">
        <v>9.8037639999999995E-2</v>
      </c>
      <c r="X3792">
        <v>0.99504859999999995</v>
      </c>
      <c r="Y3792">
        <v>-3.4614049999999999E-3</v>
      </c>
      <c r="Z3792">
        <v>3.5151399999999998E-4</v>
      </c>
      <c r="AA3792">
        <v>0.99999389999999999</v>
      </c>
      <c r="AB3792">
        <v>24</v>
      </c>
      <c r="AC3792">
        <v>-27.932600000000001</v>
      </c>
      <c r="AD3792">
        <v>-1.1043388658469999</v>
      </c>
      <c r="AE3792">
        <v>-0.39670000000000899</v>
      </c>
      <c r="AF3792">
        <v>-9.7524089077034901E-2</v>
      </c>
      <c r="AG3792">
        <v>-1.1043388658469999</v>
      </c>
      <c r="AH3792">
        <v>27.891657889717798</v>
      </c>
      <c r="AI3792">
        <v>92.267363846558794</v>
      </c>
      <c r="AJ3792">
        <v>90.200335740381604</v>
      </c>
      <c r="AK3792">
        <v>27.913682220653499</v>
      </c>
      <c r="AL3792">
        <v>84.373819490717807</v>
      </c>
      <c r="AM3792">
        <v>90.940452080844594</v>
      </c>
      <c r="AN3792">
        <v>0.999999950327499</v>
      </c>
    </row>
    <row r="3793" spans="1:40" x14ac:dyDescent="0.3">
      <c r="A3793" t="str">
        <f>"20200111150050886"</f>
        <v>20200111150050886</v>
      </c>
      <c r="B3793" t="str">
        <f>"1578726050880669"</f>
        <v>1578726050880669</v>
      </c>
      <c r="C3793" t="s">
        <v>40</v>
      </c>
      <c r="D3793">
        <v>4.8002250000000002</v>
      </c>
      <c r="E3793">
        <v>0.50526769999999999</v>
      </c>
      <c r="F3793" t="s">
        <v>42</v>
      </c>
      <c r="G3793">
        <v>-331.14280000000002</v>
      </c>
      <c r="H3793" s="1">
        <v>-4.5185500000000001E-6</v>
      </c>
      <c r="I3793">
        <v>141.00380000000001</v>
      </c>
      <c r="J3793">
        <v>-306.98750000000001</v>
      </c>
      <c r="K3793">
        <v>1.104358</v>
      </c>
      <c r="L3793">
        <v>141.38900000000001</v>
      </c>
      <c r="M3793">
        <v>-0.99989790000000001</v>
      </c>
      <c r="N3793">
        <v>0</v>
      </c>
      <c r="O3793">
        <v>-1.0383730000000001E-2</v>
      </c>
      <c r="P3793">
        <v>-0.99578290000000003</v>
      </c>
      <c r="Q3793">
        <v>8.8010279999999996E-2</v>
      </c>
      <c r="R3793">
        <v>-2.590377E-2</v>
      </c>
      <c r="S3793">
        <v>-3.0237120000000002</v>
      </c>
      <c r="T3793">
        <v>-0.1368328</v>
      </c>
      <c r="U3793">
        <v>-4.8019409999999998E-2</v>
      </c>
      <c r="V3793">
        <v>-1.5510390000000001E-2</v>
      </c>
      <c r="W3793">
        <v>9.7793720000000001E-2</v>
      </c>
      <c r="X3793">
        <v>0.99508580000000002</v>
      </c>
      <c r="Y3793">
        <v>-5.5001640000000001E-3</v>
      </c>
      <c r="Z3793">
        <v>3.4525559999999997E-4</v>
      </c>
      <c r="AA3793">
        <v>0.99998480000000001</v>
      </c>
      <c r="AB3793">
        <v>24</v>
      </c>
      <c r="AC3793">
        <v>-24.1553</v>
      </c>
      <c r="AD3793">
        <v>-1.1043625185499999</v>
      </c>
      <c r="AE3793">
        <v>-0.38519999999999699</v>
      </c>
      <c r="AF3793">
        <v>-0.13406487323486499</v>
      </c>
      <c r="AG3793">
        <v>-1.1043625185499999</v>
      </c>
      <c r="AH3793">
        <v>24.107619445242001</v>
      </c>
      <c r="AI3793">
        <v>92.622827573120105</v>
      </c>
      <c r="AJ3793">
        <v>90.318624252891297</v>
      </c>
      <c r="AK3793">
        <v>24.133273820168402</v>
      </c>
      <c r="AL3793">
        <v>84.387862650650902</v>
      </c>
      <c r="AM3793">
        <v>90.892996288956297</v>
      </c>
      <c r="AN3793">
        <v>0.99999996661551405</v>
      </c>
    </row>
    <row r="3794" spans="1:40" x14ac:dyDescent="0.3">
      <c r="A3794" t="str">
        <f>"20200111150050907"</f>
        <v>20200111150050907</v>
      </c>
      <c r="B3794" t="str">
        <f>"1578726050901165"</f>
        <v>1578726050901165</v>
      </c>
      <c r="C3794" t="s">
        <v>40</v>
      </c>
      <c r="D3794">
        <v>4.3397750000000004</v>
      </c>
      <c r="E3794">
        <v>0.50533260000000002</v>
      </c>
      <c r="F3794" t="s">
        <v>42</v>
      </c>
      <c r="G3794">
        <v>-330.91019999999997</v>
      </c>
      <c r="H3794" s="1">
        <v>-4.6149880000000004E-6</v>
      </c>
      <c r="I3794">
        <v>141.04390000000001</v>
      </c>
      <c r="J3794">
        <v>-307.22699999999998</v>
      </c>
      <c r="K3794">
        <v>1.104373</v>
      </c>
      <c r="L3794">
        <v>141.3869</v>
      </c>
      <c r="M3794">
        <v>-0.99990080000000003</v>
      </c>
      <c r="N3794">
        <v>0</v>
      </c>
      <c r="O3794">
        <v>-1.009825E-2</v>
      </c>
      <c r="P3794">
        <v>-0.99576790000000004</v>
      </c>
      <c r="Q3794">
        <v>8.8367020000000004E-2</v>
      </c>
      <c r="R3794">
        <v>-2.5247700000000001E-2</v>
      </c>
      <c r="S3794">
        <v>-3.023895</v>
      </c>
      <c r="T3794">
        <v>-0.13959469999999999</v>
      </c>
      <c r="U3794">
        <v>-4.3624879999999998E-2</v>
      </c>
      <c r="V3794">
        <v>-1.514213E-2</v>
      </c>
      <c r="W3794">
        <v>9.8144430000000005E-2</v>
      </c>
      <c r="X3794">
        <v>0.99505699999999997</v>
      </c>
      <c r="Y3794">
        <v>-4.3329299999999996E-3</v>
      </c>
      <c r="Z3794">
        <v>3.6595600000000002E-4</v>
      </c>
      <c r="AA3794">
        <v>0.9999905</v>
      </c>
      <c r="AB3794">
        <v>24</v>
      </c>
      <c r="AC3794">
        <v>-23.6831999999999</v>
      </c>
      <c r="AD3794">
        <v>-1.104377614988</v>
      </c>
      <c r="AE3794">
        <v>-0.34299999999998898</v>
      </c>
      <c r="AF3794">
        <v>-0.10358690476716099</v>
      </c>
      <c r="AG3794">
        <v>-1.104377614988</v>
      </c>
      <c r="AH3794">
        <v>23.634075247215399</v>
      </c>
      <c r="AI3794">
        <v>92.675356427186003</v>
      </c>
      <c r="AJ3794">
        <v>90.251122770386203</v>
      </c>
      <c r="AK3794">
        <v>23.660090721600401</v>
      </c>
      <c r="AL3794">
        <v>84.367671635787104</v>
      </c>
      <c r="AM3794">
        <v>90.871822602412905</v>
      </c>
      <c r="AN3794">
        <v>1.0000000232449799</v>
      </c>
    </row>
    <row r="3795" spans="1:40" x14ac:dyDescent="0.3">
      <c r="A3795" t="str">
        <f>"20200111150050930"</f>
        <v>20200111150050930</v>
      </c>
      <c r="B3795" t="str">
        <f>"1578726050920684"</f>
        <v>1578726050920684</v>
      </c>
      <c r="C3795" t="s">
        <v>40</v>
      </c>
      <c r="D3795">
        <v>4.2814839999999998</v>
      </c>
      <c r="E3795">
        <v>0.50447710000000001</v>
      </c>
      <c r="F3795" t="s">
        <v>42</v>
      </c>
      <c r="G3795">
        <v>-331.6549</v>
      </c>
      <c r="H3795" s="1">
        <v>-4.3078609999999999E-6</v>
      </c>
      <c r="I3795">
        <v>141.05430000000001</v>
      </c>
      <c r="J3795">
        <v>-307.47190000000001</v>
      </c>
      <c r="K3795">
        <v>1.104385</v>
      </c>
      <c r="L3795">
        <v>141.38470000000001</v>
      </c>
      <c r="M3795">
        <v>-0.99990380000000001</v>
      </c>
      <c r="N3795">
        <v>0</v>
      </c>
      <c r="O3795">
        <v>-9.8262100000000002E-3</v>
      </c>
      <c r="P3795">
        <v>-0.99576399999999998</v>
      </c>
      <c r="Q3795">
        <v>8.8376949999999996E-2</v>
      </c>
      <c r="R3795">
        <v>-2.5382729999999999E-2</v>
      </c>
      <c r="S3795">
        <v>-3.0238040000000002</v>
      </c>
      <c r="T3795">
        <v>-0.13670499999999999</v>
      </c>
      <c r="U3795">
        <v>-4.1168209999999997E-2</v>
      </c>
      <c r="V3795">
        <v>-1.5550649999999999E-2</v>
      </c>
      <c r="W3795">
        <v>9.8149639999999996E-2</v>
      </c>
      <c r="X3795">
        <v>0.9950502</v>
      </c>
      <c r="Y3795">
        <v>-3.7931829999999999E-3</v>
      </c>
      <c r="Z3795">
        <v>3.5830390000000001E-4</v>
      </c>
      <c r="AA3795">
        <v>0.99999269999999996</v>
      </c>
      <c r="AB3795">
        <v>24</v>
      </c>
      <c r="AC3795">
        <v>-24.183</v>
      </c>
      <c r="AD3795">
        <v>-1.1043893078610001</v>
      </c>
      <c r="AE3795">
        <v>-0.33039999999999697</v>
      </c>
      <c r="AF3795">
        <v>-9.2552435156417201E-2</v>
      </c>
      <c r="AG3795">
        <v>-1.1043893078610001</v>
      </c>
      <c r="AH3795">
        <v>24.134753868293998</v>
      </c>
      <c r="AI3795">
        <v>92.619967551047793</v>
      </c>
      <c r="AJ3795">
        <v>90.219717920179505</v>
      </c>
      <c r="AK3795">
        <v>24.160185967407202</v>
      </c>
      <c r="AL3795">
        <v>84.367371757300901</v>
      </c>
      <c r="AM3795">
        <v>90.895345870730395</v>
      </c>
      <c r="AN3795">
        <v>1.0000000375337901</v>
      </c>
    </row>
    <row r="3796" spans="1:40" x14ac:dyDescent="0.3">
      <c r="A3796" t="str">
        <f>"20200111150051064"</f>
        <v>20200111150051064</v>
      </c>
      <c r="B3796" t="str">
        <f>"1578726051061231"</f>
        <v>1578726051061231</v>
      </c>
      <c r="C3796" t="s">
        <v>40</v>
      </c>
      <c r="D3796">
        <v>4.4079280000000001</v>
      </c>
      <c r="E3796">
        <v>0.50497440000000005</v>
      </c>
      <c r="F3796" t="s">
        <v>42</v>
      </c>
      <c r="G3796">
        <v>-330.43169999999998</v>
      </c>
      <c r="H3796" s="1">
        <v>-4.7946300000000002E-6</v>
      </c>
      <c r="I3796">
        <v>141.02070000000001</v>
      </c>
      <c r="J3796">
        <v>-308.9384</v>
      </c>
      <c r="K3796">
        <v>1.104395</v>
      </c>
      <c r="L3796">
        <v>141.37299999999999</v>
      </c>
      <c r="M3796">
        <v>-0.99991739999999996</v>
      </c>
      <c r="N3796">
        <v>0</v>
      </c>
      <c r="O3796">
        <v>-8.2996709999999998E-3</v>
      </c>
      <c r="P3796">
        <v>-0.99579039999999996</v>
      </c>
      <c r="Q3796">
        <v>8.7766739999999996E-2</v>
      </c>
      <c r="R3796">
        <v>-2.6431759999999999E-2</v>
      </c>
      <c r="S3796">
        <v>-3.0245060000000001</v>
      </c>
      <c r="T3796">
        <v>-0.14548220000000001</v>
      </c>
      <c r="U3796">
        <v>-4.795837E-2</v>
      </c>
      <c r="V3796">
        <v>-1.812194E-2</v>
      </c>
      <c r="W3796">
        <v>9.7531779999999998E-2</v>
      </c>
      <c r="X3796">
        <v>0.99506740000000005</v>
      </c>
      <c r="Y3796">
        <v>-7.5558930000000002E-3</v>
      </c>
      <c r="Z3796">
        <v>2.173702E-4</v>
      </c>
      <c r="AA3796">
        <v>0.99997139999999995</v>
      </c>
      <c r="AB3796">
        <v>25</v>
      </c>
      <c r="AC3796">
        <v>-21.493299999999898</v>
      </c>
      <c r="AD3796">
        <v>-1.1043997946299999</v>
      </c>
      <c r="AE3796">
        <v>-0.35229999999998501</v>
      </c>
      <c r="AF3796">
        <v>-0.173434167142933</v>
      </c>
      <c r="AG3796">
        <v>-1.1043997946299999</v>
      </c>
      <c r="AH3796">
        <v>21.438894734640702</v>
      </c>
      <c r="AI3796">
        <v>92.948822655958594</v>
      </c>
      <c r="AJ3796">
        <v>90.463495397569005</v>
      </c>
      <c r="AK3796">
        <v>21.468022399832702</v>
      </c>
      <c r="AL3796">
        <v>84.4029429380534</v>
      </c>
      <c r="AM3796">
        <v>91.043342299967406</v>
      </c>
      <c r="AN3796">
        <v>0.99999999168104603</v>
      </c>
    </row>
    <row r="3797" spans="1:40" x14ac:dyDescent="0.3">
      <c r="A3797" t="str">
        <f>"20200111150051109"</f>
        <v>20200111150051109</v>
      </c>
      <c r="B3797" t="str">
        <f>"1578726051101244"</f>
        <v>1578726051101244</v>
      </c>
      <c r="C3797" t="s">
        <v>40</v>
      </c>
      <c r="D3797">
        <v>4.474259</v>
      </c>
      <c r="E3797">
        <v>0.50583270000000002</v>
      </c>
      <c r="F3797" t="s">
        <v>42</v>
      </c>
      <c r="G3797">
        <v>-332.2448</v>
      </c>
      <c r="H3797" s="1">
        <v>-4.0177639999999997E-6</v>
      </c>
      <c r="I3797">
        <v>141.0121</v>
      </c>
      <c r="J3797">
        <v>-309.44170000000003</v>
      </c>
      <c r="K3797">
        <v>1.1043909999999999</v>
      </c>
      <c r="L3797">
        <v>141.36940000000001</v>
      </c>
      <c r="M3797">
        <v>-0.99992199999999998</v>
      </c>
      <c r="N3797">
        <v>0</v>
      </c>
      <c r="O3797">
        <v>-7.7591480000000004E-3</v>
      </c>
      <c r="P3797">
        <v>-0.99573560000000005</v>
      </c>
      <c r="Q3797">
        <v>8.8051190000000001E-2</v>
      </c>
      <c r="R3797">
        <v>-2.752665E-2</v>
      </c>
      <c r="S3797">
        <v>-3.0241090000000002</v>
      </c>
      <c r="T3797">
        <v>-0.14330039999999999</v>
      </c>
      <c r="U3797">
        <v>-4.6829219999999998E-2</v>
      </c>
      <c r="V3797">
        <v>-1.975406E-2</v>
      </c>
      <c r="W3797">
        <v>9.7817940000000006E-2</v>
      </c>
      <c r="X3797">
        <v>0.99500820000000001</v>
      </c>
      <c r="Y3797">
        <v>-7.7244239999999997E-3</v>
      </c>
      <c r="Z3797">
        <v>1.845549E-4</v>
      </c>
      <c r="AA3797">
        <v>0.99997009999999997</v>
      </c>
      <c r="AB3797">
        <v>25</v>
      </c>
      <c r="AC3797">
        <v>-22.803099999999901</v>
      </c>
      <c r="AD3797">
        <v>-1.1043950177639901</v>
      </c>
      <c r="AE3797">
        <v>-0.357300000000009</v>
      </c>
      <c r="AF3797">
        <v>-0.17992620253278499</v>
      </c>
      <c r="AG3797">
        <v>-1.1043950177639901</v>
      </c>
      <c r="AH3797">
        <v>22.7518315029177</v>
      </c>
      <c r="AI3797">
        <v>92.778922272343294</v>
      </c>
      <c r="AJ3797">
        <v>90.453097462858196</v>
      </c>
      <c r="AK3797">
        <v>22.7793305110308</v>
      </c>
      <c r="AL3797">
        <v>84.386468140674907</v>
      </c>
      <c r="AM3797">
        <v>91.137353038179498</v>
      </c>
      <c r="AN3797">
        <v>0.99999994516978197</v>
      </c>
    </row>
    <row r="3798" spans="1:40" x14ac:dyDescent="0.3">
      <c r="A3798" t="str">
        <f>"20200111150051131"</f>
        <v>20200111150051131</v>
      </c>
      <c r="B3798" t="str">
        <f>"1578726051120764"</f>
        <v>1578726051120764</v>
      </c>
      <c r="C3798" t="s">
        <v>40</v>
      </c>
      <c r="D3798">
        <v>4.4660799999999998</v>
      </c>
      <c r="E3798">
        <v>0.50651599999999997</v>
      </c>
      <c r="F3798" t="s">
        <v>42</v>
      </c>
      <c r="G3798">
        <v>-335.02089999999998</v>
      </c>
      <c r="H3798" s="1">
        <v>-2.7065709999999999E-6</v>
      </c>
      <c r="I3798">
        <v>141.01609999999999</v>
      </c>
      <c r="J3798">
        <v>-309.69110000000001</v>
      </c>
      <c r="K3798">
        <v>1.104398</v>
      </c>
      <c r="L3798">
        <v>141.36779999999999</v>
      </c>
      <c r="M3798">
        <v>-0.99992389999999998</v>
      </c>
      <c r="N3798">
        <v>0</v>
      </c>
      <c r="O3798">
        <v>-7.4890099999999999E-3</v>
      </c>
      <c r="P3798">
        <v>-0.99567680000000003</v>
      </c>
      <c r="Q3798">
        <v>8.873267E-2</v>
      </c>
      <c r="R3798">
        <v>-2.7465960000000001E-2</v>
      </c>
      <c r="S3798">
        <v>-3.0232540000000001</v>
      </c>
      <c r="T3798">
        <v>-0.1305307</v>
      </c>
      <c r="U3798">
        <v>-4.1763309999999998E-2</v>
      </c>
      <c r="V3798">
        <v>-1.9962420000000002E-2</v>
      </c>
      <c r="W3798">
        <v>9.8499840000000005E-2</v>
      </c>
      <c r="X3798">
        <v>0.99493679999999995</v>
      </c>
      <c r="Y3798">
        <v>-6.3247470000000004E-3</v>
      </c>
      <c r="Z3798">
        <v>1.867181E-4</v>
      </c>
      <c r="AA3798">
        <v>0.99997999999999998</v>
      </c>
      <c r="AB3798">
        <v>25</v>
      </c>
      <c r="AC3798">
        <v>-25.329799999999899</v>
      </c>
      <c r="AD3798">
        <v>-1.104400706571</v>
      </c>
      <c r="AE3798">
        <v>-0.35169999999999302</v>
      </c>
      <c r="AF3798">
        <v>-0.16167859723637901</v>
      </c>
      <c r="AG3798">
        <v>-1.104400706571</v>
      </c>
      <c r="AH3798">
        <v>25.2836677773196</v>
      </c>
      <c r="AI3798">
        <v>92.501061582668498</v>
      </c>
      <c r="AJ3798">
        <v>90.366377816704897</v>
      </c>
      <c r="AK3798">
        <v>25.308293051159101</v>
      </c>
      <c r="AL3798">
        <v>84.347208728305702</v>
      </c>
      <c r="AM3798">
        <v>91.149428760275796</v>
      </c>
      <c r="AN3798">
        <v>0.99999997634325999</v>
      </c>
    </row>
    <row r="3799" spans="1:40" x14ac:dyDescent="0.3">
      <c r="A3799" t="str">
        <f>"20200111150051152"</f>
        <v>20200111150051152</v>
      </c>
      <c r="B3799" t="str">
        <f>"1578726051141261"</f>
        <v>1578726051141261</v>
      </c>
      <c r="C3799" t="s">
        <v>40</v>
      </c>
      <c r="D3799">
        <v>4.4586180000000004</v>
      </c>
      <c r="E3799">
        <v>0.50711660000000003</v>
      </c>
      <c r="F3799" t="s">
        <v>42</v>
      </c>
      <c r="G3799">
        <v>-337.08589999999998</v>
      </c>
      <c r="H3799" s="1">
        <v>-1.7377300000000001E-6</v>
      </c>
      <c r="I3799">
        <v>141.04349999999999</v>
      </c>
      <c r="J3799">
        <v>-309.92500000000001</v>
      </c>
      <c r="K3799">
        <v>1.104414</v>
      </c>
      <c r="L3799">
        <v>141.3663</v>
      </c>
      <c r="M3799">
        <v>-0.99992570000000003</v>
      </c>
      <c r="N3799">
        <v>0</v>
      </c>
      <c r="O3799">
        <v>-7.2358049999999997E-3</v>
      </c>
      <c r="P3799">
        <v>-0.99537929999999997</v>
      </c>
      <c r="Q3799">
        <v>9.2199249999999996E-2</v>
      </c>
      <c r="R3799">
        <v>-2.6819989999999998E-2</v>
      </c>
      <c r="S3799">
        <v>-3.0229189999999999</v>
      </c>
      <c r="T3799">
        <v>-0.1218668</v>
      </c>
      <c r="U3799">
        <v>-3.5781859999999999E-2</v>
      </c>
      <c r="V3799">
        <v>-1.95689E-2</v>
      </c>
      <c r="W3799">
        <v>0.1019642</v>
      </c>
      <c r="X3799">
        <v>0.99459560000000002</v>
      </c>
      <c r="Y3799">
        <v>-4.602213E-3</v>
      </c>
      <c r="Z3799">
        <v>1.9886E-4</v>
      </c>
      <c r="AA3799">
        <v>0.99998940000000003</v>
      </c>
      <c r="AB3799">
        <v>25</v>
      </c>
      <c r="AC3799">
        <v>-27.160899999999899</v>
      </c>
      <c r="AD3799">
        <v>-1.1044157377299999</v>
      </c>
      <c r="AE3799">
        <v>-0.32279999999999998</v>
      </c>
      <c r="AF3799">
        <v>-0.12604274600438201</v>
      </c>
      <c r="AG3799">
        <v>-1.1044157377299999</v>
      </c>
      <c r="AH3799">
        <v>27.117694768953299</v>
      </c>
      <c r="AI3799">
        <v>92.332157197999706</v>
      </c>
      <c r="AJ3799">
        <v>90.266308233092005</v>
      </c>
      <c r="AK3799">
        <v>27.140467764533501</v>
      </c>
      <c r="AL3799">
        <v>84.147711038204307</v>
      </c>
      <c r="AM3799">
        <v>91.127162369936698</v>
      </c>
      <c r="AN3799">
        <v>1.0000000237341</v>
      </c>
    </row>
    <row r="3800" spans="1:40" x14ac:dyDescent="0.3">
      <c r="A3800" t="str">
        <f>"20200111150051175"</f>
        <v>20200111150051175</v>
      </c>
      <c r="B3800" t="str">
        <f>"1578726051170541"</f>
        <v>1578726051170541</v>
      </c>
      <c r="C3800" t="s">
        <v>40</v>
      </c>
      <c r="D3800">
        <v>4.4860749999999996</v>
      </c>
      <c r="E3800">
        <v>0.50805149999999999</v>
      </c>
      <c r="F3800" t="s">
        <v>42</v>
      </c>
      <c r="G3800">
        <v>-342.10419999999999</v>
      </c>
      <c r="H3800" s="1">
        <v>-3.753271E-6</v>
      </c>
      <c r="I3800">
        <v>141.05840000000001</v>
      </c>
      <c r="J3800">
        <v>-310.1773</v>
      </c>
      <c r="K3800">
        <v>1.1044149999999999</v>
      </c>
      <c r="L3800">
        <v>141.3648</v>
      </c>
      <c r="M3800">
        <v>-0.99992780000000003</v>
      </c>
      <c r="N3800">
        <v>0</v>
      </c>
      <c r="O3800">
        <v>-6.9626940000000002E-3</v>
      </c>
      <c r="P3800">
        <v>-0.99521760000000004</v>
      </c>
      <c r="Q3800">
        <v>9.416223E-2</v>
      </c>
      <c r="R3800">
        <v>-2.5998299999999998E-2</v>
      </c>
      <c r="S3800">
        <v>-3.0227659999999998</v>
      </c>
      <c r="T3800">
        <v>-0.1037439</v>
      </c>
      <c r="U3800">
        <v>-2.8915409999999999E-2</v>
      </c>
      <c r="V3800">
        <v>-1.901914E-2</v>
      </c>
      <c r="W3800">
        <v>0.1039268</v>
      </c>
      <c r="X3800">
        <v>0.99440309999999998</v>
      </c>
      <c r="Y3800">
        <v>-2.6050629999999999E-3</v>
      </c>
      <c r="Z3800">
        <v>1.9420799999999999E-4</v>
      </c>
      <c r="AA3800">
        <v>0.99999660000000001</v>
      </c>
      <c r="AB3800">
        <v>25</v>
      </c>
      <c r="AC3800">
        <v>-31.9268999999999</v>
      </c>
      <c r="AD3800">
        <v>-1.1044187532709999</v>
      </c>
      <c r="AE3800">
        <v>-0.30639999999999601</v>
      </c>
      <c r="AF3800">
        <v>-8.3984188076194496E-2</v>
      </c>
      <c r="AG3800">
        <v>-1.1044187532709999</v>
      </c>
      <c r="AH3800">
        <v>31.890102868439602</v>
      </c>
      <c r="AI3800">
        <v>91.983469115276606</v>
      </c>
      <c r="AJ3800">
        <v>90.150890965073202</v>
      </c>
      <c r="AK3800">
        <v>31.909331786894001</v>
      </c>
      <c r="AL3800">
        <v>84.034661649706095</v>
      </c>
      <c r="AM3800">
        <v>91.095716218457994</v>
      </c>
      <c r="AN3800">
        <v>1.0000000163670899</v>
      </c>
    </row>
    <row r="3801" spans="1:40" x14ac:dyDescent="0.3">
      <c r="A3801" t="str">
        <f>"20200111150051198"</f>
        <v>20200111150051198</v>
      </c>
      <c r="B3801" t="str">
        <f>"1578726051191036"</f>
        <v>1578726051191036</v>
      </c>
      <c r="C3801" t="s">
        <v>40</v>
      </c>
      <c r="D3801">
        <v>4.4799699999999998</v>
      </c>
      <c r="E3801">
        <v>0.50851729999999995</v>
      </c>
      <c r="F3801" t="s">
        <v>42</v>
      </c>
      <c r="G3801">
        <v>-348.26499999999999</v>
      </c>
      <c r="H3801" s="1">
        <v>-1.1296529999999999E-6</v>
      </c>
      <c r="I3801">
        <v>141.1311</v>
      </c>
      <c r="J3801">
        <v>-310.43419999999998</v>
      </c>
      <c r="K3801">
        <v>1.1044039999999999</v>
      </c>
      <c r="L3801">
        <v>141.36330000000001</v>
      </c>
      <c r="M3801">
        <v>-0.99992959999999997</v>
      </c>
      <c r="N3801">
        <v>0</v>
      </c>
      <c r="O3801">
        <v>-6.6848189999999998E-3</v>
      </c>
      <c r="P3801">
        <v>-0.99547960000000002</v>
      </c>
      <c r="Q3801">
        <v>9.1734479999999993E-2</v>
      </c>
      <c r="R3801">
        <v>-2.4601890000000001E-2</v>
      </c>
      <c r="S3801">
        <v>-3.0222169999999999</v>
      </c>
      <c r="T3801">
        <v>-8.7634210000000004E-2</v>
      </c>
      <c r="U3801">
        <v>-1.8539429999999999E-2</v>
      </c>
      <c r="V3801">
        <v>-1.789843E-2</v>
      </c>
      <c r="W3801">
        <v>0.1015026</v>
      </c>
      <c r="X3801">
        <v>0.99467430000000001</v>
      </c>
      <c r="Y3801">
        <v>5.4784579999999999E-4</v>
      </c>
      <c r="Z3801">
        <v>2.0174329999999999E-4</v>
      </c>
      <c r="AA3801">
        <v>0.99999979999999999</v>
      </c>
      <c r="AB3801">
        <v>25</v>
      </c>
      <c r="AC3801">
        <v>-37.830800000000004</v>
      </c>
      <c r="AD3801">
        <v>-1.104405129653</v>
      </c>
      <c r="AE3801">
        <v>-0.23220000000000601</v>
      </c>
      <c r="AF3801">
        <v>2.06917588635229E-2</v>
      </c>
      <c r="AG3801">
        <v>-1.104405129653</v>
      </c>
      <c r="AH3801">
        <v>37.799293786785299</v>
      </c>
      <c r="AI3801">
        <v>91.673569533328404</v>
      </c>
      <c r="AJ3801">
        <v>89.968635648542801</v>
      </c>
      <c r="AK3801">
        <v>37.815430046728203</v>
      </c>
      <c r="AL3801">
        <v>84.174296842097803</v>
      </c>
      <c r="AM3801">
        <v>91.030884015524506</v>
      </c>
      <c r="AN3801">
        <v>1.00000004734185</v>
      </c>
    </row>
    <row r="3802" spans="1:40" x14ac:dyDescent="0.3">
      <c r="A3802" t="str">
        <f>"20200111150051231"</f>
        <v>20200111150051231</v>
      </c>
      <c r="B3802" t="str">
        <f>"1578726051221293"</f>
        <v>1578726051221293</v>
      </c>
      <c r="C3802" t="s">
        <v>40</v>
      </c>
      <c r="D3802">
        <v>4.4326030000000003</v>
      </c>
      <c r="E3802">
        <v>0.50913960000000003</v>
      </c>
      <c r="F3802" t="s">
        <v>42</v>
      </c>
      <c r="G3802">
        <v>-346.96289999999999</v>
      </c>
      <c r="H3802" s="1">
        <v>-1.716599E-6</v>
      </c>
      <c r="I3802">
        <v>141.23759999999999</v>
      </c>
      <c r="J3802">
        <v>-310.79930000000002</v>
      </c>
      <c r="K3802">
        <v>1.104384</v>
      </c>
      <c r="L3802">
        <v>141.3613</v>
      </c>
      <c r="M3802">
        <v>-0.99993209999999999</v>
      </c>
      <c r="N3802">
        <v>0</v>
      </c>
      <c r="O3802">
        <v>-6.2904839999999998E-3</v>
      </c>
      <c r="P3802">
        <v>-0.99569580000000002</v>
      </c>
      <c r="Q3802">
        <v>8.9409899999999903E-2</v>
      </c>
      <c r="R3802">
        <v>-2.4410100000000001E-2</v>
      </c>
      <c r="S3802">
        <v>-3.02182</v>
      </c>
      <c r="T3802">
        <v>-9.1361520000000002E-2</v>
      </c>
      <c r="U3802">
        <v>-1.039124E-2</v>
      </c>
      <c r="V3802">
        <v>-1.8098570000000001E-2</v>
      </c>
      <c r="W3802">
        <v>9.9183599999999997E-2</v>
      </c>
      <c r="X3802">
        <v>0.99490449999999997</v>
      </c>
      <c r="Y3802">
        <v>2.8479289999999999E-3</v>
      </c>
      <c r="Z3802">
        <v>2.3319190000000001E-4</v>
      </c>
      <c r="AA3802">
        <v>0.99999590000000005</v>
      </c>
      <c r="AB3802">
        <v>25</v>
      </c>
      <c r="AC3802">
        <v>-36.163599999999903</v>
      </c>
      <c r="AD3802">
        <v>-1.1043857165989901</v>
      </c>
      <c r="AE3802">
        <v>-0.12370000000001299</v>
      </c>
      <c r="AF3802">
        <v>0.103703227487366</v>
      </c>
      <c r="AG3802">
        <v>-1.1043857165989901</v>
      </c>
      <c r="AH3802">
        <v>36.129967960120197</v>
      </c>
      <c r="AI3802">
        <v>91.750809296390202</v>
      </c>
      <c r="AJ3802">
        <v>89.835545358178905</v>
      </c>
      <c r="AK3802">
        <v>36.1469916724716</v>
      </c>
      <c r="AL3802">
        <v>84.307839254146103</v>
      </c>
      <c r="AM3802">
        <v>91.042167678730493</v>
      </c>
      <c r="AN3802">
        <v>0.99999995443262601</v>
      </c>
    </row>
    <row r="3803" spans="1:40" x14ac:dyDescent="0.3">
      <c r="A3803" t="str">
        <f>"20200111150051253"</f>
        <v>20200111150051253</v>
      </c>
      <c r="B3803" t="str">
        <f>"1578726051240813"</f>
        <v>1578726051240813</v>
      </c>
      <c r="C3803" t="s">
        <v>40</v>
      </c>
      <c r="D3803">
        <v>4.4270899999999997</v>
      </c>
      <c r="E3803">
        <v>0.50942659999999995</v>
      </c>
      <c r="F3803" t="s">
        <v>42</v>
      </c>
      <c r="G3803">
        <v>-345.57940000000002</v>
      </c>
      <c r="H3803" s="1">
        <v>-2.3291860000000001E-6</v>
      </c>
      <c r="I3803">
        <v>141.3092</v>
      </c>
      <c r="J3803">
        <v>-311.04349999999999</v>
      </c>
      <c r="K3803">
        <v>1.1043780000000001</v>
      </c>
      <c r="L3803">
        <v>141.36000000000001</v>
      </c>
      <c r="M3803">
        <v>-0.99993379999999998</v>
      </c>
      <c r="N3803">
        <v>0</v>
      </c>
      <c r="O3803">
        <v>-6.0270410000000003E-3</v>
      </c>
      <c r="P3803">
        <v>-0.99567419999999995</v>
      </c>
      <c r="Q3803">
        <v>8.9621880000000001E-2</v>
      </c>
      <c r="R3803">
        <v>-2.4516199999999998E-2</v>
      </c>
      <c r="S3803">
        <v>-3.021515</v>
      </c>
      <c r="T3803">
        <v>-9.594345E-2</v>
      </c>
      <c r="U3803">
        <v>-4.5166019999999998E-3</v>
      </c>
      <c r="V3803">
        <v>-1.8467259999999999E-2</v>
      </c>
      <c r="W3803">
        <v>9.9397589999999994E-2</v>
      </c>
      <c r="X3803">
        <v>0.99487639999999999</v>
      </c>
      <c r="Y3803">
        <v>4.5272200000000002E-3</v>
      </c>
      <c r="Z3803">
        <v>2.6319819999999998E-4</v>
      </c>
      <c r="AA3803">
        <v>0.99998969999999998</v>
      </c>
      <c r="AB3803">
        <v>25</v>
      </c>
      <c r="AC3803">
        <v>-34.535899999999998</v>
      </c>
      <c r="AD3803">
        <v>-1.1043803291859999</v>
      </c>
      <c r="AE3803">
        <v>-5.0800000000009497E-2</v>
      </c>
      <c r="AF3803">
        <v>0.15719945913157701</v>
      </c>
      <c r="AG3803">
        <v>-1.1043803291859999</v>
      </c>
      <c r="AH3803">
        <v>34.500299744034002</v>
      </c>
      <c r="AI3803">
        <v>91.833435552382795</v>
      </c>
      <c r="AJ3803">
        <v>89.738935508215704</v>
      </c>
      <c r="AK3803">
        <v>34.518329189137098</v>
      </c>
      <c r="AL3803">
        <v>84.295517822493593</v>
      </c>
      <c r="AM3803">
        <v>91.063423110572003</v>
      </c>
      <c r="AN3803">
        <v>0.99999998593333705</v>
      </c>
    </row>
    <row r="3804" spans="1:40" x14ac:dyDescent="0.3">
      <c r="A3804" t="str">
        <f>"20200111150051275"</f>
        <v>20200111150051275</v>
      </c>
      <c r="B3804" t="str">
        <f>"1578726051271069"</f>
        <v>1578726051271069</v>
      </c>
      <c r="C3804" t="s">
        <v>40</v>
      </c>
      <c r="D3804">
        <v>4.3783969999999997</v>
      </c>
      <c r="E3804">
        <v>0.50976809999999995</v>
      </c>
      <c r="F3804" t="s">
        <v>42</v>
      </c>
      <c r="G3804">
        <v>-346.43610000000001</v>
      </c>
      <c r="H3804" s="1">
        <v>-1.9667519999999999E-6</v>
      </c>
      <c r="I3804">
        <v>141.32830000000001</v>
      </c>
      <c r="J3804">
        <v>-311.29410000000001</v>
      </c>
      <c r="K3804">
        <v>1.1043700000000001</v>
      </c>
      <c r="L3804">
        <v>141.3588</v>
      </c>
      <c r="M3804">
        <v>-0.99993529999999997</v>
      </c>
      <c r="N3804">
        <v>0</v>
      </c>
      <c r="O3804">
        <v>-5.7566850000000001E-3</v>
      </c>
      <c r="P3804">
        <v>-0.99577979999999999</v>
      </c>
      <c r="Q3804">
        <v>8.8478600000000004E-2</v>
      </c>
      <c r="R3804">
        <v>-2.437661E-2</v>
      </c>
      <c r="S3804">
        <v>-3.0214539999999999</v>
      </c>
      <c r="T3804">
        <v>-9.4280840000000005E-2</v>
      </c>
      <c r="U3804">
        <v>-2.700806E-3</v>
      </c>
      <c r="V3804">
        <v>-1.8596519999999998E-2</v>
      </c>
      <c r="W3804">
        <v>9.8257830000000004E-2</v>
      </c>
      <c r="X3804">
        <v>0.99498719999999996</v>
      </c>
      <c r="Y3804">
        <v>4.857933E-3</v>
      </c>
      <c r="Z3804">
        <v>2.5536910000000001E-4</v>
      </c>
      <c r="AA3804">
        <v>0.99998810000000005</v>
      </c>
      <c r="AB3804">
        <v>25</v>
      </c>
      <c r="AC3804">
        <v>-35.142000000000003</v>
      </c>
      <c r="AD3804">
        <v>-1.104371966752</v>
      </c>
      <c r="AE3804">
        <v>-3.04999999999893E-2</v>
      </c>
      <c r="AF3804">
        <v>0.17164215442157399</v>
      </c>
      <c r="AG3804">
        <v>-1.104371966752</v>
      </c>
      <c r="AH3804">
        <v>35.1069219257163</v>
      </c>
      <c r="AI3804">
        <v>91.801759716419099</v>
      </c>
      <c r="AJ3804">
        <v>89.719875963548503</v>
      </c>
      <c r="AK3804">
        <v>35.124707337833598</v>
      </c>
      <c r="AL3804">
        <v>84.361142492692693</v>
      </c>
      <c r="AM3804">
        <v>91.070745500199294</v>
      </c>
      <c r="AN3804">
        <v>0.99999997993812895</v>
      </c>
    </row>
    <row r="3805" spans="1:40" x14ac:dyDescent="0.3">
      <c r="A3805" t="str">
        <f>"20200111150051298"</f>
        <v>20200111150051298</v>
      </c>
      <c r="B3805" t="str">
        <f>"1578726051290588"</f>
        <v>1578726051290588</v>
      </c>
      <c r="C3805" t="s">
        <v>40</v>
      </c>
      <c r="D3805">
        <v>4.3822130000000001</v>
      </c>
      <c r="E3805">
        <v>0.50983210000000001</v>
      </c>
      <c r="F3805" t="s">
        <v>42</v>
      </c>
      <c r="G3805">
        <v>-346.38249999999999</v>
      </c>
      <c r="H3805" s="1">
        <v>-1.9989579999999999E-6</v>
      </c>
      <c r="I3805">
        <v>141.363</v>
      </c>
      <c r="J3805">
        <v>-311.55079999999998</v>
      </c>
      <c r="K3805">
        <v>1.104374</v>
      </c>
      <c r="L3805">
        <v>141.35769999999999</v>
      </c>
      <c r="M3805">
        <v>-0.99993679999999996</v>
      </c>
      <c r="N3805">
        <v>0</v>
      </c>
      <c r="O3805">
        <v>-5.4801320000000004E-3</v>
      </c>
      <c r="P3805">
        <v>-0.99582550000000003</v>
      </c>
      <c r="Q3805">
        <v>8.8097709999999996E-2</v>
      </c>
      <c r="R3805">
        <v>-2.3884019999999999E-2</v>
      </c>
      <c r="S3805">
        <v>-3.02121</v>
      </c>
      <c r="T3805">
        <v>-9.5089549999999995E-2</v>
      </c>
      <c r="U3805">
        <v>3.6621089999999999E-4</v>
      </c>
      <c r="V3805">
        <v>-1.8379429999999999E-2</v>
      </c>
      <c r="W3805">
        <v>9.7879149999999998E-2</v>
      </c>
      <c r="X3805">
        <v>0.99502860000000004</v>
      </c>
      <c r="Y3805">
        <v>5.5961229999999997E-3</v>
      </c>
      <c r="Z3805">
        <v>2.6049109999999999E-4</v>
      </c>
      <c r="AA3805">
        <v>0.99998430000000005</v>
      </c>
      <c r="AB3805">
        <v>25</v>
      </c>
      <c r="AC3805">
        <v>-34.831699999999998</v>
      </c>
      <c r="AD3805">
        <v>-1.104375998958</v>
      </c>
      <c r="AE3805">
        <v>5.3000000000054098E-3</v>
      </c>
      <c r="AF3805">
        <v>0.19599440383208799</v>
      </c>
      <c r="AG3805">
        <v>-1.104375998958</v>
      </c>
      <c r="AH3805">
        <v>34.796168176866701</v>
      </c>
      <c r="AI3805">
        <v>91.817839450367799</v>
      </c>
      <c r="AJ3805">
        <v>89.677276723887601</v>
      </c>
      <c r="AK3805">
        <v>34.814241050843002</v>
      </c>
      <c r="AL3805">
        <v>84.382944594672097</v>
      </c>
      <c r="AM3805">
        <v>91.058204788633404</v>
      </c>
      <c r="AN3805">
        <v>1.0000000231349</v>
      </c>
    </row>
    <row r="3806" spans="1:40" x14ac:dyDescent="0.3">
      <c r="A3806" t="str">
        <f>"20200111150051319"</f>
        <v>20200111150051319</v>
      </c>
      <c r="B3806" t="str">
        <f>"1578726051311087"</f>
        <v>1578726051311087</v>
      </c>
      <c r="C3806" t="s">
        <v>40</v>
      </c>
      <c r="D3806">
        <v>4.3873319999999998</v>
      </c>
      <c r="E3806">
        <v>0.51004559999999999</v>
      </c>
      <c r="F3806" t="s">
        <v>42</v>
      </c>
      <c r="G3806">
        <v>-346.84269999999998</v>
      </c>
      <c r="H3806" s="1">
        <v>-1.80657E-6</v>
      </c>
      <c r="I3806">
        <v>141.38200000000001</v>
      </c>
      <c r="J3806">
        <v>-311.79469999999998</v>
      </c>
      <c r="K3806">
        <v>1.104374</v>
      </c>
      <c r="L3806">
        <v>141.35659999999999</v>
      </c>
      <c r="M3806">
        <v>-0.9999382</v>
      </c>
      <c r="N3806">
        <v>0</v>
      </c>
      <c r="O3806">
        <v>-5.2178830000000004E-3</v>
      </c>
      <c r="P3806">
        <v>-0.99580809999999997</v>
      </c>
      <c r="Q3806">
        <v>8.8332759999999996E-2</v>
      </c>
      <c r="R3806">
        <v>-2.374134E-2</v>
      </c>
      <c r="S3806">
        <v>-3.0209959999999998</v>
      </c>
      <c r="T3806">
        <v>-9.4534750000000001E-2</v>
      </c>
      <c r="U3806">
        <v>2.0904539999999998E-3</v>
      </c>
      <c r="V3806">
        <v>-1.8497619999999999E-2</v>
      </c>
      <c r="W3806">
        <v>9.8116900000000007E-2</v>
      </c>
      <c r="X3806">
        <v>0.99500299999999997</v>
      </c>
      <c r="Y3806">
        <v>5.904655E-3</v>
      </c>
      <c r="Z3806">
        <v>2.5561170000000001E-4</v>
      </c>
      <c r="AA3806">
        <v>0.9999825</v>
      </c>
      <c r="AB3806">
        <v>25</v>
      </c>
      <c r="AC3806">
        <v>-35.048000000000002</v>
      </c>
      <c r="AD3806">
        <v>-1.10437580657</v>
      </c>
      <c r="AE3806">
        <v>2.5400000000018901E-2</v>
      </c>
      <c r="AF3806">
        <v>0.20807822848771601</v>
      </c>
      <c r="AG3806">
        <v>-1.10437580657</v>
      </c>
      <c r="AH3806">
        <v>35.012626135941197</v>
      </c>
      <c r="AI3806">
        <v>91.806604966397003</v>
      </c>
      <c r="AJ3806">
        <v>89.659498150716104</v>
      </c>
      <c r="AK3806">
        <v>35.030657022192699</v>
      </c>
      <c r="AL3806">
        <v>84.369256671081104</v>
      </c>
      <c r="AM3806">
        <v>91.065035468946604</v>
      </c>
      <c r="AN3806">
        <v>1.0000000290101301</v>
      </c>
    </row>
    <row r="3807" spans="1:40" x14ac:dyDescent="0.3">
      <c r="A3807" t="str">
        <f>"20200111150051343"</f>
        <v>20200111150051343</v>
      </c>
      <c r="B3807" t="str">
        <f>"1578726051330604"</f>
        <v>1578726051330604</v>
      </c>
      <c r="C3807" t="s">
        <v>40</v>
      </c>
      <c r="D3807">
        <v>4.3736519999999999</v>
      </c>
      <c r="E3807">
        <v>0.51030580000000003</v>
      </c>
      <c r="F3807" t="s">
        <v>42</v>
      </c>
      <c r="G3807">
        <v>-347.34879999999998</v>
      </c>
      <c r="H3807" s="1">
        <v>-1.595913E-6</v>
      </c>
      <c r="I3807">
        <v>141.40610000000001</v>
      </c>
      <c r="J3807">
        <v>-312.05040000000002</v>
      </c>
      <c r="K3807">
        <v>1.1043700000000001</v>
      </c>
      <c r="L3807">
        <v>141.35560000000001</v>
      </c>
      <c r="M3807">
        <v>-0.99993969999999999</v>
      </c>
      <c r="N3807">
        <v>0</v>
      </c>
      <c r="O3807">
        <v>-4.9426409999999898E-3</v>
      </c>
      <c r="P3807">
        <v>-0.99587029999999999</v>
      </c>
      <c r="Q3807">
        <v>8.7925909999999996E-2</v>
      </c>
      <c r="R3807">
        <v>-2.2618849999999999E-2</v>
      </c>
      <c r="S3807">
        <v>-3.0210270000000001</v>
      </c>
      <c r="T3807">
        <v>-9.3838809999999995E-2</v>
      </c>
      <c r="U3807">
        <v>4.2114259999999999E-3</v>
      </c>
      <c r="V3807">
        <v>-1.7648560000000001E-2</v>
      </c>
      <c r="W3807">
        <v>9.7713060000000004E-2</v>
      </c>
      <c r="X3807">
        <v>0.99505809999999995</v>
      </c>
      <c r="Y3807">
        <v>6.3314570000000004E-3</v>
      </c>
      <c r="Z3807">
        <v>2.5180759999999998E-4</v>
      </c>
      <c r="AA3807">
        <v>0.99997990000000003</v>
      </c>
      <c r="AB3807">
        <v>25</v>
      </c>
      <c r="AC3807">
        <v>-35.298399999999901</v>
      </c>
      <c r="AD3807">
        <v>-1.104371595913</v>
      </c>
      <c r="AE3807">
        <v>5.0499999999999497E-2</v>
      </c>
      <c r="AF3807">
        <v>0.22475508850492401</v>
      </c>
      <c r="AG3807">
        <v>-1.104371595913</v>
      </c>
      <c r="AH3807">
        <v>35.263201522260502</v>
      </c>
      <c r="AI3807">
        <v>91.793764311426798</v>
      </c>
      <c r="AJ3807">
        <v>89.634822050526793</v>
      </c>
      <c r="AK3807">
        <v>35.281206513825801</v>
      </c>
      <c r="AL3807">
        <v>84.392506376871296</v>
      </c>
      <c r="AM3807">
        <v>91.016103473376305</v>
      </c>
      <c r="AN3807">
        <v>0.99999996807012204</v>
      </c>
    </row>
    <row r="3808" spans="1:40" x14ac:dyDescent="0.3">
      <c r="A3808" t="str">
        <f>"20200111150051364"</f>
        <v>20200111150051364</v>
      </c>
      <c r="B3808" t="str">
        <f>"1578726051360862"</f>
        <v>1578726051360862</v>
      </c>
      <c r="C3808" t="s">
        <v>40</v>
      </c>
      <c r="D3808">
        <v>4.3747099999999897</v>
      </c>
      <c r="E3808">
        <v>0.51063099999999995</v>
      </c>
      <c r="F3808" t="s">
        <v>42</v>
      </c>
      <c r="G3808">
        <v>-347.49470000000002</v>
      </c>
      <c r="H3808" s="1">
        <v>-1.5516920000000001E-6</v>
      </c>
      <c r="I3808">
        <v>141.4753</v>
      </c>
      <c r="J3808">
        <v>-312.2989</v>
      </c>
      <c r="K3808">
        <v>1.1043559999999999</v>
      </c>
      <c r="L3808">
        <v>141.35470000000001</v>
      </c>
      <c r="M3808">
        <v>-0.99994090000000002</v>
      </c>
      <c r="N3808">
        <v>0</v>
      </c>
      <c r="O3808">
        <v>-4.6753860000000001E-3</v>
      </c>
      <c r="P3808">
        <v>-0.99605149999999998</v>
      </c>
      <c r="Q3808">
        <v>8.6091089999999995E-2</v>
      </c>
      <c r="R3808">
        <v>-2.168426E-2</v>
      </c>
      <c r="S3808">
        <v>-3.0209959999999998</v>
      </c>
      <c r="T3808">
        <v>-9.4128249999999997E-2</v>
      </c>
      <c r="U3808">
        <v>1.0208129999999999E-2</v>
      </c>
      <c r="V3808">
        <v>-1.6980200000000001E-2</v>
      </c>
      <c r="W3808">
        <v>9.5882549999999997E-2</v>
      </c>
      <c r="X3808">
        <v>0.99524780000000002</v>
      </c>
      <c r="Y3808">
        <v>8.0484149999999997E-3</v>
      </c>
      <c r="Z3808">
        <v>2.7100250000000001E-4</v>
      </c>
      <c r="AA3808">
        <v>0.99996759999999996</v>
      </c>
      <c r="AB3808">
        <v>25</v>
      </c>
      <c r="AC3808">
        <v>-35.195799999999998</v>
      </c>
      <c r="AD3808">
        <v>-1.1043575516919999</v>
      </c>
      <c r="AE3808">
        <v>0.120599999999996</v>
      </c>
      <c r="AF3808">
        <v>0.284880083882672</v>
      </c>
      <c r="AG3808">
        <v>-1.1043575516919999</v>
      </c>
      <c r="AH3808">
        <v>35.1602348066153</v>
      </c>
      <c r="AI3808">
        <v>91.798968545484101</v>
      </c>
      <c r="AJ3808">
        <v>89.535780423534206</v>
      </c>
      <c r="AK3808">
        <v>35.178727576768502</v>
      </c>
      <c r="AL3808">
        <v>84.497881832896397</v>
      </c>
      <c r="AM3808">
        <v>90.977444424178202</v>
      </c>
      <c r="AN3808">
        <v>0.99999998699569104</v>
      </c>
    </row>
    <row r="3809" spans="1:40" x14ac:dyDescent="0.3">
      <c r="A3809" t="str">
        <f>"20200111150051387"</f>
        <v>20200111150051387</v>
      </c>
      <c r="B3809" t="str">
        <f>"1578726051381356"</f>
        <v>1578726051381356</v>
      </c>
      <c r="C3809" t="s">
        <v>40</v>
      </c>
      <c r="D3809">
        <v>4.3048260000000003</v>
      </c>
      <c r="E3809">
        <v>0.51078829999999997</v>
      </c>
      <c r="F3809" t="s">
        <v>42</v>
      </c>
      <c r="G3809">
        <v>-346.53370000000001</v>
      </c>
      <c r="H3809" s="1">
        <v>-1.97912E-6</v>
      </c>
      <c r="I3809">
        <v>141.53219999999999</v>
      </c>
      <c r="J3809">
        <v>-312.55680000000001</v>
      </c>
      <c r="K3809">
        <v>1.104347</v>
      </c>
      <c r="L3809">
        <v>141.35380000000001</v>
      </c>
      <c r="M3809">
        <v>-0.99994209999999994</v>
      </c>
      <c r="N3809">
        <v>0</v>
      </c>
      <c r="O3809">
        <v>-4.3978799999999998E-3</v>
      </c>
      <c r="P3809">
        <v>-0.99627209999999999</v>
      </c>
      <c r="Q3809">
        <v>8.3766889999999997E-2</v>
      </c>
      <c r="R3809">
        <v>-2.0619209999999999E-2</v>
      </c>
      <c r="S3809">
        <v>-3.0206909999999998</v>
      </c>
      <c r="T3809">
        <v>-9.7442749999999995E-2</v>
      </c>
      <c r="U3809">
        <v>1.5670779999999999E-2</v>
      </c>
      <c r="V3809">
        <v>-1.6191730000000001E-2</v>
      </c>
      <c r="W3809">
        <v>9.3562709999999993E-2</v>
      </c>
      <c r="X3809">
        <v>0.99548170000000002</v>
      </c>
      <c r="Y3809">
        <v>9.5784549999999996E-3</v>
      </c>
      <c r="Z3809">
        <v>2.9628949999999999E-4</v>
      </c>
      <c r="AA3809">
        <v>0.99995409999999996</v>
      </c>
      <c r="AB3809">
        <v>25</v>
      </c>
      <c r="AC3809">
        <v>-33.976900000000001</v>
      </c>
      <c r="AD3809">
        <v>-1.1043489791200001</v>
      </c>
      <c r="AE3809">
        <v>0.17839999999998199</v>
      </c>
      <c r="AF3809">
        <v>0.32748585067567199</v>
      </c>
      <c r="AG3809">
        <v>-1.1043489791200001</v>
      </c>
      <c r="AH3809">
        <v>33.939932226979003</v>
      </c>
      <c r="AI3809">
        <v>91.863565214712693</v>
      </c>
      <c r="AJ3809">
        <v>89.447171117277193</v>
      </c>
      <c r="AK3809">
        <v>33.9594733943565</v>
      </c>
      <c r="AL3809">
        <v>84.631399224038901</v>
      </c>
      <c r="AM3809">
        <v>90.931846354842705</v>
      </c>
      <c r="AN3809">
        <v>0.99999998392891298</v>
      </c>
    </row>
    <row r="3810" spans="1:40" x14ac:dyDescent="0.3">
      <c r="A3810" t="str">
        <f>"20200111150051409"</f>
        <v>20200111150051409</v>
      </c>
      <c r="B3810" t="str">
        <f>"1578726051400876"</f>
        <v>1578726051400876</v>
      </c>
      <c r="C3810" t="s">
        <v>40</v>
      </c>
      <c r="D3810">
        <v>4.2765890000000004</v>
      </c>
      <c r="E3810">
        <v>0.51096850000000005</v>
      </c>
      <c r="F3810" t="s">
        <v>42</v>
      </c>
      <c r="G3810">
        <v>-344.80439999999999</v>
      </c>
      <c r="H3810" s="1">
        <v>-2.7315809999999999E-6</v>
      </c>
      <c r="I3810">
        <v>141.572</v>
      </c>
      <c r="J3810">
        <v>-312.80399999999997</v>
      </c>
      <c r="K3810">
        <v>1.104344</v>
      </c>
      <c r="L3810">
        <v>141.35299999999901</v>
      </c>
      <c r="M3810">
        <v>-0.99994320000000003</v>
      </c>
      <c r="N3810">
        <v>0</v>
      </c>
      <c r="O3810">
        <v>-4.1320559999999899E-3</v>
      </c>
      <c r="P3810">
        <v>-0.99633970000000005</v>
      </c>
      <c r="Q3810">
        <v>8.3196759999999995E-2</v>
      </c>
      <c r="R3810">
        <v>-1.9635349999999999E-2</v>
      </c>
      <c r="S3810">
        <v>-3.0203859999999998</v>
      </c>
      <c r="T3810">
        <v>-0.10343620000000001</v>
      </c>
      <c r="U3810">
        <v>2.0446780000000001E-2</v>
      </c>
      <c r="V3810">
        <v>-1.547246E-2</v>
      </c>
      <c r="W3810">
        <v>9.2995839999999996E-2</v>
      </c>
      <c r="X3810">
        <v>0.9955463</v>
      </c>
      <c r="Y3810">
        <v>1.089273E-2</v>
      </c>
      <c r="Z3810">
        <v>3.2793019999999902E-4</v>
      </c>
      <c r="AA3810">
        <v>0.99994059999999996</v>
      </c>
      <c r="AB3810">
        <v>25</v>
      </c>
      <c r="AC3810">
        <v>-32.0003999999999</v>
      </c>
      <c r="AD3810">
        <v>-1.1043467315809901</v>
      </c>
      <c r="AE3810">
        <v>0.21900000000002201</v>
      </c>
      <c r="AF3810">
        <v>0.35081416811796801</v>
      </c>
      <c r="AG3810">
        <v>-1.1043467315809901</v>
      </c>
      <c r="AH3810">
        <v>31.961158888689202</v>
      </c>
      <c r="AI3810">
        <v>91.978821775111001</v>
      </c>
      <c r="AJ3810">
        <v>89.371131561821599</v>
      </c>
      <c r="AK3810">
        <v>31.982156428110699</v>
      </c>
      <c r="AL3810">
        <v>84.664020956901197</v>
      </c>
      <c r="AM3810">
        <v>90.890400868661004</v>
      </c>
      <c r="AN3810">
        <v>1.00000002935972</v>
      </c>
    </row>
    <row r="3811" spans="1:40" x14ac:dyDescent="0.3">
      <c r="A3811" t="str">
        <f>"20200111150051432"</f>
        <v>20200111150051432</v>
      </c>
      <c r="B3811" t="str">
        <f>"1578726051421373"</f>
        <v>1578726051421373</v>
      </c>
      <c r="C3811" t="s">
        <v>40</v>
      </c>
      <c r="D3811">
        <v>4.281371</v>
      </c>
      <c r="E3811">
        <v>0.51116220000000001</v>
      </c>
      <c r="F3811" t="s">
        <v>42</v>
      </c>
      <c r="G3811">
        <v>-344.80619999999999</v>
      </c>
      <c r="H3811" s="1">
        <v>-2.7424900000000001E-6</v>
      </c>
      <c r="I3811">
        <v>141.61600000000001</v>
      </c>
      <c r="J3811">
        <v>-313.05790000000002</v>
      </c>
      <c r="K3811">
        <v>1.1043270000000001</v>
      </c>
      <c r="L3811">
        <v>141.35220000000001</v>
      </c>
      <c r="M3811">
        <v>-0.99994430000000001</v>
      </c>
      <c r="N3811">
        <v>0</v>
      </c>
      <c r="O3811">
        <v>-3.8590809999999999E-3</v>
      </c>
      <c r="P3811">
        <v>-0.99647470000000005</v>
      </c>
      <c r="Q3811">
        <v>8.1734780000000007E-2</v>
      </c>
      <c r="R3811">
        <v>-1.8915290000000001E-2</v>
      </c>
      <c r="S3811">
        <v>-3.020203</v>
      </c>
      <c r="T3811">
        <v>-0.1042227</v>
      </c>
      <c r="U3811">
        <v>2.4826049999999999E-2</v>
      </c>
      <c r="V3811">
        <v>-1.502447E-2</v>
      </c>
      <c r="W3811">
        <v>9.1537720000000003E-2</v>
      </c>
      <c r="X3811">
        <v>0.99568829999999997</v>
      </c>
      <c r="Y3811">
        <v>1.206931E-2</v>
      </c>
      <c r="Z3811">
        <v>3.4131740000000003E-4</v>
      </c>
      <c r="AA3811">
        <v>0.99992709999999996</v>
      </c>
      <c r="AB3811">
        <v>25</v>
      </c>
      <c r="AC3811">
        <v>-31.748299999999901</v>
      </c>
      <c r="AD3811">
        <v>-1.10432974249</v>
      </c>
      <c r="AE3811">
        <v>0.26380000000000298</v>
      </c>
      <c r="AF3811">
        <v>0.38585638599032701</v>
      </c>
      <c r="AG3811">
        <v>-1.10432974249</v>
      </c>
      <c r="AH3811">
        <v>31.708683180416799</v>
      </c>
      <c r="AI3811">
        <v>91.994507016372395</v>
      </c>
      <c r="AJ3811">
        <v>89.302813959755298</v>
      </c>
      <c r="AK3811">
        <v>31.730253991526901</v>
      </c>
      <c r="AL3811">
        <v>84.747923038168693</v>
      </c>
      <c r="AM3811">
        <v>90.864500861784904</v>
      </c>
      <c r="AN3811">
        <v>1.0000000398192299</v>
      </c>
    </row>
    <row r="3812" spans="1:40" x14ac:dyDescent="0.3">
      <c r="A3812" t="str">
        <f>"20200111150051453"</f>
        <v>20200111150051453</v>
      </c>
      <c r="B3812" t="str">
        <f>"1578726051450653"</f>
        <v>1578726051450653</v>
      </c>
      <c r="C3812" t="s">
        <v>40</v>
      </c>
      <c r="D3812">
        <v>4.3582859999999997</v>
      </c>
      <c r="E3812">
        <v>0.51138819999999996</v>
      </c>
      <c r="F3812" t="s">
        <v>42</v>
      </c>
      <c r="G3812">
        <v>-343.93740000000003</v>
      </c>
      <c r="H3812" s="1">
        <v>-3.1231440000000002E-6</v>
      </c>
      <c r="I3812">
        <v>141.64580000000001</v>
      </c>
      <c r="J3812">
        <v>-313.31060000000002</v>
      </c>
      <c r="K3812">
        <v>1.1043160000000001</v>
      </c>
      <c r="L3812">
        <v>141.35159999999999</v>
      </c>
      <c r="M3812">
        <v>-0.99994530000000004</v>
      </c>
      <c r="N3812">
        <v>0</v>
      </c>
      <c r="O3812">
        <v>-3.5872970000000001E-3</v>
      </c>
      <c r="P3812">
        <v>-0.99674649999999998</v>
      </c>
      <c r="Q3812">
        <v>7.8709479999999998E-2</v>
      </c>
      <c r="R3812">
        <v>-1.7365160000000001E-2</v>
      </c>
      <c r="S3812">
        <v>-3.0200200000000001</v>
      </c>
      <c r="T3812">
        <v>-0.1080038</v>
      </c>
      <c r="U3812">
        <v>2.8717039999999999E-2</v>
      </c>
      <c r="V3812">
        <v>-1.374584E-2</v>
      </c>
      <c r="W3812">
        <v>8.8517360000000003E-2</v>
      </c>
      <c r="X3812">
        <v>0.99597979999999997</v>
      </c>
      <c r="Y3812">
        <v>1.3085050000000001E-2</v>
      </c>
      <c r="Z3812">
        <v>3.6215150000000002E-4</v>
      </c>
      <c r="AA3812">
        <v>0.99991430000000003</v>
      </c>
      <c r="AB3812">
        <v>25</v>
      </c>
      <c r="AC3812">
        <v>-30.626799999999999</v>
      </c>
      <c r="AD3812">
        <v>-1.1043191231439999</v>
      </c>
      <c r="AE3812">
        <v>0.294200000000017</v>
      </c>
      <c r="AF3812">
        <v>0.40354622449666699</v>
      </c>
      <c r="AG3812">
        <v>-1.1043191231439999</v>
      </c>
      <c r="AH3812">
        <v>30.5857857312986</v>
      </c>
      <c r="AI3812">
        <v>92.067622299146095</v>
      </c>
      <c r="AJ3812">
        <v>89.244088277250398</v>
      </c>
      <c r="AK3812">
        <v>30.608375636122201</v>
      </c>
      <c r="AL3812">
        <v>84.921682450862903</v>
      </c>
      <c r="AM3812">
        <v>90.790707420462795</v>
      </c>
      <c r="AN3812">
        <v>1.00000001657335</v>
      </c>
    </row>
    <row r="3813" spans="1:40" x14ac:dyDescent="0.3">
      <c r="A3813" t="str">
        <f>"20200111150051476"</f>
        <v>20200111150051476</v>
      </c>
      <c r="B3813" t="str">
        <f>"1578726051471149"</f>
        <v>1578726051471149</v>
      </c>
      <c r="C3813" t="s">
        <v>40</v>
      </c>
      <c r="D3813">
        <v>4.2327849999999998</v>
      </c>
      <c r="E3813">
        <v>0.51164759999999998</v>
      </c>
      <c r="F3813" t="s">
        <v>42</v>
      </c>
      <c r="G3813">
        <v>-342.12689999999998</v>
      </c>
      <c r="H3813" s="1">
        <v>-3.9106640000000004E-6</v>
      </c>
      <c r="I3813">
        <v>141.68639999999999</v>
      </c>
      <c r="J3813">
        <v>-313.56610000000001</v>
      </c>
      <c r="K3813">
        <v>1.104331</v>
      </c>
      <c r="L3813">
        <v>141.351</v>
      </c>
      <c r="M3813">
        <v>-0.99994620000000001</v>
      </c>
      <c r="N3813">
        <v>0</v>
      </c>
      <c r="O3813">
        <v>-3.312415E-3</v>
      </c>
      <c r="P3813">
        <v>-0.99648959999999998</v>
      </c>
      <c r="Q3813">
        <v>8.2041100000000006E-2</v>
      </c>
      <c r="R3813">
        <v>-1.667538E-2</v>
      </c>
      <c r="S3813">
        <v>-3.0195620000000001</v>
      </c>
      <c r="T3813">
        <v>-0.1157184</v>
      </c>
      <c r="U3813">
        <v>3.5095210000000002E-2</v>
      </c>
      <c r="V3813">
        <v>-1.332909E-2</v>
      </c>
      <c r="W3813">
        <v>9.1849219999999995E-2</v>
      </c>
      <c r="X3813">
        <v>0.99568369999999995</v>
      </c>
      <c r="Y3813">
        <v>1.492074E-2</v>
      </c>
      <c r="Z3813">
        <v>4.1268540000000001E-4</v>
      </c>
      <c r="AA3813">
        <v>0.99988860000000002</v>
      </c>
      <c r="AB3813">
        <v>25</v>
      </c>
      <c r="AC3813">
        <v>-28.560799999999901</v>
      </c>
      <c r="AD3813">
        <v>-1.1043349106639999</v>
      </c>
      <c r="AE3813">
        <v>0.33539999999999198</v>
      </c>
      <c r="AF3813">
        <v>0.42936611017569698</v>
      </c>
      <c r="AG3813">
        <v>-1.1043349106639999</v>
      </c>
      <c r="AH3813">
        <v>28.516903437670098</v>
      </c>
      <c r="AI3813">
        <v>92.217455623093798</v>
      </c>
      <c r="AJ3813">
        <v>89.137388556816205</v>
      </c>
      <c r="AK3813">
        <v>28.541508238439</v>
      </c>
      <c r="AL3813">
        <v>84.729999619976894</v>
      </c>
      <c r="AM3813">
        <v>90.766965439074895</v>
      </c>
      <c r="AN3813">
        <v>0.99999998715026295</v>
      </c>
    </row>
    <row r="3814" spans="1:40" x14ac:dyDescent="0.3">
      <c r="A3814" t="str">
        <f>"20200111150051499"</f>
        <v>20200111150051499</v>
      </c>
      <c r="B3814" t="str">
        <f>"1578726051490668"</f>
        <v>1578726051490668</v>
      </c>
      <c r="C3814" t="s">
        <v>40</v>
      </c>
      <c r="D3814">
        <v>4.2327949999999896</v>
      </c>
      <c r="E3814">
        <v>0.51202449999999999</v>
      </c>
      <c r="F3814" t="s">
        <v>42</v>
      </c>
      <c r="G3814">
        <v>-345.733</v>
      </c>
      <c r="H3814" s="1">
        <v>-2.3871419999999999E-6</v>
      </c>
      <c r="I3814">
        <v>141.7748</v>
      </c>
      <c r="J3814">
        <v>-313.82839999999999</v>
      </c>
      <c r="K3814">
        <v>1.1043430000000001</v>
      </c>
      <c r="L3814">
        <v>141.35040000000001</v>
      </c>
      <c r="M3814">
        <v>-0.99994709999999998</v>
      </c>
      <c r="N3814">
        <v>0</v>
      </c>
      <c r="O3814">
        <v>-3.0302599999999999E-3</v>
      </c>
      <c r="P3814">
        <v>-0.99630059999999998</v>
      </c>
      <c r="Q3814">
        <v>8.4416660000000004E-2</v>
      </c>
      <c r="R3814">
        <v>-1.6098040000000001E-2</v>
      </c>
      <c r="S3814">
        <v>-3.0197750000000001</v>
      </c>
      <c r="T3814">
        <v>-0.103673</v>
      </c>
      <c r="U3814">
        <v>3.9794919999999998E-2</v>
      </c>
      <c r="V3814">
        <v>-1.30322999999999E-2</v>
      </c>
      <c r="W3814">
        <v>9.4225439999999994E-2</v>
      </c>
      <c r="X3814">
        <v>0.99546559999999995</v>
      </c>
      <c r="Y3814">
        <v>1.619572E-2</v>
      </c>
      <c r="Z3814">
        <v>3.8191979999999999E-4</v>
      </c>
      <c r="AA3814">
        <v>0.9998688</v>
      </c>
      <c r="AB3814">
        <v>25</v>
      </c>
      <c r="AC3814">
        <v>-31.904599999999999</v>
      </c>
      <c r="AD3814">
        <v>-1.1043453871419999</v>
      </c>
      <c r="AE3814">
        <v>0.42439999999999101</v>
      </c>
      <c r="AF3814">
        <v>0.52045848954602503</v>
      </c>
      <c r="AG3814">
        <v>-1.1043453871419999</v>
      </c>
      <c r="AH3814">
        <v>31.864995808589899</v>
      </c>
      <c r="AI3814">
        <v>91.984641301791001</v>
      </c>
      <c r="AJ3814">
        <v>89.064257729072594</v>
      </c>
      <c r="AK3814">
        <v>31.8883742711179</v>
      </c>
      <c r="AL3814">
        <v>84.593259277522705</v>
      </c>
      <c r="AM3814">
        <v>90.750054178263099</v>
      </c>
      <c r="AN3814">
        <v>1.00000001758492</v>
      </c>
    </row>
    <row r="3815" spans="1:40" x14ac:dyDescent="0.3">
      <c r="A3815" t="str">
        <f>"20200111150051521"</f>
        <v>20200111150051521</v>
      </c>
      <c r="B3815" t="str">
        <f>"1578726051511164"</f>
        <v>1578726051511164</v>
      </c>
      <c r="C3815" t="s">
        <v>40</v>
      </c>
      <c r="D3815">
        <v>4.2825670000000002</v>
      </c>
      <c r="E3815">
        <v>0.51235649999999999</v>
      </c>
      <c r="F3815" t="s">
        <v>42</v>
      </c>
      <c r="G3815">
        <v>-349.17250000000001</v>
      </c>
      <c r="H3815" s="1">
        <v>-9.3547559999999998E-7</v>
      </c>
      <c r="I3815">
        <v>141.86449999999999</v>
      </c>
      <c r="J3815">
        <v>-314.07749999999999</v>
      </c>
      <c r="K3815">
        <v>1.1043449999999999</v>
      </c>
      <c r="L3815">
        <v>141.35</v>
      </c>
      <c r="M3815">
        <v>-0.99994780000000005</v>
      </c>
      <c r="N3815">
        <v>0</v>
      </c>
      <c r="O3815">
        <v>-2.7626479999999999E-3</v>
      </c>
      <c r="P3815">
        <v>-0.99638400000000005</v>
      </c>
      <c r="Q3815">
        <v>8.3476960000000003E-2</v>
      </c>
      <c r="R3815">
        <v>-1.5834879999999999E-2</v>
      </c>
      <c r="S3815">
        <v>-3.019806</v>
      </c>
      <c r="T3815">
        <v>-9.4355339999999996E-2</v>
      </c>
      <c r="U3815">
        <v>4.3930049999999998E-2</v>
      </c>
      <c r="V3815">
        <v>-1.303583E-2</v>
      </c>
      <c r="W3815">
        <v>9.3289259999999999E-2</v>
      </c>
      <c r="X3815">
        <v>0.99555369999999999</v>
      </c>
      <c r="Y3815">
        <v>1.7298419999999998E-2</v>
      </c>
      <c r="Z3815">
        <v>3.564679E-4</v>
      </c>
      <c r="AA3815">
        <v>0.99985029999999997</v>
      </c>
      <c r="AB3815">
        <v>25</v>
      </c>
      <c r="AC3815">
        <v>-35.094999999999999</v>
      </c>
      <c r="AD3815">
        <v>-1.1043459354756</v>
      </c>
      <c r="AE3815">
        <v>0.51449999999999796</v>
      </c>
      <c r="AF3815">
        <v>0.61085312683019599</v>
      </c>
      <c r="AG3815">
        <v>-1.1043459354756</v>
      </c>
      <c r="AH3815">
        <v>35.058737158109601</v>
      </c>
      <c r="AI3815">
        <v>91.803939847319199</v>
      </c>
      <c r="AJ3815">
        <v>89.001796191460997</v>
      </c>
      <c r="AK3815">
        <v>35.081444847799197</v>
      </c>
      <c r="AL3815">
        <v>84.647135637851605</v>
      </c>
      <c r="AM3815">
        <v>90.750190933532807</v>
      </c>
      <c r="AN3815">
        <v>0.99999999423941299</v>
      </c>
    </row>
    <row r="3816" spans="1:40" x14ac:dyDescent="0.3">
      <c r="A3816" t="str">
        <f>"20200111150051543"</f>
        <v>20200111150051543</v>
      </c>
      <c r="B3816" t="str">
        <f>"1578726051540444"</f>
        <v>1578726051540444</v>
      </c>
      <c r="C3816" t="s">
        <v>40</v>
      </c>
      <c r="D3816">
        <v>4.260974</v>
      </c>
      <c r="E3816">
        <v>0.51278190000000001</v>
      </c>
      <c r="F3816" t="s">
        <v>42</v>
      </c>
      <c r="G3816">
        <v>-349.1859</v>
      </c>
      <c r="H3816" s="1">
        <v>-9.3677819999999998E-7</v>
      </c>
      <c r="I3816">
        <v>141.89099999999999</v>
      </c>
      <c r="J3816">
        <v>-314.33460000000002</v>
      </c>
      <c r="K3816">
        <v>1.1043430000000001</v>
      </c>
      <c r="L3816">
        <v>141.34960000000001</v>
      </c>
      <c r="M3816">
        <v>-0.99994839999999996</v>
      </c>
      <c r="N3816">
        <v>0</v>
      </c>
      <c r="O3816">
        <v>-2.4862159999999999E-3</v>
      </c>
      <c r="P3816">
        <v>-0.99637929999999997</v>
      </c>
      <c r="Q3816">
        <v>8.3443809999999993E-2</v>
      </c>
      <c r="R3816">
        <v>-1.6296939999999999E-2</v>
      </c>
      <c r="S3816">
        <v>-3.0196230000000002</v>
      </c>
      <c r="T3816">
        <v>-9.4983100000000001E-2</v>
      </c>
      <c r="U3816">
        <v>4.653931E-2</v>
      </c>
      <c r="V3816">
        <v>-1.3773570000000001E-2</v>
      </c>
      <c r="W3816">
        <v>9.3259350000000005E-2</v>
      </c>
      <c r="X3816">
        <v>0.99554659999999995</v>
      </c>
      <c r="Y3816">
        <v>1.788638E-2</v>
      </c>
      <c r="Z3816">
        <v>3.594092E-4</v>
      </c>
      <c r="AA3816">
        <v>0.99983999999999995</v>
      </c>
      <c r="AB3816">
        <v>26</v>
      </c>
      <c r="AC3816">
        <v>-34.851299999999902</v>
      </c>
      <c r="AD3816">
        <v>-1.1043439367782</v>
      </c>
      <c r="AE3816">
        <v>0.54139999999998101</v>
      </c>
      <c r="AF3816">
        <v>0.62742055771716598</v>
      </c>
      <c r="AG3816">
        <v>-1.1043439367782</v>
      </c>
      <c r="AH3816">
        <v>34.8148974709245</v>
      </c>
      <c r="AI3816">
        <v>91.8165434908055</v>
      </c>
      <c r="AJ3816">
        <v>88.967549482133805</v>
      </c>
      <c r="AK3816">
        <v>34.838058470556703</v>
      </c>
      <c r="AL3816">
        <v>84.648857024437902</v>
      </c>
      <c r="AM3816">
        <v>90.792647057898606</v>
      </c>
      <c r="AN3816">
        <v>1.0000000251822601</v>
      </c>
    </row>
    <row r="3817" spans="1:40" x14ac:dyDescent="0.3">
      <c r="A3817" t="str">
        <f>"20200111150051568"</f>
        <v>20200111150051568</v>
      </c>
      <c r="B3817" t="str">
        <f>"1578726051560730"</f>
        <v>1578726051560730</v>
      </c>
      <c r="C3817" t="s">
        <v>40</v>
      </c>
      <c r="D3817">
        <v>4.272011</v>
      </c>
      <c r="E3817">
        <v>0.51297219999999999</v>
      </c>
      <c r="F3817" t="s">
        <v>42</v>
      </c>
      <c r="G3817">
        <v>-350.37439999999998</v>
      </c>
      <c r="H3817" s="1">
        <v>-4.5600179999999996E-6</v>
      </c>
      <c r="I3817">
        <v>141.93559999999999</v>
      </c>
      <c r="J3817">
        <v>-314.60570000000001</v>
      </c>
      <c r="K3817">
        <v>1.1043419999999999</v>
      </c>
      <c r="L3817">
        <v>141.3492</v>
      </c>
      <c r="M3817">
        <v>-0.99994910000000004</v>
      </c>
      <c r="N3817">
        <v>0</v>
      </c>
      <c r="O3817">
        <v>-2.1948829999999999E-3</v>
      </c>
      <c r="P3817">
        <v>-0.9964132</v>
      </c>
      <c r="Q3817">
        <v>8.2842009999999994E-2</v>
      </c>
      <c r="R3817">
        <v>-1.7267520000000001E-2</v>
      </c>
      <c r="S3817">
        <v>-3.019409</v>
      </c>
      <c r="T3817">
        <v>-9.2522140000000003E-2</v>
      </c>
      <c r="U3817">
        <v>4.9102779999999999E-2</v>
      </c>
      <c r="V3817">
        <v>-1.5034290000000001E-2</v>
      </c>
      <c r="W3817">
        <v>9.2662069999999999E-2</v>
      </c>
      <c r="X3817">
        <v>0.99558409999999997</v>
      </c>
      <c r="Y3817">
        <v>1.844521E-2</v>
      </c>
      <c r="Z3817">
        <v>3.4975829999999997E-4</v>
      </c>
      <c r="AA3817">
        <v>0.99982979999999999</v>
      </c>
      <c r="AB3817">
        <v>26</v>
      </c>
      <c r="AC3817">
        <v>-35.768699999999903</v>
      </c>
      <c r="AD3817">
        <v>-1.104346560018</v>
      </c>
      <c r="AE3817">
        <v>0.58639999999999703</v>
      </c>
      <c r="AF3817">
        <v>0.66427745716136399</v>
      </c>
      <c r="AG3817">
        <v>-1.104346560018</v>
      </c>
      <c r="AH3817">
        <v>35.733273286631501</v>
      </c>
      <c r="AI3817">
        <v>91.769872655645202</v>
      </c>
      <c r="AJ3817">
        <v>88.935000692948293</v>
      </c>
      <c r="AK3817">
        <v>35.756505221313397</v>
      </c>
      <c r="AL3817">
        <v>84.683227316095397</v>
      </c>
      <c r="AM3817">
        <v>90.865156339990193</v>
      </c>
      <c r="AN3817">
        <v>0.99999999463264899</v>
      </c>
    </row>
    <row r="3818" spans="1:40" x14ac:dyDescent="0.3">
      <c r="A3818" t="str">
        <f>"20200111150051589"</f>
        <v>20200111150051589</v>
      </c>
      <c r="B3818" t="str">
        <f>"1578726051581224"</f>
        <v>1578726051581224</v>
      </c>
      <c r="C3818" t="s">
        <v>40</v>
      </c>
      <c r="D3818">
        <v>4.25542</v>
      </c>
      <c r="E3818">
        <v>0.51313279999999994</v>
      </c>
      <c r="F3818" t="s">
        <v>42</v>
      </c>
      <c r="G3818">
        <v>-350.3777</v>
      </c>
      <c r="H3818" s="1">
        <v>-4.5551849999999998E-6</v>
      </c>
      <c r="I3818">
        <v>141.91480000000001</v>
      </c>
      <c r="J3818">
        <v>-314.85320000000002</v>
      </c>
      <c r="K3818">
        <v>1.1043369999999999</v>
      </c>
      <c r="L3818">
        <v>141.34899999999999</v>
      </c>
      <c r="M3818">
        <v>-0.99994959999999999</v>
      </c>
      <c r="N3818">
        <v>0</v>
      </c>
      <c r="O3818">
        <v>-1.928941E-3</v>
      </c>
      <c r="P3818">
        <v>-0.99639929999999999</v>
      </c>
      <c r="Q3818">
        <v>8.2971859999999995E-2</v>
      </c>
      <c r="R3818">
        <v>-1.744538E-2</v>
      </c>
      <c r="S3818">
        <v>-3.0193789999999998</v>
      </c>
      <c r="T3818">
        <v>-9.3213679999999993E-2</v>
      </c>
      <c r="U3818">
        <v>4.7744750000000002E-2</v>
      </c>
      <c r="V3818">
        <v>-1.547655E-2</v>
      </c>
      <c r="W3818">
        <v>9.2794539999999995E-2</v>
      </c>
      <c r="X3818">
        <v>0.99556500000000003</v>
      </c>
      <c r="Y3818">
        <v>1.7730200000000002E-2</v>
      </c>
      <c r="Z3818">
        <v>3.3313439999999999E-4</v>
      </c>
      <c r="AA3818">
        <v>0.99984280000000003</v>
      </c>
      <c r="AB3818">
        <v>26</v>
      </c>
      <c r="AC3818">
        <v>-35.524499999999897</v>
      </c>
      <c r="AD3818">
        <v>-1.104341555185</v>
      </c>
      <c r="AE3818">
        <v>0.56580000000002395</v>
      </c>
      <c r="AF3818">
        <v>0.63371468011041998</v>
      </c>
      <c r="AG3818">
        <v>-1.104341555185</v>
      </c>
      <c r="AH3818">
        <v>35.489055007669897</v>
      </c>
      <c r="AI3818">
        <v>91.782059943632902</v>
      </c>
      <c r="AJ3818">
        <v>88.976999580659395</v>
      </c>
      <c r="AK3818">
        <v>35.5118880081546</v>
      </c>
      <c r="AL3818">
        <v>84.675604581513994</v>
      </c>
      <c r="AM3818">
        <v>90.890619473493501</v>
      </c>
      <c r="AN3818">
        <v>1.00000000973935</v>
      </c>
    </row>
    <row r="3819" spans="1:40" x14ac:dyDescent="0.3">
      <c r="A3819" t="str">
        <f>"20200111150051610"</f>
        <v>20200111150051610</v>
      </c>
      <c r="B3819" t="str">
        <f>"1578726051600744"</f>
        <v>1578726051600744</v>
      </c>
      <c r="C3819" t="s">
        <v>40</v>
      </c>
      <c r="D3819">
        <v>4.2172369999999999</v>
      </c>
      <c r="E3819">
        <v>0.51318419999999998</v>
      </c>
      <c r="F3819" t="s">
        <v>42</v>
      </c>
      <c r="G3819">
        <v>-351.15069999999997</v>
      </c>
      <c r="H3819" s="1">
        <v>-4.2949899999999997E-6</v>
      </c>
      <c r="I3819">
        <v>141.9307</v>
      </c>
      <c r="J3819">
        <v>-315.1001</v>
      </c>
      <c r="K3819">
        <v>1.104339</v>
      </c>
      <c r="L3819">
        <v>141.34880000000001</v>
      </c>
      <c r="M3819">
        <v>-0.99995009999999995</v>
      </c>
      <c r="N3819">
        <v>0</v>
      </c>
      <c r="O3819">
        <v>-1.6638340000000001E-3</v>
      </c>
      <c r="P3819">
        <v>-0.99636100000000005</v>
      </c>
      <c r="Q3819">
        <v>8.3547789999999997E-2</v>
      </c>
      <c r="R3819">
        <v>-1.687555E-2</v>
      </c>
      <c r="S3819">
        <v>-3.019409</v>
      </c>
      <c r="T3819">
        <v>-9.186482E-2</v>
      </c>
      <c r="U3819">
        <v>4.840088E-2</v>
      </c>
      <c r="V3819">
        <v>-1.5170950000000001E-2</v>
      </c>
      <c r="W3819">
        <v>9.3372810000000001E-2</v>
      </c>
      <c r="X3819">
        <v>0.99551559999999994</v>
      </c>
      <c r="Y3819">
        <v>1.7682590000000002E-2</v>
      </c>
      <c r="Z3819">
        <v>3.1952420000000003E-4</v>
      </c>
      <c r="AA3819">
        <v>0.99984360000000005</v>
      </c>
      <c r="AB3819">
        <v>26</v>
      </c>
      <c r="AC3819">
        <v>-36.050599999999903</v>
      </c>
      <c r="AD3819">
        <v>-1.1043432949900001</v>
      </c>
      <c r="AE3819">
        <v>0.58189999999998998</v>
      </c>
      <c r="AF3819">
        <v>0.64128270239787799</v>
      </c>
      <c r="AG3819">
        <v>-1.1043432949900001</v>
      </c>
      <c r="AH3819">
        <v>36.015793818318599</v>
      </c>
      <c r="AI3819">
        <v>91.756017729465796</v>
      </c>
      <c r="AJ3819">
        <v>88.979922245320907</v>
      </c>
      <c r="AK3819">
        <v>36.038427018686797</v>
      </c>
      <c r="AL3819">
        <v>84.642327483459496</v>
      </c>
      <c r="AM3819">
        <v>90.873079363755707</v>
      </c>
      <c r="AN3819">
        <v>0.99999997460727896</v>
      </c>
    </row>
    <row r="3820" spans="1:40" x14ac:dyDescent="0.3">
      <c r="A3820" t="str">
        <f>"20200111150051633"</f>
        <v>20200111150051633</v>
      </c>
      <c r="B3820" t="str">
        <f>"1578726051631000"</f>
        <v>1578726051631000</v>
      </c>
      <c r="C3820" t="s">
        <v>40</v>
      </c>
      <c r="D3820">
        <v>4.2893160000000004</v>
      </c>
      <c r="E3820">
        <v>0.51354500000000003</v>
      </c>
      <c r="F3820" t="s">
        <v>42</v>
      </c>
      <c r="G3820">
        <v>-353.53190000000001</v>
      </c>
      <c r="H3820" s="1">
        <v>-3.3897450000000001E-6</v>
      </c>
      <c r="I3820">
        <v>141.9939</v>
      </c>
      <c r="J3820">
        <v>-315.3682</v>
      </c>
      <c r="K3820">
        <v>1.104341</v>
      </c>
      <c r="L3820">
        <v>141.3486</v>
      </c>
      <c r="M3820">
        <v>-0.99995049999999996</v>
      </c>
      <c r="N3820">
        <v>0</v>
      </c>
      <c r="O3820">
        <v>-1.376078E-3</v>
      </c>
      <c r="P3820">
        <v>-0.99624590000000002</v>
      </c>
      <c r="Q3820">
        <v>8.4598670000000001E-2</v>
      </c>
      <c r="R3820">
        <v>-1.8368559999999999E-2</v>
      </c>
      <c r="S3820">
        <v>-3.0191349999999999</v>
      </c>
      <c r="T3820">
        <v>-8.6755159999999998E-2</v>
      </c>
      <c r="U3820">
        <v>5.0689699999999997E-2</v>
      </c>
      <c r="V3820">
        <v>-1.6950299999999901E-2</v>
      </c>
      <c r="W3820">
        <v>9.4426709999999997E-2</v>
      </c>
      <c r="X3820">
        <v>0.99538749999999998</v>
      </c>
      <c r="Y3820">
        <v>1.8154989999999999E-2</v>
      </c>
      <c r="Z3820">
        <v>3.003034E-4</v>
      </c>
      <c r="AA3820">
        <v>0.99983509999999998</v>
      </c>
      <c r="AB3820">
        <v>26</v>
      </c>
      <c r="AC3820">
        <v>-38.163699999999999</v>
      </c>
      <c r="AD3820">
        <v>-1.104344389745</v>
      </c>
      <c r="AE3820">
        <v>0.64529999999999099</v>
      </c>
      <c r="AF3820">
        <v>0.69723450299440404</v>
      </c>
      <c r="AG3820">
        <v>-1.104344389745</v>
      </c>
      <c r="AH3820">
        <v>38.1308560108451</v>
      </c>
      <c r="AI3820">
        <v>91.658657327605297</v>
      </c>
      <c r="AJ3820">
        <v>88.952445679966104</v>
      </c>
      <c r="AK3820">
        <v>38.153216019139599</v>
      </c>
      <c r="AL3820">
        <v>84.581675590189704</v>
      </c>
      <c r="AM3820">
        <v>90.975586686568704</v>
      </c>
      <c r="AN3820">
        <v>0.99999999569388198</v>
      </c>
    </row>
    <row r="3821" spans="1:40" x14ac:dyDescent="0.3">
      <c r="A3821" t="str">
        <f>"20200111150051656"</f>
        <v>20200111150051656</v>
      </c>
      <c r="B3821" t="str">
        <f>"1578726051650520"</f>
        <v>1578726051650520</v>
      </c>
      <c r="C3821" t="s">
        <v>40</v>
      </c>
      <c r="D3821">
        <v>4.3030400000000002</v>
      </c>
      <c r="E3821">
        <v>0.51370470000000001</v>
      </c>
      <c r="F3821" t="s">
        <v>42</v>
      </c>
      <c r="G3821">
        <v>-357.37150000000003</v>
      </c>
      <c r="H3821" s="1">
        <v>-1.7513749999999901E-6</v>
      </c>
      <c r="I3821">
        <v>142.02709999999999</v>
      </c>
      <c r="J3821">
        <v>-315.62329999999997</v>
      </c>
      <c r="K3821">
        <v>1.1043350000000001</v>
      </c>
      <c r="L3821">
        <v>141.3486</v>
      </c>
      <c r="M3821">
        <v>-0.99995080000000003</v>
      </c>
      <c r="N3821">
        <v>0</v>
      </c>
      <c r="O3821">
        <v>-1.102151E-3</v>
      </c>
      <c r="P3821">
        <v>-0.99615670000000001</v>
      </c>
      <c r="Q3821">
        <v>8.5107119999999994E-2</v>
      </c>
      <c r="R3821">
        <v>-2.071168E-2</v>
      </c>
      <c r="S3821">
        <v>-3.0189210000000002</v>
      </c>
      <c r="T3821">
        <v>-7.9372880000000007E-2</v>
      </c>
      <c r="U3821">
        <v>4.8767089999999999E-2</v>
      </c>
      <c r="V3821">
        <v>-1.956596E-2</v>
      </c>
      <c r="W3821">
        <v>9.4938430000000004E-2</v>
      </c>
      <c r="X3821">
        <v>0.99529089999999998</v>
      </c>
      <c r="Y3821">
        <v>1.7247419999999999E-2</v>
      </c>
      <c r="Z3821">
        <v>2.556511E-4</v>
      </c>
      <c r="AA3821">
        <v>0.99985119999999905</v>
      </c>
      <c r="AB3821">
        <v>26</v>
      </c>
      <c r="AC3821">
        <v>-41.748199999999997</v>
      </c>
      <c r="AD3821">
        <v>-1.104336751375</v>
      </c>
      <c r="AE3821">
        <v>0.678499999999985</v>
      </c>
      <c r="AF3821">
        <v>0.72400817121489403</v>
      </c>
      <c r="AG3821">
        <v>-1.104336751375</v>
      </c>
      <c r="AH3821">
        <v>41.718243195825401</v>
      </c>
      <c r="AI3821">
        <v>91.516112312032206</v>
      </c>
      <c r="AJ3821">
        <v>89.005747954453298</v>
      </c>
      <c r="AK3821">
        <v>41.739137063893097</v>
      </c>
      <c r="AL3821">
        <v>84.552224200397504</v>
      </c>
      <c r="AM3821">
        <v>91.126205967617295</v>
      </c>
      <c r="AN3821">
        <v>1.00000005395219</v>
      </c>
    </row>
    <row r="3822" spans="1:40" x14ac:dyDescent="0.3">
      <c r="A3822" t="str">
        <f>"20200111150051678"</f>
        <v>20200111150051678</v>
      </c>
      <c r="B3822" t="str">
        <f>"1578726051671016"</f>
        <v>1578726051671016</v>
      </c>
      <c r="C3822" t="s">
        <v>40</v>
      </c>
      <c r="D3822">
        <v>4.320017</v>
      </c>
      <c r="E3822">
        <v>0.51384609999999997</v>
      </c>
      <c r="F3822" t="s">
        <v>42</v>
      </c>
      <c r="G3822">
        <v>-361.09269999999998</v>
      </c>
      <c r="H3822" s="1">
        <v>-4.3265580000000003E-6</v>
      </c>
      <c r="I3822">
        <v>141.99760000000001</v>
      </c>
      <c r="J3822">
        <v>-315.88380000000001</v>
      </c>
      <c r="K3822">
        <v>1.104328</v>
      </c>
      <c r="L3822">
        <v>141.3486</v>
      </c>
      <c r="M3822">
        <v>-0.99995100000000003</v>
      </c>
      <c r="N3822">
        <v>0</v>
      </c>
      <c r="O3822">
        <v>-8.2214429999999904E-4</v>
      </c>
      <c r="P3822">
        <v>-0.99631170000000002</v>
      </c>
      <c r="Q3822">
        <v>8.2876649999999996E-2</v>
      </c>
      <c r="R3822">
        <v>-2.2237759999999999E-2</v>
      </c>
      <c r="S3822">
        <v>-3.0186769999999998</v>
      </c>
      <c r="T3822">
        <v>-7.3316220000000001E-2</v>
      </c>
      <c r="U3822">
        <v>4.3090820000000002E-2</v>
      </c>
      <c r="V3822">
        <v>-2.1371979999999999E-2</v>
      </c>
      <c r="W3822">
        <v>9.2714320000000003E-2</v>
      </c>
      <c r="X3822">
        <v>0.9954634</v>
      </c>
      <c r="Y3822">
        <v>1.509069E-2</v>
      </c>
      <c r="Z3822">
        <v>2.031864E-4</v>
      </c>
      <c r="AA3822">
        <v>0.9998861</v>
      </c>
      <c r="AB3822">
        <v>26</v>
      </c>
      <c r="AC3822">
        <v>-45.2088999999999</v>
      </c>
      <c r="AD3822">
        <v>-1.1043323265580001</v>
      </c>
      <c r="AE3822">
        <v>0.64900000000000002</v>
      </c>
      <c r="AF3822">
        <v>0.68576072383805797</v>
      </c>
      <c r="AG3822">
        <v>-1.1043323265580001</v>
      </c>
      <c r="AH3822">
        <v>45.181397206974701</v>
      </c>
      <c r="AI3822">
        <v>91.399994401305804</v>
      </c>
      <c r="AJ3822">
        <v>89.130434627817806</v>
      </c>
      <c r="AK3822">
        <v>45.200093708224401</v>
      </c>
      <c r="AL3822">
        <v>84.6802209303181</v>
      </c>
      <c r="AM3822">
        <v>91.229915800173799</v>
      </c>
      <c r="AN3822">
        <v>1.00000004370087</v>
      </c>
    </row>
    <row r="3823" spans="1:40" x14ac:dyDescent="0.3">
      <c r="A3823" t="str">
        <f>"20200111150051700"</f>
        <v>20200111150051700</v>
      </c>
      <c r="B3823" t="str">
        <f>"1578726051690536"</f>
        <v>1578726051690536</v>
      </c>
      <c r="C3823" t="s">
        <v>40</v>
      </c>
      <c r="D3823">
        <v>4.3197939999999999</v>
      </c>
      <c r="E3823">
        <v>0.51395219999999997</v>
      </c>
      <c r="F3823" t="s">
        <v>42</v>
      </c>
      <c r="G3823">
        <v>-359.93810000000002</v>
      </c>
      <c r="H3823" s="1">
        <v>-6.2266210000000004E-7</v>
      </c>
      <c r="I3823">
        <v>141.92310000000001</v>
      </c>
      <c r="J3823">
        <v>-316.13490000000002</v>
      </c>
      <c r="K3823">
        <v>1.104309</v>
      </c>
      <c r="L3823">
        <v>141.34870000000001</v>
      </c>
      <c r="M3823">
        <v>-0.99995120000000004</v>
      </c>
      <c r="N3823">
        <v>0</v>
      </c>
      <c r="O3823">
        <v>-5.5286560000000003E-4</v>
      </c>
      <c r="P3823">
        <v>-0.99657490000000004</v>
      </c>
      <c r="Q3823">
        <v>7.9359109999999997E-2</v>
      </c>
      <c r="R3823">
        <v>-2.3246840000000001E-2</v>
      </c>
      <c r="S3823">
        <v>-3.0182799999999999</v>
      </c>
      <c r="T3823">
        <v>-7.566059E-2</v>
      </c>
      <c r="U3823">
        <v>3.9367680000000002E-2</v>
      </c>
      <c r="V3823">
        <v>-2.265091E-2</v>
      </c>
      <c r="W3823">
        <v>8.9202699999999996E-2</v>
      </c>
      <c r="X3823">
        <v>0.99575590000000003</v>
      </c>
      <c r="Y3823">
        <v>1.3590380000000001E-2</v>
      </c>
      <c r="Z3823">
        <v>1.8416090000000001E-4</v>
      </c>
      <c r="AA3823">
        <v>0.99990760000000001</v>
      </c>
      <c r="AB3823">
        <v>26</v>
      </c>
      <c r="AC3823">
        <v>-43.803199999999997</v>
      </c>
      <c r="AD3823">
        <v>-1.1043096226621001</v>
      </c>
      <c r="AE3823">
        <v>0.57439999999999702</v>
      </c>
      <c r="AF3823">
        <v>0.59823821010837497</v>
      </c>
      <c r="AG3823">
        <v>-1.1043096226621001</v>
      </c>
      <c r="AH3823">
        <v>43.775057967505099</v>
      </c>
      <c r="AI3823">
        <v>91.4449543343366</v>
      </c>
      <c r="AJ3823">
        <v>89.217033796611204</v>
      </c>
      <c r="AK3823">
        <v>43.793071241432401</v>
      </c>
      <c r="AL3823">
        <v>84.8822593177903</v>
      </c>
      <c r="AM3823">
        <v>91.303108288828199</v>
      </c>
      <c r="AN3823">
        <v>0.99999999889796398</v>
      </c>
    </row>
    <row r="3824" spans="1:40" x14ac:dyDescent="0.3">
      <c r="A3824" t="str">
        <f>"20200111150051744"</f>
        <v>20200111150051744</v>
      </c>
      <c r="B3824" t="str">
        <f>"1578726051741288"</f>
        <v>1578726051741288</v>
      </c>
      <c r="C3824" t="s">
        <v>40</v>
      </c>
      <c r="D3824">
        <v>4.3178780000000003</v>
      </c>
      <c r="E3824">
        <v>0.53621640000000004</v>
      </c>
      <c r="F3824" t="s">
        <v>42</v>
      </c>
      <c r="G3824">
        <v>-355.2149</v>
      </c>
      <c r="H3824" s="1">
        <v>-2.624484E-6</v>
      </c>
      <c r="I3824">
        <v>141.8313</v>
      </c>
      <c r="J3824">
        <v>-316.64670000000001</v>
      </c>
      <c r="K3824">
        <v>1.104298</v>
      </c>
      <c r="L3824">
        <v>141.34909999999999</v>
      </c>
      <c r="M3824">
        <v>-0.99995129999999999</v>
      </c>
      <c r="N3824">
        <v>0</v>
      </c>
      <c r="O3824" s="1">
        <v>-3.6986090000000001E-6</v>
      </c>
      <c r="P3824">
        <v>-0.9966583</v>
      </c>
      <c r="Q3824">
        <v>7.8528959999999995E-2</v>
      </c>
      <c r="R3824">
        <v>-2.2482459999999999E-2</v>
      </c>
      <c r="S3824">
        <v>-3.017944</v>
      </c>
      <c r="T3824">
        <v>-8.5280179999999997E-2</v>
      </c>
      <c r="U3824">
        <v>3.727722E-2</v>
      </c>
      <c r="V3824">
        <v>-2.243415E-2</v>
      </c>
      <c r="W3824">
        <v>8.8379150000000004E-2</v>
      </c>
      <c r="X3824">
        <v>0.9958342</v>
      </c>
      <c r="Y3824">
        <v>1.234969E-2</v>
      </c>
      <c r="Z3824">
        <v>1.7454990000000001E-4</v>
      </c>
      <c r="AA3824">
        <v>0.99992369999999997</v>
      </c>
      <c r="AB3824">
        <v>26</v>
      </c>
      <c r="AC3824">
        <v>-38.568199999999898</v>
      </c>
      <c r="AD3824">
        <v>-1.1043006244839999</v>
      </c>
      <c r="AE3824">
        <v>0.48220000000000601</v>
      </c>
      <c r="AF3824">
        <v>0.481947609476087</v>
      </c>
      <c r="AG3824">
        <v>-1.1043006244839999</v>
      </c>
      <c r="AH3824">
        <v>38.5366102601714</v>
      </c>
      <c r="AI3824">
        <v>91.641283731574802</v>
      </c>
      <c r="AJ3824">
        <v>89.283483309033699</v>
      </c>
      <c r="AK3824">
        <v>38.555441687417598</v>
      </c>
      <c r="AL3824">
        <v>84.929632168499197</v>
      </c>
      <c r="AM3824">
        <v>91.290540864916494</v>
      </c>
      <c r="AN3824">
        <v>0.99999995956529097</v>
      </c>
    </row>
    <row r="3825" spans="1:40" x14ac:dyDescent="0.3">
      <c r="A3825" t="str">
        <f>"20200111150051768"</f>
        <v>20200111150051768</v>
      </c>
      <c r="B3825" t="str">
        <f>"1578726051760808"</f>
        <v>1578726051760808</v>
      </c>
      <c r="C3825" t="s">
        <v>40</v>
      </c>
      <c r="D3825">
        <v>4.2771869999999996</v>
      </c>
      <c r="E3825">
        <v>0.53668579999999999</v>
      </c>
      <c r="F3825" t="s">
        <v>72</v>
      </c>
      <c r="G3825">
        <v>-511.92570000000001</v>
      </c>
      <c r="H3825">
        <v>1.483703</v>
      </c>
      <c r="I3825">
        <v>155.5018</v>
      </c>
      <c r="J3825">
        <v>-316.91669999999999</v>
      </c>
      <c r="K3825">
        <v>1.104301</v>
      </c>
      <c r="L3825">
        <v>141.3494</v>
      </c>
      <c r="M3825">
        <v>-0.99995120000000004</v>
      </c>
      <c r="N3825">
        <v>0</v>
      </c>
      <c r="O3825">
        <v>2.8608380000000002E-4</v>
      </c>
      <c r="P3825">
        <v>-0.99655780000000005</v>
      </c>
      <c r="Q3825">
        <v>7.9915029999999998E-2</v>
      </c>
      <c r="R3825">
        <v>-2.205584E-2</v>
      </c>
      <c r="S3825">
        <v>-3.014526</v>
      </c>
      <c r="T3825">
        <v>5.8575869999999896E-3</v>
      </c>
      <c r="U3825">
        <v>0.21847530000000001</v>
      </c>
      <c r="V3825">
        <v>-2.2295559999999999E-2</v>
      </c>
      <c r="W3825">
        <v>8.9767879999999994E-2</v>
      </c>
      <c r="X3825">
        <v>0.99571310000000002</v>
      </c>
      <c r="Y3825">
        <v>7.1999110000000005E-2</v>
      </c>
      <c r="Z3825" s="1">
        <v>-6.930459E-5</v>
      </c>
      <c r="AA3825">
        <v>0.99740469999999903</v>
      </c>
      <c r="AB3825">
        <v>26</v>
      </c>
      <c r="AC3825">
        <v>-195.00899999999999</v>
      </c>
      <c r="AD3825">
        <v>0.37940200000000002</v>
      </c>
      <c r="AE3825">
        <v>14.1524</v>
      </c>
      <c r="AF3825">
        <v>14.096554705842101</v>
      </c>
      <c r="AG3825">
        <v>0.37940200000000002</v>
      </c>
      <c r="AH3825">
        <v>195.01230669384901</v>
      </c>
      <c r="AI3825">
        <v>89.888819658735201</v>
      </c>
      <c r="AJ3825">
        <v>85.865539206284097</v>
      </c>
      <c r="AK3825">
        <v>195.52149897775499</v>
      </c>
      <c r="AL3825">
        <v>84.849746307085596</v>
      </c>
      <c r="AM3825">
        <v>91.282726981190805</v>
      </c>
      <c r="AN3825">
        <v>0.99999997089350801</v>
      </c>
    </row>
    <row r="3826" spans="1:40" x14ac:dyDescent="0.3">
      <c r="A3826" t="str">
        <f>"20200111150051790"</f>
        <v>20200111150051790</v>
      </c>
      <c r="B3826" t="str">
        <f>"1578726051781303"</f>
        <v>1578726051781303</v>
      </c>
      <c r="C3826" t="s">
        <v>40</v>
      </c>
      <c r="D3826">
        <v>4.3175249999999998</v>
      </c>
      <c r="E3826">
        <v>0.53708520000000004</v>
      </c>
      <c r="F3826" t="s">
        <v>72</v>
      </c>
      <c r="G3826">
        <v>-511.92570000000001</v>
      </c>
      <c r="H3826">
        <v>1.381421</v>
      </c>
      <c r="I3826">
        <v>155.80439999999999</v>
      </c>
      <c r="J3826">
        <v>-317.17239999999998</v>
      </c>
      <c r="K3826">
        <v>1.104304</v>
      </c>
      <c r="L3826">
        <v>141.34979999999999</v>
      </c>
      <c r="M3826">
        <v>-0.99995100000000003</v>
      </c>
      <c r="N3826">
        <v>0</v>
      </c>
      <c r="O3826">
        <v>5.6013190000000004E-4</v>
      </c>
      <c r="P3826">
        <v>-0.99653970000000003</v>
      </c>
      <c r="Q3826">
        <v>8.0452670000000004E-2</v>
      </c>
      <c r="R3826">
        <v>-2.0888960000000002E-2</v>
      </c>
      <c r="S3826">
        <v>-3.014923</v>
      </c>
      <c r="T3826">
        <v>4.2850969999999999E-3</v>
      </c>
      <c r="U3826">
        <v>0.22348019999999999</v>
      </c>
      <c r="V3826">
        <v>-2.1401409999999999E-2</v>
      </c>
      <c r="W3826">
        <v>9.0307830000000006E-2</v>
      </c>
      <c r="X3826">
        <v>0.99568389999999996</v>
      </c>
      <c r="Y3826">
        <v>7.336318E-2</v>
      </c>
      <c r="Z3826" s="1">
        <v>-5.1268889999999999E-5</v>
      </c>
      <c r="AA3826">
        <v>0.99730529999999995</v>
      </c>
      <c r="AB3826">
        <v>26</v>
      </c>
      <c r="AC3826">
        <v>-194.7533</v>
      </c>
      <c r="AD3826">
        <v>0.277116999999999</v>
      </c>
      <c r="AE3826">
        <v>14.454599999999999</v>
      </c>
      <c r="AF3826">
        <v>14.345475981936501</v>
      </c>
      <c r="AG3826">
        <v>0.277116999999999</v>
      </c>
      <c r="AH3826">
        <v>194.760974154737</v>
      </c>
      <c r="AI3826">
        <v>89.918696608778106</v>
      </c>
      <c r="AJ3826">
        <v>85.787381792204798</v>
      </c>
      <c r="AK3826">
        <v>195.28877727273999</v>
      </c>
      <c r="AL3826">
        <v>84.818683312036697</v>
      </c>
      <c r="AM3826">
        <v>91.231336255029603</v>
      </c>
      <c r="AN3826">
        <v>0.99999997661425299</v>
      </c>
    </row>
    <row r="3827" spans="1:40" x14ac:dyDescent="0.3">
      <c r="A3827" t="str">
        <f>"20200111150051812"</f>
        <v>20200111150051812</v>
      </c>
      <c r="B3827" t="str">
        <f>"1578726051800825"</f>
        <v>1578726051800825</v>
      </c>
      <c r="C3827" t="s">
        <v>40</v>
      </c>
      <c r="D3827">
        <v>4.2802720000000001</v>
      </c>
      <c r="E3827">
        <v>0.53683389999999997</v>
      </c>
      <c r="F3827" t="s">
        <v>72</v>
      </c>
      <c r="G3827">
        <v>-511.9255</v>
      </c>
      <c r="H3827">
        <v>0.82785419999999998</v>
      </c>
      <c r="I3827">
        <v>156.19370000000001</v>
      </c>
      <c r="J3827">
        <v>-317.43959999999998</v>
      </c>
      <c r="K3827">
        <v>1.104301</v>
      </c>
      <c r="L3827">
        <v>141.3503</v>
      </c>
      <c r="M3827">
        <v>-0.99995089999999998</v>
      </c>
      <c r="N3827">
        <v>0</v>
      </c>
      <c r="O3827">
        <v>8.4657489999999998E-4</v>
      </c>
      <c r="P3827">
        <v>-0.99658910000000001</v>
      </c>
      <c r="Q3827">
        <v>8.0067949999999999E-2</v>
      </c>
      <c r="R3827">
        <v>-1.998548E-2</v>
      </c>
      <c r="S3827">
        <v>-3.0155639999999999</v>
      </c>
      <c r="T3827">
        <v>-4.2798519999999998E-3</v>
      </c>
      <c r="U3827">
        <v>0.22984309999999999</v>
      </c>
      <c r="V3827">
        <v>-2.0783019999999999E-2</v>
      </c>
      <c r="W3827">
        <v>8.9926499999999895E-2</v>
      </c>
      <c r="X3827">
        <v>0.99573149999999999</v>
      </c>
      <c r="Y3827">
        <v>7.5154250000000006E-2</v>
      </c>
      <c r="Z3827" s="1">
        <v>5.2054420000000002E-5</v>
      </c>
      <c r="AA3827">
        <v>0.9971719</v>
      </c>
      <c r="AB3827">
        <v>26</v>
      </c>
      <c r="AC3827">
        <v>-194.48589999999999</v>
      </c>
      <c r="AD3827">
        <v>-0.27644679999999999</v>
      </c>
      <c r="AE3827">
        <v>14.843400000000001</v>
      </c>
      <c r="AF3827">
        <v>14.6787102877707</v>
      </c>
      <c r="AG3827">
        <v>-0.27644679999999999</v>
      </c>
      <c r="AH3827">
        <v>194.498006266007</v>
      </c>
      <c r="AI3827">
        <v>90.081205503382805</v>
      </c>
      <c r="AJ3827">
        <v>85.684085113001004</v>
      </c>
      <c r="AK3827">
        <v>195.051314786641</v>
      </c>
      <c r="AL3827">
        <v>84.840621112108295</v>
      </c>
      <c r="AM3827">
        <v>91.195710347283693</v>
      </c>
      <c r="AN3827">
        <v>0.99999996470740904</v>
      </c>
    </row>
    <row r="3828" spans="1:40" x14ac:dyDescent="0.3">
      <c r="A3828" t="str">
        <f>"20200111150051835"</f>
        <v>20200111150051835</v>
      </c>
      <c r="B3828" t="str">
        <f>"1578726051831080"</f>
        <v>1578726051831080</v>
      </c>
      <c r="C3828" t="s">
        <v>40</v>
      </c>
      <c r="D3828">
        <v>4.3272120000000003</v>
      </c>
      <c r="E3828">
        <v>0.53688009999999997</v>
      </c>
      <c r="F3828" t="s">
        <v>72</v>
      </c>
      <c r="G3828">
        <v>-511.92540000000002</v>
      </c>
      <c r="H3828">
        <v>0.47772379999999998</v>
      </c>
      <c r="I3828">
        <v>156.2234</v>
      </c>
      <c r="J3828">
        <v>-317.6961</v>
      </c>
      <c r="K3828">
        <v>1.1042959999999999</v>
      </c>
      <c r="L3828">
        <v>141.35079999999999</v>
      </c>
      <c r="M3828">
        <v>-0.99995040000000002</v>
      </c>
      <c r="N3828">
        <v>0</v>
      </c>
      <c r="O3828">
        <v>1.122051E-3</v>
      </c>
      <c r="P3828">
        <v>-0.99664739999999996</v>
      </c>
      <c r="Q3828">
        <v>7.9503660000000004E-2</v>
      </c>
      <c r="R3828">
        <v>-1.9314600000000001E-2</v>
      </c>
      <c r="S3828">
        <v>-3.0156860000000001</v>
      </c>
      <c r="T3828">
        <v>-9.7149609999999994E-3</v>
      </c>
      <c r="U3828">
        <v>0.2306213</v>
      </c>
      <c r="V3828">
        <v>-2.0387590000000001E-2</v>
      </c>
      <c r="W3828">
        <v>8.9365630000000001E-2</v>
      </c>
      <c r="X3828">
        <v>0.99579019999999996</v>
      </c>
      <c r="Y3828">
        <v>7.5132030000000002E-2</v>
      </c>
      <c r="Z3828">
        <v>1.172318E-4</v>
      </c>
      <c r="AA3828">
        <v>0.99717359999999999</v>
      </c>
      <c r="AB3828">
        <v>26</v>
      </c>
      <c r="AC3828">
        <v>-194.22929999999999</v>
      </c>
      <c r="AD3828">
        <v>-0.62657219999999902</v>
      </c>
      <c r="AE3828">
        <v>14.8726</v>
      </c>
      <c r="AF3828">
        <v>14.654493167743</v>
      </c>
      <c r="AG3828">
        <v>-0.62657219999999902</v>
      </c>
      <c r="AH3828">
        <v>194.243856700767</v>
      </c>
      <c r="AI3828">
        <v>90.184294560518694</v>
      </c>
      <c r="AJ3828">
        <v>85.685562316887101</v>
      </c>
      <c r="AK3828">
        <v>194.796875305312</v>
      </c>
      <c r="AL3828">
        <v>84.872886669204107</v>
      </c>
      <c r="AM3828">
        <v>91.172897349507494</v>
      </c>
      <c r="AN3828">
        <v>0.99999999603367196</v>
      </c>
    </row>
    <row r="3829" spans="1:40" x14ac:dyDescent="0.3">
      <c r="A3829" t="str">
        <f>"20200111150051856"</f>
        <v>20200111150051856</v>
      </c>
      <c r="B3829" t="str">
        <f>"1578726051850600"</f>
        <v>1578726051850600</v>
      </c>
      <c r="C3829" t="s">
        <v>40</v>
      </c>
      <c r="D3829">
        <v>4.310028</v>
      </c>
      <c r="E3829">
        <v>0.53675850000000003</v>
      </c>
      <c r="F3829" t="s">
        <v>72</v>
      </c>
      <c r="G3829">
        <v>-511.92520000000002</v>
      </c>
      <c r="H3829">
        <v>0.13695940000000001</v>
      </c>
      <c r="I3829">
        <v>156.357</v>
      </c>
      <c r="J3829">
        <v>-317.95080000000002</v>
      </c>
      <c r="K3829">
        <v>1.104298</v>
      </c>
      <c r="L3829">
        <v>141.35140000000001</v>
      </c>
      <c r="M3829">
        <v>-0.99995020000000001</v>
      </c>
      <c r="N3829">
        <v>0</v>
      </c>
      <c r="O3829">
        <v>1.3948459999999999E-3</v>
      </c>
      <c r="P3829">
        <v>-0.99666589999999999</v>
      </c>
      <c r="Q3829">
        <v>7.9471860000000005E-2</v>
      </c>
      <c r="R3829">
        <v>-1.8480750000000001E-2</v>
      </c>
      <c r="S3829">
        <v>-3.0158079999999998</v>
      </c>
      <c r="T3829">
        <v>-1.501918E-2</v>
      </c>
      <c r="U3829">
        <v>0.23300170000000001</v>
      </c>
      <c r="V3829">
        <v>-1.9825450000000001E-2</v>
      </c>
      <c r="W3829">
        <v>8.9336180000000001E-2</v>
      </c>
      <c r="X3829">
        <v>0.99580420000000003</v>
      </c>
      <c r="Y3829">
        <v>7.5638789999999997E-2</v>
      </c>
      <c r="Z3829">
        <v>1.811285E-4</v>
      </c>
      <c r="AA3829">
        <v>0.99713529999999995</v>
      </c>
      <c r="AB3829">
        <v>26</v>
      </c>
      <c r="AC3829">
        <v>-193.9744</v>
      </c>
      <c r="AD3829">
        <v>-0.96733860000000005</v>
      </c>
      <c r="AE3829">
        <v>15.0055999999999</v>
      </c>
      <c r="AF3829">
        <v>14.7346435093809</v>
      </c>
      <c r="AG3829">
        <v>-0.96733860000000005</v>
      </c>
      <c r="AH3829">
        <v>193.99034705065699</v>
      </c>
      <c r="AI3829">
        <v>90.284884142336793</v>
      </c>
      <c r="AJ3829">
        <v>85.656407824168298</v>
      </c>
      <c r="AK3829">
        <v>194.55153613413</v>
      </c>
      <c r="AL3829">
        <v>84.874580842586596</v>
      </c>
      <c r="AM3829">
        <v>91.140550087753198</v>
      </c>
      <c r="AN3829">
        <v>1.00000000313116</v>
      </c>
    </row>
    <row r="3830" spans="1:40" x14ac:dyDescent="0.3">
      <c r="A3830" t="str">
        <f>"20200111150051880"</f>
        <v>20200111150051880</v>
      </c>
      <c r="B3830" t="str">
        <f>"1578726051870829"</f>
        <v>1578726051870829</v>
      </c>
      <c r="C3830" t="s">
        <v>40</v>
      </c>
      <c r="D3830">
        <v>4.3462399999999999</v>
      </c>
      <c r="E3830">
        <v>0.53644309999999995</v>
      </c>
      <c r="F3830" t="s">
        <v>83</v>
      </c>
      <c r="G3830">
        <v>-475.5992</v>
      </c>
      <c r="H3830">
        <v>7.9987600000000006E-2</v>
      </c>
      <c r="I3830">
        <v>153.6011</v>
      </c>
      <c r="J3830">
        <v>-318.22469999999998</v>
      </c>
      <c r="K3830">
        <v>1.1042970000000001</v>
      </c>
      <c r="L3830">
        <v>141.35210000000001</v>
      </c>
      <c r="M3830">
        <v>-0.99994970000000005</v>
      </c>
      <c r="N3830">
        <v>0</v>
      </c>
      <c r="O3830">
        <v>1.6884420000000001E-3</v>
      </c>
      <c r="P3830">
        <v>-0.99663360000000001</v>
      </c>
      <c r="Q3830">
        <v>8.0008220000000005E-2</v>
      </c>
      <c r="R3830">
        <v>-1.789897E-2</v>
      </c>
      <c r="S3830">
        <v>-3.0158999999999998</v>
      </c>
      <c r="T3830">
        <v>-1.9595620000000001E-2</v>
      </c>
      <c r="U3830">
        <v>0.23434450000000001</v>
      </c>
      <c r="V3830">
        <v>-1.953531E-2</v>
      </c>
      <c r="W3830">
        <v>8.9875679999999999E-2</v>
      </c>
      <c r="X3830">
        <v>0.99576140000000002</v>
      </c>
      <c r="Y3830">
        <v>7.5784370000000004E-2</v>
      </c>
      <c r="Z3830">
        <v>2.3487470000000001E-4</v>
      </c>
      <c r="AA3830">
        <v>0.99712420000000002</v>
      </c>
      <c r="AB3830">
        <v>26</v>
      </c>
      <c r="AC3830">
        <v>-157.37450000000001</v>
      </c>
      <c r="AD3830">
        <v>-1.0243093999999999</v>
      </c>
      <c r="AE3830">
        <v>12.248999999999899</v>
      </c>
      <c r="AF3830">
        <v>11.9827472589267</v>
      </c>
      <c r="AG3830">
        <v>-1.0243093999999999</v>
      </c>
      <c r="AH3830">
        <v>157.388330991911</v>
      </c>
      <c r="AI3830">
        <v>90.371809171953899</v>
      </c>
      <c r="AJ3830">
        <v>85.646190035536904</v>
      </c>
      <c r="AK3830">
        <v>157.847148134002</v>
      </c>
      <c r="AL3830">
        <v>84.843544987309301</v>
      </c>
      <c r="AM3830">
        <v>91.123911057939694</v>
      </c>
      <c r="AN3830">
        <v>1.0000000159611</v>
      </c>
    </row>
    <row r="3831" spans="1:40" x14ac:dyDescent="0.3">
      <c r="A3831" t="str">
        <f>"20200111150051897"</f>
        <v>20200111150051897</v>
      </c>
      <c r="B3831" t="str">
        <f>"1578726051891326"</f>
        <v>1578726051891326</v>
      </c>
      <c r="C3831" t="s">
        <v>40</v>
      </c>
      <c r="D3831">
        <v>4.5087120000000001</v>
      </c>
      <c r="E3831">
        <v>0.53584480000000001</v>
      </c>
      <c r="F3831" t="s">
        <v>83</v>
      </c>
      <c r="G3831">
        <v>-499.95780000000002</v>
      </c>
      <c r="H3831">
        <v>2.0137559999999999E-2</v>
      </c>
      <c r="I3831">
        <v>155.42070000000001</v>
      </c>
      <c r="J3831">
        <v>-318.4323</v>
      </c>
      <c r="K3831">
        <v>1.1042959999999999</v>
      </c>
      <c r="L3831">
        <v>141.3527</v>
      </c>
      <c r="M3831">
        <v>-0.99994930000000004</v>
      </c>
      <c r="N3831">
        <v>0</v>
      </c>
      <c r="O3831">
        <v>1.9107569999999999E-3</v>
      </c>
      <c r="P3831">
        <v>-0.99658469999999999</v>
      </c>
      <c r="Q3831">
        <v>8.0598649999999994E-2</v>
      </c>
      <c r="R3831">
        <v>-1.7971040000000001E-2</v>
      </c>
      <c r="S3831">
        <v>-3.0157470000000002</v>
      </c>
      <c r="T3831">
        <v>-1.7990949999999999E-2</v>
      </c>
      <c r="U3831">
        <v>0.23345949999999999</v>
      </c>
      <c r="V3831">
        <v>-1.982863E-2</v>
      </c>
      <c r="W3831">
        <v>9.0468350000000003E-2</v>
      </c>
      <c r="X3831">
        <v>0.99570190000000003</v>
      </c>
      <c r="Y3831">
        <v>7.5275969999999998E-2</v>
      </c>
      <c r="Z3831">
        <v>2.1281619999999999E-4</v>
      </c>
      <c r="AA3831">
        <v>0.99716269999999996</v>
      </c>
      <c r="AB3831">
        <v>26</v>
      </c>
      <c r="AC3831">
        <v>-181.52549999999999</v>
      </c>
      <c r="AD3831">
        <v>-1.0841584399999999</v>
      </c>
      <c r="AE3831">
        <v>14.068</v>
      </c>
      <c r="AF3831">
        <v>13.7206197430322</v>
      </c>
      <c r="AG3831">
        <v>-1.0841584399999999</v>
      </c>
      <c r="AH3831">
        <v>181.54561326040201</v>
      </c>
      <c r="AI3831">
        <v>90.341183259213196</v>
      </c>
      <c r="AJ3831">
        <v>85.677989998954899</v>
      </c>
      <c r="AK3831">
        <v>182.066582600299</v>
      </c>
      <c r="AL3831">
        <v>84.809448436393495</v>
      </c>
      <c r="AM3831">
        <v>91.140850153275693</v>
      </c>
      <c r="AN3831">
        <v>0.99999998529150402</v>
      </c>
    </row>
    <row r="3832" spans="1:40" x14ac:dyDescent="0.3">
      <c r="A3832" t="str">
        <f>"20200111150051912"</f>
        <v>20200111150051912</v>
      </c>
      <c r="B3832" t="str">
        <f>"1578726051901085"</f>
        <v>1578726051901085</v>
      </c>
      <c r="C3832" t="s">
        <v>40</v>
      </c>
      <c r="D3832">
        <v>4.3573930000000001</v>
      </c>
      <c r="E3832">
        <v>0.53561859999999994</v>
      </c>
      <c r="F3832" t="s">
        <v>72</v>
      </c>
      <c r="G3832">
        <v>-511.92520000000002</v>
      </c>
      <c r="H3832">
        <v>9.667742E-2</v>
      </c>
      <c r="I3832">
        <v>156.0111</v>
      </c>
      <c r="J3832">
        <v>-318.60039999999998</v>
      </c>
      <c r="K3832">
        <v>1.1042989999999999</v>
      </c>
      <c r="L3832">
        <v>141.35319999999999</v>
      </c>
      <c r="M3832">
        <v>-0.99994890000000003</v>
      </c>
      <c r="N3832">
        <v>0</v>
      </c>
      <c r="O3832">
        <v>2.0909320000000002E-3</v>
      </c>
      <c r="P3832">
        <v>-0.99655700000000003</v>
      </c>
      <c r="Q3832">
        <v>8.0949190000000004E-2</v>
      </c>
      <c r="R3832">
        <v>-1.7934769999999999E-2</v>
      </c>
      <c r="S3832">
        <v>-3.015625</v>
      </c>
      <c r="T3832">
        <v>-1.57032E-2</v>
      </c>
      <c r="U3832">
        <v>0.22845460000000001</v>
      </c>
      <c r="V3832">
        <v>-1.997138E-2</v>
      </c>
      <c r="W3832">
        <v>9.0820709999999999E-2</v>
      </c>
      <c r="X3832">
        <v>0.99566699999999997</v>
      </c>
      <c r="Y3832">
        <v>7.3454320000000003E-2</v>
      </c>
      <c r="Z3832">
        <v>1.801009E-4</v>
      </c>
      <c r="AA3832">
        <v>0.99729849999999998</v>
      </c>
      <c r="AB3832">
        <v>26</v>
      </c>
      <c r="AC3832">
        <v>-193.32480000000001</v>
      </c>
      <c r="AD3832">
        <v>-1.0076215799999999</v>
      </c>
      <c r="AE3832">
        <v>14.6579</v>
      </c>
      <c r="AF3832">
        <v>14.253234185660601</v>
      </c>
      <c r="AG3832">
        <v>-1.0076215799999999</v>
      </c>
      <c r="AH3832">
        <v>193.349805074817</v>
      </c>
      <c r="AI3832">
        <v>90.297780055576396</v>
      </c>
      <c r="AJ3832">
        <v>85.783933297836597</v>
      </c>
      <c r="AK3832">
        <v>193.87706699986299</v>
      </c>
      <c r="AL3832">
        <v>84.789176401965307</v>
      </c>
      <c r="AM3832">
        <v>91.1491014177587</v>
      </c>
      <c r="AN3832">
        <v>1.0000000161364999</v>
      </c>
    </row>
    <row r="3833" spans="1:40" x14ac:dyDescent="0.3">
      <c r="A3833" t="str">
        <f>"20200111150051935"</f>
        <v>20200111150051935</v>
      </c>
      <c r="B3833" t="str">
        <f>"1578726051931341"</f>
        <v>1578726051931341</v>
      </c>
      <c r="C3833" t="s">
        <v>40</v>
      </c>
      <c r="D3833">
        <v>4.252008</v>
      </c>
      <c r="E3833">
        <v>0.53684319999999996</v>
      </c>
      <c r="F3833" t="s">
        <v>72</v>
      </c>
      <c r="G3833">
        <v>-511.92520000000002</v>
      </c>
      <c r="H3833">
        <v>0.1198554</v>
      </c>
      <c r="I3833">
        <v>155.89279999999999</v>
      </c>
      <c r="J3833">
        <v>-318.86439999999999</v>
      </c>
      <c r="K3833">
        <v>1.1042989999999999</v>
      </c>
      <c r="L3833">
        <v>141.35409999999999</v>
      </c>
      <c r="M3833">
        <v>-0.99994830000000001</v>
      </c>
      <c r="N3833">
        <v>0</v>
      </c>
      <c r="O3833">
        <v>2.3738589999999999E-3</v>
      </c>
      <c r="P3833">
        <v>-0.99658049999999998</v>
      </c>
      <c r="Q3833">
        <v>8.0611820000000001E-2</v>
      </c>
      <c r="R3833">
        <v>-1.8150940000000001E-2</v>
      </c>
      <c r="S3833">
        <v>-3.015717</v>
      </c>
      <c r="T3833">
        <v>-1.5355829999999999E-2</v>
      </c>
      <c r="U3833">
        <v>0.2268066</v>
      </c>
      <c r="V3833">
        <v>-2.0469560000000001E-2</v>
      </c>
      <c r="W3833">
        <v>9.0486869999999997E-2</v>
      </c>
      <c r="X3833">
        <v>0.99568719999999999</v>
      </c>
      <c r="Y3833">
        <v>7.2628020000000001E-2</v>
      </c>
      <c r="Z3833">
        <v>1.7257580000000001E-4</v>
      </c>
      <c r="AA3833">
        <v>0.99735910000000005</v>
      </c>
      <c r="AB3833">
        <v>26</v>
      </c>
      <c r="AC3833">
        <v>-193.0608</v>
      </c>
      <c r="AD3833">
        <v>-0.98444359999999997</v>
      </c>
      <c r="AE3833">
        <v>14.5387</v>
      </c>
      <c r="AF3833">
        <v>14.0799734783938</v>
      </c>
      <c r="AG3833">
        <v>-0.98444359999999997</v>
      </c>
      <c r="AH3833">
        <v>193.08977823266801</v>
      </c>
      <c r="AI3833">
        <v>90.291339173284797</v>
      </c>
      <c r="AJ3833">
        <v>85.829412800239893</v>
      </c>
      <c r="AK3833">
        <v>193.60495148702901</v>
      </c>
      <c r="AL3833">
        <v>84.808382704249496</v>
      </c>
      <c r="AM3833">
        <v>91.177733540576895</v>
      </c>
      <c r="AN3833">
        <v>0.99999993838641299</v>
      </c>
    </row>
    <row r="3834" spans="1:40" x14ac:dyDescent="0.3">
      <c r="A3834" t="str">
        <f>"20200111150051957"</f>
        <v>20200111150051957</v>
      </c>
      <c r="B3834" t="str">
        <f>"1578726051950861"</f>
        <v>1578726051950861</v>
      </c>
      <c r="C3834" t="s">
        <v>40</v>
      </c>
      <c r="D3834">
        <v>4.2188290000000004</v>
      </c>
      <c r="E3834">
        <v>0.53704940000000001</v>
      </c>
      <c r="F3834" t="s">
        <v>72</v>
      </c>
      <c r="G3834">
        <v>-511.92540000000002</v>
      </c>
      <c r="H3834">
        <v>0.45610650000000003</v>
      </c>
      <c r="I3834">
        <v>156.45359999999999</v>
      </c>
      <c r="J3834">
        <v>-319.13229999999999</v>
      </c>
      <c r="K3834">
        <v>1.1042970000000001</v>
      </c>
      <c r="L3834">
        <v>141.35499999999999</v>
      </c>
      <c r="M3834">
        <v>-0.99994740000000004</v>
      </c>
      <c r="N3834">
        <v>0</v>
      </c>
      <c r="O3834">
        <v>2.6608980000000001E-3</v>
      </c>
      <c r="P3834">
        <v>-0.99657030000000002</v>
      </c>
      <c r="Q3834">
        <v>8.0660860000000001E-2</v>
      </c>
      <c r="R3834">
        <v>-1.8488649999999999E-2</v>
      </c>
      <c r="S3834">
        <v>-3.0154109999999998</v>
      </c>
      <c r="T3834">
        <v>-1.012337E-2</v>
      </c>
      <c r="U3834">
        <v>0.23583979999999999</v>
      </c>
      <c r="V3834">
        <v>-2.1093310000000001E-2</v>
      </c>
      <c r="W3834">
        <v>9.0539590000000003E-2</v>
      </c>
      <c r="X3834">
        <v>0.99566940000000004</v>
      </c>
      <c r="Y3834">
        <v>7.5319769999999994E-2</v>
      </c>
      <c r="Z3834">
        <v>1.173193E-4</v>
      </c>
      <c r="AA3834">
        <v>0.99715940000000003</v>
      </c>
      <c r="AB3834">
        <v>26</v>
      </c>
      <c r="AC3834">
        <v>-192.79310000000001</v>
      </c>
      <c r="AD3834">
        <v>-0.648190499999999</v>
      </c>
      <c r="AE3834">
        <v>15.098599999999999</v>
      </c>
      <c r="AF3834">
        <v>14.5853547354849</v>
      </c>
      <c r="AG3834">
        <v>-0.648190499999999</v>
      </c>
      <c r="AH3834">
        <v>192.83042879463301</v>
      </c>
      <c r="AI3834">
        <v>90.192047788436795</v>
      </c>
      <c r="AJ3834">
        <v>85.674484352894794</v>
      </c>
      <c r="AK3834">
        <v>193.38233371434501</v>
      </c>
      <c r="AL3834">
        <v>84.805349678884596</v>
      </c>
      <c r="AM3834">
        <v>91.213632642307104</v>
      </c>
      <c r="AN3834">
        <v>0.99999994959023997</v>
      </c>
    </row>
    <row r="3835" spans="1:40" x14ac:dyDescent="0.3">
      <c r="A3835" t="str">
        <f>"20200111150051980"</f>
        <v>20200111150051980</v>
      </c>
      <c r="B3835" t="str">
        <f>"1578726051971046"</f>
        <v>1578726051971046</v>
      </c>
      <c r="C3835" t="s">
        <v>40</v>
      </c>
      <c r="D3835">
        <v>4.2453500000000002</v>
      </c>
      <c r="E3835">
        <v>0.53726249999999998</v>
      </c>
      <c r="F3835" t="s">
        <v>72</v>
      </c>
      <c r="G3835">
        <v>-511.9255</v>
      </c>
      <c r="H3835">
        <v>0.86263939999999995</v>
      </c>
      <c r="I3835">
        <v>156.48740000000001</v>
      </c>
      <c r="J3835">
        <v>-319.40230000000003</v>
      </c>
      <c r="K3835">
        <v>1.1042970000000001</v>
      </c>
      <c r="L3835">
        <v>141.3561</v>
      </c>
      <c r="M3835">
        <v>-0.99994660000000002</v>
      </c>
      <c r="N3835">
        <v>0</v>
      </c>
      <c r="O3835">
        <v>2.950261E-3</v>
      </c>
      <c r="P3835">
        <v>-0.99655249999999995</v>
      </c>
      <c r="Q3835">
        <v>8.0813609999999994E-2</v>
      </c>
      <c r="R3835">
        <v>-1.8772839999999999E-2</v>
      </c>
      <c r="S3835">
        <v>-3.015015</v>
      </c>
      <c r="T3835">
        <v>-3.7784580000000002E-3</v>
      </c>
      <c r="U3835">
        <v>0.23664859999999999</v>
      </c>
      <c r="V3835">
        <v>-2.166558E-2</v>
      </c>
      <c r="W3835">
        <v>9.0695349999999994E-2</v>
      </c>
      <c r="X3835">
        <v>0.99564299999999994</v>
      </c>
      <c r="Y3835">
        <v>7.5307600000000002E-2</v>
      </c>
      <c r="Z3835" s="1">
        <v>4.3424090000000003E-5</v>
      </c>
      <c r="AA3835">
        <v>0.99716039999999995</v>
      </c>
      <c r="AB3835">
        <v>26</v>
      </c>
      <c r="AC3835">
        <v>-192.5232</v>
      </c>
      <c r="AD3835">
        <v>-0.241657599999999</v>
      </c>
      <c r="AE3835">
        <v>15.1313</v>
      </c>
      <c r="AF3835">
        <v>14.563189788633199</v>
      </c>
      <c r="AG3835">
        <v>-0.241657599999999</v>
      </c>
      <c r="AH3835">
        <v>192.566703987458</v>
      </c>
      <c r="AI3835">
        <v>90.071697374509995</v>
      </c>
      <c r="AJ3835">
        <v>85.675140319929994</v>
      </c>
      <c r="AK3835">
        <v>193.116753234432</v>
      </c>
      <c r="AL3835">
        <v>84.796388753460604</v>
      </c>
      <c r="AM3835">
        <v>91.246581775291205</v>
      </c>
      <c r="AN3835">
        <v>1.00000001365867</v>
      </c>
    </row>
    <row r="3836" spans="1:40" x14ac:dyDescent="0.3">
      <c r="A3836" t="str">
        <f>"20200111150052002"</f>
        <v>20200111150052002</v>
      </c>
      <c r="B3836" t="str">
        <f>"1578726051990566"</f>
        <v>1578726051990566</v>
      </c>
      <c r="C3836" t="s">
        <v>40</v>
      </c>
      <c r="D3836">
        <v>4.243023</v>
      </c>
      <c r="E3836">
        <v>0.53762829999999995</v>
      </c>
      <c r="F3836" t="s">
        <v>72</v>
      </c>
      <c r="G3836">
        <v>-511.92559999999997</v>
      </c>
      <c r="H3836">
        <v>1.2331540000000001</v>
      </c>
      <c r="I3836">
        <v>156.52440000000001</v>
      </c>
      <c r="J3836">
        <v>-319.65010000000001</v>
      </c>
      <c r="K3836">
        <v>1.1042909999999999</v>
      </c>
      <c r="L3836">
        <v>141.3571</v>
      </c>
      <c r="M3836">
        <v>-0.9999458</v>
      </c>
      <c r="N3836">
        <v>0</v>
      </c>
      <c r="O3836">
        <v>3.215543E-3</v>
      </c>
      <c r="P3836">
        <v>-0.99654569999999998</v>
      </c>
      <c r="Q3836">
        <v>8.0820959999999997E-2</v>
      </c>
      <c r="R3836">
        <v>-1.9103559999999999E-2</v>
      </c>
      <c r="S3836">
        <v>-3.0146790000000001</v>
      </c>
      <c r="T3836">
        <v>2.018452E-3</v>
      </c>
      <c r="U3836">
        <v>0.23751829999999999</v>
      </c>
      <c r="V3836">
        <v>-2.226042E-2</v>
      </c>
      <c r="W3836">
        <v>9.0706250000000002E-2</v>
      </c>
      <c r="X3836">
        <v>0.99562890000000004</v>
      </c>
      <c r="Y3836">
        <v>7.5337689999999999E-2</v>
      </c>
      <c r="Z3836" s="1">
        <v>-2.3032180000000001E-5</v>
      </c>
      <c r="AA3836">
        <v>0.99715810000000005</v>
      </c>
      <c r="AB3836">
        <v>26</v>
      </c>
      <c r="AC3836">
        <v>-192.27549999999999</v>
      </c>
      <c r="AD3836">
        <v>0.12886300000000001</v>
      </c>
      <c r="AE3836">
        <v>15.167299999999999</v>
      </c>
      <c r="AF3836">
        <v>14.548914631533</v>
      </c>
      <c r="AG3836">
        <v>0.12886300000000001</v>
      </c>
      <c r="AH3836">
        <v>192.32319350837801</v>
      </c>
      <c r="AI3836">
        <v>89.961719286285799</v>
      </c>
      <c r="AJ3836">
        <v>85.673913751475695</v>
      </c>
      <c r="AK3836">
        <v>192.87275153294499</v>
      </c>
      <c r="AL3836">
        <v>84.795761721062306</v>
      </c>
      <c r="AM3836">
        <v>91.280814223710294</v>
      </c>
      <c r="AN3836">
        <v>1.0000000283014201</v>
      </c>
    </row>
    <row r="3837" spans="1:40" x14ac:dyDescent="0.3">
      <c r="A3837" t="str">
        <f>"20200111150052023"</f>
        <v>20200111150052023</v>
      </c>
      <c r="B3837" t="str">
        <f>"1578726052020821"</f>
        <v>1578726052020821</v>
      </c>
      <c r="C3837" t="s">
        <v>40</v>
      </c>
      <c r="D3837">
        <v>4.3345880000000001</v>
      </c>
      <c r="E3837">
        <v>0.53784200000000004</v>
      </c>
      <c r="F3837" t="s">
        <v>72</v>
      </c>
      <c r="G3837">
        <v>-511.92570000000001</v>
      </c>
      <c r="H3837">
        <v>1.5484089999999999</v>
      </c>
      <c r="I3837">
        <v>156.64359999999999</v>
      </c>
      <c r="J3837">
        <v>-319.91489999999999</v>
      </c>
      <c r="K3837">
        <v>1.1042879999999999</v>
      </c>
      <c r="L3837">
        <v>141.35820000000001</v>
      </c>
      <c r="M3837">
        <v>-0.99994470000000002</v>
      </c>
      <c r="N3837">
        <v>0</v>
      </c>
      <c r="O3837">
        <v>3.496252E-3</v>
      </c>
      <c r="P3837">
        <v>-0.99653009999999997</v>
      </c>
      <c r="Q3837">
        <v>8.0824030000000005E-2</v>
      </c>
      <c r="R3837">
        <v>-1.9882299999999999E-2</v>
      </c>
      <c r="S3837">
        <v>-3.0144039999999999</v>
      </c>
      <c r="T3837">
        <v>6.9633719999999998E-3</v>
      </c>
      <c r="U3837">
        <v>0.23965449999999999</v>
      </c>
      <c r="V3837">
        <v>-2.3319099999999999E-2</v>
      </c>
      <c r="W3837">
        <v>9.0712920000000002E-2</v>
      </c>
      <c r="X3837">
        <v>0.99560400000000004</v>
      </c>
      <c r="Y3837">
        <v>7.5766929999999996E-2</v>
      </c>
      <c r="Z3837" s="1">
        <v>-7.9310240000000001E-5</v>
      </c>
      <c r="AA3837">
        <v>0.99712559999999995</v>
      </c>
      <c r="AB3837">
        <v>26</v>
      </c>
      <c r="AC3837">
        <v>-192.01079999999999</v>
      </c>
      <c r="AD3837">
        <v>0.44412099999999999</v>
      </c>
      <c r="AE3837">
        <v>15.2853999999999</v>
      </c>
      <c r="AF3837">
        <v>14.613877710603999</v>
      </c>
      <c r="AG3837">
        <v>0.44412099999999999</v>
      </c>
      <c r="AH3837">
        <v>192.06204951598301</v>
      </c>
      <c r="AI3837">
        <v>89.8678923264292</v>
      </c>
      <c r="AJ3837">
        <v>85.648785344700002</v>
      </c>
      <c r="AK3837">
        <v>192.61773939459201</v>
      </c>
      <c r="AL3837">
        <v>84.795377669558604</v>
      </c>
      <c r="AM3837">
        <v>91.341740059230801</v>
      </c>
      <c r="AN3837">
        <v>0.99999996954786696</v>
      </c>
    </row>
    <row r="3838" spans="1:40" x14ac:dyDescent="0.3">
      <c r="A3838" t="str">
        <f>"20200111150052047"</f>
        <v>20200111150052047</v>
      </c>
      <c r="B3838" t="str">
        <f>"1578726052041318"</f>
        <v>1578726052041318</v>
      </c>
      <c r="C3838" t="s">
        <v>40</v>
      </c>
      <c r="D3838">
        <v>4.2880149999999997</v>
      </c>
      <c r="E3838">
        <v>0.53776199999999996</v>
      </c>
      <c r="F3838" t="s">
        <v>72</v>
      </c>
      <c r="G3838">
        <v>-511.92579999999998</v>
      </c>
      <c r="H3838">
        <v>1.68598</v>
      </c>
      <c r="I3838">
        <v>156.59049999999999</v>
      </c>
      <c r="J3838">
        <v>-320.18680000000001</v>
      </c>
      <c r="K3838">
        <v>1.1042970000000001</v>
      </c>
      <c r="L3838">
        <v>141.3595</v>
      </c>
      <c r="M3838">
        <v>-0.99994369999999999</v>
      </c>
      <c r="N3838">
        <v>0</v>
      </c>
      <c r="O3838">
        <v>3.7811239999999999E-3</v>
      </c>
      <c r="P3838">
        <v>-0.99645269999999997</v>
      </c>
      <c r="Q3838">
        <v>8.1768450000000006E-2</v>
      </c>
      <c r="R3838">
        <v>-1.9904189999999999E-2</v>
      </c>
      <c r="S3838">
        <v>-3.0144350000000002</v>
      </c>
      <c r="T3838">
        <v>9.1328620000000003E-3</v>
      </c>
      <c r="U3838">
        <v>0.23913570000000001</v>
      </c>
      <c r="V3838">
        <v>-2.3624200000000001E-2</v>
      </c>
      <c r="W3838">
        <v>9.1659749999999998E-2</v>
      </c>
      <c r="X3838">
        <v>0.99551009999999995</v>
      </c>
      <c r="Y3838">
        <v>7.5311409999999995E-2</v>
      </c>
      <c r="Z3838">
        <v>-1.024689E-4</v>
      </c>
      <c r="AA3838">
        <v>0.99716009999999999</v>
      </c>
      <c r="AB3838">
        <v>26</v>
      </c>
      <c r="AC3838">
        <v>-191.739</v>
      </c>
      <c r="AD3838">
        <v>0.58168299999999995</v>
      </c>
      <c r="AE3838">
        <v>15.2309999999999</v>
      </c>
      <c r="AF3838">
        <v>14.505733874409501</v>
      </c>
      <c r="AG3838">
        <v>0.58168299999999995</v>
      </c>
      <c r="AH3838">
        <v>191.79346825641099</v>
      </c>
      <c r="AI3838">
        <v>89.8267252507503</v>
      </c>
      <c r="AJ3838">
        <v>85.674836933096898</v>
      </c>
      <c r="AK3838">
        <v>192.34211482712499</v>
      </c>
      <c r="AL3838">
        <v>84.740901432457903</v>
      </c>
      <c r="AM3838">
        <v>91.359416598406696</v>
      </c>
      <c r="AN3838">
        <v>0.99999998589885597</v>
      </c>
    </row>
    <row r="3839" spans="1:40" x14ac:dyDescent="0.3">
      <c r="A3839" t="str">
        <f>"20200111150052071"</f>
        <v>20200111150052071</v>
      </c>
      <c r="B3839" t="str">
        <f>"1578726052060598"</f>
        <v>1578726052060598</v>
      </c>
      <c r="C3839" t="s">
        <v>40</v>
      </c>
      <c r="D3839">
        <v>4.2633580000000002</v>
      </c>
      <c r="E3839">
        <v>0.53771899999999995</v>
      </c>
      <c r="F3839" t="s">
        <v>72</v>
      </c>
      <c r="G3839">
        <v>-511.92579999999998</v>
      </c>
      <c r="H3839">
        <v>1.783795</v>
      </c>
      <c r="I3839">
        <v>156.5162</v>
      </c>
      <c r="J3839">
        <v>-320.45830000000001</v>
      </c>
      <c r="K3839">
        <v>1.104304</v>
      </c>
      <c r="L3839">
        <v>141.36080000000001</v>
      </c>
      <c r="M3839">
        <v>-0.99994249999999996</v>
      </c>
      <c r="N3839">
        <v>0</v>
      </c>
      <c r="O3839">
        <v>4.0610350000000002E-3</v>
      </c>
      <c r="P3839">
        <v>-0.99639129999999998</v>
      </c>
      <c r="Q3839">
        <v>8.2564960000000007E-2</v>
      </c>
      <c r="R3839">
        <v>-1.9682649999999999E-2</v>
      </c>
      <c r="S3839">
        <v>-3.0145569999999999</v>
      </c>
      <c r="T3839">
        <v>1.068389E-2</v>
      </c>
      <c r="U3839">
        <v>0.23829649999999999</v>
      </c>
      <c r="V3839">
        <v>-2.3681770000000001E-2</v>
      </c>
      <c r="W3839">
        <v>9.2458399999999996E-2</v>
      </c>
      <c r="X3839">
        <v>0.99543490000000001</v>
      </c>
      <c r="Y3839">
        <v>7.4753089999999994E-2</v>
      </c>
      <c r="Z3839">
        <v>-1.178892E-4</v>
      </c>
      <c r="AA3839">
        <v>0.99720200000000003</v>
      </c>
      <c r="AB3839">
        <v>26</v>
      </c>
      <c r="AC3839">
        <v>-191.4675</v>
      </c>
      <c r="AD3839">
        <v>0.67949099999999896</v>
      </c>
      <c r="AE3839">
        <v>15.155399999999901</v>
      </c>
      <c r="AF3839">
        <v>14.3775005490744</v>
      </c>
      <c r="AG3839">
        <v>0.67949099999999896</v>
      </c>
      <c r="AH3839">
        <v>191.525073514328</v>
      </c>
      <c r="AI3839">
        <v>89.797297716558305</v>
      </c>
      <c r="AJ3839">
        <v>85.706943714564105</v>
      </c>
      <c r="AK3839">
        <v>192.06516606278899</v>
      </c>
      <c r="AL3839">
        <v>84.694947146774396</v>
      </c>
      <c r="AM3839">
        <v>91.362831032111302</v>
      </c>
      <c r="AN3839">
        <v>1.00000001104945</v>
      </c>
    </row>
    <row r="3840" spans="1:40" x14ac:dyDescent="0.3">
      <c r="A3840" t="str">
        <f>"20200111150052091"</f>
        <v>20200111150052091</v>
      </c>
      <c r="B3840" t="str">
        <f>"1578726052081095"</f>
        <v>1578726052081095</v>
      </c>
      <c r="C3840" t="s">
        <v>40</v>
      </c>
      <c r="D3840">
        <v>4.299296</v>
      </c>
      <c r="E3840">
        <v>0.53779730000000003</v>
      </c>
      <c r="F3840" t="s">
        <v>72</v>
      </c>
      <c r="G3840">
        <v>-511.92590000000001</v>
      </c>
      <c r="H3840">
        <v>2.007676</v>
      </c>
      <c r="I3840">
        <v>156.50649999999999</v>
      </c>
      <c r="J3840">
        <v>-320.71339999999998</v>
      </c>
      <c r="K3840">
        <v>1.104311</v>
      </c>
      <c r="L3840">
        <v>141.3622</v>
      </c>
      <c r="M3840">
        <v>-0.99994150000000004</v>
      </c>
      <c r="N3840">
        <v>0</v>
      </c>
      <c r="O3840">
        <v>4.3163109999999998E-3</v>
      </c>
      <c r="P3840">
        <v>-0.99634999999999996</v>
      </c>
      <c r="Q3840">
        <v>8.3153560000000001E-2</v>
      </c>
      <c r="R3840">
        <v>-1.9300439999999999E-2</v>
      </c>
      <c r="S3840">
        <v>-3.0144039999999999</v>
      </c>
      <c r="T3840">
        <v>1.4223100000000001E-2</v>
      </c>
      <c r="U3840">
        <v>0.2384491</v>
      </c>
      <c r="V3840">
        <v>-2.3554220000000001E-2</v>
      </c>
      <c r="W3840">
        <v>9.3049030000000005E-2</v>
      </c>
      <c r="X3840">
        <v>0.99538289999999996</v>
      </c>
      <c r="Y3840">
        <v>7.4552300000000002E-2</v>
      </c>
      <c r="Z3840">
        <v>-1.552735E-4</v>
      </c>
      <c r="AA3840">
        <v>0.99721709999999997</v>
      </c>
      <c r="AB3840">
        <v>26</v>
      </c>
      <c r="AC3840">
        <v>-191.21250000000001</v>
      </c>
      <c r="AD3840">
        <v>0.90336499999999997</v>
      </c>
      <c r="AE3840">
        <v>15.1442999999999</v>
      </c>
      <c r="AF3840">
        <v>14.3184681039801</v>
      </c>
      <c r="AG3840">
        <v>0.90336499999999997</v>
      </c>
      <c r="AH3840">
        <v>191.27184677194501</v>
      </c>
      <c r="AI3840">
        <v>89.730152652066295</v>
      </c>
      <c r="AJ3840">
        <v>85.718865697659993</v>
      </c>
      <c r="AK3840">
        <v>191.80916027322101</v>
      </c>
      <c r="AL3840">
        <v>84.660960074970006</v>
      </c>
      <c r="AM3840">
        <v>91.355564357070605</v>
      </c>
      <c r="AN3840">
        <v>1.0000000204380699</v>
      </c>
    </row>
    <row r="3841" spans="1:40" x14ac:dyDescent="0.3">
      <c r="A3841" t="str">
        <f>"20200111150052113"</f>
        <v>20200111150052113</v>
      </c>
      <c r="B3841" t="str">
        <f>"1578726052111351"</f>
        <v>1578726052111351</v>
      </c>
      <c r="C3841" t="s">
        <v>40</v>
      </c>
      <c r="D3841">
        <v>4.2439269999999896</v>
      </c>
      <c r="E3841">
        <v>0.53785099999999997</v>
      </c>
      <c r="F3841" t="s">
        <v>72</v>
      </c>
      <c r="G3841">
        <v>-511.92579999999998</v>
      </c>
      <c r="H3841">
        <v>1.8943190000000001</v>
      </c>
      <c r="I3841">
        <v>156.60069999999999</v>
      </c>
      <c r="J3841">
        <v>-320.97570000000002</v>
      </c>
      <c r="K3841">
        <v>1.104322</v>
      </c>
      <c r="L3841">
        <v>141.36359999999999</v>
      </c>
      <c r="M3841">
        <v>-0.9999403</v>
      </c>
      <c r="N3841">
        <v>0</v>
      </c>
      <c r="O3841">
        <v>4.5668449999999999E-3</v>
      </c>
      <c r="P3841">
        <v>-0.99637430000000005</v>
      </c>
      <c r="Q3841">
        <v>8.2946909999999999E-2</v>
      </c>
      <c r="R3841">
        <v>-1.8927030000000001E-2</v>
      </c>
      <c r="S3841">
        <v>-3.0146480000000002</v>
      </c>
      <c r="T3841">
        <v>1.245594E-2</v>
      </c>
      <c r="U3841">
        <v>0.24024960000000001</v>
      </c>
      <c r="V3841">
        <v>-2.3432209999999998E-2</v>
      </c>
      <c r="W3841">
        <v>9.2844880000000005E-2</v>
      </c>
      <c r="X3841">
        <v>0.99540479999999998</v>
      </c>
      <c r="Y3841">
        <v>7.4888150000000001E-2</v>
      </c>
      <c r="Z3841">
        <v>-1.3562669999999999E-4</v>
      </c>
      <c r="AA3841">
        <v>0.99719190000000002</v>
      </c>
      <c r="AB3841">
        <v>26</v>
      </c>
      <c r="AC3841">
        <v>-190.95009999999999</v>
      </c>
      <c r="AD3841">
        <v>0.78999699999999895</v>
      </c>
      <c r="AE3841">
        <v>15.2370999999999</v>
      </c>
      <c r="AF3841">
        <v>14.3646142982408</v>
      </c>
      <c r="AG3841">
        <v>0.78999699999999895</v>
      </c>
      <c r="AH3841">
        <v>191.01444867811901</v>
      </c>
      <c r="AI3841">
        <v>89.763704843352897</v>
      </c>
      <c r="AJ3841">
        <v>85.699354022834598</v>
      </c>
      <c r="AK3841">
        <v>191.55543804080099</v>
      </c>
      <c r="AL3841">
        <v>84.672707637042095</v>
      </c>
      <c r="AM3841">
        <v>91.348515524341707</v>
      </c>
      <c r="AN3841">
        <v>0.999999978035369</v>
      </c>
    </row>
    <row r="3842" spans="1:40" x14ac:dyDescent="0.3">
      <c r="A3842" t="str">
        <f>"20200111150052138"</f>
        <v>20200111150052138</v>
      </c>
      <c r="B3842" t="str">
        <f>"1578726052130872"</f>
        <v>1578726052130872</v>
      </c>
      <c r="C3842" t="s">
        <v>40</v>
      </c>
      <c r="D3842">
        <v>4.2644349999999998</v>
      </c>
      <c r="E3842">
        <v>0.53785819999999995</v>
      </c>
      <c r="F3842" t="s">
        <v>72</v>
      </c>
      <c r="G3842">
        <v>-511.92579999999998</v>
      </c>
      <c r="H3842">
        <v>1.6544460000000001</v>
      </c>
      <c r="I3842">
        <v>156.6867</v>
      </c>
      <c r="J3842">
        <v>-321.26909999999998</v>
      </c>
      <c r="K3842">
        <v>1.104336</v>
      </c>
      <c r="L3842">
        <v>141.36519999999999</v>
      </c>
      <c r="M3842">
        <v>-0.99993920000000003</v>
      </c>
      <c r="N3842">
        <v>0</v>
      </c>
      <c r="O3842">
        <v>4.8280479999999997E-3</v>
      </c>
      <c r="P3842">
        <v>-0.9963495</v>
      </c>
      <c r="Q3842">
        <v>8.3529640000000002E-2</v>
      </c>
      <c r="R3842">
        <v>-1.7632519999999999E-2</v>
      </c>
      <c r="S3842">
        <v>-3.0148009999999998</v>
      </c>
      <c r="T3842">
        <v>8.6863040000000006E-3</v>
      </c>
      <c r="U3842">
        <v>0.24192810000000001</v>
      </c>
      <c r="V3842">
        <v>-2.2400030000000001E-2</v>
      </c>
      <c r="W3842">
        <v>9.3429310000000002E-2</v>
      </c>
      <c r="X3842">
        <v>0.99537390000000003</v>
      </c>
      <c r="Y3842">
        <v>7.5175619999999999E-2</v>
      </c>
      <c r="Z3842" s="1">
        <v>-9.4236440000000001E-5</v>
      </c>
      <c r="AA3842">
        <v>0.99717029999999995</v>
      </c>
      <c r="AB3842">
        <v>27</v>
      </c>
      <c r="AC3842">
        <v>-190.6567</v>
      </c>
      <c r="AD3842">
        <v>0.55010999999999899</v>
      </c>
      <c r="AE3842">
        <v>15.3215</v>
      </c>
      <c r="AF3842">
        <v>14.4006573511166</v>
      </c>
      <c r="AG3842">
        <v>0.55010999999999899</v>
      </c>
      <c r="AH3842">
        <v>190.72687658135899</v>
      </c>
      <c r="AI3842">
        <v>89.835212347912304</v>
      </c>
      <c r="AJ3842">
        <v>85.682127646257698</v>
      </c>
      <c r="AK3842">
        <v>191.27054923233001</v>
      </c>
      <c r="AL3842">
        <v>84.639076189896997</v>
      </c>
      <c r="AM3842">
        <v>91.289174437667597</v>
      </c>
      <c r="AN3842">
        <v>0.99999999905614301</v>
      </c>
    </row>
    <row r="3843" spans="1:40" x14ac:dyDescent="0.3">
      <c r="A3843" t="str">
        <f>"20200111150052160"</f>
        <v>20200111150052160</v>
      </c>
      <c r="B3843" t="str">
        <f>"1578726052151367"</f>
        <v>1578726052151367</v>
      </c>
      <c r="C3843" t="s">
        <v>40</v>
      </c>
      <c r="D3843">
        <v>4.3261379999999896</v>
      </c>
      <c r="E3843">
        <v>0.53807649999999996</v>
      </c>
      <c r="F3843" t="s">
        <v>72</v>
      </c>
      <c r="G3843">
        <v>-511.92579999999998</v>
      </c>
      <c r="H3843">
        <v>1.9103749999999999</v>
      </c>
      <c r="I3843">
        <v>156.8913</v>
      </c>
      <c r="J3843">
        <v>-321.51979999999998</v>
      </c>
      <c r="K3843">
        <v>1.1043540000000001</v>
      </c>
      <c r="L3843">
        <v>141.36670000000001</v>
      </c>
      <c r="M3843">
        <v>-0.99993810000000005</v>
      </c>
      <c r="N3843">
        <v>0</v>
      </c>
      <c r="O3843">
        <v>5.0301649999999996E-3</v>
      </c>
      <c r="P3843">
        <v>-0.99634909999999999</v>
      </c>
      <c r="Q3843">
        <v>8.3764430000000001E-2</v>
      </c>
      <c r="R3843">
        <v>-1.6488409999999998E-2</v>
      </c>
      <c r="S3843">
        <v>-3.0142820000000001</v>
      </c>
      <c r="T3843">
        <v>1.2744190000000001E-2</v>
      </c>
      <c r="U3843">
        <v>0.24546809999999999</v>
      </c>
      <c r="V3843">
        <v>-2.14612E-2</v>
      </c>
      <c r="W3843">
        <v>9.366621E-2</v>
      </c>
      <c r="X3843">
        <v>0.99537229999999999</v>
      </c>
      <c r="Y3843">
        <v>7.6150850000000006E-2</v>
      </c>
      <c r="Z3843">
        <v>-1.394818E-4</v>
      </c>
      <c r="AA3843">
        <v>0.99709630000000005</v>
      </c>
      <c r="AB3843">
        <v>27</v>
      </c>
      <c r="AC3843">
        <v>-190.40599999999901</v>
      </c>
      <c r="AD3843">
        <v>0.80602099999999899</v>
      </c>
      <c r="AE3843">
        <v>15.5245999999999</v>
      </c>
      <c r="AF3843">
        <v>14.5663235047925</v>
      </c>
      <c r="AG3843">
        <v>0.80602099999999899</v>
      </c>
      <c r="AH3843">
        <v>190.47829523518701</v>
      </c>
      <c r="AI3843">
        <v>89.758256539869194</v>
      </c>
      <c r="AJ3843">
        <v>85.626968175662498</v>
      </c>
      <c r="AK3843">
        <v>191.03614423977899</v>
      </c>
      <c r="AL3843">
        <v>84.625442926318897</v>
      </c>
      <c r="AM3843">
        <v>91.235161651303997</v>
      </c>
      <c r="AN3843">
        <v>0.99999997880424596</v>
      </c>
    </row>
    <row r="3844" spans="1:40" x14ac:dyDescent="0.3">
      <c r="A3844" t="str">
        <f>"20200111150052181"</f>
        <v>20200111150052181</v>
      </c>
      <c r="B3844" t="str">
        <f>"1578726052170887"</f>
        <v>1578726052170887</v>
      </c>
      <c r="C3844" t="s">
        <v>40</v>
      </c>
      <c r="D3844">
        <v>4.2888479999999998</v>
      </c>
      <c r="E3844">
        <v>0.53821209999999997</v>
      </c>
      <c r="F3844" t="s">
        <v>72</v>
      </c>
      <c r="G3844">
        <v>-511.92579999999998</v>
      </c>
      <c r="H3844">
        <v>1.9513609999999999</v>
      </c>
      <c r="I3844">
        <v>157.18129999999999</v>
      </c>
      <c r="J3844">
        <v>-321.77949999999998</v>
      </c>
      <c r="K3844">
        <v>1.1043670000000001</v>
      </c>
      <c r="L3844">
        <v>141.3682</v>
      </c>
      <c r="M3844">
        <v>-0.99993710000000002</v>
      </c>
      <c r="N3844">
        <v>0</v>
      </c>
      <c r="O3844">
        <v>5.2149529999999996E-3</v>
      </c>
      <c r="P3844">
        <v>-0.99635629999999997</v>
      </c>
      <c r="Q3844">
        <v>8.374906E-2</v>
      </c>
      <c r="R3844">
        <v>-1.6143049999999999E-2</v>
      </c>
      <c r="S3844">
        <v>-3.014008</v>
      </c>
      <c r="T3844">
        <v>1.34083E-2</v>
      </c>
      <c r="U3844">
        <v>0.25033569999999999</v>
      </c>
      <c r="V3844">
        <v>-2.1304119999999999E-2</v>
      </c>
      <c r="W3844">
        <v>9.3652929999999995E-2</v>
      </c>
      <c r="X3844">
        <v>0.99537690000000001</v>
      </c>
      <c r="Y3844">
        <v>7.7573249999999996E-2</v>
      </c>
      <c r="Z3844">
        <v>-1.4909179999999999E-4</v>
      </c>
      <c r="AA3844">
        <v>0.99698659999999995</v>
      </c>
      <c r="AB3844">
        <v>27</v>
      </c>
      <c r="AC3844">
        <v>-190.1463</v>
      </c>
      <c r="AD3844">
        <v>0.84699400000000002</v>
      </c>
      <c r="AE3844">
        <v>15.813099999999899</v>
      </c>
      <c r="AF3844">
        <v>14.8209399885786</v>
      </c>
      <c r="AG3844">
        <v>0.84699400000000002</v>
      </c>
      <c r="AH3844">
        <v>190.22243431806899</v>
      </c>
      <c r="AI3844">
        <v>89.745654440321303</v>
      </c>
      <c r="AJ3844">
        <v>85.544872401056196</v>
      </c>
      <c r="AK3844">
        <v>190.800818077054</v>
      </c>
      <c r="AL3844">
        <v>84.626207045085195</v>
      </c>
      <c r="AM3844">
        <v>91.226118293315494</v>
      </c>
      <c r="AN3844">
        <v>0.99999995494008298</v>
      </c>
    </row>
    <row r="3845" spans="1:40" x14ac:dyDescent="0.3">
      <c r="A3845" t="str">
        <f>"20200111150052203"</f>
        <v>20200111150052203</v>
      </c>
      <c r="B3845" t="str">
        <f>"1578726052191383"</f>
        <v>1578726052191383</v>
      </c>
      <c r="C3845" t="s">
        <v>40</v>
      </c>
      <c r="D3845">
        <v>4.3234450000000004</v>
      </c>
      <c r="E3845">
        <v>0.53818959999999905</v>
      </c>
      <c r="F3845" t="s">
        <v>72</v>
      </c>
      <c r="G3845">
        <v>-511.92579999999998</v>
      </c>
      <c r="H3845">
        <v>1.9262379999999999</v>
      </c>
      <c r="I3845">
        <v>157.33099999999999</v>
      </c>
      <c r="J3845">
        <v>-322.04050000000001</v>
      </c>
      <c r="K3845">
        <v>1.104385</v>
      </c>
      <c r="L3845">
        <v>141.36969999999999</v>
      </c>
      <c r="M3845">
        <v>-0.9999363</v>
      </c>
      <c r="N3845">
        <v>0</v>
      </c>
      <c r="O3845">
        <v>5.3705619999999997E-3</v>
      </c>
      <c r="P3845">
        <v>-0.99638629999999995</v>
      </c>
      <c r="Q3845">
        <v>8.3326590000000006E-2</v>
      </c>
      <c r="R3845">
        <v>-1.646922E-2</v>
      </c>
      <c r="S3845">
        <v>-3.0139469999999999</v>
      </c>
      <c r="T3845">
        <v>1.302791E-2</v>
      </c>
      <c r="U3845">
        <v>0.2530212</v>
      </c>
      <c r="V3845">
        <v>-2.179006E-2</v>
      </c>
      <c r="W3845">
        <v>9.3232280000000001E-2</v>
      </c>
      <c r="X3845">
        <v>0.99540589999999995</v>
      </c>
      <c r="Y3845">
        <v>7.8301979999999993E-2</v>
      </c>
      <c r="Z3845">
        <v>-1.4576049999999999E-4</v>
      </c>
      <c r="AA3845">
        <v>0.99692970000000003</v>
      </c>
      <c r="AB3845">
        <v>27</v>
      </c>
      <c r="AC3845">
        <v>-189.8853</v>
      </c>
      <c r="AD3845">
        <v>0.82185299999999994</v>
      </c>
      <c r="AE3845">
        <v>15.9613</v>
      </c>
      <c r="AF3845">
        <v>14.9409508343035</v>
      </c>
      <c r="AG3845">
        <v>0.82185299999999994</v>
      </c>
      <c r="AH3845">
        <v>189.964753033112</v>
      </c>
      <c r="AI3845">
        <v>89.752883399873696</v>
      </c>
      <c r="AJ3845">
        <v>85.502877508975303</v>
      </c>
      <c r="AK3845">
        <v>190.55318115717199</v>
      </c>
      <c r="AL3845">
        <v>84.650414593996203</v>
      </c>
      <c r="AM3845">
        <v>91.254040293714297</v>
      </c>
      <c r="AN3845">
        <v>0.999999985251805</v>
      </c>
    </row>
    <row r="3846" spans="1:40" x14ac:dyDescent="0.3">
      <c r="A3846" t="str">
        <f>"20200111150052225"</f>
        <v>20200111150052225</v>
      </c>
      <c r="B3846" t="str">
        <f>"1578726052220666"</f>
        <v>1578726052220666</v>
      </c>
      <c r="C3846" t="s">
        <v>40</v>
      </c>
      <c r="D3846">
        <v>4.2996049999999997</v>
      </c>
      <c r="E3846">
        <v>0.53796849999999996</v>
      </c>
      <c r="F3846" t="s">
        <v>72</v>
      </c>
      <c r="G3846">
        <v>-511.92579999999998</v>
      </c>
      <c r="H3846">
        <v>1.856924</v>
      </c>
      <c r="I3846">
        <v>157.24959999999999</v>
      </c>
      <c r="J3846">
        <v>-322.3091</v>
      </c>
      <c r="K3846">
        <v>1.1044039999999999</v>
      </c>
      <c r="L3846">
        <v>141.37129999999999</v>
      </c>
      <c r="M3846">
        <v>-0.99993540000000003</v>
      </c>
      <c r="N3846">
        <v>0</v>
      </c>
      <c r="O3846">
        <v>5.5051340000000001E-3</v>
      </c>
      <c r="P3846">
        <v>-0.99642770000000003</v>
      </c>
      <c r="Q3846">
        <v>8.2899849999999997E-2</v>
      </c>
      <c r="R3846">
        <v>-1.6110059999999999E-2</v>
      </c>
      <c r="S3846">
        <v>-3.0140380000000002</v>
      </c>
      <c r="T3846">
        <v>1.194572E-2</v>
      </c>
      <c r="U3846">
        <v>0.2520599</v>
      </c>
      <c r="V3846">
        <v>-2.1569729999999999E-2</v>
      </c>
      <c r="W3846">
        <v>9.2807840000000003E-2</v>
      </c>
      <c r="X3846">
        <v>0.99545039999999996</v>
      </c>
      <c r="Y3846">
        <v>7.7849660000000001E-2</v>
      </c>
      <c r="Z3846">
        <v>-1.3222329999999999E-4</v>
      </c>
      <c r="AA3846">
        <v>0.99696510000000005</v>
      </c>
      <c r="AB3846">
        <v>27</v>
      </c>
      <c r="AC3846">
        <v>-189.61670000000001</v>
      </c>
      <c r="AD3846">
        <v>0.75251999999999997</v>
      </c>
      <c r="AE3846">
        <v>15.8782999999999</v>
      </c>
      <c r="AF3846">
        <v>14.8339103985214</v>
      </c>
      <c r="AG3846">
        <v>0.75251999999999997</v>
      </c>
      <c r="AH3846">
        <v>189.69827591714699</v>
      </c>
      <c r="AI3846">
        <v>89.773404513241701</v>
      </c>
      <c r="AJ3846">
        <v>85.528718381574805</v>
      </c>
      <c r="AK3846">
        <v>190.27886658796299</v>
      </c>
      <c r="AL3846">
        <v>84.674839319196806</v>
      </c>
      <c r="AM3846">
        <v>91.241308588543205</v>
      </c>
      <c r="AN3846">
        <v>1.0000000236389399</v>
      </c>
    </row>
    <row r="3847" spans="1:40" x14ac:dyDescent="0.3">
      <c r="A3847" t="str">
        <f>"20200111150052248"</f>
        <v>20200111150052248</v>
      </c>
      <c r="B3847" t="str">
        <f>"1578726052241159"</f>
        <v>1578726052241159</v>
      </c>
      <c r="C3847" t="s">
        <v>40</v>
      </c>
      <c r="D3847">
        <v>4.3449660000000003</v>
      </c>
      <c r="E3847">
        <v>0.53781569999999901</v>
      </c>
      <c r="F3847" t="s">
        <v>72</v>
      </c>
      <c r="G3847">
        <v>-511.92579999999998</v>
      </c>
      <c r="H3847">
        <v>1.7232099999999999</v>
      </c>
      <c r="I3847">
        <v>157.18180000000001</v>
      </c>
      <c r="J3847">
        <v>-322.58460000000002</v>
      </c>
      <c r="K3847">
        <v>1.1044240000000001</v>
      </c>
      <c r="L3847">
        <v>141.37299999999999</v>
      </c>
      <c r="M3847">
        <v>-0.99993489999999996</v>
      </c>
      <c r="N3847">
        <v>0</v>
      </c>
      <c r="O3847">
        <v>5.6128250000000001E-3</v>
      </c>
      <c r="P3847">
        <v>-0.99636009999999997</v>
      </c>
      <c r="Q3847">
        <v>8.3590250000000005E-2</v>
      </c>
      <c r="R3847">
        <v>-1.6722000000000001E-2</v>
      </c>
      <c r="S3847">
        <v>-3.014008</v>
      </c>
      <c r="T3847">
        <v>9.8367929999999999E-3</v>
      </c>
      <c r="U3847">
        <v>0.25131229999999999</v>
      </c>
      <c r="V3847">
        <v>-2.2293090000000002E-2</v>
      </c>
      <c r="W3847">
        <v>9.3500040000000006E-2</v>
      </c>
      <c r="X3847">
        <v>0.99536970000000002</v>
      </c>
      <c r="Y3847">
        <v>7.7497709999999997E-2</v>
      </c>
      <c r="Z3847">
        <v>-1.079584E-4</v>
      </c>
      <c r="AA3847">
        <v>0.99699249999999995</v>
      </c>
      <c r="AB3847">
        <v>27</v>
      </c>
      <c r="AC3847">
        <v>-189.34119999999999</v>
      </c>
      <c r="AD3847">
        <v>0.61878599999999895</v>
      </c>
      <c r="AE3847">
        <v>15.8088</v>
      </c>
      <c r="AF3847">
        <v>14.7456030883168</v>
      </c>
      <c r="AG3847">
        <v>0.61878599999999895</v>
      </c>
      <c r="AH3847">
        <v>189.42494446190901</v>
      </c>
      <c r="AI3847">
        <v>89.813399616319998</v>
      </c>
      <c r="AJ3847">
        <v>85.548841411755205</v>
      </c>
      <c r="AK3847">
        <v>189.99901392099201</v>
      </c>
      <c r="AL3847">
        <v>84.635006059521999</v>
      </c>
      <c r="AM3847">
        <v>91.283027263170297</v>
      </c>
      <c r="AN3847">
        <v>1.00000003950991</v>
      </c>
    </row>
    <row r="3848" spans="1:40" x14ac:dyDescent="0.3">
      <c r="A3848" t="str">
        <f>"20200111150052280"</f>
        <v>20200111150052280</v>
      </c>
      <c r="B3848" t="str">
        <f>"1578726052271415"</f>
        <v>1578726052271415</v>
      </c>
      <c r="C3848" t="s">
        <v>40</v>
      </c>
      <c r="D3848">
        <v>4.3504839999999998</v>
      </c>
      <c r="E3848">
        <v>0.53771329999999995</v>
      </c>
      <c r="F3848" t="s">
        <v>72</v>
      </c>
      <c r="G3848">
        <v>-511.92579999999998</v>
      </c>
      <c r="H3848">
        <v>1.8367070000000001</v>
      </c>
      <c r="I3848">
        <v>156.98050000000001</v>
      </c>
      <c r="J3848">
        <v>-322.96910000000003</v>
      </c>
      <c r="K3848">
        <v>1.104457</v>
      </c>
      <c r="L3848">
        <v>141.37520000000001</v>
      </c>
      <c r="M3848">
        <v>-0.99993430000000005</v>
      </c>
      <c r="N3848">
        <v>0</v>
      </c>
      <c r="O3848">
        <v>5.7092480000000001E-3</v>
      </c>
      <c r="P3848">
        <v>-0.99622820000000001</v>
      </c>
      <c r="Q3848">
        <v>8.4781839999999997E-2</v>
      </c>
      <c r="R3848">
        <v>-1.8480989999999999E-2</v>
      </c>
      <c r="S3848">
        <v>-3.01416</v>
      </c>
      <c r="T3848">
        <v>1.165807E-2</v>
      </c>
      <c r="U3848">
        <v>0.24845890000000001</v>
      </c>
      <c r="V3848">
        <v>-2.4153709999999998E-2</v>
      </c>
      <c r="W3848">
        <v>9.4693029999999997E-2</v>
      </c>
      <c r="X3848">
        <v>0.99521340000000003</v>
      </c>
      <c r="Y3848">
        <v>7.6459830000000006E-2</v>
      </c>
      <c r="Z3848">
        <v>-1.2556930000000001E-4</v>
      </c>
      <c r="AA3848">
        <v>0.99707259999999998</v>
      </c>
      <c r="AB3848">
        <v>27</v>
      </c>
      <c r="AC3848">
        <v>-188.95670000000001</v>
      </c>
      <c r="AD3848">
        <v>0.73224999999999896</v>
      </c>
      <c r="AE3848">
        <v>15.6053</v>
      </c>
      <c r="AF3848">
        <v>14.525975018747801</v>
      </c>
      <c r="AG3848">
        <v>0.73224999999999896</v>
      </c>
      <c r="AH3848">
        <v>189.03989937735901</v>
      </c>
      <c r="AI3848">
        <v>89.778717026318802</v>
      </c>
      <c r="AJ3848">
        <v>85.605981691926502</v>
      </c>
      <c r="AK3848">
        <v>189.59858569332701</v>
      </c>
      <c r="AL3848">
        <v>84.566347602517595</v>
      </c>
      <c r="AM3848">
        <v>91.390288775523103</v>
      </c>
      <c r="AN3848">
        <v>0.99999994158844996</v>
      </c>
    </row>
    <row r="3849" spans="1:40" x14ac:dyDescent="0.3">
      <c r="A3849" t="str">
        <f>"20200111150100154"</f>
        <v>20200111150100154</v>
      </c>
      <c r="B3849" t="str">
        <f>"1578726060151452"</f>
        <v>1578726060151452</v>
      </c>
      <c r="C3849" t="s">
        <v>40</v>
      </c>
      <c r="D3849">
        <v>4.7265550000000003</v>
      </c>
      <c r="E3849">
        <v>0.54663839999999997</v>
      </c>
      <c r="F3849" t="s">
        <v>72</v>
      </c>
      <c r="G3849">
        <v>-511.92579999999998</v>
      </c>
      <c r="H3849">
        <v>1.949873</v>
      </c>
      <c r="I3849">
        <v>156.56659999999999</v>
      </c>
      <c r="J3849">
        <v>-412.36579999999998</v>
      </c>
      <c r="K3849">
        <v>1.111299</v>
      </c>
      <c r="L3849">
        <v>129.0309</v>
      </c>
      <c r="M3849">
        <v>-0.64570959999999999</v>
      </c>
      <c r="N3849">
        <v>0</v>
      </c>
      <c r="O3849">
        <v>-0.76344380000000001</v>
      </c>
      <c r="P3849">
        <v>-0.42633870000000001</v>
      </c>
      <c r="Q3849">
        <v>8.8705389999999995E-2</v>
      </c>
      <c r="R3849">
        <v>-0.90020389999999995</v>
      </c>
      <c r="S3849">
        <v>-3.0147089999999999</v>
      </c>
      <c r="T3849">
        <v>1.348889E-2</v>
      </c>
      <c r="U3849">
        <v>0.24237059999999999</v>
      </c>
      <c r="V3849">
        <v>-0.25734089999999998</v>
      </c>
      <c r="W3849">
        <v>9.8848599999999995E-2</v>
      </c>
      <c r="X3849">
        <v>0.96125159999999998</v>
      </c>
      <c r="Y3849">
        <v>0.81280609999999998</v>
      </c>
      <c r="Z3849">
        <v>-4.8845590000000001E-3</v>
      </c>
      <c r="AA3849">
        <v>0.58251390000000003</v>
      </c>
      <c r="AB3849">
        <v>22</v>
      </c>
      <c r="AC3849">
        <v>-99.56</v>
      </c>
      <c r="AD3849">
        <v>0.83857399999999904</v>
      </c>
      <c r="AE3849">
        <v>27.535699999999899</v>
      </c>
      <c r="AF3849">
        <v>93.792324323257702</v>
      </c>
      <c r="AG3849">
        <v>0.83857399999999904</v>
      </c>
      <c r="AH3849">
        <v>43.266638404673699</v>
      </c>
      <c r="AI3849">
        <v>89.534850472955895</v>
      </c>
      <c r="AJ3849">
        <v>24.7639965158479</v>
      </c>
      <c r="AK3849">
        <v>103.294265606341</v>
      </c>
      <c r="AL3849">
        <v>84.327128454951193</v>
      </c>
      <c r="AM3849">
        <v>104.987448061417</v>
      </c>
      <c r="AN3849">
        <v>1.00000001151866</v>
      </c>
    </row>
    <row r="3850" spans="1:40" x14ac:dyDescent="0.3">
      <c r="A3850" t="str">
        <f>"20200111150100198"</f>
        <v>20200111150100198</v>
      </c>
      <c r="B3850" t="str">
        <f>"1578726060181710"</f>
        <v>1578726060181710</v>
      </c>
      <c r="C3850" t="s">
        <v>40</v>
      </c>
      <c r="D3850">
        <v>4.572622</v>
      </c>
      <c r="E3850">
        <v>0.53570569999999995</v>
      </c>
      <c r="F3850" t="s">
        <v>84</v>
      </c>
      <c r="G3850">
        <v>-452.71140000000003</v>
      </c>
      <c r="H3850">
        <v>49.456200000000003</v>
      </c>
      <c r="I3850">
        <v>64.450009999999907</v>
      </c>
      <c r="J3850">
        <v>-412.62459999999999</v>
      </c>
      <c r="K3850">
        <v>1.111248</v>
      </c>
      <c r="L3850">
        <v>128.68369999999999</v>
      </c>
      <c r="M3850">
        <v>-0.62948459999999995</v>
      </c>
      <c r="N3850">
        <v>0</v>
      </c>
      <c r="O3850">
        <v>-0.77687589999999995</v>
      </c>
      <c r="P3850">
        <v>-0.40542420000000001</v>
      </c>
      <c r="Q3850">
        <v>9.0426519999999996E-2</v>
      </c>
      <c r="R3850">
        <v>-0.90964540000000005</v>
      </c>
      <c r="S3850">
        <v>-1.520081</v>
      </c>
      <c r="T3850">
        <v>1.8214669999999999</v>
      </c>
      <c r="U3850">
        <v>-2.433182</v>
      </c>
      <c r="V3850">
        <v>-0.25921290000000002</v>
      </c>
      <c r="W3850">
        <v>0.10056519999999999</v>
      </c>
      <c r="X3850">
        <v>0.96057029999999999</v>
      </c>
      <c r="Y3850">
        <v>-0.179675799999999</v>
      </c>
      <c r="Z3850">
        <v>-0.39748850000000002</v>
      </c>
      <c r="AA3850">
        <v>0.89984419999999898</v>
      </c>
      <c r="AB3850">
        <v>22</v>
      </c>
      <c r="AC3850">
        <v>-40.086799999999997</v>
      </c>
      <c r="AD3850">
        <v>48.344951999999999</v>
      </c>
      <c r="AE3850">
        <v>-64.233689999999996</v>
      </c>
      <c r="AF3850">
        <v>-6.6013550377611896</v>
      </c>
      <c r="AG3850">
        <v>48.344951999999999</v>
      </c>
      <c r="AH3850">
        <v>53.380935801784702</v>
      </c>
      <c r="AI3850">
        <v>48.0503908362857</v>
      </c>
      <c r="AJ3850">
        <v>97.049692621240396</v>
      </c>
      <c r="AK3850">
        <v>72.321065944101903</v>
      </c>
      <c r="AL3850">
        <v>84.228281840709499</v>
      </c>
      <c r="AM3850">
        <v>105.10173146141</v>
      </c>
      <c r="AN3850">
        <v>0.99999999410976903</v>
      </c>
    </row>
    <row r="3851" spans="1:40" x14ac:dyDescent="0.3">
      <c r="A3851" t="str">
        <f>"20200111150100445"</f>
        <v>20200111150100445</v>
      </c>
      <c r="B3851" t="str">
        <f>"1578726060441228"</f>
        <v>1578726060441228</v>
      </c>
      <c r="C3851" t="s">
        <v>40</v>
      </c>
      <c r="D3851">
        <v>4.5801720000000001</v>
      </c>
      <c r="E3851">
        <v>0.3974858</v>
      </c>
      <c r="F3851" t="s">
        <v>84</v>
      </c>
      <c r="G3851">
        <v>-448.01870000000002</v>
      </c>
      <c r="H3851">
        <v>48.212069999999997</v>
      </c>
      <c r="I3851">
        <v>64.450019999999995</v>
      </c>
      <c r="J3851">
        <v>-413.88720000000001</v>
      </c>
      <c r="K3851">
        <v>1.111032</v>
      </c>
      <c r="L3851">
        <v>126.72669999999999</v>
      </c>
      <c r="M3851">
        <v>-0.537807699999999</v>
      </c>
      <c r="N3851">
        <v>0</v>
      </c>
      <c r="O3851">
        <v>-0.84294199999999997</v>
      </c>
      <c r="P3851">
        <v>-0.31445129999999999</v>
      </c>
      <c r="Q3851">
        <v>8.9766440000000003E-2</v>
      </c>
      <c r="R3851">
        <v>-0.94502019999999998</v>
      </c>
      <c r="S3851">
        <v>-1.378296</v>
      </c>
      <c r="T3851">
        <v>1.834168</v>
      </c>
      <c r="U3851">
        <v>-2.5013429999999999</v>
      </c>
      <c r="V3851">
        <v>-0.24467720000000001</v>
      </c>
      <c r="W3851">
        <v>0.1002772</v>
      </c>
      <c r="X3851">
        <v>0.96440530000000002</v>
      </c>
      <c r="Y3851">
        <v>-0.12601869999999901</v>
      </c>
      <c r="Z3851">
        <v>-0.44702140000000001</v>
      </c>
      <c r="AA3851">
        <v>0.88560219999999901</v>
      </c>
      <c r="AB3851">
        <v>21</v>
      </c>
      <c r="AC3851">
        <v>-34.131500000000003</v>
      </c>
      <c r="AD3851">
        <v>47.101038000000003</v>
      </c>
      <c r="AE3851">
        <v>-62.276679999999999</v>
      </c>
      <c r="AF3851">
        <v>-3.2797705056397302</v>
      </c>
      <c r="AG3851">
        <v>47.101038000000003</v>
      </c>
      <c r="AH3851">
        <v>49.211675138028397</v>
      </c>
      <c r="AI3851">
        <v>46.318820687337102</v>
      </c>
      <c r="AJ3851">
        <v>93.812906628360395</v>
      </c>
      <c r="AK3851">
        <v>68.198633748323303</v>
      </c>
      <c r="AL3851">
        <v>84.244866987967995</v>
      </c>
      <c r="AM3851">
        <v>104.23601607862901</v>
      </c>
      <c r="AN3851">
        <v>1.00000001585388</v>
      </c>
    </row>
    <row r="3852" spans="1:40" x14ac:dyDescent="0.3">
      <c r="A3852" t="str">
        <f>"20200111150100466"</f>
        <v>20200111150100466</v>
      </c>
      <c r="B3852" t="str">
        <f>"1578726060461724"</f>
        <v>1578726060461724</v>
      </c>
      <c r="C3852" t="s">
        <v>40</v>
      </c>
      <c r="D3852">
        <v>4.524235</v>
      </c>
      <c r="E3852">
        <v>0.40043210000000001</v>
      </c>
      <c r="F3852" t="s">
        <v>41</v>
      </c>
      <c r="G3852">
        <v>-413.94749999999999</v>
      </c>
      <c r="H3852">
        <v>1.0507660000000001</v>
      </c>
      <c r="I3852">
        <v>125.7364</v>
      </c>
      <c r="J3852">
        <v>-413.99009999999998</v>
      </c>
      <c r="K3852">
        <v>1.11102099999999</v>
      </c>
      <c r="L3852">
        <v>126.5431</v>
      </c>
      <c r="M3852">
        <v>-0.52915800000000002</v>
      </c>
      <c r="N3852">
        <v>0</v>
      </c>
      <c r="O3852">
        <v>-0.84839869999999995</v>
      </c>
      <c r="P3852">
        <v>-0.30555860000000001</v>
      </c>
      <c r="Q3852">
        <v>9.0643009999999996E-2</v>
      </c>
      <c r="R3852">
        <v>-0.94784900000000005</v>
      </c>
      <c r="S3852">
        <v>-0.19049070000000001</v>
      </c>
      <c r="T3852">
        <v>-0.19042210000000001</v>
      </c>
      <c r="U3852">
        <v>-3.1292270000000002</v>
      </c>
      <c r="V3852">
        <v>-0.24383730000000001</v>
      </c>
      <c r="W3852">
        <v>0.1011739</v>
      </c>
      <c r="X3852">
        <v>0.96452439999999995</v>
      </c>
      <c r="Y3852">
        <v>-0.47668240000000001</v>
      </c>
      <c r="Z3852">
        <v>4.3311259999999997E-2</v>
      </c>
      <c r="AA3852">
        <v>0.87800800000000001</v>
      </c>
      <c r="AB3852">
        <v>21</v>
      </c>
      <c r="AC3852">
        <v>4.2599999999992998E-2</v>
      </c>
      <c r="AD3852">
        <v>-6.0254999999999698E-2</v>
      </c>
      <c r="AE3852">
        <v>-0.80669999999999198</v>
      </c>
      <c r="AF3852">
        <v>-0.46050048332885302</v>
      </c>
      <c r="AG3852">
        <v>-6.0254999999999698E-2</v>
      </c>
      <c r="AH3852">
        <v>0.65826877233998604</v>
      </c>
      <c r="AI3852">
        <v>94.289395285875401</v>
      </c>
      <c r="AJ3852">
        <v>124.975212909053</v>
      </c>
      <c r="AK3852">
        <v>0.80561103319722505</v>
      </c>
      <c r="AL3852">
        <v>84.193227448441704</v>
      </c>
      <c r="AM3852">
        <v>104.187443798858</v>
      </c>
      <c r="AN3852">
        <v>1.0000000525539201</v>
      </c>
    </row>
    <row r="3853" spans="1:40" x14ac:dyDescent="0.3">
      <c r="A3853" t="str">
        <f>"20200111150100490"</f>
        <v>20200111150100490</v>
      </c>
      <c r="B3853" t="str">
        <f>"1578726060481247"</f>
        <v>1578726060481247</v>
      </c>
      <c r="C3853" t="s">
        <v>40</v>
      </c>
      <c r="D3853">
        <v>4.6362120000000004</v>
      </c>
      <c r="E3853">
        <v>0.40002490000000002</v>
      </c>
      <c r="F3853" t="s">
        <v>41</v>
      </c>
      <c r="G3853">
        <v>-414.0471</v>
      </c>
      <c r="H3853">
        <v>1.04728</v>
      </c>
      <c r="I3853">
        <v>125.578</v>
      </c>
      <c r="J3853">
        <v>-414.09379999999999</v>
      </c>
      <c r="K3853">
        <v>1.111005</v>
      </c>
      <c r="L3853">
        <v>126.3536</v>
      </c>
      <c r="M3853">
        <v>-0.52022440000000003</v>
      </c>
      <c r="N3853">
        <v>0</v>
      </c>
      <c r="O3853">
        <v>-0.8539059</v>
      </c>
      <c r="P3853">
        <v>-0.29646939999999999</v>
      </c>
      <c r="Q3853">
        <v>9.0559769999999998E-2</v>
      </c>
      <c r="R3853">
        <v>-0.95073909999999995</v>
      </c>
      <c r="S3853">
        <v>-0.18392939999999999</v>
      </c>
      <c r="T3853">
        <v>-0.2063709</v>
      </c>
      <c r="U3853">
        <v>-3.1255190000000002</v>
      </c>
      <c r="V3853">
        <v>-0.242946</v>
      </c>
      <c r="W3853">
        <v>0.1011127</v>
      </c>
      <c r="X3853">
        <v>0.96475569999999999</v>
      </c>
      <c r="Y3853">
        <v>-0.46921770000000002</v>
      </c>
      <c r="Z3853">
        <v>4.7651489999999998E-2</v>
      </c>
      <c r="AA3853">
        <v>0.88179589999999997</v>
      </c>
      <c r="AB3853">
        <v>21</v>
      </c>
      <c r="AC3853">
        <v>4.6699999999987002E-2</v>
      </c>
      <c r="AD3853">
        <v>-6.3725000000000004E-2</v>
      </c>
      <c r="AE3853">
        <v>-0.77560000000001095</v>
      </c>
      <c r="AF3853">
        <v>-0.44044773847601298</v>
      </c>
      <c r="AG3853">
        <v>-6.3725000000000004E-2</v>
      </c>
      <c r="AH3853">
        <v>0.63379926076284498</v>
      </c>
      <c r="AI3853">
        <v>94.719937806324793</v>
      </c>
      <c r="AJ3853">
        <v>124.79669465961101</v>
      </c>
      <c r="AK3853">
        <v>0.77443953211155403</v>
      </c>
      <c r="AL3853">
        <v>84.196752002885603</v>
      </c>
      <c r="AM3853">
        <v>104.134413774118</v>
      </c>
      <c r="AN3853">
        <v>1.0000000488498799</v>
      </c>
    </row>
    <row r="3854" spans="1:40" x14ac:dyDescent="0.3">
      <c r="A3854" t="str">
        <f>"20200111150100511"</f>
        <v>20200111150100511</v>
      </c>
      <c r="B3854" t="str">
        <f>"1578726060501313"</f>
        <v>1578726060501313</v>
      </c>
      <c r="C3854" t="s">
        <v>40</v>
      </c>
      <c r="D3854">
        <v>4.5927670000000003</v>
      </c>
      <c r="E3854">
        <v>0.40182639999999997</v>
      </c>
      <c r="F3854" t="s">
        <v>41</v>
      </c>
      <c r="G3854">
        <v>-414.13889999999998</v>
      </c>
      <c r="H3854">
        <v>1.0520579999999999</v>
      </c>
      <c r="I3854">
        <v>125.4164</v>
      </c>
      <c r="J3854">
        <v>-414.19080000000002</v>
      </c>
      <c r="K3854">
        <v>1.110981</v>
      </c>
      <c r="L3854">
        <v>126.17189999999999</v>
      </c>
      <c r="M3854">
        <v>-0.51165430000000001</v>
      </c>
      <c r="N3854">
        <v>0</v>
      </c>
      <c r="O3854">
        <v>-0.85906859999999996</v>
      </c>
      <c r="P3854">
        <v>-0.287437099999999</v>
      </c>
      <c r="Q3854">
        <v>9.0355740000000004E-2</v>
      </c>
      <c r="R3854">
        <v>-0.95352820000000005</v>
      </c>
      <c r="S3854">
        <v>-0.1503601</v>
      </c>
      <c r="T3854">
        <v>-0.1966996</v>
      </c>
      <c r="U3854">
        <v>-3.127319</v>
      </c>
      <c r="V3854">
        <v>-0.24244589999999999</v>
      </c>
      <c r="W3854">
        <v>0.1009248</v>
      </c>
      <c r="X3854">
        <v>0.96490109999999996</v>
      </c>
      <c r="Y3854">
        <v>-0.46985189999999999</v>
      </c>
      <c r="Z3854">
        <v>4.5871469999999998E-2</v>
      </c>
      <c r="AA3854">
        <v>0.88155260000000002</v>
      </c>
      <c r="AB3854">
        <v>21</v>
      </c>
      <c r="AC3854">
        <v>5.1900000000046E-2</v>
      </c>
      <c r="AD3854">
        <v>-5.8923000000000003E-2</v>
      </c>
      <c r="AE3854">
        <v>-0.75549999999999695</v>
      </c>
      <c r="AF3854">
        <v>-0.42859120757784802</v>
      </c>
      <c r="AG3854">
        <v>-5.8923000000000003E-2</v>
      </c>
      <c r="AH3854">
        <v>0.61879087801770205</v>
      </c>
      <c r="AI3854">
        <v>94.475971496770299</v>
      </c>
      <c r="AJ3854">
        <v>124.707515219003</v>
      </c>
      <c r="AK3854">
        <v>0.75502615442112697</v>
      </c>
      <c r="AL3854">
        <v>84.207572842102294</v>
      </c>
      <c r="AM3854">
        <v>104.10444022099</v>
      </c>
      <c r="AN3854">
        <v>0.999999981231529</v>
      </c>
    </row>
    <row r="3855" spans="1:40" x14ac:dyDescent="0.3">
      <c r="A3855" t="str">
        <f>"20200111150100533"</f>
        <v>20200111150100533</v>
      </c>
      <c r="B3855" t="str">
        <f>"1578726060531568"</f>
        <v>1578726060531568</v>
      </c>
      <c r="C3855" t="s">
        <v>40</v>
      </c>
      <c r="D3855">
        <v>4.6108200000000004</v>
      </c>
      <c r="E3855">
        <v>0.40193800000000002</v>
      </c>
      <c r="F3855" t="s">
        <v>41</v>
      </c>
      <c r="G3855">
        <v>-414.23079999999999</v>
      </c>
      <c r="H3855">
        <v>1.0496259999999999</v>
      </c>
      <c r="I3855">
        <v>125.25490000000001</v>
      </c>
      <c r="J3855">
        <v>-414.28579999999999</v>
      </c>
      <c r="K3855">
        <v>1.1109579999999999</v>
      </c>
      <c r="L3855">
        <v>125.9896</v>
      </c>
      <c r="M3855">
        <v>-0.5030599</v>
      </c>
      <c r="N3855">
        <v>0</v>
      </c>
      <c r="O3855">
        <v>-0.86412979999999995</v>
      </c>
      <c r="P3855">
        <v>-0.2784798</v>
      </c>
      <c r="Q3855">
        <v>9.0665339999999997E-2</v>
      </c>
      <c r="R3855">
        <v>-0.95615320000000004</v>
      </c>
      <c r="S3855">
        <v>-0.13580320000000001</v>
      </c>
      <c r="T3855">
        <v>-0.20906759999999999</v>
      </c>
      <c r="U3855">
        <v>-3.1251220000000002</v>
      </c>
      <c r="V3855">
        <v>-0.2418553</v>
      </c>
      <c r="W3855">
        <v>0.1012531</v>
      </c>
      <c r="X3855">
        <v>0.96501490000000001</v>
      </c>
      <c r="Y3855">
        <v>-0.46511019999999997</v>
      </c>
      <c r="Z3855">
        <v>4.936463E-2</v>
      </c>
      <c r="AA3855">
        <v>0.88387539999999998</v>
      </c>
      <c r="AB3855">
        <v>21</v>
      </c>
      <c r="AC3855">
        <v>5.50000000000068E-2</v>
      </c>
      <c r="AD3855">
        <v>-6.13319999999999E-2</v>
      </c>
      <c r="AE3855">
        <v>-0.73469999999998903</v>
      </c>
      <c r="AF3855">
        <v>-0.41429809587880201</v>
      </c>
      <c r="AG3855">
        <v>-6.13319999999999E-2</v>
      </c>
      <c r="AH3855">
        <v>0.60309239407339899</v>
      </c>
      <c r="AI3855">
        <v>94.791498614143507</v>
      </c>
      <c r="AJ3855">
        <v>124.487362668149</v>
      </c>
      <c r="AK3855">
        <v>0.73425129367402897</v>
      </c>
      <c r="AL3855">
        <v>84.188665699688698</v>
      </c>
      <c r="AM3855">
        <v>104.06985479868</v>
      </c>
      <c r="AN3855">
        <v>0.99999996680985404</v>
      </c>
    </row>
    <row r="3856" spans="1:40" x14ac:dyDescent="0.3">
      <c r="A3856" t="str">
        <f>"20200111150100558"</f>
        <v>20200111150100558</v>
      </c>
      <c r="B3856" t="str">
        <f>"1578726060551089"</f>
        <v>1578726060551089</v>
      </c>
      <c r="C3856" t="s">
        <v>40</v>
      </c>
      <c r="D3856">
        <v>4.5944699999999896</v>
      </c>
      <c r="E3856">
        <v>0.40322570000000002</v>
      </c>
      <c r="F3856" t="s">
        <v>41</v>
      </c>
      <c r="G3856">
        <v>-414.31700000000001</v>
      </c>
      <c r="H3856">
        <v>1.0552619999999999</v>
      </c>
      <c r="I3856">
        <v>125.08459999999999</v>
      </c>
      <c r="J3856">
        <v>-414.39069999999998</v>
      </c>
      <c r="K3856">
        <v>1.1109180000000001</v>
      </c>
      <c r="L3856">
        <v>125.7835</v>
      </c>
      <c r="M3856">
        <v>-0.4933496</v>
      </c>
      <c r="N3856">
        <v>0</v>
      </c>
      <c r="O3856">
        <v>-0.86970999999999998</v>
      </c>
      <c r="P3856">
        <v>-0.26834829999999998</v>
      </c>
      <c r="Q3856">
        <v>9.0519100000000005E-2</v>
      </c>
      <c r="R3856">
        <v>-0.95906009999999997</v>
      </c>
      <c r="S3856">
        <v>-0.10748290000000001</v>
      </c>
      <c r="T3856">
        <v>-0.19228590000000001</v>
      </c>
      <c r="U3856">
        <v>-3.1244960000000002</v>
      </c>
      <c r="V3856">
        <v>-0.24125179999999999</v>
      </c>
      <c r="W3856">
        <v>0.1011302</v>
      </c>
      <c r="X3856">
        <v>0.96517889999999995</v>
      </c>
      <c r="Y3856">
        <v>-0.46319090000000002</v>
      </c>
      <c r="Z3856">
        <v>4.5965550000000001E-2</v>
      </c>
      <c r="AA3856">
        <v>0.88506569999999996</v>
      </c>
      <c r="AB3856">
        <v>21</v>
      </c>
      <c r="AC3856">
        <v>7.3700000000030699E-2</v>
      </c>
      <c r="AD3856">
        <v>-5.56559999999999E-2</v>
      </c>
      <c r="AE3856">
        <v>-0.69890000000000896</v>
      </c>
      <c r="AF3856">
        <v>-0.406393928834058</v>
      </c>
      <c r="AG3856">
        <v>-5.56559999999999E-2</v>
      </c>
      <c r="AH3856">
        <v>0.56797842618826899</v>
      </c>
      <c r="AI3856">
        <v>94.556345924750701</v>
      </c>
      <c r="AJ3856">
        <v>125.584078186944</v>
      </c>
      <c r="AK3856">
        <v>0.700609098102846</v>
      </c>
      <c r="AL3856">
        <v>84.195744043212002</v>
      </c>
      <c r="AM3856">
        <v>104.033845183304</v>
      </c>
      <c r="AN3856">
        <v>1.00000002868024</v>
      </c>
    </row>
    <row r="3857" spans="1:40" x14ac:dyDescent="0.3">
      <c r="A3857" t="str">
        <f>"20200111150100579"</f>
        <v>20200111150100579</v>
      </c>
      <c r="B3857" t="str">
        <f>"1578726060571584"</f>
        <v>1578726060571584</v>
      </c>
      <c r="C3857" t="s">
        <v>40</v>
      </c>
      <c r="D3857">
        <v>4.6130979999999999</v>
      </c>
      <c r="E3857">
        <v>0.40439180000000002</v>
      </c>
      <c r="F3857" t="s">
        <v>41</v>
      </c>
      <c r="G3857">
        <v>-414.41649999999998</v>
      </c>
      <c r="H3857">
        <v>1.050138</v>
      </c>
      <c r="I3857">
        <v>124.8449</v>
      </c>
      <c r="J3857">
        <v>-414.47789999999998</v>
      </c>
      <c r="K3857">
        <v>1.1108789999999999</v>
      </c>
      <c r="L3857">
        <v>125.6074</v>
      </c>
      <c r="M3857">
        <v>-0.4850817</v>
      </c>
      <c r="N3857">
        <v>0</v>
      </c>
      <c r="O3857">
        <v>-0.87434840000000003</v>
      </c>
      <c r="P3857">
        <v>-0.26104509999999997</v>
      </c>
      <c r="Q3857">
        <v>8.9310379999999995E-2</v>
      </c>
      <c r="R3857">
        <v>-0.96118650000000005</v>
      </c>
      <c r="S3857">
        <v>-8.5205080000000002E-2</v>
      </c>
      <c r="T3857">
        <v>-0.2022148</v>
      </c>
      <c r="U3857">
        <v>-3.1232760000000002</v>
      </c>
      <c r="V3857">
        <v>-0.2394686</v>
      </c>
      <c r="W3857">
        <v>9.9969799999999998E-2</v>
      </c>
      <c r="X3857">
        <v>0.96574369999999998</v>
      </c>
      <c r="Y3857">
        <v>-0.46108169999999998</v>
      </c>
      <c r="Z3857">
        <v>4.8829480000000001E-2</v>
      </c>
      <c r="AA3857">
        <v>0.88601319999999995</v>
      </c>
      <c r="AB3857">
        <v>21</v>
      </c>
      <c r="AC3857">
        <v>6.1399999999991899E-2</v>
      </c>
      <c r="AD3857">
        <v>-6.07410000000001E-2</v>
      </c>
      <c r="AE3857">
        <v>-0.76250000000000195</v>
      </c>
      <c r="AF3857">
        <v>-0.42095035622951699</v>
      </c>
      <c r="AG3857">
        <v>-6.07410000000001E-2</v>
      </c>
      <c r="AH3857">
        <v>0.63298283737385796</v>
      </c>
      <c r="AI3857">
        <v>94.5684523160986</v>
      </c>
      <c r="AJ3857">
        <v>123.624958616076</v>
      </c>
      <c r="AK3857">
        <v>0.76259815361736705</v>
      </c>
      <c r="AL3857">
        <v>84.262568757926104</v>
      </c>
      <c r="AM3857">
        <v>103.92633893524599</v>
      </c>
      <c r="AN3857">
        <v>1.0000000326938401</v>
      </c>
    </row>
    <row r="3858" spans="1:40" x14ac:dyDescent="0.3">
      <c r="A3858" t="str">
        <f>"20200111150101348"</f>
        <v>20200111150101348</v>
      </c>
      <c r="B3858" t="str">
        <f>"1578726061341004"</f>
        <v>1578726061341004</v>
      </c>
      <c r="C3858" t="s">
        <v>40</v>
      </c>
      <c r="D3858">
        <v>4.4177799999999996</v>
      </c>
      <c r="E3858">
        <v>0.40439180000000002</v>
      </c>
      <c r="F3858" t="s">
        <v>42</v>
      </c>
      <c r="G3858">
        <v>-414.85359999999997</v>
      </c>
      <c r="H3858" s="1">
        <v>-5.3878159999999999E-6</v>
      </c>
      <c r="I3858">
        <v>109.0979</v>
      </c>
      <c r="J3858">
        <v>-416.89429999999999</v>
      </c>
      <c r="K3858">
        <v>1.107561</v>
      </c>
      <c r="L3858">
        <v>118.9645</v>
      </c>
      <c r="M3858">
        <v>-0.2922727</v>
      </c>
      <c r="N3858">
        <v>0</v>
      </c>
      <c r="O3858">
        <v>-0.95625400000000005</v>
      </c>
      <c r="P3858">
        <v>-8.6413329999999997E-2</v>
      </c>
      <c r="Q3858">
        <v>8.8891659999999997E-2</v>
      </c>
      <c r="R3858">
        <v>-0.992286</v>
      </c>
      <c r="S3858">
        <v>-7.1044919999999998E-2</v>
      </c>
      <c r="T3858">
        <v>-0.2100283</v>
      </c>
      <c r="U3858">
        <v>-3.121353</v>
      </c>
      <c r="V3858">
        <v>-0.20805779999999999</v>
      </c>
      <c r="W3858">
        <v>9.9653329999999998E-2</v>
      </c>
      <c r="X3858">
        <v>0.97302679999999997</v>
      </c>
      <c r="Y3858">
        <v>-0.27049089999999998</v>
      </c>
      <c r="Z3858">
        <v>6.1487020000000003E-2</v>
      </c>
      <c r="AA3858">
        <v>0.96075699999999997</v>
      </c>
      <c r="AB3858">
        <v>21</v>
      </c>
      <c r="AC3858">
        <v>2.04070000000001</v>
      </c>
      <c r="AD3858">
        <v>-1.107566387816</v>
      </c>
      <c r="AE3858">
        <v>-9.8666</v>
      </c>
      <c r="AF3858">
        <v>-4.7778047906157699</v>
      </c>
      <c r="AG3858">
        <v>-1.107566387816</v>
      </c>
      <c r="AH3858">
        <v>8.7336814467173092</v>
      </c>
      <c r="AI3858">
        <v>96.348383154409902</v>
      </c>
      <c r="AJ3858">
        <v>118.681088282912</v>
      </c>
      <c r="AK3858">
        <v>10.01655197827</v>
      </c>
      <c r="AL3858">
        <v>84.280791931375305</v>
      </c>
      <c r="AM3858">
        <v>102.06953600211401</v>
      </c>
      <c r="AN3858">
        <v>0.99999999391958405</v>
      </c>
    </row>
    <row r="3859" spans="1:40" x14ac:dyDescent="0.3">
      <c r="A3859" t="str">
        <f>"20200111150101371"</f>
        <v>20200111150101371</v>
      </c>
      <c r="B3859" t="str">
        <f>"1578726061361495"</f>
        <v>1578726061361495</v>
      </c>
      <c r="C3859" t="s">
        <v>40</v>
      </c>
      <c r="D3859">
        <v>4.7010839999999998</v>
      </c>
      <c r="E3859">
        <v>0.57665369999999905</v>
      </c>
      <c r="F3859" t="s">
        <v>41</v>
      </c>
      <c r="G3859">
        <v>-416.73599999999999</v>
      </c>
      <c r="H3859">
        <v>1.0425949999999999</v>
      </c>
      <c r="I3859">
        <v>117.9669</v>
      </c>
      <c r="J3859">
        <v>-416.94819999999999</v>
      </c>
      <c r="K3859">
        <v>1.107677</v>
      </c>
      <c r="L3859">
        <v>118.7688</v>
      </c>
      <c r="M3859">
        <v>-0.28757630000000001</v>
      </c>
      <c r="N3859">
        <v>0</v>
      </c>
      <c r="O3859">
        <v>-0.95767800000000003</v>
      </c>
      <c r="P3859">
        <v>-8.5083690000000003E-2</v>
      </c>
      <c r="Q3859">
        <v>8.938306E-2</v>
      </c>
      <c r="R3859">
        <v>-0.99235660000000003</v>
      </c>
      <c r="S3859">
        <v>0.49087520000000001</v>
      </c>
      <c r="T3859">
        <v>-0.20078209999999999</v>
      </c>
      <c r="U3859">
        <v>-3.0840610000000002</v>
      </c>
      <c r="V3859">
        <v>-0.20459949999999999</v>
      </c>
      <c r="W3859">
        <v>0.1000315</v>
      </c>
      <c r="X3859">
        <v>0.97372110000000001</v>
      </c>
      <c r="Y3859">
        <v>-0.43427060000000001</v>
      </c>
      <c r="Z3859">
        <v>5.7236120000000001E-2</v>
      </c>
      <c r="AA3859">
        <v>0.89896229999999999</v>
      </c>
      <c r="AB3859">
        <v>21</v>
      </c>
      <c r="AC3859">
        <v>0.212199999999995</v>
      </c>
      <c r="AD3859">
        <v>-6.5081999999999807E-2</v>
      </c>
      <c r="AE3859">
        <v>-0.80190000000000305</v>
      </c>
      <c r="AF3859">
        <v>-0.43120540413283498</v>
      </c>
      <c r="AG3859">
        <v>-6.5081999999999807E-2</v>
      </c>
      <c r="AH3859">
        <v>0.70266677819727696</v>
      </c>
      <c r="AI3859">
        <v>94.513692451400701</v>
      </c>
      <c r="AJ3859">
        <v>121.53618495370399</v>
      </c>
      <c r="AK3859">
        <v>0.82699115379761101</v>
      </c>
      <c r="AL3859">
        <v>84.259015716958402</v>
      </c>
      <c r="AM3859">
        <v>101.866432943996</v>
      </c>
      <c r="AN3859">
        <v>1.00000001848885</v>
      </c>
    </row>
    <row r="3860" spans="1:40" x14ac:dyDescent="0.3">
      <c r="A3860" t="str">
        <f>"20200111150102355"</f>
        <v>20200111150102355</v>
      </c>
      <c r="B3860" t="str">
        <f>"1578726062351530"</f>
        <v>1578726062351530</v>
      </c>
      <c r="C3860" t="s">
        <v>40</v>
      </c>
      <c r="D3860">
        <v>4.961786</v>
      </c>
      <c r="E3860">
        <v>0.58017269999999999</v>
      </c>
      <c r="F3860" t="s">
        <v>42</v>
      </c>
      <c r="G3860">
        <v>-425.30279999999999</v>
      </c>
      <c r="H3860" s="1">
        <v>-1.7784439999999999E-6</v>
      </c>
      <c r="I3860">
        <v>90.445769999999996</v>
      </c>
      <c r="J3860">
        <v>-417.79320000000001</v>
      </c>
      <c r="K3860">
        <v>1.105817</v>
      </c>
      <c r="L3860">
        <v>109.9025</v>
      </c>
      <c r="M3860">
        <v>1.8485149999999999E-2</v>
      </c>
      <c r="N3860">
        <v>0</v>
      </c>
      <c r="O3860">
        <v>-0.99975959999999997</v>
      </c>
      <c r="P3860">
        <v>0.16772870000000001</v>
      </c>
      <c r="Q3860">
        <v>9.7968120000000006E-2</v>
      </c>
      <c r="R3860">
        <v>-0.98095330000000003</v>
      </c>
      <c r="S3860">
        <v>-0.87274169999999995</v>
      </c>
      <c r="T3860">
        <v>-0.1157116</v>
      </c>
      <c r="U3860">
        <v>-2.95871</v>
      </c>
      <c r="V3860">
        <v>-0.14981240000000001</v>
      </c>
      <c r="W3860">
        <v>0.1092303</v>
      </c>
      <c r="X3860">
        <v>0.98266220000000004</v>
      </c>
      <c r="Y3860">
        <v>0.30040679999999997</v>
      </c>
      <c r="Z3860">
        <v>3.7371590000000003E-2</v>
      </c>
      <c r="AA3860">
        <v>0.95307869999999995</v>
      </c>
      <c r="AB3860">
        <v>21</v>
      </c>
      <c r="AC3860">
        <v>-7.5095999999999696</v>
      </c>
      <c r="AD3860">
        <v>-1.1058187784439999</v>
      </c>
      <c r="AE3860">
        <v>-19.45673</v>
      </c>
      <c r="AF3860">
        <v>7.8459443108323503</v>
      </c>
      <c r="AG3860">
        <v>-1.1058187784439999</v>
      </c>
      <c r="AH3860">
        <v>19.260430863174602</v>
      </c>
      <c r="AI3860">
        <v>93.043639344383493</v>
      </c>
      <c r="AJ3860">
        <v>67.835945028392302</v>
      </c>
      <c r="AK3860">
        <v>20.8265665517524</v>
      </c>
      <c r="AL3860">
        <v>83.729052390492001</v>
      </c>
      <c r="AM3860">
        <v>98.668317869443797</v>
      </c>
      <c r="AN3860">
        <v>1.00000000647034</v>
      </c>
    </row>
    <row r="3861" spans="1:40" x14ac:dyDescent="0.3">
      <c r="A3861" t="str">
        <f>"20200111150102377"</f>
        <v>20200111150102377</v>
      </c>
      <c r="B3861" t="str">
        <f>"1578726062371049"</f>
        <v>1578726062371049</v>
      </c>
      <c r="C3861" t="s">
        <v>40</v>
      </c>
      <c r="D3861">
        <v>5.3933530000000003</v>
      </c>
      <c r="E3861">
        <v>0.64273800000000003</v>
      </c>
      <c r="F3861" t="s">
        <v>42</v>
      </c>
      <c r="G3861">
        <v>-418.8562</v>
      </c>
      <c r="H3861" s="1">
        <v>-2.2212710000000001E-6</v>
      </c>
      <c r="I3861">
        <v>84.337649999999996</v>
      </c>
      <c r="J3861">
        <v>-417.78680000000003</v>
      </c>
      <c r="K3861">
        <v>1.1053740000000001</v>
      </c>
      <c r="L3861">
        <v>109.69159999999999</v>
      </c>
      <c r="M3861">
        <v>2.0125489999999999E-2</v>
      </c>
      <c r="N3861">
        <v>0</v>
      </c>
      <c r="O3861">
        <v>-0.99972830000000001</v>
      </c>
      <c r="P3861">
        <v>0.16923009999999999</v>
      </c>
      <c r="Q3861">
        <v>9.8706290000000002E-2</v>
      </c>
      <c r="R3861">
        <v>-0.98062159999999998</v>
      </c>
      <c r="S3861">
        <v>-0.12863160000000001</v>
      </c>
      <c r="T3861">
        <v>-0.13381479999999901</v>
      </c>
      <c r="U3861">
        <v>-3.0935969999999999</v>
      </c>
      <c r="V3861">
        <v>-0.1495852</v>
      </c>
      <c r="W3861">
        <v>0.1101048</v>
      </c>
      <c r="X3861">
        <v>0.98259920000000001</v>
      </c>
      <c r="Y3861">
        <v>6.1606429999999997E-2</v>
      </c>
      <c r="Z3861">
        <v>4.314221E-2</v>
      </c>
      <c r="AA3861">
        <v>0.99716769999999999</v>
      </c>
      <c r="AB3861">
        <v>21</v>
      </c>
      <c r="AC3861">
        <v>-1.0693999999999699</v>
      </c>
      <c r="AD3861">
        <v>-1.1053762212710001</v>
      </c>
      <c r="AE3861">
        <v>-25.353950000000001</v>
      </c>
      <c r="AF3861">
        <v>1.5764881130456401</v>
      </c>
      <c r="AG3861">
        <v>-1.1053762212710001</v>
      </c>
      <c r="AH3861">
        <v>25.279325672957501</v>
      </c>
      <c r="AI3861">
        <v>92.498900142043098</v>
      </c>
      <c r="AJ3861">
        <v>86.431499286842197</v>
      </c>
      <c r="AK3861">
        <v>25.352543813995801</v>
      </c>
      <c r="AL3861">
        <v>83.678643095210404</v>
      </c>
      <c r="AM3861">
        <v>98.655917592549599</v>
      </c>
      <c r="AN3861">
        <v>0.99999999344135904</v>
      </c>
    </row>
    <row r="3862" spans="1:40" x14ac:dyDescent="0.3">
      <c r="A3862" t="str">
        <f>"20200111150102399"</f>
        <v>20200111150102399</v>
      </c>
      <c r="B3862" t="str">
        <f>"1578726062391550"</f>
        <v>1578726062391550</v>
      </c>
      <c r="C3862" t="s">
        <v>40</v>
      </c>
      <c r="D3862">
        <v>4.5046920000000004</v>
      </c>
      <c r="E3862">
        <v>0.63565649999999996</v>
      </c>
      <c r="F3862" t="s">
        <v>41</v>
      </c>
      <c r="G3862">
        <v>-417.92669999999998</v>
      </c>
      <c r="H3862">
        <v>0.9949924</v>
      </c>
      <c r="I3862">
        <v>108.96250000000001</v>
      </c>
      <c r="J3862">
        <v>-417.78120000000001</v>
      </c>
      <c r="K3862">
        <v>1.1049500000000001</v>
      </c>
      <c r="L3862">
        <v>109.4906</v>
      </c>
      <c r="M3862">
        <v>2.1014310000000001E-2</v>
      </c>
      <c r="N3862">
        <v>0</v>
      </c>
      <c r="O3862">
        <v>-0.99971030000000005</v>
      </c>
      <c r="P3862">
        <v>0.16807469999999999</v>
      </c>
      <c r="Q3862">
        <v>9.9631349999999994E-2</v>
      </c>
      <c r="R3862">
        <v>-0.98072649999999995</v>
      </c>
      <c r="S3862">
        <v>-0.61770630000000004</v>
      </c>
      <c r="T3862">
        <v>-0.48673169999999999</v>
      </c>
      <c r="U3862">
        <v>-3.214874</v>
      </c>
      <c r="V3862">
        <v>-0.14743539999999999</v>
      </c>
      <c r="W3862">
        <v>0.111169699999999</v>
      </c>
      <c r="X3862">
        <v>0.98280420000000002</v>
      </c>
      <c r="Y3862">
        <v>0.2072407</v>
      </c>
      <c r="Z3862">
        <v>0.146706</v>
      </c>
      <c r="AA3862">
        <v>0.96722730000000001</v>
      </c>
      <c r="AB3862">
        <v>21</v>
      </c>
      <c r="AC3862">
        <v>-0.14549999999996999</v>
      </c>
      <c r="AD3862">
        <v>-0.1099576</v>
      </c>
      <c r="AE3862">
        <v>-0.52809999999999402</v>
      </c>
      <c r="AF3862">
        <v>0.15050193107600299</v>
      </c>
      <c r="AG3862">
        <v>-0.1099576</v>
      </c>
      <c r="AH3862">
        <v>0.50459338385966801</v>
      </c>
      <c r="AI3862">
        <v>101.795152646623</v>
      </c>
      <c r="AJ3862">
        <v>73.392063504262694</v>
      </c>
      <c r="AK3862">
        <v>0.53791819832602406</v>
      </c>
      <c r="AL3862">
        <v>83.617251952605599</v>
      </c>
      <c r="AM3862">
        <v>98.531607725813998</v>
      </c>
      <c r="AN3862">
        <v>0.99999999745444501</v>
      </c>
    </row>
    <row r="3863" spans="1:40" x14ac:dyDescent="0.3">
      <c r="A3863" t="str">
        <f>"20200111150102422"</f>
        <v>20200111150102422</v>
      </c>
      <c r="B3863" t="str">
        <f>"1578726062411646"</f>
        <v>1578726062411646</v>
      </c>
      <c r="C3863" t="s">
        <v>40</v>
      </c>
      <c r="D3863">
        <v>4.3912890000000004</v>
      </c>
      <c r="E3863">
        <v>0.6324978</v>
      </c>
      <c r="F3863" t="s">
        <v>41</v>
      </c>
      <c r="G3863">
        <v>-417.91230000000002</v>
      </c>
      <c r="H3863">
        <v>1.0384979999999999</v>
      </c>
      <c r="I3863">
        <v>108.7527</v>
      </c>
      <c r="J3863">
        <v>-417.77620000000002</v>
      </c>
      <c r="K3863">
        <v>1.104544</v>
      </c>
      <c r="L3863">
        <v>109.28400000000001</v>
      </c>
      <c r="M3863">
        <v>2.1212310000000002E-2</v>
      </c>
      <c r="N3863">
        <v>0</v>
      </c>
      <c r="O3863">
        <v>-0.99970610000000004</v>
      </c>
      <c r="P3863">
        <v>0.1667092</v>
      </c>
      <c r="Q3863">
        <v>0.1030871</v>
      </c>
      <c r="R3863">
        <v>-0.98060250000000004</v>
      </c>
      <c r="S3863">
        <v>-0.56430049999999998</v>
      </c>
      <c r="T3863">
        <v>-0.28683140000000001</v>
      </c>
      <c r="U3863">
        <v>-3.1847989999999999</v>
      </c>
      <c r="V3863">
        <v>-0.14575850000000001</v>
      </c>
      <c r="W3863">
        <v>0.1147591</v>
      </c>
      <c r="X3863">
        <v>0.98264180000000001</v>
      </c>
      <c r="Y3863">
        <v>0.19463739999999999</v>
      </c>
      <c r="Z3863">
        <v>8.8130349999999996E-2</v>
      </c>
      <c r="AA3863">
        <v>0.976908</v>
      </c>
      <c r="AB3863">
        <v>21</v>
      </c>
      <c r="AC3863">
        <v>-0.136099999999999</v>
      </c>
      <c r="AD3863">
        <v>-6.6045999999999994E-2</v>
      </c>
      <c r="AE3863">
        <v>-0.531299999999987</v>
      </c>
      <c r="AF3863">
        <v>0.14523414531676701</v>
      </c>
      <c r="AG3863">
        <v>-6.6045999999999994E-2</v>
      </c>
      <c r="AH3863">
        <v>0.52074174017928598</v>
      </c>
      <c r="AI3863">
        <v>96.965207063210897</v>
      </c>
      <c r="AJ3863">
        <v>74.416287731206907</v>
      </c>
      <c r="AK3863">
        <v>0.544634731766936</v>
      </c>
      <c r="AL3863">
        <v>83.410269820260098</v>
      </c>
      <c r="AM3863">
        <v>98.437349278570807</v>
      </c>
      <c r="AN3863">
        <v>1.0000000492311401</v>
      </c>
    </row>
    <row r="3864" spans="1:40" x14ac:dyDescent="0.3">
      <c r="A3864" t="str">
        <f>"20200111150106700"</f>
        <v>20200111150106700</v>
      </c>
      <c r="B3864" t="str">
        <f>"1578726066691297"</f>
        <v>1578726066691297</v>
      </c>
      <c r="C3864" t="s">
        <v>40</v>
      </c>
      <c r="D3864">
        <v>4.570843</v>
      </c>
      <c r="E3864">
        <v>0.41394700000000001</v>
      </c>
      <c r="F3864" t="s">
        <v>85</v>
      </c>
      <c r="G3864">
        <v>-438.24790000000002</v>
      </c>
      <c r="H3864">
        <v>9.1677929999999996</v>
      </c>
      <c r="I3864">
        <v>-8.8263289999999994</v>
      </c>
      <c r="J3864">
        <v>-421.96390000000002</v>
      </c>
      <c r="K3864">
        <v>1.1048849999999999</v>
      </c>
      <c r="L3864">
        <v>67.616789999999995</v>
      </c>
      <c r="M3864">
        <v>4.3784169999999999E-3</v>
      </c>
      <c r="N3864">
        <v>0</v>
      </c>
      <c r="O3864">
        <v>-0.99994119999999997</v>
      </c>
      <c r="P3864">
        <v>0.1732862</v>
      </c>
      <c r="Q3864">
        <v>0.118935</v>
      </c>
      <c r="R3864">
        <v>-0.97766370000000002</v>
      </c>
      <c r="S3864">
        <v>-0.54235840000000002</v>
      </c>
      <c r="T3864">
        <v>0.21361939999999999</v>
      </c>
      <c r="U3864">
        <v>-3.129105</v>
      </c>
      <c r="V3864">
        <v>-0.1690683</v>
      </c>
      <c r="W3864">
        <v>0.12855649999999999</v>
      </c>
      <c r="X3864">
        <v>0.97718430000000001</v>
      </c>
      <c r="Y3864">
        <v>0.17470849999999999</v>
      </c>
      <c r="Z3864">
        <v>-6.7087399999999894E-2</v>
      </c>
      <c r="AA3864">
        <v>0.98233210000000004</v>
      </c>
      <c r="AB3864">
        <v>25</v>
      </c>
      <c r="AC3864">
        <v>-16.283999999999899</v>
      </c>
      <c r="AD3864">
        <v>8.0629080000000002</v>
      </c>
      <c r="AE3864">
        <v>-76.443118999999996</v>
      </c>
      <c r="AF3864">
        <v>16.443563787093701</v>
      </c>
      <c r="AG3864">
        <v>8.0629080000000002</v>
      </c>
      <c r="AH3864">
        <v>75.566883257935402</v>
      </c>
      <c r="AI3864">
        <v>84.047896402261699</v>
      </c>
      <c r="AJ3864">
        <v>77.723656960684295</v>
      </c>
      <c r="AK3864">
        <v>77.754454025188295</v>
      </c>
      <c r="AL3864">
        <v>82.613814139539699</v>
      </c>
      <c r="AM3864">
        <v>99.815899032915198</v>
      </c>
      <c r="AN3864">
        <v>1.00000000996181</v>
      </c>
    </row>
    <row r="3865" spans="1:40" x14ac:dyDescent="0.3">
      <c r="A3865" t="str">
        <f>"20200111150106721"</f>
        <v>20200111150106721</v>
      </c>
      <c r="B3865" t="str">
        <f>"1578726066711793"</f>
        <v>1578726066711793</v>
      </c>
      <c r="C3865" t="s">
        <v>40</v>
      </c>
      <c r="D3865">
        <v>4.6119329999999996</v>
      </c>
      <c r="E3865">
        <v>0.41339009999999998</v>
      </c>
      <c r="F3865" t="s">
        <v>83</v>
      </c>
      <c r="G3865">
        <v>-406.36559999999997</v>
      </c>
      <c r="H3865">
        <v>7.9987089999999997E-2</v>
      </c>
      <c r="I3865">
        <v>30.24888</v>
      </c>
      <c r="J3865">
        <v>-421.96249999999998</v>
      </c>
      <c r="K3865">
        <v>1.104733</v>
      </c>
      <c r="L3865">
        <v>67.376829999999998</v>
      </c>
      <c r="M3865">
        <v>4.5297590000000004E-3</v>
      </c>
      <c r="N3865">
        <v>0</v>
      </c>
      <c r="O3865">
        <v>-0.99994059999999996</v>
      </c>
      <c r="P3865">
        <v>0.1730293</v>
      </c>
      <c r="Q3865">
        <v>0.1206372</v>
      </c>
      <c r="R3865">
        <v>-0.97750090000000001</v>
      </c>
      <c r="S3865">
        <v>1.19635</v>
      </c>
      <c r="T3865">
        <v>-7.8607200000000002E-2</v>
      </c>
      <c r="U3865">
        <v>-2.866028</v>
      </c>
      <c r="V3865">
        <v>-0.16861519999999999</v>
      </c>
      <c r="W3865">
        <v>0.130331</v>
      </c>
      <c r="X3865">
        <v>0.97702750000000005</v>
      </c>
      <c r="Y3865">
        <v>-0.3809033</v>
      </c>
      <c r="Z3865">
        <v>2.5324960000000001E-2</v>
      </c>
      <c r="AA3865">
        <v>0.92426790000000003</v>
      </c>
      <c r="AB3865">
        <v>25</v>
      </c>
      <c r="AC3865">
        <v>15.5969</v>
      </c>
      <c r="AD3865">
        <v>-1.02474591</v>
      </c>
      <c r="AE3865">
        <v>-37.127949999999998</v>
      </c>
      <c r="AF3865">
        <v>-15.418567303722901</v>
      </c>
      <c r="AG3865">
        <v>-1.02474591</v>
      </c>
      <c r="AH3865">
        <v>37.174151945459002</v>
      </c>
      <c r="AI3865">
        <v>91.4585940382904</v>
      </c>
      <c r="AJ3865">
        <v>112.52700248001599</v>
      </c>
      <c r="AK3865">
        <v>40.257917168472197</v>
      </c>
      <c r="AL3865">
        <v>82.511280013979103</v>
      </c>
      <c r="AM3865">
        <v>99.791643087803806</v>
      </c>
      <c r="AN3865">
        <v>0.99999999549414498</v>
      </c>
    </row>
    <row r="3866" spans="1:40" x14ac:dyDescent="0.3">
      <c r="A3866" t="str">
        <f>"20200111150106744"</f>
        <v>20200111150106744</v>
      </c>
      <c r="B3866" t="str">
        <f>"1578726066742049"</f>
        <v>1578726066742049</v>
      </c>
      <c r="C3866" t="s">
        <v>40</v>
      </c>
      <c r="D3866">
        <v>4.4946979999999996</v>
      </c>
      <c r="E3866">
        <v>0.41539120000000002</v>
      </c>
      <c r="F3866" t="s">
        <v>83</v>
      </c>
      <c r="G3866">
        <v>-409.95780000000002</v>
      </c>
      <c r="H3866">
        <v>1.484191E-2</v>
      </c>
      <c r="I3866">
        <v>38.693080000000002</v>
      </c>
      <c r="J3866">
        <v>-421.96120000000002</v>
      </c>
      <c r="K3866">
        <v>1.1046119999999999</v>
      </c>
      <c r="L3866">
        <v>67.128999999999905</v>
      </c>
      <c r="M3866">
        <v>4.5050929999999999E-3</v>
      </c>
      <c r="N3866">
        <v>0</v>
      </c>
      <c r="O3866">
        <v>-0.99994059999999996</v>
      </c>
      <c r="P3866">
        <v>0.17369499999999999</v>
      </c>
      <c r="Q3866">
        <v>0.1212927</v>
      </c>
      <c r="R3866">
        <v>-0.97730170000000005</v>
      </c>
      <c r="S3866">
        <v>1.201111</v>
      </c>
      <c r="T3866">
        <v>-0.1090472</v>
      </c>
      <c r="U3866">
        <v>-2.869904</v>
      </c>
      <c r="V3866">
        <v>-0.16926429999999901</v>
      </c>
      <c r="W3866">
        <v>0.13104769999999999</v>
      </c>
      <c r="X3866">
        <v>0.9768194</v>
      </c>
      <c r="Y3866">
        <v>-0.38167420000000002</v>
      </c>
      <c r="Z3866">
        <v>3.5060330000000001E-2</v>
      </c>
      <c r="AA3866">
        <v>0.92363170000000006</v>
      </c>
      <c r="AB3866">
        <v>25</v>
      </c>
      <c r="AC3866">
        <v>12.003399999999999</v>
      </c>
      <c r="AD3866">
        <v>-1.08977009</v>
      </c>
      <c r="AE3866">
        <v>-28.4359199999999</v>
      </c>
      <c r="AF3866">
        <v>-11.8603804524263</v>
      </c>
      <c r="AG3866">
        <v>-1.08977009</v>
      </c>
      <c r="AH3866">
        <v>28.454239922794098</v>
      </c>
      <c r="AI3866">
        <v>92.024619922346304</v>
      </c>
      <c r="AJ3866">
        <v>112.627494679142</v>
      </c>
      <c r="AK3866">
        <v>30.8463935154385</v>
      </c>
      <c r="AL3866">
        <v>82.469861088597597</v>
      </c>
      <c r="AM3866">
        <v>99.830656196537902</v>
      </c>
      <c r="AN3866">
        <v>1.00000002157306</v>
      </c>
    </row>
    <row r="3867" spans="1:40" x14ac:dyDescent="0.3">
      <c r="A3867" t="str">
        <f>"20200111150106766"</f>
        <v>20200111150106766</v>
      </c>
      <c r="B3867" t="str">
        <f>"1578726066761572"</f>
        <v>1578726066761572</v>
      </c>
      <c r="C3867" t="s">
        <v>40</v>
      </c>
      <c r="D3867">
        <v>4.6282300000000003</v>
      </c>
      <c r="E3867">
        <v>0.41537160000000001</v>
      </c>
      <c r="F3867" t="s">
        <v>42</v>
      </c>
      <c r="G3867">
        <v>-411.6003</v>
      </c>
      <c r="H3867" s="1">
        <v>-3.0499190000000001E-6</v>
      </c>
      <c r="I3867">
        <v>42.042900000000003</v>
      </c>
      <c r="J3867">
        <v>-421.96019999999999</v>
      </c>
      <c r="K3867">
        <v>1.104527</v>
      </c>
      <c r="L3867">
        <v>66.877350000000007</v>
      </c>
      <c r="M3867">
        <v>4.3507329999999999E-3</v>
      </c>
      <c r="N3867">
        <v>0</v>
      </c>
      <c r="O3867">
        <v>-0.99994119999999997</v>
      </c>
      <c r="P3867">
        <v>0.1740534</v>
      </c>
      <c r="Q3867">
        <v>0.1204306</v>
      </c>
      <c r="R3867">
        <v>-0.97734449999999995</v>
      </c>
      <c r="S3867">
        <v>1.1871640000000001</v>
      </c>
      <c r="T3867">
        <v>-0.12656789999999901</v>
      </c>
      <c r="U3867">
        <v>-2.87439</v>
      </c>
      <c r="V3867">
        <v>-0.1697457</v>
      </c>
      <c r="W3867">
        <v>0.13023170000000001</v>
      </c>
      <c r="X3867">
        <v>0.97684499999999996</v>
      </c>
      <c r="Y3867">
        <v>-0.37739600000000001</v>
      </c>
      <c r="Z3867">
        <v>4.0699029999999997E-2</v>
      </c>
      <c r="AA3867">
        <v>0.92515720000000001</v>
      </c>
      <c r="AB3867">
        <v>25</v>
      </c>
      <c r="AC3867">
        <v>10.3598999999999</v>
      </c>
      <c r="AD3867">
        <v>-1.1045300499190001</v>
      </c>
      <c r="AE3867">
        <v>-24.83445</v>
      </c>
      <c r="AF3867">
        <v>-10.234504592143599</v>
      </c>
      <c r="AG3867">
        <v>-1.1045300499190001</v>
      </c>
      <c r="AH3867">
        <v>24.8374421003432</v>
      </c>
      <c r="AI3867">
        <v>92.354475774196899</v>
      </c>
      <c r="AJ3867">
        <v>112.39457661553701</v>
      </c>
      <c r="AK3867">
        <v>26.886122832526201</v>
      </c>
      <c r="AL3867">
        <v>82.517018623749607</v>
      </c>
      <c r="AM3867">
        <v>99.857814244478902</v>
      </c>
      <c r="AN3867">
        <v>1.0000000261891799</v>
      </c>
    </row>
    <row r="3868" spans="1:40" x14ac:dyDescent="0.3">
      <c r="A3868" t="str">
        <f>"20200111150106788"</f>
        <v>20200111150106788</v>
      </c>
      <c r="B3868" t="str">
        <f>"1578726066782068"</f>
        <v>1578726066782068</v>
      </c>
      <c r="C3868" t="s">
        <v>40</v>
      </c>
      <c r="D3868">
        <v>4.5744600000000002</v>
      </c>
      <c r="E3868">
        <v>0.41548960000000001</v>
      </c>
      <c r="F3868" t="s">
        <v>42</v>
      </c>
      <c r="G3868">
        <v>-412.08109999999999</v>
      </c>
      <c r="H3868" s="1">
        <v>-3.2418649999999999E-6</v>
      </c>
      <c r="I3868">
        <v>42.982849999999999</v>
      </c>
      <c r="J3868">
        <v>-421.95929999999998</v>
      </c>
      <c r="K3868">
        <v>1.1044719999999999</v>
      </c>
      <c r="L3868">
        <v>66.629329999999996</v>
      </c>
      <c r="M3868">
        <v>4.1059979999999996E-3</v>
      </c>
      <c r="N3868">
        <v>0</v>
      </c>
      <c r="O3868">
        <v>-0.9999422</v>
      </c>
      <c r="P3868">
        <v>0.1733344</v>
      </c>
      <c r="Q3868">
        <v>0.11997149999999999</v>
      </c>
      <c r="R3868">
        <v>-0.97752890000000003</v>
      </c>
      <c r="S3868">
        <v>1.1883539999999999</v>
      </c>
      <c r="T3868">
        <v>-0.13286389999999901</v>
      </c>
      <c r="U3868">
        <v>-2.8742679999999998</v>
      </c>
      <c r="V3868">
        <v>-0.16924839999999999</v>
      </c>
      <c r="W3868">
        <v>0.12980430000000001</v>
      </c>
      <c r="X3868">
        <v>0.97698810000000003</v>
      </c>
      <c r="Y3868">
        <v>-0.37793149999999998</v>
      </c>
      <c r="Z3868">
        <v>4.2713319999999999E-2</v>
      </c>
      <c r="AA3868">
        <v>0.9248478</v>
      </c>
      <c r="AB3868">
        <v>25</v>
      </c>
      <c r="AC3868">
        <v>9.8781999999999908</v>
      </c>
      <c r="AD3868">
        <v>-1.1044752418649999</v>
      </c>
      <c r="AE3868">
        <v>-23.64648</v>
      </c>
      <c r="AF3868">
        <v>-9.7628852582162402</v>
      </c>
      <c r="AG3868">
        <v>-1.1044752418649999</v>
      </c>
      <c r="AH3868">
        <v>23.642926484299501</v>
      </c>
      <c r="AI3868">
        <v>92.472406336102296</v>
      </c>
      <c r="AJ3868">
        <v>112.437222966874</v>
      </c>
      <c r="AK3868">
        <v>25.6031593141741</v>
      </c>
      <c r="AL3868">
        <v>82.541716005267304</v>
      </c>
      <c r="AM3868">
        <v>99.828086523069601</v>
      </c>
      <c r="AN3868">
        <v>0.99999996237132904</v>
      </c>
    </row>
    <row r="3869" spans="1:40" x14ac:dyDescent="0.3">
      <c r="A3869" t="str">
        <f>"20200111150106810"</f>
        <v>20200111150106810</v>
      </c>
      <c r="B3869" t="str">
        <f>"1578726066801585"</f>
        <v>1578726066801585</v>
      </c>
      <c r="C3869" t="s">
        <v>40</v>
      </c>
      <c r="D3869">
        <v>4.5809819999999997</v>
      </c>
      <c r="E3869">
        <v>0.4154465</v>
      </c>
      <c r="F3869" t="s">
        <v>42</v>
      </c>
      <c r="G3869">
        <v>-411.88959999999997</v>
      </c>
      <c r="H3869" s="1">
        <v>-3.0356019999999998E-6</v>
      </c>
      <c r="I3869">
        <v>42.226970000000001</v>
      </c>
      <c r="J3869">
        <v>-421.95850000000002</v>
      </c>
      <c r="K3869">
        <v>1.10444599999999</v>
      </c>
      <c r="L3869">
        <v>66.386290000000002</v>
      </c>
      <c r="M3869">
        <v>3.8118100000000001E-3</v>
      </c>
      <c r="N3869">
        <v>0</v>
      </c>
      <c r="O3869">
        <v>-0.99994300000000003</v>
      </c>
      <c r="P3869">
        <v>0.17230219999999999</v>
      </c>
      <c r="Q3869">
        <v>0.1208646</v>
      </c>
      <c r="R3869">
        <v>-0.97760100000000005</v>
      </c>
      <c r="S3869">
        <v>1.186218</v>
      </c>
      <c r="T3869">
        <v>-0.13010739999999901</v>
      </c>
      <c r="U3869">
        <v>-2.874603</v>
      </c>
      <c r="V3869">
        <v>-0.1684938</v>
      </c>
      <c r="W3869">
        <v>0.13071769999999999</v>
      </c>
      <c r="X3869">
        <v>0.9769968</v>
      </c>
      <c r="Y3869">
        <v>-0.3775927</v>
      </c>
      <c r="Z3869">
        <v>4.183311E-2</v>
      </c>
      <c r="AA3869">
        <v>0.92502640000000003</v>
      </c>
      <c r="AB3869">
        <v>25</v>
      </c>
      <c r="AC3869">
        <v>10.068899999999999</v>
      </c>
      <c r="AD3869">
        <v>-1.10444903560199</v>
      </c>
      <c r="AE3869">
        <v>-24.159320000000001</v>
      </c>
      <c r="AF3869">
        <v>-9.9589985626996196</v>
      </c>
      <c r="AG3869">
        <v>-1.10444903560199</v>
      </c>
      <c r="AH3869">
        <v>24.1545176494568</v>
      </c>
      <c r="AI3869">
        <v>92.420580701130007</v>
      </c>
      <c r="AJ3869">
        <v>112.406538310407</v>
      </c>
      <c r="AK3869">
        <v>26.150376343793202</v>
      </c>
      <c r="AL3869">
        <v>82.488932683857499</v>
      </c>
      <c r="AM3869">
        <v>99.785031115212604</v>
      </c>
      <c r="AN3869">
        <v>1.00000001247098</v>
      </c>
    </row>
    <row r="3870" spans="1:40" x14ac:dyDescent="0.3">
      <c r="A3870" t="str">
        <f>"20200111150106833"</f>
        <v>20200111150106833</v>
      </c>
      <c r="B3870" t="str">
        <f>"1578726066822081"</f>
        <v>1578726066822081</v>
      </c>
      <c r="C3870" t="s">
        <v>40</v>
      </c>
      <c r="D3870">
        <v>4.600975</v>
      </c>
      <c r="E3870">
        <v>0.4154351</v>
      </c>
      <c r="F3870" t="s">
        <v>42</v>
      </c>
      <c r="G3870">
        <v>-411.53309999999999</v>
      </c>
      <c r="H3870" s="1">
        <v>-2.7342099999999999E-6</v>
      </c>
      <c r="I3870">
        <v>41.062629999999999</v>
      </c>
      <c r="J3870">
        <v>-421.9579</v>
      </c>
      <c r="K3870">
        <v>1.104433</v>
      </c>
      <c r="L3870">
        <v>66.136200000000002</v>
      </c>
      <c r="M3870">
        <v>3.4897090000000001E-3</v>
      </c>
      <c r="N3870">
        <v>0</v>
      </c>
      <c r="O3870">
        <v>-0.99994419999999995</v>
      </c>
      <c r="P3870">
        <v>0.1718306</v>
      </c>
      <c r="Q3870">
        <v>0.12171899999999999</v>
      </c>
      <c r="R3870">
        <v>-0.97757799999999995</v>
      </c>
      <c r="S3870">
        <v>1.1838379999999999</v>
      </c>
      <c r="T3870">
        <v>-0.12541359999999999</v>
      </c>
      <c r="U3870">
        <v>-2.8755799999999998</v>
      </c>
      <c r="V3870">
        <v>-0.16833219999999999</v>
      </c>
      <c r="W3870">
        <v>0.13158610000000001</v>
      </c>
      <c r="X3870">
        <v>0.97690809999999995</v>
      </c>
      <c r="Y3870">
        <v>-0.37714910000000001</v>
      </c>
      <c r="Z3870">
        <v>4.0323940000000003E-2</v>
      </c>
      <c r="AA3870">
        <v>0.92527429999999999</v>
      </c>
      <c r="AB3870">
        <v>25</v>
      </c>
      <c r="AC3870">
        <v>10.424799999999999</v>
      </c>
      <c r="AD3870">
        <v>-1.10443573421</v>
      </c>
      <c r="AE3870">
        <v>-25.07357</v>
      </c>
      <c r="AF3870">
        <v>-10.320160579486901</v>
      </c>
      <c r="AG3870">
        <v>-1.10443573421</v>
      </c>
      <c r="AH3870">
        <v>25.068329356907402</v>
      </c>
      <c r="AI3870">
        <v>92.332925806598595</v>
      </c>
      <c r="AJ3870">
        <v>112.37604531823</v>
      </c>
      <c r="AK3870">
        <v>27.132022214051499</v>
      </c>
      <c r="AL3870">
        <v>82.438743668438804</v>
      </c>
      <c r="AM3870">
        <v>99.776698075782093</v>
      </c>
      <c r="AN3870">
        <v>1.0000000335578201</v>
      </c>
    </row>
    <row r="3871" spans="1:40" x14ac:dyDescent="0.3">
      <c r="A3871" t="str">
        <f>"20200111150106856"</f>
        <v>20200111150106856</v>
      </c>
      <c r="B3871" t="str">
        <f>"1578726066851363"</f>
        <v>1578726066851363</v>
      </c>
      <c r="C3871" t="s">
        <v>40</v>
      </c>
      <c r="D3871">
        <v>4.6479540000000004</v>
      </c>
      <c r="E3871">
        <v>0.4158657</v>
      </c>
      <c r="F3871" t="s">
        <v>42</v>
      </c>
      <c r="G3871">
        <v>-411.49540000000002</v>
      </c>
      <c r="H3871" s="1">
        <v>-2.6077879999999999E-6</v>
      </c>
      <c r="I3871">
        <v>40.661659999999998</v>
      </c>
      <c r="J3871">
        <v>-421.95729999999998</v>
      </c>
      <c r="K3871">
        <v>1.104422</v>
      </c>
      <c r="L3871">
        <v>65.880579999999995</v>
      </c>
      <c r="M3871">
        <v>3.1652020000000002E-3</v>
      </c>
      <c r="N3871">
        <v>0</v>
      </c>
      <c r="O3871">
        <v>-0.99994539999999998</v>
      </c>
      <c r="P3871">
        <v>0.170788299999999</v>
      </c>
      <c r="Q3871">
        <v>0.1207901</v>
      </c>
      <c r="R3871">
        <v>-0.97787590000000002</v>
      </c>
      <c r="S3871">
        <v>1.1814579999999999</v>
      </c>
      <c r="T3871">
        <v>-0.12471690000000001</v>
      </c>
      <c r="U3871">
        <v>-2.8766780000000001</v>
      </c>
      <c r="V3871">
        <v>-0.1676059</v>
      </c>
      <c r="W3871">
        <v>0.13066810000000001</v>
      </c>
      <c r="X3871">
        <v>0.97715620000000003</v>
      </c>
      <c r="Y3871">
        <v>-0.3766738</v>
      </c>
      <c r="Z3871">
        <v>4.0096329999999999E-2</v>
      </c>
      <c r="AA3871">
        <v>0.92547780000000002</v>
      </c>
      <c r="AB3871">
        <v>25</v>
      </c>
      <c r="AC3871">
        <v>10.461899999999901</v>
      </c>
      <c r="AD3871">
        <v>-1.104424607788</v>
      </c>
      <c r="AE3871">
        <v>-25.218920000000001</v>
      </c>
      <c r="AF3871">
        <v>-10.365060560856</v>
      </c>
      <c r="AG3871">
        <v>-1.104424607788</v>
      </c>
      <c r="AH3871">
        <v>25.2106577510372</v>
      </c>
      <c r="AI3871">
        <v>92.320189118601803</v>
      </c>
      <c r="AJ3871">
        <v>112.349428461287</v>
      </c>
      <c r="AK3871">
        <v>27.280606635198499</v>
      </c>
      <c r="AL3871">
        <v>82.491799534289299</v>
      </c>
      <c r="AM3871">
        <v>99.732899137284505</v>
      </c>
      <c r="AN3871">
        <v>1.0000000646354199</v>
      </c>
    </row>
    <row r="3872" spans="1:40" x14ac:dyDescent="0.3">
      <c r="A3872" t="str">
        <f>"20200111150106877"</f>
        <v>20200111150106877</v>
      </c>
      <c r="B3872" t="str">
        <f>"1578726066871860"</f>
        <v>1578726066871860</v>
      </c>
      <c r="C3872" t="s">
        <v>40</v>
      </c>
      <c r="D3872">
        <v>4.6085649999999996</v>
      </c>
      <c r="E3872">
        <v>0.41531960000000001</v>
      </c>
      <c r="F3872" t="s">
        <v>83</v>
      </c>
      <c r="G3872">
        <v>-410.89190000000002</v>
      </c>
      <c r="H3872" s="1">
        <v>-2.9020490000000002E-6</v>
      </c>
      <c r="I3872">
        <v>38.793550000000003</v>
      </c>
      <c r="J3872">
        <v>-421.95679999999999</v>
      </c>
      <c r="K3872">
        <v>1.1044290000000001</v>
      </c>
      <c r="L3872">
        <v>65.634399999999999</v>
      </c>
      <c r="M3872">
        <v>2.8708219999999999E-3</v>
      </c>
      <c r="N3872">
        <v>0</v>
      </c>
      <c r="O3872">
        <v>-0.99994609999999995</v>
      </c>
      <c r="P3872">
        <v>0.1702536</v>
      </c>
      <c r="Q3872">
        <v>0.1195418</v>
      </c>
      <c r="R3872">
        <v>-0.97812250000000001</v>
      </c>
      <c r="S3872">
        <v>1.1753229999999999</v>
      </c>
      <c r="T3872">
        <v>-0.1173075</v>
      </c>
      <c r="U3872">
        <v>-2.877075</v>
      </c>
      <c r="V3872">
        <v>-0.16736180000000001</v>
      </c>
      <c r="W3872">
        <v>0.12942600000000001</v>
      </c>
      <c r="X3872">
        <v>0.97736330000000005</v>
      </c>
      <c r="Y3872">
        <v>-0.37524610000000003</v>
      </c>
      <c r="Z3872">
        <v>3.7739219999999997E-2</v>
      </c>
      <c r="AA3872">
        <v>0.9261566</v>
      </c>
      <c r="AB3872">
        <v>25</v>
      </c>
      <c r="AC3872">
        <v>11.0648999999999</v>
      </c>
      <c r="AD3872">
        <v>-1.1044319020489901</v>
      </c>
      <c r="AE3872">
        <v>-26.84085</v>
      </c>
      <c r="AF3872">
        <v>-10.971916986659901</v>
      </c>
      <c r="AG3872">
        <v>-1.1044319020489901</v>
      </c>
      <c r="AH3872">
        <v>26.833673326172399</v>
      </c>
      <c r="AI3872">
        <v>92.181730430897005</v>
      </c>
      <c r="AJ3872">
        <v>112.23897229949</v>
      </c>
      <c r="AK3872">
        <v>29.011183298241399</v>
      </c>
      <c r="AL3872">
        <v>82.563575984356007</v>
      </c>
      <c r="AM3872">
        <v>99.716974599983402</v>
      </c>
      <c r="AN3872">
        <v>1.0000000408810601</v>
      </c>
    </row>
    <row r="3873" spans="1:40" x14ac:dyDescent="0.3">
      <c r="A3873" t="str">
        <f>"20200111150106900"</f>
        <v>20200111150106900</v>
      </c>
      <c r="B3873" t="str">
        <f>"1578726066891377"</f>
        <v>1578726066891377</v>
      </c>
      <c r="C3873" t="s">
        <v>40</v>
      </c>
      <c r="D3873">
        <v>4.6632850000000001</v>
      </c>
      <c r="E3873">
        <v>0.4149468</v>
      </c>
      <c r="F3873" t="s">
        <v>83</v>
      </c>
      <c r="G3873">
        <v>-411.20740000000001</v>
      </c>
      <c r="H3873" s="1">
        <v>-2.4883200000000001E-6</v>
      </c>
      <c r="I3873">
        <v>39.362000000000002</v>
      </c>
      <c r="J3873">
        <v>-421.95639999999997</v>
      </c>
      <c r="K3873">
        <v>1.104441</v>
      </c>
      <c r="L3873">
        <v>65.384739999999994</v>
      </c>
      <c r="M3873">
        <v>2.594673E-3</v>
      </c>
      <c r="N3873">
        <v>0</v>
      </c>
      <c r="O3873">
        <v>-0.99994680000000002</v>
      </c>
      <c r="P3873">
        <v>0.1713189</v>
      </c>
      <c r="Q3873">
        <v>0.1190715</v>
      </c>
      <c r="R3873">
        <v>-0.97799409999999998</v>
      </c>
      <c r="S3873">
        <v>1.1771240000000001</v>
      </c>
      <c r="T3873">
        <v>-0.1209417</v>
      </c>
      <c r="U3873">
        <v>-2.8769840000000002</v>
      </c>
      <c r="V3873">
        <v>-0.16870260000000001</v>
      </c>
      <c r="W3873">
        <v>0.12895609999999999</v>
      </c>
      <c r="X3873">
        <v>0.97719480000000003</v>
      </c>
      <c r="Y3873">
        <v>-0.3759921</v>
      </c>
      <c r="Z3873">
        <v>3.889716E-2</v>
      </c>
      <c r="AA3873">
        <v>0.92580609999999997</v>
      </c>
      <c r="AB3873">
        <v>25</v>
      </c>
      <c r="AC3873">
        <v>10.748999999999899</v>
      </c>
      <c r="AD3873">
        <v>-1.1044434883200001</v>
      </c>
      <c r="AE3873">
        <v>-26.022739999999999</v>
      </c>
      <c r="AF3873">
        <v>-10.6650292499997</v>
      </c>
      <c r="AG3873">
        <v>-1.1044434883200001</v>
      </c>
      <c r="AH3873">
        <v>26.010520519145</v>
      </c>
      <c r="AI3873">
        <v>92.249829405478195</v>
      </c>
      <c r="AJ3873">
        <v>112.294979065929</v>
      </c>
      <c r="AK3873">
        <v>28.133784352608998</v>
      </c>
      <c r="AL3873">
        <v>82.590726199515998</v>
      </c>
      <c r="AM3873">
        <v>99.7949754355663</v>
      </c>
      <c r="AN3873">
        <v>0.99999996006050396</v>
      </c>
    </row>
    <row r="3874" spans="1:40" x14ac:dyDescent="0.3">
      <c r="A3874" t="str">
        <f>"20200111150106922"</f>
        <v>20200111150106922</v>
      </c>
      <c r="B3874" t="str">
        <f>"1578726066911876"</f>
        <v>1578726066911876</v>
      </c>
      <c r="C3874" t="s">
        <v>40</v>
      </c>
      <c r="D3874">
        <v>4.5528570000000004</v>
      </c>
      <c r="E3874">
        <v>0.41528769999999998</v>
      </c>
      <c r="F3874" t="s">
        <v>42</v>
      </c>
      <c r="G3874">
        <v>-411.4932</v>
      </c>
      <c r="H3874" s="1">
        <v>-2.359645E-6</v>
      </c>
      <c r="I3874">
        <v>39.930759999999999</v>
      </c>
      <c r="J3874">
        <v>-421.95600000000002</v>
      </c>
      <c r="K3874">
        <v>1.1044560000000001</v>
      </c>
      <c r="L3874">
        <v>65.137209999999996</v>
      </c>
      <c r="M3874">
        <v>2.3441199999999999E-3</v>
      </c>
      <c r="N3874">
        <v>0</v>
      </c>
      <c r="O3874">
        <v>-0.99994749999999999</v>
      </c>
      <c r="P3874">
        <v>0.17252239999999999</v>
      </c>
      <c r="Q3874">
        <v>0.1193094</v>
      </c>
      <c r="R3874">
        <v>-0.97775350000000005</v>
      </c>
      <c r="S3874">
        <v>1.1820679999999999</v>
      </c>
      <c r="T3874">
        <v>-0.1247736</v>
      </c>
      <c r="U3874">
        <v>-2.8756409999999999</v>
      </c>
      <c r="V3874">
        <v>-0.1701579</v>
      </c>
      <c r="W3874">
        <v>0.1291901</v>
      </c>
      <c r="X3874">
        <v>0.97691150000000004</v>
      </c>
      <c r="Y3874">
        <v>-0.37771919999999998</v>
      </c>
      <c r="Z3874">
        <v>4.0117600000000003E-2</v>
      </c>
      <c r="AA3874">
        <v>0.9250507</v>
      </c>
      <c r="AB3874">
        <v>25</v>
      </c>
      <c r="AC3874">
        <v>10.4627999999999</v>
      </c>
      <c r="AD3874">
        <v>-1.1044583596449999</v>
      </c>
      <c r="AE3874">
        <v>-25.20645</v>
      </c>
      <c r="AF3874">
        <v>-10.3866709564182</v>
      </c>
      <c r="AG3874">
        <v>-1.1044583596449999</v>
      </c>
      <c r="AH3874">
        <v>25.189654532839398</v>
      </c>
      <c r="AI3874">
        <v>92.321212119582697</v>
      </c>
      <c r="AJ3874">
        <v>112.40825212167699</v>
      </c>
      <c r="AK3874">
        <v>27.269423486918299</v>
      </c>
      <c r="AL3874">
        <v>82.577205709535704</v>
      </c>
      <c r="AM3874">
        <v>99.880621687078403</v>
      </c>
      <c r="AN3874">
        <v>0.99999993585133296</v>
      </c>
    </row>
    <row r="3875" spans="1:40" x14ac:dyDescent="0.3">
      <c r="A3875" t="str">
        <f>"20200111150106945"</f>
        <v>20200111150106945</v>
      </c>
      <c r="B3875" t="str">
        <f>"1578726066941671"</f>
        <v>1578726066941671</v>
      </c>
      <c r="C3875" t="s">
        <v>40</v>
      </c>
      <c r="D3875">
        <v>4.5971979999999997</v>
      </c>
      <c r="E3875">
        <v>0.41384559999999998</v>
      </c>
      <c r="F3875" t="s">
        <v>42</v>
      </c>
      <c r="G3875">
        <v>-412.17970000000003</v>
      </c>
      <c r="H3875" s="1">
        <v>-2.6653699999999999E-6</v>
      </c>
      <c r="I3875">
        <v>41.365900000000003</v>
      </c>
      <c r="J3875">
        <v>-421.95569999999998</v>
      </c>
      <c r="K3875">
        <v>1.1044769999999999</v>
      </c>
      <c r="L3875">
        <v>64.886169999999893</v>
      </c>
      <c r="M3875">
        <v>2.10736E-3</v>
      </c>
      <c r="N3875">
        <v>0</v>
      </c>
      <c r="O3875">
        <v>-0.99994769999999999</v>
      </c>
      <c r="P3875">
        <v>0.17373060000000001</v>
      </c>
      <c r="Q3875">
        <v>0.1197766</v>
      </c>
      <c r="R3875">
        <v>-0.97748199999999996</v>
      </c>
      <c r="S3875">
        <v>1.182739</v>
      </c>
      <c r="T3875">
        <v>-0.1336175</v>
      </c>
      <c r="U3875">
        <v>-2.8758539999999999</v>
      </c>
      <c r="V3875">
        <v>-0.1716039</v>
      </c>
      <c r="W3875">
        <v>0.1296535</v>
      </c>
      <c r="X3875">
        <v>0.97659720000000005</v>
      </c>
      <c r="Y3875">
        <v>-0.3780541</v>
      </c>
      <c r="Z3875">
        <v>4.2947869999999999E-2</v>
      </c>
      <c r="AA3875">
        <v>0.92478680000000002</v>
      </c>
      <c r="AB3875">
        <v>25</v>
      </c>
      <c r="AC3875">
        <v>9.7759999999999501</v>
      </c>
      <c r="AD3875">
        <v>-1.10447966537</v>
      </c>
      <c r="AE3875">
        <v>-23.520269999999901</v>
      </c>
      <c r="AF3875">
        <v>-9.7081560813953693</v>
      </c>
      <c r="AG3875">
        <v>-1.10447966537</v>
      </c>
      <c r="AH3875">
        <v>23.4966400921498</v>
      </c>
      <c r="AI3875">
        <v>92.487578010296104</v>
      </c>
      <c r="AJ3875">
        <v>112.44904842708399</v>
      </c>
      <c r="AK3875">
        <v>25.447205454665699</v>
      </c>
      <c r="AL3875">
        <v>82.550430200804598</v>
      </c>
      <c r="AM3875">
        <v>99.966053751070802</v>
      </c>
      <c r="AN3875">
        <v>1.00000000980265</v>
      </c>
    </row>
    <row r="3876" spans="1:40" x14ac:dyDescent="0.3">
      <c r="A3876" t="str">
        <f>"20200111150106968"</f>
        <v>20200111150106968</v>
      </c>
      <c r="B3876" t="str">
        <f>"1578726066962172"</f>
        <v>1578726066962172</v>
      </c>
      <c r="C3876" t="s">
        <v>40</v>
      </c>
      <c r="D3876">
        <v>4.5896019999999904</v>
      </c>
      <c r="E3876">
        <v>0.39478239999999998</v>
      </c>
      <c r="F3876" t="s">
        <v>42</v>
      </c>
      <c r="G3876">
        <v>-411.47219999999999</v>
      </c>
      <c r="H3876" s="1">
        <v>-2.3076359999999999E-6</v>
      </c>
      <c r="I3876">
        <v>39.76146</v>
      </c>
      <c r="J3876">
        <v>-421.95549999999997</v>
      </c>
      <c r="K3876">
        <v>1.1044929999999999</v>
      </c>
      <c r="L3876">
        <v>64.631559999999993</v>
      </c>
      <c r="M3876">
        <v>1.8810229999999999E-3</v>
      </c>
      <c r="N3876">
        <v>0</v>
      </c>
      <c r="O3876">
        <v>-0.99994839999999996</v>
      </c>
      <c r="P3876">
        <v>0.1752069</v>
      </c>
      <c r="Q3876">
        <v>0.120111</v>
      </c>
      <c r="R3876">
        <v>-0.97717790000000004</v>
      </c>
      <c r="S3876">
        <v>1.1982120000000001</v>
      </c>
      <c r="T3876">
        <v>-0.12623579999999901</v>
      </c>
      <c r="U3876">
        <v>-2.871613</v>
      </c>
      <c r="V3876">
        <v>-0.17330699999999999</v>
      </c>
      <c r="W3876">
        <v>0.12998399999999999</v>
      </c>
      <c r="X3876">
        <v>0.97625240000000002</v>
      </c>
      <c r="Y3876">
        <v>-0.38302920000000001</v>
      </c>
      <c r="Z3876">
        <v>4.0551570000000002E-2</v>
      </c>
      <c r="AA3876">
        <v>0.92284569999999999</v>
      </c>
      <c r="AB3876">
        <v>25</v>
      </c>
      <c r="AC3876">
        <v>10.4832999999999</v>
      </c>
      <c r="AD3876">
        <v>-1.104495307636</v>
      </c>
      <c r="AE3876">
        <v>-24.870099999999901</v>
      </c>
      <c r="AF3876">
        <v>-10.419048787992701</v>
      </c>
      <c r="AG3876">
        <v>-1.104495307636</v>
      </c>
      <c r="AH3876">
        <v>24.848162324183701</v>
      </c>
      <c r="AI3876">
        <v>92.347355049021104</v>
      </c>
      <c r="AJ3876">
        <v>112.74872448084901</v>
      </c>
      <c r="AK3876">
        <v>26.966788062729002</v>
      </c>
      <c r="AL3876">
        <v>82.531331904311202</v>
      </c>
      <c r="AM3876">
        <v>100.066432402244</v>
      </c>
      <c r="AN3876">
        <v>0.99999995250537799</v>
      </c>
    </row>
    <row r="3877" spans="1:40" x14ac:dyDescent="0.3">
      <c r="A3877" t="str">
        <f>"20200111150106989"</f>
        <v>20200111150106989</v>
      </c>
      <c r="B3877" t="str">
        <f>"1578726066981687"</f>
        <v>1578726066981687</v>
      </c>
      <c r="C3877" t="s">
        <v>40</v>
      </c>
      <c r="D3877">
        <v>4.5723820000000002</v>
      </c>
      <c r="E3877">
        <v>0.39490310000000001</v>
      </c>
      <c r="F3877" t="s">
        <v>85</v>
      </c>
      <c r="G3877">
        <v>-391.41969999999998</v>
      </c>
      <c r="H3877">
        <v>1.085677</v>
      </c>
      <c r="I3877">
        <v>0.76805500000000004</v>
      </c>
      <c r="J3877">
        <v>-421.95530000000002</v>
      </c>
      <c r="K3877">
        <v>1.104503</v>
      </c>
      <c r="L3877">
        <v>64.382050000000007</v>
      </c>
      <c r="M3877">
        <v>1.6679010000000001E-3</v>
      </c>
      <c r="N3877">
        <v>0</v>
      </c>
      <c r="O3877">
        <v>-0.99994859999999997</v>
      </c>
      <c r="P3877">
        <v>0.1759251</v>
      </c>
      <c r="Q3877">
        <v>0.1202106</v>
      </c>
      <c r="R3877">
        <v>-0.97703669999999998</v>
      </c>
      <c r="S3877">
        <v>1.3520509999999999</v>
      </c>
      <c r="T3877">
        <v>-8.3422659999999997E-4</v>
      </c>
      <c r="U3877">
        <v>-2.827728</v>
      </c>
      <c r="V3877">
        <v>-0.17423749999999999</v>
      </c>
      <c r="W3877">
        <v>0.1300828</v>
      </c>
      <c r="X3877">
        <v>0.97607359999999999</v>
      </c>
      <c r="Y3877">
        <v>-0.42986160000000001</v>
      </c>
      <c r="Z3877">
        <v>2.66257E-4</v>
      </c>
      <c r="AA3877">
        <v>0.90289470000000005</v>
      </c>
      <c r="AB3877">
        <v>25</v>
      </c>
      <c r="AC3877">
        <v>30.535599999999999</v>
      </c>
      <c r="AD3877">
        <v>-1.8825999999999999E-2</v>
      </c>
      <c r="AE3877">
        <v>-63.613995000000003</v>
      </c>
      <c r="AF3877">
        <v>-30.4294482041626</v>
      </c>
      <c r="AG3877">
        <v>-1.8825999999999999E-2</v>
      </c>
      <c r="AH3877">
        <v>63.664834880597397</v>
      </c>
      <c r="AI3877">
        <v>90.015286305175493</v>
      </c>
      <c r="AJ3877">
        <v>115.54608324474501</v>
      </c>
      <c r="AK3877">
        <v>70.5631835506436</v>
      </c>
      <c r="AL3877">
        <v>82.525622640212802</v>
      </c>
      <c r="AM3877">
        <v>100.121181237242</v>
      </c>
      <c r="AN3877">
        <v>0.99999995693952404</v>
      </c>
    </row>
    <row r="3878" spans="1:40" x14ac:dyDescent="0.3">
      <c r="A3878" t="str">
        <f>"20200111150107011"</f>
        <v>20200111150107011</v>
      </c>
      <c r="B3878" t="str">
        <f>"1578726067001207"</f>
        <v>1578726067001207</v>
      </c>
      <c r="C3878" t="s">
        <v>40</v>
      </c>
      <c r="D3878">
        <v>4.5944789999999998</v>
      </c>
      <c r="E3878">
        <v>0.3949762</v>
      </c>
      <c r="F3878" t="s">
        <v>85</v>
      </c>
      <c r="G3878">
        <v>-391.50839999999999</v>
      </c>
      <c r="H3878">
        <v>0.88762830000000004</v>
      </c>
      <c r="I3878">
        <v>0.76715089999999997</v>
      </c>
      <c r="J3878">
        <v>-421.95510000000002</v>
      </c>
      <c r="K3878">
        <v>1.104511</v>
      </c>
      <c r="L3878">
        <v>64.133969999999906</v>
      </c>
      <c r="M3878">
        <v>1.4607789999999999E-3</v>
      </c>
      <c r="N3878">
        <v>0</v>
      </c>
      <c r="O3878">
        <v>-0.99994859999999997</v>
      </c>
      <c r="P3878">
        <v>0.1761199</v>
      </c>
      <c r="Q3878">
        <v>0.12039610000000001</v>
      </c>
      <c r="R3878">
        <v>-0.97697840000000002</v>
      </c>
      <c r="S3878">
        <v>1.3535159999999999</v>
      </c>
      <c r="T3878">
        <v>-9.6423629999999993E-3</v>
      </c>
      <c r="U3878">
        <v>-2.8280029999999998</v>
      </c>
      <c r="V3878">
        <v>-0.17463719999999999</v>
      </c>
      <c r="W3878">
        <v>0.13026860000000001</v>
      </c>
      <c r="X3878">
        <v>0.97597739999999999</v>
      </c>
      <c r="Y3878">
        <v>-0.43039300000000003</v>
      </c>
      <c r="Z3878">
        <v>3.0764970000000001E-3</v>
      </c>
      <c r="AA3878">
        <v>0.90263640000000001</v>
      </c>
      <c r="AB3878">
        <v>25</v>
      </c>
      <c r="AC3878">
        <v>30.4467</v>
      </c>
      <c r="AD3878">
        <v>-0.21688269999999901</v>
      </c>
      <c r="AE3878">
        <v>-63.366819100000001</v>
      </c>
      <c r="AF3878">
        <v>-30.353809046334899</v>
      </c>
      <c r="AG3878">
        <v>-0.21688269999999901</v>
      </c>
      <c r="AH3878">
        <v>63.410626122540798</v>
      </c>
      <c r="AI3878">
        <v>90.176759725073097</v>
      </c>
      <c r="AJ3878">
        <v>115.579807807357</v>
      </c>
      <c r="AK3878">
        <v>70.301552379585303</v>
      </c>
      <c r="AL3878">
        <v>82.514885840281195</v>
      </c>
      <c r="AM3878">
        <v>100.144896667971</v>
      </c>
      <c r="AN3878">
        <v>0.99999997254027895</v>
      </c>
    </row>
    <row r="3879" spans="1:40" x14ac:dyDescent="0.3">
      <c r="A3879" t="str">
        <f>"20200111150107034"</f>
        <v>20200111150107034</v>
      </c>
      <c r="B3879" t="str">
        <f>"1578726067031401"</f>
        <v>1578726067031401</v>
      </c>
      <c r="C3879" t="s">
        <v>40</v>
      </c>
      <c r="D3879">
        <v>4.5022640000000003</v>
      </c>
      <c r="E3879">
        <v>0.39561190000000002</v>
      </c>
      <c r="F3879" t="s">
        <v>85</v>
      </c>
      <c r="G3879">
        <v>-391.64389999999997</v>
      </c>
      <c r="H3879">
        <v>0.54479149999999998</v>
      </c>
      <c r="I3879">
        <v>0.76576999999999995</v>
      </c>
      <c r="J3879">
        <v>-421.95499999999998</v>
      </c>
      <c r="K3879">
        <v>1.1045130000000001</v>
      </c>
      <c r="L3879">
        <v>63.881070000000001</v>
      </c>
      <c r="M3879">
        <v>1.2509120000000001E-3</v>
      </c>
      <c r="N3879">
        <v>0</v>
      </c>
      <c r="O3879">
        <v>-0.99994879999999997</v>
      </c>
      <c r="P3879">
        <v>0.17560529999999999</v>
      </c>
      <c r="Q3879">
        <v>0.1208907</v>
      </c>
      <c r="R3879">
        <v>-0.97701000000000005</v>
      </c>
      <c r="S3879">
        <v>1.353577</v>
      </c>
      <c r="T3879">
        <v>-2.4996040000000001E-2</v>
      </c>
      <c r="U3879">
        <v>-2.8297729999999999</v>
      </c>
      <c r="V3879">
        <v>-0.17432879999999901</v>
      </c>
      <c r="W3879">
        <v>0.13076589999999999</v>
      </c>
      <c r="X3879">
        <v>0.975966</v>
      </c>
      <c r="Y3879">
        <v>-0.43036669999999999</v>
      </c>
      <c r="Z3879">
        <v>7.97053E-3</v>
      </c>
      <c r="AA3879">
        <v>0.9026189</v>
      </c>
      <c r="AB3879">
        <v>25</v>
      </c>
      <c r="AC3879">
        <v>30.3111</v>
      </c>
      <c r="AD3879">
        <v>-0.55972149999999898</v>
      </c>
      <c r="AE3879">
        <v>-63.115299999999898</v>
      </c>
      <c r="AF3879">
        <v>-30.230188715728499</v>
      </c>
      <c r="AG3879">
        <v>-0.55972149999999898</v>
      </c>
      <c r="AH3879">
        <v>63.149133416496397</v>
      </c>
      <c r="AI3879">
        <v>90.458050127744499</v>
      </c>
      <c r="AJ3879">
        <v>115.580953938907</v>
      </c>
      <c r="AK3879">
        <v>70.014217479027707</v>
      </c>
      <c r="AL3879">
        <v>82.486146585724299</v>
      </c>
      <c r="AM3879">
        <v>100.127468306776</v>
      </c>
      <c r="AN3879">
        <v>0.99999994213412302</v>
      </c>
    </row>
    <row r="3880" spans="1:40" x14ac:dyDescent="0.3">
      <c r="A3880" t="str">
        <f>"20200111150107057"</f>
        <v>20200111150107057</v>
      </c>
      <c r="B3880" t="str">
        <f>"1578726067051896"</f>
        <v>1578726067051896</v>
      </c>
      <c r="C3880" t="s">
        <v>40</v>
      </c>
      <c r="D3880">
        <v>4.5781689999999999</v>
      </c>
      <c r="E3880">
        <v>0.39594430000000003</v>
      </c>
      <c r="F3880" t="s">
        <v>85</v>
      </c>
      <c r="G3880">
        <v>-391.91719999999998</v>
      </c>
      <c r="H3880">
        <v>0.50811309999999998</v>
      </c>
      <c r="I3880">
        <v>0.76298900000000003</v>
      </c>
      <c r="J3880">
        <v>-421.95490000000001</v>
      </c>
      <c r="K3880">
        <v>1.104522</v>
      </c>
      <c r="L3880">
        <v>63.616520000000001</v>
      </c>
      <c r="M3880">
        <v>1.029741E-3</v>
      </c>
      <c r="N3880">
        <v>0</v>
      </c>
      <c r="O3880">
        <v>-0.99994930000000004</v>
      </c>
      <c r="P3880">
        <v>0.17544319999999999</v>
      </c>
      <c r="Q3880">
        <v>0.1206135</v>
      </c>
      <c r="R3880">
        <v>-0.97707350000000004</v>
      </c>
      <c r="S3880">
        <v>1.3475950000000001</v>
      </c>
      <c r="T3880">
        <v>-2.6757599999999999E-2</v>
      </c>
      <c r="U3880">
        <v>-2.831696</v>
      </c>
      <c r="V3880">
        <v>-0.17438389999999901</v>
      </c>
      <c r="W3880">
        <v>0.13049269999999999</v>
      </c>
      <c r="X3880">
        <v>0.97599279999999999</v>
      </c>
      <c r="Y3880">
        <v>-0.42877179999999998</v>
      </c>
      <c r="Z3880">
        <v>8.5340539999999993E-3</v>
      </c>
      <c r="AA3880">
        <v>0.90337250000000002</v>
      </c>
      <c r="AB3880">
        <v>25</v>
      </c>
      <c r="AC3880">
        <v>30.037700000000001</v>
      </c>
      <c r="AD3880">
        <v>-0.59640890000000002</v>
      </c>
      <c r="AE3880">
        <v>-62.853530999999997</v>
      </c>
      <c r="AF3880">
        <v>-29.9707611655958</v>
      </c>
      <c r="AG3880">
        <v>-0.59640890000000002</v>
      </c>
      <c r="AH3880">
        <v>62.8798212996061</v>
      </c>
      <c r="AI3880">
        <v>90.490558085902407</v>
      </c>
      <c r="AJ3880">
        <v>115.48413086561899</v>
      </c>
      <c r="AK3880">
        <v>69.659702519402003</v>
      </c>
      <c r="AL3880">
        <v>82.501935649117996</v>
      </c>
      <c r="AM3880">
        <v>100.13033058451001</v>
      </c>
      <c r="AN3880">
        <v>1.0000000174921599</v>
      </c>
    </row>
    <row r="3881" spans="1:40" x14ac:dyDescent="0.3">
      <c r="A3881" t="str">
        <f>"20200111150107080"</f>
        <v>20200111150107080</v>
      </c>
      <c r="B3881" t="str">
        <f>"1578726067071416"</f>
        <v>1578726067071416</v>
      </c>
      <c r="C3881" t="s">
        <v>40</v>
      </c>
      <c r="D3881">
        <v>4.6298339999999998</v>
      </c>
      <c r="E3881">
        <v>0.395399</v>
      </c>
      <c r="F3881" t="s">
        <v>85</v>
      </c>
      <c r="G3881">
        <v>-392.11689999999999</v>
      </c>
      <c r="H3881">
        <v>0.38558599999999998</v>
      </c>
      <c r="I3881">
        <v>0.76095959999999996</v>
      </c>
      <c r="J3881">
        <v>-421.95490000000001</v>
      </c>
      <c r="K3881">
        <v>1.1045199999999999</v>
      </c>
      <c r="L3881">
        <v>63.366459999999996</v>
      </c>
      <c r="M3881">
        <v>8.184612E-4</v>
      </c>
      <c r="N3881">
        <v>0</v>
      </c>
      <c r="O3881">
        <v>-0.99994950000000005</v>
      </c>
      <c r="P3881">
        <v>0.17567849999999999</v>
      </c>
      <c r="Q3881">
        <v>0.1207061</v>
      </c>
      <c r="R3881">
        <v>-0.97701979999999999</v>
      </c>
      <c r="S3881">
        <v>1.3448180000000001</v>
      </c>
      <c r="T3881">
        <v>-3.2404179999999998E-2</v>
      </c>
      <c r="U3881">
        <v>-2.8329469999999999</v>
      </c>
      <c r="V3881">
        <v>-0.1748257</v>
      </c>
      <c r="W3881">
        <v>0.13058819999999999</v>
      </c>
      <c r="X3881">
        <v>0.97590089999999996</v>
      </c>
      <c r="Y3881">
        <v>-0.42807810000000002</v>
      </c>
      <c r="Z3881">
        <v>1.033451E-2</v>
      </c>
      <c r="AA3881">
        <v>0.9036826</v>
      </c>
      <c r="AB3881">
        <v>25</v>
      </c>
      <c r="AC3881">
        <v>29.838000000000001</v>
      </c>
      <c r="AD3881">
        <v>-0.71893399999999996</v>
      </c>
      <c r="AE3881">
        <v>-62.605500399999997</v>
      </c>
      <c r="AF3881">
        <v>-29.783546660688</v>
      </c>
      <c r="AG3881">
        <v>-0.71893399999999996</v>
      </c>
      <c r="AH3881">
        <v>62.623172285176402</v>
      </c>
      <c r="AI3881">
        <v>90.593992948861498</v>
      </c>
      <c r="AJ3881">
        <v>115.435735086638</v>
      </c>
      <c r="AK3881">
        <v>69.348671399275005</v>
      </c>
      <c r="AL3881">
        <v>82.4964160537087</v>
      </c>
      <c r="AM3881">
        <v>100.156398596545</v>
      </c>
      <c r="AN3881">
        <v>0.99999993499026696</v>
      </c>
    </row>
    <row r="3882" spans="1:40" x14ac:dyDescent="0.3">
      <c r="A3882" t="str">
        <f>"20200111150107102"</f>
        <v>20200111150107102</v>
      </c>
      <c r="B3882" t="str">
        <f>"1578726067091913"</f>
        <v>1578726067091913</v>
      </c>
      <c r="C3882" t="s">
        <v>40</v>
      </c>
      <c r="D3882">
        <v>4.6573339999999996</v>
      </c>
      <c r="E3882">
        <v>0.3952021</v>
      </c>
      <c r="F3882" t="s">
        <v>85</v>
      </c>
      <c r="G3882">
        <v>-392.12509999999997</v>
      </c>
      <c r="H3882">
        <v>0.3647282</v>
      </c>
      <c r="I3882">
        <v>0.76087569999999904</v>
      </c>
      <c r="J3882">
        <v>-421.95490000000001</v>
      </c>
      <c r="K3882">
        <v>1.104517</v>
      </c>
      <c r="L3882">
        <v>63.119480000000003</v>
      </c>
      <c r="M3882">
        <v>6.0631499999999996E-4</v>
      </c>
      <c r="N3882">
        <v>0</v>
      </c>
      <c r="O3882">
        <v>-0.99994930000000004</v>
      </c>
      <c r="P3882">
        <v>0.17578429999999901</v>
      </c>
      <c r="Q3882">
        <v>0.12017849999999999</v>
      </c>
      <c r="R3882">
        <v>-0.97706550000000003</v>
      </c>
      <c r="S3882">
        <v>1.34939599999999</v>
      </c>
      <c r="T3882">
        <v>-3.3466820000000001E-2</v>
      </c>
      <c r="U3882">
        <v>-2.8320620000000001</v>
      </c>
      <c r="V3882">
        <v>-0.175139299999999</v>
      </c>
      <c r="W3882">
        <v>0.1300695</v>
      </c>
      <c r="X3882">
        <v>0.97591399999999995</v>
      </c>
      <c r="Y3882">
        <v>-0.42956810000000001</v>
      </c>
      <c r="Z3882">
        <v>1.06689E-2</v>
      </c>
      <c r="AA3882">
        <v>0.90297139999999998</v>
      </c>
      <c r="AB3882">
        <v>25</v>
      </c>
      <c r="AC3882">
        <v>29.829799999999999</v>
      </c>
      <c r="AD3882">
        <v>-0.73978879999999902</v>
      </c>
      <c r="AE3882">
        <v>-62.358604299999897</v>
      </c>
      <c r="AF3882">
        <v>-29.788571865071098</v>
      </c>
      <c r="AG3882">
        <v>-0.73978879999999902</v>
      </c>
      <c r="AH3882">
        <v>62.369536615286002</v>
      </c>
      <c r="AI3882">
        <v>90.613227638616294</v>
      </c>
      <c r="AJ3882">
        <v>115.529800069937</v>
      </c>
      <c r="AK3882">
        <v>69.122104994239095</v>
      </c>
      <c r="AL3882">
        <v>82.526391469719997</v>
      </c>
      <c r="AM3882">
        <v>100.174103045314</v>
      </c>
      <c r="AN3882">
        <v>0.99999999231536896</v>
      </c>
    </row>
    <row r="3883" spans="1:40" x14ac:dyDescent="0.3">
      <c r="A3883" t="str">
        <f>"20200111150107124"</f>
        <v>20200111150107124</v>
      </c>
      <c r="B3883" t="str">
        <f>"1578726067121192"</f>
        <v>1578726067121192</v>
      </c>
      <c r="C3883" t="s">
        <v>40</v>
      </c>
      <c r="D3883">
        <v>4.6105749999999999</v>
      </c>
      <c r="E3883">
        <v>0.38746140000000001</v>
      </c>
      <c r="F3883" t="s">
        <v>85</v>
      </c>
      <c r="G3883">
        <v>-392.21170000000001</v>
      </c>
      <c r="H3883">
        <v>0.339775299999999</v>
      </c>
      <c r="I3883">
        <v>0.75999259999999902</v>
      </c>
      <c r="J3883">
        <v>-421.95499999999998</v>
      </c>
      <c r="K3883">
        <v>1.1045180000000001</v>
      </c>
      <c r="L3883">
        <v>62.864649999999997</v>
      </c>
      <c r="M3883">
        <v>3.8572250000000003E-4</v>
      </c>
      <c r="N3883">
        <v>0</v>
      </c>
      <c r="O3883">
        <v>-0.99994899999999998</v>
      </c>
      <c r="P3883">
        <v>0.17554739999999999</v>
      </c>
      <c r="Q3883">
        <v>0.1197718</v>
      </c>
      <c r="R3883">
        <v>-0.97715770000000002</v>
      </c>
      <c r="S3883">
        <v>1.350616</v>
      </c>
      <c r="T3883">
        <v>-3.472745E-2</v>
      </c>
      <c r="U3883">
        <v>-2.831696</v>
      </c>
      <c r="V3883">
        <v>-0.1751181</v>
      </c>
      <c r="W3883">
        <v>0.12967709999999999</v>
      </c>
      <c r="X3883">
        <v>0.97597</v>
      </c>
      <c r="Y3883">
        <v>-0.43012800000000001</v>
      </c>
      <c r="Z3883">
        <v>1.1069499999999999E-2</v>
      </c>
      <c r="AA3883">
        <v>0.90270010000000001</v>
      </c>
      <c r="AB3883">
        <v>25</v>
      </c>
      <c r="AC3883">
        <v>29.743299999999898</v>
      </c>
      <c r="AD3883">
        <v>-0.7647427</v>
      </c>
      <c r="AE3883">
        <v>-62.104657400000001</v>
      </c>
      <c r="AF3883">
        <v>-29.715676297023901</v>
      </c>
      <c r="AG3883">
        <v>-0.7647427</v>
      </c>
      <c r="AH3883">
        <v>62.108465618140201</v>
      </c>
      <c r="AI3883">
        <v>90.636368714942094</v>
      </c>
      <c r="AJ3883">
        <v>115.56869427669</v>
      </c>
      <c r="AK3883">
        <v>68.8554119196626</v>
      </c>
      <c r="AL3883">
        <v>82.549066210049801</v>
      </c>
      <c r="AM3883">
        <v>100.17232570711801</v>
      </c>
      <c r="AN3883">
        <v>0.99999997005600905</v>
      </c>
    </row>
    <row r="3884" spans="1:40" x14ac:dyDescent="0.3">
      <c r="A3884" t="str">
        <f>"20200111150107146"</f>
        <v>20200111150107146</v>
      </c>
      <c r="B3884" t="str">
        <f>"1578726067141832"</f>
        <v>1578726067141832</v>
      </c>
      <c r="C3884" t="s">
        <v>40</v>
      </c>
      <c r="D3884">
        <v>4.6142450000000004</v>
      </c>
      <c r="E3884">
        <v>0.38845540000000001</v>
      </c>
      <c r="F3884" t="s">
        <v>85</v>
      </c>
      <c r="G3884">
        <v>-390.81470000000002</v>
      </c>
      <c r="H3884">
        <v>1.8647750000000001</v>
      </c>
      <c r="I3884">
        <v>0.77420809999999995</v>
      </c>
      <c r="J3884">
        <v>-421.95510000000002</v>
      </c>
      <c r="K3884">
        <v>1.1045160000000001</v>
      </c>
      <c r="L3884">
        <v>62.613190000000003</v>
      </c>
      <c r="M3884">
        <v>1.668754E-4</v>
      </c>
      <c r="N3884">
        <v>0</v>
      </c>
      <c r="O3884">
        <v>-0.99994930000000004</v>
      </c>
      <c r="P3884">
        <v>0.1754676</v>
      </c>
      <c r="Q3884">
        <v>0.1196782</v>
      </c>
      <c r="R3884">
        <v>-0.97718400000000005</v>
      </c>
      <c r="S3884">
        <v>1.4105529999999999</v>
      </c>
      <c r="T3884">
        <v>3.4436109999999999E-2</v>
      </c>
      <c r="U3884">
        <v>-2.8125</v>
      </c>
      <c r="V3884">
        <v>-0.1752522</v>
      </c>
      <c r="W3884">
        <v>0.12959669999999901</v>
      </c>
      <c r="X3884">
        <v>0.97595659999999895</v>
      </c>
      <c r="Y3884">
        <v>-0.44813130000000001</v>
      </c>
      <c r="Z3884">
        <v>-1.094439E-2</v>
      </c>
      <c r="AA3884">
        <v>0.89390079999999905</v>
      </c>
      <c r="AB3884">
        <v>25</v>
      </c>
      <c r="AC3884">
        <v>31.1404</v>
      </c>
      <c r="AD3884">
        <v>0.76025900000000002</v>
      </c>
      <c r="AE3884">
        <v>-61.8389819</v>
      </c>
      <c r="AF3884">
        <v>-31.126326690576601</v>
      </c>
      <c r="AG3884">
        <v>0.76025900000000002</v>
      </c>
      <c r="AH3884">
        <v>61.836722122707698</v>
      </c>
      <c r="AI3884">
        <v>89.370812819460994</v>
      </c>
      <c r="AJ3884">
        <v>116.71899874549899</v>
      </c>
      <c r="AK3884">
        <v>69.232986428988795</v>
      </c>
      <c r="AL3884">
        <v>82.553711931357896</v>
      </c>
      <c r="AM3884">
        <v>100.180089363638</v>
      </c>
      <c r="AN3884">
        <v>0.999999961669644</v>
      </c>
    </row>
    <row r="3885" spans="1:40" x14ac:dyDescent="0.3">
      <c r="A3885" t="str">
        <f>"20200111150107162"</f>
        <v>20200111150107162</v>
      </c>
      <c r="B3885" t="str">
        <f>"1578726067151593"</f>
        <v>1578726067151593</v>
      </c>
      <c r="C3885" t="s">
        <v>40</v>
      </c>
      <c r="D3885">
        <v>4.4730819999999998</v>
      </c>
      <c r="E3885">
        <v>0.39032650000000002</v>
      </c>
      <c r="F3885" t="s">
        <v>85</v>
      </c>
      <c r="G3885">
        <v>-391.1841</v>
      </c>
      <c r="H3885">
        <v>1.11568</v>
      </c>
      <c r="I3885">
        <v>0.77044679999999999</v>
      </c>
      <c r="J3885">
        <v>-421.95519999999999</v>
      </c>
      <c r="K3885">
        <v>1.1045160000000001</v>
      </c>
      <c r="L3885">
        <v>62.43121</v>
      </c>
      <c r="M3885" s="1">
        <v>8.2006110000000008E-6</v>
      </c>
      <c r="N3885">
        <v>0</v>
      </c>
      <c r="O3885">
        <v>-0.99994930000000004</v>
      </c>
      <c r="P3885">
        <v>0.175175</v>
      </c>
      <c r="Q3885">
        <v>0.1194807</v>
      </c>
      <c r="R3885">
        <v>-0.97726080000000004</v>
      </c>
      <c r="S3885">
        <v>1.4022520000000001</v>
      </c>
      <c r="T3885">
        <v>5.0747390000000002E-4</v>
      </c>
      <c r="U3885">
        <v>-2.8182070000000001</v>
      </c>
      <c r="V3885">
        <v>-0.17511450000000001</v>
      </c>
      <c r="W3885">
        <v>0.12940950000000001</v>
      </c>
      <c r="X3885">
        <v>0.97600620000000005</v>
      </c>
      <c r="Y3885">
        <v>-0.44546429999999998</v>
      </c>
      <c r="Z3885">
        <v>-1.612161E-4</v>
      </c>
      <c r="AA3885">
        <v>0.89529969999999903</v>
      </c>
      <c r="AB3885">
        <v>25</v>
      </c>
      <c r="AC3885">
        <v>30.771099999999901</v>
      </c>
      <c r="AD3885">
        <v>1.11639999999999E-2</v>
      </c>
      <c r="AE3885">
        <v>-61.660763199999998</v>
      </c>
      <c r="AF3885">
        <v>-30.770593509821602</v>
      </c>
      <c r="AG3885">
        <v>1.11639999999999E-2</v>
      </c>
      <c r="AH3885">
        <v>61.661013934251898</v>
      </c>
      <c r="AI3885">
        <v>89.990717916221499</v>
      </c>
      <c r="AJ3885">
        <v>116.520496317579</v>
      </c>
      <c r="AK3885">
        <v>68.912336986794898</v>
      </c>
      <c r="AL3885">
        <v>82.564529111459194</v>
      </c>
      <c r="AM3885">
        <v>100.17175154991401</v>
      </c>
      <c r="AN3885">
        <v>1.0000000046194699</v>
      </c>
    </row>
    <row r="3886" spans="1:40" x14ac:dyDescent="0.3">
      <c r="A3886" t="str">
        <f>"20200111150107176"</f>
        <v>20200111150107176</v>
      </c>
      <c r="B3886" t="str">
        <f>"1578726067172089"</f>
        <v>1578726067172089</v>
      </c>
      <c r="C3886" t="s">
        <v>40</v>
      </c>
      <c r="D3886">
        <v>4.6223839999999896</v>
      </c>
      <c r="E3886">
        <v>0.39255849999999998</v>
      </c>
      <c r="F3886" t="s">
        <v>85</v>
      </c>
      <c r="G3886">
        <v>-391.66109999999998</v>
      </c>
      <c r="H3886">
        <v>0.82974169999999903</v>
      </c>
      <c r="I3886">
        <v>0.76559449999999996</v>
      </c>
      <c r="J3886">
        <v>-421.9554</v>
      </c>
      <c r="K3886">
        <v>1.104514</v>
      </c>
      <c r="L3886">
        <v>62.258969999999998</v>
      </c>
      <c r="M3886">
        <v>-1.4178039999999999E-4</v>
      </c>
      <c r="N3886">
        <v>0</v>
      </c>
      <c r="O3886">
        <v>-0.99994930000000004</v>
      </c>
      <c r="P3886">
        <v>0.17542650000000001</v>
      </c>
      <c r="Q3886">
        <v>0.1192889</v>
      </c>
      <c r="R3886">
        <v>-0.97723899999999997</v>
      </c>
      <c r="S3886">
        <v>1.386719</v>
      </c>
      <c r="T3886">
        <v>-1.257896E-2</v>
      </c>
      <c r="U3886">
        <v>-2.8227540000000002</v>
      </c>
      <c r="V3886">
        <v>-0.17551249999999999</v>
      </c>
      <c r="W3886">
        <v>0.12922510000000001</v>
      </c>
      <c r="X3886">
        <v>0.97595909999999997</v>
      </c>
      <c r="Y3886">
        <v>-0.441054</v>
      </c>
      <c r="Z3886">
        <v>3.9995270000000001E-3</v>
      </c>
      <c r="AA3886">
        <v>0.89747169999999898</v>
      </c>
      <c r="AB3886">
        <v>25</v>
      </c>
      <c r="AC3886">
        <v>30.2943</v>
      </c>
      <c r="AD3886">
        <v>-0.27477230000000002</v>
      </c>
      <c r="AE3886">
        <v>-61.493375499999999</v>
      </c>
      <c r="AF3886">
        <v>-30.302531834337</v>
      </c>
      <c r="AG3886">
        <v>-0.27477230000000002</v>
      </c>
      <c r="AH3886">
        <v>61.488091621941599</v>
      </c>
      <c r="AI3886">
        <v>90.229662030363997</v>
      </c>
      <c r="AJ3886">
        <v>116.234977851552</v>
      </c>
      <c r="AK3886">
        <v>68.550013469700701</v>
      </c>
      <c r="AL3886">
        <v>82.575183619195201</v>
      </c>
      <c r="AM3886">
        <v>100.194867256376</v>
      </c>
      <c r="AN3886">
        <v>0.99999996449953399</v>
      </c>
    </row>
    <row r="3887" spans="1:40" x14ac:dyDescent="0.3">
      <c r="A3887" t="str">
        <f>"20200111150107190"</f>
        <v>20200111150107190</v>
      </c>
      <c r="B3887" t="str">
        <f>"1578726067181849"</f>
        <v>1578726067181849</v>
      </c>
      <c r="C3887" t="s">
        <v>40</v>
      </c>
      <c r="D3887">
        <v>4.5273019999999997</v>
      </c>
      <c r="E3887">
        <v>0.39343230000000001</v>
      </c>
      <c r="F3887" t="s">
        <v>85</v>
      </c>
      <c r="G3887">
        <v>-392.16449999999998</v>
      </c>
      <c r="H3887">
        <v>0.4203556</v>
      </c>
      <c r="I3887">
        <v>0.76047710000000002</v>
      </c>
      <c r="J3887">
        <v>-421.9556</v>
      </c>
      <c r="K3887">
        <v>1.104509</v>
      </c>
      <c r="L3887">
        <v>62.104460000000003</v>
      </c>
      <c r="M3887">
        <v>-2.7652150000000001E-4</v>
      </c>
      <c r="N3887">
        <v>0</v>
      </c>
      <c r="O3887">
        <v>-0.99994879999999997</v>
      </c>
      <c r="P3887">
        <v>0.1756934</v>
      </c>
      <c r="Q3887">
        <v>0.1187773</v>
      </c>
      <c r="R3887">
        <v>-0.97725329999999999</v>
      </c>
      <c r="S3887">
        <v>1.3698429999999999</v>
      </c>
      <c r="T3887">
        <v>-3.1460170000000003E-2</v>
      </c>
      <c r="U3887">
        <v>-2.82782</v>
      </c>
      <c r="V3887">
        <v>-0.17591129999999999</v>
      </c>
      <c r="W3887">
        <v>0.128721</v>
      </c>
      <c r="X3887">
        <v>0.97595390000000004</v>
      </c>
      <c r="Y3887">
        <v>-0.43618570000000001</v>
      </c>
      <c r="Z3887">
        <v>1.00112E-2</v>
      </c>
      <c r="AA3887">
        <v>0.89980099999999996</v>
      </c>
      <c r="AB3887">
        <v>25</v>
      </c>
      <c r="AC3887">
        <v>29.7911</v>
      </c>
      <c r="AD3887">
        <v>-0.68415340000000002</v>
      </c>
      <c r="AE3887">
        <v>-61.343982899999901</v>
      </c>
      <c r="AF3887">
        <v>-29.8050628844932</v>
      </c>
      <c r="AG3887">
        <v>-0.68415340000000002</v>
      </c>
      <c r="AH3887">
        <v>61.329569648384201</v>
      </c>
      <c r="AI3887">
        <v>90.574845386064396</v>
      </c>
      <c r="AJ3887">
        <v>115.918914578167</v>
      </c>
      <c r="AK3887">
        <v>68.191832008528195</v>
      </c>
      <c r="AL3887">
        <v>82.604309559162203</v>
      </c>
      <c r="AM3887">
        <v>100.217597887655</v>
      </c>
      <c r="AN3887">
        <v>0.99999994811694803</v>
      </c>
    </row>
    <row r="3888" spans="1:40" x14ac:dyDescent="0.3">
      <c r="A3888" t="str">
        <f>"20200111150107207"</f>
        <v>20200111150107207</v>
      </c>
      <c r="B3888" t="str">
        <f>"1578726067201369"</f>
        <v>1578726067201369</v>
      </c>
      <c r="C3888" t="s">
        <v>40</v>
      </c>
      <c r="D3888">
        <v>4.5116420000000002</v>
      </c>
      <c r="E3888">
        <v>0.3944086</v>
      </c>
      <c r="F3888" t="s">
        <v>85</v>
      </c>
      <c r="G3888">
        <v>-392.39139999999998</v>
      </c>
      <c r="H3888">
        <v>0.26520090000000002</v>
      </c>
      <c r="I3888">
        <v>0.75816729999999999</v>
      </c>
      <c r="J3888">
        <v>-421.95580000000001</v>
      </c>
      <c r="K3888">
        <v>1.104508</v>
      </c>
      <c r="L3888">
        <v>61.924219999999998</v>
      </c>
      <c r="M3888">
        <v>-4.3367850000000001E-4</v>
      </c>
      <c r="N3888">
        <v>0</v>
      </c>
      <c r="O3888">
        <v>-0.99994879999999997</v>
      </c>
      <c r="P3888">
        <v>0.17539669999999999</v>
      </c>
      <c r="Q3888">
        <v>0.1182309</v>
      </c>
      <c r="R3888">
        <v>-0.97737289999999999</v>
      </c>
      <c r="S3888">
        <v>1.363556</v>
      </c>
      <c r="T3888">
        <v>-3.8711669999999997E-2</v>
      </c>
      <c r="U3888">
        <v>-2.8294069999999998</v>
      </c>
      <c r="V3888">
        <v>-0.17576820000000001</v>
      </c>
      <c r="W3888">
        <v>0.128183399999999</v>
      </c>
      <c r="X3888">
        <v>0.97605050000000004</v>
      </c>
      <c r="Y3888">
        <v>-0.4344961</v>
      </c>
      <c r="Z3888">
        <v>1.232313E-2</v>
      </c>
      <c r="AA3888">
        <v>0.90058939999999998</v>
      </c>
      <c r="AB3888">
        <v>25</v>
      </c>
      <c r="AC3888">
        <v>29.564399999999999</v>
      </c>
      <c r="AD3888">
        <v>-0.83930709999999997</v>
      </c>
      <c r="AE3888">
        <v>-61.166052700000002</v>
      </c>
      <c r="AF3888">
        <v>-29.586409222173199</v>
      </c>
      <c r="AG3888">
        <v>-0.83930709999999997</v>
      </c>
      <c r="AH3888">
        <v>61.143892493596503</v>
      </c>
      <c r="AI3888">
        <v>90.707922753962194</v>
      </c>
      <c r="AJ3888">
        <v>115.821489148089</v>
      </c>
      <c r="AK3888">
        <v>67.931109488499402</v>
      </c>
      <c r="AL3888">
        <v>82.635369546917005</v>
      </c>
      <c r="AM3888">
        <v>100.20847180607601</v>
      </c>
      <c r="AN3888">
        <v>1.0000000113585199</v>
      </c>
    </row>
    <row r="3889" spans="1:40" x14ac:dyDescent="0.3">
      <c r="A3889" t="str">
        <f>"20200111150107220"</f>
        <v>20200111150107220</v>
      </c>
      <c r="B3889" t="str">
        <f>"1578726067211129"</f>
        <v>1578726067211129</v>
      </c>
      <c r="C3889" t="s">
        <v>40</v>
      </c>
      <c r="D3889">
        <v>4.541938</v>
      </c>
      <c r="E3889">
        <v>0.39455240000000003</v>
      </c>
      <c r="F3889" t="s">
        <v>85</v>
      </c>
      <c r="G3889">
        <v>-392.68830000000003</v>
      </c>
      <c r="H3889">
        <v>0.1132348</v>
      </c>
      <c r="I3889">
        <v>0.75514599999999998</v>
      </c>
      <c r="J3889">
        <v>-421.95600000000002</v>
      </c>
      <c r="K3889">
        <v>1.1045069999999999</v>
      </c>
      <c r="L3889">
        <v>61.755710000000001</v>
      </c>
      <c r="M3889">
        <v>-5.8061359999999999E-4</v>
      </c>
      <c r="N3889">
        <v>0</v>
      </c>
      <c r="O3889">
        <v>-0.99994859999999997</v>
      </c>
      <c r="P3889">
        <v>0.17521339999999999</v>
      </c>
      <c r="Q3889">
        <v>0.11753</v>
      </c>
      <c r="R3889">
        <v>-0.97749019999999998</v>
      </c>
      <c r="S3889">
        <v>1.3549500000000001</v>
      </c>
      <c r="T3889">
        <v>-4.5892599999999999E-2</v>
      </c>
      <c r="U3889">
        <v>-2.8318479999999999</v>
      </c>
      <c r="V3889">
        <v>-0.1757282</v>
      </c>
      <c r="W3889">
        <v>0.12749099999999999</v>
      </c>
      <c r="X3889">
        <v>0.97614840000000003</v>
      </c>
      <c r="Y3889">
        <v>-0.43208550000000001</v>
      </c>
      <c r="Z3889">
        <v>1.461521E-2</v>
      </c>
      <c r="AA3889">
        <v>0.90171420000000002</v>
      </c>
      <c r="AB3889">
        <v>25</v>
      </c>
      <c r="AC3889">
        <v>29.267699999999898</v>
      </c>
      <c r="AD3889">
        <v>-0.99127220000000005</v>
      </c>
      <c r="AE3889">
        <v>-61.000563999999997</v>
      </c>
      <c r="AF3889">
        <v>-29.2968259184643</v>
      </c>
      <c r="AG3889">
        <v>-0.99127220000000005</v>
      </c>
      <c r="AH3889">
        <v>60.9704719856705</v>
      </c>
      <c r="AI3889">
        <v>90.839567436782801</v>
      </c>
      <c r="AJ3889">
        <v>115.664677194521</v>
      </c>
      <c r="AK3889">
        <v>67.651201642149204</v>
      </c>
      <c r="AL3889">
        <v>82.675369452549702</v>
      </c>
      <c r="AM3889">
        <v>100.205195389506</v>
      </c>
      <c r="AN3889">
        <v>1.0000000270893901</v>
      </c>
    </row>
    <row r="3890" spans="1:40" x14ac:dyDescent="0.3">
      <c r="A3890" t="str">
        <f>"20200111150107234"</f>
        <v>20200111150107234</v>
      </c>
      <c r="B3890" t="str">
        <f>"1578726067231625"</f>
        <v>1578726067231625</v>
      </c>
      <c r="C3890" t="s">
        <v>40</v>
      </c>
      <c r="D3890">
        <v>4.5290299999999997</v>
      </c>
      <c r="E3890">
        <v>0.39536860000000001</v>
      </c>
      <c r="F3890" t="s">
        <v>43</v>
      </c>
      <c r="G3890">
        <v>-389.15269999999998</v>
      </c>
      <c r="H3890">
        <v>-0.05</v>
      </c>
      <c r="I3890">
        <v>-6.8963619999999999</v>
      </c>
      <c r="J3890">
        <v>-421.95620000000002</v>
      </c>
      <c r="K3890">
        <v>1.1045039999999999</v>
      </c>
      <c r="L3890">
        <v>61.595860000000002</v>
      </c>
      <c r="M3890">
        <v>-7.1994099999999998E-4</v>
      </c>
      <c r="N3890">
        <v>0</v>
      </c>
      <c r="O3890">
        <v>-0.99994859999999997</v>
      </c>
      <c r="P3890">
        <v>0.17479220000000001</v>
      </c>
      <c r="Q3890">
        <v>0.117363</v>
      </c>
      <c r="R3890">
        <v>-0.97758579999999995</v>
      </c>
      <c r="S3890">
        <v>1.353302</v>
      </c>
      <c r="T3890">
        <v>-4.7629240000000003E-2</v>
      </c>
      <c r="U3890">
        <v>-2.8322449999999999</v>
      </c>
      <c r="V3890">
        <v>-0.17544319999999999</v>
      </c>
      <c r="W3890">
        <v>0.12733119999999901</v>
      </c>
      <c r="X3890">
        <v>0.97622050000000005</v>
      </c>
      <c r="Y3890">
        <v>-0.43173129999999998</v>
      </c>
      <c r="Z3890">
        <v>1.516937E-2</v>
      </c>
      <c r="AA3890">
        <v>0.90187470000000003</v>
      </c>
      <c r="AB3890">
        <v>26</v>
      </c>
      <c r="AC3890">
        <v>32.8035</v>
      </c>
      <c r="AD3890">
        <v>-1.154504</v>
      </c>
      <c r="AE3890">
        <v>-68.492221999999998</v>
      </c>
      <c r="AF3890">
        <v>-32.845213467771401</v>
      </c>
      <c r="AG3890">
        <v>-1.154504</v>
      </c>
      <c r="AH3890">
        <v>68.452766225178493</v>
      </c>
      <c r="AI3890">
        <v>90.871165005511699</v>
      </c>
      <c r="AJ3890">
        <v>115.632764170999</v>
      </c>
      <c r="AK3890">
        <v>75.933669285162395</v>
      </c>
      <c r="AL3890">
        <v>82.684600409278005</v>
      </c>
      <c r="AM3890">
        <v>100.188254625341</v>
      </c>
      <c r="AN3890">
        <v>1.00000000776996</v>
      </c>
    </row>
    <row r="3891" spans="1:40" x14ac:dyDescent="0.3">
      <c r="A3891" t="str">
        <f>"20200111150107248"</f>
        <v>20200111150107248</v>
      </c>
      <c r="B3891" t="str">
        <f>"1578726067241385"</f>
        <v>1578726067241385</v>
      </c>
      <c r="C3891" t="s">
        <v>40</v>
      </c>
      <c r="D3891">
        <v>4.5060520000000004</v>
      </c>
      <c r="E3891">
        <v>0.39565729999999999</v>
      </c>
      <c r="F3891" t="s">
        <v>61</v>
      </c>
      <c r="G3891">
        <v>-408.31920000000002</v>
      </c>
      <c r="H3891">
        <v>0.59933029999999998</v>
      </c>
      <c r="I3891">
        <v>32.869399999999999</v>
      </c>
      <c r="J3891">
        <v>-421.95650000000001</v>
      </c>
      <c r="K3891">
        <v>1.1044929999999999</v>
      </c>
      <c r="L3891">
        <v>61.454500000000003</v>
      </c>
      <c r="M3891">
        <v>-8.4293699999999998E-4</v>
      </c>
      <c r="N3891">
        <v>0</v>
      </c>
      <c r="O3891">
        <v>-0.99994859999999997</v>
      </c>
      <c r="P3891">
        <v>0.17382829999999999</v>
      </c>
      <c r="Q3891">
        <v>0.1166973</v>
      </c>
      <c r="R3891">
        <v>-0.97783759999999997</v>
      </c>
      <c r="S3891">
        <v>1.345459</v>
      </c>
      <c r="T3891">
        <v>-4.9841280000000002E-2</v>
      </c>
      <c r="U3891">
        <v>-2.8341980000000002</v>
      </c>
      <c r="V3891">
        <v>-0.17460010000000001</v>
      </c>
      <c r="W3891">
        <v>0.1266728</v>
      </c>
      <c r="X3891">
        <v>0.97645729999999997</v>
      </c>
      <c r="Y3891">
        <v>-0.42955989999999999</v>
      </c>
      <c r="Z3891">
        <v>1.588142E-2</v>
      </c>
      <c r="AA3891">
        <v>0.90289870000000005</v>
      </c>
      <c r="AB3891">
        <v>26</v>
      </c>
      <c r="AC3891">
        <v>13.6372999999999</v>
      </c>
      <c r="AD3891">
        <v>-0.50516269999999897</v>
      </c>
      <c r="AE3891">
        <v>-28.585100000000001</v>
      </c>
      <c r="AF3891">
        <v>-13.657917183370101</v>
      </c>
      <c r="AG3891">
        <v>-0.50516269999999897</v>
      </c>
      <c r="AH3891">
        <v>28.566326461472102</v>
      </c>
      <c r="AI3891">
        <v>90.914026755747699</v>
      </c>
      <c r="AJ3891">
        <v>115.55304536504499</v>
      </c>
      <c r="AK3891">
        <v>31.667473827962102</v>
      </c>
      <c r="AL3891">
        <v>82.722632045551904</v>
      </c>
      <c r="AM3891">
        <v>100.13790476885799</v>
      </c>
      <c r="AN3891">
        <v>1.00000002595156</v>
      </c>
    </row>
    <row r="3892" spans="1:40" x14ac:dyDescent="0.3">
      <c r="A3892" t="str">
        <f>"20200111150107263"</f>
        <v>20200111150107263</v>
      </c>
      <c r="B3892" t="str">
        <f>"1578726067252122"</f>
        <v>1578726067252122</v>
      </c>
      <c r="C3892" t="s">
        <v>40</v>
      </c>
      <c r="D3892">
        <v>4.490691</v>
      </c>
      <c r="E3892">
        <v>0.39594970000000002</v>
      </c>
      <c r="F3892" t="s">
        <v>61</v>
      </c>
      <c r="G3892">
        <v>-408.44720000000001</v>
      </c>
      <c r="H3892">
        <v>0.57940349999999996</v>
      </c>
      <c r="I3892">
        <v>32.873860000000001</v>
      </c>
      <c r="J3892">
        <v>-421.95679999999999</v>
      </c>
      <c r="K3892">
        <v>1.1044909999999999</v>
      </c>
      <c r="L3892">
        <v>61.28</v>
      </c>
      <c r="M3892">
        <v>-9.9447170000000005E-4</v>
      </c>
      <c r="N3892">
        <v>0</v>
      </c>
      <c r="O3892">
        <v>-0.99994830000000001</v>
      </c>
      <c r="P3892">
        <v>0.17347190000000001</v>
      </c>
      <c r="Q3892">
        <v>0.1165394</v>
      </c>
      <c r="R3892">
        <v>-0.97791950000000005</v>
      </c>
      <c r="S3892">
        <v>1.340454</v>
      </c>
      <c r="T3892">
        <v>-5.2101849999999998E-2</v>
      </c>
      <c r="U3892">
        <v>-2.8359070000000002</v>
      </c>
      <c r="V3892">
        <v>-0.17439209999999999</v>
      </c>
      <c r="W3892">
        <v>0.1265223</v>
      </c>
      <c r="X3892">
        <v>0.97651399999999999</v>
      </c>
      <c r="Y3892">
        <v>-0.42817880000000003</v>
      </c>
      <c r="Z3892">
        <v>1.660414E-2</v>
      </c>
      <c r="AA3892">
        <v>0.9035415</v>
      </c>
      <c r="AB3892">
        <v>26</v>
      </c>
      <c r="AC3892">
        <v>13.509599999999899</v>
      </c>
      <c r="AD3892">
        <v>-0.52508749999999904</v>
      </c>
      <c r="AE3892">
        <v>-28.406140000000001</v>
      </c>
      <c r="AF3892">
        <v>-13.5340723861529</v>
      </c>
      <c r="AG3892">
        <v>-0.52508749999999904</v>
      </c>
      <c r="AH3892">
        <v>28.384780484505399</v>
      </c>
      <c r="AI3892">
        <v>90.956632295194495</v>
      </c>
      <c r="AJ3892">
        <v>115.492149987679</v>
      </c>
      <c r="AK3892">
        <v>31.450637440119401</v>
      </c>
      <c r="AL3892">
        <v>82.731325138314006</v>
      </c>
      <c r="AM3892">
        <v>100.12550181850899</v>
      </c>
      <c r="AN3892">
        <v>1.0000000445678401</v>
      </c>
    </row>
    <row r="3893" spans="1:40" x14ac:dyDescent="0.3">
      <c r="A3893" t="str">
        <f>"20200111150107281"</f>
        <v>20200111150107281</v>
      </c>
      <c r="B3893" t="str">
        <f>"1578726067271641"</f>
        <v>1578726067271641</v>
      </c>
      <c r="C3893" t="s">
        <v>40</v>
      </c>
      <c r="D3893">
        <v>4.5400269999999896</v>
      </c>
      <c r="E3893">
        <v>0.39605360000000001</v>
      </c>
      <c r="F3893" t="s">
        <v>61</v>
      </c>
      <c r="G3893">
        <v>-408.56970000000001</v>
      </c>
      <c r="H3893">
        <v>0.56247440000000004</v>
      </c>
      <c r="I3893">
        <v>32.87764</v>
      </c>
      <c r="J3893">
        <v>-421.9572</v>
      </c>
      <c r="K3893">
        <v>1.1044889999999901</v>
      </c>
      <c r="L3893">
        <v>61.077509999999997</v>
      </c>
      <c r="M3893">
        <v>-1.1697750000000001E-3</v>
      </c>
      <c r="N3893">
        <v>0</v>
      </c>
      <c r="O3893">
        <v>-0.99994780000000005</v>
      </c>
      <c r="P3893">
        <v>0.17344209999999999</v>
      </c>
      <c r="Q3893">
        <v>0.1164616</v>
      </c>
      <c r="R3893">
        <v>-0.97793399999999997</v>
      </c>
      <c r="S3893">
        <v>1.337189</v>
      </c>
      <c r="T3893">
        <v>-5.4140090000000002E-2</v>
      </c>
      <c r="U3893">
        <v>-2.8370060000000001</v>
      </c>
      <c r="V3893">
        <v>-0.17453379999999999</v>
      </c>
      <c r="W3893">
        <v>0.12645139999999999</v>
      </c>
      <c r="X3893">
        <v>0.97649779999999997</v>
      </c>
      <c r="Y3893">
        <v>-0.42734670000000002</v>
      </c>
      <c r="Z3893">
        <v>1.7255030000000001E-2</v>
      </c>
      <c r="AA3893">
        <v>0.90392320000000004</v>
      </c>
      <c r="AB3893">
        <v>26</v>
      </c>
      <c r="AC3893">
        <v>13.3874999999999</v>
      </c>
      <c r="AD3893">
        <v>-0.54201459999999901</v>
      </c>
      <c r="AE3893">
        <v>-28.199870000000001</v>
      </c>
      <c r="AF3893">
        <v>-13.4164352511175</v>
      </c>
      <c r="AG3893">
        <v>-0.54201459999999901</v>
      </c>
      <c r="AH3893">
        <v>28.175695117706599</v>
      </c>
      <c r="AI3893">
        <v>90.995037254357001</v>
      </c>
      <c r="AJ3893">
        <v>115.462412760093</v>
      </c>
      <c r="AK3893">
        <v>31.211605374283401</v>
      </c>
      <c r="AL3893">
        <v>82.735419818659594</v>
      </c>
      <c r="AM3893">
        <v>100.133723356945</v>
      </c>
      <c r="AN3893">
        <v>0.99999997865461898</v>
      </c>
    </row>
    <row r="3894" spans="1:40" x14ac:dyDescent="0.3">
      <c r="A3894" t="str">
        <f>"20200111150107302"</f>
        <v>20200111150107302</v>
      </c>
      <c r="B3894" t="str">
        <f>"1578726067292137"</f>
        <v>1578726067292137</v>
      </c>
      <c r="C3894" t="s">
        <v>40</v>
      </c>
      <c r="D3894">
        <v>4.7823560000000001</v>
      </c>
      <c r="E3894">
        <v>0.39683380000000001</v>
      </c>
      <c r="F3894" t="s">
        <v>61</v>
      </c>
      <c r="G3894">
        <v>-408.67439999999999</v>
      </c>
      <c r="H3894">
        <v>0.57144030000000001</v>
      </c>
      <c r="I3894">
        <v>32.875639999999997</v>
      </c>
      <c r="J3894">
        <v>-421.95769999999999</v>
      </c>
      <c r="K3894">
        <v>1.1044879999999999</v>
      </c>
      <c r="L3894">
        <v>60.825319999999998</v>
      </c>
      <c r="M3894">
        <v>-1.38634E-3</v>
      </c>
      <c r="N3894">
        <v>0</v>
      </c>
      <c r="O3894">
        <v>-0.99994740000000004</v>
      </c>
      <c r="P3894">
        <v>0.17351829999999999</v>
      </c>
      <c r="Q3894">
        <v>0.11652510000000001</v>
      </c>
      <c r="R3894">
        <v>-0.97791269999999997</v>
      </c>
      <c r="S3894">
        <v>1.3362430000000001</v>
      </c>
      <c r="T3894">
        <v>-5.362451E-2</v>
      </c>
      <c r="U3894">
        <v>-2.837097</v>
      </c>
      <c r="V3894">
        <v>-0.174821799999999</v>
      </c>
      <c r="W3894">
        <v>0.1265223</v>
      </c>
      <c r="X3894">
        <v>0.97643709999999995</v>
      </c>
      <c r="Y3894">
        <v>-0.42728579999999999</v>
      </c>
      <c r="Z3894">
        <v>1.709167E-2</v>
      </c>
      <c r="AA3894">
        <v>0.90395499999999995</v>
      </c>
      <c r="AB3894">
        <v>26</v>
      </c>
      <c r="AC3894">
        <v>13.283299999999899</v>
      </c>
      <c r="AD3894">
        <v>-0.53304769999999901</v>
      </c>
      <c r="AE3894">
        <v>-27.949679999999901</v>
      </c>
      <c r="AF3894">
        <v>-13.3180853676508</v>
      </c>
      <c r="AG3894">
        <v>-0.53304769999999901</v>
      </c>
      <c r="AH3894">
        <v>27.922951961673199</v>
      </c>
      <c r="AI3894">
        <v>90.987132726257201</v>
      </c>
      <c r="AJ3894">
        <v>115.499198421033</v>
      </c>
      <c r="AK3894">
        <v>30.941021055621601</v>
      </c>
      <c r="AL3894">
        <v>82.731324682567305</v>
      </c>
      <c r="AM3894">
        <v>100.15071558869199</v>
      </c>
      <c r="AN3894">
        <v>0.99999998220446895</v>
      </c>
    </row>
    <row r="3895" spans="1:40" x14ac:dyDescent="0.3">
      <c r="A3895" t="str">
        <f>"20200111150107325"</f>
        <v>20200111150107325</v>
      </c>
      <c r="B3895" t="str">
        <f>"1578726067321417"</f>
        <v>1578726067321417</v>
      </c>
      <c r="C3895" t="s">
        <v>40</v>
      </c>
      <c r="D3895">
        <v>4.4058809999999999</v>
      </c>
      <c r="E3895">
        <v>0.3980745</v>
      </c>
      <c r="F3895" t="s">
        <v>61</v>
      </c>
      <c r="G3895">
        <v>-408.75990000000002</v>
      </c>
      <c r="H3895">
        <v>0.58007280000000006</v>
      </c>
      <c r="I3895">
        <v>32.674880000000002</v>
      </c>
      <c r="J3895">
        <v>-421.95830000000001</v>
      </c>
      <c r="K3895">
        <v>1.1044940000000001</v>
      </c>
      <c r="L3895">
        <v>60.571379999999998</v>
      </c>
      <c r="M3895">
        <v>-1.6022160000000001E-3</v>
      </c>
      <c r="N3895">
        <v>0</v>
      </c>
      <c r="O3895">
        <v>-0.99994740000000004</v>
      </c>
      <c r="P3895">
        <v>0.1729764</v>
      </c>
      <c r="Q3895">
        <v>0.1165089</v>
      </c>
      <c r="R3895">
        <v>-0.97801110000000002</v>
      </c>
      <c r="S3895">
        <v>1.3305359999999999</v>
      </c>
      <c r="T3895">
        <v>-5.286884E-2</v>
      </c>
      <c r="U3895">
        <v>-2.8379819999999998</v>
      </c>
      <c r="V3895">
        <v>-0.17449149999999999</v>
      </c>
      <c r="W3895">
        <v>0.1265134</v>
      </c>
      <c r="X3895">
        <v>0.97649739999999996</v>
      </c>
      <c r="Y3895">
        <v>-0.4258845</v>
      </c>
      <c r="Z3895">
        <v>1.6858830000000002E-2</v>
      </c>
      <c r="AA3895">
        <v>0.90462050000000005</v>
      </c>
      <c r="AB3895">
        <v>26</v>
      </c>
      <c r="AC3895">
        <v>13.1983999999999</v>
      </c>
      <c r="AD3895">
        <v>-0.52442119999999903</v>
      </c>
      <c r="AE3895">
        <v>-27.8965</v>
      </c>
      <c r="AF3895">
        <v>-13.2392586158965</v>
      </c>
      <c r="AG3895">
        <v>-0.52442119999999903</v>
      </c>
      <c r="AH3895">
        <v>27.8672694943556</v>
      </c>
      <c r="AI3895">
        <v>90.973809264615298</v>
      </c>
      <c r="AJ3895">
        <v>115.411585711038</v>
      </c>
      <c r="AK3895">
        <v>30.8567285266057</v>
      </c>
      <c r="AL3895">
        <v>82.731839227230296</v>
      </c>
      <c r="AM3895">
        <v>100.131322294036</v>
      </c>
      <c r="AN3895">
        <v>1.0000000480792799</v>
      </c>
    </row>
    <row r="3896" spans="1:40" x14ac:dyDescent="0.3">
      <c r="A3896" t="str">
        <f>"20200111150107341"</f>
        <v>20200111150107341</v>
      </c>
      <c r="B3896" t="str">
        <f>"1578726067332153"</f>
        <v>1578726067332153</v>
      </c>
      <c r="C3896" t="s">
        <v>40</v>
      </c>
      <c r="D3896">
        <v>4.4125180000000004</v>
      </c>
      <c r="E3896">
        <v>0.39811740000000001</v>
      </c>
      <c r="F3896" t="s">
        <v>43</v>
      </c>
      <c r="G3896">
        <v>-392.55549999999999</v>
      </c>
      <c r="H3896">
        <v>-0.05</v>
      </c>
      <c r="I3896">
        <v>-2.6972960000000001</v>
      </c>
      <c r="J3896">
        <v>-421.9588</v>
      </c>
      <c r="K3896">
        <v>1.1044959999999999</v>
      </c>
      <c r="L3896">
        <v>60.381469999999901</v>
      </c>
      <c r="M3896">
        <v>-1.7614729999999999E-3</v>
      </c>
      <c r="N3896">
        <v>0</v>
      </c>
      <c r="O3896">
        <v>-0.99994689999999997</v>
      </c>
      <c r="P3896">
        <v>0.17288510000000001</v>
      </c>
      <c r="Q3896">
        <v>0.11654589999999899</v>
      </c>
      <c r="R3896">
        <v>-0.97802259999999996</v>
      </c>
      <c r="S3896">
        <v>1.3199160000000001</v>
      </c>
      <c r="T3896">
        <v>-5.1826120000000003E-2</v>
      </c>
      <c r="U3896">
        <v>-2.840179</v>
      </c>
      <c r="V3896">
        <v>-0.17455660000000001</v>
      </c>
      <c r="W3896">
        <v>0.12655449999999999</v>
      </c>
      <c r="X3896">
        <v>0.97648040000000003</v>
      </c>
      <c r="Y3896">
        <v>-0.42298170000000002</v>
      </c>
      <c r="Z3896">
        <v>1.6539060000000001E-2</v>
      </c>
      <c r="AA3896">
        <v>0.90598730000000005</v>
      </c>
      <c r="AB3896">
        <v>26</v>
      </c>
      <c r="AC3896">
        <v>29.403300000000002</v>
      </c>
      <c r="AD3896">
        <v>-1.154496</v>
      </c>
      <c r="AE3896">
        <v>-63.078766000000002</v>
      </c>
      <c r="AF3896">
        <v>-29.5062519317908</v>
      </c>
      <c r="AG3896">
        <v>-1.154496</v>
      </c>
      <c r="AH3896">
        <v>63.0095329758472</v>
      </c>
      <c r="AI3896">
        <v>90.950639239494095</v>
      </c>
      <c r="AJ3896">
        <v>115.092863234617</v>
      </c>
      <c r="AK3896">
        <v>69.585580474051596</v>
      </c>
      <c r="AL3896">
        <v>82.729465010153504</v>
      </c>
      <c r="AM3896">
        <v>100.135196575571</v>
      </c>
      <c r="AN3896">
        <v>1.0000000098289801</v>
      </c>
    </row>
    <row r="3897" spans="1:40" x14ac:dyDescent="0.3">
      <c r="A3897" t="str">
        <f>"20200111150107359"</f>
        <v>20200111150107359</v>
      </c>
      <c r="B3897" t="str">
        <f>"1578726067351673"</f>
        <v>1578726067351673</v>
      </c>
      <c r="C3897" t="s">
        <v>40</v>
      </c>
      <c r="D3897">
        <v>4.3974440000000001</v>
      </c>
      <c r="E3897">
        <v>0.3980361</v>
      </c>
      <c r="F3897" t="s">
        <v>42</v>
      </c>
      <c r="G3897">
        <v>-396.55130000000003</v>
      </c>
      <c r="H3897">
        <v>7.9986399999999902E-2</v>
      </c>
      <c r="I3897">
        <v>5.6717550000000001</v>
      </c>
      <c r="J3897">
        <v>-421.95940000000002</v>
      </c>
      <c r="K3897">
        <v>1.104501</v>
      </c>
      <c r="L3897">
        <v>60.172359999999998</v>
      </c>
      <c r="M3897">
        <v>-1.9329320000000001E-3</v>
      </c>
      <c r="N3897">
        <v>0</v>
      </c>
      <c r="O3897">
        <v>-0.99994669999999997</v>
      </c>
      <c r="P3897">
        <v>0.17192299999999999</v>
      </c>
      <c r="Q3897">
        <v>0.11675720000000001</v>
      </c>
      <c r="R3897">
        <v>-0.97816689999999995</v>
      </c>
      <c r="S3897">
        <v>1.319183</v>
      </c>
      <c r="T3897">
        <v>-5.3193450000000003E-2</v>
      </c>
      <c r="U3897">
        <v>-2.840576</v>
      </c>
      <c r="V3897">
        <v>-0.17376340000000001</v>
      </c>
      <c r="W3897">
        <v>0.1267711</v>
      </c>
      <c r="X3897">
        <v>0.97659370000000001</v>
      </c>
      <c r="Y3897">
        <v>-0.42289349999999998</v>
      </c>
      <c r="Z3897">
        <v>1.6974360000000001E-2</v>
      </c>
      <c r="AA3897">
        <v>0.90602039999999995</v>
      </c>
      <c r="AB3897">
        <v>26</v>
      </c>
      <c r="AC3897">
        <v>25.408099999999902</v>
      </c>
      <c r="AD3897">
        <v>-1.0245146000000001</v>
      </c>
      <c r="AE3897">
        <v>-54.500605</v>
      </c>
      <c r="AF3897">
        <v>-25.505999957065399</v>
      </c>
      <c r="AG3897">
        <v>-1.0245146000000001</v>
      </c>
      <c r="AH3897">
        <v>54.435586802663003</v>
      </c>
      <c r="AI3897">
        <v>90.976376544549296</v>
      </c>
      <c r="AJ3897">
        <v>115.105616892451</v>
      </c>
      <c r="AK3897">
        <v>60.123529291997599</v>
      </c>
      <c r="AL3897">
        <v>82.716953488577403</v>
      </c>
      <c r="AM3897">
        <v>100.08894323356699</v>
      </c>
      <c r="AN3897">
        <v>0.99999994292722805</v>
      </c>
    </row>
    <row r="3898" spans="1:40" x14ac:dyDescent="0.3">
      <c r="A3898" t="str">
        <f>"20200111150107381"</f>
        <v>20200111150107381</v>
      </c>
      <c r="B3898" t="str">
        <f>"1578726067372169"</f>
        <v>1578726067372169</v>
      </c>
      <c r="C3898" t="s">
        <v>40</v>
      </c>
      <c r="D3898">
        <v>4.4856299999999996</v>
      </c>
      <c r="E3898">
        <v>0.39777210000000002</v>
      </c>
      <c r="F3898" t="s">
        <v>42</v>
      </c>
      <c r="G3898">
        <v>-397.17910000000001</v>
      </c>
      <c r="H3898">
        <v>7.9986180000000004E-2</v>
      </c>
      <c r="I3898">
        <v>6.7030079999999996</v>
      </c>
      <c r="J3898">
        <v>-421.96010000000001</v>
      </c>
      <c r="K3898">
        <v>1.1044969999999901</v>
      </c>
      <c r="L3898">
        <v>59.923250000000003</v>
      </c>
      <c r="M3898">
        <v>-2.1284960000000001E-3</v>
      </c>
      <c r="N3898">
        <v>0</v>
      </c>
      <c r="O3898">
        <v>-0.99994590000000005</v>
      </c>
      <c r="P3898">
        <v>0.17113490000000001</v>
      </c>
      <c r="Q3898">
        <v>0.11679100000000001</v>
      </c>
      <c r="R3898">
        <v>-0.97830090000000003</v>
      </c>
      <c r="S3898">
        <v>1.3171079999999999</v>
      </c>
      <c r="T3898">
        <v>-5.4454570000000001E-2</v>
      </c>
      <c r="U3898">
        <v>-2.84198</v>
      </c>
      <c r="V3898">
        <v>-0.1731684</v>
      </c>
      <c r="W3898">
        <v>0.12680949999999999</v>
      </c>
      <c r="X3898">
        <v>0.97669450000000002</v>
      </c>
      <c r="Y3898">
        <v>-0.42235240000000002</v>
      </c>
      <c r="Z3898">
        <v>1.7373710000000001E-2</v>
      </c>
      <c r="AA3898">
        <v>0.90626519999999999</v>
      </c>
      <c r="AB3898">
        <v>26</v>
      </c>
      <c r="AC3898">
        <v>24.780999999999999</v>
      </c>
      <c r="AD3898">
        <v>-1.0245108199999999</v>
      </c>
      <c r="AE3898">
        <v>-53.220241999999999</v>
      </c>
      <c r="AF3898">
        <v>-24.886649622947001</v>
      </c>
      <c r="AG3898">
        <v>-1.0245108199999999</v>
      </c>
      <c r="AH3898">
        <v>53.151185347409999</v>
      </c>
      <c r="AI3898">
        <v>91.000089048219905</v>
      </c>
      <c r="AJ3898">
        <v>115.09011170716499</v>
      </c>
      <c r="AK3898">
        <v>58.697899925894703</v>
      </c>
      <c r="AL3898">
        <v>82.714736178818796</v>
      </c>
      <c r="AM3898">
        <v>100.05408627769199</v>
      </c>
      <c r="AN3898">
        <v>1.0000000451895199</v>
      </c>
    </row>
    <row r="3899" spans="1:40" x14ac:dyDescent="0.3">
      <c r="A3899" t="str">
        <f>"20200111150107403"</f>
        <v>20200111150107403</v>
      </c>
      <c r="B3899" t="str">
        <f>"1578726067391688"</f>
        <v>1578726067391688</v>
      </c>
      <c r="C3899" t="s">
        <v>40</v>
      </c>
      <c r="D3899">
        <v>4.4741749999999998</v>
      </c>
      <c r="E3899">
        <v>0.39798790000000001</v>
      </c>
      <c r="F3899" t="s">
        <v>42</v>
      </c>
      <c r="G3899">
        <v>-396.63780000000003</v>
      </c>
      <c r="H3899">
        <v>7.9986390000000004E-2</v>
      </c>
      <c r="I3899">
        <v>5.2767559999999998</v>
      </c>
      <c r="J3899">
        <v>-421.96080000000001</v>
      </c>
      <c r="K3899">
        <v>1.104501</v>
      </c>
      <c r="L3899">
        <v>59.669919999999998</v>
      </c>
      <c r="M3899">
        <v>-2.3134589999999999E-3</v>
      </c>
      <c r="N3899">
        <v>0</v>
      </c>
      <c r="O3899">
        <v>-0.99994550000000004</v>
      </c>
      <c r="P3899">
        <v>0.17123669999999999</v>
      </c>
      <c r="Q3899">
        <v>0.11654109999999999</v>
      </c>
      <c r="R3899">
        <v>-0.97831290000000004</v>
      </c>
      <c r="S3899">
        <v>1.317169</v>
      </c>
      <c r="T3899">
        <v>-5.3291079999999998E-2</v>
      </c>
      <c r="U3899">
        <v>-2.8424990000000001</v>
      </c>
      <c r="V3899">
        <v>-0.17345379999999999</v>
      </c>
      <c r="W3899">
        <v>0.1265616</v>
      </c>
      <c r="X3899">
        <v>0.97667599999999999</v>
      </c>
      <c r="Y3899">
        <v>-0.42247560000000001</v>
      </c>
      <c r="Z3899">
        <v>1.6999199999999999E-2</v>
      </c>
      <c r="AA3899">
        <v>0.90621490000000005</v>
      </c>
      <c r="AB3899">
        <v>26</v>
      </c>
      <c r="AC3899">
        <v>25.322999999999901</v>
      </c>
      <c r="AD3899">
        <v>-1.02451461</v>
      </c>
      <c r="AE3899">
        <v>-54.393163999999999</v>
      </c>
      <c r="AF3899">
        <v>-25.441357054901601</v>
      </c>
      <c r="AG3899">
        <v>-1.02451461</v>
      </c>
      <c r="AH3899">
        <v>54.318593755203302</v>
      </c>
      <c r="AI3899">
        <v>90.978547076908498</v>
      </c>
      <c r="AJ3899">
        <v>115.09711812181401</v>
      </c>
      <c r="AK3899">
        <v>59.990181751049199</v>
      </c>
      <c r="AL3899">
        <v>82.729055090422307</v>
      </c>
      <c r="AM3899">
        <v>100.070504448402</v>
      </c>
      <c r="AN3899">
        <v>1.0000000341524899</v>
      </c>
    </row>
    <row r="3900" spans="1:40" x14ac:dyDescent="0.3">
      <c r="A3900" t="str">
        <f>"20200111150107425"</f>
        <v>20200111150107425</v>
      </c>
      <c r="B3900" t="str">
        <f>"1578726067421945"</f>
        <v>1578726067421945</v>
      </c>
      <c r="C3900" t="s">
        <v>40</v>
      </c>
      <c r="D3900">
        <v>4.4659630000000003</v>
      </c>
      <c r="E3900">
        <v>0.39820480000000003</v>
      </c>
      <c r="F3900" t="s">
        <v>42</v>
      </c>
      <c r="G3900">
        <v>-398.79820000000001</v>
      </c>
      <c r="H3900">
        <v>6.9716639999999996E-2</v>
      </c>
      <c r="I3900">
        <v>9.5965950000000007</v>
      </c>
      <c r="J3900">
        <v>-421.96170000000001</v>
      </c>
      <c r="K3900">
        <v>1.104514</v>
      </c>
      <c r="L3900">
        <v>59.410609999999998</v>
      </c>
      <c r="M3900">
        <v>-2.4900669999999999E-3</v>
      </c>
      <c r="N3900">
        <v>0</v>
      </c>
      <c r="O3900">
        <v>-0.99994499999999997</v>
      </c>
      <c r="P3900">
        <v>0.1709154</v>
      </c>
      <c r="Q3900">
        <v>0.1159311</v>
      </c>
      <c r="R3900">
        <v>-0.97844169999999997</v>
      </c>
      <c r="S3900">
        <v>1.3152469999999901</v>
      </c>
      <c r="T3900">
        <v>-5.8758379999999999E-2</v>
      </c>
      <c r="U3900">
        <v>-2.8433229999999998</v>
      </c>
      <c r="V3900">
        <v>-0.1733085</v>
      </c>
      <c r="W3900">
        <v>0.1259537</v>
      </c>
      <c r="X3900">
        <v>0.97678039999999999</v>
      </c>
      <c r="Y3900">
        <v>-0.4220177</v>
      </c>
      <c r="Z3900">
        <v>1.8742249999999998E-2</v>
      </c>
      <c r="AA3900">
        <v>0.90639380000000003</v>
      </c>
      <c r="AB3900">
        <v>26</v>
      </c>
      <c r="AC3900">
        <v>23.163499999999999</v>
      </c>
      <c r="AD3900">
        <v>-1.03479736</v>
      </c>
      <c r="AE3900">
        <v>-49.814014999999998</v>
      </c>
      <c r="AF3900">
        <v>-23.2792151956845</v>
      </c>
      <c r="AG3900">
        <v>-1.03479736</v>
      </c>
      <c r="AH3900">
        <v>49.738531247350998</v>
      </c>
      <c r="AI3900">
        <v>91.079498796178498</v>
      </c>
      <c r="AJ3900">
        <v>115.081089484242</v>
      </c>
      <c r="AK3900">
        <v>54.926443143052303</v>
      </c>
      <c r="AL3900">
        <v>82.764166361173196</v>
      </c>
      <c r="AM3900">
        <v>100.061187478904</v>
      </c>
      <c r="AN3900">
        <v>1.0000000602700401</v>
      </c>
    </row>
    <row r="3901" spans="1:40" x14ac:dyDescent="0.3">
      <c r="A3901" t="str">
        <f>"20200111150107441"</f>
        <v>20200111150107441</v>
      </c>
      <c r="B3901" t="str">
        <f>"1578726067431705"</f>
        <v>1578726067431705</v>
      </c>
      <c r="C3901" t="s">
        <v>40</v>
      </c>
      <c r="D3901">
        <v>4.4629240000000001</v>
      </c>
      <c r="E3901">
        <v>0.39823550000000002</v>
      </c>
      <c r="F3901" t="s">
        <v>42</v>
      </c>
      <c r="G3901">
        <v>-398.97190000000001</v>
      </c>
      <c r="H3901">
        <v>4.0538379999999997E-3</v>
      </c>
      <c r="I3901">
        <v>9.6163240000000005</v>
      </c>
      <c r="J3901">
        <v>-421.9622</v>
      </c>
      <c r="K3901">
        <v>1.1045210000000001</v>
      </c>
      <c r="L3901">
        <v>59.226869999999998</v>
      </c>
      <c r="M3901">
        <v>-2.608506E-3</v>
      </c>
      <c r="N3901">
        <v>0</v>
      </c>
      <c r="O3901">
        <v>-0.99994499999999997</v>
      </c>
      <c r="P3901">
        <v>0.17009739999999901</v>
      </c>
      <c r="Q3901">
        <v>0.115644899999999</v>
      </c>
      <c r="R3901">
        <v>-0.9786184</v>
      </c>
      <c r="S3901">
        <v>1.3131409999999999</v>
      </c>
      <c r="T3901">
        <v>-6.2856670000000003E-2</v>
      </c>
      <c r="U3901">
        <v>-2.8441770000000002</v>
      </c>
      <c r="V3901">
        <v>-0.17260909999999999</v>
      </c>
      <c r="W3901">
        <v>0.12566949999999999</v>
      </c>
      <c r="X3901">
        <v>0.97694080000000005</v>
      </c>
      <c r="Y3901">
        <v>-0.42145759999999999</v>
      </c>
      <c r="Z3901">
        <v>2.0049150000000002E-2</v>
      </c>
      <c r="AA3901">
        <v>0.9066265</v>
      </c>
      <c r="AB3901">
        <v>26</v>
      </c>
      <c r="AC3901">
        <v>22.990299999999898</v>
      </c>
      <c r="AD3901">
        <v>-1.1004671619999999</v>
      </c>
      <c r="AE3901">
        <v>-49.610545999999999</v>
      </c>
      <c r="AF3901">
        <v>-23.110276844116001</v>
      </c>
      <c r="AG3901">
        <v>-1.1004671619999999</v>
      </c>
      <c r="AH3901">
        <v>49.53034108064</v>
      </c>
      <c r="AI3901">
        <v>91.153449932451196</v>
      </c>
      <c r="AJ3901">
        <v>115.01320549935799</v>
      </c>
      <c r="AK3901">
        <v>54.667637696820798</v>
      </c>
      <c r="AL3901">
        <v>82.780579991844206</v>
      </c>
      <c r="AM3901">
        <v>100.01979738848</v>
      </c>
      <c r="AN3901">
        <v>1.0000000256688499</v>
      </c>
    </row>
    <row r="3902" spans="1:40" x14ac:dyDescent="0.3">
      <c r="A3902" t="str">
        <f>"20200111150107457"</f>
        <v>20200111150107457</v>
      </c>
      <c r="B3902" t="str">
        <f>"1578726067452201"</f>
        <v>1578726067452201</v>
      </c>
      <c r="C3902" t="s">
        <v>40</v>
      </c>
      <c r="D3902">
        <v>4.4197509999999998</v>
      </c>
      <c r="E3902">
        <v>0.3983215</v>
      </c>
      <c r="F3902" t="s">
        <v>42</v>
      </c>
      <c r="G3902">
        <v>-399.09980000000002</v>
      </c>
      <c r="H3902">
        <v>8.0737029999999998E-3</v>
      </c>
      <c r="I3902">
        <v>9.6163240000000005</v>
      </c>
      <c r="J3902">
        <v>-421.96289999999999</v>
      </c>
      <c r="K3902">
        <v>1.10453</v>
      </c>
      <c r="L3902">
        <v>59.043489999999998</v>
      </c>
      <c r="M3902">
        <v>-2.718575E-3</v>
      </c>
      <c r="N3902">
        <v>0</v>
      </c>
      <c r="O3902">
        <v>-0.99994430000000001</v>
      </c>
      <c r="P3902">
        <v>0.1696039</v>
      </c>
      <c r="Q3902">
        <v>0.11560819999999999</v>
      </c>
      <c r="R3902">
        <v>-0.97870800000000002</v>
      </c>
      <c r="S3902">
        <v>1.3111269999999999</v>
      </c>
      <c r="T3902">
        <v>-6.2879679999999993E-2</v>
      </c>
      <c r="U3902">
        <v>-2.8450929999999999</v>
      </c>
      <c r="V3902">
        <v>-0.1722255</v>
      </c>
      <c r="W3902">
        <v>0.125634</v>
      </c>
      <c r="X3902">
        <v>0.97701309999999997</v>
      </c>
      <c r="Y3902">
        <v>-0.42091699999999999</v>
      </c>
      <c r="Z3902">
        <v>2.0056089999999999E-2</v>
      </c>
      <c r="AA3902">
        <v>0.90687739999999994</v>
      </c>
      <c r="AB3902">
        <v>26</v>
      </c>
      <c r="AC3902">
        <v>22.8630999999999</v>
      </c>
      <c r="AD3902">
        <v>-1.096456297</v>
      </c>
      <c r="AE3902">
        <v>-49.427166</v>
      </c>
      <c r="AF3902">
        <v>-22.988075399885201</v>
      </c>
      <c r="AG3902">
        <v>-1.096456297</v>
      </c>
      <c r="AH3902">
        <v>49.344822405255499</v>
      </c>
      <c r="AI3902">
        <v>91.153885733147206</v>
      </c>
      <c r="AJ3902">
        <v>114.979211340585</v>
      </c>
      <c r="AK3902">
        <v>54.447822042835099</v>
      </c>
      <c r="AL3902">
        <v>82.782630499124593</v>
      </c>
      <c r="AM3902">
        <v>99.997254594801205</v>
      </c>
      <c r="AN3902">
        <v>1.0000000611889199</v>
      </c>
    </row>
    <row r="3903" spans="1:40" x14ac:dyDescent="0.3">
      <c r="A3903" t="str">
        <f>"20200111150107470"</f>
        <v>20200111150107470</v>
      </c>
      <c r="B3903" t="str">
        <f>"1578726067461961"</f>
        <v>1578726067461961</v>
      </c>
      <c r="C3903" t="s">
        <v>40</v>
      </c>
      <c r="D3903">
        <v>4.4267609999999999</v>
      </c>
      <c r="E3903">
        <v>0.3982774</v>
      </c>
      <c r="F3903" t="s">
        <v>42</v>
      </c>
      <c r="G3903">
        <v>-399.38049999999998</v>
      </c>
      <c r="H3903" s="1">
        <v>-2.7919869999999898E-6</v>
      </c>
      <c r="I3903">
        <v>9.9578340000000001</v>
      </c>
      <c r="J3903">
        <v>-421.96339999999998</v>
      </c>
      <c r="K3903">
        <v>1.1045389999999999</v>
      </c>
      <c r="L3903">
        <v>58.891570000000002</v>
      </c>
      <c r="M3903">
        <v>-2.8041820000000001E-3</v>
      </c>
      <c r="N3903">
        <v>0</v>
      </c>
      <c r="O3903">
        <v>-0.99994430000000001</v>
      </c>
      <c r="P3903">
        <v>0.168367299999999</v>
      </c>
      <c r="Q3903">
        <v>0.1158651</v>
      </c>
      <c r="R3903">
        <v>-0.97889139999999997</v>
      </c>
      <c r="S3903">
        <v>1.309296</v>
      </c>
      <c r="T3903">
        <v>-6.4039230000000003E-2</v>
      </c>
      <c r="U3903">
        <v>-2.845917</v>
      </c>
      <c r="V3903">
        <v>-0.17107510000000001</v>
      </c>
      <c r="W3903">
        <v>0.12589320000000001</v>
      </c>
      <c r="X3903">
        <v>0.97718179999999999</v>
      </c>
      <c r="Y3903">
        <v>-0.42041030000000001</v>
      </c>
      <c r="Z3903">
        <v>2.0425530000000001E-2</v>
      </c>
      <c r="AA3903">
        <v>0.90710420000000003</v>
      </c>
      <c r="AB3903">
        <v>26</v>
      </c>
      <c r="AC3903">
        <v>22.582899999999899</v>
      </c>
      <c r="AD3903">
        <v>-1.104541791987</v>
      </c>
      <c r="AE3903">
        <v>-48.933736000000003</v>
      </c>
      <c r="AF3903">
        <v>-22.710498032164502</v>
      </c>
      <c r="AG3903">
        <v>-1.104541791987</v>
      </c>
      <c r="AH3903">
        <v>48.849694797706697</v>
      </c>
      <c r="AI3903">
        <v>91.174602142850404</v>
      </c>
      <c r="AJ3903">
        <v>114.933981669971</v>
      </c>
      <c r="AK3903">
        <v>53.882088074501098</v>
      </c>
      <c r="AL3903">
        <v>82.767660341919793</v>
      </c>
      <c r="AM3903">
        <v>99.930130289519099</v>
      </c>
      <c r="AN3903">
        <v>1.0000000289487401</v>
      </c>
    </row>
    <row r="3904" spans="1:40" x14ac:dyDescent="0.3">
      <c r="A3904" t="str">
        <f>"20200111150107488"</f>
        <v>20200111150107488</v>
      </c>
      <c r="B3904" t="str">
        <f>"1578726067481480"</f>
        <v>1578726067481480</v>
      </c>
      <c r="C3904" t="s">
        <v>40</v>
      </c>
      <c r="D3904">
        <v>4.415133</v>
      </c>
      <c r="E3904">
        <v>0.39815070000000002</v>
      </c>
      <c r="F3904" t="s">
        <v>42</v>
      </c>
      <c r="G3904">
        <v>-399.45920000000001</v>
      </c>
      <c r="H3904" s="1">
        <v>-2.8000650000000002E-6</v>
      </c>
      <c r="I3904">
        <v>9.8139160000000007</v>
      </c>
      <c r="J3904">
        <v>-421.96409999999997</v>
      </c>
      <c r="K3904">
        <v>1.1045389999999999</v>
      </c>
      <c r="L3904">
        <v>58.695590000000003</v>
      </c>
      <c r="M3904">
        <v>-2.9091770000000002E-3</v>
      </c>
      <c r="N3904">
        <v>0</v>
      </c>
      <c r="O3904">
        <v>-0.99994400000000006</v>
      </c>
      <c r="P3904">
        <v>0.16806550000000001</v>
      </c>
      <c r="Q3904">
        <v>0.1157764</v>
      </c>
      <c r="R3904">
        <v>-0.97895379999999999</v>
      </c>
      <c r="S3904">
        <v>1.3057859999999999</v>
      </c>
      <c r="T3904">
        <v>-6.4090010000000003E-2</v>
      </c>
      <c r="U3904">
        <v>-2.8476870000000001</v>
      </c>
      <c r="V3904">
        <v>-0.17087759999999999</v>
      </c>
      <c r="W3904">
        <v>0.12580569999999999</v>
      </c>
      <c r="X3904">
        <v>0.97722759999999997</v>
      </c>
      <c r="Y3904">
        <v>-0.41936770000000001</v>
      </c>
      <c r="Z3904">
        <v>2.044033E-2</v>
      </c>
      <c r="AA3904">
        <v>0.90758629999999996</v>
      </c>
      <c r="AB3904">
        <v>26</v>
      </c>
      <c r="AC3904">
        <v>22.5048999999999</v>
      </c>
      <c r="AD3904">
        <v>-1.104541800065</v>
      </c>
      <c r="AE3904">
        <v>-48.881673999999997</v>
      </c>
      <c r="AF3904">
        <v>-22.6374805877293</v>
      </c>
      <c r="AG3904">
        <v>-1.104541800065</v>
      </c>
      <c r="AH3904">
        <v>48.795435909442901</v>
      </c>
      <c r="AI3904">
        <v>91.176347846876993</v>
      </c>
      <c r="AJ3904">
        <v>114.887820134579</v>
      </c>
      <c r="AK3904">
        <v>53.8021384848266</v>
      </c>
      <c r="AL3904">
        <v>82.772713729496402</v>
      </c>
      <c r="AM3904">
        <v>99.918438480188698</v>
      </c>
      <c r="AN3904">
        <v>1.000000005268</v>
      </c>
    </row>
    <row r="3905" spans="1:40" x14ac:dyDescent="0.3">
      <c r="A3905" t="str">
        <f>"20200111150107501"</f>
        <v>20200111150107501</v>
      </c>
      <c r="B3905" t="str">
        <f>"1578726067492217"</f>
        <v>1578726067492217</v>
      </c>
      <c r="C3905" t="s">
        <v>40</v>
      </c>
      <c r="D3905">
        <v>4.4460199999999999</v>
      </c>
      <c r="E3905">
        <v>0.3981151</v>
      </c>
      <c r="F3905" t="s">
        <v>42</v>
      </c>
      <c r="G3905">
        <v>-399.65539999999999</v>
      </c>
      <c r="H3905" s="1">
        <v>-2.6691220000000002E-6</v>
      </c>
      <c r="I3905">
        <v>10.0228</v>
      </c>
      <c r="J3905">
        <v>-421.96460000000002</v>
      </c>
      <c r="K3905">
        <v>1.1045430000000001</v>
      </c>
      <c r="L3905">
        <v>58.529209999999999</v>
      </c>
      <c r="M3905">
        <v>-2.994076E-3</v>
      </c>
      <c r="N3905">
        <v>0</v>
      </c>
      <c r="O3905">
        <v>-0.99994380000000005</v>
      </c>
      <c r="P3905">
        <v>0.16770179999999901</v>
      </c>
      <c r="Q3905">
        <v>0.1151243</v>
      </c>
      <c r="R3905">
        <v>-0.97909310000000005</v>
      </c>
      <c r="S3905">
        <v>1.3053589999999999</v>
      </c>
      <c r="T3905">
        <v>-6.4630750000000001E-2</v>
      </c>
      <c r="U3905">
        <v>-2.8480219999999998</v>
      </c>
      <c r="V3905">
        <v>-0.1705991</v>
      </c>
      <c r="W3905">
        <v>0.12515519999999999</v>
      </c>
      <c r="X3905">
        <v>0.9773598</v>
      </c>
      <c r="Y3905">
        <v>-0.4192903</v>
      </c>
      <c r="Z3905">
        <v>2.0611500000000001E-2</v>
      </c>
      <c r="AA3905">
        <v>0.90761820000000004</v>
      </c>
      <c r="AB3905">
        <v>26</v>
      </c>
      <c r="AC3905">
        <v>22.309200000000001</v>
      </c>
      <c r="AD3905">
        <v>-1.1045456691219999</v>
      </c>
      <c r="AE3905">
        <v>-48.506409999999903</v>
      </c>
      <c r="AF3905">
        <v>-22.444733224930701</v>
      </c>
      <c r="AG3905">
        <v>-1.1045456691219999</v>
      </c>
      <c r="AH3905">
        <v>48.418670877076003</v>
      </c>
      <c r="AI3905">
        <v>91.185670789572299</v>
      </c>
      <c r="AJ3905">
        <v>114.870332622546</v>
      </c>
      <c r="AK3905">
        <v>53.379338326510698</v>
      </c>
      <c r="AL3905">
        <v>82.810281730371599</v>
      </c>
      <c r="AM3905">
        <v>99.901280509496402</v>
      </c>
      <c r="AN3905">
        <v>1.0000000278319401</v>
      </c>
    </row>
    <row r="3906" spans="1:40" x14ac:dyDescent="0.3">
      <c r="A3906" t="str">
        <f>"20200111150107514"</f>
        <v>20200111150107514</v>
      </c>
      <c r="B3906" t="str">
        <f>"1578726067511737"</f>
        <v>1578726067511737</v>
      </c>
      <c r="C3906" t="s">
        <v>40</v>
      </c>
      <c r="D3906">
        <v>4.4134190000000002</v>
      </c>
      <c r="E3906">
        <v>0.39804669999999998</v>
      </c>
      <c r="F3906" t="s">
        <v>83</v>
      </c>
      <c r="G3906">
        <v>-400.5951</v>
      </c>
      <c r="H3906" s="1">
        <v>-6.6367159999999999E-6</v>
      </c>
      <c r="I3906">
        <v>11.848509999999999</v>
      </c>
      <c r="J3906">
        <v>-421.96519999999998</v>
      </c>
      <c r="K3906">
        <v>1.1045419999999999</v>
      </c>
      <c r="L3906">
        <v>58.381590000000003</v>
      </c>
      <c r="M3906">
        <v>-3.0649200000000001E-3</v>
      </c>
      <c r="N3906">
        <v>0</v>
      </c>
      <c r="O3906">
        <v>-0.99994329999999998</v>
      </c>
      <c r="P3906">
        <v>0.166812299999999</v>
      </c>
      <c r="Q3906">
        <v>0.1142254</v>
      </c>
      <c r="R3906">
        <v>-0.9793499</v>
      </c>
      <c r="S3906">
        <v>1.304047</v>
      </c>
      <c r="T3906">
        <v>-6.7403790000000005E-2</v>
      </c>
      <c r="U3906">
        <v>-2.848633</v>
      </c>
      <c r="V3906">
        <v>-0.16978119999999999</v>
      </c>
      <c r="W3906">
        <v>0.1242601</v>
      </c>
      <c r="X3906">
        <v>0.97761640000000005</v>
      </c>
      <c r="Y3906">
        <v>-0.41892760000000001</v>
      </c>
      <c r="Z3906">
        <v>2.1495070000000002E-2</v>
      </c>
      <c r="AA3906">
        <v>0.90776520000000005</v>
      </c>
      <c r="AB3906">
        <v>26</v>
      </c>
      <c r="AC3906">
        <v>21.370099999999901</v>
      </c>
      <c r="AD3906">
        <v>-1.104548636716</v>
      </c>
      <c r="AE3906">
        <v>-46.533079999999998</v>
      </c>
      <c r="AF3906">
        <v>-21.502621973669399</v>
      </c>
      <c r="AG3906">
        <v>-1.104548636716</v>
      </c>
      <c r="AH3906">
        <v>46.445749032205697</v>
      </c>
      <c r="AI3906">
        <v>91.236303316642093</v>
      </c>
      <c r="AJ3906">
        <v>114.842348861421</v>
      </c>
      <c r="AK3906">
        <v>51.193655686970096</v>
      </c>
      <c r="AL3906">
        <v>82.861970684860594</v>
      </c>
      <c r="AM3906">
        <v>99.852207906521599</v>
      </c>
      <c r="AN3906">
        <v>1.0000000269372</v>
      </c>
    </row>
    <row r="3907" spans="1:40" x14ac:dyDescent="0.3">
      <c r="A3907" t="str">
        <f>"20200111150107532"</f>
        <v>20200111150107532</v>
      </c>
      <c r="B3907" t="str">
        <f>"1578726067521496"</f>
        <v>1578726067521496</v>
      </c>
      <c r="C3907" t="s">
        <v>40</v>
      </c>
      <c r="D3907">
        <v>4.5194190000000001</v>
      </c>
      <c r="E3907">
        <v>0.39778629999999998</v>
      </c>
      <c r="F3907" t="s">
        <v>83</v>
      </c>
      <c r="G3907">
        <v>-401.32150000000001</v>
      </c>
      <c r="H3907" s="1">
        <v>-6.5487770000000003E-6</v>
      </c>
      <c r="I3907">
        <v>13.2285</v>
      </c>
      <c r="J3907">
        <v>-421.96589999999998</v>
      </c>
      <c r="K3907">
        <v>1.104544</v>
      </c>
      <c r="L3907">
        <v>58.178379999999997</v>
      </c>
      <c r="M3907">
        <v>-3.1597579999999999E-3</v>
      </c>
      <c r="N3907">
        <v>0</v>
      </c>
      <c r="O3907">
        <v>-0.99994300000000003</v>
      </c>
      <c r="P3907">
        <v>0.16652690000000001</v>
      </c>
      <c r="Q3907">
        <v>0.1139819</v>
      </c>
      <c r="R3907">
        <v>-0.97942720000000005</v>
      </c>
      <c r="S3907">
        <v>1.302765</v>
      </c>
      <c r="T3907">
        <v>-6.9705009999999998E-2</v>
      </c>
      <c r="U3907">
        <v>-2.8494869999999999</v>
      </c>
      <c r="V3907">
        <v>-0.16959009999999999</v>
      </c>
      <c r="W3907">
        <v>0.1240188</v>
      </c>
      <c r="X3907">
        <v>0.97768010000000005</v>
      </c>
      <c r="Y3907">
        <v>-0.4185663</v>
      </c>
      <c r="Z3907">
        <v>2.222638E-2</v>
      </c>
      <c r="AA3907">
        <v>0.9079142</v>
      </c>
      <c r="AB3907">
        <v>26</v>
      </c>
      <c r="AC3907">
        <v>20.644399999999901</v>
      </c>
      <c r="AD3907">
        <v>-1.104550548777</v>
      </c>
      <c r="AE3907">
        <v>-44.94988</v>
      </c>
      <c r="AF3907">
        <v>-20.7759751770067</v>
      </c>
      <c r="AG3907">
        <v>-1.104550548777</v>
      </c>
      <c r="AH3907">
        <v>44.8620505424513</v>
      </c>
      <c r="AI3907">
        <v>91.279863465503595</v>
      </c>
      <c r="AJ3907">
        <v>114.84923269787799</v>
      </c>
      <c r="AK3907">
        <v>49.4516405728249</v>
      </c>
      <c r="AL3907">
        <v>82.875903176742199</v>
      </c>
      <c r="AM3907">
        <v>99.8407068699088</v>
      </c>
      <c r="AN3907">
        <v>0.99999992135372695</v>
      </c>
    </row>
    <row r="3908" spans="1:40" x14ac:dyDescent="0.3">
      <c r="A3908" t="str">
        <f>"20200111150107548"</f>
        <v>20200111150107548</v>
      </c>
      <c r="B3908" t="str">
        <f>"1578726067541995"</f>
        <v>1578726067541995</v>
      </c>
      <c r="C3908" t="s">
        <v>40</v>
      </c>
      <c r="D3908">
        <v>4.473992</v>
      </c>
      <c r="E3908">
        <v>0.3971673</v>
      </c>
      <c r="F3908" t="s">
        <v>83</v>
      </c>
      <c r="G3908">
        <v>-401.26900000000001</v>
      </c>
      <c r="H3908" s="1">
        <v>-6.5364520000000004E-6</v>
      </c>
      <c r="I3908">
        <v>12.962730000000001</v>
      </c>
      <c r="J3908">
        <v>-421.96660000000003</v>
      </c>
      <c r="K3908">
        <v>1.1045450000000001</v>
      </c>
      <c r="L3908">
        <v>57.983829999999998</v>
      </c>
      <c r="M3908">
        <v>-3.247682E-3</v>
      </c>
      <c r="N3908">
        <v>0</v>
      </c>
      <c r="O3908">
        <v>-0.99994280000000002</v>
      </c>
      <c r="P3908">
        <v>0.1667322</v>
      </c>
      <c r="Q3908">
        <v>0.1142677</v>
      </c>
      <c r="R3908">
        <v>-0.97935910000000004</v>
      </c>
      <c r="S3908">
        <v>1.30426</v>
      </c>
      <c r="T3908">
        <v>-6.9605710000000001E-2</v>
      </c>
      <c r="U3908">
        <v>-2.8493650000000001</v>
      </c>
      <c r="V3908">
        <v>-0.1698819</v>
      </c>
      <c r="W3908">
        <v>0.1243051</v>
      </c>
      <c r="X3908">
        <v>0.97759320000000005</v>
      </c>
      <c r="Y3908">
        <v>-0.41905520000000002</v>
      </c>
      <c r="Z3908">
        <v>2.2190660000000001E-2</v>
      </c>
      <c r="AA3908">
        <v>0.90768959999999999</v>
      </c>
      <c r="AB3908">
        <v>26</v>
      </c>
      <c r="AC3908">
        <v>20.697600000000001</v>
      </c>
      <c r="AD3908">
        <v>-1.104551536452</v>
      </c>
      <c r="AE3908">
        <v>-45.021099999999997</v>
      </c>
      <c r="AF3908">
        <v>-20.8333605431718</v>
      </c>
      <c r="AG3908">
        <v>-1.104551536452</v>
      </c>
      <c r="AH3908">
        <v>44.931313454606901</v>
      </c>
      <c r="AI3908">
        <v>91.277617843740899</v>
      </c>
      <c r="AJ3908">
        <v>114.87580146710501</v>
      </c>
      <c r="AK3908">
        <v>49.5385897495539</v>
      </c>
      <c r="AL3908">
        <v>82.859372331469601</v>
      </c>
      <c r="AM3908">
        <v>99.858166160691695</v>
      </c>
      <c r="AN3908">
        <v>1.0000000412599199</v>
      </c>
    </row>
    <row r="3909" spans="1:40" x14ac:dyDescent="0.3">
      <c r="A3909" t="str">
        <f>"20200111150107570"</f>
        <v>20200111150107570</v>
      </c>
      <c r="B3909" t="str">
        <f>"1578726067561512"</f>
        <v>1578726067561512</v>
      </c>
      <c r="C3909" t="s">
        <v>40</v>
      </c>
      <c r="D3909">
        <v>4.448785</v>
      </c>
      <c r="E3909">
        <v>0.39667419999999998</v>
      </c>
      <c r="F3909" t="s">
        <v>83</v>
      </c>
      <c r="G3909">
        <v>-400.18450000000001</v>
      </c>
      <c r="H3909" s="1">
        <v>-6.6352699999999901E-6</v>
      </c>
      <c r="I3909">
        <v>10.61364</v>
      </c>
      <c r="J3909">
        <v>-421.9676</v>
      </c>
      <c r="K3909">
        <v>1.1045480000000001</v>
      </c>
      <c r="L3909">
        <v>57.729370000000003</v>
      </c>
      <c r="M3909">
        <v>-3.3585450000000001E-3</v>
      </c>
      <c r="N3909">
        <v>0</v>
      </c>
      <c r="O3909">
        <v>-0.99994229999999995</v>
      </c>
      <c r="P3909">
        <v>0.16706599999999999</v>
      </c>
      <c r="Q3909">
        <v>0.1147068</v>
      </c>
      <c r="R3909">
        <v>-0.97925050000000002</v>
      </c>
      <c r="S3909">
        <v>1.309601</v>
      </c>
      <c r="T3909">
        <v>-6.6408629999999996E-2</v>
      </c>
      <c r="U3909">
        <v>-2.8480219999999998</v>
      </c>
      <c r="V3909">
        <v>-0.17032459999999999</v>
      </c>
      <c r="W3909">
        <v>0.1247456</v>
      </c>
      <c r="X3909">
        <v>0.97746</v>
      </c>
      <c r="Y3909">
        <v>-0.4207323</v>
      </c>
      <c r="Z3909">
        <v>2.1164499999999999E-2</v>
      </c>
      <c r="AA3909">
        <v>0.90693789999999996</v>
      </c>
      <c r="AB3909">
        <v>26</v>
      </c>
      <c r="AC3909">
        <v>21.783099999999902</v>
      </c>
      <c r="AD3909">
        <v>-1.10455463527</v>
      </c>
      <c r="AE3909">
        <v>-47.115729999999999</v>
      </c>
      <c r="AF3909">
        <v>-21.931295027461299</v>
      </c>
      <c r="AG3909">
        <v>-1.10455463527</v>
      </c>
      <c r="AH3909">
        <v>47.021009473486501</v>
      </c>
      <c r="AI3909">
        <v>91.219579669455996</v>
      </c>
      <c r="AJ3909">
        <v>115.005042443581</v>
      </c>
      <c r="AK3909">
        <v>51.895829065827201</v>
      </c>
      <c r="AL3909">
        <v>82.833935203613095</v>
      </c>
      <c r="AM3909">
        <v>99.884670148774006</v>
      </c>
      <c r="AN3909">
        <v>0.99999999284226004</v>
      </c>
    </row>
    <row r="3910" spans="1:40" x14ac:dyDescent="0.3">
      <c r="A3910" t="str">
        <f>"20200111150107604"</f>
        <v>20200111150107604</v>
      </c>
      <c r="B3910" t="str">
        <f>"1578726067601529"</f>
        <v>1578726067601529</v>
      </c>
      <c r="C3910" t="s">
        <v>40</v>
      </c>
      <c r="D3910">
        <v>4.4317970000000004</v>
      </c>
      <c r="E3910">
        <v>0.45527840000000003</v>
      </c>
      <c r="F3910" t="s">
        <v>42</v>
      </c>
      <c r="G3910">
        <v>-399.75700000000001</v>
      </c>
      <c r="H3910">
        <v>3.0554029999999999E-2</v>
      </c>
      <c r="I3910">
        <v>9.6163229999999995</v>
      </c>
      <c r="J3910">
        <v>-421.96910000000003</v>
      </c>
      <c r="K3910">
        <v>1.104554</v>
      </c>
      <c r="L3910">
        <v>57.337519999999998</v>
      </c>
      <c r="M3910">
        <v>-3.5214819999999998E-3</v>
      </c>
      <c r="N3910">
        <v>0</v>
      </c>
      <c r="O3910">
        <v>-0.99994130000000003</v>
      </c>
      <c r="P3910">
        <v>0.16597149999999999</v>
      </c>
      <c r="Q3910">
        <v>0.114352</v>
      </c>
      <c r="R3910">
        <v>-0.97947790000000001</v>
      </c>
      <c r="S3910">
        <v>1.3141780000000001</v>
      </c>
      <c r="T3910">
        <v>-6.3547129999999993E-2</v>
      </c>
      <c r="U3910">
        <v>-2.8468019999999998</v>
      </c>
      <c r="V3910">
        <v>-0.16939189999999901</v>
      </c>
      <c r="W3910">
        <v>0.1243954</v>
      </c>
      <c r="X3910">
        <v>0.9776667</v>
      </c>
      <c r="Y3910">
        <v>-0.422238</v>
      </c>
      <c r="Z3910">
        <v>2.024691E-2</v>
      </c>
      <c r="AA3910">
        <v>0.90625889999999998</v>
      </c>
      <c r="AB3910">
        <v>26</v>
      </c>
      <c r="AC3910">
        <v>22.2121</v>
      </c>
      <c r="AD3910">
        <v>-1.07399997</v>
      </c>
      <c r="AE3910">
        <v>-47.721196999999997</v>
      </c>
      <c r="AF3910">
        <v>-22.370707190387598</v>
      </c>
      <c r="AG3910">
        <v>-1.07399997</v>
      </c>
      <c r="AH3910">
        <v>47.622851419014403</v>
      </c>
      <c r="AI3910">
        <v>91.169373880053698</v>
      </c>
      <c r="AJ3910">
        <v>115.16166567787999</v>
      </c>
      <c r="AK3910">
        <v>52.626400156301301</v>
      </c>
      <c r="AL3910">
        <v>82.8541577825454</v>
      </c>
      <c r="AM3910">
        <v>99.829562588153493</v>
      </c>
      <c r="AN3910">
        <v>1.0000000038078201</v>
      </c>
    </row>
    <row r="3911" spans="1:40" x14ac:dyDescent="0.3">
      <c r="A3911" t="str">
        <f>"20200111150107620"</f>
        <v>20200111150107620</v>
      </c>
      <c r="B3911" t="str">
        <f>"1578726067612265"</f>
        <v>1578726067612265</v>
      </c>
      <c r="C3911" t="s">
        <v>40</v>
      </c>
      <c r="D3911">
        <v>4.4408799999999999</v>
      </c>
      <c r="E3911">
        <v>0.4698233</v>
      </c>
      <c r="F3911" t="s">
        <v>85</v>
      </c>
      <c r="G3911">
        <v>-405.44920000000002</v>
      </c>
      <c r="H3911">
        <v>0.85437269999999899</v>
      </c>
      <c r="I3911">
        <v>0.62536999999999998</v>
      </c>
      <c r="J3911">
        <v>-421.96980000000002</v>
      </c>
      <c r="K3911">
        <v>1.1045529999999999</v>
      </c>
      <c r="L3911">
        <v>57.154719999999998</v>
      </c>
      <c r="M3911">
        <v>-3.5948149999999999E-3</v>
      </c>
      <c r="N3911">
        <v>0</v>
      </c>
      <c r="O3911">
        <v>-0.99994130000000003</v>
      </c>
      <c r="P3911">
        <v>0.16530300000000001</v>
      </c>
      <c r="Q3911">
        <v>0.11443159999999999</v>
      </c>
      <c r="R3911">
        <v>-0.97958199999999995</v>
      </c>
      <c r="S3911">
        <v>0.85064699999999904</v>
      </c>
      <c r="T3911">
        <v>-1.2883779999999999E-2</v>
      </c>
      <c r="U3911">
        <v>-2.9202270000000001</v>
      </c>
      <c r="V3911">
        <v>-0.16879659999999999</v>
      </c>
      <c r="W3911">
        <v>0.1244773</v>
      </c>
      <c r="X3911">
        <v>0.97775919999999905</v>
      </c>
      <c r="Y3911">
        <v>-0.28311819999999999</v>
      </c>
      <c r="Z3911">
        <v>4.2335910000000001E-3</v>
      </c>
      <c r="AA3911">
        <v>0.95907569999999998</v>
      </c>
      <c r="AB3911">
        <v>26</v>
      </c>
      <c r="AC3911">
        <v>16.520600000000002</v>
      </c>
      <c r="AD3911">
        <v>-0.25018030000000002</v>
      </c>
      <c r="AE3911">
        <v>-56.529350000000001</v>
      </c>
      <c r="AF3911">
        <v>-16.723414634990799</v>
      </c>
      <c r="AG3911">
        <v>-0.25018030000000002</v>
      </c>
      <c r="AH3911">
        <v>56.468574107656998</v>
      </c>
      <c r="AI3911">
        <v>90.243394222165506</v>
      </c>
      <c r="AJ3911">
        <v>106.49688526889</v>
      </c>
      <c r="AK3911">
        <v>58.893421101072803</v>
      </c>
      <c r="AL3911">
        <v>82.849428270137594</v>
      </c>
      <c r="AM3911">
        <v>99.794779811868196</v>
      </c>
      <c r="AN3911">
        <v>0.99999997178574396</v>
      </c>
    </row>
    <row r="3912" spans="1:40" x14ac:dyDescent="0.3">
      <c r="A3912" t="str">
        <f>"20200111150107633"</f>
        <v>20200111150107633</v>
      </c>
      <c r="B3912" t="str">
        <f>"1578726067631785"</f>
        <v>1578726067631785</v>
      </c>
      <c r="C3912" t="s">
        <v>40</v>
      </c>
      <c r="D3912">
        <v>4.380789</v>
      </c>
      <c r="E3912">
        <v>0.4698233</v>
      </c>
      <c r="F3912" t="s">
        <v>83</v>
      </c>
      <c r="G3912">
        <v>-409.39269999999999</v>
      </c>
      <c r="H3912">
        <v>7.9986559999999998E-2</v>
      </c>
      <c r="I3912">
        <v>6.6904830000000004</v>
      </c>
      <c r="J3912">
        <v>-421.97050000000002</v>
      </c>
      <c r="K3912">
        <v>1.104555</v>
      </c>
      <c r="L3912">
        <v>56.994230000000002</v>
      </c>
      <c r="M3912">
        <v>-3.6563609999999999E-3</v>
      </c>
      <c r="N3912">
        <v>0</v>
      </c>
      <c r="O3912">
        <v>-0.99994110000000003</v>
      </c>
      <c r="P3912">
        <v>0.1646532</v>
      </c>
      <c r="Q3912">
        <v>0.1147672</v>
      </c>
      <c r="R3912">
        <v>-0.97965199999999997</v>
      </c>
      <c r="S3912">
        <v>0.73413090000000003</v>
      </c>
      <c r="T3912">
        <v>-5.9804320000000001E-2</v>
      </c>
      <c r="U3912">
        <v>-2.9456180000000001</v>
      </c>
      <c r="V3912">
        <v>-0.16820760000000001</v>
      </c>
      <c r="W3912">
        <v>0.1248146</v>
      </c>
      <c r="X3912">
        <v>0.97781770000000001</v>
      </c>
      <c r="Y3912">
        <v>-0.2453302</v>
      </c>
      <c r="Z3912">
        <v>1.968727E-2</v>
      </c>
      <c r="AA3912">
        <v>0.96923970000000004</v>
      </c>
      <c r="AB3912">
        <v>26</v>
      </c>
      <c r="AC3912">
        <v>12.5778</v>
      </c>
      <c r="AD3912">
        <v>-1.0245684399999999</v>
      </c>
      <c r="AE3912">
        <v>-50.303746999999902</v>
      </c>
      <c r="AF3912">
        <v>-12.7566735715747</v>
      </c>
      <c r="AG3912">
        <v>-1.0245684399999999</v>
      </c>
      <c r="AH3912">
        <v>50.237804912307503</v>
      </c>
      <c r="AI3912">
        <v>91.132421196745497</v>
      </c>
      <c r="AJ3912">
        <v>104.247746307824</v>
      </c>
      <c r="AK3912">
        <v>51.842255964676397</v>
      </c>
      <c r="AL3912">
        <v>82.829950472388902</v>
      </c>
      <c r="AM3912">
        <v>99.760687708961498</v>
      </c>
      <c r="AN3912">
        <v>0.99999996775210398</v>
      </c>
    </row>
    <row r="3913" spans="1:40" x14ac:dyDescent="0.3">
      <c r="A3913" t="str">
        <f>"20200111150107647"</f>
        <v>20200111150107647</v>
      </c>
      <c r="B3913" t="str">
        <f>"1578726067641545"</f>
        <v>1578726067641545</v>
      </c>
      <c r="C3913" t="s">
        <v>40</v>
      </c>
      <c r="D3913">
        <v>4.3480530000000002</v>
      </c>
      <c r="E3913">
        <v>0.56352349999999996</v>
      </c>
      <c r="F3913" t="s">
        <v>83</v>
      </c>
      <c r="G3913">
        <v>-409.2</v>
      </c>
      <c r="H3913">
        <v>7.9986559999999998E-2</v>
      </c>
      <c r="I3913">
        <v>5.6370469999999999</v>
      </c>
      <c r="J3913">
        <v>-421.97129999999999</v>
      </c>
      <c r="K3913">
        <v>1.10456</v>
      </c>
      <c r="L3913">
        <v>56.826779999999999</v>
      </c>
      <c r="M3913">
        <v>-3.7180249999999998E-3</v>
      </c>
      <c r="N3913">
        <v>0</v>
      </c>
      <c r="O3913">
        <v>-0.99994059999999996</v>
      </c>
      <c r="P3913">
        <v>0.1644417</v>
      </c>
      <c r="Q3913">
        <v>0.1148405</v>
      </c>
      <c r="R3913">
        <v>-0.97967890000000002</v>
      </c>
      <c r="S3913">
        <v>0.73257450000000002</v>
      </c>
      <c r="T3913">
        <v>-5.8773760000000001E-2</v>
      </c>
      <c r="U3913">
        <v>-2.946075</v>
      </c>
      <c r="V3913">
        <v>-0.1680577</v>
      </c>
      <c r="W3913">
        <v>0.124888899999999</v>
      </c>
      <c r="X3913">
        <v>0.97783399999999998</v>
      </c>
      <c r="Y3913">
        <v>-0.24487400000000001</v>
      </c>
      <c r="Z3913">
        <v>1.9347570000000001E-2</v>
      </c>
      <c r="AA3913">
        <v>0.96936180000000005</v>
      </c>
      <c r="AB3913">
        <v>26</v>
      </c>
      <c r="AC3913">
        <v>12.771299999999901</v>
      </c>
      <c r="AD3913">
        <v>-1.0245734399999999</v>
      </c>
      <c r="AE3913">
        <v>-51.189732999999997</v>
      </c>
      <c r="AF3913">
        <v>-12.956660016475499</v>
      </c>
      <c r="AG3913">
        <v>-1.0245734399999999</v>
      </c>
      <c r="AH3913">
        <v>51.122612561802697</v>
      </c>
      <c r="AI3913">
        <v>91.112960219825297</v>
      </c>
      <c r="AJ3913">
        <v>104.221749100301</v>
      </c>
      <c r="AK3913">
        <v>52.748898610877802</v>
      </c>
      <c r="AL3913">
        <v>82.825659909524106</v>
      </c>
      <c r="AM3913">
        <v>99.751997024153795</v>
      </c>
      <c r="AN3913">
        <v>0.99999997971424903</v>
      </c>
    </row>
    <row r="3914" spans="1:40" x14ac:dyDescent="0.3">
      <c r="A3914" t="str">
        <f>"20200111150107660"</f>
        <v>20200111150107660</v>
      </c>
      <c r="B3914" t="str">
        <f>"1578726067652281"</f>
        <v>1578726067652281</v>
      </c>
      <c r="C3914" t="s">
        <v>40</v>
      </c>
      <c r="D3914">
        <v>4.3187369999999996</v>
      </c>
      <c r="E3914">
        <v>0.5624517</v>
      </c>
      <c r="F3914" t="s">
        <v>83</v>
      </c>
      <c r="G3914">
        <v>-422.0274</v>
      </c>
      <c r="H3914" s="1">
        <v>-8.7328239999999995E-6</v>
      </c>
      <c r="I3914">
        <v>22.5246</v>
      </c>
      <c r="J3914">
        <v>-421.97179999999997</v>
      </c>
      <c r="K3914">
        <v>1.1045700000000001</v>
      </c>
      <c r="L3914">
        <v>56.684049999999999</v>
      </c>
      <c r="M3914">
        <v>-3.7686909999999998E-3</v>
      </c>
      <c r="N3914">
        <v>0</v>
      </c>
      <c r="O3914">
        <v>-0.99994090000000002</v>
      </c>
      <c r="P3914">
        <v>0.1636871</v>
      </c>
      <c r="Q3914">
        <v>0.1153295</v>
      </c>
      <c r="R3914">
        <v>-0.97974810000000001</v>
      </c>
      <c r="S3914">
        <v>-5.0353999999999998E-3</v>
      </c>
      <c r="T3914">
        <v>-9.9008079999999998E-2</v>
      </c>
      <c r="U3914">
        <v>-3.0746769999999999</v>
      </c>
      <c r="V3914">
        <v>-0.16735340000000001</v>
      </c>
      <c r="W3914">
        <v>0.12537899999999999</v>
      </c>
      <c r="X3914">
        <v>0.97789210000000004</v>
      </c>
      <c r="Y3914">
        <v>-2.1320430000000001E-3</v>
      </c>
      <c r="Z3914">
        <v>3.218406E-2</v>
      </c>
      <c r="AA3914">
        <v>0.99947969999999997</v>
      </c>
      <c r="AB3914">
        <v>26</v>
      </c>
      <c r="AC3914">
        <v>-5.5600000000026698E-2</v>
      </c>
      <c r="AD3914">
        <v>-1.104578732824</v>
      </c>
      <c r="AE3914">
        <v>-34.15945</v>
      </c>
      <c r="AF3914">
        <v>-7.3067101240910204E-2</v>
      </c>
      <c r="AG3914">
        <v>-1.104578732824</v>
      </c>
      <c r="AH3914">
        <v>34.1237367592258</v>
      </c>
      <c r="AI3914">
        <v>91.854001645728701</v>
      </c>
      <c r="AJ3914">
        <v>90.122683812554698</v>
      </c>
      <c r="AK3914">
        <v>34.141687764245503</v>
      </c>
      <c r="AL3914">
        <v>82.797356975755093</v>
      </c>
      <c r="AM3914">
        <v>99.711342032942994</v>
      </c>
      <c r="AN3914">
        <v>1.0000000066874799</v>
      </c>
    </row>
    <row r="3915" spans="1:40" x14ac:dyDescent="0.3">
      <c r="A3915" t="str">
        <f>"20200111150107676"</f>
        <v>20200111150107676</v>
      </c>
      <c r="B3915" t="str">
        <f>"1578726067671800"</f>
        <v>1578726067671800</v>
      </c>
      <c r="C3915" t="s">
        <v>40</v>
      </c>
      <c r="D3915">
        <v>4.3146389999999997</v>
      </c>
      <c r="E3915">
        <v>0.56543390000000004</v>
      </c>
      <c r="F3915" t="s">
        <v>83</v>
      </c>
      <c r="G3915">
        <v>-421.96269999999998</v>
      </c>
      <c r="H3915" s="1">
        <v>-6.539009E-6</v>
      </c>
      <c r="I3915">
        <v>27.901589999999999</v>
      </c>
      <c r="J3915">
        <v>-421.9726</v>
      </c>
      <c r="K3915">
        <v>1.1045769999999999</v>
      </c>
      <c r="L3915">
        <v>56.492739999999998</v>
      </c>
      <c r="M3915">
        <v>-3.8297729999999999E-3</v>
      </c>
      <c r="N3915">
        <v>0</v>
      </c>
      <c r="O3915">
        <v>-0.99994039999999995</v>
      </c>
      <c r="P3915">
        <v>0.16322979999999901</v>
      </c>
      <c r="Q3915">
        <v>0.1152323</v>
      </c>
      <c r="R3915">
        <v>-0.97983569999999998</v>
      </c>
      <c r="S3915">
        <v>9.765625E-4</v>
      </c>
      <c r="T3915">
        <v>-0.118037</v>
      </c>
      <c r="U3915">
        <v>-3.075745</v>
      </c>
      <c r="V3915">
        <v>-0.16695779999999999</v>
      </c>
      <c r="W3915">
        <v>0.12528300000000001</v>
      </c>
      <c r="X3915">
        <v>0.97797199999999995</v>
      </c>
      <c r="Y3915">
        <v>-4.1472409999999899E-3</v>
      </c>
      <c r="Z3915">
        <v>3.8347930000000002E-2</v>
      </c>
      <c r="AA3915">
        <v>0.99925580000000003</v>
      </c>
      <c r="AB3915">
        <v>26</v>
      </c>
      <c r="AC3915">
        <v>9.9000000000160002E-3</v>
      </c>
      <c r="AD3915">
        <v>-1.104583539009</v>
      </c>
      <c r="AE3915">
        <v>-28.591149999999999</v>
      </c>
      <c r="AF3915">
        <v>-0.119225313233682</v>
      </c>
      <c r="AG3915">
        <v>-1.104583539009</v>
      </c>
      <c r="AH3915">
        <v>28.548292146469699</v>
      </c>
      <c r="AI3915">
        <v>92.215749721391205</v>
      </c>
      <c r="AJ3915">
        <v>90.239281127939904</v>
      </c>
      <c r="AK3915">
        <v>28.569902064063001</v>
      </c>
      <c r="AL3915">
        <v>82.802900928511903</v>
      </c>
      <c r="AM3915">
        <v>99.688044842383604</v>
      </c>
      <c r="AN3915">
        <v>0.99999998492691899</v>
      </c>
    </row>
    <row r="3916" spans="1:40" x14ac:dyDescent="0.3">
      <c r="A3916" t="str">
        <f>"20200111150107693"</f>
        <v>20200111150107693</v>
      </c>
      <c r="B3916" t="str">
        <f>"1578726067681561"</f>
        <v>1578726067681561</v>
      </c>
      <c r="C3916" t="s">
        <v>40</v>
      </c>
      <c r="D3916">
        <v>4.252173</v>
      </c>
      <c r="E3916">
        <v>0.56849349999999998</v>
      </c>
      <c r="F3916" t="s">
        <v>83</v>
      </c>
      <c r="G3916">
        <v>-422.14030000000002</v>
      </c>
      <c r="H3916" s="1">
        <v>-3.2967839999999999E-6</v>
      </c>
      <c r="I3916">
        <v>34.905270000000002</v>
      </c>
      <c r="J3916">
        <v>-421.97340000000003</v>
      </c>
      <c r="K3916">
        <v>1.1045780000000001</v>
      </c>
      <c r="L3916">
        <v>56.2932699999999</v>
      </c>
      <c r="M3916">
        <v>-3.8865890000000002E-3</v>
      </c>
      <c r="N3916">
        <v>0</v>
      </c>
      <c r="O3916">
        <v>-0.99994019999999995</v>
      </c>
      <c r="P3916">
        <v>0.1631542</v>
      </c>
      <c r="Q3916">
        <v>0.1151954</v>
      </c>
      <c r="R3916">
        <v>-0.97985259999999996</v>
      </c>
      <c r="S3916">
        <v>-2.39563E-2</v>
      </c>
      <c r="T3916">
        <v>-0.15781579999999901</v>
      </c>
      <c r="U3916">
        <v>-3.0842900000000002</v>
      </c>
      <c r="V3916">
        <v>-0.1669399</v>
      </c>
      <c r="W3916">
        <v>0.12524560000000001</v>
      </c>
      <c r="X3916">
        <v>0.97797990000000001</v>
      </c>
      <c r="Y3916">
        <v>3.8700869999999999E-3</v>
      </c>
      <c r="Z3916">
        <v>5.1099249999999999E-2</v>
      </c>
      <c r="AA3916">
        <v>0.99868610000000002</v>
      </c>
      <c r="AB3916">
        <v>26</v>
      </c>
      <c r="AC3916">
        <v>-0.16689999999999799</v>
      </c>
      <c r="AD3916">
        <v>-1.1045812967839901</v>
      </c>
      <c r="AE3916">
        <v>-21.387999999999899</v>
      </c>
      <c r="AF3916">
        <v>8.35452125247753E-2</v>
      </c>
      <c r="AG3916">
        <v>-1.1045812967839901</v>
      </c>
      <c r="AH3916">
        <v>21.331595056853399</v>
      </c>
      <c r="AI3916">
        <v>92.964189410790397</v>
      </c>
      <c r="AJ3916">
        <v>89.775602171856093</v>
      </c>
      <c r="AK3916">
        <v>21.360337715338499</v>
      </c>
      <c r="AL3916">
        <v>82.805061184625501</v>
      </c>
      <c r="AM3916">
        <v>99.686949074678793</v>
      </c>
      <c r="AN3916">
        <v>1.0000000376676801</v>
      </c>
    </row>
    <row r="3917" spans="1:40" x14ac:dyDescent="0.3">
      <c r="A3917" t="str">
        <f>"20200111150107709"</f>
        <v>20200111150107709</v>
      </c>
      <c r="B3917" t="str">
        <f>"1578726067702058"</f>
        <v>1578726067702058</v>
      </c>
      <c r="C3917" t="s">
        <v>40</v>
      </c>
      <c r="D3917">
        <v>4.527317</v>
      </c>
      <c r="E3917">
        <v>0.56734510000000005</v>
      </c>
      <c r="F3917" t="s">
        <v>83</v>
      </c>
      <c r="G3917">
        <v>-422.30689999999998</v>
      </c>
      <c r="H3917" s="1">
        <v>-3.4811960000000001E-6</v>
      </c>
      <c r="I3917">
        <v>34.651629999999997</v>
      </c>
      <c r="J3917">
        <v>-421.9742</v>
      </c>
      <c r="K3917">
        <v>1.104584</v>
      </c>
      <c r="L3917">
        <v>56.100219999999901</v>
      </c>
      <c r="M3917">
        <v>-3.9345450000000002E-3</v>
      </c>
      <c r="N3917">
        <v>0</v>
      </c>
      <c r="O3917">
        <v>-0.99993989999999999</v>
      </c>
      <c r="P3917">
        <v>0.163104799999999</v>
      </c>
      <c r="Q3917">
        <v>0.1150776</v>
      </c>
      <c r="R3917">
        <v>-0.97987469999999999</v>
      </c>
      <c r="S3917">
        <v>-4.7576899999999998E-2</v>
      </c>
      <c r="T3917">
        <v>-0.15761729999999999</v>
      </c>
      <c r="U3917">
        <v>-3.0881349999999999</v>
      </c>
      <c r="V3917">
        <v>-0.16694000000000001</v>
      </c>
      <c r="W3917">
        <v>0.1251273</v>
      </c>
      <c r="X3917">
        <v>0.97799499999999995</v>
      </c>
      <c r="Y3917">
        <v>1.14501E-2</v>
      </c>
      <c r="Z3917">
        <v>5.0968010000000001E-2</v>
      </c>
      <c r="AA3917">
        <v>0.99863460000000004</v>
      </c>
      <c r="AB3917">
        <v>26</v>
      </c>
      <c r="AC3917">
        <v>-0.33269999999998801</v>
      </c>
      <c r="AD3917">
        <v>-1.1045874811959999</v>
      </c>
      <c r="AE3917">
        <v>-21.448589999999999</v>
      </c>
      <c r="AF3917">
        <v>0.24764591994836099</v>
      </c>
      <c r="AG3917">
        <v>-1.1045874811959999</v>
      </c>
      <c r="AH3917">
        <v>21.393008626900698</v>
      </c>
      <c r="AI3917">
        <v>92.955536609310698</v>
      </c>
      <c r="AJ3917">
        <v>89.336772469612697</v>
      </c>
      <c r="AK3917">
        <v>21.4229377097524</v>
      </c>
      <c r="AL3917">
        <v>82.811892837061393</v>
      </c>
      <c r="AM3917">
        <v>99.686808037034496</v>
      </c>
      <c r="AN3917">
        <v>1.00000001241514</v>
      </c>
    </row>
    <row r="3918" spans="1:40" x14ac:dyDescent="0.3">
      <c r="A3918" t="str">
        <f>"20200111150107906"</f>
        <v>20200111150107906</v>
      </c>
      <c r="B3918" t="str">
        <f>"1578726067902136"</f>
        <v>1578726067902136</v>
      </c>
      <c r="C3918" t="s">
        <v>40</v>
      </c>
      <c r="D3918">
        <v>4.3240499999999997</v>
      </c>
      <c r="E3918">
        <v>0.56768669999999899</v>
      </c>
      <c r="F3918" t="s">
        <v>83</v>
      </c>
      <c r="G3918">
        <v>-422.26429999999999</v>
      </c>
      <c r="H3918" s="1">
        <v>-4.1372830000000003E-6</v>
      </c>
      <c r="I3918">
        <v>32.993559999999903</v>
      </c>
      <c r="J3918">
        <v>-421.98360000000002</v>
      </c>
      <c r="K3918">
        <v>1.1046670000000001</v>
      </c>
      <c r="L3918">
        <v>53.790129999999998</v>
      </c>
      <c r="M3918">
        <v>-3.9060330000000002E-3</v>
      </c>
      <c r="N3918">
        <v>0</v>
      </c>
      <c r="O3918">
        <v>-0.99993989999999999</v>
      </c>
      <c r="P3918">
        <v>0.16493440000000001</v>
      </c>
      <c r="Q3918">
        <v>0.1127403</v>
      </c>
      <c r="R3918">
        <v>-0.97984020000000005</v>
      </c>
      <c r="S3918">
        <v>-3.872681E-2</v>
      </c>
      <c r="T3918">
        <v>-0.1474936</v>
      </c>
      <c r="U3918">
        <v>-3.085388</v>
      </c>
      <c r="V3918">
        <v>-0.1687717</v>
      </c>
      <c r="W3918">
        <v>0.1227724</v>
      </c>
      <c r="X3918">
        <v>0.97797909999999999</v>
      </c>
      <c r="Y3918">
        <v>8.6303530000000003E-3</v>
      </c>
      <c r="Z3918">
        <v>4.7746070000000002E-2</v>
      </c>
      <c r="AA3918">
        <v>0.99882219999999999</v>
      </c>
      <c r="AB3918">
        <v>26</v>
      </c>
      <c r="AC3918">
        <v>-0.28069999999996698</v>
      </c>
      <c r="AD3918">
        <v>-1.104671137283</v>
      </c>
      <c r="AE3918">
        <v>-20.796569999999999</v>
      </c>
      <c r="AF3918">
        <v>0.19890040861524599</v>
      </c>
      <c r="AG3918">
        <v>-1.104671137283</v>
      </c>
      <c r="AH3918">
        <v>20.739003035945402</v>
      </c>
      <c r="AI3918">
        <v>93.0488608703713</v>
      </c>
      <c r="AJ3918">
        <v>89.450513385394402</v>
      </c>
      <c r="AK3918">
        <v>20.769354988035701</v>
      </c>
      <c r="AL3918">
        <v>82.947867425133495</v>
      </c>
      <c r="AM3918">
        <v>99.791203491109997</v>
      </c>
      <c r="AN3918">
        <v>1.00000003447972</v>
      </c>
    </row>
    <row r="3919" spans="1:40" x14ac:dyDescent="0.3">
      <c r="A3919" t="str">
        <f>"20200111150107928"</f>
        <v>20200111150107928</v>
      </c>
      <c r="B3919" t="str">
        <f>"1578726067921656"</f>
        <v>1578726067921656</v>
      </c>
      <c r="C3919" t="s">
        <v>40</v>
      </c>
      <c r="D3919">
        <v>4.5148270000000004</v>
      </c>
      <c r="E3919">
        <v>0.56255999999999995</v>
      </c>
      <c r="F3919" t="s">
        <v>83</v>
      </c>
      <c r="G3919">
        <v>-422.2253</v>
      </c>
      <c r="H3919" s="1">
        <v>-4.1968829999999997E-6</v>
      </c>
      <c r="I3919">
        <v>32.872160000000001</v>
      </c>
      <c r="J3919">
        <v>-421.98450000000003</v>
      </c>
      <c r="K3919">
        <v>1.104695</v>
      </c>
      <c r="L3919">
        <v>53.521299999999997</v>
      </c>
      <c r="M3919">
        <v>-3.7803160000000001E-3</v>
      </c>
      <c r="N3919">
        <v>0</v>
      </c>
      <c r="O3919">
        <v>-0.99994019999999995</v>
      </c>
      <c r="P3919">
        <v>0.16527229999999901</v>
      </c>
      <c r="Q3919">
        <v>0.11314920000000001</v>
      </c>
      <c r="R3919">
        <v>-0.97973589999999999</v>
      </c>
      <c r="S3919">
        <v>-3.567505E-2</v>
      </c>
      <c r="T3919">
        <v>-0.16299629999999901</v>
      </c>
      <c r="U3919">
        <v>-3.086487</v>
      </c>
      <c r="V3919">
        <v>-0.16899600000000001</v>
      </c>
      <c r="W3919">
        <v>0.123169899999999</v>
      </c>
      <c r="X3919">
        <v>0.97789040000000005</v>
      </c>
      <c r="Y3919">
        <v>7.7612660000000002E-3</v>
      </c>
      <c r="Z3919">
        <v>5.2733059999999998E-2</v>
      </c>
      <c r="AA3919">
        <v>0.99857850000000004</v>
      </c>
      <c r="AB3919">
        <v>26</v>
      </c>
      <c r="AC3919">
        <v>-0.240799999999978</v>
      </c>
      <c r="AD3919">
        <v>-1.104699196883</v>
      </c>
      <c r="AE3919">
        <v>-20.649139999999999</v>
      </c>
      <c r="AF3919">
        <v>0.16226952670344399</v>
      </c>
      <c r="AG3919">
        <v>-1.104699196883</v>
      </c>
      <c r="AH3919">
        <v>20.590977452629598</v>
      </c>
      <c r="AI3919">
        <v>93.070860528043397</v>
      </c>
      <c r="AJ3919">
        <v>89.548483476108402</v>
      </c>
      <c r="AK3919">
        <v>20.6212279985842</v>
      </c>
      <c r="AL3919">
        <v>82.924918308415997</v>
      </c>
      <c r="AM3919">
        <v>99.804835800736299</v>
      </c>
      <c r="AN3919">
        <v>1.0000000533470801</v>
      </c>
    </row>
    <row r="3920" spans="1:40" x14ac:dyDescent="0.3">
      <c r="A3920" t="str">
        <f>"20200111150107944"</f>
        <v>20200111150107944</v>
      </c>
      <c r="B3920" t="str">
        <f>"1578726067931417"</f>
        <v>1578726067931417</v>
      </c>
      <c r="C3920" t="s">
        <v>40</v>
      </c>
      <c r="D3920">
        <v>4.6203059999999896</v>
      </c>
      <c r="E3920">
        <v>0.56255999999999995</v>
      </c>
      <c r="F3920" t="s">
        <v>83</v>
      </c>
      <c r="G3920">
        <v>-421.94630000000001</v>
      </c>
      <c r="H3920" s="1">
        <v>-4.7077510000000002E-6</v>
      </c>
      <c r="I3920">
        <v>31.83775</v>
      </c>
      <c r="J3920">
        <v>-421.98509999999999</v>
      </c>
      <c r="K3920">
        <v>1.104719</v>
      </c>
      <c r="L3920">
        <v>53.342590000000001</v>
      </c>
      <c r="M3920">
        <v>-3.6739049999999999E-3</v>
      </c>
      <c r="N3920">
        <v>0</v>
      </c>
      <c r="O3920">
        <v>-0.99994070000000002</v>
      </c>
      <c r="P3920">
        <v>0.16541510000000001</v>
      </c>
      <c r="Q3920">
        <v>0.1130732</v>
      </c>
      <c r="R3920">
        <v>-0.97972049999999999</v>
      </c>
      <c r="S3920">
        <v>5.432129E-3</v>
      </c>
      <c r="T3920">
        <v>-0.15687699999999999</v>
      </c>
      <c r="U3920">
        <v>-3.0792540000000002</v>
      </c>
      <c r="V3920">
        <v>-0.16904159999999999</v>
      </c>
      <c r="W3920">
        <v>0.12308620000000001</v>
      </c>
      <c r="X3920">
        <v>0.97789300000000001</v>
      </c>
      <c r="Y3920">
        <v>-5.4358990000000001E-3</v>
      </c>
      <c r="Z3920">
        <v>5.0879500000000001E-2</v>
      </c>
      <c r="AA3920">
        <v>0.99868999999999997</v>
      </c>
      <c r="AB3920">
        <v>27</v>
      </c>
      <c r="AC3920">
        <v>3.87999999999806E-2</v>
      </c>
      <c r="AD3920">
        <v>-1.1047237077509999</v>
      </c>
      <c r="AE3920">
        <v>-21.504839999999898</v>
      </c>
      <c r="AF3920">
        <v>-0.117500549659582</v>
      </c>
      <c r="AG3920">
        <v>-1.1047237077509999</v>
      </c>
      <c r="AH3920">
        <v>21.447951919732699</v>
      </c>
      <c r="AI3920">
        <v>92.948494721957402</v>
      </c>
      <c r="AJ3920">
        <v>90.313886298353097</v>
      </c>
      <c r="AK3920">
        <v>21.476705110440101</v>
      </c>
      <c r="AL3920">
        <v>82.929750337595294</v>
      </c>
      <c r="AM3920">
        <v>99.807404490170299</v>
      </c>
      <c r="AN3920">
        <v>0.999999997305</v>
      </c>
    </row>
    <row r="3921" spans="1:40" x14ac:dyDescent="0.3">
      <c r="A3921" t="str">
        <f>"20200111150107989"</f>
        <v>20200111150107989</v>
      </c>
      <c r="B3921" t="str">
        <f>"1578726067982169"</f>
        <v>1578726067982169</v>
      </c>
      <c r="C3921" t="s">
        <v>40</v>
      </c>
      <c r="D3921">
        <v>4.3170440000000001</v>
      </c>
      <c r="E3921">
        <v>0.48884349999999999</v>
      </c>
      <c r="F3921" t="s">
        <v>83</v>
      </c>
      <c r="G3921">
        <v>-421.94299999999998</v>
      </c>
      <c r="H3921" s="1">
        <v>-4.7951E-6</v>
      </c>
      <c r="I3921">
        <v>31.665949999999999</v>
      </c>
      <c r="J3921">
        <v>-421.98649999999998</v>
      </c>
      <c r="K3921">
        <v>1.1047959999999999</v>
      </c>
      <c r="L3921">
        <v>52.80283</v>
      </c>
      <c r="M3921">
        <v>-3.212871E-3</v>
      </c>
      <c r="N3921">
        <v>0</v>
      </c>
      <c r="O3921">
        <v>-0.99994209999999994</v>
      </c>
      <c r="P3921">
        <v>0.16562370000000001</v>
      </c>
      <c r="Q3921">
        <v>0.1137696</v>
      </c>
      <c r="R3921">
        <v>-0.97960460000000005</v>
      </c>
      <c r="S3921">
        <v>5.9814450000000002E-3</v>
      </c>
      <c r="T3921">
        <v>-0.15692729999999999</v>
      </c>
      <c r="U3921">
        <v>-3.0791930000000001</v>
      </c>
      <c r="V3921">
        <v>-0.16881889999999999</v>
      </c>
      <c r="W3921">
        <v>0.12375949999999999</v>
      </c>
      <c r="X3921">
        <v>0.97784649999999995</v>
      </c>
      <c r="Y3921">
        <v>-5.1530400000000002E-3</v>
      </c>
      <c r="Z3921">
        <v>5.089693E-2</v>
      </c>
      <c r="AA3921">
        <v>0.99869059999999998</v>
      </c>
      <c r="AB3921">
        <v>27</v>
      </c>
      <c r="AC3921">
        <v>4.34999999999377E-2</v>
      </c>
      <c r="AD3921">
        <v>-1.1048007950999901</v>
      </c>
      <c r="AE3921">
        <v>-21.136880000000001</v>
      </c>
      <c r="AF3921">
        <v>-0.111109871178188</v>
      </c>
      <c r="AG3921">
        <v>-1.1048007950999901</v>
      </c>
      <c r="AH3921">
        <v>21.079042698068299</v>
      </c>
      <c r="AI3921">
        <v>93.000215852553197</v>
      </c>
      <c r="AJ3921">
        <v>90.302009337563902</v>
      </c>
      <c r="AK3921">
        <v>21.1082678414718</v>
      </c>
      <c r="AL3921">
        <v>82.890875924316205</v>
      </c>
      <c r="AM3921">
        <v>99.7951911198396</v>
      </c>
      <c r="AN3921">
        <v>1.00000000619985</v>
      </c>
    </row>
    <row r="3922" spans="1:40" x14ac:dyDescent="0.3">
      <c r="A3922" t="str">
        <f>"20200111150108003"</f>
        <v>20200111150108003</v>
      </c>
      <c r="B3922" t="str">
        <f>"1578726068001689"</f>
        <v>1578726068001689</v>
      </c>
      <c r="C3922" t="s">
        <v>40</v>
      </c>
      <c r="D3922">
        <v>4.225187</v>
      </c>
      <c r="E3922">
        <v>0.48613329999999999</v>
      </c>
      <c r="F3922" t="s">
        <v>83</v>
      </c>
      <c r="G3922">
        <v>-418.87979999999999</v>
      </c>
      <c r="H3922" s="1">
        <v>-1.9588359999999999E-6</v>
      </c>
      <c r="I3922">
        <v>36.983359999999998</v>
      </c>
      <c r="J3922">
        <v>-421.98689999999999</v>
      </c>
      <c r="K3922">
        <v>1.104816</v>
      </c>
      <c r="L3922">
        <v>52.625819999999997</v>
      </c>
      <c r="M3922">
        <v>-3.020722E-3</v>
      </c>
      <c r="N3922">
        <v>0</v>
      </c>
      <c r="O3922">
        <v>-0.99994269999999996</v>
      </c>
      <c r="P3922">
        <v>0.16588639999999999</v>
      </c>
      <c r="Q3922">
        <v>0.1135859</v>
      </c>
      <c r="R3922">
        <v>-0.97958149999999999</v>
      </c>
      <c r="S3922">
        <v>0.58670040000000001</v>
      </c>
      <c r="T3922">
        <v>-0.20863989999999999</v>
      </c>
      <c r="U3922">
        <v>-2.9874879999999999</v>
      </c>
      <c r="V3922">
        <v>-0.16889940000000001</v>
      </c>
      <c r="W3922">
        <v>0.12356930000000001</v>
      </c>
      <c r="X3922">
        <v>0.97785659999999996</v>
      </c>
      <c r="Y3922">
        <v>-0.19521769999999999</v>
      </c>
      <c r="Z3922">
        <v>6.8347859999999996E-2</v>
      </c>
      <c r="AA3922">
        <v>0.97837549999999995</v>
      </c>
      <c r="AB3922">
        <v>27</v>
      </c>
      <c r="AC3922">
        <v>3.1071</v>
      </c>
      <c r="AD3922">
        <v>-1.1048179588359901</v>
      </c>
      <c r="AE3922">
        <v>-15.64246</v>
      </c>
      <c r="AF3922">
        <v>-3.1392739429984702</v>
      </c>
      <c r="AG3922">
        <v>-1.1048179588359901</v>
      </c>
      <c r="AH3922">
        <v>15.558335420483001</v>
      </c>
      <c r="AI3922">
        <v>93.981849025777805</v>
      </c>
      <c r="AJ3922">
        <v>101.40765497366201</v>
      </c>
      <c r="AK3922">
        <v>15.9102942985858</v>
      </c>
      <c r="AL3922">
        <v>82.901857510440706</v>
      </c>
      <c r="AM3922">
        <v>99.799672085010798</v>
      </c>
      <c r="AN3922">
        <v>0.99999995469320302</v>
      </c>
    </row>
    <row r="3923" spans="1:40" x14ac:dyDescent="0.3">
      <c r="A3923" t="str">
        <f>"20200111150108018"</f>
        <v>20200111150108018</v>
      </c>
      <c r="B3923" t="str">
        <f>"1578726068011448"</f>
        <v>1578726068011448</v>
      </c>
      <c r="C3923" t="s">
        <v>40</v>
      </c>
      <c r="D3923">
        <v>4.22262</v>
      </c>
      <c r="E3923">
        <v>0.48664239999999997</v>
      </c>
      <c r="F3923" t="s">
        <v>83</v>
      </c>
      <c r="G3923">
        <v>-418.81819999999999</v>
      </c>
      <c r="H3923" s="1">
        <v>-1.9128850000000002E-6</v>
      </c>
      <c r="I3923">
        <v>37.081440000000001</v>
      </c>
      <c r="J3923">
        <v>-421.98719999999997</v>
      </c>
      <c r="K3923">
        <v>1.104833</v>
      </c>
      <c r="L3923">
        <v>52.459350000000001</v>
      </c>
      <c r="M3923">
        <v>-2.8208830000000002E-3</v>
      </c>
      <c r="N3923">
        <v>0</v>
      </c>
      <c r="O3923">
        <v>-0.99994340000000004</v>
      </c>
      <c r="P3923">
        <v>0.16638939999999999</v>
      </c>
      <c r="Q3923">
        <v>0.1128309</v>
      </c>
      <c r="R3923">
        <v>-0.97958350000000005</v>
      </c>
      <c r="S3923">
        <v>0.60830689999999998</v>
      </c>
      <c r="T3923">
        <v>-0.21209500000000001</v>
      </c>
      <c r="U3923">
        <v>-2.9841000000000002</v>
      </c>
      <c r="V3923">
        <v>-0.169212</v>
      </c>
      <c r="W3923">
        <v>0.1228088</v>
      </c>
      <c r="X3923">
        <v>0.97789839999999995</v>
      </c>
      <c r="Y3923">
        <v>-0.20202249999999999</v>
      </c>
      <c r="Z3923">
        <v>6.9454199999999994E-2</v>
      </c>
      <c r="AA3923">
        <v>0.97691510000000004</v>
      </c>
      <c r="AB3923">
        <v>27</v>
      </c>
      <c r="AC3923">
        <v>3.1689999999999801</v>
      </c>
      <c r="AD3923">
        <v>-1.1048349128849999</v>
      </c>
      <c r="AE3923">
        <v>-15.37791</v>
      </c>
      <c r="AF3923">
        <v>-3.19654124305191</v>
      </c>
      <c r="AG3923">
        <v>-1.1048349128849999</v>
      </c>
      <c r="AH3923">
        <v>15.2931845620892</v>
      </c>
      <c r="AI3923">
        <v>94.044960971561494</v>
      </c>
      <c r="AJ3923">
        <v>101.80584600784201</v>
      </c>
      <c r="AK3923">
        <v>15.6626954944985</v>
      </c>
      <c r="AL3923">
        <v>82.945765651533904</v>
      </c>
      <c r="AM3923">
        <v>99.817045286384698</v>
      </c>
      <c r="AN3923">
        <v>0.99999999151199903</v>
      </c>
    </row>
    <row r="3924" spans="1:40" x14ac:dyDescent="0.3">
      <c r="A3924" t="str">
        <f>"20200111150108033"</f>
        <v>20200111150108033</v>
      </c>
      <c r="B3924" t="str">
        <f>"1578726068022187"</f>
        <v>1578726068022187</v>
      </c>
      <c r="C3924" t="s">
        <v>40</v>
      </c>
      <c r="D3924">
        <v>4.2975300000000001</v>
      </c>
      <c r="E3924">
        <v>0.48689929999999898</v>
      </c>
      <c r="F3924" t="s">
        <v>83</v>
      </c>
      <c r="G3924">
        <v>-418.96699999999998</v>
      </c>
      <c r="H3924" s="1">
        <v>-1.55572999999999E-6</v>
      </c>
      <c r="I3924">
        <v>37.581020000000002</v>
      </c>
      <c r="J3924">
        <v>-421.98750000000001</v>
      </c>
      <c r="K3924">
        <v>1.104851</v>
      </c>
      <c r="L3924">
        <v>52.276000000000003</v>
      </c>
      <c r="M3924">
        <v>-2.583241E-3</v>
      </c>
      <c r="N3924">
        <v>0</v>
      </c>
      <c r="O3924">
        <v>-0.99994419999999995</v>
      </c>
      <c r="P3924">
        <v>0.166847</v>
      </c>
      <c r="Q3924">
        <v>0.11242290000000001</v>
      </c>
      <c r="R3924">
        <v>-0.97955289999999995</v>
      </c>
      <c r="S3924">
        <v>0.60595699999999997</v>
      </c>
      <c r="T3924">
        <v>-0.22167039999999999</v>
      </c>
      <c r="U3924">
        <v>-2.9851380000000001</v>
      </c>
      <c r="V3924">
        <v>-0.1694427</v>
      </c>
      <c r="W3924">
        <v>0.1223948</v>
      </c>
      <c r="X3924">
        <v>0.97791030000000001</v>
      </c>
      <c r="Y3924">
        <v>-0.2009407</v>
      </c>
      <c r="Z3924">
        <v>7.2562550000000003E-2</v>
      </c>
      <c r="AA3924">
        <v>0.97691229999999996</v>
      </c>
      <c r="AB3924">
        <v>27</v>
      </c>
      <c r="AC3924">
        <v>3.0205000000000202</v>
      </c>
      <c r="AD3924">
        <v>-1.10485255573</v>
      </c>
      <c r="AE3924">
        <v>-14.694979999999999</v>
      </c>
      <c r="AF3924">
        <v>-3.0419538142829499</v>
      </c>
      <c r="AG3924">
        <v>-1.10485255573</v>
      </c>
      <c r="AH3924">
        <v>14.6078984013871</v>
      </c>
      <c r="AI3924">
        <v>94.234766383817998</v>
      </c>
      <c r="AJ3924">
        <v>101.763182665158</v>
      </c>
      <c r="AK3924">
        <v>14.962114753048199</v>
      </c>
      <c r="AL3924">
        <v>82.9696660157975</v>
      </c>
      <c r="AM3924">
        <v>99.830051407937304</v>
      </c>
      <c r="AN3924">
        <v>0.99999993524820696</v>
      </c>
    </row>
    <row r="3925" spans="1:40" x14ac:dyDescent="0.3">
      <c r="A3925" t="str">
        <f>"20200111150108051"</f>
        <v>20200111150108051</v>
      </c>
      <c r="B3925" t="str">
        <f>"1578726068041704"</f>
        <v>1578726068041704</v>
      </c>
      <c r="C3925" t="s">
        <v>40</v>
      </c>
      <c r="D3925">
        <v>4.226979</v>
      </c>
      <c r="E3925">
        <v>0.48666959999999998</v>
      </c>
      <c r="F3925" t="s">
        <v>83</v>
      </c>
      <c r="G3925">
        <v>-418.85169999999999</v>
      </c>
      <c r="H3925" s="1">
        <v>-2.0744279999999999E-6</v>
      </c>
      <c r="I3925">
        <v>36.813220000000001</v>
      </c>
      <c r="J3925">
        <v>-421.98770000000002</v>
      </c>
      <c r="K3925">
        <v>1.104867</v>
      </c>
      <c r="L3925">
        <v>52.068019999999997</v>
      </c>
      <c r="M3925">
        <v>-2.2963520000000002E-3</v>
      </c>
      <c r="N3925">
        <v>0</v>
      </c>
      <c r="O3925">
        <v>-0.99994459999999996</v>
      </c>
      <c r="P3925">
        <v>0.16773260000000001</v>
      </c>
      <c r="Q3925">
        <v>0.1120787</v>
      </c>
      <c r="R3925">
        <v>-0.9794408</v>
      </c>
      <c r="S3925">
        <v>0.60513309999999998</v>
      </c>
      <c r="T3925">
        <v>-0.21321480000000001</v>
      </c>
      <c r="U3925">
        <v>-2.9840089999999999</v>
      </c>
      <c r="V3925">
        <v>-0.1700526</v>
      </c>
      <c r="W3925">
        <v>0.1220441</v>
      </c>
      <c r="X3925">
        <v>0.97784839999999995</v>
      </c>
      <c r="Y3925">
        <v>-0.2005112</v>
      </c>
      <c r="Z3925">
        <v>6.9839509999999994E-2</v>
      </c>
      <c r="AA3925">
        <v>0.97719889999999998</v>
      </c>
      <c r="AB3925">
        <v>27</v>
      </c>
      <c r="AC3925">
        <v>3.1360000000000201</v>
      </c>
      <c r="AD3925">
        <v>-1.1048690744280001</v>
      </c>
      <c r="AE3925">
        <v>-15.254799999999999</v>
      </c>
      <c r="AF3925">
        <v>-3.1551439396514001</v>
      </c>
      <c r="AG3925">
        <v>-1.1048690744280001</v>
      </c>
      <c r="AH3925">
        <v>15.1712004668759</v>
      </c>
      <c r="AI3925">
        <v>94.078351973584802</v>
      </c>
      <c r="AJ3925">
        <v>101.748297519869</v>
      </c>
      <c r="AK3925">
        <v>15.535153444935199</v>
      </c>
      <c r="AL3925">
        <v>82.989912383034095</v>
      </c>
      <c r="AM3925">
        <v>99.865352448677697</v>
      </c>
      <c r="AN3925">
        <v>1.00000007124706</v>
      </c>
    </row>
    <row r="3926" spans="1:40" x14ac:dyDescent="0.3">
      <c r="A3926" t="str">
        <f>"20200111150108073"</f>
        <v>20200111150108073</v>
      </c>
      <c r="B3926" t="str">
        <f>"1578726068062200"</f>
        <v>1578726068062200</v>
      </c>
      <c r="C3926" t="s">
        <v>40</v>
      </c>
      <c r="D3926">
        <v>4.2907440000000001</v>
      </c>
      <c r="E3926">
        <v>0.48610179999999997</v>
      </c>
      <c r="F3926" t="s">
        <v>83</v>
      </c>
      <c r="G3926">
        <v>-418.99950000000001</v>
      </c>
      <c r="H3926" s="1">
        <v>-1.631072E-6</v>
      </c>
      <c r="I3926">
        <v>37.448909999999998</v>
      </c>
      <c r="J3926">
        <v>-421.98790000000002</v>
      </c>
      <c r="K3926">
        <v>1.1048849999999999</v>
      </c>
      <c r="L3926">
        <v>51.796779999999998</v>
      </c>
      <c r="M3926">
        <v>-1.8960159999999999E-3</v>
      </c>
      <c r="N3926">
        <v>0</v>
      </c>
      <c r="O3926">
        <v>-0.99994539999999998</v>
      </c>
      <c r="P3926">
        <v>0.1699522</v>
      </c>
      <c r="Q3926">
        <v>0.1117259</v>
      </c>
      <c r="R3926">
        <v>-0.97909860000000004</v>
      </c>
      <c r="S3926">
        <v>0.61001590000000006</v>
      </c>
      <c r="T3926">
        <v>-0.22554540000000001</v>
      </c>
      <c r="U3926">
        <v>-2.9843139999999999</v>
      </c>
      <c r="V3926">
        <v>-0.17188639999999999</v>
      </c>
      <c r="W3926">
        <v>0.1216806</v>
      </c>
      <c r="X3926">
        <v>0.97757300000000003</v>
      </c>
      <c r="Y3926">
        <v>-0.20157720000000001</v>
      </c>
      <c r="Z3926">
        <v>7.3829320000000004E-2</v>
      </c>
      <c r="AA3926">
        <v>0.97668619999999995</v>
      </c>
      <c r="AB3926">
        <v>27</v>
      </c>
      <c r="AC3926">
        <v>2.9884000000000102</v>
      </c>
      <c r="AD3926">
        <v>-1.104886631072</v>
      </c>
      <c r="AE3926">
        <v>-14.34787</v>
      </c>
      <c r="AF3926">
        <v>-2.9985574890382298</v>
      </c>
      <c r="AG3926">
        <v>-1.104886631072</v>
      </c>
      <c r="AH3926">
        <v>14.2611244443915</v>
      </c>
      <c r="AI3926">
        <v>94.335734096079193</v>
      </c>
      <c r="AJ3926">
        <v>101.874097872395</v>
      </c>
      <c r="AK3926">
        <v>14.6147799128488</v>
      </c>
      <c r="AL3926">
        <v>83.010895543409703</v>
      </c>
      <c r="AM3926">
        <v>99.972366565771395</v>
      </c>
      <c r="AN3926">
        <v>1.00000003662515</v>
      </c>
    </row>
    <row r="3927" spans="1:40" x14ac:dyDescent="0.3">
      <c r="A3927" t="str">
        <f>"20200111150108095"</f>
        <v>20200111150108095</v>
      </c>
      <c r="B3927" t="str">
        <f>"1578726068091481"</f>
        <v>1578726068091481</v>
      </c>
      <c r="C3927" t="s">
        <v>40</v>
      </c>
      <c r="D3927">
        <v>4.2289789999999998</v>
      </c>
      <c r="E3927">
        <v>0.48589830000000001</v>
      </c>
      <c r="F3927" t="s">
        <v>83</v>
      </c>
      <c r="G3927">
        <v>-418.89760000000001</v>
      </c>
      <c r="H3927" s="1">
        <v>-1.9786329999999998E-6</v>
      </c>
      <c r="I3927">
        <v>36.94473</v>
      </c>
      <c r="J3927">
        <v>-421.98790000000002</v>
      </c>
      <c r="K3927">
        <v>1.1049009999999999</v>
      </c>
      <c r="L3927">
        <v>51.530850000000001</v>
      </c>
      <c r="M3927">
        <v>-1.4758950000000001E-3</v>
      </c>
      <c r="N3927">
        <v>0</v>
      </c>
      <c r="O3927">
        <v>-0.99994609999999995</v>
      </c>
      <c r="P3927">
        <v>0.17278360000000001</v>
      </c>
      <c r="Q3927">
        <v>0.11092970000000001</v>
      </c>
      <c r="R3927">
        <v>-0.97869349999999999</v>
      </c>
      <c r="S3927">
        <v>0.62039180000000005</v>
      </c>
      <c r="T3927">
        <v>-0.2218165</v>
      </c>
      <c r="U3927">
        <v>-2.9816889999999998</v>
      </c>
      <c r="V3927">
        <v>-0.174311299999999</v>
      </c>
      <c r="W3927">
        <v>0.1208731</v>
      </c>
      <c r="X3927">
        <v>0.97724370000000005</v>
      </c>
      <c r="Y3927">
        <v>-0.2046113</v>
      </c>
      <c r="Z3927">
        <v>7.2629470000000002E-2</v>
      </c>
      <c r="AA3927">
        <v>0.97614500000000004</v>
      </c>
      <c r="AB3927">
        <v>27</v>
      </c>
      <c r="AC3927">
        <v>3.0903000000000098</v>
      </c>
      <c r="AD3927">
        <v>-1.104902978633</v>
      </c>
      <c r="AE3927">
        <v>-14.586119999999999</v>
      </c>
      <c r="AF3927">
        <v>-3.0948297675360101</v>
      </c>
      <c r="AG3927">
        <v>-1.104902978633</v>
      </c>
      <c r="AH3927">
        <v>14.5019041728352</v>
      </c>
      <c r="AI3927">
        <v>94.261366983837107</v>
      </c>
      <c r="AJ3927">
        <v>102.046694910431</v>
      </c>
      <c r="AK3927">
        <v>14.869566453676899</v>
      </c>
      <c r="AL3927">
        <v>83.057505620691899</v>
      </c>
      <c r="AM3927">
        <v>100.113506292342</v>
      </c>
      <c r="AN3927">
        <v>0.99999999240049497</v>
      </c>
    </row>
    <row r="3928" spans="1:40" x14ac:dyDescent="0.3">
      <c r="A3928" t="str">
        <f>"20200111150108118"</f>
        <v>20200111150108118</v>
      </c>
      <c r="B3928" t="str">
        <f>"1578726068111989"</f>
        <v>1578726068111989</v>
      </c>
      <c r="C3928" t="s">
        <v>40</v>
      </c>
      <c r="D3928">
        <v>4.2976530000000004</v>
      </c>
      <c r="E3928">
        <v>0.48582500000000001</v>
      </c>
      <c r="F3928" t="s">
        <v>83</v>
      </c>
      <c r="G3928">
        <v>-418.76870000000002</v>
      </c>
      <c r="H3928" s="1">
        <v>-2.4026359999999998E-6</v>
      </c>
      <c r="I3928">
        <v>36.331650000000003</v>
      </c>
      <c r="J3928">
        <v>-421.98790000000002</v>
      </c>
      <c r="K3928">
        <v>1.104919</v>
      </c>
      <c r="L3928">
        <v>51.256230000000002</v>
      </c>
      <c r="M3928">
        <v>-1.00154E-3</v>
      </c>
      <c r="N3928">
        <v>0</v>
      </c>
      <c r="O3928">
        <v>-0.99994689999999997</v>
      </c>
      <c r="P3928">
        <v>0.17344039999999999</v>
      </c>
      <c r="Q3928">
        <v>0.1099541</v>
      </c>
      <c r="R3928">
        <v>-0.97868759999999999</v>
      </c>
      <c r="S3928">
        <v>0.63085939999999996</v>
      </c>
      <c r="T3928">
        <v>-0.2165204</v>
      </c>
      <c r="U3928">
        <v>-2.978485</v>
      </c>
      <c r="V3928">
        <v>-0.17451120000000001</v>
      </c>
      <c r="W3928">
        <v>0.11988989999999999</v>
      </c>
      <c r="X3928">
        <v>0.97732909999999995</v>
      </c>
      <c r="Y3928">
        <v>-0.2076664</v>
      </c>
      <c r="Z3928">
        <v>7.0930439999999997E-2</v>
      </c>
      <c r="AA3928">
        <v>0.97562470000000001</v>
      </c>
      <c r="AB3928">
        <v>27</v>
      </c>
      <c r="AC3928">
        <v>3.2191999999999998</v>
      </c>
      <c r="AD3928">
        <v>-1.1049214026359999</v>
      </c>
      <c r="AE3928">
        <v>-14.924580000000001</v>
      </c>
      <c r="AF3928">
        <v>-3.2172967390265099</v>
      </c>
      <c r="AG3928">
        <v>-1.1049214026359999</v>
      </c>
      <c r="AH3928">
        <v>14.843607538873901</v>
      </c>
      <c r="AI3928">
        <v>94.160841668699902</v>
      </c>
      <c r="AJ3928">
        <v>102.229479661806</v>
      </c>
      <c r="AK3928">
        <v>15.228412076807899</v>
      </c>
      <c r="AL3928">
        <v>83.114251271412698</v>
      </c>
      <c r="AM3928">
        <v>100.123998214517</v>
      </c>
      <c r="AN3928">
        <v>0.99999995837712896</v>
      </c>
    </row>
    <row r="3929" spans="1:40" x14ac:dyDescent="0.3">
      <c r="A3929" t="str">
        <f>"20200111150108140"</f>
        <v>20200111150108140</v>
      </c>
      <c r="B3929" t="str">
        <f>"1578726068131497"</f>
        <v>1578726068131497</v>
      </c>
      <c r="C3929" t="s">
        <v>40</v>
      </c>
      <c r="D3929">
        <v>4.2235290000000001</v>
      </c>
      <c r="E3929">
        <v>0.48554180000000002</v>
      </c>
      <c r="F3929" t="s">
        <v>83</v>
      </c>
      <c r="G3929">
        <v>-418.89080000000001</v>
      </c>
      <c r="H3929" s="1">
        <v>-2.1036519999999998E-6</v>
      </c>
      <c r="I3929">
        <v>36.750900000000001</v>
      </c>
      <c r="J3929">
        <v>-421.98770000000002</v>
      </c>
      <c r="K3929">
        <v>1.104957</v>
      </c>
      <c r="L3929">
        <v>50.998690000000003</v>
      </c>
      <c r="M3929">
        <v>-4.9416849999999997E-4</v>
      </c>
      <c r="N3929">
        <v>0</v>
      </c>
      <c r="O3929">
        <v>-0.99994700000000003</v>
      </c>
      <c r="P3929">
        <v>0.17261799999999999</v>
      </c>
      <c r="Q3929">
        <v>0.1100646</v>
      </c>
      <c r="R3929">
        <v>-0.97882020000000003</v>
      </c>
      <c r="S3929">
        <v>0.63586430000000005</v>
      </c>
      <c r="T3929">
        <v>-0.226856</v>
      </c>
      <c r="U3929">
        <v>-2.9781490000000002</v>
      </c>
      <c r="V3929">
        <v>-0.1732041</v>
      </c>
      <c r="W3929">
        <v>0.11998979999999999</v>
      </c>
      <c r="X3929">
        <v>0.97754940000000001</v>
      </c>
      <c r="Y3929">
        <v>-0.20871000000000001</v>
      </c>
      <c r="Z3929">
        <v>7.4284699999999995E-2</v>
      </c>
      <c r="AA3929">
        <v>0.97515229999999997</v>
      </c>
      <c r="AB3929">
        <v>27</v>
      </c>
      <c r="AC3929">
        <v>3.0969000000000002</v>
      </c>
      <c r="AD3929">
        <v>-1.1049591036519999</v>
      </c>
      <c r="AE3929">
        <v>-14.24779</v>
      </c>
      <c r="AF3929">
        <v>-3.0862162498840799</v>
      </c>
      <c r="AG3929">
        <v>-1.1049591036519999</v>
      </c>
      <c r="AH3929">
        <v>14.1649068316736</v>
      </c>
      <c r="AI3929">
        <v>94.358582890110299</v>
      </c>
      <c r="AJ3929">
        <v>102.291377720409</v>
      </c>
      <c r="AK3929">
        <v>14.5392658312511</v>
      </c>
      <c r="AL3929">
        <v>83.1084862357731</v>
      </c>
      <c r="AM3929">
        <v>100.04750155679</v>
      </c>
      <c r="AN3929">
        <v>1.0000000209005999</v>
      </c>
    </row>
    <row r="3930" spans="1:40" x14ac:dyDescent="0.3">
      <c r="A3930" t="str">
        <f>"20200111150108157"</f>
        <v>20200111150108157</v>
      </c>
      <c r="B3930" t="str">
        <f>"1578726068151993"</f>
        <v>1578726068151993</v>
      </c>
      <c r="C3930" t="s">
        <v>40</v>
      </c>
      <c r="D3930">
        <v>4.2321049999999998</v>
      </c>
      <c r="E3930">
        <v>0.48535410000000001</v>
      </c>
      <c r="F3930" t="s">
        <v>83</v>
      </c>
      <c r="G3930">
        <v>-418.97050000000002</v>
      </c>
      <c r="H3930" s="1">
        <v>-1.996177E-6</v>
      </c>
      <c r="I3930">
        <v>36.886620000000001</v>
      </c>
      <c r="J3930">
        <v>-421.9873</v>
      </c>
      <c r="K3930">
        <v>1.1050120000000001</v>
      </c>
      <c r="L3930">
        <v>50.789090000000002</v>
      </c>
      <c r="M3930" s="1">
        <v>-9.1243559999999999E-6</v>
      </c>
      <c r="N3930">
        <v>0</v>
      </c>
      <c r="O3930">
        <v>-0.99994709999999998</v>
      </c>
      <c r="P3930">
        <v>0.17254449999999999</v>
      </c>
      <c r="Q3930">
        <v>0.11011369999999999</v>
      </c>
      <c r="R3930">
        <v>-0.97882769999999997</v>
      </c>
      <c r="S3930">
        <v>0.63687130000000003</v>
      </c>
      <c r="T3930">
        <v>-0.23323840000000001</v>
      </c>
      <c r="U3930">
        <v>-2.9788209999999999</v>
      </c>
      <c r="V3930">
        <v>-0.17267060000000001</v>
      </c>
      <c r="W3930">
        <v>0.12002110000000001</v>
      </c>
      <c r="X3930">
        <v>0.97763990000000001</v>
      </c>
      <c r="Y3930">
        <v>-0.20847350000000001</v>
      </c>
      <c r="Z3930">
        <v>7.634494E-2</v>
      </c>
      <c r="AA3930">
        <v>0.97504369999999996</v>
      </c>
      <c r="AB3930">
        <v>27</v>
      </c>
      <c r="AC3930">
        <v>3.0167999999999799</v>
      </c>
      <c r="AD3930">
        <v>-1.105013996177</v>
      </c>
      <c r="AE3930">
        <v>-13.902469999999999</v>
      </c>
      <c r="AF3930">
        <v>-2.9988334304870499</v>
      </c>
      <c r="AG3930">
        <v>-1.105013996177</v>
      </c>
      <c r="AH3930">
        <v>13.819065299272401</v>
      </c>
      <c r="AI3930">
        <v>94.468251797380304</v>
      </c>
      <c r="AJ3930">
        <v>102.24374479962</v>
      </c>
      <c r="AK3930">
        <v>14.183815552280301</v>
      </c>
      <c r="AL3930">
        <v>83.106679590721697</v>
      </c>
      <c r="AM3930">
        <v>100.01627266475499</v>
      </c>
      <c r="AN3930">
        <v>0.99999998731078898</v>
      </c>
    </row>
    <row r="3931" spans="1:40" x14ac:dyDescent="0.3">
      <c r="A3931" t="str">
        <f>"20200111150108171"</f>
        <v>20200111150108171</v>
      </c>
      <c r="B3931" t="str">
        <f>"1578726068161754"</f>
        <v>1578726068161754</v>
      </c>
      <c r="C3931" t="s">
        <v>40</v>
      </c>
      <c r="D3931">
        <v>4.306711</v>
      </c>
      <c r="E3931">
        <v>0.48516130000000002</v>
      </c>
      <c r="F3931" t="s">
        <v>83</v>
      </c>
      <c r="G3931">
        <v>-418.96890000000002</v>
      </c>
      <c r="H3931" s="1">
        <v>-2.1255989999999998E-6</v>
      </c>
      <c r="I3931">
        <v>36.683669999999999</v>
      </c>
      <c r="J3931">
        <v>-421.98680000000002</v>
      </c>
      <c r="K3931">
        <v>1.105067</v>
      </c>
      <c r="L3931">
        <v>50.618899999999996</v>
      </c>
      <c r="M3931">
        <v>4.4685260000000001E-4</v>
      </c>
      <c r="N3931">
        <v>0</v>
      </c>
      <c r="O3931">
        <v>-0.99994720000000004</v>
      </c>
      <c r="P3931">
        <v>0.17208389999999901</v>
      </c>
      <c r="Q3931">
        <v>0.1102751</v>
      </c>
      <c r="R3931">
        <v>-0.97889079999999995</v>
      </c>
      <c r="S3931">
        <v>0.63742069999999995</v>
      </c>
      <c r="T3931">
        <v>-0.23335739999999999</v>
      </c>
      <c r="U3931">
        <v>-2.97879</v>
      </c>
      <c r="V3931">
        <v>-0.1717804</v>
      </c>
      <c r="W3931">
        <v>0.12016350000000001</v>
      </c>
      <c r="X3931">
        <v>0.97777919999999996</v>
      </c>
      <c r="Y3931">
        <v>-0.20820089999999999</v>
      </c>
      <c r="Z3931">
        <v>7.63852E-2</v>
      </c>
      <c r="AA3931">
        <v>0.97509880000000004</v>
      </c>
      <c r="AB3931">
        <v>27</v>
      </c>
      <c r="AC3931">
        <v>3.0178999999999898</v>
      </c>
      <c r="AD3931">
        <v>-1.1050691255989999</v>
      </c>
      <c r="AE3931">
        <v>-13.935229999999899</v>
      </c>
      <c r="AF3931">
        <v>-2.9936898040894202</v>
      </c>
      <c r="AG3931">
        <v>-1.1050691255989999</v>
      </c>
      <c r="AH3931">
        <v>13.8533625031935</v>
      </c>
      <c r="AI3931">
        <v>94.4582901232681</v>
      </c>
      <c r="AJ3931">
        <v>102.194020994525</v>
      </c>
      <c r="AK3931">
        <v>14.2161531034366</v>
      </c>
      <c r="AL3931">
        <v>83.098461060690795</v>
      </c>
      <c r="AM3931">
        <v>99.964280446133799</v>
      </c>
      <c r="AN3931">
        <v>0.99999996825452397</v>
      </c>
    </row>
    <row r="3932" spans="1:40" x14ac:dyDescent="0.3">
      <c r="A3932" t="str">
        <f>"20200111150108185"</f>
        <v>20200111150108185</v>
      </c>
      <c r="B3932" t="str">
        <f>"1578726068182250"</f>
        <v>1578726068182250</v>
      </c>
      <c r="C3932" t="s">
        <v>40</v>
      </c>
      <c r="D3932">
        <v>4.2594799999999999</v>
      </c>
      <c r="E3932">
        <v>0.48530240000000002</v>
      </c>
      <c r="F3932" t="s">
        <v>83</v>
      </c>
      <c r="G3932">
        <v>-419.0129</v>
      </c>
      <c r="H3932" s="1">
        <v>-2.0858999999999998E-6</v>
      </c>
      <c r="I3932">
        <v>36.727710000000002</v>
      </c>
      <c r="J3932">
        <v>-421.98630000000003</v>
      </c>
      <c r="K3932">
        <v>1.1051230000000001</v>
      </c>
      <c r="L3932">
        <v>50.462589999999999</v>
      </c>
      <c r="M3932">
        <v>9.0725090000000005E-4</v>
      </c>
      <c r="N3932">
        <v>0</v>
      </c>
      <c r="O3932">
        <v>-0.99994669999999997</v>
      </c>
      <c r="P3932">
        <v>0.17049239999999999</v>
      </c>
      <c r="Q3932">
        <v>0.1101388</v>
      </c>
      <c r="R3932">
        <v>-0.97918439999999995</v>
      </c>
      <c r="S3932">
        <v>0.63781739999999998</v>
      </c>
      <c r="T3932">
        <v>-0.23700470000000001</v>
      </c>
      <c r="U3932">
        <v>-2.9792480000000001</v>
      </c>
      <c r="V3932">
        <v>-0.16975499999999999</v>
      </c>
      <c r="W3932">
        <v>0.1200111</v>
      </c>
      <c r="X3932">
        <v>0.97815160000000001</v>
      </c>
      <c r="Y3932">
        <v>-0.20782519999999999</v>
      </c>
      <c r="Z3932">
        <v>7.7562240000000005E-2</v>
      </c>
      <c r="AA3932">
        <v>0.97508600000000001</v>
      </c>
      <c r="AB3932">
        <v>27</v>
      </c>
      <c r="AC3932">
        <v>2.9734000000000198</v>
      </c>
      <c r="AD3932">
        <v>-1.1051250858999999</v>
      </c>
      <c r="AE3932">
        <v>-13.73488</v>
      </c>
      <c r="AF3932">
        <v>-2.9427387105744001</v>
      </c>
      <c r="AG3932">
        <v>-1.1051250858999999</v>
      </c>
      <c r="AH3932">
        <v>13.653138649784299</v>
      </c>
      <c r="AI3932">
        <v>94.524152644397105</v>
      </c>
      <c r="AJ3932">
        <v>102.16321383127401</v>
      </c>
      <c r="AK3932">
        <v>14.0103250342179</v>
      </c>
      <c r="AL3932">
        <v>83.107256727350801</v>
      </c>
      <c r="AM3932">
        <v>99.845432974675205</v>
      </c>
      <c r="AN3932">
        <v>0.99999998836538495</v>
      </c>
    </row>
    <row r="3933" spans="1:40" x14ac:dyDescent="0.3">
      <c r="A3933" t="str">
        <f>"20200111150108199"</f>
        <v>20200111150108199</v>
      </c>
      <c r="B3933" t="str">
        <f>"1578726068192009"</f>
        <v>1578726068192009</v>
      </c>
      <c r="C3933" t="s">
        <v>40</v>
      </c>
      <c r="D3933">
        <v>4.2342009999999997</v>
      </c>
      <c r="E3933">
        <v>0.48550169999999998</v>
      </c>
      <c r="F3933" t="s">
        <v>83</v>
      </c>
      <c r="G3933">
        <v>-419.10590000000002</v>
      </c>
      <c r="H3933" s="1">
        <v>-1.9676879999999999E-6</v>
      </c>
      <c r="I3933">
        <v>36.874760000000002</v>
      </c>
      <c r="J3933">
        <v>-421.98559999999998</v>
      </c>
      <c r="K3933">
        <v>1.1052010000000001</v>
      </c>
      <c r="L3933">
        <v>50.275149999999996</v>
      </c>
      <c r="M3933">
        <v>1.526843E-3</v>
      </c>
      <c r="N3933">
        <v>0</v>
      </c>
      <c r="O3933">
        <v>-0.999946</v>
      </c>
      <c r="P3933">
        <v>0.16936019999999999</v>
      </c>
      <c r="Q3933">
        <v>0.11002199999999999</v>
      </c>
      <c r="R3933">
        <v>-0.97939399999999999</v>
      </c>
      <c r="S3933">
        <v>0.63192749999999998</v>
      </c>
      <c r="T3933">
        <v>-0.2424521</v>
      </c>
      <c r="U3933">
        <v>-2.9810180000000002</v>
      </c>
      <c r="V3933">
        <v>-0.16803940000000001</v>
      </c>
      <c r="W3933">
        <v>0.11986910000000001</v>
      </c>
      <c r="X3933">
        <v>0.97846520000000003</v>
      </c>
      <c r="Y3933">
        <v>-0.2052281</v>
      </c>
      <c r="Z3933">
        <v>7.9325809999999997E-2</v>
      </c>
      <c r="AA3933">
        <v>0.97549410000000003</v>
      </c>
      <c r="AB3933">
        <v>27</v>
      </c>
      <c r="AC3933">
        <v>2.87969999999995</v>
      </c>
      <c r="AD3933">
        <v>-1.105202967688</v>
      </c>
      <c r="AE3933">
        <v>-13.40039</v>
      </c>
      <c r="AF3933">
        <v>-2.8407648055175798</v>
      </c>
      <c r="AG3933">
        <v>-1.105202967688</v>
      </c>
      <c r="AH3933">
        <v>13.318177551662499</v>
      </c>
      <c r="AI3933">
        <v>94.639890140960105</v>
      </c>
      <c r="AJ3933">
        <v>102.040738259059</v>
      </c>
      <c r="AK3933">
        <v>13.6625499661543</v>
      </c>
      <c r="AL3933">
        <v>83.115451929337098</v>
      </c>
      <c r="AM3933">
        <v>99.744785884351302</v>
      </c>
      <c r="AN3933">
        <v>0.99999999434910503</v>
      </c>
    </row>
    <row r="3934" spans="1:40" x14ac:dyDescent="0.3">
      <c r="A3934" t="str">
        <f>"20200111150108230"</f>
        <v>20200111150108230</v>
      </c>
      <c r="B3934" t="str">
        <f>"1578726068221288"</f>
        <v>1578726068221288</v>
      </c>
      <c r="C3934" t="s">
        <v>40</v>
      </c>
      <c r="D3934">
        <v>4.2793999999999999</v>
      </c>
      <c r="E3934">
        <v>0.48607879999999998</v>
      </c>
      <c r="F3934" t="s">
        <v>83</v>
      </c>
      <c r="G3934">
        <v>-419.15249999999997</v>
      </c>
      <c r="H3934" s="1">
        <v>-1.9968090000000001E-6</v>
      </c>
      <c r="I3934">
        <v>36.809449999999998</v>
      </c>
      <c r="J3934">
        <v>-421.98349999999999</v>
      </c>
      <c r="K3934">
        <v>1.1053789999999999</v>
      </c>
      <c r="L3934">
        <v>49.923459999999999</v>
      </c>
      <c r="M3934">
        <v>2.9742689999999999E-3</v>
      </c>
      <c r="N3934">
        <v>0</v>
      </c>
      <c r="O3934">
        <v>-0.99994240000000001</v>
      </c>
      <c r="P3934">
        <v>0.16955229999999999</v>
      </c>
      <c r="Q3934">
        <v>0.11102339999999999</v>
      </c>
      <c r="R3934">
        <v>-0.97924770000000005</v>
      </c>
      <c r="S3934">
        <v>0.62741089999999999</v>
      </c>
      <c r="T3934">
        <v>-0.24475849999999999</v>
      </c>
      <c r="U3934">
        <v>-2.9821170000000001</v>
      </c>
      <c r="V3934">
        <v>-0.16686819999999999</v>
      </c>
      <c r="W3934">
        <v>0.12080680000000001</v>
      </c>
      <c r="X3934">
        <v>0.97855029999999998</v>
      </c>
      <c r="Y3934">
        <v>-0.20231109999999999</v>
      </c>
      <c r="Z3934">
        <v>8.0083329999999994E-2</v>
      </c>
      <c r="AA3934">
        <v>0.97604139999999995</v>
      </c>
      <c r="AB3934">
        <v>27</v>
      </c>
      <c r="AC3934">
        <v>2.8310000000000102</v>
      </c>
      <c r="AD3934">
        <v>-1.10538099680899</v>
      </c>
      <c r="AE3934">
        <v>-13.11401</v>
      </c>
      <c r="AF3934">
        <v>-2.7731553566815799</v>
      </c>
      <c r="AG3934">
        <v>-1.10538099680899</v>
      </c>
      <c r="AH3934">
        <v>13.033892542277901</v>
      </c>
      <c r="AI3934">
        <v>94.741910051769594</v>
      </c>
      <c r="AJ3934">
        <v>102.011422581826</v>
      </c>
      <c r="AK3934">
        <v>13.371410269079499</v>
      </c>
      <c r="AL3934">
        <v>83.061332317295495</v>
      </c>
      <c r="AM3934">
        <v>99.677329941228507</v>
      </c>
      <c r="AN3934">
        <v>0.99999998436378401</v>
      </c>
    </row>
    <row r="3935" spans="1:40" x14ac:dyDescent="0.3">
      <c r="A3935" t="str">
        <f>"20200111150108252"</f>
        <v>20200111150108252</v>
      </c>
      <c r="B3935" t="str">
        <f>"1578726068241785"</f>
        <v>1578726068241785</v>
      </c>
      <c r="C3935" t="s">
        <v>40</v>
      </c>
      <c r="D3935">
        <v>4.3762059999999998</v>
      </c>
      <c r="E3935">
        <v>0.50360859999999996</v>
      </c>
      <c r="F3935" t="s">
        <v>83</v>
      </c>
      <c r="G3935">
        <v>-419.18880000000001</v>
      </c>
      <c r="H3935" s="1">
        <v>-2.1583580000000001E-6</v>
      </c>
      <c r="I3935">
        <v>36.540109999999999</v>
      </c>
      <c r="J3935">
        <v>-421.98129999999998</v>
      </c>
      <c r="K3935">
        <v>1.1055140000000001</v>
      </c>
      <c r="L3935">
        <v>49.654879999999999</v>
      </c>
      <c r="M3935">
        <v>4.3114169999999997E-3</v>
      </c>
      <c r="N3935">
        <v>0</v>
      </c>
      <c r="O3935">
        <v>-0.99993770000000004</v>
      </c>
      <c r="P3935">
        <v>0.1729117</v>
      </c>
      <c r="Q3935">
        <v>0.11096839999999999</v>
      </c>
      <c r="R3935">
        <v>-0.97866649999999999</v>
      </c>
      <c r="S3935">
        <v>0.62304689999999996</v>
      </c>
      <c r="T3935">
        <v>-0.24643019999999999</v>
      </c>
      <c r="U3935">
        <v>-2.9836429999999998</v>
      </c>
      <c r="V3935">
        <v>-0.1689649</v>
      </c>
      <c r="W3935">
        <v>0.12068760000000001</v>
      </c>
      <c r="X3935">
        <v>0.9782052</v>
      </c>
      <c r="Y3935">
        <v>-0.1995239</v>
      </c>
      <c r="Z3935">
        <v>8.0621129999999999E-2</v>
      </c>
      <c r="AA3935">
        <v>0.97657079999999996</v>
      </c>
      <c r="AB3935">
        <v>27</v>
      </c>
      <c r="AC3935">
        <v>2.79249999999996</v>
      </c>
      <c r="AD3935">
        <v>-1.105516158358</v>
      </c>
      <c r="AE3935">
        <v>-13.11477</v>
      </c>
      <c r="AF3935">
        <v>-2.71745578042519</v>
      </c>
      <c r="AG3935">
        <v>-1.105516158358</v>
      </c>
      <c r="AH3935">
        <v>13.038061578513201</v>
      </c>
      <c r="AI3935">
        <v>94.745109797303698</v>
      </c>
      <c r="AJ3935">
        <v>101.77331319650401</v>
      </c>
      <c r="AK3935">
        <v>13.3640481000353</v>
      </c>
      <c r="AL3935">
        <v>83.068212587734294</v>
      </c>
      <c r="AM3935">
        <v>99.799972864205898</v>
      </c>
      <c r="AN3935">
        <v>1.0000000237664</v>
      </c>
    </row>
    <row r="3936" spans="1:40" x14ac:dyDescent="0.3">
      <c r="A3936" t="str">
        <f>"20200111150108273"</f>
        <v>20200111150108273</v>
      </c>
      <c r="B3936" t="str">
        <f>"1578726068272042"</f>
        <v>1578726068272042</v>
      </c>
      <c r="C3936" t="s">
        <v>40</v>
      </c>
      <c r="D3936">
        <v>3.85337</v>
      </c>
      <c r="E3936">
        <v>0.50639279999999998</v>
      </c>
      <c r="F3936" t="s">
        <v>85</v>
      </c>
      <c r="G3936">
        <v>-413.84739999999999</v>
      </c>
      <c r="H3936">
        <v>0.91146190000000005</v>
      </c>
      <c r="I3936">
        <v>0.53996089999999997</v>
      </c>
      <c r="J3936">
        <v>-421.9785</v>
      </c>
      <c r="K3936">
        <v>1.105661</v>
      </c>
      <c r="L3936">
        <v>49.385930000000002</v>
      </c>
      <c r="M3936">
        <v>5.8767300000000001E-3</v>
      </c>
      <c r="N3936">
        <v>0</v>
      </c>
      <c r="O3936">
        <v>-0.99992950000000003</v>
      </c>
      <c r="P3936">
        <v>0.17668729999999999</v>
      </c>
      <c r="Q3936">
        <v>0.1079329</v>
      </c>
      <c r="R3936">
        <v>-0.97833159999999997</v>
      </c>
      <c r="S3936">
        <v>0.49343870000000001</v>
      </c>
      <c r="T3936">
        <v>-1.1773820000000001E-2</v>
      </c>
      <c r="U3936">
        <v>-2.9795530000000001</v>
      </c>
      <c r="V3936">
        <v>-0.1712475</v>
      </c>
      <c r="W3936">
        <v>0.1175865</v>
      </c>
      <c r="X3936">
        <v>0.978186</v>
      </c>
      <c r="Y3936">
        <v>-0.15758079999999999</v>
      </c>
      <c r="Z3936">
        <v>3.9001629999999999E-3</v>
      </c>
      <c r="AA3936">
        <v>0.9874984</v>
      </c>
      <c r="AB3936">
        <v>27</v>
      </c>
      <c r="AC3936">
        <v>8.1311</v>
      </c>
      <c r="AD3936">
        <v>-0.19419910000000001</v>
      </c>
      <c r="AE3936">
        <v>-48.845969099999998</v>
      </c>
      <c r="AF3936">
        <v>-7.84376908326837</v>
      </c>
      <c r="AG3936">
        <v>-0.19419910000000001</v>
      </c>
      <c r="AH3936">
        <v>48.892160376237499</v>
      </c>
      <c r="AI3936">
        <v>90.224703695226296</v>
      </c>
      <c r="AJ3936">
        <v>99.114297289271903</v>
      </c>
      <c r="AK3936">
        <v>49.517731904619801</v>
      </c>
      <c r="AL3936">
        <v>83.247167467302106</v>
      </c>
      <c r="AM3936">
        <v>99.929936767828707</v>
      </c>
      <c r="AN3936">
        <v>1.0000000709172401</v>
      </c>
    </row>
    <row r="3937" spans="1:40" x14ac:dyDescent="0.3">
      <c r="A3937" t="str">
        <f>"20200111150108297"</f>
        <v>20200111150108297</v>
      </c>
      <c r="B3937" t="str">
        <f>"1578726068291560"</f>
        <v>1578726068291560</v>
      </c>
      <c r="C3937" t="s">
        <v>40</v>
      </c>
      <c r="D3937">
        <v>4.2921509999999996</v>
      </c>
      <c r="E3937">
        <v>0.5064784</v>
      </c>
      <c r="F3937" t="s">
        <v>83</v>
      </c>
      <c r="G3937">
        <v>-414.91930000000002</v>
      </c>
      <c r="H3937">
        <v>7.9986570000000007E-2</v>
      </c>
      <c r="I3937">
        <v>5.7303350000000002</v>
      </c>
      <c r="J3937">
        <v>-421.9751</v>
      </c>
      <c r="K3937">
        <v>1.1058460000000001</v>
      </c>
      <c r="L3937">
        <v>49.114319999999999</v>
      </c>
      <c r="M3937">
        <v>7.739503E-3</v>
      </c>
      <c r="N3937">
        <v>0</v>
      </c>
      <c r="O3937">
        <v>-0.99991669999999999</v>
      </c>
      <c r="P3937">
        <v>0.178154799999999</v>
      </c>
      <c r="Q3937">
        <v>0.1044944</v>
      </c>
      <c r="R3937">
        <v>-0.97843860000000005</v>
      </c>
      <c r="S3937">
        <v>0.48300169999999998</v>
      </c>
      <c r="T3937">
        <v>-7.0177199999999995E-2</v>
      </c>
      <c r="U3937">
        <v>-2.9869379999999999</v>
      </c>
      <c r="V3937">
        <v>-0.170932</v>
      </c>
      <c r="W3937">
        <v>0.11408409999999999</v>
      </c>
      <c r="X3937">
        <v>0.97865579999999996</v>
      </c>
      <c r="Y3937">
        <v>-0.15194260000000001</v>
      </c>
      <c r="Z3937">
        <v>2.3200200000000001E-2</v>
      </c>
      <c r="AA3937">
        <v>0.98811700000000002</v>
      </c>
      <c r="AB3937">
        <v>27</v>
      </c>
      <c r="AC3937">
        <v>7.0557999999999703</v>
      </c>
      <c r="AD3937">
        <v>-1.0258594299999999</v>
      </c>
      <c r="AE3937">
        <v>-43.383985000000003</v>
      </c>
      <c r="AF3937">
        <v>-6.7161417946002704</v>
      </c>
      <c r="AG3937">
        <v>-1.0258594299999999</v>
      </c>
      <c r="AH3937">
        <v>43.413648210188697</v>
      </c>
      <c r="AI3937">
        <v>91.337733573583407</v>
      </c>
      <c r="AJ3937">
        <v>98.794011743804205</v>
      </c>
      <c r="AK3937">
        <v>43.942050465281199</v>
      </c>
      <c r="AL3937">
        <v>83.449200176482606</v>
      </c>
      <c r="AM3937">
        <v>99.907341464123803</v>
      </c>
      <c r="AN3937">
        <v>1.00000005268522</v>
      </c>
    </row>
    <row r="3938" spans="1:40" x14ac:dyDescent="0.3">
      <c r="A3938" t="str">
        <f>"20200111150108319"</f>
        <v>20200111150108319</v>
      </c>
      <c r="B3938" t="str">
        <f>"1578726068312059"</f>
        <v>1578726068312059</v>
      </c>
      <c r="C3938" t="s">
        <v>40</v>
      </c>
      <c r="D3938">
        <v>4.3791570000000002</v>
      </c>
      <c r="E3938">
        <v>0.50659399999999999</v>
      </c>
      <c r="F3938" t="s">
        <v>83</v>
      </c>
      <c r="G3938">
        <v>-417.33170000000001</v>
      </c>
      <c r="H3938" s="1">
        <v>-7.2161670000000002E-6</v>
      </c>
      <c r="I3938">
        <v>20.609369999999998</v>
      </c>
      <c r="J3938">
        <v>-421.9708</v>
      </c>
      <c r="K3938">
        <v>1.1060779999999999</v>
      </c>
      <c r="L3938">
        <v>48.841250000000002</v>
      </c>
      <c r="M3938">
        <v>9.9417410000000005E-3</v>
      </c>
      <c r="N3938">
        <v>0</v>
      </c>
      <c r="O3938">
        <v>-0.99989709999999998</v>
      </c>
      <c r="P3938">
        <v>0.1772966</v>
      </c>
      <c r="Q3938">
        <v>0.1048157</v>
      </c>
      <c r="R3938">
        <v>-0.97856010000000004</v>
      </c>
      <c r="S3938">
        <v>0.48703000000000002</v>
      </c>
      <c r="T3938">
        <v>-0.11598990000000001</v>
      </c>
      <c r="U3938">
        <v>-2.9898069999999999</v>
      </c>
      <c r="V3938">
        <v>-0.16797790000000001</v>
      </c>
      <c r="W3938">
        <v>0.114338</v>
      </c>
      <c r="X3938">
        <v>0.97913749999999999</v>
      </c>
      <c r="Y3938">
        <v>-0.1508389</v>
      </c>
      <c r="Z3938">
        <v>3.8289360000000001E-2</v>
      </c>
      <c r="AA3938">
        <v>0.98781660000000004</v>
      </c>
      <c r="AB3938">
        <v>27</v>
      </c>
      <c r="AC3938">
        <v>4.6390999999999796</v>
      </c>
      <c r="AD3938">
        <v>-1.1060852161669901</v>
      </c>
      <c r="AE3938">
        <v>-28.23188</v>
      </c>
      <c r="AF3938">
        <v>-4.3516776201594398</v>
      </c>
      <c r="AG3938">
        <v>-1.1060852161669901</v>
      </c>
      <c r="AH3938">
        <v>28.234408524394301</v>
      </c>
      <c r="AI3938">
        <v>92.217265111791903</v>
      </c>
      <c r="AJ3938">
        <v>98.7618668455939</v>
      </c>
      <c r="AK3938">
        <v>28.589199837309401</v>
      </c>
      <c r="AL3938">
        <v>83.434556603869197</v>
      </c>
      <c r="AM3938">
        <v>99.734727189660404</v>
      </c>
      <c r="AN3938">
        <v>0.99999999851932997</v>
      </c>
    </row>
    <row r="3939" spans="1:40" x14ac:dyDescent="0.3">
      <c r="A3939" t="str">
        <f>"20200111150108341"</f>
        <v>20200111150108341</v>
      </c>
      <c r="B3939" t="str">
        <f>"1578726068331576"</f>
        <v>1578726068331576</v>
      </c>
      <c r="C3939" t="s">
        <v>40</v>
      </c>
      <c r="D3939">
        <v>4.3810070000000003</v>
      </c>
      <c r="E3939">
        <v>0.50658829999999999</v>
      </c>
      <c r="F3939" t="s">
        <v>83</v>
      </c>
      <c r="G3939">
        <v>-418.0915</v>
      </c>
      <c r="H3939" s="1">
        <v>-7.4065439999999997E-6</v>
      </c>
      <c r="I3939">
        <v>24.855740000000001</v>
      </c>
      <c r="J3939">
        <v>-421.9658</v>
      </c>
      <c r="K3939">
        <v>1.1063499999999999</v>
      </c>
      <c r="L3939">
        <v>48.579900000000002</v>
      </c>
      <c r="M3939">
        <v>1.24028E-2</v>
      </c>
      <c r="N3939">
        <v>0</v>
      </c>
      <c r="O3939">
        <v>-0.99986929999999996</v>
      </c>
      <c r="P3939">
        <v>0.17698900000000001</v>
      </c>
      <c r="Q3939">
        <v>0.1085347</v>
      </c>
      <c r="R3939">
        <v>-0.97821020000000003</v>
      </c>
      <c r="S3939">
        <v>0.48403930000000001</v>
      </c>
      <c r="T3939">
        <v>-0.1380121</v>
      </c>
      <c r="U3939">
        <v>-2.9927980000000001</v>
      </c>
      <c r="V3939">
        <v>-0.16534749999999901</v>
      </c>
      <c r="W3939">
        <v>0.1179781</v>
      </c>
      <c r="X3939">
        <v>0.97915339999999995</v>
      </c>
      <c r="Y3939">
        <v>-0.14723800000000001</v>
      </c>
      <c r="Z3939">
        <v>4.5514369999999998E-2</v>
      </c>
      <c r="AA3939">
        <v>0.98805330000000002</v>
      </c>
      <c r="AB3939">
        <v>27</v>
      </c>
      <c r="AC3939">
        <v>3.8742999999999999</v>
      </c>
      <c r="AD3939">
        <v>-1.1063574065440001</v>
      </c>
      <c r="AE3939">
        <v>-23.724160000000001</v>
      </c>
      <c r="AF3939">
        <v>-3.5721733453157301</v>
      </c>
      <c r="AG3939">
        <v>-1.1063574065440001</v>
      </c>
      <c r="AH3939">
        <v>23.720144368573401</v>
      </c>
      <c r="AI3939">
        <v>92.640726020266001</v>
      </c>
      <c r="AJ3939">
        <v>98.564193751857005</v>
      </c>
      <c r="AK3939">
        <v>24.013115124572298</v>
      </c>
      <c r="AL3939">
        <v>83.224572718980397</v>
      </c>
      <c r="AM3939">
        <v>99.584986464416602</v>
      </c>
      <c r="AN3939">
        <v>1.0000000042837101</v>
      </c>
    </row>
    <row r="3940" spans="1:40" x14ac:dyDescent="0.3">
      <c r="A3940" t="str">
        <f>"20200111150108363"</f>
        <v>20200111150108363</v>
      </c>
      <c r="B3940" t="str">
        <f>"1578726068352073"</f>
        <v>1578726068352073</v>
      </c>
      <c r="C3940" t="s">
        <v>40</v>
      </c>
      <c r="D3940">
        <v>4.4005850000000004</v>
      </c>
      <c r="E3940">
        <v>0.50619689999999995</v>
      </c>
      <c r="F3940" t="s">
        <v>83</v>
      </c>
      <c r="G3940">
        <v>-418.11599999999999</v>
      </c>
      <c r="H3940" s="1">
        <v>-7.382889E-6</v>
      </c>
      <c r="I3940">
        <v>24.721879999999999</v>
      </c>
      <c r="J3940">
        <v>-421.95940000000002</v>
      </c>
      <c r="K3940">
        <v>1.1066480000000001</v>
      </c>
      <c r="L3940">
        <v>48.313780000000001</v>
      </c>
      <c r="M3940">
        <v>1.529548E-2</v>
      </c>
      <c r="N3940">
        <v>0</v>
      </c>
      <c r="O3940">
        <v>-0.99982930000000003</v>
      </c>
      <c r="P3940">
        <v>0.17788300000000001</v>
      </c>
      <c r="Q3940">
        <v>0.1109947</v>
      </c>
      <c r="R3940">
        <v>-0.97777199999999997</v>
      </c>
      <c r="S3940">
        <v>0.4832458</v>
      </c>
      <c r="T3940">
        <v>-0.13887720000000001</v>
      </c>
      <c r="U3940">
        <v>-2.994812</v>
      </c>
      <c r="V3940">
        <v>-0.1635046</v>
      </c>
      <c r="W3940">
        <v>0.1203496</v>
      </c>
      <c r="X3940">
        <v>0.97917430000000005</v>
      </c>
      <c r="Y3940">
        <v>-0.1440139</v>
      </c>
      <c r="Z3940">
        <v>4.5777829999999999E-2</v>
      </c>
      <c r="AA3940">
        <v>0.98851630000000001</v>
      </c>
      <c r="AB3940">
        <v>27</v>
      </c>
      <c r="AC3940">
        <v>3.8434000000000301</v>
      </c>
      <c r="AD3940">
        <v>-1.10665538288899</v>
      </c>
      <c r="AE3940">
        <v>-23.591899999999999</v>
      </c>
      <c r="AF3940">
        <v>-3.4746336547381498</v>
      </c>
      <c r="AG3940">
        <v>-1.10665538288899</v>
      </c>
      <c r="AH3940">
        <v>23.597348807646799</v>
      </c>
      <c r="AI3940">
        <v>92.656456370919003</v>
      </c>
      <c r="AJ3940">
        <v>98.376427047694406</v>
      </c>
      <c r="AK3940">
        <v>23.877450364745101</v>
      </c>
      <c r="AL3940">
        <v>83.0877209027758</v>
      </c>
      <c r="AM3940">
        <v>99.479906935783703</v>
      </c>
      <c r="AN3940">
        <v>1.0000000451108999</v>
      </c>
    </row>
    <row r="3941" spans="1:40" x14ac:dyDescent="0.3">
      <c r="A3941" t="str">
        <f>"20200111150108386"</f>
        <v>20200111150108386</v>
      </c>
      <c r="B3941" t="str">
        <f>"1578726068381352"</f>
        <v>1578726068381352</v>
      </c>
      <c r="C3941" t="s">
        <v>40</v>
      </c>
      <c r="D3941">
        <v>4.2690669999999997</v>
      </c>
      <c r="E3941">
        <v>0.50679059999999998</v>
      </c>
      <c r="F3941" t="s">
        <v>83</v>
      </c>
      <c r="G3941">
        <v>-417.90730000000002</v>
      </c>
      <c r="H3941" s="1">
        <v>-7.3243740000000003E-6</v>
      </c>
      <c r="I3941">
        <v>23.550519999999999</v>
      </c>
      <c r="J3941">
        <v>-421.95159999999998</v>
      </c>
      <c r="K3941">
        <v>1.106932</v>
      </c>
      <c r="L3941">
        <v>48.035130000000002</v>
      </c>
      <c r="M3941">
        <v>1.8669660000000001E-2</v>
      </c>
      <c r="N3941">
        <v>0</v>
      </c>
      <c r="O3941">
        <v>-0.99977190000000005</v>
      </c>
      <c r="P3941">
        <v>0.18038670000000001</v>
      </c>
      <c r="Q3941">
        <v>0.1122628</v>
      </c>
      <c r="R3941">
        <v>-0.97716840000000005</v>
      </c>
      <c r="S3941">
        <v>0.4899597</v>
      </c>
      <c r="T3941">
        <v>-0.13381170000000001</v>
      </c>
      <c r="U3941">
        <v>-2.9942630000000001</v>
      </c>
      <c r="V3941">
        <v>-0.162798</v>
      </c>
      <c r="W3941">
        <v>0.1215292</v>
      </c>
      <c r="X3941">
        <v>0.97914630000000002</v>
      </c>
      <c r="Y3941">
        <v>-0.14287429999999901</v>
      </c>
      <c r="Z3941">
        <v>4.411143E-2</v>
      </c>
      <c r="AA3941">
        <v>0.98875740000000001</v>
      </c>
      <c r="AB3941">
        <v>27</v>
      </c>
      <c r="AC3941">
        <v>4.0442999999999598</v>
      </c>
      <c r="AD3941">
        <v>-1.106939324374</v>
      </c>
      <c r="AE3941">
        <v>-24.48461</v>
      </c>
      <c r="AF3941">
        <v>-3.57932957401608</v>
      </c>
      <c r="AG3941">
        <v>-1.106939324374</v>
      </c>
      <c r="AH3941">
        <v>24.5070919163831</v>
      </c>
      <c r="AI3941">
        <v>92.559071365140099</v>
      </c>
      <c r="AJ3941">
        <v>98.309457651347003</v>
      </c>
      <c r="AK3941">
        <v>24.791822624916499</v>
      </c>
      <c r="AL3941">
        <v>83.019634768492097</v>
      </c>
      <c r="AM3941">
        <v>99.439942631110597</v>
      </c>
      <c r="AN3941">
        <v>1.0000000060301599</v>
      </c>
    </row>
    <row r="3942" spans="1:40" x14ac:dyDescent="0.3">
      <c r="A3942" t="str">
        <f>"20200111150108407"</f>
        <v>20200111150108407</v>
      </c>
      <c r="B3942" t="str">
        <f>"1578726068401848"</f>
        <v>1578726068401848</v>
      </c>
      <c r="C3942" t="s">
        <v>40</v>
      </c>
      <c r="D3942">
        <v>4.2548789999999999</v>
      </c>
      <c r="E3942">
        <v>0.50428379999999995</v>
      </c>
      <c r="F3942" t="s">
        <v>85</v>
      </c>
      <c r="G3942">
        <v>-414.08859999999999</v>
      </c>
      <c r="H3942">
        <v>5.2387589999999999</v>
      </c>
      <c r="I3942">
        <v>0.53752330000000004</v>
      </c>
      <c r="J3942">
        <v>-421.94299999999998</v>
      </c>
      <c r="K3942">
        <v>1.1071799999999901</v>
      </c>
      <c r="L3942">
        <v>47.770899999999997</v>
      </c>
      <c r="M3942">
        <v>2.2186460000000002E-2</v>
      </c>
      <c r="N3942">
        <v>0</v>
      </c>
      <c r="O3942">
        <v>-0.99969980000000003</v>
      </c>
      <c r="P3942">
        <v>0.18382989999999999</v>
      </c>
      <c r="Q3942">
        <v>0.11357979999999999</v>
      </c>
      <c r="R3942">
        <v>-0.97637410000000002</v>
      </c>
      <c r="S3942">
        <v>0.48843379999999997</v>
      </c>
      <c r="T3942">
        <v>0.25665769999999999</v>
      </c>
      <c r="U3942">
        <v>-2.9504389999999998</v>
      </c>
      <c r="V3942">
        <v>-0.1628869</v>
      </c>
      <c r="W3942">
        <v>0.12276479999999999</v>
      </c>
      <c r="X3942">
        <v>0.97897730000000005</v>
      </c>
      <c r="Y3942">
        <v>-0.140793899999999</v>
      </c>
      <c r="Z3942">
        <v>-8.562082E-2</v>
      </c>
      <c r="AA3942">
        <v>0.98632960000000003</v>
      </c>
      <c r="AB3942">
        <v>27</v>
      </c>
      <c r="AC3942">
        <v>7.8544000000000498</v>
      </c>
      <c r="AD3942">
        <v>4.1315790000000003</v>
      </c>
      <c r="AE3942">
        <v>-47.233376700000001</v>
      </c>
      <c r="AF3942">
        <v>-6.7541808023882499</v>
      </c>
      <c r="AG3942">
        <v>4.1315790000000003</v>
      </c>
      <c r="AH3942">
        <v>47.045745323628097</v>
      </c>
      <c r="AI3942">
        <v>85.031814697164407</v>
      </c>
      <c r="AJ3942">
        <v>98.169914149247504</v>
      </c>
      <c r="AK3942">
        <v>47.707348033612902</v>
      </c>
      <c r="AL3942">
        <v>82.948305565872502</v>
      </c>
      <c r="AM3942">
        <v>99.446605793081304</v>
      </c>
      <c r="AN3942">
        <v>0.99999994611296805</v>
      </c>
    </row>
    <row r="3943" spans="1:40" x14ac:dyDescent="0.3">
      <c r="A3943" t="str">
        <f>"20200111150108520"</f>
        <v>20200111150108520</v>
      </c>
      <c r="B3943" t="str">
        <f>"1578726068512136"</f>
        <v>1578726068512136</v>
      </c>
      <c r="C3943" t="s">
        <v>40</v>
      </c>
      <c r="D3943">
        <v>4.5170190000000003</v>
      </c>
      <c r="E3943">
        <v>0.3787027</v>
      </c>
      <c r="F3943" t="s">
        <v>83</v>
      </c>
      <c r="G3943">
        <v>-419.38049999999998</v>
      </c>
      <c r="H3943" s="1">
        <v>-4.0732299999999998E-6</v>
      </c>
      <c r="I3943">
        <v>33.107759999999999</v>
      </c>
      <c r="J3943">
        <v>-421.87790000000001</v>
      </c>
      <c r="K3943">
        <v>1.1082069999999999</v>
      </c>
      <c r="L3943">
        <v>46.414400000000001</v>
      </c>
      <c r="M3943">
        <v>4.4749700000000003E-2</v>
      </c>
      <c r="N3943">
        <v>0</v>
      </c>
      <c r="O3943">
        <v>-0.99894340000000004</v>
      </c>
      <c r="P3943">
        <v>0.2120003</v>
      </c>
      <c r="Q3943">
        <v>0.1146723</v>
      </c>
      <c r="R3943">
        <v>-0.97051900000000002</v>
      </c>
      <c r="S3943">
        <v>0.52432250000000002</v>
      </c>
      <c r="T3943">
        <v>-0.22654009999999999</v>
      </c>
      <c r="U3943">
        <v>-3.0002140000000002</v>
      </c>
      <c r="V3943">
        <v>-0.1694445</v>
      </c>
      <c r="W3943">
        <v>0.1234595</v>
      </c>
      <c r="X3943">
        <v>0.97777619999999998</v>
      </c>
      <c r="Y3943">
        <v>-0.12742010000000001</v>
      </c>
      <c r="Z3943">
        <v>7.43143E-2</v>
      </c>
      <c r="AA3943">
        <v>0.98906090000000002</v>
      </c>
      <c r="AB3943">
        <v>27</v>
      </c>
      <c r="AC3943">
        <v>2.4974000000000198</v>
      </c>
      <c r="AD3943">
        <v>-1.1082110732299999</v>
      </c>
      <c r="AE3943">
        <v>-13.30664</v>
      </c>
      <c r="AF3943">
        <v>-1.88675590418988</v>
      </c>
      <c r="AG3943">
        <v>-1.1082110732299999</v>
      </c>
      <c r="AH3943">
        <v>13.315856342854399</v>
      </c>
      <c r="AI3943">
        <v>94.710635617250105</v>
      </c>
      <c r="AJ3943">
        <v>98.064692664067493</v>
      </c>
      <c r="AK3943">
        <v>13.494443662795399</v>
      </c>
      <c r="AL3943">
        <v>82.908197397151596</v>
      </c>
      <c r="AM3943">
        <v>99.831475674860499</v>
      </c>
      <c r="AN3943">
        <v>0.99999999200347001</v>
      </c>
    </row>
    <row r="3944" spans="1:40" x14ac:dyDescent="0.3">
      <c r="A3944" t="str">
        <f>"20200111150108654"</f>
        <v>20200111150108654</v>
      </c>
      <c r="B3944" t="str">
        <f>"1578726068651350"</f>
        <v>1578726068651350</v>
      </c>
      <c r="C3944" t="s">
        <v>40</v>
      </c>
      <c r="D3944">
        <v>4.5688979999999999</v>
      </c>
      <c r="E3944">
        <v>0.3770503</v>
      </c>
      <c r="F3944" t="s">
        <v>83</v>
      </c>
      <c r="G3944">
        <v>-410.15390000000002</v>
      </c>
      <c r="H3944" s="1">
        <v>-1.0367070000000001E-5</v>
      </c>
      <c r="I3944">
        <v>26.026330000000002</v>
      </c>
      <c r="J3944">
        <v>-421.7484</v>
      </c>
      <c r="K3944">
        <v>1.1087750000000001</v>
      </c>
      <c r="L3944">
        <v>44.795529999999999</v>
      </c>
      <c r="M3944">
        <v>7.7649880000000004E-2</v>
      </c>
      <c r="N3944">
        <v>0</v>
      </c>
      <c r="O3944">
        <v>-0.99692449999999999</v>
      </c>
      <c r="P3944">
        <v>0.2574302</v>
      </c>
      <c r="Q3944">
        <v>0.1095976</v>
      </c>
      <c r="R3944">
        <v>-0.96006139999999995</v>
      </c>
      <c r="S3944">
        <v>1.5882259999999999</v>
      </c>
      <c r="T3944">
        <v>-0.15012809999999999</v>
      </c>
      <c r="U3944">
        <v>-2.7619319999999998</v>
      </c>
      <c r="V3944">
        <v>-0.18331900000000001</v>
      </c>
      <c r="W3944">
        <v>0.1180572</v>
      </c>
      <c r="X3944">
        <v>0.97593890000000005</v>
      </c>
      <c r="Y3944">
        <v>-0.42910880000000001</v>
      </c>
      <c r="Z3944">
        <v>4.7751309999999998E-2</v>
      </c>
      <c r="AA3944">
        <v>0.90198970000000001</v>
      </c>
      <c r="AB3944">
        <v>27</v>
      </c>
      <c r="AC3944">
        <v>11.594499999999901</v>
      </c>
      <c r="AD3944">
        <v>-1.1087853670700001</v>
      </c>
      <c r="AE3944">
        <v>-18.769200000000001</v>
      </c>
      <c r="AF3944">
        <v>-10.076528376456601</v>
      </c>
      <c r="AG3944">
        <v>-1.1087853670700001</v>
      </c>
      <c r="AH3944">
        <v>19.5634697754546</v>
      </c>
      <c r="AI3944">
        <v>92.884437411195705</v>
      </c>
      <c r="AJ3944">
        <v>117.25157247804501</v>
      </c>
      <c r="AK3944">
        <v>22.033955132179301</v>
      </c>
      <c r="AL3944">
        <v>83.220009020957406</v>
      </c>
      <c r="AM3944">
        <v>100.638395786533</v>
      </c>
      <c r="AN3944">
        <v>1.00000004738302</v>
      </c>
    </row>
    <row r="3945" spans="1:40" x14ac:dyDescent="0.3">
      <c r="A3945" t="str">
        <f>"20200111150108810"</f>
        <v>20200111150108810</v>
      </c>
      <c r="B3945" t="str">
        <f>"1578726068801655"</f>
        <v>1578726068801655</v>
      </c>
      <c r="C3945" t="s">
        <v>40</v>
      </c>
      <c r="D3945">
        <v>4.6194309999999996</v>
      </c>
      <c r="E3945">
        <v>0.37686160000000002</v>
      </c>
      <c r="F3945" t="s">
        <v>41</v>
      </c>
      <c r="G3945">
        <v>-421.02850000000001</v>
      </c>
      <c r="H3945">
        <v>1.0729850000000001</v>
      </c>
      <c r="I3945">
        <v>42.341679999999997</v>
      </c>
      <c r="J3945">
        <v>-421.51679999999999</v>
      </c>
      <c r="K3945">
        <v>1.109737</v>
      </c>
      <c r="L3945">
        <v>42.897030000000001</v>
      </c>
      <c r="M3945">
        <v>0.1225808</v>
      </c>
      <c r="N3945">
        <v>0</v>
      </c>
      <c r="O3945">
        <v>-0.99240059999999997</v>
      </c>
      <c r="P3945">
        <v>0.3177238</v>
      </c>
      <c r="Q3945">
        <v>0.10737190000000001</v>
      </c>
      <c r="R3945">
        <v>-0.94208429999999999</v>
      </c>
      <c r="S3945">
        <v>1.8798220000000001</v>
      </c>
      <c r="T3945">
        <v>-0.13532439999999901</v>
      </c>
      <c r="U3945">
        <v>-2.5725099999999999</v>
      </c>
      <c r="V3945">
        <v>-0.2013054</v>
      </c>
      <c r="W3945">
        <v>0.1152787</v>
      </c>
      <c r="X3945">
        <v>0.97272139999999996</v>
      </c>
      <c r="Y3945">
        <v>-0.48601529999999998</v>
      </c>
      <c r="Z3945">
        <v>4.346469E-2</v>
      </c>
      <c r="AA3945">
        <v>0.8728688</v>
      </c>
      <c r="AB3945">
        <v>28</v>
      </c>
      <c r="AC3945">
        <v>0.48829999999998103</v>
      </c>
      <c r="AD3945">
        <v>-3.6751999999999799E-2</v>
      </c>
      <c r="AE3945">
        <v>-0.55535000000000401</v>
      </c>
      <c r="AF3945">
        <v>-0.41551161148548799</v>
      </c>
      <c r="AG3945">
        <v>-3.6751999999999799E-2</v>
      </c>
      <c r="AH3945">
        <v>0.60951552074293802</v>
      </c>
      <c r="AI3945">
        <v>92.852211493351604</v>
      </c>
      <c r="AJ3945">
        <v>124.28256752108</v>
      </c>
      <c r="AK3945">
        <v>0.73858633808770302</v>
      </c>
      <c r="AL3945">
        <v>83.380299589468706</v>
      </c>
      <c r="AM3945">
        <v>101.69234569056199</v>
      </c>
      <c r="AN3945">
        <v>0.999999982380404</v>
      </c>
    </row>
    <row r="3946" spans="1:40" x14ac:dyDescent="0.3">
      <c r="A3946" t="str">
        <f>"20200111150108832"</f>
        <v>20200111150108832</v>
      </c>
      <c r="B3946" t="str">
        <f>"1578726068822150"</f>
        <v>1578726068822150</v>
      </c>
      <c r="C3946" t="s">
        <v>40</v>
      </c>
      <c r="D3946">
        <v>4.619561</v>
      </c>
      <c r="E3946">
        <v>0.37673390000000001</v>
      </c>
      <c r="F3946" t="s">
        <v>41</v>
      </c>
      <c r="G3946">
        <v>-420.9418</v>
      </c>
      <c r="H3946">
        <v>1.0701849999999999</v>
      </c>
      <c r="I3946">
        <v>42.119810000000001</v>
      </c>
      <c r="J3946">
        <v>-421.47539999999998</v>
      </c>
      <c r="K3946">
        <v>1.1098980000000001</v>
      </c>
      <c r="L3946">
        <v>42.625120000000003</v>
      </c>
      <c r="M3946">
        <v>0.12983419999999901</v>
      </c>
      <c r="N3946">
        <v>0</v>
      </c>
      <c r="O3946">
        <v>-0.99147759999999996</v>
      </c>
      <c r="P3946">
        <v>0.32648189999999999</v>
      </c>
      <c r="Q3946">
        <v>0.1072578</v>
      </c>
      <c r="R3946">
        <v>-0.9390984</v>
      </c>
      <c r="S3946">
        <v>1.894409</v>
      </c>
      <c r="T3946">
        <v>-0.13028960000000001</v>
      </c>
      <c r="U3946">
        <v>-2.5603639999999999</v>
      </c>
      <c r="V3946">
        <v>-0.20329439999999999</v>
      </c>
      <c r="W3946">
        <v>0.11507969999999999</v>
      </c>
      <c r="X3946">
        <v>0.97233119999999995</v>
      </c>
      <c r="Y3946">
        <v>-0.4848575</v>
      </c>
      <c r="Z3946">
        <v>4.1900720000000002E-2</v>
      </c>
      <c r="AA3946">
        <v>0.8735889</v>
      </c>
      <c r="AB3946">
        <v>28</v>
      </c>
      <c r="AC3946">
        <v>0.53359999999997798</v>
      </c>
      <c r="AD3946">
        <v>-3.9713000000000102E-2</v>
      </c>
      <c r="AE3946">
        <v>-0.50531000000000104</v>
      </c>
      <c r="AF3946">
        <v>-0.46212312837085001</v>
      </c>
      <c r="AG3946">
        <v>-3.9713000000000102E-2</v>
      </c>
      <c r="AH3946">
        <v>0.56865533382118305</v>
      </c>
      <c r="AI3946">
        <v>93.102224036955803</v>
      </c>
      <c r="AJ3946">
        <v>129.099361291284</v>
      </c>
      <c r="AK3946">
        <v>0.73382817936322298</v>
      </c>
      <c r="AL3946">
        <v>83.391777668618701</v>
      </c>
      <c r="AM3946">
        <v>101.809249805736</v>
      </c>
      <c r="AN3946">
        <v>0.99999995645844397</v>
      </c>
    </row>
    <row r="3947" spans="1:40" x14ac:dyDescent="0.3">
      <c r="A3947" t="str">
        <f>"20200111150108848"</f>
        <v>20200111150108848</v>
      </c>
      <c r="B3947" t="str">
        <f>"1578726068841671"</f>
        <v>1578726068841671</v>
      </c>
      <c r="C3947" t="s">
        <v>40</v>
      </c>
      <c r="D3947">
        <v>4.5960039999999998</v>
      </c>
      <c r="E3947">
        <v>0.37631799999999999</v>
      </c>
      <c r="F3947" t="s">
        <v>41</v>
      </c>
      <c r="G3947">
        <v>-420.91050000000001</v>
      </c>
      <c r="H3947">
        <v>1.074497</v>
      </c>
      <c r="I3947">
        <v>41.876260000000002</v>
      </c>
      <c r="J3947">
        <v>-421.44529999999997</v>
      </c>
      <c r="K3947">
        <v>1.110012</v>
      </c>
      <c r="L3947">
        <v>42.435760000000002</v>
      </c>
      <c r="M3947">
        <v>0.13500889999999999</v>
      </c>
      <c r="N3947">
        <v>0</v>
      </c>
      <c r="O3947">
        <v>-0.99078630000000001</v>
      </c>
      <c r="P3947">
        <v>0.3326268</v>
      </c>
      <c r="Q3947">
        <v>0.10721260000000001</v>
      </c>
      <c r="R3947">
        <v>-0.93694460000000002</v>
      </c>
      <c r="S3947">
        <v>1.917999</v>
      </c>
      <c r="T3947">
        <v>-0.1201371</v>
      </c>
      <c r="U3947">
        <v>-2.5414729999999999</v>
      </c>
      <c r="V3947">
        <v>-0.204619</v>
      </c>
      <c r="W3947">
        <v>0.11497599999999999</v>
      </c>
      <c r="X3947">
        <v>0.97206559999999997</v>
      </c>
      <c r="Y3947">
        <v>-0.48865219999999998</v>
      </c>
      <c r="Z3947">
        <v>3.8688920000000002E-2</v>
      </c>
      <c r="AA3947">
        <v>0.87162039999999996</v>
      </c>
      <c r="AB3947">
        <v>28</v>
      </c>
      <c r="AC3947">
        <v>0.53479999999996097</v>
      </c>
      <c r="AD3947">
        <v>-3.5514999999999901E-2</v>
      </c>
      <c r="AE3947">
        <v>-0.559499999999999</v>
      </c>
      <c r="AF3947">
        <v>-0.45340652690535599</v>
      </c>
      <c r="AG3947">
        <v>-3.5514999999999901E-2</v>
      </c>
      <c r="AH3947">
        <v>0.625267243488416</v>
      </c>
      <c r="AI3947">
        <v>92.632752854287205</v>
      </c>
      <c r="AJ3947">
        <v>125.94738359806099</v>
      </c>
      <c r="AK3947">
        <v>0.77317392586983902</v>
      </c>
      <c r="AL3947">
        <v>83.397759054480503</v>
      </c>
      <c r="AM3947">
        <v>101.887168589331</v>
      </c>
      <c r="AN3947">
        <v>0.99999997322017897</v>
      </c>
    </row>
    <row r="3948" spans="1:40" x14ac:dyDescent="0.3">
      <c r="A3948" t="str">
        <f>"20200111150108862"</f>
        <v>20200111150108862</v>
      </c>
      <c r="B3948" t="str">
        <f>"1578726068851431"</f>
        <v>1578726068851431</v>
      </c>
      <c r="C3948" t="s">
        <v>40</v>
      </c>
      <c r="D3948">
        <v>4.6410080000000002</v>
      </c>
      <c r="E3948">
        <v>0.37634630000000002</v>
      </c>
      <c r="F3948" t="s">
        <v>41</v>
      </c>
      <c r="G3948">
        <v>-420.84070000000003</v>
      </c>
      <c r="H3948">
        <v>1.0754649999999999</v>
      </c>
      <c r="I3948">
        <v>41.64723</v>
      </c>
      <c r="J3948">
        <v>-421.41809999999998</v>
      </c>
      <c r="K3948">
        <v>1.110107</v>
      </c>
      <c r="L3948">
        <v>42.26981</v>
      </c>
      <c r="M3948">
        <v>0.13960600000000001</v>
      </c>
      <c r="N3948">
        <v>0</v>
      </c>
      <c r="O3948">
        <v>-0.99014860000000005</v>
      </c>
      <c r="P3948">
        <v>0.33789079999999999</v>
      </c>
      <c r="Q3948">
        <v>0.1069663</v>
      </c>
      <c r="R3948">
        <v>-0.93508720000000001</v>
      </c>
      <c r="S3948">
        <v>1.9369510000000001</v>
      </c>
      <c r="T3948">
        <v>-0.1107132</v>
      </c>
      <c r="U3948">
        <v>-2.5269170000000001</v>
      </c>
      <c r="V3948">
        <v>-0.20559520000000001</v>
      </c>
      <c r="W3948">
        <v>0.1146814</v>
      </c>
      <c r="X3948">
        <v>0.97189440000000005</v>
      </c>
      <c r="Y3948">
        <v>-0.49121140000000002</v>
      </c>
      <c r="Z3948">
        <v>3.5686219999999998E-2</v>
      </c>
      <c r="AA3948">
        <v>0.87030909999999995</v>
      </c>
      <c r="AB3948">
        <v>28</v>
      </c>
      <c r="AC3948">
        <v>0.57739999999995395</v>
      </c>
      <c r="AD3948">
        <v>-3.4641999999999999E-2</v>
      </c>
      <c r="AE3948">
        <v>-0.62257999999999902</v>
      </c>
      <c r="AF3948">
        <v>-0.48401837011916699</v>
      </c>
      <c r="AG3948">
        <v>-3.4641999999999999E-2</v>
      </c>
      <c r="AH3948">
        <v>0.69593726482711105</v>
      </c>
      <c r="AI3948">
        <v>92.340128238566706</v>
      </c>
      <c r="AJ3948">
        <v>124.81828038783</v>
      </c>
      <c r="AK3948">
        <v>0.84841176757035597</v>
      </c>
      <c r="AL3948">
        <v>83.414750747305206</v>
      </c>
      <c r="AM3948">
        <v>101.94429872481901</v>
      </c>
      <c r="AN3948">
        <v>0.99999996726017903</v>
      </c>
    </row>
    <row r="3949" spans="1:40" x14ac:dyDescent="0.3">
      <c r="A3949" t="str">
        <f>"20200111150108874"</f>
        <v>20200111150108874</v>
      </c>
      <c r="B3949" t="str">
        <f>"1578726068871926"</f>
        <v>1578726068871926</v>
      </c>
      <c r="C3949" t="s">
        <v>40</v>
      </c>
      <c r="D3949">
        <v>4.627815</v>
      </c>
      <c r="E3949">
        <v>0.37598740000000003</v>
      </c>
      <c r="F3949" t="s">
        <v>41</v>
      </c>
      <c r="G3949">
        <v>-420.76150000000001</v>
      </c>
      <c r="H3949">
        <v>1.073631</v>
      </c>
      <c r="I3949">
        <v>41.422780000000003</v>
      </c>
      <c r="J3949">
        <v>-421.39080000000001</v>
      </c>
      <c r="K3949">
        <v>1.1101909999999999</v>
      </c>
      <c r="L3949">
        <v>42.109769999999997</v>
      </c>
      <c r="M3949">
        <v>0.14412620000000001</v>
      </c>
      <c r="N3949">
        <v>0</v>
      </c>
      <c r="O3949">
        <v>-0.98950059999999995</v>
      </c>
      <c r="P3949">
        <v>0.34319139999999998</v>
      </c>
      <c r="Q3949">
        <v>0.1068626</v>
      </c>
      <c r="R3949">
        <v>-0.93316690000000002</v>
      </c>
      <c r="S3949">
        <v>1.950623</v>
      </c>
      <c r="T3949">
        <v>-0.1083375</v>
      </c>
      <c r="U3949">
        <v>-2.5157780000000001</v>
      </c>
      <c r="V3949">
        <v>-0.2066952</v>
      </c>
      <c r="W3949">
        <v>0.1145298</v>
      </c>
      <c r="X3949">
        <v>0.97167899999999996</v>
      </c>
      <c r="Y3949">
        <v>-0.49206939999999999</v>
      </c>
      <c r="Z3949">
        <v>3.494746E-2</v>
      </c>
      <c r="AA3949">
        <v>0.86985419999999902</v>
      </c>
      <c r="AB3949">
        <v>28</v>
      </c>
      <c r="AC3949">
        <v>0.62929999999999997</v>
      </c>
      <c r="AD3949">
        <v>-3.6559999999999898E-2</v>
      </c>
      <c r="AE3949">
        <v>-0.68699000000000798</v>
      </c>
      <c r="AF3949">
        <v>-0.52290465268436503</v>
      </c>
      <c r="AG3949">
        <v>-3.6559999999999898E-2</v>
      </c>
      <c r="AH3949">
        <v>0.76933566762583006</v>
      </c>
      <c r="AI3949">
        <v>92.250714102949104</v>
      </c>
      <c r="AJ3949">
        <v>124.203294636808</v>
      </c>
      <c r="AK3949">
        <v>0.93093677491021798</v>
      </c>
      <c r="AL3949">
        <v>83.423494812950693</v>
      </c>
      <c r="AM3949">
        <v>102.008939101677</v>
      </c>
      <c r="AN3949">
        <v>1.0000000299160301</v>
      </c>
    </row>
    <row r="3950" spans="1:40" x14ac:dyDescent="0.3">
      <c r="A3950" t="str">
        <f>"20200111150108889"</f>
        <v>20200111150108889</v>
      </c>
      <c r="B3950" t="str">
        <f>"1578726068881686"</f>
        <v>1578726068881686</v>
      </c>
      <c r="C3950" t="s">
        <v>40</v>
      </c>
      <c r="D3950">
        <v>4.5960539999999996</v>
      </c>
      <c r="E3950">
        <v>0.37598740000000003</v>
      </c>
      <c r="F3950" t="s">
        <v>42</v>
      </c>
      <c r="G3950">
        <v>-399.86380000000003</v>
      </c>
      <c r="H3950" s="1">
        <v>-1.338569E-6</v>
      </c>
      <c r="I3950">
        <v>14.72273</v>
      </c>
      <c r="J3950">
        <v>-421.35989999999998</v>
      </c>
      <c r="K3950">
        <v>1.110271</v>
      </c>
      <c r="L3950">
        <v>41.93338</v>
      </c>
      <c r="M3950">
        <v>0.14916960000000001</v>
      </c>
      <c r="N3950">
        <v>0</v>
      </c>
      <c r="O3950">
        <v>-0.98875270000000004</v>
      </c>
      <c r="P3950">
        <v>0.3509544</v>
      </c>
      <c r="Q3950">
        <v>0.10639079999999999</v>
      </c>
      <c r="R3950">
        <v>-0.93032899999999996</v>
      </c>
      <c r="S3950">
        <v>1.9673769999999999</v>
      </c>
      <c r="T3950">
        <v>-0.1014616</v>
      </c>
      <c r="U3950">
        <v>-2.5029300000000001</v>
      </c>
      <c r="V3950">
        <v>-0.20985029999999999</v>
      </c>
      <c r="W3950">
        <v>0.11397699999999999</v>
      </c>
      <c r="X3950">
        <v>0.97106749999999997</v>
      </c>
      <c r="Y3950">
        <v>-0.49344549999999998</v>
      </c>
      <c r="Z3950">
        <v>3.275231E-2</v>
      </c>
      <c r="AA3950">
        <v>0.86915980000000004</v>
      </c>
      <c r="AB3950">
        <v>28</v>
      </c>
      <c r="AC3950">
        <v>21.496099999999899</v>
      </c>
      <c r="AD3950">
        <v>-1.1102723385690001</v>
      </c>
      <c r="AE3950">
        <v>-27.210650000000001</v>
      </c>
      <c r="AF3950">
        <v>-17.1787169104601</v>
      </c>
      <c r="AG3950">
        <v>-1.1102723385690001</v>
      </c>
      <c r="AH3950">
        <v>30.082085207555199</v>
      </c>
      <c r="AI3950">
        <v>91.835716545091401</v>
      </c>
      <c r="AJ3950">
        <v>119.729018720998</v>
      </c>
      <c r="AK3950">
        <v>34.6593835748724</v>
      </c>
      <c r="AL3950">
        <v>83.455376478630797</v>
      </c>
      <c r="AM3950">
        <v>102.194254573729</v>
      </c>
      <c r="AN3950">
        <v>0.99999999724766997</v>
      </c>
    </row>
    <row r="3951" spans="1:40" x14ac:dyDescent="0.3">
      <c r="A3951" t="str">
        <f>"20200111150108905"</f>
        <v>20200111150108905</v>
      </c>
      <c r="B3951" t="str">
        <f>"1578726068902182"</f>
        <v>1578726068902182</v>
      </c>
      <c r="C3951" t="s">
        <v>40</v>
      </c>
      <c r="D3951">
        <v>4.6275399999999998</v>
      </c>
      <c r="E3951">
        <v>0.38528479999999998</v>
      </c>
      <c r="F3951" t="s">
        <v>41</v>
      </c>
      <c r="G3951">
        <v>-420.7484</v>
      </c>
      <c r="H3951">
        <v>1.0783940000000001</v>
      </c>
      <c r="I3951">
        <v>41.168709999999997</v>
      </c>
      <c r="J3951">
        <v>-421.327</v>
      </c>
      <c r="K3951">
        <v>1.110355</v>
      </c>
      <c r="L3951">
        <v>41.751190000000001</v>
      </c>
      <c r="M3951">
        <v>0.15443950000000001</v>
      </c>
      <c r="N3951">
        <v>0</v>
      </c>
      <c r="O3951">
        <v>-0.98794300000000002</v>
      </c>
      <c r="P3951">
        <v>0.357742</v>
      </c>
      <c r="Q3951">
        <v>0.1061985</v>
      </c>
      <c r="R3951">
        <v>-0.92776210000000003</v>
      </c>
      <c r="S3951">
        <v>1.987976</v>
      </c>
      <c r="T3951">
        <v>-0.103659</v>
      </c>
      <c r="U3951">
        <v>-2.4866030000000001</v>
      </c>
      <c r="V3951">
        <v>-0.21178749999999999</v>
      </c>
      <c r="W3951">
        <v>0.11372259999999999</v>
      </c>
      <c r="X3951">
        <v>0.97067669999999995</v>
      </c>
      <c r="Y3951">
        <v>-0.49596770000000001</v>
      </c>
      <c r="Z3951">
        <v>3.3487660000000002E-2</v>
      </c>
      <c r="AA3951">
        <v>0.86769499999999999</v>
      </c>
      <c r="AB3951">
        <v>28</v>
      </c>
      <c r="AC3951">
        <v>0.57859999999999401</v>
      </c>
      <c r="AD3951">
        <v>-3.1960999999999899E-2</v>
      </c>
      <c r="AE3951">
        <v>-0.582480000000003</v>
      </c>
      <c r="AF3951">
        <v>-0.48096521785236601</v>
      </c>
      <c r="AG3951">
        <v>-3.1960999999999899E-2</v>
      </c>
      <c r="AH3951">
        <v>0.66384862229976205</v>
      </c>
      <c r="AI3951">
        <v>92.232704095828097</v>
      </c>
      <c r="AJ3951">
        <v>125.92371962819399</v>
      </c>
      <c r="AK3951">
        <v>0.82039261310306</v>
      </c>
      <c r="AL3951">
        <v>83.470048038265801</v>
      </c>
      <c r="AM3951">
        <v>102.308212613088</v>
      </c>
      <c r="AN3951">
        <v>1.00000001541494</v>
      </c>
    </row>
    <row r="3952" spans="1:40" x14ac:dyDescent="0.3">
      <c r="A3952" t="str">
        <f>"20200111150109324"</f>
        <v>20200111150109324</v>
      </c>
      <c r="B3952" t="str">
        <f>"1578726069321410"</f>
        <v>1578726069321410</v>
      </c>
      <c r="C3952" t="s">
        <v>40</v>
      </c>
      <c r="D3952">
        <v>4.6059859999999997</v>
      </c>
      <c r="E3952">
        <v>0.38654189999999999</v>
      </c>
      <c r="F3952" t="s">
        <v>41</v>
      </c>
      <c r="G3952">
        <v>-419.28149999999999</v>
      </c>
      <c r="H3952">
        <v>1.0519620000000001</v>
      </c>
      <c r="I3952">
        <v>36.27337</v>
      </c>
      <c r="J3952">
        <v>-419.96469999999999</v>
      </c>
      <c r="K3952">
        <v>1.11195</v>
      </c>
      <c r="L3952">
        <v>36.744869999999999</v>
      </c>
      <c r="M3952">
        <v>0.31717640000000002</v>
      </c>
      <c r="N3952">
        <v>0</v>
      </c>
      <c r="O3952">
        <v>-0.9483009</v>
      </c>
      <c r="P3952">
        <v>0.54676530000000001</v>
      </c>
      <c r="Q3952">
        <v>0.10565570000000001</v>
      </c>
      <c r="R3952">
        <v>-0.83059329999999998</v>
      </c>
      <c r="S3952">
        <v>2.412201</v>
      </c>
      <c r="T3952">
        <v>-0.19462950000000001</v>
      </c>
      <c r="U3952">
        <v>-2.0559690000000002</v>
      </c>
      <c r="V3952">
        <v>-0.25713170000000002</v>
      </c>
      <c r="W3952">
        <v>0.11175300000000001</v>
      </c>
      <c r="X3952">
        <v>0.959893</v>
      </c>
      <c r="Y3952">
        <v>-0.51442940000000004</v>
      </c>
      <c r="Z3952">
        <v>6.352447E-2</v>
      </c>
      <c r="AA3952">
        <v>0.85517659999999995</v>
      </c>
      <c r="AB3952">
        <v>28</v>
      </c>
      <c r="AC3952">
        <v>0.68319999999999903</v>
      </c>
      <c r="AD3952">
        <v>-5.9987999999999903E-2</v>
      </c>
      <c r="AE3952">
        <v>-0.47149999999999798</v>
      </c>
      <c r="AF3952">
        <v>-0.49577245767370298</v>
      </c>
      <c r="AG3952">
        <v>-5.9987999999999903E-2</v>
      </c>
      <c r="AH3952">
        <v>0.66041125693498004</v>
      </c>
      <c r="AI3952">
        <v>94.154835802013594</v>
      </c>
      <c r="AJ3952">
        <v>126.895653363801</v>
      </c>
      <c r="AK3952">
        <v>0.82796854905138995</v>
      </c>
      <c r="AL3952">
        <v>83.583621833062594</v>
      </c>
      <c r="AM3952">
        <v>104.996053966258</v>
      </c>
      <c r="AN3952">
        <v>1.0000000078014399</v>
      </c>
    </row>
    <row r="3953" spans="1:40" x14ac:dyDescent="0.3">
      <c r="A3953" t="str">
        <f>"20200111150109338"</f>
        <v>20200111150109338</v>
      </c>
      <c r="B3953" t="str">
        <f>"1578726069332147"</f>
        <v>1578726069332147</v>
      </c>
      <c r="C3953" t="s">
        <v>40</v>
      </c>
      <c r="D3953">
        <v>4.5824629999999997</v>
      </c>
      <c r="E3953">
        <v>0.38751350000000001</v>
      </c>
      <c r="F3953" t="s">
        <v>41</v>
      </c>
      <c r="G3953">
        <v>-419.16030000000001</v>
      </c>
      <c r="H3953">
        <v>1.0536540000000001</v>
      </c>
      <c r="I3953">
        <v>36.063380000000002</v>
      </c>
      <c r="J3953">
        <v>-419.89940000000001</v>
      </c>
      <c r="K3953">
        <v>1.112026</v>
      </c>
      <c r="L3953">
        <v>36.570250000000001</v>
      </c>
      <c r="M3953">
        <v>0.3235015</v>
      </c>
      <c r="N3953">
        <v>0</v>
      </c>
      <c r="O3953">
        <v>-0.94616169999999999</v>
      </c>
      <c r="P3953">
        <v>0.55290379999999995</v>
      </c>
      <c r="Q3953">
        <v>0.1064002</v>
      </c>
      <c r="R3953">
        <v>-0.82642409999999999</v>
      </c>
      <c r="S3953">
        <v>2.4138790000000001</v>
      </c>
      <c r="T3953">
        <v>-0.17494189999999901</v>
      </c>
      <c r="U3953">
        <v>-2.045105</v>
      </c>
      <c r="V3953">
        <v>-0.25789899999999999</v>
      </c>
      <c r="W3953">
        <v>0.11244949999999999</v>
      </c>
      <c r="X3953">
        <v>0.95960579999999995</v>
      </c>
      <c r="Y3953">
        <v>-0.5115343</v>
      </c>
      <c r="Z3953">
        <v>5.7166990000000001E-2</v>
      </c>
      <c r="AA3953">
        <v>0.85735910000000004</v>
      </c>
      <c r="AB3953">
        <v>28</v>
      </c>
      <c r="AC3953">
        <v>0.73910000000000697</v>
      </c>
      <c r="AD3953">
        <v>-5.8371999999999799E-2</v>
      </c>
      <c r="AE3953">
        <v>-0.50686999999999904</v>
      </c>
      <c r="AF3953">
        <v>-0.53310676445147598</v>
      </c>
      <c r="AG3953">
        <v>-5.8371999999999799E-2</v>
      </c>
      <c r="AH3953">
        <v>0.71568968363043595</v>
      </c>
      <c r="AI3953">
        <v>93.742307019581702</v>
      </c>
      <c r="AJ3953">
        <v>126.681886319483</v>
      </c>
      <c r="AK3953">
        <v>0.89432758871844897</v>
      </c>
      <c r="AL3953">
        <v>83.543462382060895</v>
      </c>
      <c r="AM3953">
        <v>105.043075902361</v>
      </c>
      <c r="AN3953">
        <v>1.0000000378224401</v>
      </c>
    </row>
    <row r="3954" spans="1:40" x14ac:dyDescent="0.3">
      <c r="A3954" t="str">
        <f>"20200111150109353"</f>
        <v>20200111150109353</v>
      </c>
      <c r="B3954" t="str">
        <f>"1578726069341439"</f>
        <v>1578726069341439</v>
      </c>
      <c r="C3954" t="s">
        <v>40</v>
      </c>
      <c r="D3954">
        <v>4.6384999999999996</v>
      </c>
      <c r="E3954">
        <v>0.38749719999999999</v>
      </c>
      <c r="F3954" t="s">
        <v>41</v>
      </c>
      <c r="G3954">
        <v>-419.23869999999999</v>
      </c>
      <c r="H3954">
        <v>1.0664119999999999</v>
      </c>
      <c r="I3954">
        <v>36.01632</v>
      </c>
      <c r="J3954">
        <v>-419.83780000000002</v>
      </c>
      <c r="K3954">
        <v>1.1120939999999999</v>
      </c>
      <c r="L3954">
        <v>36.409579999999998</v>
      </c>
      <c r="M3954">
        <v>0.32938830000000002</v>
      </c>
      <c r="N3954">
        <v>0</v>
      </c>
      <c r="O3954">
        <v>-0.94412819999999997</v>
      </c>
      <c r="P3954">
        <v>0.55825659999999999</v>
      </c>
      <c r="Q3954">
        <v>0.1072319</v>
      </c>
      <c r="R3954">
        <v>-0.82270989999999999</v>
      </c>
      <c r="S3954">
        <v>2.422485</v>
      </c>
      <c r="T3954">
        <v>-0.16723469999999999</v>
      </c>
      <c r="U3954">
        <v>-2.0308839999999999</v>
      </c>
      <c r="V3954">
        <v>-0.25822089999999998</v>
      </c>
      <c r="W3954">
        <v>0.113245</v>
      </c>
      <c r="X3954">
        <v>0.95942559999999999</v>
      </c>
      <c r="Y3954">
        <v>-0.5107469</v>
      </c>
      <c r="Z3954">
        <v>5.4669130000000003E-2</v>
      </c>
      <c r="AA3954">
        <v>0.85799119999999995</v>
      </c>
      <c r="AB3954">
        <v>28</v>
      </c>
      <c r="AC3954">
        <v>0.59910000000002095</v>
      </c>
      <c r="AD3954">
        <v>-4.5682E-2</v>
      </c>
      <c r="AE3954">
        <v>-0.393259999999997</v>
      </c>
      <c r="AF3954">
        <v>-0.434354338360809</v>
      </c>
      <c r="AG3954">
        <v>-4.5682E-2</v>
      </c>
      <c r="AH3954">
        <v>0.56635868306214499</v>
      </c>
      <c r="AI3954">
        <v>93.662142832893593</v>
      </c>
      <c r="AJ3954">
        <v>127.48548172138</v>
      </c>
      <c r="AK3954">
        <v>0.71520115649846605</v>
      </c>
      <c r="AL3954">
        <v>83.497590150739896</v>
      </c>
      <c r="AM3954">
        <v>105.06369977082799</v>
      </c>
      <c r="AN3954">
        <v>0.99999997257858397</v>
      </c>
    </row>
    <row r="3955" spans="1:40" x14ac:dyDescent="0.3">
      <c r="A3955" t="str">
        <f>"20200111150109367"</f>
        <v>20200111150109367</v>
      </c>
      <c r="B3955" t="str">
        <f>"1578726069361934"</f>
        <v>1578726069361934</v>
      </c>
      <c r="C3955" t="s">
        <v>40</v>
      </c>
      <c r="D3955">
        <v>4.4594230000000001</v>
      </c>
      <c r="E3955">
        <v>0.38814460000000001</v>
      </c>
      <c r="F3955" t="s">
        <v>41</v>
      </c>
      <c r="G3955">
        <v>-419.11169999999998</v>
      </c>
      <c r="H3955">
        <v>1.0665249999999999</v>
      </c>
      <c r="I3955">
        <v>35.809100000000001</v>
      </c>
      <c r="J3955">
        <v>-419.77260000000001</v>
      </c>
      <c r="K3955">
        <v>1.112168</v>
      </c>
      <c r="L3955">
        <v>36.242280000000001</v>
      </c>
      <c r="M3955">
        <v>0.33555610000000002</v>
      </c>
      <c r="N3955">
        <v>0</v>
      </c>
      <c r="O3955">
        <v>-0.94195359999999995</v>
      </c>
      <c r="P3955">
        <v>0.56399440000000001</v>
      </c>
      <c r="Q3955">
        <v>0.1078109</v>
      </c>
      <c r="R3955">
        <v>-0.81871099999999997</v>
      </c>
      <c r="S3955">
        <v>2.435638</v>
      </c>
      <c r="T3955">
        <v>-0.1528168</v>
      </c>
      <c r="U3955">
        <v>-2.0136720000000001</v>
      </c>
      <c r="V3955">
        <v>-0.25870900000000002</v>
      </c>
      <c r="W3955">
        <v>0.1137837</v>
      </c>
      <c r="X3955">
        <v>0.95923040000000004</v>
      </c>
      <c r="Y3955">
        <v>-0.51119820000000005</v>
      </c>
      <c r="Z3955">
        <v>4.9961859999999997E-2</v>
      </c>
      <c r="AA3955">
        <v>0.85800949999999998</v>
      </c>
      <c r="AB3955">
        <v>28</v>
      </c>
      <c r="AC3955">
        <v>0.66090000000002602</v>
      </c>
      <c r="AD3955">
        <v>-4.56430000000001E-2</v>
      </c>
      <c r="AE3955">
        <v>-0.43318000000000001</v>
      </c>
      <c r="AF3955">
        <v>-0.47562407998561002</v>
      </c>
      <c r="AG3955">
        <v>-4.56430000000001E-2</v>
      </c>
      <c r="AH3955">
        <v>0.62774967056860898</v>
      </c>
      <c r="AI3955">
        <v>93.316764657632106</v>
      </c>
      <c r="AJ3955">
        <v>127.149942565789</v>
      </c>
      <c r="AK3955">
        <v>0.78890506260902904</v>
      </c>
      <c r="AL3955">
        <v>83.466524415769896</v>
      </c>
      <c r="AM3955">
        <v>105.09380706362801</v>
      </c>
      <c r="AN3955">
        <v>1.0000000186754201</v>
      </c>
    </row>
    <row r="3956" spans="1:40" x14ac:dyDescent="0.3">
      <c r="A3956" t="str">
        <f>"20200111150109380"</f>
        <v>20200111150109380</v>
      </c>
      <c r="B3956" t="str">
        <f>"1578726069371694"</f>
        <v>1578726069371694</v>
      </c>
      <c r="C3956" t="s">
        <v>40</v>
      </c>
      <c r="D3956">
        <v>4.5294679999999996</v>
      </c>
      <c r="E3956">
        <v>0.38927250000000002</v>
      </c>
      <c r="F3956" t="s">
        <v>41</v>
      </c>
      <c r="G3956">
        <v>-418.98750000000001</v>
      </c>
      <c r="H3956">
        <v>1.064649</v>
      </c>
      <c r="I3956">
        <v>35.600389999999997</v>
      </c>
      <c r="J3956">
        <v>-419.71269999999998</v>
      </c>
      <c r="K3956">
        <v>1.112236</v>
      </c>
      <c r="L3956">
        <v>36.091000000000001</v>
      </c>
      <c r="M3956">
        <v>0.34116479999999999</v>
      </c>
      <c r="N3956">
        <v>0</v>
      </c>
      <c r="O3956">
        <v>-0.93993660000000001</v>
      </c>
      <c r="P3956">
        <v>0.56990600000000002</v>
      </c>
      <c r="Q3956">
        <v>0.109810199999999</v>
      </c>
      <c r="R3956">
        <v>-0.8143397</v>
      </c>
      <c r="S3956">
        <v>2.4453740000000002</v>
      </c>
      <c r="T3956">
        <v>-0.14800479999999899</v>
      </c>
      <c r="U3956">
        <v>-1.999207</v>
      </c>
      <c r="V3956">
        <v>-0.26008209999999998</v>
      </c>
      <c r="W3956">
        <v>0.11572490000000001</v>
      </c>
      <c r="X3956">
        <v>0.9586266</v>
      </c>
      <c r="Y3956">
        <v>-0.51085270000000005</v>
      </c>
      <c r="Z3956">
        <v>4.8391660000000003E-2</v>
      </c>
      <c r="AA3956">
        <v>0.85830519999999999</v>
      </c>
      <c r="AB3956">
        <v>28</v>
      </c>
      <c r="AC3956">
        <v>0.72519999999997198</v>
      </c>
      <c r="AD3956">
        <v>-4.7586999999999997E-2</v>
      </c>
      <c r="AE3956">
        <v>-0.49060999999999599</v>
      </c>
      <c r="AF3956">
        <v>-0.51278078249279202</v>
      </c>
      <c r="AG3956">
        <v>-4.7586999999999997E-2</v>
      </c>
      <c r="AH3956">
        <v>0.70651257954205304</v>
      </c>
      <c r="AI3956">
        <v>93.120140793361401</v>
      </c>
      <c r="AJ3956">
        <v>125.97182370746</v>
      </c>
      <c r="AK3956">
        <v>0.87428180726473204</v>
      </c>
      <c r="AL3956">
        <v>83.354561772347196</v>
      </c>
      <c r="AM3956">
        <v>105.179349106906</v>
      </c>
      <c r="AN3956">
        <v>0.99999995472398895</v>
      </c>
    </row>
    <row r="3957" spans="1:40" x14ac:dyDescent="0.3">
      <c r="A3957" t="str">
        <f>"20200111150109394"</f>
        <v>20200111150109394</v>
      </c>
      <c r="B3957" t="str">
        <f>"1578726069392190"</f>
        <v>1578726069392190</v>
      </c>
      <c r="C3957" t="s">
        <v>40</v>
      </c>
      <c r="D3957">
        <v>4.5076199999999904</v>
      </c>
      <c r="E3957">
        <v>0.39164280000000001</v>
      </c>
      <c r="F3957" t="s">
        <v>41</v>
      </c>
      <c r="G3957">
        <v>-419.05520000000001</v>
      </c>
      <c r="H3957">
        <v>1.0735790000000001</v>
      </c>
      <c r="I3957">
        <v>35.55809</v>
      </c>
      <c r="J3957">
        <v>-419.65039999999999</v>
      </c>
      <c r="K3957">
        <v>1.112296</v>
      </c>
      <c r="L3957">
        <v>35.937710000000003</v>
      </c>
      <c r="M3957">
        <v>0.346910099999999</v>
      </c>
      <c r="N3957">
        <v>0</v>
      </c>
      <c r="O3957">
        <v>-0.93783119999999998</v>
      </c>
      <c r="P3957">
        <v>0.57554469999999902</v>
      </c>
      <c r="Q3957">
        <v>0.1102841</v>
      </c>
      <c r="R3957">
        <v>-0.81030009999999997</v>
      </c>
      <c r="S3957">
        <v>2.4524539999999999</v>
      </c>
      <c r="T3957">
        <v>-0.144154799999999</v>
      </c>
      <c r="U3957">
        <v>-1.9871220000000001</v>
      </c>
      <c r="V3957">
        <v>-0.26091900000000001</v>
      </c>
      <c r="W3957">
        <v>0.11615639999999899</v>
      </c>
      <c r="X3957">
        <v>0.95834699999999995</v>
      </c>
      <c r="Y3957">
        <v>-0.50940429999999903</v>
      </c>
      <c r="Z3957">
        <v>4.7128799999999998E-2</v>
      </c>
      <c r="AA3957">
        <v>0.85923579999999999</v>
      </c>
      <c r="AB3957">
        <v>28</v>
      </c>
      <c r="AC3957">
        <v>0.59519999999997697</v>
      </c>
      <c r="AD3957">
        <v>-3.87169999999998E-2</v>
      </c>
      <c r="AE3957">
        <v>-0.37961999999999502</v>
      </c>
      <c r="AF3957">
        <v>-0.42525092917848201</v>
      </c>
      <c r="AG3957">
        <v>-3.87169999999998E-2</v>
      </c>
      <c r="AH3957">
        <v>0.56084890256210795</v>
      </c>
      <c r="AI3957">
        <v>93.148569680349098</v>
      </c>
      <c r="AJ3957">
        <v>127.17039620513999</v>
      </c>
      <c r="AK3957">
        <v>0.70490343335898298</v>
      </c>
      <c r="AL3957">
        <v>83.329671105117498</v>
      </c>
      <c r="AM3957">
        <v>105.23016564374601</v>
      </c>
      <c r="AN3957">
        <v>1.0000000031154701</v>
      </c>
    </row>
    <row r="3958" spans="1:40" x14ac:dyDescent="0.3">
      <c r="A3958" t="str">
        <f>"20200111150109407"</f>
        <v>20200111150109407</v>
      </c>
      <c r="B3958" t="str">
        <f>"1578726069401950"</f>
        <v>1578726069401950</v>
      </c>
      <c r="C3958" t="s">
        <v>40</v>
      </c>
      <c r="D3958">
        <v>4.5333180000000004</v>
      </c>
      <c r="E3958">
        <v>0.39231870000000002</v>
      </c>
      <c r="F3958" t="s">
        <v>41</v>
      </c>
      <c r="G3958">
        <v>-418.92599999999999</v>
      </c>
      <c r="H3958">
        <v>1.0699419999999999</v>
      </c>
      <c r="I3958">
        <v>35.351859999999903</v>
      </c>
      <c r="J3958">
        <v>-419.58519999999999</v>
      </c>
      <c r="K3958">
        <v>1.1123499999999999</v>
      </c>
      <c r="L3958">
        <v>35.779600000000002</v>
      </c>
      <c r="M3958">
        <v>0.3528578</v>
      </c>
      <c r="N3958">
        <v>0</v>
      </c>
      <c r="O3958">
        <v>-0.93560949999999998</v>
      </c>
      <c r="P3958">
        <v>0.58127850000000003</v>
      </c>
      <c r="Q3958">
        <v>0.11044809999999999</v>
      </c>
      <c r="R3958">
        <v>-0.80617459999999996</v>
      </c>
      <c r="S3958">
        <v>2.450745</v>
      </c>
      <c r="T3958">
        <v>-0.14323459999999999</v>
      </c>
      <c r="U3958">
        <v>-1.9811399999999999</v>
      </c>
      <c r="V3958">
        <v>-0.26166040000000002</v>
      </c>
      <c r="W3958">
        <v>0.11628090000000001</v>
      </c>
      <c r="X3958">
        <v>0.95812980000000003</v>
      </c>
      <c r="Y3958">
        <v>-0.50491980000000003</v>
      </c>
      <c r="Z3958">
        <v>4.6832390000000002E-2</v>
      </c>
      <c r="AA3958">
        <v>0.86189479999999996</v>
      </c>
      <c r="AB3958">
        <v>28</v>
      </c>
      <c r="AC3958">
        <v>0.65919999999999801</v>
      </c>
      <c r="AD3958">
        <v>-4.2408000000000001E-2</v>
      </c>
      <c r="AE3958">
        <v>-0.427740000000007</v>
      </c>
      <c r="AF3958">
        <v>-0.464498974689526</v>
      </c>
      <c r="AG3958">
        <v>-4.2408000000000001E-2</v>
      </c>
      <c r="AH3958">
        <v>0.63100366545837205</v>
      </c>
      <c r="AI3958">
        <v>93.098055923250698</v>
      </c>
      <c r="AJ3958">
        <v>126.357796061462</v>
      </c>
      <c r="AK3958">
        <v>0.78468042015429595</v>
      </c>
      <c r="AL3958">
        <v>83.322489515558701</v>
      </c>
      <c r="AM3958">
        <v>105.27472424158501</v>
      </c>
      <c r="AN3958">
        <v>1.0000000631404999</v>
      </c>
    </row>
    <row r="3959" spans="1:40" x14ac:dyDescent="0.3">
      <c r="A3959" t="str">
        <f>"20200111150109425"</f>
        <v>20200111150109425</v>
      </c>
      <c r="B3959" t="str">
        <f>"1578726069421470"</f>
        <v>1578726069421470</v>
      </c>
      <c r="C3959" t="s">
        <v>40</v>
      </c>
      <c r="D3959">
        <v>4.3398779999999997</v>
      </c>
      <c r="E3959">
        <v>0.39367180000000002</v>
      </c>
      <c r="F3959" t="s">
        <v>41</v>
      </c>
      <c r="G3959">
        <v>-418.79430000000002</v>
      </c>
      <c r="H3959">
        <v>1.0669360000000001</v>
      </c>
      <c r="I3959">
        <v>35.147410000000001</v>
      </c>
      <c r="J3959">
        <v>-419.49930000000001</v>
      </c>
      <c r="K3959">
        <v>1.1124099999999999</v>
      </c>
      <c r="L3959">
        <v>35.575380000000003</v>
      </c>
      <c r="M3959">
        <v>0.36058400000000002</v>
      </c>
      <c r="N3959">
        <v>0</v>
      </c>
      <c r="O3959">
        <v>-0.93265869999999995</v>
      </c>
      <c r="P3959">
        <v>0.58947399999999905</v>
      </c>
      <c r="Q3959">
        <v>0.1108835</v>
      </c>
      <c r="R3959">
        <v>-0.80014090000000004</v>
      </c>
      <c r="S3959">
        <v>2.4602970000000002</v>
      </c>
      <c r="T3959">
        <v>-0.14127329999999999</v>
      </c>
      <c r="U3959">
        <v>-1.966675</v>
      </c>
      <c r="V3959">
        <v>-0.26356230000000003</v>
      </c>
      <c r="W3959">
        <v>0.1166479</v>
      </c>
      <c r="X3959">
        <v>0.95756359999999996</v>
      </c>
      <c r="Y3959">
        <v>-0.50252779999999997</v>
      </c>
      <c r="Z3959">
        <v>4.6153720000000002E-2</v>
      </c>
      <c r="AA3959">
        <v>0.86332830000000005</v>
      </c>
      <c r="AB3959">
        <v>28</v>
      </c>
      <c r="AC3959">
        <v>0.70499999999998397</v>
      </c>
      <c r="AD3959">
        <v>-4.5474000000000001E-2</v>
      </c>
      <c r="AE3959">
        <v>-0.42796999999999402</v>
      </c>
      <c r="AF3959">
        <v>-0.50171188944200196</v>
      </c>
      <c r="AG3959">
        <v>-4.5474000000000001E-2</v>
      </c>
      <c r="AH3959">
        <v>0.65142268585638197</v>
      </c>
      <c r="AI3959">
        <v>93.165548179436897</v>
      </c>
      <c r="AJ3959">
        <v>127.602699005413</v>
      </c>
      <c r="AK3959">
        <v>0.82348905295201502</v>
      </c>
      <c r="AL3959">
        <v>83.3013170162248</v>
      </c>
      <c r="AM3959">
        <v>105.38917340771501</v>
      </c>
      <c r="AN3959">
        <v>0.99999993330032699</v>
      </c>
    </row>
    <row r="3960" spans="1:40" x14ac:dyDescent="0.3">
      <c r="A3960" t="str">
        <f>"20200111150109437"</f>
        <v>20200111150109437</v>
      </c>
      <c r="B3960" t="str">
        <f>"1578726069432206"</f>
        <v>1578726069432206</v>
      </c>
      <c r="C3960" t="s">
        <v>40</v>
      </c>
      <c r="D3960">
        <v>4.4244209999999997</v>
      </c>
      <c r="E3960">
        <v>0.3941212</v>
      </c>
      <c r="F3960" t="s">
        <v>41</v>
      </c>
      <c r="G3960">
        <v>-418.68180000000001</v>
      </c>
      <c r="H3960">
        <v>1.066182</v>
      </c>
      <c r="I3960">
        <v>34.93047</v>
      </c>
      <c r="J3960">
        <v>-419.43799999999999</v>
      </c>
      <c r="K3960">
        <v>1.1124480000000001</v>
      </c>
      <c r="L3960">
        <v>35.432400000000001</v>
      </c>
      <c r="M3960">
        <v>0.36602079999999998</v>
      </c>
      <c r="N3960">
        <v>0</v>
      </c>
      <c r="O3960">
        <v>-0.93053850000000005</v>
      </c>
      <c r="P3960">
        <v>0.59509559999999995</v>
      </c>
      <c r="Q3960">
        <v>0.11029410000000001</v>
      </c>
      <c r="R3960">
        <v>-0.7960507</v>
      </c>
      <c r="S3960">
        <v>2.4710390000000002</v>
      </c>
      <c r="T3960">
        <v>-0.1396606</v>
      </c>
      <c r="U3960">
        <v>-1.9482729999999999</v>
      </c>
      <c r="V3960">
        <v>-0.26468999999999998</v>
      </c>
      <c r="W3960">
        <v>0.1160195</v>
      </c>
      <c r="X3960">
        <v>0.95732899999999999</v>
      </c>
      <c r="Y3960">
        <v>-0.50328649999999997</v>
      </c>
      <c r="Z3960">
        <v>4.5650330000000003E-2</v>
      </c>
      <c r="AA3960">
        <v>0.86291299999999904</v>
      </c>
      <c r="AB3960">
        <v>28</v>
      </c>
      <c r="AC3960">
        <v>0.75620000000003496</v>
      </c>
      <c r="AD3960">
        <v>-4.6265999999999897E-2</v>
      </c>
      <c r="AE3960">
        <v>-0.50193000000000099</v>
      </c>
      <c r="AF3960">
        <v>-0.51864170907710605</v>
      </c>
      <c r="AG3960">
        <v>-4.6265999999999897E-2</v>
      </c>
      <c r="AH3960">
        <v>0.74196932938107996</v>
      </c>
      <c r="AI3960">
        <v>92.925703882905907</v>
      </c>
      <c r="AJ3960">
        <v>124.953815630606</v>
      </c>
      <c r="AK3960">
        <v>0.90644815124343003</v>
      </c>
      <c r="AL3960">
        <v>83.337568720644597</v>
      </c>
      <c r="AM3960">
        <v>105.455484073471</v>
      </c>
      <c r="AN3960">
        <v>1.00000006736062</v>
      </c>
    </row>
    <row r="3961" spans="1:40" x14ac:dyDescent="0.3">
      <c r="A3961" t="str">
        <f>"20200111150109462"</f>
        <v>20200111150109462</v>
      </c>
      <c r="B3961" t="str">
        <f>"1578726069451726"</f>
        <v>1578726069451726</v>
      </c>
      <c r="C3961" t="s">
        <v>40</v>
      </c>
      <c r="D3961">
        <v>4.4856210000000001</v>
      </c>
      <c r="E3961">
        <v>0.39448680000000003</v>
      </c>
      <c r="F3961" t="s">
        <v>41</v>
      </c>
      <c r="G3961">
        <v>-418.74239999999998</v>
      </c>
      <c r="H3961">
        <v>1.0728310000000001</v>
      </c>
      <c r="I3961">
        <v>34.890169999999998</v>
      </c>
      <c r="J3961">
        <v>-419.31380000000001</v>
      </c>
      <c r="K3961">
        <v>1.112503</v>
      </c>
      <c r="L3961">
        <v>35.14996</v>
      </c>
      <c r="M3961">
        <v>0.37680520000000001</v>
      </c>
      <c r="N3961">
        <v>0</v>
      </c>
      <c r="O3961">
        <v>-0.92622380000000004</v>
      </c>
      <c r="P3961">
        <v>0.60541199999999995</v>
      </c>
      <c r="Q3961">
        <v>0.11008229999999999</v>
      </c>
      <c r="R3961">
        <v>-0.78826309999999999</v>
      </c>
      <c r="S3961">
        <v>2.4813540000000001</v>
      </c>
      <c r="T3961">
        <v>-0.14125450000000001</v>
      </c>
      <c r="U3961">
        <v>-1.9331970000000001</v>
      </c>
      <c r="V3961">
        <v>-0.26604040000000001</v>
      </c>
      <c r="W3961">
        <v>0.1157552</v>
      </c>
      <c r="X3961">
        <v>0.95698649999999996</v>
      </c>
      <c r="Y3961">
        <v>-0.4982259</v>
      </c>
      <c r="Z3961">
        <v>4.6072040000000002E-2</v>
      </c>
      <c r="AA3961">
        <v>0.86582239999999999</v>
      </c>
      <c r="AB3961">
        <v>28</v>
      </c>
      <c r="AC3961">
        <v>0.57140000000003899</v>
      </c>
      <c r="AD3961">
        <v>-3.9672000000000103E-2</v>
      </c>
      <c r="AE3961">
        <v>-0.25979000000000202</v>
      </c>
      <c r="AF3961">
        <v>-0.42966513378167798</v>
      </c>
      <c r="AG3961">
        <v>-3.9672000000000103E-2</v>
      </c>
      <c r="AH3961">
        <v>0.45414502438695598</v>
      </c>
      <c r="AI3961">
        <v>93.630900108997395</v>
      </c>
      <c r="AJ3961">
        <v>133.413419575647</v>
      </c>
      <c r="AK3961">
        <v>0.62644528727340298</v>
      </c>
      <c r="AL3961">
        <v>83.352814005779805</v>
      </c>
      <c r="AM3961">
        <v>105.53582800321399</v>
      </c>
      <c r="AN3961">
        <v>0.99999996097072397</v>
      </c>
    </row>
    <row r="3962" spans="1:40" x14ac:dyDescent="0.3">
      <c r="A3962" t="str">
        <f>"20200111150109475"</f>
        <v>20200111150109475</v>
      </c>
      <c r="B3962" t="str">
        <f>"1578726069471247"</f>
        <v>1578726069471247</v>
      </c>
      <c r="C3962" t="s">
        <v>40</v>
      </c>
      <c r="D3962">
        <v>4.464982</v>
      </c>
      <c r="E3962">
        <v>0.39535969999999998</v>
      </c>
      <c r="F3962" t="s">
        <v>41</v>
      </c>
      <c r="G3962">
        <v>-418.4547</v>
      </c>
      <c r="H3962">
        <v>1.0638890000000001</v>
      </c>
      <c r="I3962">
        <v>34.496720000000003</v>
      </c>
      <c r="J3962">
        <v>-419.24829999999997</v>
      </c>
      <c r="K3962">
        <v>1.112528</v>
      </c>
      <c r="L3962">
        <v>35.004669999999997</v>
      </c>
      <c r="M3962">
        <v>0.3823744</v>
      </c>
      <c r="N3962">
        <v>0</v>
      </c>
      <c r="O3962">
        <v>-0.9239385</v>
      </c>
      <c r="P3962">
        <v>0.61056669999999902</v>
      </c>
      <c r="Q3962">
        <v>0.109872</v>
      </c>
      <c r="R3962">
        <v>-0.78430679999999997</v>
      </c>
      <c r="S3962">
        <v>2.5035400000000001</v>
      </c>
      <c r="T3962">
        <v>-0.14161799999999999</v>
      </c>
      <c r="U3962">
        <v>-1.9028320000000001</v>
      </c>
      <c r="V3962">
        <v>-0.26654489999999997</v>
      </c>
      <c r="W3962">
        <v>0.115526</v>
      </c>
      <c r="X3962">
        <v>0.9568738</v>
      </c>
      <c r="Y3962">
        <v>-0.50334319999999999</v>
      </c>
      <c r="Z3962">
        <v>4.6222909999999999E-2</v>
      </c>
      <c r="AA3962">
        <v>0.86284939999999999</v>
      </c>
      <c r="AB3962">
        <v>28</v>
      </c>
      <c r="AC3962">
        <v>0.793599999999969</v>
      </c>
      <c r="AD3962">
        <v>-4.8639000000000099E-2</v>
      </c>
      <c r="AE3962">
        <v>-0.50795000000000101</v>
      </c>
      <c r="AF3962">
        <v>-0.53761230146165395</v>
      </c>
      <c r="AG3962">
        <v>-4.8639000000000099E-2</v>
      </c>
      <c r="AH3962">
        <v>0.77076229553426501</v>
      </c>
      <c r="AI3962">
        <v>92.962883633030799</v>
      </c>
      <c r="AJ3962">
        <v>124.896053446742</v>
      </c>
      <c r="AK3962">
        <v>0.94099269668852703</v>
      </c>
      <c r="AL3962">
        <v>83.366034854953298</v>
      </c>
      <c r="AM3962">
        <v>105.565606497513</v>
      </c>
      <c r="AN3962">
        <v>0.99999995475922399</v>
      </c>
    </row>
    <row r="3963" spans="1:40" x14ac:dyDescent="0.3">
      <c r="A3963" t="str">
        <f>"20200111150109487"</f>
        <v>20200111150109487</v>
      </c>
      <c r="B3963" t="str">
        <f>"1578726069481982"</f>
        <v>1578726069481982</v>
      </c>
      <c r="C3963" t="s">
        <v>40</v>
      </c>
      <c r="D3963">
        <v>4.4671690000000002</v>
      </c>
      <c r="E3963">
        <v>0.39615070000000002</v>
      </c>
      <c r="F3963" t="s">
        <v>41</v>
      </c>
      <c r="G3963">
        <v>-418.51679999999999</v>
      </c>
      <c r="H3963">
        <v>1.071304</v>
      </c>
      <c r="I3963">
        <v>34.453690000000002</v>
      </c>
      <c r="J3963">
        <v>-419.18400000000003</v>
      </c>
      <c r="K3963">
        <v>1.1125510000000001</v>
      </c>
      <c r="L3963">
        <v>34.864350000000002</v>
      </c>
      <c r="M3963">
        <v>0.3877582</v>
      </c>
      <c r="N3963">
        <v>0</v>
      </c>
      <c r="O3963">
        <v>-0.92169179999999995</v>
      </c>
      <c r="P3963">
        <v>0.61512309999999903</v>
      </c>
      <c r="Q3963">
        <v>0.1101935</v>
      </c>
      <c r="R3963">
        <v>-0.78069299999999997</v>
      </c>
      <c r="S3963">
        <v>2.5107119999999998</v>
      </c>
      <c r="T3963">
        <v>-0.1414493</v>
      </c>
      <c r="U3963">
        <v>-1.89035</v>
      </c>
      <c r="V3963">
        <v>-0.26656340000000001</v>
      </c>
      <c r="W3963">
        <v>0.115840899999999</v>
      </c>
      <c r="X3963">
        <v>0.95683059999999998</v>
      </c>
      <c r="Y3963">
        <v>-0.50222549999999999</v>
      </c>
      <c r="Z3963">
        <v>4.6146890000000003E-2</v>
      </c>
      <c r="AA3963">
        <v>0.86350450000000001</v>
      </c>
      <c r="AB3963">
        <v>28</v>
      </c>
      <c r="AC3963">
        <v>0.66720000000003599</v>
      </c>
      <c r="AD3963">
        <v>-4.1246999999999999E-2</v>
      </c>
      <c r="AE3963">
        <v>-0.41066000000000003</v>
      </c>
      <c r="AF3963">
        <v>-0.45448537451575899</v>
      </c>
      <c r="AG3963">
        <v>-4.1246999999999999E-2</v>
      </c>
      <c r="AH3963">
        <v>0.63549349711213698</v>
      </c>
      <c r="AI3963">
        <v>93.022049391423806</v>
      </c>
      <c r="AJ3963">
        <v>125.57118235351599</v>
      </c>
      <c r="AK3963">
        <v>0.78237475389326305</v>
      </c>
      <c r="AL3963">
        <v>83.347870619793596</v>
      </c>
      <c r="AM3963">
        <v>105.567303209537</v>
      </c>
      <c r="AN3963">
        <v>0.99999997871436397</v>
      </c>
    </row>
    <row r="3964" spans="1:40" x14ac:dyDescent="0.3">
      <c r="A3964" t="str">
        <f>"20200111150109499"</f>
        <v>20200111150109499</v>
      </c>
      <c r="B3964" t="str">
        <f>"1578726069491742"</f>
        <v>1578726069491742</v>
      </c>
      <c r="C3964" t="s">
        <v>40</v>
      </c>
      <c r="D3964">
        <v>4.4306640000000002</v>
      </c>
      <c r="E3964">
        <v>0.39698319999999998</v>
      </c>
      <c r="F3964" t="s">
        <v>41</v>
      </c>
      <c r="G3964">
        <v>-418.37150000000003</v>
      </c>
      <c r="H3964">
        <v>1.0669139999999999</v>
      </c>
      <c r="I3964">
        <v>34.257640000000002</v>
      </c>
      <c r="J3964">
        <v>-419.11630000000002</v>
      </c>
      <c r="K3964">
        <v>1.112571</v>
      </c>
      <c r="L3964">
        <v>34.718110000000003</v>
      </c>
      <c r="M3964">
        <v>0.39336989999999999</v>
      </c>
      <c r="N3964">
        <v>0</v>
      </c>
      <c r="O3964">
        <v>-0.91931059999999998</v>
      </c>
      <c r="P3964">
        <v>0.61999419999999905</v>
      </c>
      <c r="Q3964">
        <v>0.11069619999999999</v>
      </c>
      <c r="R3964">
        <v>-0.77675869999999902</v>
      </c>
      <c r="S3964">
        <v>2.5170590000000002</v>
      </c>
      <c r="T3964">
        <v>-0.14137089999999999</v>
      </c>
      <c r="U3964">
        <v>-1.879456</v>
      </c>
      <c r="V3964">
        <v>-0.2667583</v>
      </c>
      <c r="W3964">
        <v>0.1163344</v>
      </c>
      <c r="X3964">
        <v>0.95671640000000002</v>
      </c>
      <c r="Y3964">
        <v>-0.50039820000000002</v>
      </c>
      <c r="Z3964">
        <v>4.6083699999999998E-2</v>
      </c>
      <c r="AA3964">
        <v>0.86456809999999995</v>
      </c>
      <c r="AB3964">
        <v>28</v>
      </c>
      <c r="AC3964">
        <v>0.74479999999999702</v>
      </c>
      <c r="AD3964">
        <v>-4.5657000000000003E-2</v>
      </c>
      <c r="AE3964">
        <v>-0.460469999999993</v>
      </c>
      <c r="AF3964">
        <v>-0.50223435801457195</v>
      </c>
      <c r="AG3964">
        <v>-4.5657000000000003E-2</v>
      </c>
      <c r="AH3964">
        <v>0.71440053714813601</v>
      </c>
      <c r="AI3964">
        <v>92.992845050892399</v>
      </c>
      <c r="AJ3964">
        <v>125.10779694369</v>
      </c>
      <c r="AK3964">
        <v>0.87446671720360802</v>
      </c>
      <c r="AL3964">
        <v>83.319402665225695</v>
      </c>
      <c r="AM3964">
        <v>105.579902046009</v>
      </c>
      <c r="AN3964">
        <v>0.99999997663560403</v>
      </c>
    </row>
    <row r="3965" spans="1:40" x14ac:dyDescent="0.3">
      <c r="A3965" t="str">
        <f>"20200111150109512"</f>
        <v>20200111150109512</v>
      </c>
      <c r="B3965" t="str">
        <f>"1578726069501502"</f>
        <v>1578726069501502</v>
      </c>
      <c r="C3965" t="s">
        <v>40</v>
      </c>
      <c r="D3965">
        <v>4.5204269999999998</v>
      </c>
      <c r="E3965">
        <v>0.39775899999999997</v>
      </c>
      <c r="F3965" t="s">
        <v>41</v>
      </c>
      <c r="G3965">
        <v>-418.4341</v>
      </c>
      <c r="H3965">
        <v>1.0744339999999999</v>
      </c>
      <c r="I3965">
        <v>34.213329999999999</v>
      </c>
      <c r="J3965">
        <v>-419.04910000000001</v>
      </c>
      <c r="K3965">
        <v>1.112584</v>
      </c>
      <c r="L3965">
        <v>34.576509999999999</v>
      </c>
      <c r="M3965">
        <v>0.39881499999999998</v>
      </c>
      <c r="N3965">
        <v>0</v>
      </c>
      <c r="O3965">
        <v>-0.91696160000000004</v>
      </c>
      <c r="P3965">
        <v>0.62502179999999996</v>
      </c>
      <c r="Q3965">
        <v>0.1110503</v>
      </c>
      <c r="R3965">
        <v>-0.77266829999999997</v>
      </c>
      <c r="S3965">
        <v>2.523895</v>
      </c>
      <c r="T3965">
        <v>-0.14111290000000001</v>
      </c>
      <c r="U3965">
        <v>-1.867828</v>
      </c>
      <c r="V3965">
        <v>-0.26732420000000001</v>
      </c>
      <c r="W3965">
        <v>0.1166726</v>
      </c>
      <c r="X3965">
        <v>0.95651730000000001</v>
      </c>
      <c r="Y3965">
        <v>-0.49896020000000002</v>
      </c>
      <c r="Z3965">
        <v>4.5965260000000001E-2</v>
      </c>
      <c r="AA3965">
        <v>0.86540509999999904</v>
      </c>
      <c r="AB3965">
        <v>28</v>
      </c>
      <c r="AC3965">
        <v>0.61500000000000898</v>
      </c>
      <c r="AD3965">
        <v>-3.8149999999999899E-2</v>
      </c>
      <c r="AE3965">
        <v>-0.363179999999999</v>
      </c>
      <c r="AF3965">
        <v>-0.41792421294748</v>
      </c>
      <c r="AG3965">
        <v>-3.8149999999999899E-2</v>
      </c>
      <c r="AH3965">
        <v>0.57668503508176705</v>
      </c>
      <c r="AI3965">
        <v>93.066206735940497</v>
      </c>
      <c r="AJ3965">
        <v>125.930880583763</v>
      </c>
      <c r="AK3965">
        <v>0.71321925097057703</v>
      </c>
      <c r="AL3965">
        <v>83.299892760878905</v>
      </c>
      <c r="AM3965">
        <v>105.61443409162</v>
      </c>
      <c r="AN3965">
        <v>1.0000000343478399</v>
      </c>
    </row>
    <row r="3966" spans="1:40" x14ac:dyDescent="0.3">
      <c r="A3966" t="str">
        <f>"20200111150109525"</f>
        <v>20200111150109525</v>
      </c>
      <c r="B3966" t="str">
        <f>"1578726069521998"</f>
        <v>1578726069521998</v>
      </c>
      <c r="C3966" t="s">
        <v>40</v>
      </c>
      <c r="D3966">
        <v>4.5942749999999997</v>
      </c>
      <c r="E3966">
        <v>0.3993121</v>
      </c>
      <c r="F3966" t="s">
        <v>41</v>
      </c>
      <c r="G3966">
        <v>-418.28730000000002</v>
      </c>
      <c r="H3966">
        <v>1.070157</v>
      </c>
      <c r="I3966">
        <v>34.017859999999999</v>
      </c>
      <c r="J3966">
        <v>-418.976</v>
      </c>
      <c r="K3966">
        <v>1.1125929999999999</v>
      </c>
      <c r="L3966">
        <v>34.423920000000003</v>
      </c>
      <c r="M3966">
        <v>0.40467520000000001</v>
      </c>
      <c r="N3966">
        <v>0</v>
      </c>
      <c r="O3966">
        <v>-0.91439040000000005</v>
      </c>
      <c r="P3966">
        <v>0.63118129999999995</v>
      </c>
      <c r="Q3966">
        <v>0.1111433</v>
      </c>
      <c r="R3966">
        <v>-0.76763110000000001</v>
      </c>
      <c r="S3966">
        <v>2.531158</v>
      </c>
      <c r="T3966">
        <v>-0.14090849999999999</v>
      </c>
      <c r="U3966">
        <v>-1.8553470000000001</v>
      </c>
      <c r="V3966">
        <v>-0.26886500000000002</v>
      </c>
      <c r="W3966">
        <v>0.116728399999999</v>
      </c>
      <c r="X3966">
        <v>0.95607850000000005</v>
      </c>
      <c r="Y3966">
        <v>-0.4973766</v>
      </c>
      <c r="Z3966">
        <v>4.5858790000000003E-2</v>
      </c>
      <c r="AA3966">
        <v>0.86632180000000003</v>
      </c>
      <c r="AB3966">
        <v>28</v>
      </c>
      <c r="AC3966">
        <v>0.68869999999998199</v>
      </c>
      <c r="AD3966">
        <v>-4.2435999999999897E-2</v>
      </c>
      <c r="AE3966">
        <v>-0.40606000000000297</v>
      </c>
      <c r="AF3966">
        <v>-0.46414045256841402</v>
      </c>
      <c r="AG3966">
        <v>-4.2435999999999897E-2</v>
      </c>
      <c r="AH3966">
        <v>0.64821261108571204</v>
      </c>
      <c r="AI3966">
        <v>93.046866655628193</v>
      </c>
      <c r="AJ3966">
        <v>125.603845218789</v>
      </c>
      <c r="AK3966">
        <v>0.79837758170991302</v>
      </c>
      <c r="AL3966">
        <v>83.296673448946606</v>
      </c>
      <c r="AM3966">
        <v>105.70685635483601</v>
      </c>
      <c r="AN3966">
        <v>1.0000000028769001</v>
      </c>
    </row>
    <row r="3967" spans="1:40" x14ac:dyDescent="0.3">
      <c r="A3967" t="str">
        <f>"20200111150109539"</f>
        <v>20200111150109539</v>
      </c>
      <c r="B3967" t="str">
        <f>"1578726069531758"</f>
        <v>1578726069531758</v>
      </c>
      <c r="C3967" t="s">
        <v>40</v>
      </c>
      <c r="D3967">
        <v>4.4107649999999996</v>
      </c>
      <c r="E3967">
        <v>0.40011099999999999</v>
      </c>
      <c r="F3967" t="s">
        <v>41</v>
      </c>
      <c r="G3967">
        <v>-418.14460000000003</v>
      </c>
      <c r="H3967">
        <v>1.0677000000000001</v>
      </c>
      <c r="I3967">
        <v>33.819589999999998</v>
      </c>
      <c r="J3967">
        <v>-418.9008</v>
      </c>
      <c r="K3967">
        <v>1.1126</v>
      </c>
      <c r="L3967">
        <v>34.26932</v>
      </c>
      <c r="M3967">
        <v>0.41060960000000002</v>
      </c>
      <c r="N3967">
        <v>0</v>
      </c>
      <c r="O3967">
        <v>-0.91174100000000002</v>
      </c>
      <c r="P3967">
        <v>0.636907</v>
      </c>
      <c r="Q3967">
        <v>0.11102860000000001</v>
      </c>
      <c r="R3967">
        <v>-0.76290400000000003</v>
      </c>
      <c r="S3967">
        <v>2.5359500000000001</v>
      </c>
      <c r="T3967">
        <v>-0.13690050000000001</v>
      </c>
      <c r="U3967">
        <v>-1.842773</v>
      </c>
      <c r="V3967">
        <v>-0.26979880000000001</v>
      </c>
      <c r="W3967">
        <v>0.116592</v>
      </c>
      <c r="X3967">
        <v>0.95583209999999996</v>
      </c>
      <c r="Y3967">
        <v>-0.4953745</v>
      </c>
      <c r="Z3967">
        <v>4.4538130000000002E-2</v>
      </c>
      <c r="AA3967">
        <v>0.867537</v>
      </c>
      <c r="AB3967">
        <v>28</v>
      </c>
      <c r="AC3967">
        <v>0.756199999999978</v>
      </c>
      <c r="AD3967">
        <v>-4.4899999999999898E-2</v>
      </c>
      <c r="AE3967">
        <v>-0.44972999999999502</v>
      </c>
      <c r="AF3967">
        <v>-0.50351609689125898</v>
      </c>
      <c r="AG3967">
        <v>-4.4899999999999898E-2</v>
      </c>
      <c r="AH3967">
        <v>0.718714637179796</v>
      </c>
      <c r="AI3967">
        <v>92.929022619044304</v>
      </c>
      <c r="AJ3967">
        <v>125.014263509098</v>
      </c>
      <c r="AK3967">
        <v>0.87868947844223799</v>
      </c>
      <c r="AL3967">
        <v>83.304542607266995</v>
      </c>
      <c r="AM3967">
        <v>105.76256313397</v>
      </c>
      <c r="AN3967">
        <v>1.0000000451679201</v>
      </c>
    </row>
    <row r="3968" spans="1:40" x14ac:dyDescent="0.3">
      <c r="A3968" t="str">
        <f>"20200111150109553"</f>
        <v>20200111150109553</v>
      </c>
      <c r="B3968" t="str">
        <f>"1578726069541518"</f>
        <v>1578726069541518</v>
      </c>
      <c r="C3968" t="s">
        <v>40</v>
      </c>
      <c r="D3968">
        <v>4.4854890000000003</v>
      </c>
      <c r="E3968">
        <v>0.40094289999999999</v>
      </c>
      <c r="F3968" t="s">
        <v>41</v>
      </c>
      <c r="G3968">
        <v>-418.20850000000002</v>
      </c>
      <c r="H3968">
        <v>1.075887</v>
      </c>
      <c r="I3968">
        <v>33.771880000000003</v>
      </c>
      <c r="J3968">
        <v>-418.82659999999998</v>
      </c>
      <c r="K3968">
        <v>1.1126069999999999</v>
      </c>
      <c r="L3968">
        <v>34.120179999999998</v>
      </c>
      <c r="M3968">
        <v>0.41633429999999999</v>
      </c>
      <c r="N3968">
        <v>0</v>
      </c>
      <c r="O3968">
        <v>-0.90914090000000003</v>
      </c>
      <c r="P3968">
        <v>0.64258680000000001</v>
      </c>
      <c r="Q3968">
        <v>0.1113193</v>
      </c>
      <c r="R3968">
        <v>-0.75808319999999996</v>
      </c>
      <c r="S3968">
        <v>2.5443730000000002</v>
      </c>
      <c r="T3968">
        <v>-0.13491120000000001</v>
      </c>
      <c r="U3968">
        <v>-1.8278810000000001</v>
      </c>
      <c r="V3968">
        <v>-0.27095370000000002</v>
      </c>
      <c r="W3968">
        <v>0.1168568</v>
      </c>
      <c r="X3968">
        <v>0.95547289999999996</v>
      </c>
      <c r="Y3968">
        <v>-0.49464629999999998</v>
      </c>
      <c r="Z3968">
        <v>4.3863989999999999E-2</v>
      </c>
      <c r="AA3968">
        <v>0.8679867</v>
      </c>
      <c r="AB3968">
        <v>28</v>
      </c>
      <c r="AC3968">
        <v>0.61809999999996901</v>
      </c>
      <c r="AD3968">
        <v>-3.6719999999999801E-2</v>
      </c>
      <c r="AE3968">
        <v>-0.348300000000001</v>
      </c>
      <c r="AF3968">
        <v>-0.41584363371762001</v>
      </c>
      <c r="AG3968">
        <v>-3.6719999999999801E-2</v>
      </c>
      <c r="AH3968">
        <v>0.57249336460893596</v>
      </c>
      <c r="AI3968">
        <v>92.970695403308397</v>
      </c>
      <c r="AJ3968">
        <v>125.99363625820401</v>
      </c>
      <c r="AK3968">
        <v>0.7085357708858</v>
      </c>
      <c r="AL3968">
        <v>83.289265559011</v>
      </c>
      <c r="AM3968">
        <v>105.83231438437601</v>
      </c>
      <c r="AN3968">
        <v>0.99999994094216804</v>
      </c>
    </row>
    <row r="3969" spans="1:40" x14ac:dyDescent="0.3">
      <c r="A3969" t="str">
        <f>"20200111150109566"</f>
        <v>20200111150109566</v>
      </c>
      <c r="B3969" t="str">
        <f>"1578726069562014"</f>
        <v>1578726069562014</v>
      </c>
      <c r="C3969" t="s">
        <v>40</v>
      </c>
      <c r="D3969">
        <v>4.5545220000000004</v>
      </c>
      <c r="E3969">
        <v>0.40184360000000002</v>
      </c>
      <c r="F3969" t="s">
        <v>41</v>
      </c>
      <c r="G3969">
        <v>-418.0616</v>
      </c>
      <c r="H3969">
        <v>1.0729550000000001</v>
      </c>
      <c r="I3969">
        <v>33.576639999999998</v>
      </c>
      <c r="J3969">
        <v>-418.75020000000001</v>
      </c>
      <c r="K3969">
        <v>1.112614</v>
      </c>
      <c r="L3969">
        <v>33.968200000000003</v>
      </c>
      <c r="M3969">
        <v>0.4221589</v>
      </c>
      <c r="N3969">
        <v>0</v>
      </c>
      <c r="O3969">
        <v>-0.9064508</v>
      </c>
      <c r="P3969">
        <v>0.648428</v>
      </c>
      <c r="Q3969">
        <v>0.11163670000000001</v>
      </c>
      <c r="R3969">
        <v>-0.75304569999999904</v>
      </c>
      <c r="S3969">
        <v>2.5527039999999999</v>
      </c>
      <c r="T3969">
        <v>-0.13227369999999999</v>
      </c>
      <c r="U3969">
        <v>-1.8130189999999999</v>
      </c>
      <c r="V3969">
        <v>-0.27223849999999999</v>
      </c>
      <c r="W3969">
        <v>0.1171452</v>
      </c>
      <c r="X3969">
        <v>0.95507229999999999</v>
      </c>
      <c r="Y3969">
        <v>-0.49379820000000002</v>
      </c>
      <c r="Z3969">
        <v>4.2975550000000001E-2</v>
      </c>
      <c r="AA3969">
        <v>0.86851389999999995</v>
      </c>
      <c r="AB3969">
        <v>29</v>
      </c>
      <c r="AC3969">
        <v>0.68860000000000798</v>
      </c>
      <c r="AD3969">
        <v>-3.9659000000000097E-2</v>
      </c>
      <c r="AE3969">
        <v>-0.39155999999999802</v>
      </c>
      <c r="AF3969">
        <v>-0.45776362939815901</v>
      </c>
      <c r="AG3969">
        <v>-3.9659000000000097E-2</v>
      </c>
      <c r="AH3969">
        <v>0.64405571842586096</v>
      </c>
      <c r="AI3969">
        <v>92.873321366772004</v>
      </c>
      <c r="AJ3969">
        <v>125.40337226006601</v>
      </c>
      <c r="AK3969">
        <v>0.79115620778568596</v>
      </c>
      <c r="AL3969">
        <v>83.272627230433102</v>
      </c>
      <c r="AM3969">
        <v>105.909931874713</v>
      </c>
      <c r="AN3969">
        <v>0.99999994849628804</v>
      </c>
    </row>
    <row r="3970" spans="1:40" x14ac:dyDescent="0.3">
      <c r="A3970" t="str">
        <f>"20200111150109579"</f>
        <v>20200111150109579</v>
      </c>
      <c r="B3970" t="str">
        <f>"1578726069571773"</f>
        <v>1578726069571773</v>
      </c>
      <c r="C3970" t="s">
        <v>40</v>
      </c>
      <c r="D3970">
        <v>4.6001820000000002</v>
      </c>
      <c r="E3970">
        <v>0.40236369999999999</v>
      </c>
      <c r="F3970" t="s">
        <v>41</v>
      </c>
      <c r="G3970">
        <v>-417.91410000000002</v>
      </c>
      <c r="H3970">
        <v>1.0711029999999999</v>
      </c>
      <c r="I3970">
        <v>33.381320000000002</v>
      </c>
      <c r="J3970">
        <v>-418.67410000000001</v>
      </c>
      <c r="K3970">
        <v>1.1126199999999999</v>
      </c>
      <c r="L3970">
        <v>33.81906</v>
      </c>
      <c r="M3970">
        <v>0.427869</v>
      </c>
      <c r="N3970">
        <v>0</v>
      </c>
      <c r="O3970">
        <v>-0.90376970000000001</v>
      </c>
      <c r="P3970">
        <v>0.65388919999999995</v>
      </c>
      <c r="Q3970">
        <v>0.1125577</v>
      </c>
      <c r="R3970">
        <v>-0.74817140000000004</v>
      </c>
      <c r="S3970">
        <v>2.5609739999999999</v>
      </c>
      <c r="T3970">
        <v>-0.1271409</v>
      </c>
      <c r="U3970">
        <v>-1.797455</v>
      </c>
      <c r="V3970">
        <v>-0.27324110000000001</v>
      </c>
      <c r="W3970">
        <v>0.11804249999999999</v>
      </c>
      <c r="X3970">
        <v>0.95467550000000001</v>
      </c>
      <c r="Y3970">
        <v>-0.49322729999999998</v>
      </c>
      <c r="Z3970">
        <v>4.1285910000000002E-2</v>
      </c>
      <c r="AA3970">
        <v>0.86892019999999903</v>
      </c>
      <c r="AB3970">
        <v>29</v>
      </c>
      <c r="AC3970">
        <v>0.75999999999999002</v>
      </c>
      <c r="AD3970">
        <v>-4.1516999999999998E-2</v>
      </c>
      <c r="AE3970">
        <v>-0.43773999999999702</v>
      </c>
      <c r="AF3970">
        <v>-0.498484678073709</v>
      </c>
      <c r="AG3970">
        <v>-4.1516999999999998E-2</v>
      </c>
      <c r="AH3970">
        <v>0.71923123081181195</v>
      </c>
      <c r="AI3970">
        <v>92.716257302285399</v>
      </c>
      <c r="AJ3970">
        <v>124.725050138206</v>
      </c>
      <c r="AK3970">
        <v>0.87607316985416395</v>
      </c>
      <c r="AL3970">
        <v>83.220857015962295</v>
      </c>
      <c r="AM3970">
        <v>105.97184122418901</v>
      </c>
      <c r="AN3970">
        <v>1.0000000204178501</v>
      </c>
    </row>
    <row r="3971" spans="1:40" x14ac:dyDescent="0.3">
      <c r="A3971" t="str">
        <f>"20200111150109592"</f>
        <v>20200111150109592</v>
      </c>
      <c r="B3971" t="str">
        <f>"1578726069581534"</f>
        <v>1578726069581534</v>
      </c>
      <c r="C3971" t="s">
        <v>40</v>
      </c>
      <c r="D3971">
        <v>4.5723979999999997</v>
      </c>
      <c r="E3971">
        <v>0.40281050000000002</v>
      </c>
      <c r="F3971" t="s">
        <v>41</v>
      </c>
      <c r="G3971">
        <v>-417.97430000000003</v>
      </c>
      <c r="H3971">
        <v>1.078395</v>
      </c>
      <c r="I3971">
        <v>33.33399</v>
      </c>
      <c r="J3971">
        <v>-418.6001</v>
      </c>
      <c r="K3971">
        <v>1.112633</v>
      </c>
      <c r="L3971">
        <v>33.677</v>
      </c>
      <c r="M3971">
        <v>0.43330859999999899</v>
      </c>
      <c r="N3971">
        <v>0</v>
      </c>
      <c r="O3971">
        <v>-0.90117409999999998</v>
      </c>
      <c r="P3971">
        <v>0.65964840000000002</v>
      </c>
      <c r="Q3971">
        <v>0.1138455</v>
      </c>
      <c r="R3971">
        <v>-0.74290199999999995</v>
      </c>
      <c r="S3971">
        <v>2.5710449999999998</v>
      </c>
      <c r="T3971">
        <v>-0.12571749999999901</v>
      </c>
      <c r="U3971">
        <v>-1.781647</v>
      </c>
      <c r="V3971">
        <v>-0.27497329999999998</v>
      </c>
      <c r="W3971">
        <v>0.1192896</v>
      </c>
      <c r="X3971">
        <v>0.95402290000000001</v>
      </c>
      <c r="Y3971">
        <v>-0.49320439999999999</v>
      </c>
      <c r="Z3971">
        <v>4.0787740000000003E-2</v>
      </c>
      <c r="AA3971">
        <v>0.86895669999999903</v>
      </c>
      <c r="AB3971">
        <v>29</v>
      </c>
      <c r="AC3971">
        <v>0.62579999999996905</v>
      </c>
      <c r="AD3971">
        <v>-3.42379999999999E-2</v>
      </c>
      <c r="AE3971">
        <v>-0.34300999999999898</v>
      </c>
      <c r="AF3971">
        <v>-0.41439849561072001</v>
      </c>
      <c r="AG3971">
        <v>-3.42379999999999E-2</v>
      </c>
      <c r="AH3971">
        <v>0.57898098026147404</v>
      </c>
      <c r="AI3971">
        <v>92.753062978157203</v>
      </c>
      <c r="AJ3971">
        <v>125.59272571819599</v>
      </c>
      <c r="AK3971">
        <v>0.71282349099406495</v>
      </c>
      <c r="AL3971">
        <v>83.148894899869504</v>
      </c>
      <c r="AM3971">
        <v>106.078306746584</v>
      </c>
      <c r="AN3971">
        <v>1.0000000090527299</v>
      </c>
    </row>
    <row r="3972" spans="1:40" x14ac:dyDescent="0.3">
      <c r="A3972" t="str">
        <f>"20200111150109605"</f>
        <v>20200111150109605</v>
      </c>
      <c r="B3972" t="str">
        <f>"1578726069602030"</f>
        <v>1578726069602030</v>
      </c>
      <c r="C3972" t="s">
        <v>40</v>
      </c>
      <c r="D3972">
        <v>4.5521710000000004</v>
      </c>
      <c r="E3972">
        <v>0.40389730000000001</v>
      </c>
      <c r="F3972" t="s">
        <v>41</v>
      </c>
      <c r="G3972">
        <v>-417.82040000000001</v>
      </c>
      <c r="H3972">
        <v>1.0755509999999999</v>
      </c>
      <c r="I3972">
        <v>33.144210000000001</v>
      </c>
      <c r="J3972">
        <v>-418.52429999999998</v>
      </c>
      <c r="K3972">
        <v>1.1126389999999999</v>
      </c>
      <c r="L3972">
        <v>33.53293</v>
      </c>
      <c r="M3972">
        <v>0.43881710000000002</v>
      </c>
      <c r="N3972">
        <v>0</v>
      </c>
      <c r="O3972">
        <v>-0.89850469999999905</v>
      </c>
      <c r="P3972">
        <v>0.66453309999999999</v>
      </c>
      <c r="Q3972">
        <v>0.11418159999999999</v>
      </c>
      <c r="R3972">
        <v>-0.73848380000000002</v>
      </c>
      <c r="S3972">
        <v>2.5824579999999999</v>
      </c>
      <c r="T3972">
        <v>-0.1227702</v>
      </c>
      <c r="U3972">
        <v>-1.7639769999999999</v>
      </c>
      <c r="V3972">
        <v>-0.27545599999999998</v>
      </c>
      <c r="W3972">
        <v>0.119614899999999</v>
      </c>
      <c r="X3972">
        <v>0.95384290000000005</v>
      </c>
      <c r="Y3972">
        <v>-0.493757</v>
      </c>
      <c r="Z3972">
        <v>3.9798779999999999E-2</v>
      </c>
      <c r="AA3972">
        <v>0.86868869999999898</v>
      </c>
      <c r="AB3972">
        <v>29</v>
      </c>
      <c r="AC3972">
        <v>0.70389999999997599</v>
      </c>
      <c r="AD3972">
        <v>-3.7088000000000003E-2</v>
      </c>
      <c r="AE3972">
        <v>-0.38871999999999901</v>
      </c>
      <c r="AF3972">
        <v>-0.46092966257373502</v>
      </c>
      <c r="AG3972">
        <v>-3.7088000000000003E-2</v>
      </c>
      <c r="AH3972">
        <v>0.656795256535044</v>
      </c>
      <c r="AI3972">
        <v>92.646423641118503</v>
      </c>
      <c r="AJ3972">
        <v>125.06063750034799</v>
      </c>
      <c r="AK3972">
        <v>0.80325069722426801</v>
      </c>
      <c r="AL3972">
        <v>83.130122141560093</v>
      </c>
      <c r="AM3972">
        <v>106.10795069796001</v>
      </c>
      <c r="AN3972">
        <v>1.0000000050592099</v>
      </c>
    </row>
    <row r="3973" spans="1:40" x14ac:dyDescent="0.3">
      <c r="A3973" t="str">
        <f>"20200111150109617"</f>
        <v>20200111150109617</v>
      </c>
      <c r="B3973" t="str">
        <f>"1578726069611789"</f>
        <v>1578726069611789</v>
      </c>
      <c r="C3973" t="s">
        <v>40</v>
      </c>
      <c r="D3973">
        <v>4.651351</v>
      </c>
      <c r="E3973">
        <v>0.40435779999999999</v>
      </c>
      <c r="F3973" t="s">
        <v>41</v>
      </c>
      <c r="G3973">
        <v>-417.66750000000002</v>
      </c>
      <c r="H3973">
        <v>1.072314</v>
      </c>
      <c r="I3973">
        <v>32.952550000000002</v>
      </c>
      <c r="J3973">
        <v>-418.45010000000002</v>
      </c>
      <c r="K3973">
        <v>1.112643</v>
      </c>
      <c r="L3973">
        <v>33.393979999999999</v>
      </c>
      <c r="M3973">
        <v>0.44412780000000002</v>
      </c>
      <c r="N3973">
        <v>0</v>
      </c>
      <c r="O3973">
        <v>-0.89589169999999996</v>
      </c>
      <c r="P3973">
        <v>0.66900530000000002</v>
      </c>
      <c r="Q3973">
        <v>0.11439100000000001</v>
      </c>
      <c r="R3973">
        <v>-0.73440260000000002</v>
      </c>
      <c r="S3973">
        <v>2.5876160000000001</v>
      </c>
      <c r="T3973">
        <v>-0.1217848</v>
      </c>
      <c r="U3973">
        <v>-1.7527470000000001</v>
      </c>
      <c r="V3973">
        <v>-0.2756229</v>
      </c>
      <c r="W3973">
        <v>0.1198198</v>
      </c>
      <c r="X3973">
        <v>0.95376899999999998</v>
      </c>
      <c r="Y3973">
        <v>-0.49200830000000001</v>
      </c>
      <c r="Z3973">
        <v>3.9439979999999999E-2</v>
      </c>
      <c r="AA3973">
        <v>0.86969669999999899</v>
      </c>
      <c r="AB3973">
        <v>29</v>
      </c>
      <c r="AC3973">
        <v>0.78260000000000196</v>
      </c>
      <c r="AD3973">
        <v>-4.0328999999999997E-2</v>
      </c>
      <c r="AE3973">
        <v>-0.44142999999999599</v>
      </c>
      <c r="AF3973">
        <v>-0.504090441277943</v>
      </c>
      <c r="AG3973">
        <v>-4.0328999999999997E-2</v>
      </c>
      <c r="AH3973">
        <v>0.74160163084285802</v>
      </c>
      <c r="AI3973">
        <v>92.575122257081304</v>
      </c>
      <c r="AJ3973">
        <v>124.20520508576701</v>
      </c>
      <c r="AK3973">
        <v>0.89761159757301401</v>
      </c>
      <c r="AL3973">
        <v>83.118297408372399</v>
      </c>
      <c r="AM3973">
        <v>106.118387891037</v>
      </c>
      <c r="AN3973">
        <v>1.00000003641872</v>
      </c>
    </row>
    <row r="3974" spans="1:40" x14ac:dyDescent="0.3">
      <c r="A3974" t="str">
        <f>"20200111150109629"</f>
        <v>20200111150109629</v>
      </c>
      <c r="B3974" t="str">
        <f>"1578726069621549"</f>
        <v>1578726069621549</v>
      </c>
      <c r="C3974" t="s">
        <v>40</v>
      </c>
      <c r="D3974">
        <v>4.5076239999999999</v>
      </c>
      <c r="E3974">
        <v>0.40435779999999999</v>
      </c>
      <c r="F3974" t="s">
        <v>41</v>
      </c>
      <c r="G3974">
        <v>-417.72430000000003</v>
      </c>
      <c r="H3974">
        <v>1.078255</v>
      </c>
      <c r="I3974">
        <v>32.907400000000003</v>
      </c>
      <c r="J3974">
        <v>-418.37990000000002</v>
      </c>
      <c r="K3974">
        <v>1.1126499999999999</v>
      </c>
      <c r="L3974">
        <v>33.264560000000003</v>
      </c>
      <c r="M3974">
        <v>0.44907330000000001</v>
      </c>
      <c r="N3974">
        <v>0</v>
      </c>
      <c r="O3974">
        <v>-0.89342269999999901</v>
      </c>
      <c r="P3974">
        <v>0.67328319999999997</v>
      </c>
      <c r="Q3974">
        <v>0.1147063</v>
      </c>
      <c r="R3974">
        <v>-0.73043279999999999</v>
      </c>
      <c r="S3974">
        <v>2.59552</v>
      </c>
      <c r="T3974">
        <v>-0.1229537</v>
      </c>
      <c r="U3974">
        <v>-1.739716</v>
      </c>
      <c r="V3974">
        <v>-0.27595140000000001</v>
      </c>
      <c r="W3974">
        <v>0.1201271</v>
      </c>
      <c r="X3974">
        <v>0.95363529999999996</v>
      </c>
      <c r="Y3974">
        <v>-0.49142089999999999</v>
      </c>
      <c r="Z3974">
        <v>3.9775070000000003E-2</v>
      </c>
      <c r="AA3974">
        <v>0.8700135</v>
      </c>
      <c r="AB3974">
        <v>29</v>
      </c>
      <c r="AC3974">
        <v>0.65559999999999197</v>
      </c>
      <c r="AD3974">
        <v>-3.4394999999999898E-2</v>
      </c>
      <c r="AE3974">
        <v>-0.35715999999999298</v>
      </c>
      <c r="AF3974">
        <v>-0.42446343509352602</v>
      </c>
      <c r="AG3974">
        <v>-3.4394999999999898E-2</v>
      </c>
      <c r="AH3974">
        <v>0.612247415133789</v>
      </c>
      <c r="AI3974">
        <v>92.643363397967207</v>
      </c>
      <c r="AJ3974">
        <v>124.733083164459</v>
      </c>
      <c r="AK3974">
        <v>0.74578758443299598</v>
      </c>
      <c r="AL3974">
        <v>83.100561997808001</v>
      </c>
      <c r="AM3974">
        <v>106.138743800315</v>
      </c>
      <c r="AN3974">
        <v>0.999999990361229</v>
      </c>
    </row>
    <row r="3975" spans="1:40" x14ac:dyDescent="0.3">
      <c r="A3975" t="str">
        <f>"20200111150109642"</f>
        <v>20200111150109642</v>
      </c>
      <c r="B3975" t="str">
        <f>"1578726069632287"</f>
        <v>1578726069632287</v>
      </c>
      <c r="C3975" t="s">
        <v>40</v>
      </c>
      <c r="D3975">
        <v>4.5814700000000004</v>
      </c>
      <c r="E3975">
        <v>0.42616330000000002</v>
      </c>
      <c r="F3975" t="s">
        <v>41</v>
      </c>
      <c r="G3975">
        <v>-417.56200000000001</v>
      </c>
      <c r="H3975">
        <v>1.0742290000000001</v>
      </c>
      <c r="I3975">
        <v>32.722760000000001</v>
      </c>
      <c r="J3975">
        <v>-418.30439999999999</v>
      </c>
      <c r="K3975">
        <v>1.1126579999999999</v>
      </c>
      <c r="L3975">
        <v>33.126649999999998</v>
      </c>
      <c r="M3975">
        <v>0.45433689999999999</v>
      </c>
      <c r="N3975">
        <v>0</v>
      </c>
      <c r="O3975">
        <v>-0.89075740000000003</v>
      </c>
      <c r="P3975">
        <v>0.67757149999999999</v>
      </c>
      <c r="Q3975">
        <v>0.11522880000000001</v>
      </c>
      <c r="R3975">
        <v>-0.72637430000000003</v>
      </c>
      <c r="S3975">
        <v>2.6055600000000001</v>
      </c>
      <c r="T3975">
        <v>-0.122323</v>
      </c>
      <c r="U3975">
        <v>-1.72470099999999</v>
      </c>
      <c r="V3975">
        <v>-0.27598800000000001</v>
      </c>
      <c r="W3975">
        <v>0.1206478</v>
      </c>
      <c r="X3975">
        <v>0.95355900000000005</v>
      </c>
      <c r="Y3975">
        <v>-0.49132130000000002</v>
      </c>
      <c r="Z3975">
        <v>3.9519760000000001E-2</v>
      </c>
      <c r="AA3975">
        <v>0.8700814</v>
      </c>
      <c r="AB3975">
        <v>29</v>
      </c>
      <c r="AC3975">
        <v>0.74240000000003104</v>
      </c>
      <c r="AD3975">
        <v>-3.8428999999999797E-2</v>
      </c>
      <c r="AE3975">
        <v>-0.40388999999999697</v>
      </c>
      <c r="AF3975">
        <v>-0.476841168555173</v>
      </c>
      <c r="AG3975">
        <v>-3.8428999999999797E-2</v>
      </c>
      <c r="AH3975">
        <v>0.69567445734789202</v>
      </c>
      <c r="AI3975">
        <v>92.608811450452805</v>
      </c>
      <c r="AJ3975">
        <v>124.42819043876899</v>
      </c>
      <c r="AK3975">
        <v>0.84428504586801001</v>
      </c>
      <c r="AL3975">
        <v>83.070509698954595</v>
      </c>
      <c r="AM3975">
        <v>106.141997116753</v>
      </c>
      <c r="AN3975">
        <v>1.0000000171349199</v>
      </c>
    </row>
    <row r="3976" spans="1:40" x14ac:dyDescent="0.3">
      <c r="A3976" t="str">
        <f>"20200111150109653"</f>
        <v>20200111150109653</v>
      </c>
      <c r="B3976" t="str">
        <f>"1578726069651806"</f>
        <v>1578726069651806</v>
      </c>
      <c r="C3976" t="s">
        <v>40</v>
      </c>
      <c r="D3976">
        <v>4.4184359999999998</v>
      </c>
      <c r="E3976">
        <v>0.4266972</v>
      </c>
      <c r="F3976" t="s">
        <v>41</v>
      </c>
      <c r="G3976">
        <v>-417.45060000000001</v>
      </c>
      <c r="H3976">
        <v>1.035563</v>
      </c>
      <c r="I3976">
        <v>32.496870000000001</v>
      </c>
      <c r="J3976">
        <v>-418.2276</v>
      </c>
      <c r="K3976">
        <v>1.1126689999999999</v>
      </c>
      <c r="L3976">
        <v>32.989109999999997</v>
      </c>
      <c r="M3976">
        <v>0.4595902</v>
      </c>
      <c r="N3976">
        <v>0</v>
      </c>
      <c r="O3976">
        <v>-0.88805820000000002</v>
      </c>
      <c r="P3976">
        <v>0.68158390000000002</v>
      </c>
      <c r="Q3976">
        <v>0.1160524</v>
      </c>
      <c r="R3976">
        <v>-0.72247850000000002</v>
      </c>
      <c r="S3976">
        <v>2.4942319999999998</v>
      </c>
      <c r="T3976">
        <v>-0.2251465</v>
      </c>
      <c r="U3976">
        <v>-1.839172</v>
      </c>
      <c r="V3976">
        <v>-0.2757153</v>
      </c>
      <c r="W3976">
        <v>0.12147570000000001</v>
      </c>
      <c r="X3976">
        <v>0.95353279999999996</v>
      </c>
      <c r="Y3976">
        <v>-0.43973659999999998</v>
      </c>
      <c r="Z3976">
        <v>7.2103009999999995E-2</v>
      </c>
      <c r="AA3976">
        <v>0.89522780000000002</v>
      </c>
      <c r="AB3976">
        <v>29</v>
      </c>
      <c r="AC3976">
        <v>0.77699999999998604</v>
      </c>
      <c r="AD3976">
        <v>-7.7106000000000105E-2</v>
      </c>
      <c r="AE3976">
        <v>-0.49223999999999501</v>
      </c>
      <c r="AF3976">
        <v>-0.460585876834882</v>
      </c>
      <c r="AG3976">
        <v>-7.7106000000000105E-2</v>
      </c>
      <c r="AH3976">
        <v>0.78874797793345297</v>
      </c>
      <c r="AI3976">
        <v>94.825373105093504</v>
      </c>
      <c r="AJ3976">
        <v>120.28260222553</v>
      </c>
      <c r="AK3976">
        <v>0.91662863683711604</v>
      </c>
      <c r="AL3976">
        <v>83.022723186501906</v>
      </c>
      <c r="AM3976">
        <v>106.127297031414</v>
      </c>
      <c r="AN3976">
        <v>1.0000000365102</v>
      </c>
    </row>
    <row r="3977" spans="1:40" x14ac:dyDescent="0.3">
      <c r="A3977" t="str">
        <f>"20200111150109666"</f>
        <v>20200111150109666</v>
      </c>
      <c r="B3977" t="str">
        <f>"1578726069661566"</f>
        <v>1578726069661566</v>
      </c>
      <c r="C3977" t="s">
        <v>40</v>
      </c>
      <c r="D3977">
        <v>4.4069140000000004</v>
      </c>
      <c r="E3977">
        <v>0.42782530000000002</v>
      </c>
      <c r="F3977" t="s">
        <v>41</v>
      </c>
      <c r="G3977">
        <v>-417.42</v>
      </c>
      <c r="H3977">
        <v>1.044216</v>
      </c>
      <c r="I3977">
        <v>32.398989999999998</v>
      </c>
      <c r="J3977">
        <v>-418.15440000000001</v>
      </c>
      <c r="K3977">
        <v>1.1126769999999999</v>
      </c>
      <c r="L3977">
        <v>32.859310000000001</v>
      </c>
      <c r="M3977">
        <v>0.4645456</v>
      </c>
      <c r="N3977">
        <v>0</v>
      </c>
      <c r="O3977">
        <v>-0.88547629999999999</v>
      </c>
      <c r="P3977">
        <v>0.68552789999999997</v>
      </c>
      <c r="Q3977">
        <v>0.11675489999999999</v>
      </c>
      <c r="R3977">
        <v>-0.71862380000000003</v>
      </c>
      <c r="S3977">
        <v>2.5009459999999999</v>
      </c>
      <c r="T3977">
        <v>-0.2119306</v>
      </c>
      <c r="U3977">
        <v>-1.827026</v>
      </c>
      <c r="V3977">
        <v>-0.27567409999999998</v>
      </c>
      <c r="W3977">
        <v>0.1221766</v>
      </c>
      <c r="X3977">
        <v>0.9534551</v>
      </c>
      <c r="Y3977">
        <v>-0.43896190000000002</v>
      </c>
      <c r="Z3977">
        <v>6.7814109999999997E-2</v>
      </c>
      <c r="AA3977">
        <v>0.89594289999999999</v>
      </c>
      <c r="AB3977">
        <v>29</v>
      </c>
      <c r="AC3977">
        <v>0.73439999999999295</v>
      </c>
      <c r="AD3977">
        <v>-6.8461000000000105E-2</v>
      </c>
      <c r="AE3977">
        <v>-0.46031999999999501</v>
      </c>
      <c r="AF3977">
        <v>-0.43377605011223203</v>
      </c>
      <c r="AG3977">
        <v>-6.8461000000000105E-2</v>
      </c>
      <c r="AH3977">
        <v>0.744170264980617</v>
      </c>
      <c r="AI3977">
        <v>94.544292305393896</v>
      </c>
      <c r="AJ3977">
        <v>120.237863202811</v>
      </c>
      <c r="AK3977">
        <v>0.86408214508418801</v>
      </c>
      <c r="AL3977">
        <v>82.982262804144995</v>
      </c>
      <c r="AM3977">
        <v>106.12625816861301</v>
      </c>
      <c r="AN3977">
        <v>0.99999997935718898</v>
      </c>
    </row>
    <row r="3978" spans="1:40" x14ac:dyDescent="0.3">
      <c r="A3978" t="str">
        <f>"20200111150109682"</f>
        <v>20200111150109682</v>
      </c>
      <c r="B3978" t="str">
        <f>"1578726069672302"</f>
        <v>1578726069672302</v>
      </c>
      <c r="C3978" t="s">
        <v>40</v>
      </c>
      <c r="D3978">
        <v>4.4807629999999996</v>
      </c>
      <c r="E3978">
        <v>0.42824970000000001</v>
      </c>
      <c r="F3978" t="s">
        <v>41</v>
      </c>
      <c r="G3978">
        <v>-417.3408</v>
      </c>
      <c r="H3978">
        <v>1.0419240000000001</v>
      </c>
      <c r="I3978">
        <v>32.267910000000001</v>
      </c>
      <c r="J3978">
        <v>-418.05610000000001</v>
      </c>
      <c r="K3978">
        <v>1.112684</v>
      </c>
      <c r="L3978">
        <v>32.687350000000002</v>
      </c>
      <c r="M3978">
        <v>0.47110469999999999</v>
      </c>
      <c r="N3978">
        <v>0</v>
      </c>
      <c r="O3978">
        <v>-0.88200409999999996</v>
      </c>
      <c r="P3978">
        <v>0.69068189999999996</v>
      </c>
      <c r="Q3978">
        <v>0.11710909999999999</v>
      </c>
      <c r="R3978">
        <v>-0.71361359999999996</v>
      </c>
      <c r="S3978">
        <v>2.5049130000000002</v>
      </c>
      <c r="T3978">
        <v>-0.21781039999999999</v>
      </c>
      <c r="U3978">
        <v>-1.820465</v>
      </c>
      <c r="V3978">
        <v>-0.27549639999999997</v>
      </c>
      <c r="W3978">
        <v>0.1225325</v>
      </c>
      <c r="X3978">
        <v>0.9534608</v>
      </c>
      <c r="Y3978">
        <v>-0.43439519999999998</v>
      </c>
      <c r="Z3978">
        <v>6.9477639999999993E-2</v>
      </c>
      <c r="AA3978">
        <v>0.89803880000000003</v>
      </c>
      <c r="AB3978">
        <v>29</v>
      </c>
      <c r="AC3978">
        <v>0.71530000000001304</v>
      </c>
      <c r="AD3978">
        <v>-7.0759999999999906E-2</v>
      </c>
      <c r="AE3978">
        <v>-0.41944000000000098</v>
      </c>
      <c r="AF3978">
        <v>-0.430192698222014</v>
      </c>
      <c r="AG3978">
        <v>-7.0759999999999906E-2</v>
      </c>
      <c r="AH3978">
        <v>0.70186367664006299</v>
      </c>
      <c r="AI3978">
        <v>94.912838259505307</v>
      </c>
      <c r="AJ3978">
        <v>121.50534594290301</v>
      </c>
      <c r="AK3978">
        <v>0.826247756904819</v>
      </c>
      <c r="AL3978">
        <v>82.961716927877404</v>
      </c>
      <c r="AM3978">
        <v>106.116311666187</v>
      </c>
      <c r="AN3978">
        <v>0.99999998855292405</v>
      </c>
    </row>
    <row r="3979" spans="1:40" x14ac:dyDescent="0.3">
      <c r="A3979" t="str">
        <f>"20200111150109693"</f>
        <v>20200111150109693</v>
      </c>
      <c r="B3979" t="str">
        <f>"1578726069691822"</f>
        <v>1578726069691822</v>
      </c>
      <c r="C3979" t="s">
        <v>40</v>
      </c>
      <c r="D3979">
        <v>4.4993790000000002</v>
      </c>
      <c r="E3979">
        <v>0.42939250000000001</v>
      </c>
      <c r="F3979" t="s">
        <v>41</v>
      </c>
      <c r="G3979">
        <v>-417.19420000000002</v>
      </c>
      <c r="H3979">
        <v>1.039863</v>
      </c>
      <c r="I3979">
        <v>32.06926</v>
      </c>
      <c r="J3979">
        <v>-417.9785</v>
      </c>
      <c r="K3979">
        <v>1.1126940000000001</v>
      </c>
      <c r="L3979">
        <v>32.554259999999999</v>
      </c>
      <c r="M3979">
        <v>0.47618729999999998</v>
      </c>
      <c r="N3979">
        <v>0</v>
      </c>
      <c r="O3979">
        <v>-0.87927029999999995</v>
      </c>
      <c r="P3979">
        <v>0.69463759999999997</v>
      </c>
      <c r="Q3979">
        <v>0.11704299999999999</v>
      </c>
      <c r="R3979">
        <v>-0.70977409999999996</v>
      </c>
      <c r="S3979">
        <v>2.5155639999999999</v>
      </c>
      <c r="T3979">
        <v>-0.2125618</v>
      </c>
      <c r="U3979">
        <v>-1.804108</v>
      </c>
      <c r="V3979">
        <v>-0.27528809999999998</v>
      </c>
      <c r="W3979">
        <v>0.1224695</v>
      </c>
      <c r="X3979">
        <v>0.95352910000000002</v>
      </c>
      <c r="Y3979">
        <v>-0.43495990000000001</v>
      </c>
      <c r="Z3979">
        <v>6.7733970000000004E-2</v>
      </c>
      <c r="AA3979">
        <v>0.89789869999999905</v>
      </c>
      <c r="AB3979">
        <v>29</v>
      </c>
      <c r="AC3979">
        <v>0.78429999999997302</v>
      </c>
      <c r="AD3979">
        <v>-7.2831000000000007E-2</v>
      </c>
      <c r="AE3979">
        <v>-0.48499999999999899</v>
      </c>
      <c r="AF3979">
        <v>-0.45584703305125202</v>
      </c>
      <c r="AG3979">
        <v>-7.2831000000000007E-2</v>
      </c>
      <c r="AH3979">
        <v>0.79501239440092397</v>
      </c>
      <c r="AI3979">
        <v>94.543897053053001</v>
      </c>
      <c r="AJ3979">
        <v>119.829250236569</v>
      </c>
      <c r="AK3979">
        <v>0.91931799686165205</v>
      </c>
      <c r="AL3979">
        <v>82.965354251196302</v>
      </c>
      <c r="AM3979">
        <v>106.103664497116</v>
      </c>
      <c r="AN3979">
        <v>1.0000000304893299</v>
      </c>
    </row>
    <row r="3980" spans="1:40" x14ac:dyDescent="0.3">
      <c r="A3980" t="str">
        <f>"20200111150109704"</f>
        <v>20200111150109704</v>
      </c>
      <c r="B3980" t="str">
        <f>"1578726069701582"</f>
        <v>1578726069701582</v>
      </c>
      <c r="C3980" t="s">
        <v>40</v>
      </c>
      <c r="D3980">
        <v>4.3738519999999896</v>
      </c>
      <c r="E3980">
        <v>0.43031209999999998</v>
      </c>
      <c r="F3980" t="s">
        <v>83</v>
      </c>
      <c r="G3980">
        <v>-405.32510000000002</v>
      </c>
      <c r="H3980" s="1">
        <v>-4.3439909999999998E-6</v>
      </c>
      <c r="I3980">
        <v>23.526319999999998</v>
      </c>
      <c r="J3980">
        <v>-417.91070000000002</v>
      </c>
      <c r="K3980">
        <v>1.112698</v>
      </c>
      <c r="L3980">
        <v>32.439120000000003</v>
      </c>
      <c r="M3980">
        <v>0.48057929999999999</v>
      </c>
      <c r="N3980">
        <v>0</v>
      </c>
      <c r="O3980">
        <v>-0.87687739999999903</v>
      </c>
      <c r="P3980">
        <v>0.69811140000000005</v>
      </c>
      <c r="Q3980">
        <v>0.1175316</v>
      </c>
      <c r="R3980">
        <v>-0.70627669999999998</v>
      </c>
      <c r="S3980">
        <v>2.519409</v>
      </c>
      <c r="T3980">
        <v>-0.22154860000000001</v>
      </c>
      <c r="U3980">
        <v>-1.7975460000000001</v>
      </c>
      <c r="V3980">
        <v>-0.27524729999999997</v>
      </c>
      <c r="W3980">
        <v>0.122957</v>
      </c>
      <c r="X3980">
        <v>0.9534781</v>
      </c>
      <c r="Y3980">
        <v>-0.43248130000000001</v>
      </c>
      <c r="Z3980">
        <v>7.045332E-2</v>
      </c>
      <c r="AA3980">
        <v>0.89888609999999902</v>
      </c>
      <c r="AB3980">
        <v>29</v>
      </c>
      <c r="AC3980">
        <v>12.585599999999999</v>
      </c>
      <c r="AD3980">
        <v>-1.112702343991</v>
      </c>
      <c r="AE3980">
        <v>-8.9128000000000007</v>
      </c>
      <c r="AF3980">
        <v>-6.7181854509935404</v>
      </c>
      <c r="AG3980">
        <v>-1.112702343991</v>
      </c>
      <c r="AH3980">
        <v>13.792907773083201</v>
      </c>
      <c r="AI3980">
        <v>94.148190211343007</v>
      </c>
      <c r="AJ3980">
        <v>115.969571879138</v>
      </c>
      <c r="AK3980">
        <v>15.382341404904601</v>
      </c>
      <c r="AL3980">
        <v>82.937209586689207</v>
      </c>
      <c r="AM3980">
        <v>106.102218097273</v>
      </c>
      <c r="AN3980">
        <v>0.99999999359295</v>
      </c>
    </row>
    <row r="3981" spans="1:40" x14ac:dyDescent="0.3">
      <c r="A3981" t="str">
        <f>"20200111150109717"</f>
        <v>20200111150109717</v>
      </c>
      <c r="B3981" t="str">
        <f>"1578726069712318"</f>
        <v>1578726069712318</v>
      </c>
      <c r="C3981" t="s">
        <v>40</v>
      </c>
      <c r="D3981">
        <v>4.5816039999999996</v>
      </c>
      <c r="E3981">
        <v>0.43016969999999999</v>
      </c>
      <c r="F3981" t="s">
        <v>41</v>
      </c>
      <c r="G3981">
        <v>-417.0752</v>
      </c>
      <c r="H3981">
        <v>1.038613</v>
      </c>
      <c r="I3981">
        <v>31.846270000000001</v>
      </c>
      <c r="J3981">
        <v>-417.82960000000003</v>
      </c>
      <c r="K3981">
        <v>1.1127039999999999</v>
      </c>
      <c r="L3981">
        <v>32.303040000000003</v>
      </c>
      <c r="M3981">
        <v>0.48577369999999997</v>
      </c>
      <c r="N3981">
        <v>0</v>
      </c>
      <c r="O3981">
        <v>-0.87401059999999997</v>
      </c>
      <c r="P3981">
        <v>0.70220680000000002</v>
      </c>
      <c r="Q3981">
        <v>0.11747050000000001</v>
      </c>
      <c r="R3981">
        <v>-0.70221549999999999</v>
      </c>
      <c r="S3981">
        <v>2.5237729999999998</v>
      </c>
      <c r="T3981">
        <v>-0.22373560000000001</v>
      </c>
      <c r="U3981">
        <v>-1.7902530000000001</v>
      </c>
      <c r="V3981">
        <v>-0.27513029999999999</v>
      </c>
      <c r="W3981">
        <v>0.1228964</v>
      </c>
      <c r="X3981">
        <v>0.95351969999999997</v>
      </c>
      <c r="Y3981">
        <v>-0.42955569999999998</v>
      </c>
      <c r="Z3981">
        <v>7.0980349999999998E-2</v>
      </c>
      <c r="AA3981">
        <v>0.9002464</v>
      </c>
      <c r="AB3981">
        <v>29</v>
      </c>
      <c r="AC3981">
        <v>0.75440000000003204</v>
      </c>
      <c r="AD3981">
        <v>-7.4091000000000101E-2</v>
      </c>
      <c r="AE3981">
        <v>-0.45677000000000201</v>
      </c>
      <c r="AF3981">
        <v>-0.434428815411804</v>
      </c>
      <c r="AG3981">
        <v>-7.4091000000000101E-2</v>
      </c>
      <c r="AH3981">
        <v>0.76037227448282096</v>
      </c>
      <c r="AI3981">
        <v>94.836010920224098</v>
      </c>
      <c r="AJ3981">
        <v>119.74092603881699</v>
      </c>
      <c r="AK3981">
        <v>0.87885372374660997</v>
      </c>
      <c r="AL3981">
        <v>82.940708381211095</v>
      </c>
      <c r="AM3981">
        <v>106.09506216939199</v>
      </c>
      <c r="AN3981">
        <v>1.0000000126995601</v>
      </c>
    </row>
    <row r="3982" spans="1:40" x14ac:dyDescent="0.3">
      <c r="A3982" t="str">
        <f>"20200111150109729"</f>
        <v>20200111150109729</v>
      </c>
      <c r="B3982" t="str">
        <f>"1578726069722078"</f>
        <v>1578726069722078</v>
      </c>
      <c r="C3982" t="s">
        <v>40</v>
      </c>
      <c r="D3982">
        <v>4.4621890000000004</v>
      </c>
      <c r="E3982">
        <v>0.43036259999999998</v>
      </c>
      <c r="F3982" t="s">
        <v>83</v>
      </c>
      <c r="G3982">
        <v>-405.1662</v>
      </c>
      <c r="H3982" s="1">
        <v>-4.4080110000000001E-6</v>
      </c>
      <c r="I3982">
        <v>23.436959999999999</v>
      </c>
      <c r="J3982">
        <v>-417.7518</v>
      </c>
      <c r="K3982">
        <v>1.1127100000000001</v>
      </c>
      <c r="L3982">
        <v>32.174439999999997</v>
      </c>
      <c r="M3982">
        <v>0.4906837</v>
      </c>
      <c r="N3982">
        <v>0</v>
      </c>
      <c r="O3982">
        <v>-0.87126349999999997</v>
      </c>
      <c r="P3982">
        <v>0.70605309999999999</v>
      </c>
      <c r="Q3982">
        <v>0.11746040000000001</v>
      </c>
      <c r="R3982">
        <v>-0.69834969999999996</v>
      </c>
      <c r="S3982">
        <v>2.534821</v>
      </c>
      <c r="T3982">
        <v>-0.2227305</v>
      </c>
      <c r="U3982">
        <v>-1.7747189999999999</v>
      </c>
      <c r="V3982">
        <v>-0.27500330000000001</v>
      </c>
      <c r="W3982">
        <v>0.12288789999999999</v>
      </c>
      <c r="X3982">
        <v>0.9535574</v>
      </c>
      <c r="Y3982">
        <v>-0.43004799999999899</v>
      </c>
      <c r="Z3982">
        <v>7.0553930000000001E-2</v>
      </c>
      <c r="AA3982">
        <v>0.90004490000000004</v>
      </c>
      <c r="AB3982">
        <v>29</v>
      </c>
      <c r="AC3982">
        <v>12.585599999999999</v>
      </c>
      <c r="AD3982">
        <v>-1.1127144080110001</v>
      </c>
      <c r="AE3982">
        <v>-8.7374799999999997</v>
      </c>
      <c r="AF3982">
        <v>-6.6434265258530703</v>
      </c>
      <c r="AG3982">
        <v>-1.1127144080110001</v>
      </c>
      <c r="AH3982">
        <v>13.716739991956</v>
      </c>
      <c r="AI3982">
        <v>94.175675790533703</v>
      </c>
      <c r="AJ3982">
        <v>115.84229188382</v>
      </c>
      <c r="AK3982">
        <v>15.2814333544052</v>
      </c>
      <c r="AL3982">
        <v>82.941198904622894</v>
      </c>
      <c r="AM3982">
        <v>106.087414020751</v>
      </c>
      <c r="AN3982">
        <v>0.99999998303602899</v>
      </c>
    </row>
    <row r="3983" spans="1:40" x14ac:dyDescent="0.3">
      <c r="A3983" t="str">
        <f>"20200111150109741"</f>
        <v>20200111150109741</v>
      </c>
      <c r="B3983" t="str">
        <f>"1578726069731837"</f>
        <v>1578726069731837</v>
      </c>
      <c r="C3983" t="s">
        <v>40</v>
      </c>
      <c r="D3983">
        <v>4.5455259999999997</v>
      </c>
      <c r="E3983">
        <v>0.4304036</v>
      </c>
      <c r="F3983" t="s">
        <v>41</v>
      </c>
      <c r="G3983">
        <v>-416.92930000000001</v>
      </c>
      <c r="H3983">
        <v>1.041172</v>
      </c>
      <c r="I3983">
        <v>31.60464</v>
      </c>
      <c r="J3983">
        <v>-417.66860000000003</v>
      </c>
      <c r="K3983">
        <v>1.1127149999999999</v>
      </c>
      <c r="L3983">
        <v>32.038119999999999</v>
      </c>
      <c r="M3983">
        <v>0.49588470000000001</v>
      </c>
      <c r="N3983">
        <v>0</v>
      </c>
      <c r="O3983">
        <v>-0.86831369999999897</v>
      </c>
      <c r="P3983">
        <v>0.71021849999999997</v>
      </c>
      <c r="Q3983">
        <v>0.1176531</v>
      </c>
      <c r="R3983">
        <v>-0.69408009999999998</v>
      </c>
      <c r="S3983">
        <v>2.5432739999999998</v>
      </c>
      <c r="T3983">
        <v>-0.2211881</v>
      </c>
      <c r="U3983">
        <v>-1.7616579999999999</v>
      </c>
      <c r="V3983">
        <v>-0.27502860000000001</v>
      </c>
      <c r="W3983">
        <v>0.1230776</v>
      </c>
      <c r="X3983">
        <v>0.95352570000000003</v>
      </c>
      <c r="Y3983">
        <v>-0.42921219999999999</v>
      </c>
      <c r="Z3983">
        <v>6.9935979999999995E-2</v>
      </c>
      <c r="AA3983">
        <v>0.90049199999999996</v>
      </c>
      <c r="AB3983">
        <v>29</v>
      </c>
      <c r="AC3983">
        <v>0.73930000000001395</v>
      </c>
      <c r="AD3983">
        <v>-7.1542999999999898E-2</v>
      </c>
      <c r="AE3983">
        <v>-0.43347999999999498</v>
      </c>
      <c r="AF3983">
        <v>-0.42406069605574997</v>
      </c>
      <c r="AG3983">
        <v>-7.1542999999999898E-2</v>
      </c>
      <c r="AH3983">
        <v>0.73790998572302102</v>
      </c>
      <c r="AI3983">
        <v>94.805063425524196</v>
      </c>
      <c r="AJ3983">
        <v>119.885038392025</v>
      </c>
      <c r="AK3983">
        <v>0.85408256147636996</v>
      </c>
      <c r="AL3983">
        <v>82.930247184829895</v>
      </c>
      <c r="AM3983">
        <v>106.089324661454</v>
      </c>
      <c r="AN3983">
        <v>1.0000000435001</v>
      </c>
    </row>
    <row r="3984" spans="1:40" x14ac:dyDescent="0.3">
      <c r="A3984" t="str">
        <f>"20200111150109754"</f>
        <v>20200111150109754</v>
      </c>
      <c r="B3984" t="str">
        <f>"1578726069752336"</f>
        <v>1578726069752336</v>
      </c>
      <c r="C3984" t="s">
        <v>40</v>
      </c>
      <c r="D3984">
        <v>4.6223260000000002</v>
      </c>
      <c r="E3984">
        <v>0.43056640000000002</v>
      </c>
      <c r="F3984" t="s">
        <v>41</v>
      </c>
      <c r="G3984">
        <v>-416.79160000000002</v>
      </c>
      <c r="H3984">
        <v>1.037382</v>
      </c>
      <c r="I3984">
        <v>31.437819999999999</v>
      </c>
      <c r="J3984">
        <v>-417.58139999999997</v>
      </c>
      <c r="K3984">
        <v>1.1127260000000001</v>
      </c>
      <c r="L3984">
        <v>31.897829999999999</v>
      </c>
      <c r="M3984">
        <v>0.50124570000000002</v>
      </c>
      <c r="N3984">
        <v>0</v>
      </c>
      <c r="O3984">
        <v>-0.86523019999999995</v>
      </c>
      <c r="P3984">
        <v>0.71438749999999995</v>
      </c>
      <c r="Q3984">
        <v>0.11765390000000001</v>
      </c>
      <c r="R3984">
        <v>-0.68978879999999998</v>
      </c>
      <c r="S3984">
        <v>2.5534669999999999</v>
      </c>
      <c r="T3984">
        <v>-0.2192316</v>
      </c>
      <c r="U3984">
        <v>-1.7465820000000001</v>
      </c>
      <c r="V3984">
        <v>-0.27487790000000001</v>
      </c>
      <c r="W3984">
        <v>0.1230805</v>
      </c>
      <c r="X3984">
        <v>0.95356879999999999</v>
      </c>
      <c r="Y3984">
        <v>-0.42897089999999999</v>
      </c>
      <c r="Z3984">
        <v>6.9186289999999998E-2</v>
      </c>
      <c r="AA3984">
        <v>0.90066489999999999</v>
      </c>
      <c r="AB3984">
        <v>29</v>
      </c>
      <c r="AC3984">
        <v>0.78979999999995698</v>
      </c>
      <c r="AD3984">
        <v>-7.5343999999999994E-2</v>
      </c>
      <c r="AE3984">
        <v>-0.46000999999999598</v>
      </c>
      <c r="AF3984">
        <v>-0.44975388960654999</v>
      </c>
      <c r="AG3984">
        <v>-7.5343999999999994E-2</v>
      </c>
      <c r="AH3984">
        <v>0.78859110250858699</v>
      </c>
      <c r="AI3984">
        <v>94.744307449163102</v>
      </c>
      <c r="AJ3984">
        <v>119.69722963706501</v>
      </c>
      <c r="AK3984">
        <v>0.91095071574038999</v>
      </c>
      <c r="AL3984">
        <v>82.930079891658195</v>
      </c>
      <c r="AM3984">
        <v>106.08027521558699</v>
      </c>
      <c r="AN3984">
        <v>1.0000000628610399</v>
      </c>
    </row>
    <row r="3985" spans="1:40" x14ac:dyDescent="0.3">
      <c r="A3985" t="str">
        <f>"20200111150109768"</f>
        <v>20200111150109768</v>
      </c>
      <c r="B3985" t="str">
        <f>"1578726069762094"</f>
        <v>1578726069762094</v>
      </c>
      <c r="C3985" t="s">
        <v>40</v>
      </c>
      <c r="D3985">
        <v>4.4541170000000001</v>
      </c>
      <c r="E3985">
        <v>0.4311239</v>
      </c>
      <c r="F3985" t="s">
        <v>83</v>
      </c>
      <c r="G3985">
        <v>-404.25709999999998</v>
      </c>
      <c r="H3985" s="1">
        <v>-4.7427880000000002E-6</v>
      </c>
      <c r="I3985">
        <v>22.894929999999999</v>
      </c>
      <c r="J3985">
        <v>-417.48860000000002</v>
      </c>
      <c r="K3985">
        <v>1.112733</v>
      </c>
      <c r="L3985">
        <v>31.75037</v>
      </c>
      <c r="M3985">
        <v>0.50688</v>
      </c>
      <c r="N3985">
        <v>0</v>
      </c>
      <c r="O3985">
        <v>-0.86194130000000002</v>
      </c>
      <c r="P3985">
        <v>0.71871669999999999</v>
      </c>
      <c r="Q3985">
        <v>0.1176338</v>
      </c>
      <c r="R3985">
        <v>-0.68528</v>
      </c>
      <c r="S3985">
        <v>2.5627140000000002</v>
      </c>
      <c r="T3985">
        <v>-0.2140166</v>
      </c>
      <c r="U3985">
        <v>-1.7315670000000001</v>
      </c>
      <c r="V3985">
        <v>-0.27466069999999998</v>
      </c>
      <c r="W3985">
        <v>0.1230634</v>
      </c>
      <c r="X3985">
        <v>0.95363350000000002</v>
      </c>
      <c r="Y3985">
        <v>-0.42831910000000001</v>
      </c>
      <c r="Z3985">
        <v>6.7411960000000007E-2</v>
      </c>
      <c r="AA3985">
        <v>0.90110959999999996</v>
      </c>
      <c r="AB3985">
        <v>29</v>
      </c>
      <c r="AC3985">
        <v>13.2315</v>
      </c>
      <c r="AD3985">
        <v>-1.1127377427880001</v>
      </c>
      <c r="AE3985">
        <v>-8.8554399999999998</v>
      </c>
      <c r="AF3985">
        <v>-6.8829600007488896</v>
      </c>
      <c r="AG3985">
        <v>-1.1127377427880001</v>
      </c>
      <c r="AH3985">
        <v>14.270876893109801</v>
      </c>
      <c r="AI3985">
        <v>94.017329704310498</v>
      </c>
      <c r="AJ3985">
        <v>115.74839138386901</v>
      </c>
      <c r="AK3985">
        <v>15.883049170560099</v>
      </c>
      <c r="AL3985">
        <v>82.931066540774495</v>
      </c>
      <c r="AM3985">
        <v>106.06719123061301</v>
      </c>
      <c r="AN3985">
        <v>0.99999997643314897</v>
      </c>
    </row>
    <row r="3986" spans="1:40" x14ac:dyDescent="0.3">
      <c r="A3986" t="str">
        <f>"20200111150109782"</f>
        <v>20200111150109782</v>
      </c>
      <c r="B3986" t="str">
        <f>"1578726069771854"</f>
        <v>1578726069771854</v>
      </c>
      <c r="C3986" t="s">
        <v>40</v>
      </c>
      <c r="D3986">
        <v>4.5529719999999996</v>
      </c>
      <c r="E3986">
        <v>0.43219669999999999</v>
      </c>
      <c r="F3986" t="s">
        <v>41</v>
      </c>
      <c r="G3986">
        <v>-416.65249999999997</v>
      </c>
      <c r="H3986">
        <v>1.041747</v>
      </c>
      <c r="I3986">
        <v>31.191020000000002</v>
      </c>
      <c r="J3986">
        <v>-417.39159999999998</v>
      </c>
      <c r="K3986">
        <v>1.112738</v>
      </c>
      <c r="L3986">
        <v>31.598299999999998</v>
      </c>
      <c r="M3986">
        <v>0.51268519999999995</v>
      </c>
      <c r="N3986">
        <v>0</v>
      </c>
      <c r="O3986">
        <v>-0.85850099999999996</v>
      </c>
      <c r="P3986">
        <v>0.72306729999999997</v>
      </c>
      <c r="Q3986">
        <v>0.117631399999999</v>
      </c>
      <c r="R3986">
        <v>-0.68068859999999998</v>
      </c>
      <c r="S3986">
        <v>2.5707089999999999</v>
      </c>
      <c r="T3986">
        <v>-0.21820320000000001</v>
      </c>
      <c r="U3986">
        <v>-1.7191160000000001</v>
      </c>
      <c r="V3986">
        <v>-0.27430130000000003</v>
      </c>
      <c r="W3986">
        <v>0.1230677</v>
      </c>
      <c r="X3986">
        <v>0.95373640000000004</v>
      </c>
      <c r="Y3986">
        <v>-0.42645699999999997</v>
      </c>
      <c r="Z3986">
        <v>6.8543629999999994E-2</v>
      </c>
      <c r="AA3986">
        <v>0.90190700000000001</v>
      </c>
      <c r="AB3986">
        <v>29</v>
      </c>
      <c r="AC3986">
        <v>0.73910000000000697</v>
      </c>
      <c r="AD3986">
        <v>-7.0990999999999999E-2</v>
      </c>
      <c r="AE3986">
        <v>-0.40727999999999598</v>
      </c>
      <c r="AF3986">
        <v>-0.422747612071046</v>
      </c>
      <c r="AG3986">
        <v>-7.0990999999999999E-2</v>
      </c>
      <c r="AH3986">
        <v>0.72350315514021002</v>
      </c>
      <c r="AI3986">
        <v>94.842484665034405</v>
      </c>
      <c r="AJ3986">
        <v>120.298022552464</v>
      </c>
      <c r="AK3986">
        <v>0.84095902462046901</v>
      </c>
      <c r="AL3986">
        <v>82.930818387597398</v>
      </c>
      <c r="AM3986">
        <v>106.04560769770799</v>
      </c>
      <c r="AN3986">
        <v>0.99999999132496997</v>
      </c>
    </row>
    <row r="3987" spans="1:40" x14ac:dyDescent="0.3">
      <c r="A3987" t="str">
        <f>"20200111150109806"</f>
        <v>20200111150109806</v>
      </c>
      <c r="B3987" t="str">
        <f>"1578726069802109"</f>
        <v>1578726069802109</v>
      </c>
      <c r="C3987" t="s">
        <v>40</v>
      </c>
      <c r="D3987">
        <v>4.5255580000000002</v>
      </c>
      <c r="E3987">
        <v>0.43393130000000002</v>
      </c>
      <c r="F3987" t="s">
        <v>41</v>
      </c>
      <c r="G3987">
        <v>-416.5172</v>
      </c>
      <c r="H3987">
        <v>1.036686</v>
      </c>
      <c r="I3987">
        <v>31.018070000000002</v>
      </c>
      <c r="J3987">
        <v>-417.22570000000002</v>
      </c>
      <c r="K3987">
        <v>1.1127469999999999</v>
      </c>
      <c r="L3987">
        <v>31.343689999999999</v>
      </c>
      <c r="M3987">
        <v>0.52241899999999997</v>
      </c>
      <c r="N3987">
        <v>0</v>
      </c>
      <c r="O3987">
        <v>-0.8526127</v>
      </c>
      <c r="P3987">
        <v>0.7307882</v>
      </c>
      <c r="Q3987">
        <v>0.11747349999999999</v>
      </c>
      <c r="R3987">
        <v>-0.67242000000000002</v>
      </c>
      <c r="S3987">
        <v>2.576111</v>
      </c>
      <c r="T3987">
        <v>-0.22405600000000001</v>
      </c>
      <c r="U3987">
        <v>-1.70950299999999</v>
      </c>
      <c r="V3987">
        <v>-0.27432139999999999</v>
      </c>
      <c r="W3987">
        <v>0.1229059</v>
      </c>
      <c r="X3987">
        <v>0.95375149999999997</v>
      </c>
      <c r="Y3987">
        <v>-0.4192631</v>
      </c>
      <c r="Z3987">
        <v>6.9968799999999998E-2</v>
      </c>
      <c r="AA3987">
        <v>0.90516450000000004</v>
      </c>
      <c r="AB3987">
        <v>29</v>
      </c>
      <c r="AC3987">
        <v>0.70850000000001501</v>
      </c>
      <c r="AD3987">
        <v>-7.6060999999999906E-2</v>
      </c>
      <c r="AE3987">
        <v>-0.32562000000000002</v>
      </c>
      <c r="AF3987">
        <v>-0.429903589197068</v>
      </c>
      <c r="AG3987">
        <v>-7.6060999999999906E-2</v>
      </c>
      <c r="AH3987">
        <v>0.64169779598138599</v>
      </c>
      <c r="AI3987">
        <v>95.624029394037095</v>
      </c>
      <c r="AJ3987">
        <v>123.81999399249599</v>
      </c>
      <c r="AK3987">
        <v>0.77613042273376298</v>
      </c>
      <c r="AL3987">
        <v>82.9401598746812</v>
      </c>
      <c r="AM3987">
        <v>106.046481971448</v>
      </c>
      <c r="AN3987">
        <v>1.0000000072525099</v>
      </c>
    </row>
    <row r="3988" spans="1:40" x14ac:dyDescent="0.3">
      <c r="A3988" t="str">
        <f>"20200111150109818"</f>
        <v>20200111150109818</v>
      </c>
      <c r="B3988" t="str">
        <f>"1578726069811870"</f>
        <v>1578726069811870</v>
      </c>
      <c r="C3988" t="s">
        <v>40</v>
      </c>
      <c r="D3988">
        <v>4.3493139999999997</v>
      </c>
      <c r="E3988">
        <v>0.43468259999999997</v>
      </c>
      <c r="F3988" t="s">
        <v>41</v>
      </c>
      <c r="G3988">
        <v>-416.36779999999999</v>
      </c>
      <c r="H3988">
        <v>1.034294</v>
      </c>
      <c r="I3988">
        <v>30.782589999999999</v>
      </c>
      <c r="J3988">
        <v>-417.13819999999998</v>
      </c>
      <c r="K3988">
        <v>1.1127469999999999</v>
      </c>
      <c r="L3988">
        <v>31.21152</v>
      </c>
      <c r="M3988">
        <v>0.52746740000000003</v>
      </c>
      <c r="N3988">
        <v>0</v>
      </c>
      <c r="O3988">
        <v>-0.849499</v>
      </c>
      <c r="P3988">
        <v>0.73512699999999997</v>
      </c>
      <c r="Q3988">
        <v>0.1173992</v>
      </c>
      <c r="R3988">
        <v>-0.66768719999999904</v>
      </c>
      <c r="S3988">
        <v>2.586884</v>
      </c>
      <c r="T3988">
        <v>-0.23652309999999999</v>
      </c>
      <c r="U3988">
        <v>-1.691406</v>
      </c>
      <c r="V3988">
        <v>-0.27483370000000001</v>
      </c>
      <c r="W3988">
        <v>0.1228178</v>
      </c>
      <c r="X3988">
        <v>0.95361530000000005</v>
      </c>
      <c r="Y3988">
        <v>-0.4197784</v>
      </c>
      <c r="Z3988">
        <v>7.3727210000000001E-2</v>
      </c>
      <c r="AA3988">
        <v>0.90462719999999996</v>
      </c>
      <c r="AB3988">
        <v>29</v>
      </c>
      <c r="AC3988">
        <v>0.77039999999999498</v>
      </c>
      <c r="AD3988">
        <v>-7.8452999999999801E-2</v>
      </c>
      <c r="AE3988">
        <v>-0.42892999999999698</v>
      </c>
      <c r="AF3988">
        <v>-0.42487178859770203</v>
      </c>
      <c r="AG3988">
        <v>-7.8452999999999801E-2</v>
      </c>
      <c r="AH3988">
        <v>0.764732610032541</v>
      </c>
      <c r="AI3988">
        <v>95.124447827259402</v>
      </c>
      <c r="AJ3988">
        <v>119.055768514348</v>
      </c>
      <c r="AK3988">
        <v>0.87834325568219196</v>
      </c>
      <c r="AL3988">
        <v>82.945245815067395</v>
      </c>
      <c r="AM3988">
        <v>106.07707967812399</v>
      </c>
      <c r="AN3988">
        <v>0.99999995752330895</v>
      </c>
    </row>
    <row r="3989" spans="1:40" x14ac:dyDescent="0.3">
      <c r="A3989" t="str">
        <f>"20200111150109831"</f>
        <v>20200111150109831</v>
      </c>
      <c r="B3989" t="str">
        <f>"1578726069821630"</f>
        <v>1578726069821630</v>
      </c>
      <c r="C3989" t="s">
        <v>40</v>
      </c>
      <c r="D3989">
        <v>4.4541519999999997</v>
      </c>
      <c r="E3989">
        <v>0.43528539999999999</v>
      </c>
      <c r="F3989" t="s">
        <v>83</v>
      </c>
      <c r="G3989">
        <v>-405.1533</v>
      </c>
      <c r="H3989" s="1">
        <v>-4.4171090000000001E-6</v>
      </c>
      <c r="I3989">
        <v>23.451460000000001</v>
      </c>
      <c r="J3989">
        <v>-417.05130000000003</v>
      </c>
      <c r="K3989">
        <v>1.112754</v>
      </c>
      <c r="L3989">
        <v>31.08267</v>
      </c>
      <c r="M3989">
        <v>0.53239729999999996</v>
      </c>
      <c r="N3989">
        <v>0</v>
      </c>
      <c r="O3989">
        <v>-0.8464178</v>
      </c>
      <c r="P3989">
        <v>0.73913090000000004</v>
      </c>
      <c r="Q3989">
        <v>0.11743530000000001</v>
      </c>
      <c r="R3989">
        <v>-0.66324550000000004</v>
      </c>
      <c r="S3989">
        <v>2.5939329999999998</v>
      </c>
      <c r="T3989">
        <v>-0.24083660000000001</v>
      </c>
      <c r="U3989">
        <v>-1.67953499999999</v>
      </c>
      <c r="V3989">
        <v>-0.27503379999999999</v>
      </c>
      <c r="W3989">
        <v>0.1228467</v>
      </c>
      <c r="X3989">
        <v>0.95355400000000001</v>
      </c>
      <c r="Y3989">
        <v>-0.41845399999999999</v>
      </c>
      <c r="Z3989">
        <v>7.4892979999999998E-2</v>
      </c>
      <c r="AA3989">
        <v>0.90514490000000003</v>
      </c>
      <c r="AB3989">
        <v>29</v>
      </c>
      <c r="AC3989">
        <v>11.898</v>
      </c>
      <c r="AD3989">
        <v>-1.1127584171089999</v>
      </c>
      <c r="AE3989">
        <v>-7.6312099999999896</v>
      </c>
      <c r="AF3989">
        <v>-5.9712277767153896</v>
      </c>
      <c r="AG3989">
        <v>-1.1127584171089999</v>
      </c>
      <c r="AH3989">
        <v>12.71568240689</v>
      </c>
      <c r="AI3989">
        <v>94.529033566246198</v>
      </c>
      <c r="AJ3989">
        <v>115.15454072409101</v>
      </c>
      <c r="AK3989">
        <v>14.0919257565869</v>
      </c>
      <c r="AL3989">
        <v>82.943578107884306</v>
      </c>
      <c r="AM3989">
        <v>106.08916031745299</v>
      </c>
      <c r="AN3989">
        <v>1.00000006687966</v>
      </c>
    </row>
    <row r="3990" spans="1:40" x14ac:dyDescent="0.3">
      <c r="A3990" t="str">
        <f>"20200111150109844"</f>
        <v>20200111150109844</v>
      </c>
      <c r="B3990" t="str">
        <f>"1578726069842125"</f>
        <v>1578726069842125</v>
      </c>
      <c r="C3990" t="s">
        <v>40</v>
      </c>
      <c r="D3990">
        <v>4.5961610000000004</v>
      </c>
      <c r="E3990">
        <v>0.43453130000000001</v>
      </c>
      <c r="F3990" t="s">
        <v>83</v>
      </c>
      <c r="G3990">
        <v>-404.97210000000001</v>
      </c>
      <c r="H3990" s="1">
        <v>-4.4882919999999996E-6</v>
      </c>
      <c r="I3990">
        <v>23.339169999999999</v>
      </c>
      <c r="J3990">
        <v>-416.96050000000002</v>
      </c>
      <c r="K3990">
        <v>1.11276</v>
      </c>
      <c r="L3990">
        <v>30.94904</v>
      </c>
      <c r="M3990">
        <v>0.53750469999999995</v>
      </c>
      <c r="N3990">
        <v>0</v>
      </c>
      <c r="O3990">
        <v>-0.84318359999999903</v>
      </c>
      <c r="P3990">
        <v>0.7430755</v>
      </c>
      <c r="Q3990">
        <v>0.11736190000000001</v>
      </c>
      <c r="R3990">
        <v>-0.65883619999999898</v>
      </c>
      <c r="S3990">
        <v>2.6008</v>
      </c>
      <c r="T3990">
        <v>-0.23958989999999999</v>
      </c>
      <c r="U3990">
        <v>-1.6672669999999901</v>
      </c>
      <c r="V3990">
        <v>-0.27495259999999999</v>
      </c>
      <c r="W3990">
        <v>0.1227734</v>
      </c>
      <c r="X3990">
        <v>0.95358679999999996</v>
      </c>
      <c r="Y3990">
        <v>-0.41711189999999998</v>
      </c>
      <c r="Z3990">
        <v>7.433294E-2</v>
      </c>
      <c r="AA3990">
        <v>0.90581029999999996</v>
      </c>
      <c r="AB3990">
        <v>29</v>
      </c>
      <c r="AC3990">
        <v>11.9884</v>
      </c>
      <c r="AD3990">
        <v>-1.112764488292</v>
      </c>
      <c r="AE3990">
        <v>-7.6098699999999999</v>
      </c>
      <c r="AF3990">
        <v>-5.9817383809876601</v>
      </c>
      <c r="AG3990">
        <v>-1.112764488292</v>
      </c>
      <c r="AH3990">
        <v>12.7826757587804</v>
      </c>
      <c r="AI3990">
        <v>94.508246541607406</v>
      </c>
      <c r="AJ3990">
        <v>115.077557416137</v>
      </c>
      <c r="AK3990">
        <v>14.1568442252889</v>
      </c>
      <c r="AL3990">
        <v>82.947809537260198</v>
      </c>
      <c r="AM3990">
        <v>106.084131265553</v>
      </c>
      <c r="AN3990">
        <v>1.0000000125642701</v>
      </c>
    </row>
    <row r="3991" spans="1:40" x14ac:dyDescent="0.3">
      <c r="A3991" t="str">
        <f>"20200111150109857"</f>
        <v>20200111150109857</v>
      </c>
      <c r="B3991" t="str">
        <f>"1578726069851886"</f>
        <v>1578726069851886</v>
      </c>
      <c r="C3991" t="s">
        <v>40</v>
      </c>
      <c r="D3991">
        <v>4.1391429999999998</v>
      </c>
      <c r="E3991">
        <v>0.43453130000000001</v>
      </c>
      <c r="F3991" t="s">
        <v>41</v>
      </c>
      <c r="G3991">
        <v>-416.08760000000001</v>
      </c>
      <c r="H3991">
        <v>1.034778</v>
      </c>
      <c r="I3991">
        <v>30.399270000000001</v>
      </c>
      <c r="J3991">
        <v>-416.8569</v>
      </c>
      <c r="K3991">
        <v>1.112765</v>
      </c>
      <c r="L3991">
        <v>30.798770000000001</v>
      </c>
      <c r="M3991">
        <v>0.54325119999999905</v>
      </c>
      <c r="N3991">
        <v>0</v>
      </c>
      <c r="O3991">
        <v>-0.83949269999999998</v>
      </c>
      <c r="P3991">
        <v>0.7474345</v>
      </c>
      <c r="Q3991">
        <v>0.1174829</v>
      </c>
      <c r="R3991">
        <v>-0.65386509999999998</v>
      </c>
      <c r="S3991">
        <v>2.6145019999999999</v>
      </c>
      <c r="T3991">
        <v>-0.2335265</v>
      </c>
      <c r="U3991">
        <v>-1.64627099999999</v>
      </c>
      <c r="V3991">
        <v>-0.2747888</v>
      </c>
      <c r="W3991">
        <v>0.122895</v>
      </c>
      <c r="X3991">
        <v>0.95361830000000003</v>
      </c>
      <c r="Y3991">
        <v>-0.41839900000000002</v>
      </c>
      <c r="Z3991">
        <v>7.2300669999999997E-2</v>
      </c>
      <c r="AA3991">
        <v>0.90538110000000005</v>
      </c>
      <c r="AB3991">
        <v>29</v>
      </c>
      <c r="AC3991">
        <v>0.76929999999998699</v>
      </c>
      <c r="AD3991">
        <v>-7.7987000000000001E-2</v>
      </c>
      <c r="AE3991">
        <v>-0.39949999999999902</v>
      </c>
      <c r="AF3991">
        <v>-0.42537780075971099</v>
      </c>
      <c r="AG3991">
        <v>-7.7987000000000001E-2</v>
      </c>
      <c r="AH3991">
        <v>0.74730089380283204</v>
      </c>
      <c r="AI3991">
        <v>95.182235502362204</v>
      </c>
      <c r="AJ3991">
        <v>119.64935034048101</v>
      </c>
      <c r="AK3991">
        <v>0.86341581606238804</v>
      </c>
      <c r="AL3991">
        <v>82.940788861496301</v>
      </c>
      <c r="AM3991">
        <v>106.074540865294</v>
      </c>
      <c r="AN3991">
        <v>0.99999996386266399</v>
      </c>
    </row>
    <row r="3992" spans="1:40" x14ac:dyDescent="0.3">
      <c r="A3992" t="str">
        <f>"20200111150109873"</f>
        <v>20200111150109873</v>
      </c>
      <c r="B3992" t="str">
        <f>"1578726069861646"</f>
        <v>1578726069861646</v>
      </c>
      <c r="C3992" t="s">
        <v>40</v>
      </c>
      <c r="D3992">
        <v>4.467333</v>
      </c>
      <c r="E3992">
        <v>0.37259439999999999</v>
      </c>
      <c r="F3992" t="s">
        <v>83</v>
      </c>
      <c r="G3992">
        <v>-404.3098</v>
      </c>
      <c r="H3992" s="1">
        <v>-4.7398739999999998E-6</v>
      </c>
      <c r="I3992">
        <v>23.01632</v>
      </c>
      <c r="J3992">
        <v>-416.75200000000001</v>
      </c>
      <c r="K3992">
        <v>1.1127720000000001</v>
      </c>
      <c r="L3992">
        <v>30.649170000000002</v>
      </c>
      <c r="M3992">
        <v>0.54897680000000004</v>
      </c>
      <c r="N3992">
        <v>0</v>
      </c>
      <c r="O3992">
        <v>-0.83575959999999905</v>
      </c>
      <c r="P3992">
        <v>0.75126740000000003</v>
      </c>
      <c r="Q3992">
        <v>0.11766699999999999</v>
      </c>
      <c r="R3992">
        <v>-0.649424</v>
      </c>
      <c r="S3992">
        <v>2.6256409999999999</v>
      </c>
      <c r="T3992">
        <v>-0.2328604</v>
      </c>
      <c r="U3992">
        <v>-1.628571</v>
      </c>
      <c r="V3992">
        <v>-0.27390229999999999</v>
      </c>
      <c r="W3992">
        <v>0.123097499999999</v>
      </c>
      <c r="X3992">
        <v>0.95384720000000001</v>
      </c>
      <c r="Y3992">
        <v>-0.41834510000000003</v>
      </c>
      <c r="Z3992">
        <v>7.1907009999999993E-2</v>
      </c>
      <c r="AA3992">
        <v>0.90543739999999995</v>
      </c>
      <c r="AB3992">
        <v>29</v>
      </c>
      <c r="AC3992">
        <v>12.4421999999999</v>
      </c>
      <c r="AD3992">
        <v>-1.1127767398739901</v>
      </c>
      <c r="AE3992">
        <v>-7.6328500000000004</v>
      </c>
      <c r="AF3992">
        <v>-6.17296041651392</v>
      </c>
      <c r="AG3992">
        <v>-1.1127767398739901</v>
      </c>
      <c r="AH3992">
        <v>13.1342368825678</v>
      </c>
      <c r="AI3992">
        <v>94.384685854434807</v>
      </c>
      <c r="AJ3992">
        <v>115.17305674663599</v>
      </c>
      <c r="AK3992">
        <v>14.5551328013199</v>
      </c>
      <c r="AL3992">
        <v>82.929097759068995</v>
      </c>
      <c r="AM3992">
        <v>106.021700772426</v>
      </c>
      <c r="AN3992">
        <v>0.99999997269968899</v>
      </c>
    </row>
    <row r="3993" spans="1:40" x14ac:dyDescent="0.3">
      <c r="A3993" t="str">
        <f>"20200111150109886"</f>
        <v>20200111150109886</v>
      </c>
      <c r="B3993" t="str">
        <f>"1578726069882142"</f>
        <v>1578726069882142</v>
      </c>
      <c r="C3993" t="s">
        <v>40</v>
      </c>
      <c r="D3993">
        <v>4.6512830000000003</v>
      </c>
      <c r="E3993">
        <v>0.37665189999999998</v>
      </c>
      <c r="F3993" t="s">
        <v>86</v>
      </c>
      <c r="G3993">
        <v>-342.79430000000002</v>
      </c>
      <c r="H3993">
        <v>1.9097789999999999</v>
      </c>
      <c r="I3993">
        <v>0.1663694</v>
      </c>
      <c r="J3993">
        <v>-416.65980000000002</v>
      </c>
      <c r="K3993">
        <v>1.112781</v>
      </c>
      <c r="L3993">
        <v>30.51923</v>
      </c>
      <c r="M3993">
        <v>0.55394809999999906</v>
      </c>
      <c r="N3993">
        <v>0</v>
      </c>
      <c r="O3993">
        <v>-0.83247289999999996</v>
      </c>
      <c r="P3993">
        <v>0.75485100000000005</v>
      </c>
      <c r="Q3993">
        <v>0.1177074</v>
      </c>
      <c r="R3993">
        <v>-0.64524840000000006</v>
      </c>
      <c r="S3993">
        <v>2.940582</v>
      </c>
      <c r="T3993">
        <v>3.1689290000000002E-2</v>
      </c>
      <c r="U3993">
        <v>-1.2120059999999999</v>
      </c>
      <c r="V3993">
        <v>-0.27350459999999999</v>
      </c>
      <c r="W3993">
        <v>0.1231444</v>
      </c>
      <c r="X3993">
        <v>0.95395529999999995</v>
      </c>
      <c r="Y3993">
        <v>-0.55855350000000004</v>
      </c>
      <c r="Z3993">
        <v>-9.9796469999999995E-3</v>
      </c>
      <c r="AA3993">
        <v>0.82940840000000005</v>
      </c>
      <c r="AB3993">
        <v>29</v>
      </c>
      <c r="AC3993">
        <v>73.865499999999997</v>
      </c>
      <c r="AD3993">
        <v>0.79699799999999998</v>
      </c>
      <c r="AE3993">
        <v>-30.3528606</v>
      </c>
      <c r="AF3993">
        <v>-44.6755803722628</v>
      </c>
      <c r="AG3993">
        <v>0.79699799999999998</v>
      </c>
      <c r="AH3993">
        <v>66.183310081995501</v>
      </c>
      <c r="AI3993">
        <v>89.428144123611006</v>
      </c>
      <c r="AJ3993">
        <v>124.02044789912701</v>
      </c>
      <c r="AK3993">
        <v>79.854700680799496</v>
      </c>
      <c r="AL3993">
        <v>82.926390264261698</v>
      </c>
      <c r="AM3993">
        <v>105.997908783352</v>
      </c>
      <c r="AN3993">
        <v>1.0000000119353001</v>
      </c>
    </row>
    <row r="3994" spans="1:40" x14ac:dyDescent="0.3">
      <c r="A3994" t="str">
        <f>"20200111150109897"</f>
        <v>20200111150109897</v>
      </c>
      <c r="B3994" t="str">
        <f>"1578726069891901"</f>
        <v>1578726069891901</v>
      </c>
      <c r="C3994" t="s">
        <v>40</v>
      </c>
      <c r="D3994">
        <v>4.5920990000000002</v>
      </c>
      <c r="E3994">
        <v>0.37744100000000003</v>
      </c>
      <c r="F3994" t="s">
        <v>86</v>
      </c>
      <c r="G3994">
        <v>-344.19699999999898</v>
      </c>
      <c r="H3994">
        <v>0.68239629999999996</v>
      </c>
      <c r="I3994">
        <v>0.21361640000000001</v>
      </c>
      <c r="J3994">
        <v>-416.56330000000003</v>
      </c>
      <c r="K3994">
        <v>1.1127880000000001</v>
      </c>
      <c r="L3994">
        <v>30.38486</v>
      </c>
      <c r="M3994">
        <v>0.55908829999999998</v>
      </c>
      <c r="N3994">
        <v>0</v>
      </c>
      <c r="O3994">
        <v>-0.82902949999999997</v>
      </c>
      <c r="P3994">
        <v>0.75861590000000001</v>
      </c>
      <c r="Q3994">
        <v>0.1178632</v>
      </c>
      <c r="R3994">
        <v>-0.64078880000000005</v>
      </c>
      <c r="S3994">
        <v>2.9296570000000002</v>
      </c>
      <c r="T3994">
        <v>-1.740038E-2</v>
      </c>
      <c r="U3994">
        <v>-1.22525</v>
      </c>
      <c r="V3994">
        <v>-0.2732079</v>
      </c>
      <c r="W3994">
        <v>0.12330480000000001</v>
      </c>
      <c r="X3994">
        <v>0.95401950000000002</v>
      </c>
      <c r="Y3994">
        <v>-0.54913690000000004</v>
      </c>
      <c r="Z3994">
        <v>5.4593649999999999E-3</v>
      </c>
      <c r="AA3994">
        <v>0.83571459999999997</v>
      </c>
      <c r="AB3994">
        <v>29</v>
      </c>
      <c r="AC3994">
        <v>72.366299999999995</v>
      </c>
      <c r="AD3994">
        <v>-0.43039169999999899</v>
      </c>
      <c r="AE3994">
        <v>-30.1712436</v>
      </c>
      <c r="AF3994">
        <v>-43.126919851020297</v>
      </c>
      <c r="AG3994">
        <v>-0.43039169999999899</v>
      </c>
      <c r="AH3994">
        <v>65.474297574989507</v>
      </c>
      <c r="AI3994">
        <v>90.314526390616294</v>
      </c>
      <c r="AJ3994">
        <v>123.37228600648299</v>
      </c>
      <c r="AK3994">
        <v>78.402806683115898</v>
      </c>
      <c r="AL3994">
        <v>82.917128776597906</v>
      </c>
      <c r="AM3994">
        <v>105.980420260777</v>
      </c>
      <c r="AN3994">
        <v>0.99999991835284596</v>
      </c>
    </row>
    <row r="3995" spans="1:40" x14ac:dyDescent="0.3">
      <c r="A3995" t="str">
        <f>"20200111150109911"</f>
        <v>20200111150109911</v>
      </c>
      <c r="B3995" t="str">
        <f>"1578726069901662"</f>
        <v>1578726069901662</v>
      </c>
      <c r="C3995" t="s">
        <v>40</v>
      </c>
      <c r="D3995">
        <v>4.605753</v>
      </c>
      <c r="E3995">
        <v>0.378025</v>
      </c>
      <c r="F3995" t="s">
        <v>86</v>
      </c>
      <c r="G3995">
        <v>-343.92880000000002</v>
      </c>
      <c r="H3995">
        <v>0.4570688</v>
      </c>
      <c r="I3995">
        <v>0.32357259999999999</v>
      </c>
      <c r="J3995">
        <v>-416.46679999999998</v>
      </c>
      <c r="K3995">
        <v>1.1127929999999999</v>
      </c>
      <c r="L3995">
        <v>30.252559999999999</v>
      </c>
      <c r="M3995">
        <v>0.56415609999999905</v>
      </c>
      <c r="N3995">
        <v>0</v>
      </c>
      <c r="O3995">
        <v>-0.82558909999999996</v>
      </c>
      <c r="P3995">
        <v>0.76228589999999996</v>
      </c>
      <c r="Q3995">
        <v>0.11801200000000001</v>
      </c>
      <c r="R3995">
        <v>-0.63639129999999999</v>
      </c>
      <c r="S3995">
        <v>2.9332579999999999</v>
      </c>
      <c r="T3995">
        <v>-2.6480440000000001E-2</v>
      </c>
      <c r="U3995">
        <v>-1.213989</v>
      </c>
      <c r="V3995">
        <v>-0.27286690000000002</v>
      </c>
      <c r="W3995">
        <v>0.1234586</v>
      </c>
      <c r="X3995">
        <v>0.95409730000000004</v>
      </c>
      <c r="Y3995">
        <v>-0.54709580000000002</v>
      </c>
      <c r="Z3995">
        <v>8.2884269999999993E-3</v>
      </c>
      <c r="AA3995">
        <v>0.83702889999999996</v>
      </c>
      <c r="AB3995">
        <v>29</v>
      </c>
      <c r="AC3995">
        <v>72.537999999999897</v>
      </c>
      <c r="AD3995">
        <v>-0.65572419999999898</v>
      </c>
      <c r="AE3995">
        <v>-29.9289874</v>
      </c>
      <c r="AF3995">
        <v>-43.001765402580297</v>
      </c>
      <c r="AG3995">
        <v>-0.65572419999999898</v>
      </c>
      <c r="AH3995">
        <v>65.631501922962698</v>
      </c>
      <c r="AI3995">
        <v>90.478808274976998</v>
      </c>
      <c r="AJ3995">
        <v>123.232820192505</v>
      </c>
      <c r="AK3995">
        <v>78.467036688209902</v>
      </c>
      <c r="AL3995">
        <v>82.908249520885406</v>
      </c>
      <c r="AM3995">
        <v>105.960255941653</v>
      </c>
      <c r="AN3995">
        <v>1.00000001444843</v>
      </c>
    </row>
    <row r="3996" spans="1:40" x14ac:dyDescent="0.3">
      <c r="A3996" t="str">
        <f>"20200111150109925"</f>
        <v>20200111150109925</v>
      </c>
      <c r="B3996" t="str">
        <f>"1578726069922158"</f>
        <v>1578726069922158</v>
      </c>
      <c r="C3996" t="s">
        <v>40</v>
      </c>
      <c r="D3996">
        <v>4.5391009999999996</v>
      </c>
      <c r="E3996">
        <v>0.37942809999999999</v>
      </c>
      <c r="F3996" t="s">
        <v>86</v>
      </c>
      <c r="G3996">
        <v>-342.87830000000002</v>
      </c>
      <c r="H3996">
        <v>0.33609290000000003</v>
      </c>
      <c r="I3996">
        <v>0.1668916</v>
      </c>
      <c r="J3996">
        <v>-416.36630000000002</v>
      </c>
      <c r="K3996">
        <v>1.112803</v>
      </c>
      <c r="L3996">
        <v>30.116209999999999</v>
      </c>
      <c r="M3996">
        <v>0.56937389999999999</v>
      </c>
      <c r="N3996">
        <v>0</v>
      </c>
      <c r="O3996">
        <v>-0.82199929999999999</v>
      </c>
      <c r="P3996">
        <v>0.76608169999999898</v>
      </c>
      <c r="Q3996">
        <v>0.1181268</v>
      </c>
      <c r="R3996">
        <v>-0.631795199999999</v>
      </c>
      <c r="S3996">
        <v>2.9376530000000001</v>
      </c>
      <c r="T3996">
        <v>-3.100586E-2</v>
      </c>
      <c r="U3996">
        <v>-1.2010190000000001</v>
      </c>
      <c r="V3996">
        <v>-0.27255159999999901</v>
      </c>
      <c r="W3996">
        <v>0.1235783</v>
      </c>
      <c r="X3996">
        <v>0.95417189999999996</v>
      </c>
      <c r="Y3996">
        <v>-0.54538330000000002</v>
      </c>
      <c r="Z3996">
        <v>9.6813860000000002E-3</v>
      </c>
      <c r="AA3996">
        <v>0.83813090000000001</v>
      </c>
      <c r="AB3996">
        <v>29</v>
      </c>
      <c r="AC3996">
        <v>73.488</v>
      </c>
      <c r="AD3996">
        <v>-0.77671009999999996</v>
      </c>
      <c r="AE3996">
        <v>-29.949318399999999</v>
      </c>
      <c r="AF3996">
        <v>-43.353400649518697</v>
      </c>
      <c r="AG3996">
        <v>-0.77671009999999996</v>
      </c>
      <c r="AH3996">
        <v>66.458438779008802</v>
      </c>
      <c r="AI3996">
        <v>90.560824565246605</v>
      </c>
      <c r="AJ3996">
        <v>123.11795900871201</v>
      </c>
      <c r="AK3996">
        <v>79.352660392707605</v>
      </c>
      <c r="AL3996">
        <v>82.901338137576602</v>
      </c>
      <c r="AM3996">
        <v>105.941568413377</v>
      </c>
      <c r="AN3996">
        <v>0.99999999282152996</v>
      </c>
    </row>
    <row r="3997" spans="1:40" x14ac:dyDescent="0.3">
      <c r="A3997" t="str">
        <f>"20200111150109939"</f>
        <v>20200111150109939</v>
      </c>
      <c r="B3997" t="str">
        <f>"1578726069931918"</f>
        <v>1578726069931918</v>
      </c>
      <c r="C3997" t="s">
        <v>40</v>
      </c>
      <c r="D3997">
        <v>4.5431689999999998</v>
      </c>
      <c r="E3997">
        <v>0.3803107</v>
      </c>
      <c r="F3997" t="s">
        <v>43</v>
      </c>
      <c r="G3997">
        <v>-342.4742</v>
      </c>
      <c r="H3997">
        <v>-0.05</v>
      </c>
      <c r="I3997">
        <v>0.11067200000000001</v>
      </c>
      <c r="J3997">
        <v>-416.24470000000002</v>
      </c>
      <c r="K3997">
        <v>1.112811</v>
      </c>
      <c r="L3997">
        <v>29.953489999999999</v>
      </c>
      <c r="M3997">
        <v>0.57560009999999995</v>
      </c>
      <c r="N3997">
        <v>0</v>
      </c>
      <c r="O3997">
        <v>-0.81765159999999903</v>
      </c>
      <c r="P3997">
        <v>0.77053950000000004</v>
      </c>
      <c r="Q3997">
        <v>0.1181146</v>
      </c>
      <c r="R3997">
        <v>-0.6263531</v>
      </c>
      <c r="S3997">
        <v>2.9389340000000002</v>
      </c>
      <c r="T3997">
        <v>-4.6248560000000001E-2</v>
      </c>
      <c r="U3997">
        <v>-1.1934199999999999</v>
      </c>
      <c r="V3997">
        <v>-0.27206720000000001</v>
      </c>
      <c r="W3997">
        <v>0.123574</v>
      </c>
      <c r="X3997">
        <v>0.95431069999999996</v>
      </c>
      <c r="Y3997">
        <v>-0.54093579999999997</v>
      </c>
      <c r="Z3997">
        <v>1.4387260000000001E-2</v>
      </c>
      <c r="AA3997">
        <v>0.84094080000000004</v>
      </c>
      <c r="AB3997">
        <v>29</v>
      </c>
      <c r="AC3997">
        <v>73.770499999999998</v>
      </c>
      <c r="AD3997">
        <v>-1.162811</v>
      </c>
      <c r="AE3997">
        <v>-29.842817999999902</v>
      </c>
      <c r="AF3997">
        <v>-43.134641157643301</v>
      </c>
      <c r="AG3997">
        <v>-1.162811</v>
      </c>
      <c r="AH3997">
        <v>66.8534202240008</v>
      </c>
      <c r="AI3997">
        <v>90.837336023692998</v>
      </c>
      <c r="AJ3997">
        <v>122.830600653426</v>
      </c>
      <c r="AK3997">
        <v>79.569649948125402</v>
      </c>
      <c r="AL3997">
        <v>82.901586488361801</v>
      </c>
      <c r="AM3997">
        <v>105.912474448544</v>
      </c>
      <c r="AN3997">
        <v>1.00000000346316</v>
      </c>
    </row>
    <row r="3998" spans="1:40" x14ac:dyDescent="0.3">
      <c r="A3998" t="str">
        <f>"20200111150109952"</f>
        <v>20200111150109952</v>
      </c>
      <c r="B3998" t="str">
        <f>"1578726069941678"</f>
        <v>1578726069941678</v>
      </c>
      <c r="C3998" t="s">
        <v>40</v>
      </c>
      <c r="D3998">
        <v>4.3970799999999999</v>
      </c>
      <c r="E3998">
        <v>0.37916159999999999</v>
      </c>
      <c r="F3998" t="s">
        <v>87</v>
      </c>
      <c r="G3998">
        <v>-364.04610000000002</v>
      </c>
      <c r="H3998">
        <v>7.9985420000000002E-2</v>
      </c>
      <c r="I3998">
        <v>9.0464769999999994</v>
      </c>
      <c r="J3998">
        <v>-416.15559999999999</v>
      </c>
      <c r="K3998">
        <v>1.1128119999999999</v>
      </c>
      <c r="L3998">
        <v>29.836549999999999</v>
      </c>
      <c r="M3998">
        <v>0.58008669999999996</v>
      </c>
      <c r="N3998">
        <v>0</v>
      </c>
      <c r="O3998">
        <v>-0.81447440000000004</v>
      </c>
      <c r="P3998">
        <v>0.77391330000000003</v>
      </c>
      <c r="Q3998">
        <v>0.11812350000000001</v>
      </c>
      <c r="R3998">
        <v>-0.62217809999999996</v>
      </c>
      <c r="S3998">
        <v>2.9438780000000002</v>
      </c>
      <c r="T3998">
        <v>-5.8249000000000002E-2</v>
      </c>
      <c r="U3998">
        <v>-1.179108</v>
      </c>
      <c r="V3998">
        <v>-0.27198040000000001</v>
      </c>
      <c r="W3998">
        <v>0.1235825</v>
      </c>
      <c r="X3998">
        <v>0.95433429999999997</v>
      </c>
      <c r="Y3998">
        <v>-0.54025599999999996</v>
      </c>
      <c r="Z3998">
        <v>1.8085230000000001E-2</v>
      </c>
      <c r="AA3998">
        <v>0.84130629999999995</v>
      </c>
      <c r="AB3998">
        <v>29</v>
      </c>
      <c r="AC3998">
        <v>52.109499999999898</v>
      </c>
      <c r="AD3998">
        <v>-1.03282658</v>
      </c>
      <c r="AE3998">
        <v>-20.790073</v>
      </c>
      <c r="AF3998">
        <v>-30.373503590623901</v>
      </c>
      <c r="AG3998">
        <v>-1.03282658</v>
      </c>
      <c r="AH3998">
        <v>47.148117966597198</v>
      </c>
      <c r="AI3998">
        <v>91.055009740732103</v>
      </c>
      <c r="AJ3998">
        <v>122.790223500236</v>
      </c>
      <c r="AK3998">
        <v>56.094219656807397</v>
      </c>
      <c r="AL3998">
        <v>82.901095432363206</v>
      </c>
      <c r="AM3998">
        <v>105.907281207144</v>
      </c>
      <c r="AN3998">
        <v>0.99999996422344894</v>
      </c>
    </row>
    <row r="3999" spans="1:40" x14ac:dyDescent="0.3">
      <c r="A3999" t="str">
        <f>"20200111150109972"</f>
        <v>20200111150109972</v>
      </c>
      <c r="B3999" t="str">
        <f>"1578726069962174"</f>
        <v>1578726069962174</v>
      </c>
      <c r="C3999" t="s">
        <v>40</v>
      </c>
      <c r="D3999">
        <v>4.479158</v>
      </c>
      <c r="E3999">
        <v>0.37892379999999998</v>
      </c>
      <c r="F3999" t="s">
        <v>87</v>
      </c>
      <c r="G3999">
        <v>-363.18200000000002</v>
      </c>
      <c r="H3999">
        <v>7.9985630000000002E-2</v>
      </c>
      <c r="I3999">
        <v>9.1241199999999996</v>
      </c>
      <c r="J3999">
        <v>-415.99349999999998</v>
      </c>
      <c r="K3999">
        <v>1.1128209999999901</v>
      </c>
      <c r="L3999">
        <v>29.626280000000001</v>
      </c>
      <c r="M3999">
        <v>0.588140199999999</v>
      </c>
      <c r="N3999">
        <v>0</v>
      </c>
      <c r="O3999">
        <v>-0.80867800000000001</v>
      </c>
      <c r="P3999">
        <v>0.78010139999999994</v>
      </c>
      <c r="Q3999">
        <v>0.11778760000000001</v>
      </c>
      <c r="R3999">
        <v>-0.614465699999999</v>
      </c>
      <c r="S3999">
        <v>2.9560240000000002</v>
      </c>
      <c r="T3999">
        <v>-5.763364E-2</v>
      </c>
      <c r="U3999">
        <v>-1.1557919999999999</v>
      </c>
      <c r="V3999">
        <v>-0.27202120000000002</v>
      </c>
      <c r="W3999">
        <v>0.1232423</v>
      </c>
      <c r="X3999">
        <v>0.95436670000000001</v>
      </c>
      <c r="Y3999">
        <v>-0.53884460000000001</v>
      </c>
      <c r="Z3999">
        <v>1.7806869999999999E-2</v>
      </c>
      <c r="AA3999">
        <v>0.84221699999999999</v>
      </c>
      <c r="AB3999">
        <v>29</v>
      </c>
      <c r="AC3999">
        <v>52.811500000000002</v>
      </c>
      <c r="AD3999">
        <v>-1.0328353699999999</v>
      </c>
      <c r="AE3999">
        <v>-20.50216</v>
      </c>
      <c r="AF3999">
        <v>-30.641176787484099</v>
      </c>
      <c r="AG3999">
        <v>-1.0328353699999999</v>
      </c>
      <c r="AH3999">
        <v>47.627502007015501</v>
      </c>
      <c r="AI3999">
        <v>91.044812748976199</v>
      </c>
      <c r="AJ3999">
        <v>122.755222805356</v>
      </c>
      <c r="AK3999">
        <v>56.642099283586298</v>
      </c>
      <c r="AL3999">
        <v>82.9207378523149</v>
      </c>
      <c r="AM3999">
        <v>105.90903391885701</v>
      </c>
      <c r="AN3999">
        <v>0.99999999791381</v>
      </c>
    </row>
    <row r="4000" spans="1:40" x14ac:dyDescent="0.3">
      <c r="A4000" t="str">
        <f>"20200111150109984"</f>
        <v>20200111150109984</v>
      </c>
      <c r="B4000" t="str">
        <f>"1578726069981694"</f>
        <v>1578726069981694</v>
      </c>
      <c r="C4000" t="s">
        <v>40</v>
      </c>
      <c r="D4000">
        <v>4.443041</v>
      </c>
      <c r="E4000">
        <v>0.38054490000000002</v>
      </c>
      <c r="F4000" t="s">
        <v>87</v>
      </c>
      <c r="G4000">
        <v>-363.1918</v>
      </c>
      <c r="H4000">
        <v>2.0749589999999998E-2</v>
      </c>
      <c r="I4000">
        <v>9.6163369999999997</v>
      </c>
      <c r="J4000">
        <v>-415.90370000000001</v>
      </c>
      <c r="K4000">
        <v>1.1128260000000001</v>
      </c>
      <c r="L4000">
        <v>29.511410000000001</v>
      </c>
      <c r="M4000">
        <v>0.59254110000000004</v>
      </c>
      <c r="N4000">
        <v>0</v>
      </c>
      <c r="O4000">
        <v>-0.80545919999999904</v>
      </c>
      <c r="P4000">
        <v>0.78343169999999995</v>
      </c>
      <c r="Q4000">
        <v>0.1176854</v>
      </c>
      <c r="R4000">
        <v>-0.61023380000000005</v>
      </c>
      <c r="S4000">
        <v>2.9687809999999999</v>
      </c>
      <c r="T4000">
        <v>-6.1401839999999999E-2</v>
      </c>
      <c r="U4000">
        <v>-1.1250610000000001</v>
      </c>
      <c r="V4000">
        <v>-0.271995599999999</v>
      </c>
      <c r="W4000">
        <v>0.1231382</v>
      </c>
      <c r="X4000">
        <v>0.9543874</v>
      </c>
      <c r="Y4000">
        <v>-0.54304619999999904</v>
      </c>
      <c r="Z4000">
        <v>1.8959420000000001E-2</v>
      </c>
      <c r="AA4000">
        <v>0.83948869999999898</v>
      </c>
      <c r="AB4000">
        <v>29</v>
      </c>
      <c r="AC4000">
        <v>52.7119</v>
      </c>
      <c r="AD4000">
        <v>-1.09207641</v>
      </c>
      <c r="AE4000">
        <v>-19.895073</v>
      </c>
      <c r="AF4000">
        <v>-30.6591191581659</v>
      </c>
      <c r="AG4000">
        <v>-1.09207641</v>
      </c>
      <c r="AH4000">
        <v>47.243971314115001</v>
      </c>
      <c r="AI4000">
        <v>91.110852506834703</v>
      </c>
      <c r="AJ4000">
        <v>122.981677986619</v>
      </c>
      <c r="AK4000">
        <v>56.330871145126203</v>
      </c>
      <c r="AL4000">
        <v>82.926747895875295</v>
      </c>
      <c r="AM4000">
        <v>105.907284914572</v>
      </c>
      <c r="AN4000">
        <v>0.99999996599867902</v>
      </c>
    </row>
    <row r="4001" spans="1:40" x14ac:dyDescent="0.3">
      <c r="A4001" t="str">
        <f>"20200111150109995"</f>
        <v>20200111150109995</v>
      </c>
      <c r="B4001" t="str">
        <f>"1578726069991454"</f>
        <v>1578726069991454</v>
      </c>
      <c r="C4001" t="s">
        <v>40</v>
      </c>
      <c r="D4001">
        <v>4.4509420000000004</v>
      </c>
      <c r="E4001">
        <v>0.38126070000000001</v>
      </c>
      <c r="F4001" t="s">
        <v>87</v>
      </c>
      <c r="G4001">
        <v>-369.82010000000002</v>
      </c>
      <c r="H4001" s="1">
        <v>-2.0649170000000002E-6</v>
      </c>
      <c r="I4001">
        <v>12.11697</v>
      </c>
      <c r="J4001">
        <v>-415.8125</v>
      </c>
      <c r="K4001">
        <v>1.112832</v>
      </c>
      <c r="L4001">
        <v>29.39639</v>
      </c>
      <c r="M4001">
        <v>0.59694979999999997</v>
      </c>
      <c r="N4001">
        <v>0</v>
      </c>
      <c r="O4001">
        <v>-0.8021973</v>
      </c>
      <c r="P4001">
        <v>0.78685689999999997</v>
      </c>
      <c r="Q4001">
        <v>0.1173357</v>
      </c>
      <c r="R4001">
        <v>-0.60587849999999999</v>
      </c>
      <c r="S4001">
        <v>2.9675600000000002</v>
      </c>
      <c r="T4001">
        <v>-7.1660760000000004E-2</v>
      </c>
      <c r="U4001">
        <v>-1.120117</v>
      </c>
      <c r="V4001">
        <v>-0.27209270000000002</v>
      </c>
      <c r="W4001">
        <v>0.1227843</v>
      </c>
      <c r="X4001">
        <v>0.95440539999999996</v>
      </c>
      <c r="Y4001">
        <v>-0.53947419999999902</v>
      </c>
      <c r="Z4001">
        <v>2.2070869999999999E-2</v>
      </c>
      <c r="AA4001">
        <v>0.84171280000000004</v>
      </c>
      <c r="AB4001">
        <v>29</v>
      </c>
      <c r="AC4001">
        <v>45.992399999999897</v>
      </c>
      <c r="AD4001">
        <v>-1.1128340649169901</v>
      </c>
      <c r="AE4001">
        <v>-17.279419999999998</v>
      </c>
      <c r="AF4001">
        <v>-26.5681360191682</v>
      </c>
      <c r="AG4001">
        <v>-1.1128340649169901</v>
      </c>
      <c r="AH4001">
        <v>41.298165421334801</v>
      </c>
      <c r="AI4001">
        <v>91.298206256348195</v>
      </c>
      <c r="AJ4001">
        <v>122.754183694293</v>
      </c>
      <c r="AK4001">
        <v>49.1186595741069</v>
      </c>
      <c r="AL4001">
        <v>82.947180479469594</v>
      </c>
      <c r="AM4001">
        <v>105.91239126249</v>
      </c>
      <c r="AN4001">
        <v>1.0000000446344599</v>
      </c>
    </row>
    <row r="4002" spans="1:40" x14ac:dyDescent="0.3">
      <c r="A4002" t="str">
        <f>"20200111150110007"</f>
        <v>20200111150110007</v>
      </c>
      <c r="B4002" t="str">
        <f>"1578726070002191"</f>
        <v>1578726070002191</v>
      </c>
      <c r="C4002" t="s">
        <v>40</v>
      </c>
      <c r="D4002">
        <v>4.3061989999999897</v>
      </c>
      <c r="E4002">
        <v>0.38072820000000002</v>
      </c>
      <c r="F4002" t="s">
        <v>88</v>
      </c>
      <c r="G4002">
        <v>-373.25670000000002</v>
      </c>
      <c r="H4002" s="1">
        <v>-4.2508769999999998E-6</v>
      </c>
      <c r="I4002">
        <v>13.51187</v>
      </c>
      <c r="J4002">
        <v>-415.7242</v>
      </c>
      <c r="K4002">
        <v>1.1128359999999999</v>
      </c>
      <c r="L4002">
        <v>29.286159999999999</v>
      </c>
      <c r="M4002">
        <v>0.6011765</v>
      </c>
      <c r="N4002">
        <v>0</v>
      </c>
      <c r="O4002">
        <v>-0.79903419999999903</v>
      </c>
      <c r="P4002">
        <v>0.79005319999999901</v>
      </c>
      <c r="Q4002">
        <v>0.1169639</v>
      </c>
      <c r="R4002">
        <v>-0.6017768</v>
      </c>
      <c r="S4002">
        <v>2.970459</v>
      </c>
      <c r="T4002">
        <v>-7.767773E-2</v>
      </c>
      <c r="U4002">
        <v>-1.108765</v>
      </c>
      <c r="V4002">
        <v>-0.2720571</v>
      </c>
      <c r="W4002">
        <v>0.1224118</v>
      </c>
      <c r="X4002">
        <v>0.95446339999999996</v>
      </c>
      <c r="Y4002">
        <v>-0.53807340000000003</v>
      </c>
      <c r="Z4002">
        <v>2.387251E-2</v>
      </c>
      <c r="AA4002">
        <v>0.84255990000000003</v>
      </c>
      <c r="AB4002">
        <v>29</v>
      </c>
      <c r="AC4002">
        <v>42.467499999999902</v>
      </c>
      <c r="AD4002">
        <v>-1.1128402508769999</v>
      </c>
      <c r="AE4002">
        <v>-15.774289999999899</v>
      </c>
      <c r="AF4002">
        <v>-24.436710400461401</v>
      </c>
      <c r="AG4002">
        <v>-1.1128402508769999</v>
      </c>
      <c r="AH4002">
        <v>38.114162450014298</v>
      </c>
      <c r="AI4002">
        <v>91.408016702952807</v>
      </c>
      <c r="AJ4002">
        <v>122.665765595526</v>
      </c>
      <c r="AK4002">
        <v>45.288857436306301</v>
      </c>
      <c r="AL4002">
        <v>82.968685405866296</v>
      </c>
      <c r="AM4002">
        <v>105.909496823051</v>
      </c>
      <c r="AN4002">
        <v>1.0000000481896001</v>
      </c>
    </row>
    <row r="4003" spans="1:40" x14ac:dyDescent="0.3">
      <c r="A4003" t="str">
        <f>"20200111150110017"</f>
        <v>20200111150110017</v>
      </c>
      <c r="B4003" t="str">
        <f>"1578726070011949"</f>
        <v>1578726070011949</v>
      </c>
      <c r="C4003" t="s">
        <v>40</v>
      </c>
      <c r="D4003">
        <v>4.319134</v>
      </c>
      <c r="E4003">
        <v>0.38103090000000001</v>
      </c>
      <c r="F4003" t="s">
        <v>41</v>
      </c>
      <c r="G4003">
        <v>-414.66449999999998</v>
      </c>
      <c r="H4003">
        <v>1.085172</v>
      </c>
      <c r="I4003">
        <v>28.898610000000001</v>
      </c>
      <c r="J4003">
        <v>-415.62959999999998</v>
      </c>
      <c r="K4003">
        <v>1.112841</v>
      </c>
      <c r="L4003">
        <v>29.16919</v>
      </c>
      <c r="M4003">
        <v>0.60565719999999901</v>
      </c>
      <c r="N4003">
        <v>0</v>
      </c>
      <c r="O4003">
        <v>-0.79564330000000005</v>
      </c>
      <c r="P4003">
        <v>0.79335769999999906</v>
      </c>
      <c r="Q4003">
        <v>0.11668829999999999</v>
      </c>
      <c r="R4003">
        <v>-0.59746750000000004</v>
      </c>
      <c r="S4003">
        <v>2.9788510000000001</v>
      </c>
      <c r="T4003">
        <v>-7.7769759999999993E-2</v>
      </c>
      <c r="U4003">
        <v>-1.089569</v>
      </c>
      <c r="V4003">
        <v>-0.27191710000000002</v>
      </c>
      <c r="W4003">
        <v>0.1221368</v>
      </c>
      <c r="X4003">
        <v>0.95453849999999996</v>
      </c>
      <c r="Y4003">
        <v>-0.53889390000000004</v>
      </c>
      <c r="Z4003">
        <v>2.3848419999999999E-2</v>
      </c>
      <c r="AA4003">
        <v>0.84203600000000001</v>
      </c>
      <c r="AB4003">
        <v>29</v>
      </c>
      <c r="AC4003">
        <v>0.96510000000000595</v>
      </c>
      <c r="AD4003">
        <v>-2.7668999999999899E-2</v>
      </c>
      <c r="AE4003">
        <v>-0.27058000000000598</v>
      </c>
      <c r="AF4003">
        <v>-0.60357626634848105</v>
      </c>
      <c r="AG4003">
        <v>-2.7668999999999899E-2</v>
      </c>
      <c r="AH4003">
        <v>0.799248295840982</v>
      </c>
      <c r="AI4003">
        <v>91.582461186595097</v>
      </c>
      <c r="AJ4003">
        <v>127.059369993674</v>
      </c>
      <c r="AK4003">
        <v>1.00193199433139</v>
      </c>
      <c r="AL4003">
        <v>82.984560723222103</v>
      </c>
      <c r="AM4003">
        <v>105.900536071811</v>
      </c>
      <c r="AN4003">
        <v>1.0000000275844401</v>
      </c>
    </row>
    <row r="4004" spans="1:40" x14ac:dyDescent="0.3">
      <c r="A4004" t="str">
        <f>"20200111150110030"</f>
        <v>20200111150110030</v>
      </c>
      <c r="B4004" t="str">
        <f>"1578726070021710"</f>
        <v>1578726070021710</v>
      </c>
      <c r="C4004" t="s">
        <v>40</v>
      </c>
      <c r="D4004">
        <v>4.3330869999999999</v>
      </c>
      <c r="E4004">
        <v>0.3812256</v>
      </c>
      <c r="F4004" t="s">
        <v>88</v>
      </c>
      <c r="G4004">
        <v>-375.21589999999998</v>
      </c>
      <c r="H4004" s="1">
        <v>-3.1561460000000002E-6</v>
      </c>
      <c r="I4004">
        <v>14.599869999999999</v>
      </c>
      <c r="J4004">
        <v>-415.53640000000001</v>
      </c>
      <c r="K4004">
        <v>1.1128469999999999</v>
      </c>
      <c r="L4004">
        <v>29.055730000000001</v>
      </c>
      <c r="M4004">
        <v>0.61001349999999999</v>
      </c>
      <c r="N4004">
        <v>0</v>
      </c>
      <c r="O4004">
        <v>-0.79230869999999998</v>
      </c>
      <c r="P4004">
        <v>0.79658629999999997</v>
      </c>
      <c r="Q4004">
        <v>0.11654150000000001</v>
      </c>
      <c r="R4004">
        <v>-0.59318549999999903</v>
      </c>
      <c r="S4004">
        <v>2.9834900000000002</v>
      </c>
      <c r="T4004">
        <v>-8.2154270000000001E-2</v>
      </c>
      <c r="U4004">
        <v>-1.0755619999999999</v>
      </c>
      <c r="V4004">
        <v>-0.27183780000000002</v>
      </c>
      <c r="W4004">
        <v>0.1219901</v>
      </c>
      <c r="X4004">
        <v>0.95457979999999998</v>
      </c>
      <c r="Y4004">
        <v>-0.53815230000000003</v>
      </c>
      <c r="Z4004">
        <v>2.513481E-2</v>
      </c>
      <c r="AA4004">
        <v>0.84247280000000002</v>
      </c>
      <c r="AB4004">
        <v>29</v>
      </c>
      <c r="AC4004">
        <v>40.320500000000003</v>
      </c>
      <c r="AD4004">
        <v>-1.112850156146</v>
      </c>
      <c r="AE4004">
        <v>-14.455859999999999</v>
      </c>
      <c r="AF4004">
        <v>-23.113919964410201</v>
      </c>
      <c r="AG4004">
        <v>-1.112850156146</v>
      </c>
      <c r="AH4004">
        <v>36.027585918450598</v>
      </c>
      <c r="AI4004">
        <v>91.489259210750603</v>
      </c>
      <c r="AJ4004">
        <v>122.682677014444</v>
      </c>
      <c r="AK4004">
        <v>42.819139163492402</v>
      </c>
      <c r="AL4004">
        <v>82.993029034727599</v>
      </c>
      <c r="AM4004">
        <v>105.895480303309</v>
      </c>
      <c r="AN4004">
        <v>0.99999998428744397</v>
      </c>
    </row>
    <row r="4005" spans="1:40" x14ac:dyDescent="0.3">
      <c r="A4005" t="str">
        <f>"20200111150110042"</f>
        <v>20200111150110042</v>
      </c>
      <c r="B4005" t="str">
        <f>"1578726070031470"</f>
        <v>1578726070031470</v>
      </c>
      <c r="C4005" t="s">
        <v>40</v>
      </c>
      <c r="D4005">
        <v>4.2844009999999999</v>
      </c>
      <c r="E4005">
        <v>0.38088719999999998</v>
      </c>
      <c r="F4005" t="s">
        <v>41</v>
      </c>
      <c r="G4005">
        <v>-414.53710000000001</v>
      </c>
      <c r="H4005">
        <v>1.08466</v>
      </c>
      <c r="I4005">
        <v>28.700800000000001</v>
      </c>
      <c r="J4005">
        <v>-415.43270000000001</v>
      </c>
      <c r="K4005">
        <v>1.112852</v>
      </c>
      <c r="L4005">
        <v>28.93027</v>
      </c>
      <c r="M4005">
        <v>0.61481980000000003</v>
      </c>
      <c r="N4005">
        <v>0</v>
      </c>
      <c r="O4005">
        <v>-0.78858479999999997</v>
      </c>
      <c r="P4005">
        <v>0.79998179999999997</v>
      </c>
      <c r="Q4005">
        <v>0.116646</v>
      </c>
      <c r="R4005">
        <v>-0.58857729999999997</v>
      </c>
      <c r="S4005">
        <v>2.9885860000000002</v>
      </c>
      <c r="T4005">
        <v>-8.4267019999999998E-2</v>
      </c>
      <c r="U4005">
        <v>-1.0606690000000001</v>
      </c>
      <c r="V4005">
        <v>-0.27153549999999999</v>
      </c>
      <c r="W4005">
        <v>0.122099</v>
      </c>
      <c r="X4005">
        <v>0.95465199999999995</v>
      </c>
      <c r="Y4005">
        <v>-0.53719139999999999</v>
      </c>
      <c r="Z4005">
        <v>2.571095E-2</v>
      </c>
      <c r="AA4005">
        <v>0.84306840000000005</v>
      </c>
      <c r="AB4005">
        <v>29</v>
      </c>
      <c r="AC4005">
        <v>0.89560000000000095</v>
      </c>
      <c r="AD4005">
        <v>-2.8191999999999901E-2</v>
      </c>
      <c r="AE4005">
        <v>-0.22946999999999901</v>
      </c>
      <c r="AF4005">
        <v>-0.56468569527261403</v>
      </c>
      <c r="AG4005">
        <v>-2.8191999999999901E-2</v>
      </c>
      <c r="AH4005">
        <v>0.73095727855183001</v>
      </c>
      <c r="AI4005">
        <v>91.748220924622004</v>
      </c>
      <c r="AJ4005">
        <v>127.687126797731</v>
      </c>
      <c r="AK4005">
        <v>0.92410132906376297</v>
      </c>
      <c r="AL4005">
        <v>82.986743115590102</v>
      </c>
      <c r="AM4005">
        <v>105.877554968943</v>
      </c>
      <c r="AN4005">
        <v>1.0000000673326199</v>
      </c>
    </row>
    <row r="4006" spans="1:40" x14ac:dyDescent="0.3">
      <c r="A4006" t="str">
        <f>"20200111150110053"</f>
        <v>20200111150110053</v>
      </c>
      <c r="B4006" t="str">
        <f>"1578726070042206"</f>
        <v>1578726070042206</v>
      </c>
      <c r="C4006" t="s">
        <v>40</v>
      </c>
      <c r="D4006">
        <v>4.269711</v>
      </c>
      <c r="E4006">
        <v>0.38061450000000002</v>
      </c>
      <c r="F4006" t="s">
        <v>41</v>
      </c>
      <c r="G4006">
        <v>-414.3947</v>
      </c>
      <c r="H4006">
        <v>1.084336</v>
      </c>
      <c r="I4006">
        <v>28.56963</v>
      </c>
      <c r="J4006">
        <v>-415.33929999999998</v>
      </c>
      <c r="K4006">
        <v>1.112859</v>
      </c>
      <c r="L4006">
        <v>28.819179999999999</v>
      </c>
      <c r="M4006">
        <v>0.61908660000000004</v>
      </c>
      <c r="N4006">
        <v>0</v>
      </c>
      <c r="O4006">
        <v>-0.78523959999999904</v>
      </c>
      <c r="P4006">
        <v>0.80298669999999905</v>
      </c>
      <c r="Q4006">
        <v>0.11687549999999999</v>
      </c>
      <c r="R4006">
        <v>-0.58442530000000004</v>
      </c>
      <c r="S4006">
        <v>2.996124</v>
      </c>
      <c r="T4006">
        <v>-8.2315680000000002E-2</v>
      </c>
      <c r="U4006">
        <v>-1.041107</v>
      </c>
      <c r="V4006">
        <v>-0.27128459999999899</v>
      </c>
      <c r="W4006">
        <v>0.12233139999999899</v>
      </c>
      <c r="X4006">
        <v>0.95469349999999997</v>
      </c>
      <c r="Y4006">
        <v>-0.53820649999999903</v>
      </c>
      <c r="Z4006">
        <v>2.506684E-2</v>
      </c>
      <c r="AA4006">
        <v>0.84244010000000003</v>
      </c>
      <c r="AB4006">
        <v>29</v>
      </c>
      <c r="AC4006">
        <v>0.94459999999998001</v>
      </c>
      <c r="AD4006">
        <v>-2.8523E-2</v>
      </c>
      <c r="AE4006">
        <v>-0.24954999999999899</v>
      </c>
      <c r="AF4006">
        <v>-0.58678248514321396</v>
      </c>
      <c r="AG4006">
        <v>-2.8523E-2</v>
      </c>
      <c r="AH4006">
        <v>0.78013180451367603</v>
      </c>
      <c r="AI4006">
        <v>91.673656084043103</v>
      </c>
      <c r="AJ4006">
        <v>126.94895309325599</v>
      </c>
      <c r="AK4006">
        <v>0.97659248349227601</v>
      </c>
      <c r="AL4006">
        <v>82.973326475098105</v>
      </c>
      <c r="AM4006">
        <v>105.86296782712</v>
      </c>
      <c r="AN4006">
        <v>0.99999999228268399</v>
      </c>
    </row>
    <row r="4007" spans="1:40" x14ac:dyDescent="0.3">
      <c r="A4007" t="str">
        <f>"20200111150110066"</f>
        <v>20200111150110066</v>
      </c>
      <c r="B4007" t="str">
        <f>"1578726070061726"</f>
        <v>1578726070061726</v>
      </c>
      <c r="C4007" t="s">
        <v>40</v>
      </c>
      <c r="D4007">
        <v>4.3362350000000003</v>
      </c>
      <c r="E4007">
        <v>0.37982700000000003</v>
      </c>
      <c r="F4007" t="s">
        <v>88</v>
      </c>
      <c r="G4007">
        <v>-373.52620000000002</v>
      </c>
      <c r="H4007" s="1">
        <v>-3.9367909999999997E-6</v>
      </c>
      <c r="I4007">
        <v>14.564590000000001</v>
      </c>
      <c r="J4007">
        <v>-415.23410000000001</v>
      </c>
      <c r="K4007">
        <v>1.112865</v>
      </c>
      <c r="L4007">
        <v>28.695160000000001</v>
      </c>
      <c r="M4007">
        <v>0.62384490000000004</v>
      </c>
      <c r="N4007">
        <v>0</v>
      </c>
      <c r="O4007">
        <v>-0.78146450000000001</v>
      </c>
      <c r="P4007">
        <v>0.80657009999999996</v>
      </c>
      <c r="Q4007">
        <v>0.1167102</v>
      </c>
      <c r="R4007">
        <v>-0.579503199999999</v>
      </c>
      <c r="S4007">
        <v>3.0026860000000002</v>
      </c>
      <c r="T4007">
        <v>-7.991695E-2</v>
      </c>
      <c r="U4007">
        <v>-1.0236510000000001</v>
      </c>
      <c r="V4007">
        <v>-0.27134219999999998</v>
      </c>
      <c r="W4007">
        <v>0.1221624</v>
      </c>
      <c r="X4007">
        <v>0.95469879999999996</v>
      </c>
      <c r="Y4007">
        <v>-0.53806009999999904</v>
      </c>
      <c r="Z4007">
        <v>2.4271149999999998E-2</v>
      </c>
      <c r="AA4007">
        <v>0.842557</v>
      </c>
      <c r="AB4007">
        <v>29</v>
      </c>
      <c r="AC4007">
        <v>41.707900000000002</v>
      </c>
      <c r="AD4007">
        <v>-1.1128689367910001</v>
      </c>
      <c r="AE4007">
        <v>-14.130570000000001</v>
      </c>
      <c r="AF4007">
        <v>-23.764337126091199</v>
      </c>
      <c r="AG4007">
        <v>-1.1128689367910001</v>
      </c>
      <c r="AH4007">
        <v>37.040567330697897</v>
      </c>
      <c r="AI4007">
        <v>91.448563779509698</v>
      </c>
      <c r="AJ4007">
        <v>122.68325457091299</v>
      </c>
      <c r="AK4007">
        <v>44.022560403649301</v>
      </c>
      <c r="AL4007">
        <v>82.983082832014802</v>
      </c>
      <c r="AM4007">
        <v>105.866082711248</v>
      </c>
      <c r="AN4007">
        <v>1.0000000200980199</v>
      </c>
    </row>
    <row r="4008" spans="1:40" x14ac:dyDescent="0.3">
      <c r="A4008" t="str">
        <f>"20200111150110078"</f>
        <v>20200111150110078</v>
      </c>
      <c r="B4008" t="str">
        <f>"1578726070071486"</f>
        <v>1578726070071486</v>
      </c>
      <c r="C4008" t="s">
        <v>40</v>
      </c>
      <c r="D4008">
        <v>4.3054290000000002</v>
      </c>
      <c r="E4008">
        <v>0.37975229999999999</v>
      </c>
      <c r="F4008" t="s">
        <v>41</v>
      </c>
      <c r="G4008">
        <v>-414.15280000000001</v>
      </c>
      <c r="H4008">
        <v>1.08531</v>
      </c>
      <c r="I4008">
        <v>28.33596</v>
      </c>
      <c r="J4008">
        <v>-415.12650000000002</v>
      </c>
      <c r="K4008">
        <v>1.11287</v>
      </c>
      <c r="L4008">
        <v>28.569579999999998</v>
      </c>
      <c r="M4008">
        <v>0.62865959999999999</v>
      </c>
      <c r="N4008">
        <v>0</v>
      </c>
      <c r="O4008">
        <v>-0.77759630000000002</v>
      </c>
      <c r="P4008">
        <v>0.81022340000000004</v>
      </c>
      <c r="Q4008">
        <v>0.1168163</v>
      </c>
      <c r="R4008">
        <v>-0.57436259999999995</v>
      </c>
      <c r="S4008">
        <v>3.0122990000000001</v>
      </c>
      <c r="T4008">
        <v>-7.6725959999999996E-2</v>
      </c>
      <c r="U4008">
        <v>-0.99975590000000003</v>
      </c>
      <c r="V4008">
        <v>-0.27150950000000001</v>
      </c>
      <c r="W4008">
        <v>0.1222618</v>
      </c>
      <c r="X4008">
        <v>0.95463849999999995</v>
      </c>
      <c r="Y4008">
        <v>-0.53970869999999904</v>
      </c>
      <c r="Z4008">
        <v>2.3248120000000001E-2</v>
      </c>
      <c r="AA4008">
        <v>0.84153080000000002</v>
      </c>
      <c r="AB4008">
        <v>29</v>
      </c>
      <c r="AC4008">
        <v>0.973700000000007</v>
      </c>
      <c r="AD4008">
        <v>-2.7560000000000001E-2</v>
      </c>
      <c r="AE4008">
        <v>-0.23362000000000099</v>
      </c>
      <c r="AF4008">
        <v>-0.60985608480542797</v>
      </c>
      <c r="AG4008">
        <v>-2.7560000000000001E-2</v>
      </c>
      <c r="AH4008">
        <v>0.79323903549948704</v>
      </c>
      <c r="AI4008">
        <v>91.577763516397496</v>
      </c>
      <c r="AJ4008">
        <v>127.553714403188</v>
      </c>
      <c r="AK4008">
        <v>1.0009556259966499</v>
      </c>
      <c r="AL4008">
        <v>82.977344553856597</v>
      </c>
      <c r="AM4008">
        <v>105.876324495483</v>
      </c>
      <c r="AN4008">
        <v>1.00000001100586</v>
      </c>
    </row>
    <row r="4009" spans="1:40" x14ac:dyDescent="0.3">
      <c r="A4009" t="str">
        <f>"20200111150110091"</f>
        <v>20200111150110091</v>
      </c>
      <c r="B4009" t="str">
        <f>"1578726070082222"</f>
        <v>1578726070082222</v>
      </c>
      <c r="C4009" t="s">
        <v>40</v>
      </c>
      <c r="D4009">
        <v>4.3518929999999996</v>
      </c>
      <c r="E4009">
        <v>0.37957570000000002</v>
      </c>
      <c r="F4009" t="s">
        <v>88</v>
      </c>
      <c r="G4009">
        <v>-371.95569999999998</v>
      </c>
      <c r="H4009" s="1">
        <v>-4.6818099999999996E-6</v>
      </c>
      <c r="I4009">
        <v>14.549659999999999</v>
      </c>
      <c r="J4009">
        <v>-415.0256</v>
      </c>
      <c r="K4009">
        <v>1.1128670000000001</v>
      </c>
      <c r="L4009">
        <v>28.453859999999999</v>
      </c>
      <c r="M4009">
        <v>0.63310809999999995</v>
      </c>
      <c r="N4009">
        <v>0</v>
      </c>
      <c r="O4009">
        <v>-0.77397869999999902</v>
      </c>
      <c r="P4009">
        <v>0.81372369999999905</v>
      </c>
      <c r="Q4009">
        <v>0.1164589</v>
      </c>
      <c r="R4009">
        <v>-0.56946580000000002</v>
      </c>
      <c r="S4009">
        <v>3.0189210000000002</v>
      </c>
      <c r="T4009">
        <v>-7.7822920000000004E-2</v>
      </c>
      <c r="U4009">
        <v>-0.98040769999999999</v>
      </c>
      <c r="V4009">
        <v>-0.27182729999999999</v>
      </c>
      <c r="W4009">
        <v>0.121895</v>
      </c>
      <c r="X4009">
        <v>0.95459499999999997</v>
      </c>
      <c r="Y4009">
        <v>-0.54029530000000003</v>
      </c>
      <c r="Z4009">
        <v>2.3527639999999999E-2</v>
      </c>
      <c r="AA4009">
        <v>0.84114650000000002</v>
      </c>
      <c r="AB4009">
        <v>29</v>
      </c>
      <c r="AC4009">
        <v>43.069899999999997</v>
      </c>
      <c r="AD4009">
        <v>-1.11287168181</v>
      </c>
      <c r="AE4009">
        <v>-13.9041999999999</v>
      </c>
      <c r="AF4009">
        <v>-24.519106976100201</v>
      </c>
      <c r="AG4009">
        <v>-1.11287168181</v>
      </c>
      <c r="AH4009">
        <v>38.008969134084097</v>
      </c>
      <c r="AI4009">
        <v>91.409422730410697</v>
      </c>
      <c r="AJ4009">
        <v>122.82555224411099</v>
      </c>
      <c r="AK4009">
        <v>45.244964636093798</v>
      </c>
      <c r="AL4009">
        <v>82.998519246330702</v>
      </c>
      <c r="AM4009">
        <v>105.894657038346</v>
      </c>
      <c r="AN4009">
        <v>1.0000000430376399</v>
      </c>
    </row>
    <row r="4010" spans="1:40" x14ac:dyDescent="0.3">
      <c r="A4010" t="str">
        <f>"20200111150110108"</f>
        <v>20200111150110108</v>
      </c>
      <c r="B4010" t="str">
        <f>"1578726070101742"</f>
        <v>1578726070101742</v>
      </c>
      <c r="C4010" t="s">
        <v>40</v>
      </c>
      <c r="D4010">
        <v>4.3735489999999997</v>
      </c>
      <c r="E4010">
        <v>0.3791718</v>
      </c>
      <c r="F4010" t="s">
        <v>88</v>
      </c>
      <c r="G4010">
        <v>-372.7937</v>
      </c>
      <c r="H4010" s="1">
        <v>-4.1993690000000002E-6</v>
      </c>
      <c r="I4010">
        <v>15.036149999999999</v>
      </c>
      <c r="J4010">
        <v>-414.88389999999998</v>
      </c>
      <c r="K4010">
        <v>1.1128750000000001</v>
      </c>
      <c r="L4010">
        <v>28.293060000000001</v>
      </c>
      <c r="M4010">
        <v>0.63928130000000005</v>
      </c>
      <c r="N4010">
        <v>0</v>
      </c>
      <c r="O4010">
        <v>-0.76888780000000001</v>
      </c>
      <c r="P4010">
        <v>0.81818880000000005</v>
      </c>
      <c r="Q4010">
        <v>0.11577900000000001</v>
      </c>
      <c r="R4010">
        <v>-0.56317189999999995</v>
      </c>
      <c r="S4010">
        <v>3.0254819999999998</v>
      </c>
      <c r="T4010">
        <v>-7.9725859999999996E-2</v>
      </c>
      <c r="U4010">
        <v>-0.96124270000000001</v>
      </c>
      <c r="V4010">
        <v>-0.2716151</v>
      </c>
      <c r="W4010">
        <v>0.121217699999999</v>
      </c>
      <c r="X4010">
        <v>0.95474159999999997</v>
      </c>
      <c r="Y4010">
        <v>-0.53891440000000002</v>
      </c>
      <c r="Z4010">
        <v>2.4003170000000001E-2</v>
      </c>
      <c r="AA4010">
        <v>0.8420185</v>
      </c>
      <c r="AB4010">
        <v>29</v>
      </c>
      <c r="AC4010">
        <v>42.090199999999903</v>
      </c>
      <c r="AD4010">
        <v>-1.1128791993689999</v>
      </c>
      <c r="AE4010">
        <v>-13.2569099999999</v>
      </c>
      <c r="AF4010">
        <v>-23.874127150761002</v>
      </c>
      <c r="AG4010">
        <v>-1.1128791993689999</v>
      </c>
      <c r="AH4010">
        <v>37.079401456933702</v>
      </c>
      <c r="AI4010">
        <v>91.4455555137678</v>
      </c>
      <c r="AJ4010">
        <v>122.776065676928</v>
      </c>
      <c r="AK4010">
        <v>44.114560631695603</v>
      </c>
      <c r="AL4010">
        <v>83.037615349831896</v>
      </c>
      <c r="AM4010">
        <v>105.88055937796901</v>
      </c>
      <c r="AN4010">
        <v>1.0000000080559299</v>
      </c>
    </row>
    <row r="4011" spans="1:40" x14ac:dyDescent="0.3">
      <c r="A4011" t="str">
        <f>"20200111150110123"</f>
        <v>20200111150110123</v>
      </c>
      <c r="B4011" t="str">
        <f>"1578726070111502"</f>
        <v>1578726070111502</v>
      </c>
      <c r="C4011" t="s">
        <v>40</v>
      </c>
      <c r="D4011">
        <v>4.339766</v>
      </c>
      <c r="E4011">
        <v>0.37912050000000003</v>
      </c>
      <c r="F4011" t="s">
        <v>41</v>
      </c>
      <c r="G4011">
        <v>-413.8526</v>
      </c>
      <c r="H4011">
        <v>1.085129</v>
      </c>
      <c r="I4011">
        <v>27.975090000000002</v>
      </c>
      <c r="J4011">
        <v>-414.75920000000002</v>
      </c>
      <c r="K4011">
        <v>1.112886</v>
      </c>
      <c r="L4011">
        <v>28.153320000000001</v>
      </c>
      <c r="M4011">
        <v>0.64464359999999998</v>
      </c>
      <c r="N4011">
        <v>0</v>
      </c>
      <c r="O4011">
        <v>-0.7643974</v>
      </c>
      <c r="P4011">
        <v>0.82169609999999904</v>
      </c>
      <c r="Q4011">
        <v>0.11552419999999999</v>
      </c>
      <c r="R4011">
        <v>-0.5580948</v>
      </c>
      <c r="S4011">
        <v>3.034729</v>
      </c>
      <c r="T4011">
        <v>-8.1605079999999997E-2</v>
      </c>
      <c r="U4011">
        <v>-0.93481449999999999</v>
      </c>
      <c r="V4011">
        <v>-0.27087240000000001</v>
      </c>
      <c r="W4011">
        <v>0.1209768</v>
      </c>
      <c r="X4011">
        <v>0.95498309999999997</v>
      </c>
      <c r="Y4011">
        <v>-0.54042849999999998</v>
      </c>
      <c r="Z4011">
        <v>2.4502630000000001E-2</v>
      </c>
      <c r="AA4011">
        <v>0.84103309999999998</v>
      </c>
      <c r="AB4011">
        <v>29</v>
      </c>
      <c r="AC4011">
        <v>0.90660000000002505</v>
      </c>
      <c r="AD4011">
        <v>-2.7757E-2</v>
      </c>
      <c r="AE4011">
        <v>-0.178229999999999</v>
      </c>
      <c r="AF4011">
        <v>-0.57762449071057298</v>
      </c>
      <c r="AG4011">
        <v>-2.7757E-2</v>
      </c>
      <c r="AH4011">
        <v>0.72006987300695202</v>
      </c>
      <c r="AI4011">
        <v>91.722289395380798</v>
      </c>
      <c r="AJ4011">
        <v>128.735832604851</v>
      </c>
      <c r="AK4011">
        <v>0.92353728962608606</v>
      </c>
      <c r="AL4011">
        <v>83.051520053799507</v>
      </c>
      <c r="AM4011">
        <v>105.835512796679</v>
      </c>
      <c r="AN4011">
        <v>0.99999998225280395</v>
      </c>
    </row>
    <row r="4012" spans="1:40" x14ac:dyDescent="0.3">
      <c r="A4012" t="str">
        <f>"20200111150110134"</f>
        <v>20200111150110134</v>
      </c>
      <c r="B4012" t="str">
        <f>"1578726070131998"</f>
        <v>1578726070131998</v>
      </c>
      <c r="C4012" t="s">
        <v>40</v>
      </c>
      <c r="D4012">
        <v>4.3491489999999997</v>
      </c>
      <c r="E4012">
        <v>0.37903700000000001</v>
      </c>
      <c r="F4012" t="s">
        <v>41</v>
      </c>
      <c r="G4012">
        <v>-413.70589999999999</v>
      </c>
      <c r="H4012">
        <v>1.0846309999999999</v>
      </c>
      <c r="I4012">
        <v>27.836469999999998</v>
      </c>
      <c r="J4012">
        <v>-414.65120000000002</v>
      </c>
      <c r="K4012">
        <v>1.112894</v>
      </c>
      <c r="L4012">
        <v>28.034420000000001</v>
      </c>
      <c r="M4012">
        <v>0.64921499999999999</v>
      </c>
      <c r="N4012">
        <v>0</v>
      </c>
      <c r="O4012">
        <v>-0.76051880000000005</v>
      </c>
      <c r="P4012">
        <v>0.82440800000000003</v>
      </c>
      <c r="Q4012">
        <v>0.1156843</v>
      </c>
      <c r="R4012">
        <v>-0.5540484</v>
      </c>
      <c r="S4012">
        <v>3.040924</v>
      </c>
      <c r="T4012">
        <v>-8.1589220000000004E-2</v>
      </c>
      <c r="U4012">
        <v>-0.91513060000000002</v>
      </c>
      <c r="V4012">
        <v>-0.26982929999999999</v>
      </c>
      <c r="W4012">
        <v>0.1211595</v>
      </c>
      <c r="X4012">
        <v>0.95525519999999997</v>
      </c>
      <c r="Y4012">
        <v>-0.54085079999999996</v>
      </c>
      <c r="Z4012">
        <v>2.4435789999999999E-2</v>
      </c>
      <c r="AA4012">
        <v>0.84076360000000006</v>
      </c>
      <c r="AB4012">
        <v>29</v>
      </c>
      <c r="AC4012">
        <v>0.945300000000031</v>
      </c>
      <c r="AD4012">
        <v>-2.8263000000000101E-2</v>
      </c>
      <c r="AE4012">
        <v>-0.19794999999999799</v>
      </c>
      <c r="AF4012">
        <v>-0.58993979528801099</v>
      </c>
      <c r="AG4012">
        <v>-2.8263000000000101E-2</v>
      </c>
      <c r="AH4012">
        <v>0.76364375591187805</v>
      </c>
      <c r="AI4012">
        <v>91.677643810326998</v>
      </c>
      <c r="AJ4012">
        <v>127.68726063413899</v>
      </c>
      <c r="AK4012">
        <v>0.96539087688700498</v>
      </c>
      <c r="AL4012">
        <v>83.040974572666101</v>
      </c>
      <c r="AM4012">
        <v>105.773303213124</v>
      </c>
      <c r="AN4012">
        <v>0.999999986352889</v>
      </c>
    </row>
    <row r="4013" spans="1:40" x14ac:dyDescent="0.3">
      <c r="A4013" t="str">
        <f>"20200111150110147"</f>
        <v>20200111150110147</v>
      </c>
      <c r="B4013" t="str">
        <f>"1578726070141757"</f>
        <v>1578726070141757</v>
      </c>
      <c r="C4013" t="s">
        <v>40</v>
      </c>
      <c r="D4013">
        <v>4.3050540000000002</v>
      </c>
      <c r="E4013">
        <v>0.37908920000000002</v>
      </c>
      <c r="F4013" t="s">
        <v>88</v>
      </c>
      <c r="G4013">
        <v>-371.71620000000001</v>
      </c>
      <c r="H4013" s="1">
        <v>-4.651361E-6</v>
      </c>
      <c r="I4013">
        <v>15.359629999999999</v>
      </c>
      <c r="J4013">
        <v>-414.53609999999998</v>
      </c>
      <c r="K4013">
        <v>1.112903</v>
      </c>
      <c r="L4013">
        <v>27.909120000000001</v>
      </c>
      <c r="M4013">
        <v>0.65403100000000003</v>
      </c>
      <c r="N4013">
        <v>0</v>
      </c>
      <c r="O4013">
        <v>-0.75638090000000002</v>
      </c>
      <c r="P4013">
        <v>0.82724789999999904</v>
      </c>
      <c r="Q4013">
        <v>0.11597150000000001</v>
      </c>
      <c r="R4013">
        <v>-0.54973799999999995</v>
      </c>
      <c r="S4013">
        <v>3.045776</v>
      </c>
      <c r="T4013">
        <v>-7.894814E-2</v>
      </c>
      <c r="U4013">
        <v>-0.89913940000000003</v>
      </c>
      <c r="V4013">
        <v>-0.2687252</v>
      </c>
      <c r="W4013">
        <v>0.12146899999999999</v>
      </c>
      <c r="X4013">
        <v>0.95552709999999996</v>
      </c>
      <c r="Y4013">
        <v>-0.53995850000000001</v>
      </c>
      <c r="Z4013">
        <v>2.3567479999999998E-2</v>
      </c>
      <c r="AA4013">
        <v>0.84136160000000004</v>
      </c>
      <c r="AB4013">
        <v>29</v>
      </c>
      <c r="AC4013">
        <v>42.819899999999897</v>
      </c>
      <c r="AD4013">
        <v>-1.1129076513609999</v>
      </c>
      <c r="AE4013">
        <v>-12.54949</v>
      </c>
      <c r="AF4013">
        <v>-24.1669540831859</v>
      </c>
      <c r="AG4013">
        <v>-1.1129076513609999</v>
      </c>
      <c r="AH4013">
        <v>37.476886853585199</v>
      </c>
      <c r="AI4013">
        <v>91.429625905895605</v>
      </c>
      <c r="AJ4013">
        <v>122.815928586935</v>
      </c>
      <c r="AK4013">
        <v>44.607143837458402</v>
      </c>
      <c r="AL4013">
        <v>83.023109640767004</v>
      </c>
      <c r="AM4013">
        <v>105.70770447203</v>
      </c>
      <c r="AN4013">
        <v>0.99999999495522496</v>
      </c>
    </row>
    <row r="4014" spans="1:40" x14ac:dyDescent="0.3">
      <c r="A4014" t="str">
        <f>"20200111150110163"</f>
        <v>20200111150110163</v>
      </c>
      <c r="B4014" t="str">
        <f>"1578726070151518"</f>
        <v>1578726070151518</v>
      </c>
      <c r="C4014" t="s">
        <v>40</v>
      </c>
      <c r="D4014">
        <v>4.3200200000000004</v>
      </c>
      <c r="E4014">
        <v>0.37904500000000002</v>
      </c>
      <c r="F4014" t="s">
        <v>41</v>
      </c>
      <c r="G4014">
        <v>-413.45370000000003</v>
      </c>
      <c r="H4014">
        <v>1.085151</v>
      </c>
      <c r="I4014">
        <v>27.595500000000001</v>
      </c>
      <c r="J4014">
        <v>-414.40519999999998</v>
      </c>
      <c r="K4014">
        <v>1.1129150000000001</v>
      </c>
      <c r="L4014">
        <v>27.768129999999999</v>
      </c>
      <c r="M4014">
        <v>0.65944700000000001</v>
      </c>
      <c r="N4014">
        <v>0</v>
      </c>
      <c r="O4014">
        <v>-0.75166379999999999</v>
      </c>
      <c r="P4014">
        <v>0.83033029999999997</v>
      </c>
      <c r="Q4014">
        <v>0.11618920000000001</v>
      </c>
      <c r="R4014">
        <v>-0.54502519999999999</v>
      </c>
      <c r="S4014">
        <v>3.0502009999999999</v>
      </c>
      <c r="T4014">
        <v>-7.8193780000000004E-2</v>
      </c>
      <c r="U4014">
        <v>-0.883606</v>
      </c>
      <c r="V4014">
        <v>-0.2672774</v>
      </c>
      <c r="W4014">
        <v>0.12171800000000001</v>
      </c>
      <c r="X4014">
        <v>0.95590140000000001</v>
      </c>
      <c r="Y4014">
        <v>-0.53819969999999995</v>
      </c>
      <c r="Z4014">
        <v>2.3247779999999999E-2</v>
      </c>
      <c r="AA4014">
        <v>0.84249669999999899</v>
      </c>
      <c r="AB4014">
        <v>29</v>
      </c>
      <c r="AC4014">
        <v>0.95149999999995305</v>
      </c>
      <c r="AD4014">
        <v>-2.77639999999999E-2</v>
      </c>
      <c r="AE4014">
        <v>-0.17262999999999801</v>
      </c>
      <c r="AF4014">
        <v>-0.600911892444976</v>
      </c>
      <c r="AG4014">
        <v>-2.77639999999999E-2</v>
      </c>
      <c r="AH4014">
        <v>0.75664951538005398</v>
      </c>
      <c r="AI4014">
        <v>91.645893017375997</v>
      </c>
      <c r="AJ4014">
        <v>128.45571341244599</v>
      </c>
      <c r="AK4014">
        <v>0.96663562488803001</v>
      </c>
      <c r="AL4014">
        <v>83.008736259513697</v>
      </c>
      <c r="AM4014">
        <v>105.621401746275</v>
      </c>
      <c r="AN4014">
        <v>0.99999998329835904</v>
      </c>
    </row>
    <row r="4015" spans="1:40" x14ac:dyDescent="0.3">
      <c r="A4015" t="str">
        <f>"20200111150110175"</f>
        <v>20200111150110175</v>
      </c>
      <c r="B4015" t="str">
        <f>"1578726070172013"</f>
        <v>1578726070172013</v>
      </c>
      <c r="C4015" t="s">
        <v>40</v>
      </c>
      <c r="D4015">
        <v>4.3161839999999998</v>
      </c>
      <c r="E4015">
        <v>0.37916650000000002</v>
      </c>
      <c r="F4015" t="s">
        <v>41</v>
      </c>
      <c r="G4015">
        <v>-413.3442</v>
      </c>
      <c r="H4015">
        <v>1.0857509999999999</v>
      </c>
      <c r="I4015">
        <v>27.467279999999999</v>
      </c>
      <c r="J4015">
        <v>-414.28699999999998</v>
      </c>
      <c r="K4015">
        <v>1.1129209999999901</v>
      </c>
      <c r="L4015">
        <v>27.642910000000001</v>
      </c>
      <c r="M4015">
        <v>0.66426399999999997</v>
      </c>
      <c r="N4015">
        <v>0</v>
      </c>
      <c r="O4015">
        <v>-0.74741009999999997</v>
      </c>
      <c r="P4015">
        <v>0.83342490000000002</v>
      </c>
      <c r="Q4015">
        <v>0.1162188</v>
      </c>
      <c r="R4015">
        <v>-0.540274699999999</v>
      </c>
      <c r="S4015">
        <v>3.055237</v>
      </c>
      <c r="T4015">
        <v>-7.8228950000000005E-2</v>
      </c>
      <c r="U4015">
        <v>-0.86648559999999997</v>
      </c>
      <c r="V4015">
        <v>-0.26659169999999999</v>
      </c>
      <c r="W4015">
        <v>0.1217611</v>
      </c>
      <c r="X4015">
        <v>0.95608740000000003</v>
      </c>
      <c r="Y4015">
        <v>-0.53751870000000002</v>
      </c>
      <c r="Z4015">
        <v>2.3180070000000001E-2</v>
      </c>
      <c r="AA4015">
        <v>0.84293320000000005</v>
      </c>
      <c r="AB4015">
        <v>29</v>
      </c>
      <c r="AC4015">
        <v>0.94279999999997699</v>
      </c>
      <c r="AD4015">
        <v>-2.7169999999999601E-2</v>
      </c>
      <c r="AE4015">
        <v>-0.17562999999999801</v>
      </c>
      <c r="AF4015">
        <v>-0.58756061078022004</v>
      </c>
      <c r="AG4015">
        <v>-2.7169999999999601E-2</v>
      </c>
      <c r="AH4015">
        <v>0.75697795438380799</v>
      </c>
      <c r="AI4015">
        <v>91.624116184263102</v>
      </c>
      <c r="AJ4015">
        <v>127.818346247959</v>
      </c>
      <c r="AK4015">
        <v>0.95863512540670004</v>
      </c>
      <c r="AL4015">
        <v>83.006248481275193</v>
      </c>
      <c r="AM4015">
        <v>105.580390370628</v>
      </c>
      <c r="AN4015">
        <v>1.0000000082104299</v>
      </c>
    </row>
    <row r="4016" spans="1:40" x14ac:dyDescent="0.3">
      <c r="A4016" t="str">
        <f>"20200111150110187"</f>
        <v>20200111150110187</v>
      </c>
      <c r="B4016" t="str">
        <f>"1578726070181774"</f>
        <v>1578726070181774</v>
      </c>
      <c r="C4016" t="s">
        <v>40</v>
      </c>
      <c r="D4016">
        <v>4.327712</v>
      </c>
      <c r="E4016">
        <v>0.37918940000000001</v>
      </c>
      <c r="F4016" t="s">
        <v>88</v>
      </c>
      <c r="G4016">
        <v>-370.90199999999999</v>
      </c>
      <c r="H4016" s="1">
        <v>-4.9947800000000003E-6</v>
      </c>
      <c r="I4016">
        <v>15.593249999999999</v>
      </c>
      <c r="J4016">
        <v>-414.18790000000001</v>
      </c>
      <c r="K4016">
        <v>1.112927</v>
      </c>
      <c r="L4016">
        <v>27.53912</v>
      </c>
      <c r="M4016">
        <v>0.66825829999999997</v>
      </c>
      <c r="N4016">
        <v>0</v>
      </c>
      <c r="O4016">
        <v>-0.74384090000000003</v>
      </c>
      <c r="P4016">
        <v>0.83614849999999996</v>
      </c>
      <c r="Q4016">
        <v>0.1157934</v>
      </c>
      <c r="R4016">
        <v>-0.53614139999999999</v>
      </c>
      <c r="S4016">
        <v>3.0596920000000001</v>
      </c>
      <c r="T4016">
        <v>-7.848811E-2</v>
      </c>
      <c r="U4016">
        <v>-0.84979249999999995</v>
      </c>
      <c r="V4016">
        <v>-0.26624019999999998</v>
      </c>
      <c r="W4016">
        <v>0.1213422</v>
      </c>
      <c r="X4016">
        <v>0.95623860000000005</v>
      </c>
      <c r="Y4016">
        <v>-0.53758649999999997</v>
      </c>
      <c r="Z4016">
        <v>2.319978E-2</v>
      </c>
      <c r="AA4016">
        <v>0.84288940000000001</v>
      </c>
      <c r="AB4016">
        <v>29</v>
      </c>
      <c r="AC4016">
        <v>43.285899999999998</v>
      </c>
      <c r="AD4016">
        <v>-1.1129319947799901</v>
      </c>
      <c r="AE4016">
        <v>-11.945869999999999</v>
      </c>
      <c r="AF4016">
        <v>-24.2016224744971</v>
      </c>
      <c r="AG4016">
        <v>-1.1129319947799901</v>
      </c>
      <c r="AH4016">
        <v>37.7912617403139</v>
      </c>
      <c r="AI4016">
        <v>91.4206382831063</v>
      </c>
      <c r="AJ4016">
        <v>122.63560470969</v>
      </c>
      <c r="AK4016">
        <v>44.890273021535599</v>
      </c>
      <c r="AL4016">
        <v>83.030429039688897</v>
      </c>
      <c r="AM4016">
        <v>105.558502372239</v>
      </c>
      <c r="AN4016">
        <v>1.00000001686342</v>
      </c>
    </row>
    <row r="4017" spans="1:40" x14ac:dyDescent="0.3">
      <c r="A4017" t="str">
        <f>"20200111150110198"</f>
        <v>20200111150110198</v>
      </c>
      <c r="B4017" t="str">
        <f>"1578726070191533"</f>
        <v>1578726070191533</v>
      </c>
      <c r="C4017" t="s">
        <v>40</v>
      </c>
      <c r="D4017">
        <v>4.3404489999999996</v>
      </c>
      <c r="E4017">
        <v>0.37923590000000001</v>
      </c>
      <c r="F4017" t="s">
        <v>41</v>
      </c>
      <c r="G4017">
        <v>-413.11270000000002</v>
      </c>
      <c r="H4017">
        <v>1.0851729999999999</v>
      </c>
      <c r="I4017">
        <v>27.245950000000001</v>
      </c>
      <c r="J4017">
        <v>-414.08929999999998</v>
      </c>
      <c r="K4017">
        <v>1.112935</v>
      </c>
      <c r="L4017">
        <v>27.43655</v>
      </c>
      <c r="M4017">
        <v>0.6721994</v>
      </c>
      <c r="N4017">
        <v>0</v>
      </c>
      <c r="O4017">
        <v>-0.74028139999999998</v>
      </c>
      <c r="P4017">
        <v>0.83852510000000002</v>
      </c>
      <c r="Q4017">
        <v>0.1154901</v>
      </c>
      <c r="R4017">
        <v>-0.53248300000000004</v>
      </c>
      <c r="S4017">
        <v>3.0636899999999998</v>
      </c>
      <c r="T4017">
        <v>-7.9047800000000001E-2</v>
      </c>
      <c r="U4017">
        <v>-0.83459470000000002</v>
      </c>
      <c r="V4017">
        <v>-0.26536579999999999</v>
      </c>
      <c r="W4017">
        <v>0.1210577</v>
      </c>
      <c r="X4017">
        <v>0.95651759999999997</v>
      </c>
      <c r="Y4017">
        <v>-0.53727609999999904</v>
      </c>
      <c r="Z4017">
        <v>2.330314E-2</v>
      </c>
      <c r="AA4017">
        <v>0.84308449999999902</v>
      </c>
      <c r="AB4017">
        <v>29</v>
      </c>
      <c r="AC4017">
        <v>0.97659999999996205</v>
      </c>
      <c r="AD4017">
        <v>-2.7761999999999998E-2</v>
      </c>
      <c r="AE4017">
        <v>-0.19059999999999899</v>
      </c>
      <c r="AF4017">
        <v>-0.59441397489317505</v>
      </c>
      <c r="AG4017">
        <v>-2.7761999999999998E-2</v>
      </c>
      <c r="AH4017">
        <v>0.79699955284040302</v>
      </c>
      <c r="AI4017">
        <v>91.599426362202806</v>
      </c>
      <c r="AJ4017">
        <v>126.716116714292</v>
      </c>
      <c r="AK4017">
        <v>0.99463912522085396</v>
      </c>
      <c r="AL4017">
        <v>83.046850258306904</v>
      </c>
      <c r="AM4017">
        <v>105.505561696421</v>
      </c>
      <c r="AN4017">
        <v>0.99999994682434301</v>
      </c>
    </row>
    <row r="4018" spans="1:40" x14ac:dyDescent="0.3">
      <c r="A4018" t="str">
        <f>"20200111150110210"</f>
        <v>20200111150110210</v>
      </c>
      <c r="B4018" t="str">
        <f>"1578726070202269"</f>
        <v>1578726070202269</v>
      </c>
      <c r="C4018" t="s">
        <v>40</v>
      </c>
      <c r="D4018">
        <v>4.30145</v>
      </c>
      <c r="E4018">
        <v>0.37923590000000001</v>
      </c>
      <c r="F4018" t="s">
        <v>87</v>
      </c>
      <c r="G4018">
        <v>-369.88260000000002</v>
      </c>
      <c r="H4018" s="1">
        <v>-1.113346E-6</v>
      </c>
      <c r="I4018">
        <v>15.603109999999999</v>
      </c>
      <c r="J4018">
        <v>-413.99110000000002</v>
      </c>
      <c r="K4018">
        <v>1.112941</v>
      </c>
      <c r="L4018">
        <v>27.336120000000001</v>
      </c>
      <c r="M4018">
        <v>0.67607019999999995</v>
      </c>
      <c r="N4018">
        <v>0</v>
      </c>
      <c r="O4018">
        <v>-0.73674799999999996</v>
      </c>
      <c r="P4018">
        <v>0.84093059999999997</v>
      </c>
      <c r="Q4018">
        <v>0.11539779999999999</v>
      </c>
      <c r="R4018">
        <v>-0.5286959</v>
      </c>
      <c r="S4018">
        <v>3.066986</v>
      </c>
      <c r="T4018">
        <v>-7.721364E-2</v>
      </c>
      <c r="U4018">
        <v>-0.82098389999999999</v>
      </c>
      <c r="V4018">
        <v>-0.26467449999999998</v>
      </c>
      <c r="W4018">
        <v>0.12097960000000001</v>
      </c>
      <c r="X4018">
        <v>0.95671899999999999</v>
      </c>
      <c r="Y4018">
        <v>-0.53658939999999999</v>
      </c>
      <c r="Z4018">
        <v>2.2699529999999999E-2</v>
      </c>
      <c r="AA4018">
        <v>0.84353799999999901</v>
      </c>
      <c r="AB4018">
        <v>29</v>
      </c>
      <c r="AC4018">
        <v>44.1084999999999</v>
      </c>
      <c r="AD4018">
        <v>-1.112942113346</v>
      </c>
      <c r="AE4018">
        <v>-11.73301</v>
      </c>
      <c r="AF4018">
        <v>-24.551527822935999</v>
      </c>
      <c r="AG4018">
        <v>-1.112942113346</v>
      </c>
      <c r="AH4018">
        <v>38.444384568245802</v>
      </c>
      <c r="AI4018">
        <v>91.397652765603496</v>
      </c>
      <c r="AJ4018">
        <v>122.563300492664</v>
      </c>
      <c r="AK4018">
        <v>45.628794235868597</v>
      </c>
      <c r="AL4018">
        <v>83.051358211708305</v>
      </c>
      <c r="AM4018">
        <v>105.464004612894</v>
      </c>
      <c r="AN4018">
        <v>0.99999994976370299</v>
      </c>
    </row>
    <row r="4019" spans="1:40" x14ac:dyDescent="0.3">
      <c r="A4019" t="str">
        <f>"20200111150110220"</f>
        <v>20200111150110220</v>
      </c>
      <c r="B4019" t="str">
        <f>"1578726070212029"</f>
        <v>1578726070212029</v>
      </c>
      <c r="C4019" t="s">
        <v>40</v>
      </c>
      <c r="D4019">
        <v>4.2332519999999896</v>
      </c>
      <c r="E4019">
        <v>0.42205920000000002</v>
      </c>
      <c r="F4019" t="s">
        <v>87</v>
      </c>
      <c r="G4019">
        <v>-369.53590000000003</v>
      </c>
      <c r="H4019" s="1">
        <v>-1.2325339999999999E-6</v>
      </c>
      <c r="I4019">
        <v>15.6554</v>
      </c>
      <c r="J4019">
        <v>-413.88670000000002</v>
      </c>
      <c r="K4019">
        <v>1.1129420000000001</v>
      </c>
      <c r="L4019">
        <v>27.229769999999998</v>
      </c>
      <c r="M4019">
        <v>0.68015639999999999</v>
      </c>
      <c r="N4019">
        <v>0</v>
      </c>
      <c r="O4019">
        <v>-0.73297730000000005</v>
      </c>
      <c r="P4019">
        <v>0.84358290000000002</v>
      </c>
      <c r="Q4019">
        <v>0.1155506</v>
      </c>
      <c r="R4019">
        <v>-0.52441979999999999</v>
      </c>
      <c r="S4019">
        <v>3.07077</v>
      </c>
      <c r="T4019">
        <v>-7.6877239999999999E-2</v>
      </c>
      <c r="U4019">
        <v>-0.80685419999999997</v>
      </c>
      <c r="V4019">
        <v>-0.26420070000000001</v>
      </c>
      <c r="W4019">
        <v>0.121141</v>
      </c>
      <c r="X4019">
        <v>0.95682959999999995</v>
      </c>
      <c r="Y4019">
        <v>-0.53578789999999998</v>
      </c>
      <c r="Z4019">
        <v>2.2529460000000001E-2</v>
      </c>
      <c r="AA4019">
        <v>0.84405200000000002</v>
      </c>
      <c r="AB4019">
        <v>29</v>
      </c>
      <c r="AC4019">
        <v>44.3507999999999</v>
      </c>
      <c r="AD4019">
        <v>-1.1129432325340001</v>
      </c>
      <c r="AE4019">
        <v>-11.57437</v>
      </c>
      <c r="AF4019">
        <v>-24.622851712362699</v>
      </c>
      <c r="AG4019">
        <v>-1.1129432325340001</v>
      </c>
      <c r="AH4019">
        <v>38.628999195597899</v>
      </c>
      <c r="AI4019">
        <v>91.391737553091602</v>
      </c>
      <c r="AJ4019">
        <v>122.51420395169499</v>
      </c>
      <c r="AK4019">
        <v>45.822735055225102</v>
      </c>
      <c r="AL4019">
        <v>83.042042628582195</v>
      </c>
      <c r="AM4019">
        <v>105.43594434918801</v>
      </c>
      <c r="AN4019">
        <v>1.00000001759882</v>
      </c>
    </row>
    <row r="4020" spans="1:40" x14ac:dyDescent="0.3">
      <c r="A4020" t="str">
        <f>"20200111150110231"</f>
        <v>20200111150110231</v>
      </c>
      <c r="B4020" t="str">
        <f>"1578726070221790"</f>
        <v>1578726070221790</v>
      </c>
      <c r="C4020" t="s">
        <v>40</v>
      </c>
      <c r="D4020">
        <v>4.3769150000000003</v>
      </c>
      <c r="E4020">
        <v>0.42669649999999998</v>
      </c>
      <c r="F4020" t="s">
        <v>41</v>
      </c>
      <c r="G4020">
        <v>-412.87700000000001</v>
      </c>
      <c r="H4020">
        <v>1.0537430000000001</v>
      </c>
      <c r="I4020">
        <v>26.850619999999999</v>
      </c>
      <c r="J4020">
        <v>-413.78440000000001</v>
      </c>
      <c r="K4020">
        <v>1.112949</v>
      </c>
      <c r="L4020">
        <v>27.127379999999999</v>
      </c>
      <c r="M4020">
        <v>0.68410590000000004</v>
      </c>
      <c r="N4020">
        <v>0</v>
      </c>
      <c r="O4020">
        <v>-0.7292923</v>
      </c>
      <c r="P4020">
        <v>0.8461322</v>
      </c>
      <c r="Q4020">
        <v>0.11559700000000001</v>
      </c>
      <c r="R4020">
        <v>-0.52028609999999997</v>
      </c>
      <c r="S4020">
        <v>2.9024049999999999</v>
      </c>
      <c r="T4020">
        <v>-0.1701357</v>
      </c>
      <c r="U4020">
        <v>-1.089294</v>
      </c>
      <c r="V4020">
        <v>-0.26371119999999998</v>
      </c>
      <c r="W4020">
        <v>0.1211964</v>
      </c>
      <c r="X4020">
        <v>0.95695759999999996</v>
      </c>
      <c r="Y4020">
        <v>-0.44098419999999999</v>
      </c>
      <c r="Z4020">
        <v>4.8704749999999998E-2</v>
      </c>
      <c r="AA4020">
        <v>0.8961924</v>
      </c>
      <c r="AB4020">
        <v>29</v>
      </c>
      <c r="AC4020">
        <v>0.90740000000005205</v>
      </c>
      <c r="AD4020">
        <v>-5.92059999999998E-2</v>
      </c>
      <c r="AE4020">
        <v>-0.27675999999999501</v>
      </c>
      <c r="AF4020">
        <v>-0.47062476938891501</v>
      </c>
      <c r="AG4020">
        <v>-5.92059999999998E-2</v>
      </c>
      <c r="AH4020">
        <v>0.81945910885195505</v>
      </c>
      <c r="AI4020">
        <v>93.5850491488508</v>
      </c>
      <c r="AJ4020">
        <v>119.869245607686</v>
      </c>
      <c r="AK4020">
        <v>0.94684014230429103</v>
      </c>
      <c r="AL4020">
        <v>83.038844802097699</v>
      </c>
      <c r="AM4020">
        <v>105.40674248546399</v>
      </c>
      <c r="AN4020">
        <v>1.0000000062880701</v>
      </c>
    </row>
    <row r="4021" spans="1:40" x14ac:dyDescent="0.3">
      <c r="A4021" t="str">
        <f>"20200111150110244"</f>
        <v>20200111150110244</v>
      </c>
      <c r="B4021" t="str">
        <f>"1578726070242286"</f>
        <v>1578726070242286</v>
      </c>
      <c r="C4021" t="s">
        <v>40</v>
      </c>
      <c r="D4021">
        <v>4.3577589999999997</v>
      </c>
      <c r="E4021">
        <v>0.43026229999999999</v>
      </c>
      <c r="F4021" t="s">
        <v>41</v>
      </c>
      <c r="G4021">
        <v>-412.82209999999998</v>
      </c>
      <c r="H4021">
        <v>1.041164</v>
      </c>
      <c r="I4021">
        <v>26.757650000000002</v>
      </c>
      <c r="J4021">
        <v>-413.67759999999998</v>
      </c>
      <c r="K4021">
        <v>1.112954</v>
      </c>
      <c r="L4021">
        <v>27.02112</v>
      </c>
      <c r="M4021">
        <v>0.68819569999999997</v>
      </c>
      <c r="N4021">
        <v>0</v>
      </c>
      <c r="O4021">
        <v>-0.72543409999999997</v>
      </c>
      <c r="P4021">
        <v>0.84895069999999995</v>
      </c>
      <c r="Q4021">
        <v>0.11591899999999999</v>
      </c>
      <c r="R4021">
        <v>-0.51560159999999999</v>
      </c>
      <c r="S4021">
        <v>2.8921199999999998</v>
      </c>
      <c r="T4021">
        <v>-0.2156991</v>
      </c>
      <c r="U4021">
        <v>-1.110535</v>
      </c>
      <c r="V4021">
        <v>-0.26359579999999999</v>
      </c>
      <c r="W4021">
        <v>0.1215183</v>
      </c>
      <c r="X4021">
        <v>0.95694860000000004</v>
      </c>
      <c r="Y4021">
        <v>-0.42824879999999999</v>
      </c>
      <c r="Z4021">
        <v>6.1194030000000003E-2</v>
      </c>
      <c r="AA4021">
        <v>0.90158649999999996</v>
      </c>
      <c r="AB4021">
        <v>29</v>
      </c>
      <c r="AC4021">
        <v>0.85550000000000603</v>
      </c>
      <c r="AD4021">
        <v>-7.1790000000000007E-2</v>
      </c>
      <c r="AE4021">
        <v>-0.26346999999999798</v>
      </c>
      <c r="AF4021">
        <v>-0.43651139031922997</v>
      </c>
      <c r="AG4021">
        <v>-7.1790000000000007E-2</v>
      </c>
      <c r="AH4021">
        <v>0.77494870022590401</v>
      </c>
      <c r="AI4021">
        <v>94.614597303391804</v>
      </c>
      <c r="AJ4021">
        <v>119.39159507628101</v>
      </c>
      <c r="AK4021">
        <v>0.89232364417863896</v>
      </c>
      <c r="AL4021">
        <v>83.020264145060906</v>
      </c>
      <c r="AM4021">
        <v>105.400458585076</v>
      </c>
      <c r="AN4021">
        <v>1.0000000330272401</v>
      </c>
    </row>
    <row r="4022" spans="1:40" x14ac:dyDescent="0.3">
      <c r="A4022" t="str">
        <f>"20200111150110255"</f>
        <v>20200111150110255</v>
      </c>
      <c r="B4022" t="str">
        <f>"1578726070252046"</f>
        <v>1578726070252046</v>
      </c>
      <c r="C4022" t="s">
        <v>40</v>
      </c>
      <c r="D4022">
        <v>4.5125890000000002</v>
      </c>
      <c r="E4022">
        <v>0.4327143</v>
      </c>
      <c r="F4022" t="s">
        <v>41</v>
      </c>
      <c r="G4022">
        <v>-412.71170000000001</v>
      </c>
      <c r="H4022">
        <v>1.047749</v>
      </c>
      <c r="I4022">
        <v>26.646650000000001</v>
      </c>
      <c r="J4022">
        <v>-413.56200000000001</v>
      </c>
      <c r="K4022">
        <v>1.1129560000000001</v>
      </c>
      <c r="L4022">
        <v>26.907679999999999</v>
      </c>
      <c r="M4022">
        <v>0.69256490000000004</v>
      </c>
      <c r="N4022">
        <v>0</v>
      </c>
      <c r="O4022">
        <v>-0.72126429999999997</v>
      </c>
      <c r="P4022">
        <v>0.85200900000000002</v>
      </c>
      <c r="Q4022">
        <v>0.11597059999999999</v>
      </c>
      <c r="R4022">
        <v>-0.51052129999999996</v>
      </c>
      <c r="S4022">
        <v>2.8817750000000002</v>
      </c>
      <c r="T4022">
        <v>-0.19454279999999999</v>
      </c>
      <c r="U4022">
        <v>-1.1172789999999999</v>
      </c>
      <c r="V4022">
        <v>-0.26353070000000001</v>
      </c>
      <c r="W4022">
        <v>0.12156839999999999</v>
      </c>
      <c r="X4022">
        <v>0.95696009999999998</v>
      </c>
      <c r="Y4022">
        <v>-0.4202958</v>
      </c>
      <c r="Z4022">
        <v>5.4936029999999997E-2</v>
      </c>
      <c r="AA4022">
        <v>0.90572260000000004</v>
      </c>
      <c r="AB4022">
        <v>29</v>
      </c>
      <c r="AC4022">
        <v>0.85029999999994699</v>
      </c>
      <c r="AD4022">
        <v>-6.5207000000000001E-2</v>
      </c>
      <c r="AE4022">
        <v>-0.26102999999999799</v>
      </c>
      <c r="AF4022">
        <v>-0.430227075480344</v>
      </c>
      <c r="AG4022">
        <v>-6.5207000000000001E-2</v>
      </c>
      <c r="AH4022">
        <v>0.77305599800582503</v>
      </c>
      <c r="AI4022">
        <v>94.215330114061302</v>
      </c>
      <c r="AJ4022">
        <v>119.097149507228</v>
      </c>
      <c r="AK4022">
        <v>0.88710927476729196</v>
      </c>
      <c r="AL4022">
        <v>83.017371739174806</v>
      </c>
      <c r="AM4022">
        <v>105.396659401444</v>
      </c>
      <c r="AN4022">
        <v>0.99999996935652902</v>
      </c>
    </row>
    <row r="4023" spans="1:40" x14ac:dyDescent="0.3">
      <c r="A4023" t="str">
        <f>"20200111150110268"</f>
        <v>20200111150110268</v>
      </c>
      <c r="B4023" t="str">
        <f>"1578726070261806"</f>
        <v>1578726070261806</v>
      </c>
      <c r="C4023" t="s">
        <v>40</v>
      </c>
      <c r="D4023">
        <v>4.4265679999999996</v>
      </c>
      <c r="E4023">
        <v>0.43245790000000001</v>
      </c>
      <c r="F4023" t="s">
        <v>42</v>
      </c>
      <c r="G4023">
        <v>-396.89089999999999</v>
      </c>
      <c r="H4023" s="1">
        <v>-1.669642E-6</v>
      </c>
      <c r="I4023">
        <v>20.441189999999999</v>
      </c>
      <c r="J4023">
        <v>-413.45310000000001</v>
      </c>
      <c r="K4023">
        <v>1.1129599999999999</v>
      </c>
      <c r="L4023">
        <v>26.80219</v>
      </c>
      <c r="M4023">
        <v>0.69663409999999903</v>
      </c>
      <c r="N4023">
        <v>0</v>
      </c>
      <c r="O4023">
        <v>-0.7173349</v>
      </c>
      <c r="P4023">
        <v>0.85493359999999996</v>
      </c>
      <c r="Q4023">
        <v>0.115745899999999</v>
      </c>
      <c r="R4023">
        <v>-0.50565990000000005</v>
      </c>
      <c r="S4023">
        <v>2.8782960000000002</v>
      </c>
      <c r="T4023">
        <v>-0.19215479999999999</v>
      </c>
      <c r="U4023">
        <v>-1.116455</v>
      </c>
      <c r="V4023">
        <v>-0.26358740000000003</v>
      </c>
      <c r="W4023">
        <v>0.1213408</v>
      </c>
      <c r="X4023">
        <v>0.95697339999999997</v>
      </c>
      <c r="Y4023">
        <v>-0.41506910000000002</v>
      </c>
      <c r="Z4023">
        <v>5.4006560000000002E-2</v>
      </c>
      <c r="AA4023">
        <v>0.90818549999999998</v>
      </c>
      <c r="AB4023">
        <v>29</v>
      </c>
      <c r="AC4023">
        <v>16.562200000000001</v>
      </c>
      <c r="AD4023">
        <v>-1.1129616696419999</v>
      </c>
      <c r="AE4023">
        <v>-6.3609999999999998</v>
      </c>
      <c r="AF4023">
        <v>-7.4206428379181597</v>
      </c>
      <c r="AG4023">
        <v>-1.1129616696419999</v>
      </c>
      <c r="AH4023">
        <v>16.0387041082565</v>
      </c>
      <c r="AI4023">
        <v>93.603624309747801</v>
      </c>
      <c r="AJ4023">
        <v>114.82861065885299</v>
      </c>
      <c r="AK4023">
        <v>17.7071921342216</v>
      </c>
      <c r="AL4023">
        <v>83.030509717004094</v>
      </c>
      <c r="AM4023">
        <v>105.399610969732</v>
      </c>
      <c r="AN4023">
        <v>0.99999999774547899</v>
      </c>
    </row>
    <row r="4024" spans="1:40" x14ac:dyDescent="0.3">
      <c r="A4024" t="str">
        <f>"20200111150110279"</f>
        <v>20200111150110279</v>
      </c>
      <c r="B4024" t="str">
        <f>"1578726070271565"</f>
        <v>1578726070271565</v>
      </c>
      <c r="C4024" t="s">
        <v>40</v>
      </c>
      <c r="D4024">
        <v>4.305256</v>
      </c>
      <c r="E4024">
        <v>0.43294589999999999</v>
      </c>
      <c r="F4024" t="s">
        <v>41</v>
      </c>
      <c r="G4024">
        <v>-412.46199999999999</v>
      </c>
      <c r="H4024">
        <v>1.0456639999999999</v>
      </c>
      <c r="I4024">
        <v>26.425090000000001</v>
      </c>
      <c r="J4024">
        <v>-413.34300000000002</v>
      </c>
      <c r="K4024">
        <v>1.1129629999999999</v>
      </c>
      <c r="L4024">
        <v>26.696259999999999</v>
      </c>
      <c r="M4024">
        <v>0.70071000000000006</v>
      </c>
      <c r="N4024">
        <v>0</v>
      </c>
      <c r="O4024">
        <v>-0.71335409999999999</v>
      </c>
      <c r="P4024">
        <v>0.85785619999999996</v>
      </c>
      <c r="Q4024">
        <v>0.115716</v>
      </c>
      <c r="R4024">
        <v>-0.50069249999999998</v>
      </c>
      <c r="S4024">
        <v>2.8859560000000002</v>
      </c>
      <c r="T4024">
        <v>-0.19598560000000001</v>
      </c>
      <c r="U4024">
        <v>-1.098419</v>
      </c>
      <c r="V4024">
        <v>-0.26368979999999997</v>
      </c>
      <c r="W4024">
        <v>0.1213057</v>
      </c>
      <c r="X4024">
        <v>0.95694970000000001</v>
      </c>
      <c r="Y4024">
        <v>-0.41558139999999999</v>
      </c>
      <c r="Z4024">
        <v>5.4885580000000003E-2</v>
      </c>
      <c r="AA4024">
        <v>0.90789850000000005</v>
      </c>
      <c r="AB4024">
        <v>29</v>
      </c>
      <c r="AC4024">
        <v>0.88100000000002798</v>
      </c>
      <c r="AD4024">
        <v>-6.7298999999999998E-2</v>
      </c>
      <c r="AE4024">
        <v>-0.27116999999999702</v>
      </c>
      <c r="AF4024">
        <v>-0.43615738049463099</v>
      </c>
      <c r="AG4024">
        <v>-6.7298999999999998E-2</v>
      </c>
      <c r="AH4024">
        <v>0.80652000097193899</v>
      </c>
      <c r="AI4024">
        <v>94.197885932618405</v>
      </c>
      <c r="AJ4024">
        <v>118.40404798853</v>
      </c>
      <c r="AK4024">
        <v>0.91936767831413002</v>
      </c>
      <c r="AL4024">
        <v>83.032536172406196</v>
      </c>
      <c r="AM4024">
        <v>105.405672770005</v>
      </c>
      <c r="AN4024">
        <v>1.0000000559033</v>
      </c>
    </row>
    <row r="4025" spans="1:40" x14ac:dyDescent="0.3">
      <c r="A4025" t="str">
        <f>"20200111150110291"</f>
        <v>20200111150110291</v>
      </c>
      <c r="B4025" t="str">
        <f>"1578726070282302"</f>
        <v>1578726070282302</v>
      </c>
      <c r="C4025" t="s">
        <v>40</v>
      </c>
      <c r="D4025">
        <v>4.3756469999999998</v>
      </c>
      <c r="E4025">
        <v>0.43272519999999998</v>
      </c>
      <c r="F4025" t="s">
        <v>42</v>
      </c>
      <c r="G4025">
        <v>-396.75799999999998</v>
      </c>
      <c r="H4025" s="1">
        <v>-1.7405690000000001E-6</v>
      </c>
      <c r="I4025">
        <v>20.471689999999999</v>
      </c>
      <c r="J4025">
        <v>-413.23849999999999</v>
      </c>
      <c r="K4025">
        <v>1.1129720000000001</v>
      </c>
      <c r="L4025">
        <v>26.597470000000001</v>
      </c>
      <c r="M4025">
        <v>0.70452650000000006</v>
      </c>
      <c r="N4025">
        <v>0</v>
      </c>
      <c r="O4025">
        <v>-0.70958480000000002</v>
      </c>
      <c r="P4025">
        <v>0.86054069999999905</v>
      </c>
      <c r="Q4025">
        <v>0.1156824</v>
      </c>
      <c r="R4025">
        <v>-0.49607230000000002</v>
      </c>
      <c r="S4025">
        <v>2.8901669999999999</v>
      </c>
      <c r="T4025">
        <v>-0.19394929999999999</v>
      </c>
      <c r="U4025">
        <v>-1.0847169999999999</v>
      </c>
      <c r="V4025">
        <v>-0.26370690000000002</v>
      </c>
      <c r="W4025">
        <v>0.1212693</v>
      </c>
      <c r="X4025">
        <v>0.95694950000000001</v>
      </c>
      <c r="Y4025">
        <v>-0.41495650000000001</v>
      </c>
      <c r="Z4025">
        <v>5.4132710000000001E-2</v>
      </c>
      <c r="AA4025">
        <v>0.90822950000000002</v>
      </c>
      <c r="AB4025">
        <v>29</v>
      </c>
      <c r="AC4025">
        <v>16.4804999999999</v>
      </c>
      <c r="AD4025">
        <v>-1.1129737405689999</v>
      </c>
      <c r="AE4025">
        <v>-6.1257799999999998</v>
      </c>
      <c r="AF4025">
        <v>-7.3495741490509099</v>
      </c>
      <c r="AG4025">
        <v>-1.1129737405689999</v>
      </c>
      <c r="AH4025">
        <v>15.8950687696238</v>
      </c>
      <c r="AI4025">
        <v>93.636541713457802</v>
      </c>
      <c r="AJ4025">
        <v>114.81491351842</v>
      </c>
      <c r="AK4025">
        <v>17.547312099311998</v>
      </c>
      <c r="AL4025">
        <v>83.034636570955698</v>
      </c>
      <c r="AM4025">
        <v>105.406627414057</v>
      </c>
      <c r="AN4025">
        <v>0.99999995889017401</v>
      </c>
    </row>
    <row r="4026" spans="1:40" x14ac:dyDescent="0.3">
      <c r="A4026" t="str">
        <f>"20200111150110302"</f>
        <v>20200111150110302</v>
      </c>
      <c r="B4026" t="str">
        <f>"1578726070292062"</f>
        <v>1578726070292062</v>
      </c>
      <c r="C4026" t="s">
        <v>40</v>
      </c>
      <c r="D4026">
        <v>4.3722209999999997</v>
      </c>
      <c r="E4026">
        <v>0.4326932</v>
      </c>
      <c r="F4026" t="s">
        <v>42</v>
      </c>
      <c r="G4026">
        <v>-396.2013</v>
      </c>
      <c r="H4026" s="1">
        <v>-1.963389E-6</v>
      </c>
      <c r="I4026">
        <v>20.32002</v>
      </c>
      <c r="J4026">
        <v>-413.12810000000002</v>
      </c>
      <c r="K4026">
        <v>1.1129789999999999</v>
      </c>
      <c r="L4026">
        <v>26.49362</v>
      </c>
      <c r="M4026">
        <v>0.70852539999999997</v>
      </c>
      <c r="N4026">
        <v>0</v>
      </c>
      <c r="O4026">
        <v>-0.70559189999999905</v>
      </c>
      <c r="P4026">
        <v>0.86328850000000001</v>
      </c>
      <c r="Q4026">
        <v>0.1151681</v>
      </c>
      <c r="R4026">
        <v>-0.49139559999999999</v>
      </c>
      <c r="S4026">
        <v>2.896423</v>
      </c>
      <c r="T4026">
        <v>-0.18921160000000001</v>
      </c>
      <c r="U4026">
        <v>-1.0671999999999999</v>
      </c>
      <c r="V4026">
        <v>-0.2635305</v>
      </c>
      <c r="W4026">
        <v>0.12075760000000001</v>
      </c>
      <c r="X4026">
        <v>0.95706279999999999</v>
      </c>
      <c r="Y4026">
        <v>-0.41538419999999998</v>
      </c>
      <c r="Z4026">
        <v>5.2637499999999997E-2</v>
      </c>
      <c r="AA4026">
        <v>0.90812179999999998</v>
      </c>
      <c r="AB4026">
        <v>29</v>
      </c>
      <c r="AC4026">
        <v>16.9268</v>
      </c>
      <c r="AD4026">
        <v>-1.112980963389</v>
      </c>
      <c r="AE4026">
        <v>-6.1736000000000004</v>
      </c>
      <c r="AF4026">
        <v>-7.5409845550659398</v>
      </c>
      <c r="AG4026">
        <v>-1.112980963389</v>
      </c>
      <c r="AH4026">
        <v>16.288035557765198</v>
      </c>
      <c r="AI4026">
        <v>93.548251959520897</v>
      </c>
      <c r="AJ4026">
        <v>114.843047691831</v>
      </c>
      <c r="AK4026">
        <v>17.983472329214798</v>
      </c>
      <c r="AL4026">
        <v>83.064171908818807</v>
      </c>
      <c r="AM4026">
        <v>105.39507448019999</v>
      </c>
      <c r="AN4026">
        <v>0.99999996276592396</v>
      </c>
    </row>
    <row r="4027" spans="1:40" x14ac:dyDescent="0.3">
      <c r="A4027" t="str">
        <f>"20200111150110315"</f>
        <v>20200111150110315</v>
      </c>
      <c r="B4027" t="str">
        <f>"1578726070311582"</f>
        <v>1578726070311582</v>
      </c>
      <c r="C4027" t="s">
        <v>40</v>
      </c>
      <c r="D4027">
        <v>4.4911479999999999</v>
      </c>
      <c r="E4027">
        <v>0.43230740000000001</v>
      </c>
      <c r="F4027" t="s">
        <v>41</v>
      </c>
      <c r="G4027">
        <v>-412.14179999999999</v>
      </c>
      <c r="H4027">
        <v>1.0494570000000001</v>
      </c>
      <c r="I4027">
        <v>26.13627</v>
      </c>
      <c r="J4027">
        <v>-413.01229999999998</v>
      </c>
      <c r="K4027">
        <v>1.1129830000000001</v>
      </c>
      <c r="L4027">
        <v>26.38635</v>
      </c>
      <c r="M4027">
        <v>0.71266839999999998</v>
      </c>
      <c r="N4027">
        <v>0</v>
      </c>
      <c r="O4027">
        <v>-0.701407</v>
      </c>
      <c r="P4027">
        <v>0.86603220000000003</v>
      </c>
      <c r="Q4027">
        <v>0.11515300000000001</v>
      </c>
      <c r="R4027">
        <v>-0.48654700000000001</v>
      </c>
      <c r="S4027">
        <v>2.9018860000000002</v>
      </c>
      <c r="T4027">
        <v>-0.1868628</v>
      </c>
      <c r="U4027">
        <v>-1.0508420000000001</v>
      </c>
      <c r="V4027">
        <v>-0.2632639</v>
      </c>
      <c r="W4027">
        <v>0.1207463</v>
      </c>
      <c r="X4027">
        <v>0.95713760000000003</v>
      </c>
      <c r="Y4027">
        <v>-0.4151514</v>
      </c>
      <c r="Z4027">
        <v>5.1789660000000001E-2</v>
      </c>
      <c r="AA4027">
        <v>0.908277</v>
      </c>
      <c r="AB4027">
        <v>29</v>
      </c>
      <c r="AC4027">
        <v>0.87049999999999195</v>
      </c>
      <c r="AD4027">
        <v>-6.3526000000000193E-2</v>
      </c>
      <c r="AE4027">
        <v>-0.25008000000000002</v>
      </c>
      <c r="AF4027">
        <v>-0.43026251641660201</v>
      </c>
      <c r="AG4027">
        <v>-6.3526000000000193E-2</v>
      </c>
      <c r="AH4027">
        <v>0.79194222577890805</v>
      </c>
      <c r="AI4027">
        <v>94.031797459343693</v>
      </c>
      <c r="AJ4027">
        <v>118.515250360392</v>
      </c>
      <c r="AK4027">
        <v>0.90351196709329595</v>
      </c>
      <c r="AL4027">
        <v>83.064824157775107</v>
      </c>
      <c r="AM4027">
        <v>105.379092844312</v>
      </c>
      <c r="AN4027">
        <v>0.99999996767032895</v>
      </c>
    </row>
    <row r="4028" spans="1:40" x14ac:dyDescent="0.3">
      <c r="A4028" t="str">
        <f>"20200111150110331"</f>
        <v>20200111150110331</v>
      </c>
      <c r="B4028" t="str">
        <f>"1578726070322321"</f>
        <v>1578726070322321</v>
      </c>
      <c r="C4028" t="s">
        <v>40</v>
      </c>
      <c r="D4028">
        <v>4.3952339999999896</v>
      </c>
      <c r="E4028">
        <v>0.43264920000000001</v>
      </c>
      <c r="F4028" t="s">
        <v>42</v>
      </c>
      <c r="G4028">
        <v>-395.73820000000001</v>
      </c>
      <c r="H4028" s="1">
        <v>-2.166486E-6</v>
      </c>
      <c r="I4028">
        <v>20.260619999999999</v>
      </c>
      <c r="J4028">
        <v>-412.86239999999998</v>
      </c>
      <c r="K4028">
        <v>1.1129899999999999</v>
      </c>
      <c r="L4028">
        <v>26.249210000000001</v>
      </c>
      <c r="M4028">
        <v>0.71796179999999998</v>
      </c>
      <c r="N4028">
        <v>0</v>
      </c>
      <c r="O4028">
        <v>-0.69598769999999999</v>
      </c>
      <c r="P4028">
        <v>0.86962980000000001</v>
      </c>
      <c r="Q4028">
        <v>0.1147512</v>
      </c>
      <c r="R4028">
        <v>-0.48018369999999999</v>
      </c>
      <c r="S4028">
        <v>2.909332</v>
      </c>
      <c r="T4028">
        <v>-0.18745110000000001</v>
      </c>
      <c r="U4028">
        <v>-1.0317080000000001</v>
      </c>
      <c r="V4028">
        <v>-0.26306180000000001</v>
      </c>
      <c r="W4028">
        <v>0.1203467</v>
      </c>
      <c r="X4028">
        <v>0.95724350000000002</v>
      </c>
      <c r="Y4028">
        <v>-0.41430119999999998</v>
      </c>
      <c r="Z4028">
        <v>5.166316E-2</v>
      </c>
      <c r="AA4028">
        <v>0.90867229999999999</v>
      </c>
      <c r="AB4028">
        <v>29</v>
      </c>
      <c r="AC4028">
        <v>17.124199999999899</v>
      </c>
      <c r="AD4028">
        <v>-1.1129921664860001</v>
      </c>
      <c r="AE4028">
        <v>-5.9885899999999896</v>
      </c>
      <c r="AF4028">
        <v>-7.5905852227732602</v>
      </c>
      <c r="AG4028">
        <v>-1.1129921664860001</v>
      </c>
      <c r="AH4028">
        <v>16.401855594500301</v>
      </c>
      <c r="AI4028">
        <v>93.523979511840807</v>
      </c>
      <c r="AJ4028">
        <v>114.83414272751099</v>
      </c>
      <c r="AK4028">
        <v>18.107363213060101</v>
      </c>
      <c r="AL4028">
        <v>83.087887814768806</v>
      </c>
      <c r="AM4028">
        <v>105.36622532011801</v>
      </c>
      <c r="AN4028">
        <v>0.99999997855618905</v>
      </c>
    </row>
    <row r="4029" spans="1:40" x14ac:dyDescent="0.3">
      <c r="A4029" t="str">
        <f>"20200111150110343"</f>
        <v>20200111150110343</v>
      </c>
      <c r="B4029" t="str">
        <f>"1578726070332078"</f>
        <v>1578726070332078</v>
      </c>
      <c r="C4029" t="s">
        <v>40</v>
      </c>
      <c r="D4029">
        <v>4.3734149999999996</v>
      </c>
      <c r="E4029">
        <v>0.43306250000000002</v>
      </c>
      <c r="F4029" t="s">
        <v>42</v>
      </c>
      <c r="G4029">
        <v>-395.1968</v>
      </c>
      <c r="H4029" s="1">
        <v>-2.383225E-6</v>
      </c>
      <c r="I4029">
        <v>20.113420000000001</v>
      </c>
      <c r="J4029">
        <v>-412.73689999999999</v>
      </c>
      <c r="K4029">
        <v>1.112997</v>
      </c>
      <c r="L4029">
        <v>26.135770000000001</v>
      </c>
      <c r="M4029">
        <v>0.72233570000000002</v>
      </c>
      <c r="N4029">
        <v>0</v>
      </c>
      <c r="O4029">
        <v>-0.69144729999999999</v>
      </c>
      <c r="P4029">
        <v>0.87249809999999905</v>
      </c>
      <c r="Q4029">
        <v>0.1146818</v>
      </c>
      <c r="R4029">
        <v>-0.47496909999999998</v>
      </c>
      <c r="S4029">
        <v>2.9149479999999999</v>
      </c>
      <c r="T4029">
        <v>-0.18365219999999999</v>
      </c>
      <c r="U4029">
        <v>-1.012451</v>
      </c>
      <c r="V4029">
        <v>-0.26276389999999999</v>
      </c>
      <c r="W4029">
        <v>0.120282399999999</v>
      </c>
      <c r="X4029">
        <v>0.9573334</v>
      </c>
      <c r="Y4029">
        <v>-0.4145374</v>
      </c>
      <c r="Z4029">
        <v>5.0428840000000003E-2</v>
      </c>
      <c r="AA4029">
        <v>0.90863389999999999</v>
      </c>
      <c r="AB4029">
        <v>29</v>
      </c>
      <c r="AC4029">
        <v>17.540099999999899</v>
      </c>
      <c r="AD4029">
        <v>-1.112999383225</v>
      </c>
      <c r="AE4029">
        <v>-6.0223499999999897</v>
      </c>
      <c r="AF4029">
        <v>-7.7504926332777204</v>
      </c>
      <c r="AG4029">
        <v>-1.112999383225</v>
      </c>
      <c r="AH4029">
        <v>16.774667145742502</v>
      </c>
      <c r="AI4029">
        <v>93.446859122407403</v>
      </c>
      <c r="AJ4029">
        <v>114.798615848658</v>
      </c>
      <c r="AK4029">
        <v>18.512113913219199</v>
      </c>
      <c r="AL4029">
        <v>83.0915989071447</v>
      </c>
      <c r="AM4029">
        <v>105.348271801615</v>
      </c>
      <c r="AN4029">
        <v>0.999999980824264</v>
      </c>
    </row>
    <row r="4030" spans="1:40" x14ac:dyDescent="0.3">
      <c r="A4030" t="str">
        <f>"20200111150110356"</f>
        <v>20200111150110356</v>
      </c>
      <c r="B4030" t="str">
        <f>"1578726070351599"</f>
        <v>1578726070351599</v>
      </c>
      <c r="C4030" t="s">
        <v>40</v>
      </c>
      <c r="D4030">
        <v>4.3429890000000002</v>
      </c>
      <c r="E4030">
        <v>0.43390240000000002</v>
      </c>
      <c r="F4030" t="s">
        <v>41</v>
      </c>
      <c r="G4030">
        <v>-411.75479999999999</v>
      </c>
      <c r="H4030">
        <v>1.0514619999999999</v>
      </c>
      <c r="I4030">
        <v>25.799859999999999</v>
      </c>
      <c r="J4030">
        <v>-412.61599999999999</v>
      </c>
      <c r="K4030">
        <v>1.1130009999999999</v>
      </c>
      <c r="L4030">
        <v>26.028020000000001</v>
      </c>
      <c r="M4030">
        <v>0.72649869999999905</v>
      </c>
      <c r="N4030">
        <v>0</v>
      </c>
      <c r="O4030">
        <v>-0.68707169999999995</v>
      </c>
      <c r="P4030">
        <v>0.87519720000000001</v>
      </c>
      <c r="Q4030">
        <v>0.1148836</v>
      </c>
      <c r="R4030">
        <v>-0.46992709999999999</v>
      </c>
      <c r="S4030">
        <v>2.9192499999999999</v>
      </c>
      <c r="T4030">
        <v>-0.18286230000000001</v>
      </c>
      <c r="U4030">
        <v>-0.99786379999999997</v>
      </c>
      <c r="V4030">
        <v>-0.26249260000000002</v>
      </c>
      <c r="W4030">
        <v>0.12048730000000001</v>
      </c>
      <c r="X4030">
        <v>0.95738210000000001</v>
      </c>
      <c r="Y4030">
        <v>-0.41353869999999998</v>
      </c>
      <c r="Z4030">
        <v>4.9993500000000003E-2</v>
      </c>
      <c r="AA4030">
        <v>0.90911299999999995</v>
      </c>
      <c r="AB4030">
        <v>29</v>
      </c>
      <c r="AC4030">
        <v>0.86119999999999597</v>
      </c>
      <c r="AD4030">
        <v>-6.1539000000000003E-2</v>
      </c>
      <c r="AE4030">
        <v>-0.228160000000002</v>
      </c>
      <c r="AF4030">
        <v>-0.42395355652074901</v>
      </c>
      <c r="AG4030">
        <v>-6.1539000000000003E-2</v>
      </c>
      <c r="AH4030">
        <v>0.77875899644354296</v>
      </c>
      <c r="AI4030">
        <v>93.970178900508699</v>
      </c>
      <c r="AJ4030">
        <v>118.563711273302</v>
      </c>
      <c r="AK4030">
        <v>0.88881338938460297</v>
      </c>
      <c r="AL4030">
        <v>83.0797732674786</v>
      </c>
      <c r="AM4030">
        <v>105.332427870985</v>
      </c>
      <c r="AN4030">
        <v>1.00000001995823</v>
      </c>
    </row>
    <row r="4031" spans="1:40" x14ac:dyDescent="0.3">
      <c r="A4031" t="str">
        <f>"20200111150110369"</f>
        <v>20200111150110369</v>
      </c>
      <c r="B4031" t="str">
        <f>"1578726070362334"</f>
        <v>1578726070362334</v>
      </c>
      <c r="C4031" t="s">
        <v>40</v>
      </c>
      <c r="D4031">
        <v>4.3314469999999998</v>
      </c>
      <c r="E4031">
        <v>0.43468329999999999</v>
      </c>
      <c r="F4031" t="s">
        <v>42</v>
      </c>
      <c r="G4031">
        <v>-394.38040000000001</v>
      </c>
      <c r="H4031" s="1">
        <v>-2.7044919999999999E-6</v>
      </c>
      <c r="I4031">
        <v>19.870380000000001</v>
      </c>
      <c r="J4031">
        <v>-412.4984</v>
      </c>
      <c r="K4031">
        <v>1.113008</v>
      </c>
      <c r="L4031">
        <v>25.924589999999998</v>
      </c>
      <c r="M4031">
        <v>0.73049649999999999</v>
      </c>
      <c r="N4031">
        <v>0</v>
      </c>
      <c r="O4031">
        <v>-0.68281979999999998</v>
      </c>
      <c r="P4031">
        <v>0.87774529999999995</v>
      </c>
      <c r="Q4031">
        <v>0.114912899999999</v>
      </c>
      <c r="R4031">
        <v>-0.4651438</v>
      </c>
      <c r="S4031">
        <v>2.9215089999999999</v>
      </c>
      <c r="T4031">
        <v>-0.17831359999999999</v>
      </c>
      <c r="U4031">
        <v>-0.98651120000000003</v>
      </c>
      <c r="V4031">
        <v>-0.26212940000000001</v>
      </c>
      <c r="W4031">
        <v>0.1205228</v>
      </c>
      <c r="X4031">
        <v>0.95747720000000003</v>
      </c>
      <c r="Y4031">
        <v>-0.41169600000000001</v>
      </c>
      <c r="Z4031">
        <v>4.8536349999999999E-2</v>
      </c>
      <c r="AA4031">
        <v>0.91002780000000005</v>
      </c>
      <c r="AB4031">
        <v>29</v>
      </c>
      <c r="AC4031">
        <v>18.117999999999899</v>
      </c>
      <c r="AD4031">
        <v>-1.1130107044919999</v>
      </c>
      <c r="AE4031">
        <v>-6.0542100000000003</v>
      </c>
      <c r="AF4031">
        <v>-7.9223801075726898</v>
      </c>
      <c r="AG4031">
        <v>-1.1130107044919999</v>
      </c>
      <c r="AH4031">
        <v>17.311448517492099</v>
      </c>
      <c r="AI4031">
        <v>93.345828361000798</v>
      </c>
      <c r="AJ4031">
        <v>114.590642051762</v>
      </c>
      <c r="AK4031">
        <v>19.070635783081698</v>
      </c>
      <c r="AL4031">
        <v>83.077724740586604</v>
      </c>
      <c r="AM4031">
        <v>105.310759989991</v>
      </c>
      <c r="AN4031">
        <v>1.00000007809201</v>
      </c>
    </row>
    <row r="4032" spans="1:40" x14ac:dyDescent="0.3">
      <c r="A4032" t="str">
        <f>"20200111150110381"</f>
        <v>20200111150110381</v>
      </c>
      <c r="B4032" t="str">
        <f>"1578726070372094"</f>
        <v>1578726070372094</v>
      </c>
      <c r="C4032" t="s">
        <v>40</v>
      </c>
      <c r="D4032">
        <v>4.4816580000000004</v>
      </c>
      <c r="E4032">
        <v>0.4350485</v>
      </c>
      <c r="F4032" t="s">
        <v>42</v>
      </c>
      <c r="G4032">
        <v>-394.99560000000002</v>
      </c>
      <c r="H4032" s="1">
        <v>-2.469876E-6</v>
      </c>
      <c r="I4032">
        <v>20.08164</v>
      </c>
      <c r="J4032">
        <v>-412.36649999999997</v>
      </c>
      <c r="K4032">
        <v>1.1130150000000001</v>
      </c>
      <c r="L4032">
        <v>25.809480000000001</v>
      </c>
      <c r="M4032">
        <v>0.73493710000000001</v>
      </c>
      <c r="N4032">
        <v>0</v>
      </c>
      <c r="O4032">
        <v>-0.67803780000000002</v>
      </c>
      <c r="P4032">
        <v>0.88061199999999995</v>
      </c>
      <c r="Q4032">
        <v>0.1152183</v>
      </c>
      <c r="R4032">
        <v>-0.45961659999999999</v>
      </c>
      <c r="S4032">
        <v>2.9247740000000002</v>
      </c>
      <c r="T4032">
        <v>-0.18598819999999999</v>
      </c>
      <c r="U4032">
        <v>-0.97637940000000001</v>
      </c>
      <c r="V4032">
        <v>-0.26188070000000002</v>
      </c>
      <c r="W4032">
        <v>0.12083099999999999</v>
      </c>
      <c r="X4032">
        <v>0.95750630000000003</v>
      </c>
      <c r="Y4032">
        <v>-0.40876420000000002</v>
      </c>
      <c r="Z4032">
        <v>5.0318050000000003E-2</v>
      </c>
      <c r="AA4032">
        <v>0.91125179999999995</v>
      </c>
      <c r="AB4032">
        <v>29</v>
      </c>
      <c r="AC4032">
        <v>17.370899999999899</v>
      </c>
      <c r="AD4032">
        <v>-1.11301746987599</v>
      </c>
      <c r="AE4032">
        <v>-5.7278399999999898</v>
      </c>
      <c r="AF4032">
        <v>-7.5411015550005498</v>
      </c>
      <c r="AG4032">
        <v>-1.11301746987599</v>
      </c>
      <c r="AH4032">
        <v>16.5898819502534</v>
      </c>
      <c r="AI4032">
        <v>93.495070986869194</v>
      </c>
      <c r="AJ4032">
        <v>114.444659249182</v>
      </c>
      <c r="AK4032">
        <v>18.257360260301098</v>
      </c>
      <c r="AL4032">
        <v>83.059935448527</v>
      </c>
      <c r="AM4032">
        <v>105.296471321936</v>
      </c>
      <c r="AN4032">
        <v>0.99999997306658905</v>
      </c>
    </row>
    <row r="4033" spans="1:40" x14ac:dyDescent="0.3">
      <c r="A4033" t="str">
        <f>"20200111150110393"</f>
        <v>20200111150110393</v>
      </c>
      <c r="B4033" t="str">
        <f>"1578726070381854"</f>
        <v>1578726070381854</v>
      </c>
      <c r="C4033" t="s">
        <v>40</v>
      </c>
      <c r="D4033">
        <v>4.4364119999999998</v>
      </c>
      <c r="E4033">
        <v>0.43556519999999999</v>
      </c>
      <c r="F4033" t="s">
        <v>41</v>
      </c>
      <c r="G4033">
        <v>-411.35730000000001</v>
      </c>
      <c r="H4033">
        <v>1.048854</v>
      </c>
      <c r="I4033">
        <v>25.478429999999999</v>
      </c>
      <c r="J4033">
        <v>-412.24869999999999</v>
      </c>
      <c r="K4033">
        <v>1.113016</v>
      </c>
      <c r="L4033">
        <v>25.708590000000001</v>
      </c>
      <c r="M4033">
        <v>0.73884519999999998</v>
      </c>
      <c r="N4033">
        <v>0</v>
      </c>
      <c r="O4033">
        <v>-0.67377710000000002</v>
      </c>
      <c r="P4033">
        <v>0.88303099999999901</v>
      </c>
      <c r="Q4033">
        <v>0.11541419999999999</v>
      </c>
      <c r="R4033">
        <v>-0.45490249999999999</v>
      </c>
      <c r="S4033">
        <v>2.9298709999999999</v>
      </c>
      <c r="T4033">
        <v>-0.1862296</v>
      </c>
      <c r="U4033">
        <v>-0.96029659999999994</v>
      </c>
      <c r="V4033">
        <v>-0.26145180000000001</v>
      </c>
      <c r="W4033">
        <v>0.1210345</v>
      </c>
      <c r="X4033">
        <v>0.9575979</v>
      </c>
      <c r="Y4033">
        <v>-0.4084778</v>
      </c>
      <c r="Z4033">
        <v>5.0172950000000001E-2</v>
      </c>
      <c r="AA4033">
        <v>0.91138830000000004</v>
      </c>
      <c r="AB4033">
        <v>29</v>
      </c>
      <c r="AC4033">
        <v>0.89139999999997599</v>
      </c>
      <c r="AD4033">
        <v>-6.4161999999999803E-2</v>
      </c>
      <c r="AE4033">
        <v>-0.230160000000001</v>
      </c>
      <c r="AF4033">
        <v>-0.42849947000350602</v>
      </c>
      <c r="AG4033">
        <v>-6.4161999999999803E-2</v>
      </c>
      <c r="AH4033">
        <v>0.80980359739902497</v>
      </c>
      <c r="AI4033">
        <v>94.005983861328005</v>
      </c>
      <c r="AJ4033">
        <v>117.88510716825</v>
      </c>
      <c r="AK4033">
        <v>0.91842823584517896</v>
      </c>
      <c r="AL4033">
        <v>83.048190199650705</v>
      </c>
      <c r="AM4033">
        <v>105.27119735733</v>
      </c>
      <c r="AN4033">
        <v>1.0000000659989401</v>
      </c>
    </row>
    <row r="4034" spans="1:40" x14ac:dyDescent="0.3">
      <c r="A4034" t="str">
        <f>"20200111150110411"</f>
        <v>20200111150110411</v>
      </c>
      <c r="B4034" t="str">
        <f>"1578726070401373"</f>
        <v>1578726070401373</v>
      </c>
      <c r="C4034" t="s">
        <v>40</v>
      </c>
      <c r="D4034">
        <v>4.4974369999999997</v>
      </c>
      <c r="E4034">
        <v>0.43638840000000001</v>
      </c>
      <c r="F4034" t="s">
        <v>42</v>
      </c>
      <c r="G4034">
        <v>-394.76859999999999</v>
      </c>
      <c r="H4034" s="1">
        <v>-2.5706520000000002E-6</v>
      </c>
      <c r="I4034">
        <v>20.057009999999998</v>
      </c>
      <c r="J4034">
        <v>-412.0831</v>
      </c>
      <c r="K4034">
        <v>1.113024</v>
      </c>
      <c r="L4034">
        <v>25.568300000000001</v>
      </c>
      <c r="M4034">
        <v>0.74427159999999903</v>
      </c>
      <c r="N4034">
        <v>0</v>
      </c>
      <c r="O4034">
        <v>-0.66777799999999998</v>
      </c>
      <c r="P4034">
        <v>0.88659469999999996</v>
      </c>
      <c r="Q4034">
        <v>0.11475050000000001</v>
      </c>
      <c r="R4034">
        <v>-0.44808750000000003</v>
      </c>
      <c r="S4034">
        <v>2.9332579999999999</v>
      </c>
      <c r="T4034">
        <v>-0.1867704</v>
      </c>
      <c r="U4034">
        <v>-0.94836430000000005</v>
      </c>
      <c r="V4034">
        <v>-0.26112729999999901</v>
      </c>
      <c r="W4034">
        <v>0.1203751</v>
      </c>
      <c r="X4034">
        <v>0.95776950000000005</v>
      </c>
      <c r="Y4034">
        <v>-0.40476190000000001</v>
      </c>
      <c r="Z4034">
        <v>4.993761E-2</v>
      </c>
      <c r="AA4034">
        <v>0.91305760000000002</v>
      </c>
      <c r="AB4034">
        <v>29</v>
      </c>
      <c r="AC4034">
        <v>17.314499999999999</v>
      </c>
      <c r="AD4034">
        <v>-1.1130265706519999</v>
      </c>
      <c r="AE4034">
        <v>-5.51128999999999</v>
      </c>
      <c r="AF4034">
        <v>-7.4329497819784596</v>
      </c>
      <c r="AG4034">
        <v>-1.1130265706519999</v>
      </c>
      <c r="AH4034">
        <v>16.506171702460701</v>
      </c>
      <c r="AI4034">
        <v>93.518373622136906</v>
      </c>
      <c r="AJ4034">
        <v>114.24267470869199</v>
      </c>
      <c r="AK4034">
        <v>18.1367382646248</v>
      </c>
      <c r="AL4034">
        <v>83.086249009532494</v>
      </c>
      <c r="AM4034">
        <v>105.25052141239701</v>
      </c>
      <c r="AN4034">
        <v>1.0000000233177699</v>
      </c>
    </row>
    <row r="4035" spans="1:40" x14ac:dyDescent="0.3">
      <c r="A4035" t="str">
        <f>"20200111150110423"</f>
        <v>20200111150110423</v>
      </c>
      <c r="B4035" t="str">
        <f>"1578726070412110"</f>
        <v>1578726070412110</v>
      </c>
      <c r="C4035" t="s">
        <v>40</v>
      </c>
      <c r="D4035">
        <v>4.3799799999999998</v>
      </c>
      <c r="E4035">
        <v>0.43698100000000001</v>
      </c>
      <c r="F4035" t="s">
        <v>42</v>
      </c>
      <c r="G4035">
        <v>-395.19830000000002</v>
      </c>
      <c r="H4035" s="1">
        <v>-2.4085279999999998E-6</v>
      </c>
      <c r="I4035">
        <v>20.21114</v>
      </c>
      <c r="J4035">
        <v>-411.95330000000001</v>
      </c>
      <c r="K4035">
        <v>1.113035</v>
      </c>
      <c r="L4035">
        <v>25.459689999999998</v>
      </c>
      <c r="M4035">
        <v>0.74847039999999998</v>
      </c>
      <c r="N4035">
        <v>0</v>
      </c>
      <c r="O4035">
        <v>-0.6630684</v>
      </c>
      <c r="P4035">
        <v>0.88921530000000004</v>
      </c>
      <c r="Q4035">
        <v>0.1142788</v>
      </c>
      <c r="R4035">
        <v>-0.4429863</v>
      </c>
      <c r="S4035">
        <v>2.9377140000000002</v>
      </c>
      <c r="T4035">
        <v>-0.1936505</v>
      </c>
      <c r="U4035">
        <v>-0.93206789999999995</v>
      </c>
      <c r="V4035">
        <v>-0.26061899999999999</v>
      </c>
      <c r="W4035">
        <v>0.11991309999999999</v>
      </c>
      <c r="X4035">
        <v>0.95796590000000004</v>
      </c>
      <c r="Y4035">
        <v>-0.40387519999999999</v>
      </c>
      <c r="Z4035">
        <v>5.1521629999999999E-2</v>
      </c>
      <c r="AA4035">
        <v>0.91336209999999995</v>
      </c>
      <c r="AB4035">
        <v>29</v>
      </c>
      <c r="AC4035">
        <v>16.7549999999999</v>
      </c>
      <c r="AD4035">
        <v>-1.1130374085279999</v>
      </c>
      <c r="AE4035">
        <v>-5.2485499999999901</v>
      </c>
      <c r="AF4035">
        <v>-7.1530565372706896</v>
      </c>
      <c r="AG4035">
        <v>-1.1130374085279999</v>
      </c>
      <c r="AH4035">
        <v>15.957701450078099</v>
      </c>
      <c r="AI4035">
        <v>93.641815796604504</v>
      </c>
      <c r="AJ4035">
        <v>114.144358517765</v>
      </c>
      <c r="AK4035">
        <v>17.5229365594925</v>
      </c>
      <c r="AL4035">
        <v>83.112912915835395</v>
      </c>
      <c r="AM4035">
        <v>105.21923786127201</v>
      </c>
      <c r="AN4035">
        <v>1.0000000401377001</v>
      </c>
    </row>
    <row r="4036" spans="1:40" x14ac:dyDescent="0.3">
      <c r="A4036" t="str">
        <f>"20200111150110436"</f>
        <v>20200111150110436</v>
      </c>
      <c r="B4036" t="str">
        <f>"1578726070431631"</f>
        <v>1578726070431631</v>
      </c>
      <c r="C4036" t="s">
        <v>40</v>
      </c>
      <c r="D4036">
        <v>4.6726409999999996</v>
      </c>
      <c r="E4036">
        <v>0.43767509999999998</v>
      </c>
      <c r="F4036" t="s">
        <v>41</v>
      </c>
      <c r="G4036">
        <v>-410.91050000000001</v>
      </c>
      <c r="H4036">
        <v>1.0437339999999999</v>
      </c>
      <c r="I4036">
        <v>25.133430000000001</v>
      </c>
      <c r="J4036">
        <v>-411.82420000000002</v>
      </c>
      <c r="K4036">
        <v>1.1130450000000001</v>
      </c>
      <c r="L4036">
        <v>25.35333</v>
      </c>
      <c r="M4036">
        <v>0.7525946</v>
      </c>
      <c r="N4036">
        <v>0</v>
      </c>
      <c r="O4036">
        <v>-0.65838369999999902</v>
      </c>
      <c r="P4036">
        <v>0.89177700000000004</v>
      </c>
      <c r="Q4036">
        <v>0.1138615</v>
      </c>
      <c r="R4036">
        <v>-0.4379151</v>
      </c>
      <c r="S4036">
        <v>2.9408569999999998</v>
      </c>
      <c r="T4036">
        <v>-0.19540440000000001</v>
      </c>
      <c r="U4036">
        <v>-0.91940310000000003</v>
      </c>
      <c r="V4036">
        <v>-0.26012439999999998</v>
      </c>
      <c r="W4036">
        <v>0.1195046</v>
      </c>
      <c r="X4036">
        <v>0.95815130000000004</v>
      </c>
      <c r="Y4036">
        <v>-0.40200409999999998</v>
      </c>
      <c r="Z4036">
        <v>5.1708400000000002E-2</v>
      </c>
      <c r="AA4036">
        <v>0.91417660000000001</v>
      </c>
      <c r="AB4036">
        <v>29</v>
      </c>
      <c r="AC4036">
        <v>0.91370000000000495</v>
      </c>
      <c r="AD4036">
        <v>-6.9311000000000095E-2</v>
      </c>
      <c r="AE4036">
        <v>-0.21989999999999901</v>
      </c>
      <c r="AF4036">
        <v>-0.43373923662640201</v>
      </c>
      <c r="AG4036">
        <v>-6.9311000000000095E-2</v>
      </c>
      <c r="AH4036">
        <v>0.82797570736871995</v>
      </c>
      <c r="AI4036">
        <v>94.240881106939298</v>
      </c>
      <c r="AJ4036">
        <v>117.648021147088</v>
      </c>
      <c r="AK4036">
        <v>0.93727131189585999</v>
      </c>
      <c r="AL4036">
        <v>83.1364873747563</v>
      </c>
      <c r="AM4036">
        <v>105.18888715666201</v>
      </c>
      <c r="AN4036">
        <v>0.999999983294104</v>
      </c>
    </row>
    <row r="4037" spans="1:40" x14ac:dyDescent="0.3">
      <c r="A4037" t="str">
        <f>"20200111150110448"</f>
        <v>20200111150110448</v>
      </c>
      <c r="B4037" t="str">
        <f>"1578726070442367"</f>
        <v>1578726070442367</v>
      </c>
      <c r="C4037" t="s">
        <v>40</v>
      </c>
      <c r="D4037">
        <v>4.5605510000000002</v>
      </c>
      <c r="E4037">
        <v>0.43809900000000002</v>
      </c>
      <c r="F4037" t="s">
        <v>42</v>
      </c>
      <c r="G4037">
        <v>-394.85500000000002</v>
      </c>
      <c r="H4037" s="1">
        <v>-2.5473019999999998E-6</v>
      </c>
      <c r="I4037">
        <v>20.122730000000001</v>
      </c>
      <c r="J4037">
        <v>-411.70510000000002</v>
      </c>
      <c r="K4037">
        <v>1.1130549999999999</v>
      </c>
      <c r="L4037">
        <v>25.256409999999999</v>
      </c>
      <c r="M4037">
        <v>0.75635649999999999</v>
      </c>
      <c r="N4037">
        <v>0</v>
      </c>
      <c r="O4037">
        <v>-0.65405849999999999</v>
      </c>
      <c r="P4037">
        <v>0.89396810000000004</v>
      </c>
      <c r="Q4037">
        <v>0.1139781</v>
      </c>
      <c r="R4037">
        <v>-0.4333938</v>
      </c>
      <c r="S4037">
        <v>2.9432369999999999</v>
      </c>
      <c r="T4037">
        <v>-0.19305320000000001</v>
      </c>
      <c r="U4037">
        <v>-0.90722659999999999</v>
      </c>
      <c r="V4037">
        <v>-0.2594783</v>
      </c>
      <c r="W4037">
        <v>0.1196319</v>
      </c>
      <c r="X4037">
        <v>0.95831060000000001</v>
      </c>
      <c r="Y4037">
        <v>-0.40046969999999998</v>
      </c>
      <c r="Z4037">
        <v>5.0847339999999998E-2</v>
      </c>
      <c r="AA4037">
        <v>0.91489819999999999</v>
      </c>
      <c r="AB4037">
        <v>29</v>
      </c>
      <c r="AC4037">
        <v>16.850099999999902</v>
      </c>
      <c r="AD4037">
        <v>-1.1130575473019999</v>
      </c>
      <c r="AE4037">
        <v>-5.13368</v>
      </c>
      <c r="AF4037">
        <v>-7.1101416283586296</v>
      </c>
      <c r="AG4037">
        <v>-1.1130575473019999</v>
      </c>
      <c r="AH4037">
        <v>16.0394324609492</v>
      </c>
      <c r="AI4037">
        <v>93.630044591097899</v>
      </c>
      <c r="AJ4037">
        <v>113.907295528483</v>
      </c>
      <c r="AK4037">
        <v>17.580000135047701</v>
      </c>
      <c r="AL4037">
        <v>83.129140984410697</v>
      </c>
      <c r="AM4037">
        <v>105.15049444238799</v>
      </c>
      <c r="AN4037">
        <v>0.99999999287042995</v>
      </c>
    </row>
    <row r="4038" spans="1:40" x14ac:dyDescent="0.3">
      <c r="A4038" t="str">
        <f>"20200111150110459"</f>
        <v>20200111150110459</v>
      </c>
      <c r="B4038" t="str">
        <f>"1578726070452126"</f>
        <v>1578726070452126</v>
      </c>
      <c r="C4038" t="s">
        <v>40</v>
      </c>
      <c r="D4038">
        <v>4.6050399999999998</v>
      </c>
      <c r="E4038">
        <v>0.43848599999999999</v>
      </c>
      <c r="F4038" t="s">
        <v>42</v>
      </c>
      <c r="G4038">
        <v>-394.86950000000002</v>
      </c>
      <c r="H4038" s="1">
        <v>-2.5447660000000001E-6</v>
      </c>
      <c r="I4038">
        <v>20.138940000000002</v>
      </c>
      <c r="J4038">
        <v>-411.5797</v>
      </c>
      <c r="K4038">
        <v>1.1130690000000001</v>
      </c>
      <c r="L4038">
        <v>25.155090000000001</v>
      </c>
      <c r="M4038">
        <v>0.76028130000000005</v>
      </c>
      <c r="N4038">
        <v>0</v>
      </c>
      <c r="O4038">
        <v>-0.64949209999999902</v>
      </c>
      <c r="P4038">
        <v>0.89617420000000003</v>
      </c>
      <c r="Q4038">
        <v>0.1143209</v>
      </c>
      <c r="R4038">
        <v>-0.4287223</v>
      </c>
      <c r="S4038">
        <v>2.946472</v>
      </c>
      <c r="T4038">
        <v>-0.1948009</v>
      </c>
      <c r="U4038">
        <v>-0.89562989999999998</v>
      </c>
      <c r="V4038">
        <v>-0.2586907</v>
      </c>
      <c r="W4038">
        <v>0.1199884</v>
      </c>
      <c r="X4038">
        <v>0.95847899999999997</v>
      </c>
      <c r="Y4038">
        <v>-0.3985069</v>
      </c>
      <c r="Z4038">
        <v>5.102143E-2</v>
      </c>
      <c r="AA4038">
        <v>0.91574509999999998</v>
      </c>
      <c r="AB4038">
        <v>30</v>
      </c>
      <c r="AC4038">
        <v>16.710199999999901</v>
      </c>
      <c r="AD4038">
        <v>-1.113071544766</v>
      </c>
      <c r="AE4038">
        <v>-5.0161499999999997</v>
      </c>
      <c r="AF4038">
        <v>-7.01138624542891</v>
      </c>
      <c r="AG4038">
        <v>-1.113071544766</v>
      </c>
      <c r="AH4038">
        <v>15.898748299865</v>
      </c>
      <c r="AI4038">
        <v>93.665217914658299</v>
      </c>
      <c r="AJ4038">
        <v>113.79759467611601</v>
      </c>
      <c r="AK4038">
        <v>17.411739225270299</v>
      </c>
      <c r="AL4038">
        <v>83.108567193023404</v>
      </c>
      <c r="AM4038">
        <v>105.10407970014499</v>
      </c>
      <c r="AN4038">
        <v>1.0000000439210199</v>
      </c>
    </row>
    <row r="4039" spans="1:40" x14ac:dyDescent="0.3">
      <c r="A4039" t="str">
        <f>"20200111150110476"</f>
        <v>20200111150110476</v>
      </c>
      <c r="B4039" t="str">
        <f>"1578726070471646"</f>
        <v>1578726070471646</v>
      </c>
      <c r="C4039" t="s">
        <v>40</v>
      </c>
      <c r="D4039">
        <v>4.4690699999999897</v>
      </c>
      <c r="E4039">
        <v>0.43897520000000001</v>
      </c>
      <c r="F4039" t="s">
        <v>42</v>
      </c>
      <c r="G4039">
        <v>-394.78300000000002</v>
      </c>
      <c r="H4039" s="1">
        <v>-2.582359E-6</v>
      </c>
      <c r="I4039">
        <v>20.126660000000001</v>
      </c>
      <c r="J4039">
        <v>-411.42070000000001</v>
      </c>
      <c r="K4039">
        <v>1.1130949999999999</v>
      </c>
      <c r="L4039">
        <v>25.029170000000001</v>
      </c>
      <c r="M4039">
        <v>0.76518679999999994</v>
      </c>
      <c r="N4039">
        <v>0</v>
      </c>
      <c r="O4039">
        <v>-0.64370530000000004</v>
      </c>
      <c r="P4039">
        <v>0.89869840000000001</v>
      </c>
      <c r="Q4039">
        <v>0.1151697</v>
      </c>
      <c r="R4039">
        <v>-0.42317549999999998</v>
      </c>
      <c r="S4039">
        <v>2.9500120000000001</v>
      </c>
      <c r="T4039">
        <v>-0.19548979999999999</v>
      </c>
      <c r="U4039">
        <v>-0.88314820000000005</v>
      </c>
      <c r="V4039">
        <v>-0.25729410000000003</v>
      </c>
      <c r="W4039">
        <v>0.1208617</v>
      </c>
      <c r="X4039">
        <v>0.95874510000000002</v>
      </c>
      <c r="Y4039">
        <v>-0.39540890000000001</v>
      </c>
      <c r="Z4039">
        <v>5.0817620000000001E-2</v>
      </c>
      <c r="AA4039">
        <v>0.91709830000000003</v>
      </c>
      <c r="AB4039">
        <v>30</v>
      </c>
      <c r="AC4039">
        <v>16.637699999999899</v>
      </c>
      <c r="AD4039">
        <v>-1.1130975823589999</v>
      </c>
      <c r="AE4039">
        <v>-4.9025100000000004</v>
      </c>
      <c r="AF4039">
        <v>-6.9303598651060199</v>
      </c>
      <c r="AG4039">
        <v>-1.1130975823589999</v>
      </c>
      <c r="AH4039">
        <v>15.822611328913499</v>
      </c>
      <c r="AI4039">
        <v>93.686951368828801</v>
      </c>
      <c r="AJ4039">
        <v>113.65358921250299</v>
      </c>
      <c r="AK4039">
        <v>17.309647695825198</v>
      </c>
      <c r="AL4039">
        <v>83.058163569118705</v>
      </c>
      <c r="AM4039">
        <v>105.022252070446</v>
      </c>
      <c r="AN4039">
        <v>0.99999998559785497</v>
      </c>
    </row>
    <row r="4040" spans="1:40" x14ac:dyDescent="0.3">
      <c r="A4040" t="str">
        <f>"20200111150110487"</f>
        <v>20200111150110487</v>
      </c>
      <c r="B4040" t="str">
        <f>"1578726070481406"</f>
        <v>1578726070481406</v>
      </c>
      <c r="C4040" t="s">
        <v>40</v>
      </c>
      <c r="D4040">
        <v>4.5232539999999997</v>
      </c>
      <c r="E4040">
        <v>0.43934440000000002</v>
      </c>
      <c r="F4040" t="s">
        <v>42</v>
      </c>
      <c r="G4040">
        <v>-394.41590000000002</v>
      </c>
      <c r="H4040" s="1">
        <v>-2.7302550000000002E-6</v>
      </c>
      <c r="I4040">
        <v>20.0303</v>
      </c>
      <c r="J4040">
        <v>-411.30500000000001</v>
      </c>
      <c r="K4040">
        <v>1.1131070000000001</v>
      </c>
      <c r="L4040">
        <v>24.938690000000001</v>
      </c>
      <c r="M4040">
        <v>0.76871699999999998</v>
      </c>
      <c r="N4040">
        <v>0</v>
      </c>
      <c r="O4040">
        <v>-0.63948509999999903</v>
      </c>
      <c r="P4040">
        <v>0.90071440000000003</v>
      </c>
      <c r="Q4040">
        <v>0.11548410000000001</v>
      </c>
      <c r="R4040">
        <v>-0.41877989999999998</v>
      </c>
      <c r="S4040">
        <v>2.9540709999999999</v>
      </c>
      <c r="T4040">
        <v>-0.19336780000000001</v>
      </c>
      <c r="U4040">
        <v>-0.86840819999999996</v>
      </c>
      <c r="V4040">
        <v>-0.25668679999999999</v>
      </c>
      <c r="W4040">
        <v>0.1211841</v>
      </c>
      <c r="X4040">
        <v>0.95886720000000003</v>
      </c>
      <c r="Y4040">
        <v>-0.394957</v>
      </c>
      <c r="Z4040">
        <v>5.0041059999999998E-2</v>
      </c>
      <c r="AA4040">
        <v>0.91733569999999998</v>
      </c>
      <c r="AB4040">
        <v>30</v>
      </c>
      <c r="AC4040">
        <v>16.8890999999999</v>
      </c>
      <c r="AD4040">
        <v>-1.1131097302549999</v>
      </c>
      <c r="AE4040">
        <v>-4.9083899999999998</v>
      </c>
      <c r="AF4040">
        <v>-6.9995959146737601</v>
      </c>
      <c r="AG4040">
        <v>-1.1131097302549999</v>
      </c>
      <c r="AH4040">
        <v>16.0585314051018</v>
      </c>
      <c r="AI4040">
        <v>93.635794838875199</v>
      </c>
      <c r="AJ4040">
        <v>113.551433905458</v>
      </c>
      <c r="AK4040">
        <v>17.553056347227599</v>
      </c>
      <c r="AL4040">
        <v>83.039554752345197</v>
      </c>
      <c r="AM4040">
        <v>104.98656922196599</v>
      </c>
      <c r="AN4040">
        <v>1.00000000331144</v>
      </c>
    </row>
    <row r="4041" spans="1:40" x14ac:dyDescent="0.3">
      <c r="A4041" t="str">
        <f>"20200111150110498"</f>
        <v>20200111150110498</v>
      </c>
      <c r="B4041" t="str">
        <f>"1578726070492141"</f>
        <v>1578726070492141</v>
      </c>
      <c r="C4041" t="s">
        <v>40</v>
      </c>
      <c r="D4041">
        <v>4.5445039999999999</v>
      </c>
      <c r="E4041">
        <v>0.43973190000000001</v>
      </c>
      <c r="F4041" t="s">
        <v>42</v>
      </c>
      <c r="G4041">
        <v>-394.30529999999999</v>
      </c>
      <c r="H4041" s="1">
        <v>-2.778494E-6</v>
      </c>
      <c r="I4041">
        <v>20.015129999999999</v>
      </c>
      <c r="J4041">
        <v>-411.1825</v>
      </c>
      <c r="K4041">
        <v>1.1131230000000001</v>
      </c>
      <c r="L4041">
        <v>24.843630000000001</v>
      </c>
      <c r="M4041">
        <v>0.77242169999999999</v>
      </c>
      <c r="N4041">
        <v>0</v>
      </c>
      <c r="O4041">
        <v>-0.63500540000000005</v>
      </c>
      <c r="P4041">
        <v>0.90287969999999895</v>
      </c>
      <c r="Q4041">
        <v>0.1156962</v>
      </c>
      <c r="R4041">
        <v>-0.41403250000000003</v>
      </c>
      <c r="S4041">
        <v>2.9572750000000001</v>
      </c>
      <c r="T4041">
        <v>-0.19363749999999999</v>
      </c>
      <c r="U4041">
        <v>-0.85650630000000005</v>
      </c>
      <c r="V4041">
        <v>-0.25615189999999999</v>
      </c>
      <c r="W4041">
        <v>0.1214018</v>
      </c>
      <c r="X4041">
        <v>0.95898269999999997</v>
      </c>
      <c r="Y4041">
        <v>-0.39329449999999999</v>
      </c>
      <c r="Z4041">
        <v>4.9835860000000003E-2</v>
      </c>
      <c r="AA4041">
        <v>0.91806089999999996</v>
      </c>
      <c r="AB4041">
        <v>30</v>
      </c>
      <c r="AC4041">
        <v>16.877199999999998</v>
      </c>
      <c r="AD4041">
        <v>-1.1131257784940001</v>
      </c>
      <c r="AE4041">
        <v>-4.8284999999999902</v>
      </c>
      <c r="AF4041">
        <v>-6.9599540950331296</v>
      </c>
      <c r="AG4041">
        <v>-1.1131257784940001</v>
      </c>
      <c r="AH4041">
        <v>16.039018035159099</v>
      </c>
      <c r="AI4041">
        <v>93.642837180014894</v>
      </c>
      <c r="AJ4041">
        <v>113.457898310979</v>
      </c>
      <c r="AK4041">
        <v>17.519420924673099</v>
      </c>
      <c r="AL4041">
        <v>83.026988700974101</v>
      </c>
      <c r="AM4041">
        <v>104.955019500356</v>
      </c>
      <c r="AN4041">
        <v>1.00000000590806</v>
      </c>
    </row>
    <row r="4042" spans="1:40" x14ac:dyDescent="0.3">
      <c r="A4042" t="str">
        <f>"20200111150110510"</f>
        <v>20200111150110510</v>
      </c>
      <c r="B4042" t="str">
        <f>"1578726070501902"</f>
        <v>1578726070501902</v>
      </c>
      <c r="C4042" t="s">
        <v>40</v>
      </c>
      <c r="D4042">
        <v>4.4822689999999996</v>
      </c>
      <c r="E4042">
        <v>0.44026419999999999</v>
      </c>
      <c r="F4042" t="s">
        <v>42</v>
      </c>
      <c r="G4042">
        <v>-394.22469999999998</v>
      </c>
      <c r="H4042" s="1">
        <v>-2.8156900000000001E-6</v>
      </c>
      <c r="I4042">
        <v>20.01174</v>
      </c>
      <c r="J4042">
        <v>-411.0686</v>
      </c>
      <c r="K4042">
        <v>1.1131390000000001</v>
      </c>
      <c r="L4042">
        <v>24.75684</v>
      </c>
      <c r="M4042">
        <v>0.77582719999999905</v>
      </c>
      <c r="N4042">
        <v>0</v>
      </c>
      <c r="O4042">
        <v>-0.63084010000000001</v>
      </c>
      <c r="P4042">
        <v>0.90500400000000003</v>
      </c>
      <c r="Q4042">
        <v>0.11548899999999999</v>
      </c>
      <c r="R4042">
        <v>-0.40942659999999997</v>
      </c>
      <c r="S4042">
        <v>2.9607540000000001</v>
      </c>
      <c r="T4042">
        <v>-0.19434709999999999</v>
      </c>
      <c r="U4042">
        <v>-0.84362789999999999</v>
      </c>
      <c r="V4042">
        <v>-0.2558955</v>
      </c>
      <c r="W4042">
        <v>0.121194</v>
      </c>
      <c r="X4042">
        <v>0.95907739999999997</v>
      </c>
      <c r="Y4042">
        <v>-0.39232240000000002</v>
      </c>
      <c r="Z4042">
        <v>4.9776140000000003E-2</v>
      </c>
      <c r="AA4042">
        <v>0.91847999999999996</v>
      </c>
      <c r="AB4042">
        <v>30</v>
      </c>
      <c r="AC4042">
        <v>16.843900000000001</v>
      </c>
      <c r="AD4042">
        <v>-1.1131418156899999</v>
      </c>
      <c r="AE4042">
        <v>-4.7450999999999999</v>
      </c>
      <c r="AF4042">
        <v>-6.9169042101044402</v>
      </c>
      <c r="AG4042">
        <v>-1.1131418156899999</v>
      </c>
      <c r="AH4042">
        <v>15.9976925849457</v>
      </c>
      <c r="AI4042">
        <v>93.654360791662398</v>
      </c>
      <c r="AJ4042">
        <v>113.38215269260201</v>
      </c>
      <c r="AK4042">
        <v>17.464501613158799</v>
      </c>
      <c r="AL4042">
        <v>83.038983120358097</v>
      </c>
      <c r="AM4042">
        <v>104.939310444726</v>
      </c>
      <c r="AN4042">
        <v>0.99999997587350398</v>
      </c>
    </row>
    <row r="4043" spans="1:40" x14ac:dyDescent="0.3">
      <c r="A4043" t="str">
        <f>"20200111150110522"</f>
        <v>20200111150110522</v>
      </c>
      <c r="B4043" t="str">
        <f>"1578726070511661"</f>
        <v>1578726070511661</v>
      </c>
      <c r="C4043" t="s">
        <v>40</v>
      </c>
      <c r="D4043">
        <v>4.5901740000000002</v>
      </c>
      <c r="E4043">
        <v>0.44056970000000001</v>
      </c>
      <c r="F4043" t="s">
        <v>42</v>
      </c>
      <c r="G4043">
        <v>-394.5283</v>
      </c>
      <c r="H4043" s="1">
        <v>-2.6981870000000001E-6</v>
      </c>
      <c r="I4043">
        <v>20.10943</v>
      </c>
      <c r="J4043">
        <v>-410.9477</v>
      </c>
      <c r="K4043">
        <v>1.1131599999999999</v>
      </c>
      <c r="L4043">
        <v>24.66516</v>
      </c>
      <c r="M4043">
        <v>0.77941199999999999</v>
      </c>
      <c r="N4043">
        <v>0</v>
      </c>
      <c r="O4043">
        <v>-0.62640589999999996</v>
      </c>
      <c r="P4043">
        <v>0.90717910000000002</v>
      </c>
      <c r="Q4043">
        <v>0.11537699999999999</v>
      </c>
      <c r="R4043">
        <v>-0.40461659999999999</v>
      </c>
      <c r="S4043">
        <v>2.9636230000000001</v>
      </c>
      <c r="T4043">
        <v>-0.19944799999999999</v>
      </c>
      <c r="U4043">
        <v>-0.83270259999999996</v>
      </c>
      <c r="V4043">
        <v>-0.25552940000000002</v>
      </c>
      <c r="W4043">
        <v>0.1210833</v>
      </c>
      <c r="X4043">
        <v>0.95918899999999996</v>
      </c>
      <c r="Y4043">
        <v>-0.39036379999999998</v>
      </c>
      <c r="Z4043">
        <v>5.0787659999999998E-2</v>
      </c>
      <c r="AA4043">
        <v>0.91925880000000004</v>
      </c>
      <c r="AB4043">
        <v>30</v>
      </c>
      <c r="AC4043">
        <v>16.4193999999999</v>
      </c>
      <c r="AD4043">
        <v>-1.113162698187</v>
      </c>
      <c r="AE4043">
        <v>-4.5557299999999996</v>
      </c>
      <c r="AF4043">
        <v>-6.7062446727750302</v>
      </c>
      <c r="AG4043">
        <v>-1.113162698187</v>
      </c>
      <c r="AH4043">
        <v>15.585736014206001</v>
      </c>
      <c r="AI4043">
        <v>93.7535904976409</v>
      </c>
      <c r="AJ4043">
        <v>113.281286806491</v>
      </c>
      <c r="AK4043">
        <v>17.0037647569083</v>
      </c>
      <c r="AL4043">
        <v>83.045372909710906</v>
      </c>
      <c r="AM4043">
        <v>104.91723261832399</v>
      </c>
      <c r="AN4043">
        <v>0.99999998876212404</v>
      </c>
    </row>
    <row r="4044" spans="1:40" x14ac:dyDescent="0.3">
      <c r="A4044" t="str">
        <f>"20200111150110534"</f>
        <v>20200111150110534</v>
      </c>
      <c r="B4044" t="str">
        <f>"1578726070521421"</f>
        <v>1578726070521421</v>
      </c>
      <c r="C4044" t="s">
        <v>40</v>
      </c>
      <c r="D4044">
        <v>4.5216320000000003</v>
      </c>
      <c r="E4044">
        <v>0.4410135</v>
      </c>
      <c r="F4044" t="s">
        <v>42</v>
      </c>
      <c r="G4044">
        <v>-394.52859999999998</v>
      </c>
      <c r="H4044" s="1">
        <v>-2.70419E-6</v>
      </c>
      <c r="I4044">
        <v>20.1325</v>
      </c>
      <c r="J4044">
        <v>-410.81790000000001</v>
      </c>
      <c r="K4044">
        <v>1.1131770000000001</v>
      </c>
      <c r="L4044">
        <v>24.568449999999999</v>
      </c>
      <c r="M4044">
        <v>0.78321739999999995</v>
      </c>
      <c r="N4044">
        <v>0</v>
      </c>
      <c r="O4044">
        <v>-0.621641</v>
      </c>
      <c r="P4044">
        <v>0.90953189999999995</v>
      </c>
      <c r="Q4044">
        <v>0.114826</v>
      </c>
      <c r="R4044">
        <v>-0.39945819999999999</v>
      </c>
      <c r="S4044">
        <v>2.9671940000000001</v>
      </c>
      <c r="T4044">
        <v>-0.2011657</v>
      </c>
      <c r="U4044">
        <v>-0.81912229999999997</v>
      </c>
      <c r="V4044">
        <v>-0.25516420000000001</v>
      </c>
      <c r="W4044">
        <v>0.12053369999999999</v>
      </c>
      <c r="X4044">
        <v>0.95935539999999997</v>
      </c>
      <c r="Y4044">
        <v>-0.38892290000000002</v>
      </c>
      <c r="Z4044">
        <v>5.0925459999999999E-2</v>
      </c>
      <c r="AA4044">
        <v>0.9198617</v>
      </c>
      <c r="AB4044">
        <v>30</v>
      </c>
      <c r="AC4044">
        <v>16.289300000000001</v>
      </c>
      <c r="AD4044">
        <v>-1.11317970419</v>
      </c>
      <c r="AE4044">
        <v>-4.4359499999999903</v>
      </c>
      <c r="AF4044">
        <v>-6.6234293067156003</v>
      </c>
      <c r="AG4044">
        <v>-1.11317970419</v>
      </c>
      <c r="AH4044">
        <v>15.4494939179844</v>
      </c>
      <c r="AI4044">
        <v>93.788798008819498</v>
      </c>
      <c r="AJ4044">
        <v>113.20553823676801</v>
      </c>
      <c r="AK4044">
        <v>16.846241336176998</v>
      </c>
      <c r="AL4044">
        <v>83.077094827277904</v>
      </c>
      <c r="AM4044">
        <v>104.894392577388</v>
      </c>
      <c r="AN4044">
        <v>0.99999996265324398</v>
      </c>
    </row>
    <row r="4045" spans="1:40" x14ac:dyDescent="0.3">
      <c r="A4045" t="str">
        <f>"20200111150110545"</f>
        <v>20200111150110545</v>
      </c>
      <c r="B4045" t="str">
        <f>"1578726070541918"</f>
        <v>1578726070541918</v>
      </c>
      <c r="C4045" t="s">
        <v>40</v>
      </c>
      <c r="D4045">
        <v>4.5492319999999999</v>
      </c>
      <c r="E4045">
        <v>0.44175379999999997</v>
      </c>
      <c r="F4045" t="s">
        <v>42</v>
      </c>
      <c r="G4045">
        <v>-394.65359999999998</v>
      </c>
      <c r="H4045" s="1">
        <v>-2.6592899999999998E-6</v>
      </c>
      <c r="I4045">
        <v>20.185870000000001</v>
      </c>
      <c r="J4045">
        <v>-410.69830000000002</v>
      </c>
      <c r="K4045">
        <v>1.113192</v>
      </c>
      <c r="L4045">
        <v>24.480219999999999</v>
      </c>
      <c r="M4045">
        <v>0.78668870000000002</v>
      </c>
      <c r="N4045">
        <v>0</v>
      </c>
      <c r="O4045">
        <v>-0.61724219999999996</v>
      </c>
      <c r="P4045">
        <v>0.91165479999999999</v>
      </c>
      <c r="Q4045">
        <v>0.1144418</v>
      </c>
      <c r="R4045">
        <v>-0.39470090000000002</v>
      </c>
      <c r="S4045">
        <v>2.97052</v>
      </c>
      <c r="T4045">
        <v>-0.20456949999999999</v>
      </c>
      <c r="U4045">
        <v>-0.80538940000000003</v>
      </c>
      <c r="V4045">
        <v>-0.25482700000000003</v>
      </c>
      <c r="W4045">
        <v>0.1201508</v>
      </c>
      <c r="X4045">
        <v>0.95949309999999999</v>
      </c>
      <c r="Y4045">
        <v>-0.38792779999999999</v>
      </c>
      <c r="Z4045">
        <v>5.1517430000000003E-2</v>
      </c>
      <c r="AA4045">
        <v>0.92024890000000004</v>
      </c>
      <c r="AB4045">
        <v>30</v>
      </c>
      <c r="AC4045">
        <v>16.044699999999999</v>
      </c>
      <c r="AD4045">
        <v>-1.1131946592899999</v>
      </c>
      <c r="AE4045">
        <v>-4.2943499999999997</v>
      </c>
      <c r="AF4045">
        <v>-6.4964018322484796</v>
      </c>
      <c r="AG4045">
        <v>-1.1131946592899999</v>
      </c>
      <c r="AH4045">
        <v>15.2055515609495</v>
      </c>
      <c r="AI4045">
        <v>93.851501676539002</v>
      </c>
      <c r="AJ4045">
        <v>113.134054175049</v>
      </c>
      <c r="AK4045">
        <v>16.572605027219101</v>
      </c>
      <c r="AL4045">
        <v>83.099194329564298</v>
      </c>
      <c r="AM4045">
        <v>104.873542592322</v>
      </c>
      <c r="AN4045">
        <v>1.0000000118086201</v>
      </c>
    </row>
    <row r="4046" spans="1:40" x14ac:dyDescent="0.3">
      <c r="A4046" t="str">
        <f>"20200111150110558"</f>
        <v>20200111150110558</v>
      </c>
      <c r="B4046" t="str">
        <f>"1578726070552186"</f>
        <v>1578726070552186</v>
      </c>
      <c r="C4046" t="s">
        <v>40</v>
      </c>
      <c r="D4046">
        <v>4.4808379999999897</v>
      </c>
      <c r="E4046">
        <v>0.44211830000000002</v>
      </c>
      <c r="F4046" t="s">
        <v>42</v>
      </c>
      <c r="G4046">
        <v>-394.83620000000002</v>
      </c>
      <c r="H4046" s="1">
        <v>-2.5864459999999999E-6</v>
      </c>
      <c r="I4046">
        <v>20.236419999999999</v>
      </c>
      <c r="J4046">
        <v>-410.56009999999998</v>
      </c>
      <c r="K4046">
        <v>1.11321</v>
      </c>
      <c r="L4046">
        <v>24.379390000000001</v>
      </c>
      <c r="M4046">
        <v>0.79065790000000002</v>
      </c>
      <c r="N4046">
        <v>0</v>
      </c>
      <c r="O4046">
        <v>-0.61214950000000001</v>
      </c>
      <c r="P4046">
        <v>0.91404359999999996</v>
      </c>
      <c r="Q4046">
        <v>0.1142956</v>
      </c>
      <c r="R4046">
        <v>-0.38918009999999997</v>
      </c>
      <c r="S4046">
        <v>2.9725649999999999</v>
      </c>
      <c r="T4046">
        <v>-0.20861270000000001</v>
      </c>
      <c r="U4046">
        <v>-0.79528809999999905</v>
      </c>
      <c r="V4046">
        <v>-0.25444810000000001</v>
      </c>
      <c r="W4046">
        <v>0.1200055</v>
      </c>
      <c r="X4046">
        <v>0.95961180000000001</v>
      </c>
      <c r="Y4046">
        <v>-0.38498929999999998</v>
      </c>
      <c r="Z4046">
        <v>5.2164969999999998E-2</v>
      </c>
      <c r="AA4046">
        <v>0.92144559999999998</v>
      </c>
      <c r="AB4046">
        <v>30</v>
      </c>
      <c r="AC4046">
        <v>15.723899999999899</v>
      </c>
      <c r="AD4046">
        <v>-1.1132125864460001</v>
      </c>
      <c r="AE4046">
        <v>-4.1429699999999903</v>
      </c>
      <c r="AF4046">
        <v>-6.3205044926584604</v>
      </c>
      <c r="AG4046">
        <v>-1.1132125864460001</v>
      </c>
      <c r="AH4046">
        <v>14.899506248238501</v>
      </c>
      <c r="AI4046">
        <v>93.9347123294326</v>
      </c>
      <c r="AJ4046">
        <v>112.987093318379</v>
      </c>
      <c r="AK4046">
        <v>16.222925314062099</v>
      </c>
      <c r="AL4046">
        <v>83.107579869572604</v>
      </c>
      <c r="AM4046">
        <v>104.85064942807701</v>
      </c>
      <c r="AN4046">
        <v>0.99999998116154898</v>
      </c>
    </row>
    <row r="4047" spans="1:40" x14ac:dyDescent="0.3">
      <c r="A4047" t="str">
        <f>"20200111150110570"</f>
        <v>20200111150110570</v>
      </c>
      <c r="B4047" t="str">
        <f>"1578726070561946"</f>
        <v>1578726070561946</v>
      </c>
      <c r="C4047" t="s">
        <v>40</v>
      </c>
      <c r="D4047">
        <v>4.542306</v>
      </c>
      <c r="E4047">
        <v>0.44246570000000002</v>
      </c>
      <c r="F4047" t="s">
        <v>42</v>
      </c>
      <c r="G4047">
        <v>-394.74220000000003</v>
      </c>
      <c r="H4047" s="1">
        <v>-2.6305309999999999E-6</v>
      </c>
      <c r="I4047">
        <v>20.235099999999999</v>
      </c>
      <c r="J4047">
        <v>-410.43779999999998</v>
      </c>
      <c r="K4047">
        <v>1.113224</v>
      </c>
      <c r="L4047">
        <v>24.291689999999999</v>
      </c>
      <c r="M4047">
        <v>0.79413</v>
      </c>
      <c r="N4047">
        <v>0</v>
      </c>
      <c r="O4047">
        <v>-0.60763840000000002</v>
      </c>
      <c r="P4047">
        <v>0.91615409999999997</v>
      </c>
      <c r="Q4047">
        <v>0.1141243</v>
      </c>
      <c r="R4047">
        <v>-0.38423620000000003</v>
      </c>
      <c r="S4047">
        <v>2.9762879999999998</v>
      </c>
      <c r="T4047">
        <v>-0.2094607</v>
      </c>
      <c r="U4047">
        <v>-0.77978519999999996</v>
      </c>
      <c r="V4047">
        <v>-0.25418299999999999</v>
      </c>
      <c r="W4047">
        <v>0.1198345</v>
      </c>
      <c r="X4047">
        <v>0.95970339999999998</v>
      </c>
      <c r="Y4047">
        <v>-0.38450430000000002</v>
      </c>
      <c r="Z4047">
        <v>5.2108849999999998E-2</v>
      </c>
      <c r="AA4047">
        <v>0.92165129999999995</v>
      </c>
      <c r="AB4047">
        <v>30</v>
      </c>
      <c r="AC4047">
        <v>15.695599999999899</v>
      </c>
      <c r="AD4047">
        <v>-1.1132266305309999</v>
      </c>
      <c r="AE4047">
        <v>-4.0565899999999999</v>
      </c>
      <c r="AF4047">
        <v>-6.28656548702845</v>
      </c>
      <c r="AG4047">
        <v>-1.1132266305309999</v>
      </c>
      <c r="AH4047">
        <v>14.860206962050199</v>
      </c>
      <c r="AI4047">
        <v>93.946776563436103</v>
      </c>
      <c r="AJ4047">
        <v>112.93064465024899</v>
      </c>
      <c r="AK4047">
        <v>16.173618336927099</v>
      </c>
      <c r="AL4047">
        <v>83.117448522253</v>
      </c>
      <c r="AM4047">
        <v>104.834506205671</v>
      </c>
      <c r="AN4047">
        <v>0.99999996042540396</v>
      </c>
    </row>
    <row r="4048" spans="1:40" x14ac:dyDescent="0.3">
      <c r="A4048" t="str">
        <f>"20200111150110583"</f>
        <v>20200111150110583</v>
      </c>
      <c r="B4048" t="str">
        <f>"1578726070571707"</f>
        <v>1578726070571707</v>
      </c>
      <c r="C4048" t="s">
        <v>40</v>
      </c>
      <c r="D4048">
        <v>5.1199250000000003</v>
      </c>
      <c r="E4048">
        <v>0.44293559999999998</v>
      </c>
      <c r="F4048" t="s">
        <v>42</v>
      </c>
      <c r="G4048">
        <v>-394.68549999999999</v>
      </c>
      <c r="H4048" s="1">
        <v>-2.6586260000000001E-6</v>
      </c>
      <c r="I4048">
        <v>20.240079999999999</v>
      </c>
      <c r="J4048">
        <v>-410.30340000000001</v>
      </c>
      <c r="K4048">
        <v>1.113237</v>
      </c>
      <c r="L4048">
        <v>24.196079999999998</v>
      </c>
      <c r="M4048">
        <v>0.797906</v>
      </c>
      <c r="N4048">
        <v>0</v>
      </c>
      <c r="O4048">
        <v>-0.60267119999999996</v>
      </c>
      <c r="P4048">
        <v>0.91853390000000001</v>
      </c>
      <c r="Q4048">
        <v>0.11384569999999999</v>
      </c>
      <c r="R4048">
        <v>-0.37859549999999997</v>
      </c>
      <c r="S4048">
        <v>2.9794010000000002</v>
      </c>
      <c r="T4048">
        <v>-0.2105572</v>
      </c>
      <c r="U4048">
        <v>-0.76632690000000003</v>
      </c>
      <c r="V4048">
        <v>-0.2541158</v>
      </c>
      <c r="W4048">
        <v>0.1195505</v>
      </c>
      <c r="X4048">
        <v>0.95975670000000002</v>
      </c>
      <c r="Y4048">
        <v>-0.38287450000000001</v>
      </c>
      <c r="Z4048">
        <v>5.2049480000000002E-2</v>
      </c>
      <c r="AA4048">
        <v>0.92233290000000001</v>
      </c>
      <c r="AB4048">
        <v>30</v>
      </c>
      <c r="AC4048">
        <v>15.617900000000001</v>
      </c>
      <c r="AD4048">
        <v>-1.1132396586260001</v>
      </c>
      <c r="AE4048">
        <v>-3.956</v>
      </c>
      <c r="AF4048">
        <v>-6.2266309879965203</v>
      </c>
      <c r="AG4048">
        <v>-1.1132396586260001</v>
      </c>
      <c r="AH4048">
        <v>14.7762253831004</v>
      </c>
      <c r="AI4048">
        <v>93.971525574813697</v>
      </c>
      <c r="AJ4048">
        <v>112.85032592506199</v>
      </c>
      <c r="AK4048">
        <v>16.073178670393599</v>
      </c>
      <c r="AL4048">
        <v>83.133838917065901</v>
      </c>
      <c r="AM4048">
        <v>104.82996985253899</v>
      </c>
      <c r="AN4048">
        <v>1.0000000425273801</v>
      </c>
    </row>
    <row r="4049" spans="1:40" x14ac:dyDescent="0.3">
      <c r="A4049" t="str">
        <f>"20200111150110599"</f>
        <v>20200111150110599</v>
      </c>
      <c r="B4049" t="str">
        <f>"1578726070592205"</f>
        <v>1578726070592205</v>
      </c>
      <c r="C4049" t="s">
        <v>40</v>
      </c>
      <c r="D4049">
        <v>4.5381900000000002</v>
      </c>
      <c r="E4049">
        <v>0.44373760000000001</v>
      </c>
      <c r="F4049" t="s">
        <v>42</v>
      </c>
      <c r="G4049">
        <v>-394.49180000000001</v>
      </c>
      <c r="H4049" s="1">
        <v>-2.7432050000000002E-6</v>
      </c>
      <c r="I4049">
        <v>20.213819999999998</v>
      </c>
      <c r="J4049">
        <v>-410.12380000000002</v>
      </c>
      <c r="K4049">
        <v>1.113251</v>
      </c>
      <c r="L4049">
        <v>24.07047</v>
      </c>
      <c r="M4049">
        <v>0.80287919999999902</v>
      </c>
      <c r="N4049">
        <v>0</v>
      </c>
      <c r="O4049">
        <v>-0.5960297</v>
      </c>
      <c r="P4049">
        <v>0.92177909999999996</v>
      </c>
      <c r="Q4049">
        <v>0.1131823</v>
      </c>
      <c r="R4049">
        <v>-0.37082779999999999</v>
      </c>
      <c r="S4049">
        <v>2.9824830000000002</v>
      </c>
      <c r="T4049">
        <v>-0.2099869</v>
      </c>
      <c r="U4049">
        <v>-0.75115969999999999</v>
      </c>
      <c r="V4049">
        <v>-0.25429489999999999</v>
      </c>
      <c r="W4049">
        <v>0.1188763</v>
      </c>
      <c r="X4049">
        <v>0.95979300000000001</v>
      </c>
      <c r="Y4049">
        <v>-0.37987609999999999</v>
      </c>
      <c r="Z4049">
        <v>5.144431E-2</v>
      </c>
      <c r="AA4049">
        <v>0.92360580000000003</v>
      </c>
      <c r="AB4049">
        <v>30</v>
      </c>
      <c r="AC4049">
        <v>15.632</v>
      </c>
      <c r="AD4049">
        <v>-1.113253743205</v>
      </c>
      <c r="AE4049">
        <v>-3.8566499999999899</v>
      </c>
      <c r="AF4049">
        <v>-6.19152748610865</v>
      </c>
      <c r="AG4049">
        <v>-1.113253743205</v>
      </c>
      <c r="AH4049">
        <v>14.779619585573201</v>
      </c>
      <c r="AI4049">
        <v>93.974161935824597</v>
      </c>
      <c r="AJ4049">
        <v>112.729947193581</v>
      </c>
      <c r="AK4049">
        <v>16.062736429458599</v>
      </c>
      <c r="AL4049">
        <v>83.172745145866799</v>
      </c>
      <c r="AM4049">
        <v>104.83942441064301</v>
      </c>
      <c r="AN4049">
        <v>1.0000000368583399</v>
      </c>
    </row>
    <row r="4050" spans="1:40" x14ac:dyDescent="0.3">
      <c r="A4050" t="str">
        <f>"20200111150110610"</f>
        <v>20200111150110610</v>
      </c>
      <c r="B4050" t="str">
        <f>"1578726070601963"</f>
        <v>1578726070601963</v>
      </c>
      <c r="C4050" t="s">
        <v>40</v>
      </c>
      <c r="D4050">
        <v>4.5852719999999998</v>
      </c>
      <c r="E4050">
        <v>0.4442546</v>
      </c>
      <c r="F4050" t="s">
        <v>42</v>
      </c>
      <c r="G4050">
        <v>-394.44200000000001</v>
      </c>
      <c r="H4050" s="1">
        <v>-2.7699930000000002E-6</v>
      </c>
      <c r="I4050">
        <v>20.226009999999999</v>
      </c>
      <c r="J4050">
        <v>-410.00139999999999</v>
      </c>
      <c r="K4050">
        <v>1.113259</v>
      </c>
      <c r="L4050">
        <v>23.986509999999999</v>
      </c>
      <c r="M4050">
        <v>0.80622099999999997</v>
      </c>
      <c r="N4050">
        <v>0</v>
      </c>
      <c r="O4050">
        <v>-0.59150179999999997</v>
      </c>
      <c r="P4050">
        <v>0.92395680000000002</v>
      </c>
      <c r="Q4050">
        <v>0.11274820000000001</v>
      </c>
      <c r="R4050">
        <v>-0.36550300000000002</v>
      </c>
      <c r="S4050">
        <v>2.9861149999999999</v>
      </c>
      <c r="T4050">
        <v>-0.21198429999999999</v>
      </c>
      <c r="U4050">
        <v>-0.73205569999999998</v>
      </c>
      <c r="V4050">
        <v>-0.25445709999999999</v>
      </c>
      <c r="W4050">
        <v>0.1184346</v>
      </c>
      <c r="X4050">
        <v>0.95980460000000001</v>
      </c>
      <c r="Y4050">
        <v>-0.38047199999999998</v>
      </c>
      <c r="Z4050">
        <v>5.1703119999999998E-2</v>
      </c>
      <c r="AA4050">
        <v>0.923346</v>
      </c>
      <c r="AB4050">
        <v>30</v>
      </c>
      <c r="AC4050">
        <v>15.5594</v>
      </c>
      <c r="AD4050">
        <v>-1.1132617699930001</v>
      </c>
      <c r="AE4050">
        <v>-3.7604999999999902</v>
      </c>
      <c r="AF4050">
        <v>-6.1423215814580701</v>
      </c>
      <c r="AG4050">
        <v>-1.1132617699930001</v>
      </c>
      <c r="AH4050">
        <v>14.698548863836301</v>
      </c>
      <c r="AI4050">
        <v>93.997510674401795</v>
      </c>
      <c r="AJ4050">
        <v>112.679379690321</v>
      </c>
      <c r="AK4050">
        <v>15.969182974753499</v>
      </c>
      <c r="AL4050">
        <v>83.198232634566395</v>
      </c>
      <c r="AM4050">
        <v>104.848300076551</v>
      </c>
      <c r="AN4050">
        <v>1.00000002019936</v>
      </c>
    </row>
    <row r="4051" spans="1:40" x14ac:dyDescent="0.3">
      <c r="A4051" t="str">
        <f>"20200111150110623"</f>
        <v>20200111150110623</v>
      </c>
      <c r="B4051" t="str">
        <f>"1578726070611722"</f>
        <v>1578726070611722</v>
      </c>
      <c r="C4051" t="s">
        <v>40</v>
      </c>
      <c r="D4051">
        <v>4.5343489999999997</v>
      </c>
      <c r="E4051">
        <v>0.44470470000000001</v>
      </c>
      <c r="F4051" t="s">
        <v>42</v>
      </c>
      <c r="G4051">
        <v>-394.3571</v>
      </c>
      <c r="H4051" s="1">
        <v>-2.8101049999999999E-6</v>
      </c>
      <c r="I4051">
        <v>20.225909999999999</v>
      </c>
      <c r="J4051">
        <v>-409.87040000000002</v>
      </c>
      <c r="K4051">
        <v>1.1132679999999999</v>
      </c>
      <c r="L4051">
        <v>23.897189999999998</v>
      </c>
      <c r="M4051">
        <v>0.80976349999999997</v>
      </c>
      <c r="N4051">
        <v>0</v>
      </c>
      <c r="O4051">
        <v>-0.58664259999999901</v>
      </c>
      <c r="P4051">
        <v>0.9261646</v>
      </c>
      <c r="Q4051">
        <v>0.1124044</v>
      </c>
      <c r="R4051">
        <v>-0.3599791</v>
      </c>
      <c r="S4051">
        <v>2.9886469999999998</v>
      </c>
      <c r="T4051">
        <v>-0.21267430000000001</v>
      </c>
      <c r="U4051">
        <v>-0.71841429999999995</v>
      </c>
      <c r="V4051">
        <v>-0.25443710000000003</v>
      </c>
      <c r="W4051">
        <v>0.118086999999999</v>
      </c>
      <c r="X4051">
        <v>0.9598527</v>
      </c>
      <c r="Y4051">
        <v>-0.37907269999999998</v>
      </c>
      <c r="Z4051">
        <v>5.155262E-2</v>
      </c>
      <c r="AA4051">
        <v>0.92392980000000002</v>
      </c>
      <c r="AB4051">
        <v>30</v>
      </c>
      <c r="AC4051">
        <v>15.513299999999999</v>
      </c>
      <c r="AD4051">
        <v>-1.113270810105</v>
      </c>
      <c r="AE4051">
        <v>-3.6712799999999999</v>
      </c>
      <c r="AF4051">
        <v>-6.0985623411735004</v>
      </c>
      <c r="AG4051">
        <v>-1.113270810105</v>
      </c>
      <c r="AH4051">
        <v>14.6453945766942</v>
      </c>
      <c r="AI4051">
        <v>94.014095498871697</v>
      </c>
      <c r="AJ4051">
        <v>112.607578660773</v>
      </c>
      <c r="AK4051">
        <v>15.9034404086939</v>
      </c>
      <c r="AL4051">
        <v>83.218289199014194</v>
      </c>
      <c r="AM4051">
        <v>104.846473409201</v>
      </c>
      <c r="AN4051">
        <v>0.999999991561349</v>
      </c>
    </row>
    <row r="4052" spans="1:40" x14ac:dyDescent="0.3">
      <c r="A4052" t="str">
        <f>"20200111150110635"</f>
        <v>20200111150110635</v>
      </c>
      <c r="B4052" t="str">
        <f>"1578726070632219"</f>
        <v>1578726070632219</v>
      </c>
      <c r="C4052" t="s">
        <v>40</v>
      </c>
      <c r="D4052">
        <v>4.4845759999999997</v>
      </c>
      <c r="E4052">
        <v>0.4456638</v>
      </c>
      <c r="F4052" t="s">
        <v>42</v>
      </c>
      <c r="G4052">
        <v>-394.38240000000002</v>
      </c>
      <c r="H4052" s="1">
        <v>-2.8053710000000001E-6</v>
      </c>
      <c r="I4052">
        <v>20.25299</v>
      </c>
      <c r="J4052">
        <v>-409.7414</v>
      </c>
      <c r="K4052">
        <v>1.113278</v>
      </c>
      <c r="L4052">
        <v>23.810669999999998</v>
      </c>
      <c r="M4052">
        <v>0.81320700000000001</v>
      </c>
      <c r="N4052">
        <v>0</v>
      </c>
      <c r="O4052">
        <v>-0.58185969999999998</v>
      </c>
      <c r="P4052">
        <v>0.92819989999999997</v>
      </c>
      <c r="Q4052">
        <v>0.1121326</v>
      </c>
      <c r="R4052">
        <v>-0.35478379999999998</v>
      </c>
      <c r="S4052">
        <v>2.9916990000000001</v>
      </c>
      <c r="T4052">
        <v>-0.21504119999999999</v>
      </c>
      <c r="U4052">
        <v>-0.7039185</v>
      </c>
      <c r="V4052">
        <v>-0.25417380000000001</v>
      </c>
      <c r="W4052">
        <v>0.1178181</v>
      </c>
      <c r="X4052">
        <v>0.95995549999999996</v>
      </c>
      <c r="Y4052">
        <v>-0.37803809999999999</v>
      </c>
      <c r="Z4052">
        <v>5.1811780000000002E-2</v>
      </c>
      <c r="AA4052">
        <v>0.92433909999999997</v>
      </c>
      <c r="AB4052">
        <v>30</v>
      </c>
      <c r="AC4052">
        <v>15.358999999999901</v>
      </c>
      <c r="AD4052">
        <v>-1.1132808053709999</v>
      </c>
      <c r="AE4052">
        <v>-3.55768</v>
      </c>
      <c r="AF4052">
        <v>-6.0140683827705397</v>
      </c>
      <c r="AG4052">
        <v>-1.1132808053709999</v>
      </c>
      <c r="AH4052">
        <v>14.488843257159701</v>
      </c>
      <c r="AI4052">
        <v>94.059270088700401</v>
      </c>
      <c r="AJ4052">
        <v>112.542492803743</v>
      </c>
      <c r="AK4052">
        <v>15.726887536788301</v>
      </c>
      <c r="AL4052">
        <v>83.233804356023796</v>
      </c>
      <c r="AM4052">
        <v>104.830269006252</v>
      </c>
      <c r="AN4052">
        <v>0.99999999363714998</v>
      </c>
    </row>
    <row r="4053" spans="1:40" x14ac:dyDescent="0.3">
      <c r="A4053" t="str">
        <f>"20200111150110646"</f>
        <v>20200111150110646</v>
      </c>
      <c r="B4053" t="str">
        <f>"1578726070641979"</f>
        <v>1578726070641979</v>
      </c>
      <c r="C4053" t="s">
        <v>40</v>
      </c>
      <c r="D4053">
        <v>4.6356739999999999</v>
      </c>
      <c r="E4053">
        <v>0.4460269</v>
      </c>
      <c r="F4053" t="s">
        <v>42</v>
      </c>
      <c r="G4053">
        <v>-394.43650000000002</v>
      </c>
      <c r="H4053" s="1">
        <v>-2.781702E-6</v>
      </c>
      <c r="I4053">
        <v>20.26023</v>
      </c>
      <c r="J4053">
        <v>-409.61900000000003</v>
      </c>
      <c r="K4053">
        <v>1.113286</v>
      </c>
      <c r="L4053">
        <v>23.729489999999998</v>
      </c>
      <c r="M4053">
        <v>0.8164382</v>
      </c>
      <c r="N4053">
        <v>0</v>
      </c>
      <c r="O4053">
        <v>-0.57731690000000002</v>
      </c>
      <c r="P4053">
        <v>0.93012059999999996</v>
      </c>
      <c r="Q4053">
        <v>0.111897</v>
      </c>
      <c r="R4053">
        <v>-0.34979280000000001</v>
      </c>
      <c r="S4053">
        <v>2.99295</v>
      </c>
      <c r="T4053">
        <v>-0.21770729999999999</v>
      </c>
      <c r="U4053">
        <v>-0.69430539999999996</v>
      </c>
      <c r="V4053">
        <v>-0.2539923</v>
      </c>
      <c r="W4053">
        <v>0.1175846</v>
      </c>
      <c r="X4053">
        <v>0.9600322</v>
      </c>
      <c r="Y4053">
        <v>-0.37574049999999998</v>
      </c>
      <c r="Z4053">
        <v>5.2118070000000002E-2</v>
      </c>
      <c r="AA4053">
        <v>0.92525820000000003</v>
      </c>
      <c r="AB4053">
        <v>30</v>
      </c>
      <c r="AC4053">
        <v>15.182499999999999</v>
      </c>
      <c r="AD4053">
        <v>-1.1132887817020001</v>
      </c>
      <c r="AE4053">
        <v>-3.46925999999999</v>
      </c>
      <c r="AF4053">
        <v>-5.9029104089448197</v>
      </c>
      <c r="AG4053">
        <v>-1.1132887817020001</v>
      </c>
      <c r="AH4053">
        <v>14.326191671465301</v>
      </c>
      <c r="AI4053">
        <v>94.109633378018998</v>
      </c>
      <c r="AJ4053">
        <v>112.39343701022</v>
      </c>
      <c r="AK4053">
        <v>15.5345914337988</v>
      </c>
      <c r="AL4053">
        <v>83.247276783850893</v>
      </c>
      <c r="AM4053">
        <v>104.819013331991</v>
      </c>
      <c r="AN4053">
        <v>1.0000000258266399</v>
      </c>
    </row>
    <row r="4054" spans="1:40" x14ac:dyDescent="0.3">
      <c r="A4054" t="str">
        <f>"20200111150110657"</f>
        <v>20200111150110657</v>
      </c>
      <c r="B4054" t="str">
        <f>"1578726070651738"</f>
        <v>1578726070651738</v>
      </c>
      <c r="C4054" t="s">
        <v>40</v>
      </c>
      <c r="D4054">
        <v>4.5666310000000001</v>
      </c>
      <c r="E4054">
        <v>0.4464496</v>
      </c>
      <c r="F4054" t="s">
        <v>42</v>
      </c>
      <c r="G4054">
        <v>-394.43529999999998</v>
      </c>
      <c r="H4054" s="1">
        <v>-2.787171E-6</v>
      </c>
      <c r="I4054">
        <v>20.278700000000001</v>
      </c>
      <c r="J4054">
        <v>-409.48869999999999</v>
      </c>
      <c r="K4054">
        <v>1.1132959999999901</v>
      </c>
      <c r="L4054">
        <v>23.643979999999999</v>
      </c>
      <c r="M4054">
        <v>0.81983879999999998</v>
      </c>
      <c r="N4054">
        <v>0</v>
      </c>
      <c r="O4054">
        <v>-0.57247760000000003</v>
      </c>
      <c r="P4054">
        <v>0.93207399999999996</v>
      </c>
      <c r="Q4054">
        <v>0.111887899999999</v>
      </c>
      <c r="R4054">
        <v>-0.3445568</v>
      </c>
      <c r="S4054">
        <v>2.9957579999999999</v>
      </c>
      <c r="T4054">
        <v>-0.2196535</v>
      </c>
      <c r="U4054">
        <v>-0.68084719999999999</v>
      </c>
      <c r="V4054">
        <v>-0.25371470000000002</v>
      </c>
      <c r="W4054">
        <v>0.1175794</v>
      </c>
      <c r="X4054">
        <v>0.96010629999999997</v>
      </c>
      <c r="Y4054">
        <v>-0.37437569999999998</v>
      </c>
      <c r="Z4054">
        <v>5.224475E-2</v>
      </c>
      <c r="AA4054">
        <v>0.92580410000000002</v>
      </c>
      <c r="AB4054">
        <v>30</v>
      </c>
      <c r="AC4054">
        <v>15.0534</v>
      </c>
      <c r="AD4054">
        <v>-1.1132987871709901</v>
      </c>
      <c r="AE4054">
        <v>-3.3652799999999901</v>
      </c>
      <c r="AF4054">
        <v>-5.8287755107103703</v>
      </c>
      <c r="AG4054">
        <v>-1.1132987871709901</v>
      </c>
      <c r="AH4054">
        <v>14.1949182657342</v>
      </c>
      <c r="AI4054">
        <v>94.149597889248298</v>
      </c>
      <c r="AJ4054">
        <v>112.324234718586</v>
      </c>
      <c r="AK4054">
        <v>15.385374961782601</v>
      </c>
      <c r="AL4054">
        <v>83.247577209928195</v>
      </c>
      <c r="AM4054">
        <v>104.802436183502</v>
      </c>
      <c r="AN4054">
        <v>1.0000000858000599</v>
      </c>
    </row>
    <row r="4055" spans="1:40" x14ac:dyDescent="0.3">
      <c r="A4055" t="str">
        <f>"20200111150110669"</f>
        <v>20200111150110669</v>
      </c>
      <c r="B4055" t="str">
        <f>"1578726070661498"</f>
        <v>1578726070661498</v>
      </c>
      <c r="C4055" t="s">
        <v>40</v>
      </c>
      <c r="D4055">
        <v>4.4886379999999999</v>
      </c>
      <c r="E4055">
        <v>0.4464496</v>
      </c>
      <c r="F4055" t="s">
        <v>42</v>
      </c>
      <c r="G4055">
        <v>-394.3245</v>
      </c>
      <c r="H4055" s="1">
        <v>-2.837056E-6</v>
      </c>
      <c r="I4055">
        <v>20.269310000000001</v>
      </c>
      <c r="J4055">
        <v>-409.36110000000002</v>
      </c>
      <c r="K4055">
        <v>1.1133040000000001</v>
      </c>
      <c r="L4055">
        <v>23.56165</v>
      </c>
      <c r="M4055">
        <v>0.82312609999999997</v>
      </c>
      <c r="N4055">
        <v>0</v>
      </c>
      <c r="O4055">
        <v>-0.56774080000000005</v>
      </c>
      <c r="P4055">
        <v>0.93394739999999998</v>
      </c>
      <c r="Q4055">
        <v>0.1122085</v>
      </c>
      <c r="R4055">
        <v>-0.33934039999999999</v>
      </c>
      <c r="S4055">
        <v>2.998383</v>
      </c>
      <c r="T4055">
        <v>-0.22012999999999999</v>
      </c>
      <c r="U4055">
        <v>-0.66726680000000005</v>
      </c>
      <c r="V4055">
        <v>-0.25353399999999998</v>
      </c>
      <c r="W4055">
        <v>0.1179014</v>
      </c>
      <c r="X4055">
        <v>0.96011449999999998</v>
      </c>
      <c r="Y4055">
        <v>-0.37320140000000002</v>
      </c>
      <c r="Z4055">
        <v>5.2033219999999998E-2</v>
      </c>
      <c r="AA4055">
        <v>0.92628999999999995</v>
      </c>
      <c r="AB4055">
        <v>30</v>
      </c>
      <c r="AC4055">
        <v>15.0366</v>
      </c>
      <c r="AD4055">
        <v>-1.113306837056</v>
      </c>
      <c r="AE4055">
        <v>-3.2923399999999901</v>
      </c>
      <c r="AF4055">
        <v>-5.7969457728048601</v>
      </c>
      <c r="AG4055">
        <v>-1.113306837056</v>
      </c>
      <c r="AH4055">
        <v>14.173026283913501</v>
      </c>
      <c r="AI4055">
        <v>94.158357465442606</v>
      </c>
      <c r="AJ4055">
        <v>112.245178078311</v>
      </c>
      <c r="AK4055">
        <v>15.3531334407924</v>
      </c>
      <c r="AL4055">
        <v>83.228998442809896</v>
      </c>
      <c r="AM4055">
        <v>104.792235255395</v>
      </c>
      <c r="AN4055">
        <v>1.0000000411940999</v>
      </c>
    </row>
    <row r="4056" spans="1:40" x14ac:dyDescent="0.3">
      <c r="A4056" t="str">
        <f>"20200111150110681"</f>
        <v>20200111150110681</v>
      </c>
      <c r="B4056" t="str">
        <f>"1578726070672235"</f>
        <v>1578726070672235</v>
      </c>
      <c r="C4056" t="s">
        <v>40</v>
      </c>
      <c r="D4056">
        <v>4.6890999999999998</v>
      </c>
      <c r="E4056">
        <v>0.47136630000000002</v>
      </c>
      <c r="F4056" t="s">
        <v>42</v>
      </c>
      <c r="G4056">
        <v>-394.1087</v>
      </c>
      <c r="H4056" s="1">
        <v>-2.9357239999999999E-6</v>
      </c>
      <c r="I4056">
        <v>20.25675</v>
      </c>
      <c r="J4056">
        <v>-409.23360000000002</v>
      </c>
      <c r="K4056">
        <v>1.1133150000000001</v>
      </c>
      <c r="L4056">
        <v>23.47992</v>
      </c>
      <c r="M4056">
        <v>0.82637660000000002</v>
      </c>
      <c r="N4056">
        <v>0</v>
      </c>
      <c r="O4056">
        <v>-0.56299889999999997</v>
      </c>
      <c r="P4056">
        <v>0.93578859999999997</v>
      </c>
      <c r="Q4056">
        <v>0.112335199999999</v>
      </c>
      <c r="R4056">
        <v>-0.33418680000000001</v>
      </c>
      <c r="S4056">
        <v>3.002167</v>
      </c>
      <c r="T4056">
        <v>-0.21913540000000001</v>
      </c>
      <c r="U4056">
        <v>-0.65051269999999894</v>
      </c>
      <c r="V4056">
        <v>-0.25330259999999999</v>
      </c>
      <c r="W4056">
        <v>0.1180312</v>
      </c>
      <c r="X4056">
        <v>0.9601596</v>
      </c>
      <c r="Y4056">
        <v>-0.37308079999999999</v>
      </c>
      <c r="Z4056">
        <v>5.1500480000000001E-2</v>
      </c>
      <c r="AA4056">
        <v>0.92636839999999998</v>
      </c>
      <c r="AB4056">
        <v>30</v>
      </c>
      <c r="AC4056">
        <v>15.1249</v>
      </c>
      <c r="AD4056">
        <v>-1.113317935724</v>
      </c>
      <c r="AE4056">
        <v>-3.2231700000000001</v>
      </c>
      <c r="AF4056">
        <v>-5.8219676051742004</v>
      </c>
      <c r="AG4056">
        <v>-1.113317935724</v>
      </c>
      <c r="AH4056">
        <v>14.2406567270256</v>
      </c>
      <c r="AI4056">
        <v>94.138986729854693</v>
      </c>
      <c r="AJ4056">
        <v>112.236078445863</v>
      </c>
      <c r="AK4056">
        <v>15.4250149963843</v>
      </c>
      <c r="AL4056">
        <v>83.221508975309604</v>
      </c>
      <c r="AM4056">
        <v>104.778661793395</v>
      </c>
      <c r="AN4056">
        <v>1.00000001440618</v>
      </c>
    </row>
    <row r="4057" spans="1:40" x14ac:dyDescent="0.3">
      <c r="A4057" t="str">
        <f>"20200111150110691"</f>
        <v>20200111150110691</v>
      </c>
      <c r="B4057" t="str">
        <f>"1578726070681995"</f>
        <v>1578726070681995</v>
      </c>
      <c r="C4057" t="s">
        <v>40</v>
      </c>
      <c r="D4057">
        <v>5.2202330000000003</v>
      </c>
      <c r="E4057">
        <v>0.47122589999999998</v>
      </c>
      <c r="F4057" t="s">
        <v>42</v>
      </c>
      <c r="G4057">
        <v>-393.98169999999999</v>
      </c>
      <c r="H4057" s="1">
        <v>-2.895813E-6</v>
      </c>
      <c r="I4057">
        <v>19.21912</v>
      </c>
      <c r="J4057">
        <v>-409.10770000000002</v>
      </c>
      <c r="K4057">
        <v>1.113321</v>
      </c>
      <c r="L4057">
        <v>23.400849999999998</v>
      </c>
      <c r="M4057">
        <v>0.82954030000000001</v>
      </c>
      <c r="N4057">
        <v>0</v>
      </c>
      <c r="O4057">
        <v>-0.55832689999999996</v>
      </c>
      <c r="P4057">
        <v>0.93746910000000006</v>
      </c>
      <c r="Q4057">
        <v>0.1129874</v>
      </c>
      <c r="R4057">
        <v>-0.32922010000000002</v>
      </c>
      <c r="S4057">
        <v>2.9384459999999999</v>
      </c>
      <c r="T4057">
        <v>-0.2144933</v>
      </c>
      <c r="U4057">
        <v>-0.82089230000000002</v>
      </c>
      <c r="V4057">
        <v>-0.25294800000000001</v>
      </c>
      <c r="W4057">
        <v>0.1186888</v>
      </c>
      <c r="X4057">
        <v>0.96017200000000003</v>
      </c>
      <c r="Y4057">
        <v>-0.31261729999999999</v>
      </c>
      <c r="Z4057">
        <v>4.8535439999999999E-2</v>
      </c>
      <c r="AA4057">
        <v>0.94863839999999999</v>
      </c>
      <c r="AB4057">
        <v>30</v>
      </c>
      <c r="AC4057">
        <v>15.125999999999999</v>
      </c>
      <c r="AD4057">
        <v>-1.1133238958130001</v>
      </c>
      <c r="AE4057">
        <v>-4.1817299999999902</v>
      </c>
      <c r="AF4057">
        <v>-4.9517513475747004</v>
      </c>
      <c r="AG4057">
        <v>-1.1133238958130001</v>
      </c>
      <c r="AH4057">
        <v>14.8088659149716</v>
      </c>
      <c r="AI4057">
        <v>94.078242990699707</v>
      </c>
      <c r="AJ4057">
        <v>108.488774906755</v>
      </c>
      <c r="AK4057">
        <v>15.654451162299001</v>
      </c>
      <c r="AL4057">
        <v>83.183564422023906</v>
      </c>
      <c r="AM4057">
        <v>104.758694460836</v>
      </c>
      <c r="AN4057">
        <v>0.99999999576671905</v>
      </c>
    </row>
    <row r="4058" spans="1:40" x14ac:dyDescent="0.3">
      <c r="A4058" t="str">
        <f>"20200111150110707"</f>
        <v>20200111150110707</v>
      </c>
      <c r="B4058" t="str">
        <f>"1578726070701514"</f>
        <v>1578726070701514</v>
      </c>
      <c r="C4058" t="s">
        <v>40</v>
      </c>
      <c r="D4058">
        <v>4.5392539999999997</v>
      </c>
      <c r="E4058">
        <v>0.47190100000000001</v>
      </c>
      <c r="F4058" t="s">
        <v>42</v>
      </c>
      <c r="G4058">
        <v>-392.9735</v>
      </c>
      <c r="H4058" s="1">
        <v>-3.4123750000000001E-6</v>
      </c>
      <c r="I4058">
        <v>18.993670000000002</v>
      </c>
      <c r="J4058">
        <v>-408.94380000000001</v>
      </c>
      <c r="K4058">
        <v>1.1133299999999999</v>
      </c>
      <c r="L4058">
        <v>23.298919999999999</v>
      </c>
      <c r="M4058">
        <v>0.83360979999999996</v>
      </c>
      <c r="N4058">
        <v>0</v>
      </c>
      <c r="O4058">
        <v>-0.55223250000000002</v>
      </c>
      <c r="P4058">
        <v>0.93965290000000001</v>
      </c>
      <c r="Q4058">
        <v>0.11316569999999999</v>
      </c>
      <c r="R4058">
        <v>-0.32287189999999999</v>
      </c>
      <c r="S4058">
        <v>2.942291</v>
      </c>
      <c r="T4058">
        <v>-0.20302999999999999</v>
      </c>
      <c r="U4058">
        <v>-0.80371090000000001</v>
      </c>
      <c r="V4058">
        <v>-0.25240010000000002</v>
      </c>
      <c r="W4058">
        <v>0.1188777</v>
      </c>
      <c r="X4058">
        <v>0.96029279999999995</v>
      </c>
      <c r="Y4058">
        <v>-0.31134269999999997</v>
      </c>
      <c r="Z4058">
        <v>4.5561879999999999E-2</v>
      </c>
      <c r="AA4058">
        <v>0.94920490000000002</v>
      </c>
      <c r="AB4058">
        <v>30</v>
      </c>
      <c r="AC4058">
        <v>15.9703</v>
      </c>
      <c r="AD4058">
        <v>-1.1133334123749901</v>
      </c>
      <c r="AE4058">
        <v>-4.30525</v>
      </c>
      <c r="AF4058">
        <v>-5.2071787689845701</v>
      </c>
      <c r="AG4058">
        <v>-1.1133334123749901</v>
      </c>
      <c r="AH4058">
        <v>15.620776945894301</v>
      </c>
      <c r="AI4058">
        <v>93.868154971751096</v>
      </c>
      <c r="AJ4058">
        <v>108.43578440182699</v>
      </c>
      <c r="AK4058">
        <v>16.5034206882288</v>
      </c>
      <c r="AL4058">
        <v>83.172664036684907</v>
      </c>
      <c r="AM4058">
        <v>104.72634522877</v>
      </c>
      <c r="AN4058">
        <v>0.99999998988456995</v>
      </c>
    </row>
    <row r="4059" spans="1:40" x14ac:dyDescent="0.3">
      <c r="A4059" t="str">
        <f>"20200111150110722"</f>
        <v>20200111150110722</v>
      </c>
      <c r="B4059" t="str">
        <f>"1578726070712254"</f>
        <v>1578726070712254</v>
      </c>
      <c r="C4059" t="s">
        <v>40</v>
      </c>
      <c r="D4059">
        <v>4.5265279999999999</v>
      </c>
      <c r="E4059">
        <v>0.47251330000000002</v>
      </c>
      <c r="F4059" t="s">
        <v>42</v>
      </c>
      <c r="G4059">
        <v>-392.03699999999998</v>
      </c>
      <c r="H4059" s="1">
        <v>-3.8943040000000002E-6</v>
      </c>
      <c r="I4059">
        <v>18.772680000000001</v>
      </c>
      <c r="J4059">
        <v>-408.7801</v>
      </c>
      <c r="K4059">
        <v>1.113345</v>
      </c>
      <c r="L4059">
        <v>23.19858</v>
      </c>
      <c r="M4059">
        <v>0.83761209999999997</v>
      </c>
      <c r="N4059">
        <v>0</v>
      </c>
      <c r="O4059">
        <v>-0.54614249999999998</v>
      </c>
      <c r="P4059">
        <v>0.94163289999999999</v>
      </c>
      <c r="Q4059">
        <v>0.1134003</v>
      </c>
      <c r="R4059">
        <v>-0.31696679999999999</v>
      </c>
      <c r="S4059">
        <v>2.9450989999999999</v>
      </c>
      <c r="T4059">
        <v>-0.19393820000000001</v>
      </c>
      <c r="U4059">
        <v>-0.78845209999999999</v>
      </c>
      <c r="V4059">
        <v>-0.25142100000000001</v>
      </c>
      <c r="W4059">
        <v>0.1191325</v>
      </c>
      <c r="X4059">
        <v>0.96051810000000004</v>
      </c>
      <c r="Y4059">
        <v>-0.30939689999999997</v>
      </c>
      <c r="Z4059">
        <v>4.3142680000000003E-2</v>
      </c>
      <c r="AA4059">
        <v>0.94995390000000002</v>
      </c>
      <c r="AB4059">
        <v>30</v>
      </c>
      <c r="AC4059">
        <v>16.743099999999998</v>
      </c>
      <c r="AD4059">
        <v>-1.113348894304</v>
      </c>
      <c r="AE4059">
        <v>-4.4259000000000004</v>
      </c>
      <c r="AF4059">
        <v>-5.4149169064488998</v>
      </c>
      <c r="AG4059">
        <v>-1.113348894304</v>
      </c>
      <c r="AH4059">
        <v>16.374823857851801</v>
      </c>
      <c r="AI4059">
        <v>93.693518209859207</v>
      </c>
      <c r="AJ4059">
        <v>108.298302117814</v>
      </c>
      <c r="AK4059">
        <v>17.2828159522651</v>
      </c>
      <c r="AL4059">
        <v>83.157960970440101</v>
      </c>
      <c r="AM4059">
        <v>104.668395566196</v>
      </c>
      <c r="AN4059">
        <v>1.0000000461124201</v>
      </c>
    </row>
    <row r="4060" spans="1:40" x14ac:dyDescent="0.3">
      <c r="A4060" t="str">
        <f>"20200111150110732"</f>
        <v>20200111150110732</v>
      </c>
      <c r="B4060" t="str">
        <f>"1578726070722011"</f>
        <v>1578726070722011</v>
      </c>
      <c r="C4060" t="s">
        <v>40</v>
      </c>
      <c r="D4060">
        <v>4.5386689999999996</v>
      </c>
      <c r="E4060">
        <v>0.47275119999999998</v>
      </c>
      <c r="F4060" t="s">
        <v>42</v>
      </c>
      <c r="G4060">
        <v>-391.5763</v>
      </c>
      <c r="H4060" s="1">
        <v>-4.1283020000000004E-6</v>
      </c>
      <c r="I4060">
        <v>18.681229999999999</v>
      </c>
      <c r="J4060">
        <v>-408.65370000000001</v>
      </c>
      <c r="K4060">
        <v>1.1133519999999999</v>
      </c>
      <c r="L4060">
        <v>23.12265</v>
      </c>
      <c r="M4060">
        <v>0.84065489999999998</v>
      </c>
      <c r="N4060">
        <v>0</v>
      </c>
      <c r="O4060">
        <v>-0.54144720000000002</v>
      </c>
      <c r="P4060">
        <v>0.94324969999999997</v>
      </c>
      <c r="Q4060">
        <v>0.1137364</v>
      </c>
      <c r="R4060">
        <v>-0.3119999</v>
      </c>
      <c r="S4060">
        <v>2.948334</v>
      </c>
      <c r="T4060">
        <v>-0.19080230000000001</v>
      </c>
      <c r="U4060">
        <v>-0.77416989999999997</v>
      </c>
      <c r="V4060">
        <v>-0.25109550000000003</v>
      </c>
      <c r="W4060">
        <v>0.11947430000000001</v>
      </c>
      <c r="X4060">
        <v>0.96056070000000005</v>
      </c>
      <c r="Y4060">
        <v>-0.308697</v>
      </c>
      <c r="Z4060">
        <v>4.2171050000000002E-2</v>
      </c>
      <c r="AA4060">
        <v>0.95022510000000004</v>
      </c>
      <c r="AB4060">
        <v>30</v>
      </c>
      <c r="AC4060">
        <v>17.077400000000001</v>
      </c>
      <c r="AD4060">
        <v>-1.1133561283019999</v>
      </c>
      <c r="AE4060">
        <v>-4.4414199999999999</v>
      </c>
      <c r="AF4060">
        <v>-5.4913177295356901</v>
      </c>
      <c r="AG4060">
        <v>-1.1133561283019999</v>
      </c>
      <c r="AH4060">
        <v>16.695653158712801</v>
      </c>
      <c r="AI4060">
        <v>93.624668479641997</v>
      </c>
      <c r="AJ4060">
        <v>108.20639900325899</v>
      </c>
      <c r="AK4060">
        <v>17.610762807759802</v>
      </c>
      <c r="AL4060">
        <v>83.138235793315602</v>
      </c>
      <c r="AM4060">
        <v>104.649600939744</v>
      </c>
      <c r="AN4060">
        <v>0.99999995843261402</v>
      </c>
    </row>
    <row r="4061" spans="1:40" x14ac:dyDescent="0.3">
      <c r="A4061" t="str">
        <f>"20200111150110746"</f>
        <v>20200111150110746</v>
      </c>
      <c r="B4061" t="str">
        <f>"1578726070741530"</f>
        <v>1578726070741530</v>
      </c>
      <c r="C4061" t="s">
        <v>40</v>
      </c>
      <c r="D4061">
        <v>4.6352650000000004</v>
      </c>
      <c r="E4061">
        <v>0.47308860000000003</v>
      </c>
      <c r="F4061" t="s">
        <v>42</v>
      </c>
      <c r="G4061">
        <v>-391.01710000000003</v>
      </c>
      <c r="H4061" s="1">
        <v>-4.4109639999999996E-6</v>
      </c>
      <c r="I4061">
        <v>18.577950000000001</v>
      </c>
      <c r="J4061">
        <v>-408.50729999999999</v>
      </c>
      <c r="K4061">
        <v>1.1133580000000001</v>
      </c>
      <c r="L4061">
        <v>23.035520000000002</v>
      </c>
      <c r="M4061">
        <v>0.84413769999999999</v>
      </c>
      <c r="N4061">
        <v>0</v>
      </c>
      <c r="O4061">
        <v>-0.53600139999999996</v>
      </c>
      <c r="P4061">
        <v>0.94522810000000002</v>
      </c>
      <c r="Q4061">
        <v>0.1139748</v>
      </c>
      <c r="R4061">
        <v>-0.30586570000000002</v>
      </c>
      <c r="S4061">
        <v>2.9513850000000001</v>
      </c>
      <c r="T4061">
        <v>-0.1863136</v>
      </c>
      <c r="U4061">
        <v>-0.7605286</v>
      </c>
      <c r="V4061">
        <v>-0.25111860000000003</v>
      </c>
      <c r="W4061">
        <v>0.1197091</v>
      </c>
      <c r="X4061">
        <v>0.96052550000000003</v>
      </c>
      <c r="Y4061">
        <v>-0.3069866</v>
      </c>
      <c r="Z4061">
        <v>4.0841370000000002E-2</v>
      </c>
      <c r="AA4061">
        <v>0.95083709999999999</v>
      </c>
      <c r="AB4061">
        <v>30</v>
      </c>
      <c r="AC4061">
        <v>17.490199999999898</v>
      </c>
      <c r="AD4061">
        <v>-1.1133624109639999</v>
      </c>
      <c r="AE4061">
        <v>-4.4575699999999996</v>
      </c>
      <c r="AF4061">
        <v>-5.59107103127094</v>
      </c>
      <c r="AG4061">
        <v>-1.1133624109639999</v>
      </c>
      <c r="AH4061">
        <v>17.089525376646101</v>
      </c>
      <c r="AI4061">
        <v>93.543188023258395</v>
      </c>
      <c r="AJ4061">
        <v>108.11621360794901</v>
      </c>
      <c r="AK4061">
        <v>18.015313728433799</v>
      </c>
      <c r="AL4061">
        <v>83.124685976095094</v>
      </c>
      <c r="AM4061">
        <v>104.651404479929</v>
      </c>
      <c r="AN4061">
        <v>1.0000000280195001</v>
      </c>
    </row>
    <row r="4062" spans="1:40" x14ac:dyDescent="0.3">
      <c r="A4062" t="str">
        <f>"20200111150110757"</f>
        <v>20200111150110757</v>
      </c>
      <c r="B4062" t="str">
        <f>"1578726070752348"</f>
        <v>1578726070752348</v>
      </c>
      <c r="C4062" t="s">
        <v>40</v>
      </c>
      <c r="D4062">
        <v>4.5251570000000001</v>
      </c>
      <c r="E4062">
        <v>0.47234799999999899</v>
      </c>
      <c r="F4062" t="s">
        <v>42</v>
      </c>
      <c r="G4062">
        <v>-390.85120000000001</v>
      </c>
      <c r="H4062" s="1">
        <v>-4.4872339999999997E-6</v>
      </c>
      <c r="I4062">
        <v>18.590050000000002</v>
      </c>
      <c r="J4062">
        <v>-408.37580000000003</v>
      </c>
      <c r="K4062">
        <v>1.113364</v>
      </c>
      <c r="L4062">
        <v>22.95834</v>
      </c>
      <c r="M4062">
        <v>0.84722350000000002</v>
      </c>
      <c r="N4062">
        <v>0</v>
      </c>
      <c r="O4062">
        <v>-0.53111019999999998</v>
      </c>
      <c r="P4062">
        <v>0.94705220000000001</v>
      </c>
      <c r="Q4062">
        <v>0.1137266</v>
      </c>
      <c r="R4062">
        <v>-0.30026389999999997</v>
      </c>
      <c r="S4062">
        <v>2.955505</v>
      </c>
      <c r="T4062">
        <v>-0.1863689</v>
      </c>
      <c r="U4062">
        <v>-0.74414060000000004</v>
      </c>
      <c r="V4062">
        <v>-0.25126279999999901</v>
      </c>
      <c r="W4062">
        <v>0.1194553</v>
      </c>
      <c r="X4062">
        <v>0.96051940000000002</v>
      </c>
      <c r="Y4062">
        <v>-0.30676330000000002</v>
      </c>
      <c r="Z4062">
        <v>4.0579009999999999E-2</v>
      </c>
      <c r="AA4062">
        <v>0.9509204</v>
      </c>
      <c r="AB4062">
        <v>30</v>
      </c>
      <c r="AC4062">
        <v>17.5246</v>
      </c>
      <c r="AD4062">
        <v>-1.1133684872339999</v>
      </c>
      <c r="AE4062">
        <v>-4.3682899999999902</v>
      </c>
      <c r="AF4062">
        <v>-5.5857256980162404</v>
      </c>
      <c r="AG4062">
        <v>-1.1133684872339999</v>
      </c>
      <c r="AH4062">
        <v>17.103453247824699</v>
      </c>
      <c r="AI4062">
        <v>93.540933130003594</v>
      </c>
      <c r="AJ4062">
        <v>108.086244390205</v>
      </c>
      <c r="AK4062">
        <v>18.026869777151202</v>
      </c>
      <c r="AL4062">
        <v>83.139332831848293</v>
      </c>
      <c r="AM4062">
        <v>104.65954455996101</v>
      </c>
      <c r="AN4062">
        <v>1.00000004056914</v>
      </c>
    </row>
    <row r="4063" spans="1:40" x14ac:dyDescent="0.3">
      <c r="A4063" t="str">
        <f>"20200111150110770"</f>
        <v>20200111150110770</v>
      </c>
      <c r="B4063" t="str">
        <f>"1578726070762107"</f>
        <v>1578726070762107</v>
      </c>
      <c r="C4063" t="s">
        <v>40</v>
      </c>
      <c r="D4063">
        <v>4.4914329999999998</v>
      </c>
      <c r="E4063">
        <v>0.47339750000000003</v>
      </c>
      <c r="F4063" t="s">
        <v>42</v>
      </c>
      <c r="G4063">
        <v>-396.99259999999998</v>
      </c>
      <c r="H4063" s="1">
        <v>-1.54993E-6</v>
      </c>
      <c r="I4063">
        <v>20.171849999999999</v>
      </c>
      <c r="J4063">
        <v>-408.22809999999998</v>
      </c>
      <c r="K4063">
        <v>1.1133679999999999</v>
      </c>
      <c r="L4063">
        <v>22.873139999999999</v>
      </c>
      <c r="M4063">
        <v>0.85064110000000004</v>
      </c>
      <c r="N4063">
        <v>0</v>
      </c>
      <c r="O4063">
        <v>-0.5256189</v>
      </c>
      <c r="P4063">
        <v>0.94907030000000003</v>
      </c>
      <c r="Q4063">
        <v>0.11346729999999999</v>
      </c>
      <c r="R4063">
        <v>-0.29392299999999999</v>
      </c>
      <c r="S4063">
        <v>2.9719850000000001</v>
      </c>
      <c r="T4063">
        <v>-0.290682</v>
      </c>
      <c r="U4063">
        <v>-0.7275085</v>
      </c>
      <c r="V4063">
        <v>-0.25148749999999997</v>
      </c>
      <c r="W4063">
        <v>0.1191874</v>
      </c>
      <c r="X4063">
        <v>0.96049379999999995</v>
      </c>
      <c r="Y4063">
        <v>-0.30487360000000002</v>
      </c>
      <c r="Z4063">
        <v>6.2397649999999999E-2</v>
      </c>
      <c r="AA4063">
        <v>0.95034660000000004</v>
      </c>
      <c r="AB4063">
        <v>30</v>
      </c>
      <c r="AC4063">
        <v>11.2355</v>
      </c>
      <c r="AD4063">
        <v>-1.11336954992999</v>
      </c>
      <c r="AE4063">
        <v>-2.7012900000000002</v>
      </c>
      <c r="AF4063">
        <v>-3.57482040109947</v>
      </c>
      <c r="AG4063">
        <v>-1.11336954992999</v>
      </c>
      <c r="AH4063">
        <v>10.876994186890601</v>
      </c>
      <c r="AI4063">
        <v>95.554137057941006</v>
      </c>
      <c r="AJ4063">
        <v>108.193566398654</v>
      </c>
      <c r="AK4063">
        <v>11.50338798774</v>
      </c>
      <c r="AL4063">
        <v>83.154792332148205</v>
      </c>
      <c r="AM4063">
        <v>104.672463108467</v>
      </c>
      <c r="AN4063">
        <v>0.99999996940672398</v>
      </c>
    </row>
    <row r="4064" spans="1:40" x14ac:dyDescent="0.3">
      <c r="A4064" t="str">
        <f>"20200111150110783"</f>
        <v>20200111150110783</v>
      </c>
      <c r="B4064" t="str">
        <f>"1578726070771867"</f>
        <v>1578726070771867</v>
      </c>
      <c r="C4064" t="s">
        <v>40</v>
      </c>
      <c r="D4064">
        <v>4.6240670000000001</v>
      </c>
      <c r="E4064">
        <v>0.4729701</v>
      </c>
      <c r="F4064" t="s">
        <v>42</v>
      </c>
      <c r="G4064">
        <v>-396.6814</v>
      </c>
      <c r="H4064" s="1">
        <v>-1.6767E-6</v>
      </c>
      <c r="I4064">
        <v>20.09553</v>
      </c>
      <c r="J4064">
        <v>-408.0813</v>
      </c>
      <c r="K4064">
        <v>1.1133759999999999</v>
      </c>
      <c r="L4064">
        <v>22.789280000000002</v>
      </c>
      <c r="M4064">
        <v>0.85399519999999995</v>
      </c>
      <c r="N4064">
        <v>0</v>
      </c>
      <c r="O4064">
        <v>-0.52015159999999905</v>
      </c>
      <c r="P4064">
        <v>0.95090180000000002</v>
      </c>
      <c r="Q4064">
        <v>0.11342380000000001</v>
      </c>
      <c r="R4064">
        <v>-0.28795999999999999</v>
      </c>
      <c r="S4064">
        <v>2.9736940000000001</v>
      </c>
      <c r="T4064">
        <v>-0.28673179999999998</v>
      </c>
      <c r="U4064">
        <v>-0.71533199999999997</v>
      </c>
      <c r="V4064">
        <v>-0.25135930000000001</v>
      </c>
      <c r="W4064">
        <v>0.11914429999999999</v>
      </c>
      <c r="X4064">
        <v>0.96053270000000002</v>
      </c>
      <c r="Y4064">
        <v>-0.30268909999999999</v>
      </c>
      <c r="Z4064">
        <v>6.1022689999999997E-2</v>
      </c>
      <c r="AA4064">
        <v>0.95113380000000003</v>
      </c>
      <c r="AB4064">
        <v>30</v>
      </c>
      <c r="AC4064">
        <v>11.399900000000001</v>
      </c>
      <c r="AD4064">
        <v>-1.1133776767000001</v>
      </c>
      <c r="AE4064">
        <v>-2.6937499999999899</v>
      </c>
      <c r="AF4064">
        <v>-3.5969752068352601</v>
      </c>
      <c r="AG4064">
        <v>-1.1133776767000001</v>
      </c>
      <c r="AH4064">
        <v>11.037651696549601</v>
      </c>
      <c r="AI4064">
        <v>95.478295938013304</v>
      </c>
      <c r="AJ4064">
        <v>108.049871818092</v>
      </c>
      <c r="AK4064">
        <v>11.662229437972201</v>
      </c>
      <c r="AL4064">
        <v>83.157279471629593</v>
      </c>
      <c r="AM4064">
        <v>104.664737753938</v>
      </c>
      <c r="AN4064">
        <v>0.999999964844134</v>
      </c>
    </row>
    <row r="4065" spans="1:40" x14ac:dyDescent="0.3">
      <c r="A4065" t="str">
        <f>"20200111150110802"</f>
        <v>20200111150110802</v>
      </c>
      <c r="B4065" t="str">
        <f>"1578726070792380"</f>
        <v>1578726070792380</v>
      </c>
      <c r="C4065" t="s">
        <v>40</v>
      </c>
      <c r="D4065">
        <v>4.6315770000000001</v>
      </c>
      <c r="E4065">
        <v>0.47342040000000002</v>
      </c>
      <c r="F4065" t="s">
        <v>42</v>
      </c>
      <c r="G4065">
        <v>-396.74209999999999</v>
      </c>
      <c r="H4065" s="1">
        <v>-1.66287E-6</v>
      </c>
      <c r="I4065">
        <v>20.151299999999999</v>
      </c>
      <c r="J4065">
        <v>-407.8741</v>
      </c>
      <c r="K4065">
        <v>1.113389</v>
      </c>
      <c r="L4065">
        <v>22.673220000000001</v>
      </c>
      <c r="M4065">
        <v>0.85864470000000004</v>
      </c>
      <c r="N4065">
        <v>0</v>
      </c>
      <c r="O4065">
        <v>-0.51244000000000001</v>
      </c>
      <c r="P4065">
        <v>0.95327430000000002</v>
      </c>
      <c r="Q4065">
        <v>0.1133147</v>
      </c>
      <c r="R4065">
        <v>-0.28005029999999997</v>
      </c>
      <c r="S4065">
        <v>2.9798580000000001</v>
      </c>
      <c r="T4065">
        <v>-0.29258630000000002</v>
      </c>
      <c r="U4065">
        <v>-0.69323729999999995</v>
      </c>
      <c r="V4065">
        <v>-0.25069609999999998</v>
      </c>
      <c r="W4065">
        <v>0.11904869999999999</v>
      </c>
      <c r="X4065">
        <v>0.96071790000000001</v>
      </c>
      <c r="Y4065">
        <v>-0.301141099999999</v>
      </c>
      <c r="Z4065">
        <v>6.1509769999999998E-2</v>
      </c>
      <c r="AA4065">
        <v>0.95159369999999999</v>
      </c>
      <c r="AB4065">
        <v>30</v>
      </c>
      <c r="AC4065">
        <v>11.132</v>
      </c>
      <c r="AD4065">
        <v>-1.1133906628700001</v>
      </c>
      <c r="AE4065">
        <v>-2.5219200000000002</v>
      </c>
      <c r="AF4065">
        <v>-3.5059277301983598</v>
      </c>
      <c r="AG4065">
        <v>-1.1133906628700001</v>
      </c>
      <c r="AH4065">
        <v>10.749215777437101</v>
      </c>
      <c r="AI4065">
        <v>95.623979285281493</v>
      </c>
      <c r="AJ4065">
        <v>108.06407890987199</v>
      </c>
      <c r="AK4065">
        <v>11.3611974653837</v>
      </c>
      <c r="AL4065">
        <v>83.162796491720798</v>
      </c>
      <c r="AM4065">
        <v>104.62500814698799</v>
      </c>
      <c r="AN4065">
        <v>1.00000000545365</v>
      </c>
    </row>
    <row r="4066" spans="1:40" x14ac:dyDescent="0.3">
      <c r="A4066" t="str">
        <f>"20200111150110813"</f>
        <v>20200111150110813</v>
      </c>
      <c r="B4066" t="str">
        <f>"1578726070802124"</f>
        <v>1578726070802124</v>
      </c>
      <c r="C4066" t="s">
        <v>40</v>
      </c>
      <c r="D4066">
        <v>8.6276340000000005</v>
      </c>
      <c r="E4066">
        <v>0.47367330000000002</v>
      </c>
      <c r="F4066" t="s">
        <v>42</v>
      </c>
      <c r="G4066">
        <v>-396.14519999999999</v>
      </c>
      <c r="H4066" s="1">
        <v>-1.9150470000000001E-6</v>
      </c>
      <c r="I4066">
        <v>20.038679999999999</v>
      </c>
      <c r="J4066">
        <v>-407.73270000000002</v>
      </c>
      <c r="K4066">
        <v>1.1133949999999999</v>
      </c>
      <c r="L4066">
        <v>22.595790000000001</v>
      </c>
      <c r="M4066">
        <v>0.86176010000000003</v>
      </c>
      <c r="N4066">
        <v>0</v>
      </c>
      <c r="O4066">
        <v>-0.50718370000000002</v>
      </c>
      <c r="P4066">
        <v>0.95480209999999999</v>
      </c>
      <c r="Q4066">
        <v>0.1134835</v>
      </c>
      <c r="R4066">
        <v>-0.27472679999999999</v>
      </c>
      <c r="S4066">
        <v>2.9838260000000001</v>
      </c>
      <c r="T4066">
        <v>-0.28324690000000002</v>
      </c>
      <c r="U4066">
        <v>-0.67022709999999996</v>
      </c>
      <c r="V4066">
        <v>-0.2501813</v>
      </c>
      <c r="W4066">
        <v>0.1192271</v>
      </c>
      <c r="X4066">
        <v>0.96082999999999996</v>
      </c>
      <c r="Y4066">
        <v>-0.30279859999999997</v>
      </c>
      <c r="Z4066">
        <v>5.9210810000000003E-2</v>
      </c>
      <c r="AA4066">
        <v>0.95121350000000005</v>
      </c>
      <c r="AB4066">
        <v>30</v>
      </c>
      <c r="AC4066">
        <v>11.5875</v>
      </c>
      <c r="AD4066">
        <v>-1.113396915047</v>
      </c>
      <c r="AE4066">
        <v>-2.5571100000000002</v>
      </c>
      <c r="AF4066">
        <v>-3.6415627512541202</v>
      </c>
      <c r="AG4066">
        <v>-1.113396915047</v>
      </c>
      <c r="AH4066">
        <v>11.1848577969545</v>
      </c>
      <c r="AI4066">
        <v>95.407196890720201</v>
      </c>
      <c r="AJ4066">
        <v>108.034198227793</v>
      </c>
      <c r="AK4066">
        <v>11.8153153110635</v>
      </c>
      <c r="AL4066">
        <v>83.1525018156795</v>
      </c>
      <c r="AM4066">
        <v>104.594629565049</v>
      </c>
      <c r="AN4066">
        <v>1.0000000365720401</v>
      </c>
    </row>
    <row r="4067" spans="1:40" x14ac:dyDescent="0.3">
      <c r="A4067" t="str">
        <f>"20200111150110827"</f>
        <v>20200111150110827</v>
      </c>
      <c r="B4067" t="str">
        <f>"1578726070821643"</f>
        <v>1578726070821643</v>
      </c>
      <c r="C4067" t="s">
        <v>40</v>
      </c>
      <c r="D4067">
        <v>4.5956830000000002</v>
      </c>
      <c r="E4067">
        <v>0.47474640000000001</v>
      </c>
      <c r="F4067" t="s">
        <v>42</v>
      </c>
      <c r="G4067">
        <v>-395.37580000000003</v>
      </c>
      <c r="H4067" s="1">
        <v>-2.2378590000000001E-6</v>
      </c>
      <c r="I4067">
        <v>19.885059999999999</v>
      </c>
      <c r="J4067">
        <v>-407.58010000000002</v>
      </c>
      <c r="K4067">
        <v>1.1134029999999999</v>
      </c>
      <c r="L4067">
        <v>22.513120000000001</v>
      </c>
      <c r="M4067">
        <v>0.86507900000000004</v>
      </c>
      <c r="N4067">
        <v>0</v>
      </c>
      <c r="O4067">
        <v>-0.50150130000000004</v>
      </c>
      <c r="P4067">
        <v>0.95651549999999996</v>
      </c>
      <c r="Q4067">
        <v>0.11361250000000001</v>
      </c>
      <c r="R4067">
        <v>-0.268646</v>
      </c>
      <c r="S4067">
        <v>2.985535</v>
      </c>
      <c r="T4067">
        <v>-0.26900619999999997</v>
      </c>
      <c r="U4067">
        <v>-0.65493769999999996</v>
      </c>
      <c r="V4067">
        <v>-0.24996930000000001</v>
      </c>
      <c r="W4067">
        <v>0.119359199999999</v>
      </c>
      <c r="X4067">
        <v>0.96086870000000002</v>
      </c>
      <c r="Y4067">
        <v>-0.30162499999999998</v>
      </c>
      <c r="Z4067">
        <v>5.5776029999999997E-2</v>
      </c>
      <c r="AA4067">
        <v>0.95179380000000002</v>
      </c>
      <c r="AB4067">
        <v>30</v>
      </c>
      <c r="AC4067">
        <v>12.2042999999999</v>
      </c>
      <c r="AD4067">
        <v>-1.113405237859</v>
      </c>
      <c r="AE4067">
        <v>-2.6280600000000001</v>
      </c>
      <c r="AF4067">
        <v>-3.8168918282892599</v>
      </c>
      <c r="AG4067">
        <v>-1.113405237859</v>
      </c>
      <c r="AH4067">
        <v>11.7827375097103</v>
      </c>
      <c r="AI4067">
        <v>95.136830031724998</v>
      </c>
      <c r="AJ4067">
        <v>107.94917719020199</v>
      </c>
      <c r="AK4067">
        <v>12.435483009328101</v>
      </c>
      <c r="AL4067">
        <v>83.144878107558</v>
      </c>
      <c r="AM4067">
        <v>104.582227414204</v>
      </c>
      <c r="AN4067">
        <v>0.99999996410340897</v>
      </c>
    </row>
    <row r="4068" spans="1:40" x14ac:dyDescent="0.3">
      <c r="A4068" t="str">
        <f>"20200111150110838"</f>
        <v>20200111150110838</v>
      </c>
      <c r="B4068" t="str">
        <f>"1578726070832379"</f>
        <v>1578726070832379</v>
      </c>
      <c r="C4068" t="s">
        <v>40</v>
      </c>
      <c r="D4068">
        <v>4.5088889999999999</v>
      </c>
      <c r="E4068">
        <v>0.47467520000000002</v>
      </c>
      <c r="F4068" t="s">
        <v>42</v>
      </c>
      <c r="G4068">
        <v>-394.42970000000003</v>
      </c>
      <c r="H4068" s="1">
        <v>-2.6297579999999999E-6</v>
      </c>
      <c r="I4068">
        <v>19.677099999999999</v>
      </c>
      <c r="J4068">
        <v>-407.44099999999997</v>
      </c>
      <c r="K4068">
        <v>1.1134109999999999</v>
      </c>
      <c r="L4068">
        <v>22.438749999999999</v>
      </c>
      <c r="M4068">
        <v>0.86806209999999995</v>
      </c>
      <c r="N4068">
        <v>0</v>
      </c>
      <c r="O4068">
        <v>-0.49631989999999998</v>
      </c>
      <c r="P4068">
        <v>0.95806329999999995</v>
      </c>
      <c r="Q4068">
        <v>0.1136001</v>
      </c>
      <c r="R4068">
        <v>-0.26307789999999998</v>
      </c>
      <c r="S4068">
        <v>2.985535</v>
      </c>
      <c r="T4068">
        <v>-0.25277569999999999</v>
      </c>
      <c r="U4068">
        <v>-0.64385990000000004</v>
      </c>
      <c r="V4068">
        <v>-0.2498147</v>
      </c>
      <c r="W4068">
        <v>0.1193483</v>
      </c>
      <c r="X4068">
        <v>0.9609103</v>
      </c>
      <c r="Y4068">
        <v>-0.29965429999999998</v>
      </c>
      <c r="Z4068">
        <v>5.1998799999999998E-2</v>
      </c>
      <c r="AA4068">
        <v>0.95262970000000002</v>
      </c>
      <c r="AB4068">
        <v>30</v>
      </c>
      <c r="AC4068">
        <v>13.011299999999901</v>
      </c>
      <c r="AD4068">
        <v>-1.113413629758</v>
      </c>
      <c r="AE4068">
        <v>-2.7616499999999902</v>
      </c>
      <c r="AF4068">
        <v>-4.03250111902741</v>
      </c>
      <c r="AG4068">
        <v>-1.113413629758</v>
      </c>
      <c r="AH4068">
        <v>12.577997123187901</v>
      </c>
      <c r="AI4068">
        <v>94.818334414808604</v>
      </c>
      <c r="AJ4068">
        <v>107.77583074033301</v>
      </c>
      <c r="AK4068">
        <v>13.255442912887199</v>
      </c>
      <c r="AL4068">
        <v>83.145507394791096</v>
      </c>
      <c r="AM4068">
        <v>104.572988697173</v>
      </c>
      <c r="AN4068">
        <v>1.00000000284753</v>
      </c>
    </row>
    <row r="4069" spans="1:40" x14ac:dyDescent="0.3">
      <c r="A4069" t="str">
        <f>"20200111150110849"</f>
        <v>20200111150110849</v>
      </c>
      <c r="B4069" t="str">
        <f>"1578726070842139"</f>
        <v>1578726070842139</v>
      </c>
      <c r="C4069" t="s">
        <v>40</v>
      </c>
      <c r="D4069">
        <v>4.5938290000000004</v>
      </c>
      <c r="E4069">
        <v>0.47467520000000002</v>
      </c>
      <c r="F4069" t="s">
        <v>42</v>
      </c>
      <c r="G4069">
        <v>-393.80529999999999</v>
      </c>
      <c r="H4069" s="1">
        <v>-2.914646E-6</v>
      </c>
      <c r="I4069">
        <v>19.58305</v>
      </c>
      <c r="J4069">
        <v>-407.31259999999997</v>
      </c>
      <c r="K4069">
        <v>1.113418</v>
      </c>
      <c r="L4069">
        <v>22.371400000000001</v>
      </c>
      <c r="M4069">
        <v>0.87077769999999999</v>
      </c>
      <c r="N4069">
        <v>0</v>
      </c>
      <c r="O4069">
        <v>-0.49153980000000003</v>
      </c>
      <c r="P4069">
        <v>0.95942989999999995</v>
      </c>
      <c r="Q4069">
        <v>0.11349430000000001</v>
      </c>
      <c r="R4069">
        <v>-0.25809569999999998</v>
      </c>
      <c r="S4069">
        <v>2.9884029999999999</v>
      </c>
      <c r="T4069">
        <v>-0.2440156</v>
      </c>
      <c r="U4069">
        <v>-0.62585449999999998</v>
      </c>
      <c r="V4069">
        <v>-0.24953049999999999</v>
      </c>
      <c r="W4069">
        <v>0.11924800000000001</v>
      </c>
      <c r="X4069">
        <v>0.96099659999999998</v>
      </c>
      <c r="Y4069">
        <v>-0.30027510000000002</v>
      </c>
      <c r="Z4069">
        <v>4.9894000000000001E-2</v>
      </c>
      <c r="AA4069">
        <v>0.95254680000000003</v>
      </c>
      <c r="AB4069">
        <v>30</v>
      </c>
      <c r="AC4069">
        <v>13.507299999999899</v>
      </c>
      <c r="AD4069">
        <v>-1.1134209146459999</v>
      </c>
      <c r="AE4069">
        <v>-2.7883499999999999</v>
      </c>
      <c r="AF4069">
        <v>-4.1843563714182297</v>
      </c>
      <c r="AG4069">
        <v>-1.1134209146459999</v>
      </c>
      <c r="AH4069">
        <v>13.048288303468601</v>
      </c>
      <c r="AI4069">
        <v>94.645363376090401</v>
      </c>
      <c r="AJ4069">
        <v>107.780131282613</v>
      </c>
      <c r="AK4069">
        <v>13.7479588312824</v>
      </c>
      <c r="AL4069">
        <v>83.151295550503406</v>
      </c>
      <c r="AM4069">
        <v>104.555862774997</v>
      </c>
      <c r="AN4069">
        <v>1.0000000105728999</v>
      </c>
    </row>
    <row r="4070" spans="1:40" x14ac:dyDescent="0.3">
      <c r="A4070" t="str">
        <f>"20200111150110862"</f>
        <v>20200111150110862</v>
      </c>
      <c r="B4070" t="str">
        <f>"1578726070851827"</f>
        <v>1578726070851827</v>
      </c>
      <c r="C4070" t="s">
        <v>40</v>
      </c>
      <c r="D4070">
        <v>4.978402</v>
      </c>
      <c r="E4070">
        <v>0.46898980000000001</v>
      </c>
      <c r="F4070" t="s">
        <v>42</v>
      </c>
      <c r="G4070">
        <v>-393.6857</v>
      </c>
      <c r="H4070" s="1">
        <v>-2.9699639999999998E-6</v>
      </c>
      <c r="I4070">
        <v>19.590029999999999</v>
      </c>
      <c r="J4070">
        <v>-407.16969999999998</v>
      </c>
      <c r="K4070">
        <v>1.1134230000000001</v>
      </c>
      <c r="L4070">
        <v>22.297059999999998</v>
      </c>
      <c r="M4070">
        <v>0.87376189999999998</v>
      </c>
      <c r="N4070">
        <v>0</v>
      </c>
      <c r="O4070">
        <v>-0.48621540000000002</v>
      </c>
      <c r="P4070">
        <v>0.9609453</v>
      </c>
      <c r="Q4070">
        <v>0.1133276</v>
      </c>
      <c r="R4070">
        <v>-0.25246980000000002</v>
      </c>
      <c r="S4070">
        <v>2.9915159999999998</v>
      </c>
      <c r="T4070">
        <v>-0.2444297</v>
      </c>
      <c r="U4070">
        <v>-0.61059569999999996</v>
      </c>
      <c r="V4070">
        <v>-0.24930260000000001</v>
      </c>
      <c r="W4070">
        <v>0.1190851</v>
      </c>
      <c r="X4070">
        <v>0.96107600000000004</v>
      </c>
      <c r="Y4070">
        <v>-0.29932399999999998</v>
      </c>
      <c r="Z4070">
        <v>4.9554899999999999E-2</v>
      </c>
      <c r="AA4070">
        <v>0.95286380000000004</v>
      </c>
      <c r="AB4070">
        <v>30</v>
      </c>
      <c r="AC4070">
        <v>13.483999999999901</v>
      </c>
      <c r="AD4070">
        <v>-1.1134259699639999</v>
      </c>
      <c r="AE4070">
        <v>-2.70703</v>
      </c>
      <c r="AF4070">
        <v>-4.1638202752843201</v>
      </c>
      <c r="AG4070">
        <v>-1.1134259699639999</v>
      </c>
      <c r="AH4070">
        <v>13.013592832926101</v>
      </c>
      <c r="AI4070">
        <v>94.658689203734696</v>
      </c>
      <c r="AJ4070">
        <v>107.74255715803601</v>
      </c>
      <c r="AK4070">
        <v>13.7087824075169</v>
      </c>
      <c r="AL4070">
        <v>83.160696375484605</v>
      </c>
      <c r="AM4070">
        <v>104.54198206193399</v>
      </c>
      <c r="AN4070">
        <v>1.0000000625923799</v>
      </c>
    </row>
    <row r="4071" spans="1:40" x14ac:dyDescent="0.3">
      <c r="A4071" t="str">
        <f>"20200111150110879"</f>
        <v>20200111150110879</v>
      </c>
      <c r="B4071" t="str">
        <f>"1578726070872325"</f>
        <v>1578726070872325</v>
      </c>
      <c r="C4071" t="s">
        <v>40</v>
      </c>
      <c r="D4071">
        <v>4.5887029999999998</v>
      </c>
      <c r="E4071">
        <v>0.46350950000000002</v>
      </c>
      <c r="F4071" t="s">
        <v>42</v>
      </c>
      <c r="G4071">
        <v>-393.27449999999999</v>
      </c>
      <c r="H4071" s="1">
        <v>-3.1979380000000001E-6</v>
      </c>
      <c r="I4071">
        <v>19.760249999999999</v>
      </c>
      <c r="J4071">
        <v>-406.96440000000001</v>
      </c>
      <c r="K4071">
        <v>1.1134329999999999</v>
      </c>
      <c r="L4071">
        <v>22.192440000000001</v>
      </c>
      <c r="M4071">
        <v>0.87797389999999997</v>
      </c>
      <c r="N4071">
        <v>0</v>
      </c>
      <c r="O4071">
        <v>-0.47856769999999998</v>
      </c>
      <c r="P4071">
        <v>0.96305289999999999</v>
      </c>
      <c r="Q4071">
        <v>0.1131528</v>
      </c>
      <c r="R4071">
        <v>-0.2443882</v>
      </c>
      <c r="S4071">
        <v>3.0061650000000002</v>
      </c>
      <c r="T4071">
        <v>-0.2408853</v>
      </c>
      <c r="U4071">
        <v>-0.54882810000000004</v>
      </c>
      <c r="V4071">
        <v>-0.24899379999999999</v>
      </c>
      <c r="W4071">
        <v>0.1189151</v>
      </c>
      <c r="X4071">
        <v>0.96117710000000001</v>
      </c>
      <c r="Y4071">
        <v>-0.31082270000000001</v>
      </c>
      <c r="Z4071">
        <v>4.8673840000000003E-2</v>
      </c>
      <c r="AA4071">
        <v>0.94922079999999998</v>
      </c>
      <c r="AB4071">
        <v>30</v>
      </c>
      <c r="AC4071">
        <v>13.6899</v>
      </c>
      <c r="AD4071">
        <v>-1.1134361979380001</v>
      </c>
      <c r="AE4071">
        <v>-2.4321899999999901</v>
      </c>
      <c r="AF4071">
        <v>-4.3883018605919899</v>
      </c>
      <c r="AG4071">
        <v>-1.1134361979380001</v>
      </c>
      <c r="AH4071">
        <v>13.1002245863708</v>
      </c>
      <c r="AI4071">
        <v>94.607634318277903</v>
      </c>
      <c r="AJ4071">
        <v>108.51977446351501</v>
      </c>
      <c r="AK4071">
        <v>13.860476817191699</v>
      </c>
      <c r="AL4071">
        <v>83.170506384793299</v>
      </c>
      <c r="AM4071">
        <v>104.523268695526</v>
      </c>
      <c r="AN4071">
        <v>1.00000006550542</v>
      </c>
    </row>
    <row r="4072" spans="1:40" x14ac:dyDescent="0.3">
      <c r="A4072" t="str">
        <f>"20200111150110893"</f>
        <v>20200111150110893</v>
      </c>
      <c r="B4072" t="str">
        <f>"1578726070882084"</f>
        <v>1578726070882084</v>
      </c>
      <c r="C4072" t="s">
        <v>40</v>
      </c>
      <c r="D4072">
        <v>4.596908</v>
      </c>
      <c r="E4072">
        <v>0.46149370000000001</v>
      </c>
      <c r="F4072" t="s">
        <v>42</v>
      </c>
      <c r="G4072">
        <v>-391.9966</v>
      </c>
      <c r="H4072" s="1">
        <v>-3.816161E-6</v>
      </c>
      <c r="I4072">
        <v>19.813320000000001</v>
      </c>
      <c r="J4072">
        <v>-406.80220000000003</v>
      </c>
      <c r="K4072">
        <v>1.1134389999999901</v>
      </c>
      <c r="L4072">
        <v>22.111719999999998</v>
      </c>
      <c r="M4072">
        <v>0.88123839999999998</v>
      </c>
      <c r="N4072">
        <v>0</v>
      </c>
      <c r="O4072">
        <v>-0.47252949999999999</v>
      </c>
      <c r="P4072">
        <v>0.96464380000000005</v>
      </c>
      <c r="Q4072">
        <v>0.1132951</v>
      </c>
      <c r="R4072">
        <v>-0.23796429999999999</v>
      </c>
      <c r="S4072">
        <v>3.019714</v>
      </c>
      <c r="T4072">
        <v>-0.22463240000000001</v>
      </c>
      <c r="U4072">
        <v>-0.47998049999999998</v>
      </c>
      <c r="V4072">
        <v>-0.24879879999999999</v>
      </c>
      <c r="W4072">
        <v>0.11906</v>
      </c>
      <c r="X4072">
        <v>0.9612096</v>
      </c>
      <c r="Y4072">
        <v>-0.32632410000000001</v>
      </c>
      <c r="Z4072">
        <v>4.5512560000000001E-2</v>
      </c>
      <c r="AA4072">
        <v>0.94416169999999999</v>
      </c>
      <c r="AB4072">
        <v>30</v>
      </c>
      <c r="AC4072">
        <v>14.8056</v>
      </c>
      <c r="AD4072">
        <v>-1.1134428161609999</v>
      </c>
      <c r="AE4072">
        <v>-2.2984</v>
      </c>
      <c r="AF4072">
        <v>-4.9436775224582403</v>
      </c>
      <c r="AG4072">
        <v>-1.1134428161609999</v>
      </c>
      <c r="AH4072">
        <v>14.056648476316299</v>
      </c>
      <c r="AI4072">
        <v>94.273453778626205</v>
      </c>
      <c r="AJ4072">
        <v>109.376607359204</v>
      </c>
      <c r="AK4072">
        <v>14.9421908948335</v>
      </c>
      <c r="AL4072">
        <v>83.162144448430794</v>
      </c>
      <c r="AM4072">
        <v>104.51190523614601</v>
      </c>
      <c r="AN4072">
        <v>1.0000000108067999</v>
      </c>
    </row>
    <row r="4073" spans="1:40" x14ac:dyDescent="0.3">
      <c r="A4073" t="str">
        <f>"20200111150110906"</f>
        <v>20200111150110906</v>
      </c>
      <c r="B4073" t="str">
        <f>"1578726070901603"</f>
        <v>1578726070901603</v>
      </c>
      <c r="C4073" t="s">
        <v>40</v>
      </c>
      <c r="D4073">
        <v>4.5858800000000004</v>
      </c>
      <c r="E4073">
        <v>0.4582851</v>
      </c>
      <c r="F4073" t="s">
        <v>42</v>
      </c>
      <c r="G4073">
        <v>-391.40129999999999</v>
      </c>
      <c r="H4073" s="1">
        <v>-4.1079920000000001E-6</v>
      </c>
      <c r="I4073">
        <v>19.852550000000001</v>
      </c>
      <c r="J4073">
        <v>-406.65629999999999</v>
      </c>
      <c r="K4073">
        <v>1.1134459999999999</v>
      </c>
      <c r="L4073">
        <v>22.039919999999999</v>
      </c>
      <c r="M4073">
        <v>0.88413449999999905</v>
      </c>
      <c r="N4073">
        <v>0</v>
      </c>
      <c r="O4073">
        <v>-0.46708810000000001</v>
      </c>
      <c r="P4073">
        <v>0.96614789999999995</v>
      </c>
      <c r="Q4073">
        <v>0.11300159999999999</v>
      </c>
      <c r="R4073">
        <v>-0.23192489999999999</v>
      </c>
      <c r="S4073">
        <v>3.026154</v>
      </c>
      <c r="T4073">
        <v>-0.2187819</v>
      </c>
      <c r="U4073">
        <v>-0.44390869999999999</v>
      </c>
      <c r="V4073">
        <v>-0.24889890000000001</v>
      </c>
      <c r="W4073">
        <v>0.1187622</v>
      </c>
      <c r="X4073">
        <v>0.96122050000000003</v>
      </c>
      <c r="Y4073">
        <v>-0.33190940000000002</v>
      </c>
      <c r="Z4073">
        <v>4.4155899999999998E-2</v>
      </c>
      <c r="AA4073">
        <v>0.94227729999999998</v>
      </c>
      <c r="AB4073">
        <v>30</v>
      </c>
      <c r="AC4073">
        <v>15.2549999999999</v>
      </c>
      <c r="AD4073">
        <v>-1.1134501079919901</v>
      </c>
      <c r="AE4073">
        <v>-2.18737</v>
      </c>
      <c r="AF4073">
        <v>-5.1648886449842797</v>
      </c>
      <c r="AG4073">
        <v>-1.1134501079919901</v>
      </c>
      <c r="AH4073">
        <v>14.4347939520732</v>
      </c>
      <c r="AI4073">
        <v>94.153949834976203</v>
      </c>
      <c r="AJ4073">
        <v>109.687629431321</v>
      </c>
      <c r="AK4073">
        <v>15.371373468134999</v>
      </c>
      <c r="AL4073">
        <v>83.179328888536006</v>
      </c>
      <c r="AM4073">
        <v>104.517339528203</v>
      </c>
      <c r="AN4073">
        <v>0.99999998609514995</v>
      </c>
    </row>
    <row r="4074" spans="1:40" x14ac:dyDescent="0.3">
      <c r="A4074" t="str">
        <f>"20200111150110917"</f>
        <v>20200111150110917</v>
      </c>
      <c r="B4074" t="str">
        <f>"1578726070912339"</f>
        <v>1578726070912339</v>
      </c>
      <c r="C4074" t="s">
        <v>40</v>
      </c>
      <c r="D4074">
        <v>4.6036979999999996</v>
      </c>
      <c r="E4074">
        <v>0.45703569999999999</v>
      </c>
      <c r="F4074" t="s">
        <v>42</v>
      </c>
      <c r="G4074">
        <v>-390.75729999999999</v>
      </c>
      <c r="H4074" s="1">
        <v>-4.4370159999999996E-6</v>
      </c>
      <c r="I4074">
        <v>19.944949999999999</v>
      </c>
      <c r="J4074">
        <v>-406.51229999999998</v>
      </c>
      <c r="K4074">
        <v>1.1134470000000001</v>
      </c>
      <c r="L4074">
        <v>21.97015</v>
      </c>
      <c r="M4074">
        <v>0.88694919999999999</v>
      </c>
      <c r="N4074">
        <v>0</v>
      </c>
      <c r="O4074">
        <v>-0.46172089999999999</v>
      </c>
      <c r="P4074">
        <v>0.96750139999999996</v>
      </c>
      <c r="Q4074">
        <v>0.1127678</v>
      </c>
      <c r="R4074">
        <v>-0.22632920000000001</v>
      </c>
      <c r="S4074">
        <v>3.0339969999999998</v>
      </c>
      <c r="T4074">
        <v>-0.2124788</v>
      </c>
      <c r="U4074">
        <v>-0.39978029999999998</v>
      </c>
      <c r="V4074">
        <v>-0.2486449</v>
      </c>
      <c r="W4074">
        <v>0.1185335</v>
      </c>
      <c r="X4074">
        <v>0.96131449999999996</v>
      </c>
      <c r="Y4074">
        <v>-0.34008260000000001</v>
      </c>
      <c r="Z4074">
        <v>4.2800110000000002E-2</v>
      </c>
      <c r="AA4074">
        <v>0.93942110000000001</v>
      </c>
      <c r="AB4074">
        <v>30</v>
      </c>
      <c r="AC4074">
        <v>15.7549999999999</v>
      </c>
      <c r="AD4074">
        <v>-1.11345143701599</v>
      </c>
      <c r="AE4074">
        <v>-2.0251999999999999</v>
      </c>
      <c r="AF4074">
        <v>-5.4517458797853298</v>
      </c>
      <c r="AG4074">
        <v>-1.11345143701599</v>
      </c>
      <c r="AH4074">
        <v>14.8370662358098</v>
      </c>
      <c r="AI4074">
        <v>94.029291808552003</v>
      </c>
      <c r="AJ4074">
        <v>110.175399838085</v>
      </c>
      <c r="AK4074">
        <v>15.8461301814088</v>
      </c>
      <c r="AL4074">
        <v>83.192525898627693</v>
      </c>
      <c r="AM4074">
        <v>104.501791366125</v>
      </c>
      <c r="AN4074">
        <v>1.00000002241425</v>
      </c>
    </row>
    <row r="4075" spans="1:40" x14ac:dyDescent="0.3">
      <c r="A4075" t="str">
        <f>"20200111150110936"</f>
        <v>20200111150110936</v>
      </c>
      <c r="B4075" t="str">
        <f>"1578726070931858"</f>
        <v>1578726070931858</v>
      </c>
      <c r="C4075" t="s">
        <v>40</v>
      </c>
      <c r="D4075">
        <v>4.5293029999999996</v>
      </c>
      <c r="E4075">
        <v>0.45524750000000003</v>
      </c>
      <c r="F4075" t="s">
        <v>42</v>
      </c>
      <c r="G4075">
        <v>-390.42230000000001</v>
      </c>
      <c r="H4075" s="1">
        <v>-4.6094210000000002E-6</v>
      </c>
      <c r="I4075">
        <v>19.99775</v>
      </c>
      <c r="J4075">
        <v>-406.28859999999997</v>
      </c>
      <c r="K4075">
        <v>1.113453</v>
      </c>
      <c r="L4075">
        <v>21.864070000000002</v>
      </c>
      <c r="M4075">
        <v>0.89124020000000004</v>
      </c>
      <c r="N4075">
        <v>0</v>
      </c>
      <c r="O4075">
        <v>-0.45338270000000003</v>
      </c>
      <c r="P4075">
        <v>0.96959530000000005</v>
      </c>
      <c r="Q4075">
        <v>0.1119742</v>
      </c>
      <c r="R4075">
        <v>-0.21759319999999999</v>
      </c>
      <c r="S4075">
        <v>3.0381770000000001</v>
      </c>
      <c r="T4075">
        <v>-0.21024580000000001</v>
      </c>
      <c r="U4075">
        <v>-0.3724365</v>
      </c>
      <c r="V4075">
        <v>-0.2483273</v>
      </c>
      <c r="W4075">
        <v>0.11774560000000001</v>
      </c>
      <c r="X4075">
        <v>0.96149340000000005</v>
      </c>
      <c r="Y4075">
        <v>-0.33981339999999999</v>
      </c>
      <c r="Z4075">
        <v>4.1812710000000003E-2</v>
      </c>
      <c r="AA4075">
        <v>0.93956289999999998</v>
      </c>
      <c r="AB4075">
        <v>30</v>
      </c>
      <c r="AC4075">
        <v>15.866299999999899</v>
      </c>
      <c r="AD4075">
        <v>-1.113457609421</v>
      </c>
      <c r="AE4075">
        <v>-1.86632</v>
      </c>
      <c r="AF4075">
        <v>-5.5038042621279404</v>
      </c>
      <c r="AG4075">
        <v>-1.113457609421</v>
      </c>
      <c r="AH4075">
        <v>14.915399428605999</v>
      </c>
      <c r="AI4075">
        <v>94.006200882964507</v>
      </c>
      <c r="AJ4075">
        <v>110.254134770391</v>
      </c>
      <c r="AK4075">
        <v>15.937402213618601</v>
      </c>
      <c r="AL4075">
        <v>83.237987569866206</v>
      </c>
      <c r="AM4075">
        <v>104.48146584306799</v>
      </c>
      <c r="AN4075">
        <v>1.0000000162441001</v>
      </c>
    </row>
    <row r="4076" spans="1:40" x14ac:dyDescent="0.3">
      <c r="A4076" t="str">
        <f>"20200111150110949"</f>
        <v>20200111150110949</v>
      </c>
      <c r="B4076" t="str">
        <f>"1578726070941618"</f>
        <v>1578726070941618</v>
      </c>
      <c r="C4076" t="s">
        <v>40</v>
      </c>
      <c r="D4076">
        <v>4.6397570000000004</v>
      </c>
      <c r="E4076">
        <v>0.4543758</v>
      </c>
      <c r="F4076" t="s">
        <v>89</v>
      </c>
      <c r="G4076">
        <v>-389.67989999999998</v>
      </c>
      <c r="H4076" s="1">
        <v>-2.6974609999999998E-7</v>
      </c>
      <c r="I4076">
        <v>20.05977</v>
      </c>
      <c r="J4076">
        <v>-406.13560000000001</v>
      </c>
      <c r="K4076">
        <v>1.113456</v>
      </c>
      <c r="L4076">
        <v>21.793030000000002</v>
      </c>
      <c r="M4076">
        <v>0.89412049999999998</v>
      </c>
      <c r="N4076">
        <v>0</v>
      </c>
      <c r="O4076">
        <v>-0.44767570000000001</v>
      </c>
      <c r="P4076">
        <v>0.97086799999999995</v>
      </c>
      <c r="Q4076">
        <v>0.111903</v>
      </c>
      <c r="R4076">
        <v>-0.21188070000000001</v>
      </c>
      <c r="S4076">
        <v>3.0434570000000001</v>
      </c>
      <c r="T4076">
        <v>-0.20403399999999999</v>
      </c>
      <c r="U4076">
        <v>-0.33062740000000002</v>
      </c>
      <c r="V4076">
        <v>-0.24784539999999999</v>
      </c>
      <c r="W4076">
        <v>0.1176845</v>
      </c>
      <c r="X4076">
        <v>0.96162519999999996</v>
      </c>
      <c r="Y4076">
        <v>-0.34682940000000001</v>
      </c>
      <c r="Z4076">
        <v>4.045779E-2</v>
      </c>
      <c r="AA4076">
        <v>0.93705519999999998</v>
      </c>
      <c r="AB4076">
        <v>30</v>
      </c>
      <c r="AC4076">
        <v>16.4557</v>
      </c>
      <c r="AD4076">
        <v>-1.1134562697460999</v>
      </c>
      <c r="AE4076">
        <v>-1.73325999999999</v>
      </c>
      <c r="AF4076">
        <v>-5.7912427202594197</v>
      </c>
      <c r="AG4076">
        <v>-1.1134562697460999</v>
      </c>
      <c r="AH4076">
        <v>15.420536030705801</v>
      </c>
      <c r="AI4076">
        <v>93.867101650172501</v>
      </c>
      <c r="AJ4076">
        <v>110.583864501676</v>
      </c>
      <c r="AK4076">
        <v>16.509730724148401</v>
      </c>
      <c r="AL4076">
        <v>83.241512772414794</v>
      </c>
      <c r="AM4076">
        <v>104.452643555693</v>
      </c>
      <c r="AN4076">
        <v>1.00000000455822</v>
      </c>
    </row>
    <row r="4077" spans="1:40" x14ac:dyDescent="0.3">
      <c r="A4077" t="str">
        <f>"20200111150110969"</f>
        <v>20200111150110969</v>
      </c>
      <c r="B4077" t="str">
        <f>"1578726070962114"</f>
        <v>1578726070962114</v>
      </c>
      <c r="C4077" t="s">
        <v>40</v>
      </c>
      <c r="D4077">
        <v>4.5713150000000002</v>
      </c>
      <c r="E4077">
        <v>0.45314739999999998</v>
      </c>
      <c r="F4077" t="s">
        <v>89</v>
      </c>
      <c r="G4077">
        <v>-389.34699999999998</v>
      </c>
      <c r="H4077" s="1">
        <v>-4.3981220000000001E-7</v>
      </c>
      <c r="I4077">
        <v>20.107620000000001</v>
      </c>
      <c r="J4077">
        <v>-405.8877</v>
      </c>
      <c r="K4077">
        <v>1.113467</v>
      </c>
      <c r="L4077">
        <v>21.680330000000001</v>
      </c>
      <c r="M4077">
        <v>0.89868840000000005</v>
      </c>
      <c r="N4077">
        <v>0</v>
      </c>
      <c r="O4077">
        <v>-0.43843330000000003</v>
      </c>
      <c r="P4077">
        <v>0.97283319999999995</v>
      </c>
      <c r="Q4077">
        <v>0.11165029999999999</v>
      </c>
      <c r="R4077">
        <v>-0.20280509999999999</v>
      </c>
      <c r="S4077">
        <v>3.04657</v>
      </c>
      <c r="T4077">
        <v>-0.20205619999999999</v>
      </c>
      <c r="U4077">
        <v>-0.30584719999999999</v>
      </c>
      <c r="V4077">
        <v>-0.2469199</v>
      </c>
      <c r="W4077">
        <v>0.1174516</v>
      </c>
      <c r="X4077">
        <v>0.96189170000000002</v>
      </c>
      <c r="Y4077">
        <v>-0.34486080000000002</v>
      </c>
      <c r="Z4077">
        <v>3.9440469999999998E-2</v>
      </c>
      <c r="AA4077">
        <v>0.93782489999999996</v>
      </c>
      <c r="AB4077">
        <v>30</v>
      </c>
      <c r="AC4077">
        <v>16.540700000000001</v>
      </c>
      <c r="AD4077">
        <v>-1.1134674398122</v>
      </c>
      <c r="AE4077">
        <v>-1.5727099999999901</v>
      </c>
      <c r="AF4077">
        <v>-5.8129072647954603</v>
      </c>
      <c r="AG4077">
        <v>-1.1134674398122</v>
      </c>
      <c r="AH4077">
        <v>15.485970011992601</v>
      </c>
      <c r="AI4077">
        <v>93.8510868558472</v>
      </c>
      <c r="AJ4077">
        <v>110.574429980923</v>
      </c>
      <c r="AK4077">
        <v>16.578448896714299</v>
      </c>
      <c r="AL4077">
        <v>83.254949976377503</v>
      </c>
      <c r="AM4077">
        <v>104.397099029212</v>
      </c>
      <c r="AN4077">
        <v>0.99999997894372905</v>
      </c>
    </row>
    <row r="4078" spans="1:40" x14ac:dyDescent="0.3">
      <c r="A4078" t="str">
        <f>"20200111150110982"</f>
        <v>20200111150110982</v>
      </c>
      <c r="B4078" t="str">
        <f>"1578726070971875"</f>
        <v>1578726070971875</v>
      </c>
      <c r="C4078" t="s">
        <v>40</v>
      </c>
      <c r="D4078">
        <v>4.7395579999999997</v>
      </c>
      <c r="E4078">
        <v>0.45243329999999998</v>
      </c>
      <c r="F4078" t="s">
        <v>89</v>
      </c>
      <c r="G4078">
        <v>-388.75170000000003</v>
      </c>
      <c r="H4078" s="1">
        <v>-7.3970679999999998E-7</v>
      </c>
      <c r="I4078">
        <v>20.176970000000001</v>
      </c>
      <c r="J4078">
        <v>-405.74149999999997</v>
      </c>
      <c r="K4078">
        <v>1.1134770000000001</v>
      </c>
      <c r="L4078">
        <v>21.614989999999999</v>
      </c>
      <c r="M4078">
        <v>0.90132999999999996</v>
      </c>
      <c r="N4078">
        <v>0</v>
      </c>
      <c r="O4078">
        <v>-0.4329771</v>
      </c>
      <c r="P4078">
        <v>0.97390010000000005</v>
      </c>
      <c r="Q4078">
        <v>0.1118599</v>
      </c>
      <c r="R4078">
        <v>-0.19750039999999999</v>
      </c>
      <c r="S4078">
        <v>3.0506899999999999</v>
      </c>
      <c r="T4078">
        <v>-0.19822819999999999</v>
      </c>
      <c r="U4078">
        <v>-0.26763920000000002</v>
      </c>
      <c r="V4078">
        <v>-0.2463263</v>
      </c>
      <c r="W4078">
        <v>0.1176746</v>
      </c>
      <c r="X4078">
        <v>0.9620166</v>
      </c>
      <c r="Y4078">
        <v>-0.35099409999999998</v>
      </c>
      <c r="Z4078">
        <v>3.856304E-2</v>
      </c>
      <c r="AA4078">
        <v>0.93558330000000001</v>
      </c>
      <c r="AB4078">
        <v>30</v>
      </c>
      <c r="AC4078">
        <v>16.989799999999899</v>
      </c>
      <c r="AD4078">
        <v>-1.1134777397068001</v>
      </c>
      <c r="AE4078">
        <v>-1.4380199999999901</v>
      </c>
      <c r="AF4078">
        <v>-6.0347368339104097</v>
      </c>
      <c r="AG4078">
        <v>-1.1134777397068001</v>
      </c>
      <c r="AH4078">
        <v>15.8694443601114</v>
      </c>
      <c r="AI4078">
        <v>93.752256421228907</v>
      </c>
      <c r="AJ4078">
        <v>110.820507117357</v>
      </c>
      <c r="AK4078">
        <v>17.014615647438202</v>
      </c>
      <c r="AL4078">
        <v>83.242083586313697</v>
      </c>
      <c r="AM4078">
        <v>104.362134069802</v>
      </c>
      <c r="AN4078">
        <v>0.99999994811620296</v>
      </c>
    </row>
    <row r="4079" spans="1:40" x14ac:dyDescent="0.3">
      <c r="A4079" t="str">
        <f>"20200111150110994"</f>
        <v>20200111150110994</v>
      </c>
      <c r="B4079" t="str">
        <f>"1578726070981635"</f>
        <v>1578726070981635</v>
      </c>
      <c r="C4079" t="s">
        <v>40</v>
      </c>
      <c r="D4079">
        <v>4.5322290000000001</v>
      </c>
      <c r="E4079">
        <v>0.4519379</v>
      </c>
      <c r="F4079" t="s">
        <v>89</v>
      </c>
      <c r="G4079">
        <v>-388.45190000000002</v>
      </c>
      <c r="H4079" s="1">
        <v>-8.9439709999999897E-7</v>
      </c>
      <c r="I4079">
        <v>20.225760000000001</v>
      </c>
      <c r="J4079">
        <v>-405.59280000000001</v>
      </c>
      <c r="K4079">
        <v>1.113483</v>
      </c>
      <c r="L4079">
        <v>21.55011</v>
      </c>
      <c r="M4079">
        <v>0.90397320000000003</v>
      </c>
      <c r="N4079">
        <v>0</v>
      </c>
      <c r="O4079">
        <v>-0.42743100000000001</v>
      </c>
      <c r="P4079">
        <v>0.97495639999999995</v>
      </c>
      <c r="Q4079">
        <v>0.1122177</v>
      </c>
      <c r="R4079">
        <v>-0.1920085</v>
      </c>
      <c r="S4079">
        <v>3.0532530000000002</v>
      </c>
      <c r="T4079">
        <v>-0.19663410000000001</v>
      </c>
      <c r="U4079">
        <v>-0.24533079999999999</v>
      </c>
      <c r="V4079">
        <v>-0.2458292</v>
      </c>
      <c r="W4079">
        <v>0.1180421</v>
      </c>
      <c r="X4079">
        <v>0.96209880000000003</v>
      </c>
      <c r="Y4079">
        <v>-0.35213349999999999</v>
      </c>
      <c r="Z4079">
        <v>3.7956709999999998E-2</v>
      </c>
      <c r="AA4079">
        <v>0.93517980000000001</v>
      </c>
      <c r="AB4079">
        <v>30</v>
      </c>
      <c r="AC4079">
        <v>17.140899999999899</v>
      </c>
      <c r="AD4079">
        <v>-1.1134838943970999</v>
      </c>
      <c r="AE4079">
        <v>-1.3243499999999899</v>
      </c>
      <c r="AF4079">
        <v>-6.10418339215654</v>
      </c>
      <c r="AG4079">
        <v>-1.1134838943970999</v>
      </c>
      <c r="AH4079">
        <v>15.9949718397495</v>
      </c>
      <c r="AI4079">
        <v>93.721236554986405</v>
      </c>
      <c r="AJ4079">
        <v>110.888424438009</v>
      </c>
      <c r="AK4079">
        <v>17.156340676919999</v>
      </c>
      <c r="AL4079">
        <v>83.220880072036394</v>
      </c>
      <c r="AM4079">
        <v>104.333171737493</v>
      </c>
      <c r="AN4079">
        <v>1.0000000169532399</v>
      </c>
    </row>
    <row r="4080" spans="1:40" x14ac:dyDescent="0.3">
      <c r="A4080" t="str">
        <f>"20200111150111007"</f>
        <v>20200111150111007</v>
      </c>
      <c r="B4080" t="str">
        <f>"1578726071002130"</f>
        <v>1578726071002130</v>
      </c>
      <c r="C4080" t="s">
        <v>40</v>
      </c>
      <c r="D4080">
        <v>4.5193159999999999</v>
      </c>
      <c r="E4080">
        <v>0.45146570000000003</v>
      </c>
      <c r="F4080" t="s">
        <v>89</v>
      </c>
      <c r="G4080">
        <v>-388.00110000000001</v>
      </c>
      <c r="H4080" s="1">
        <v>-1.1165180000000001E-6</v>
      </c>
      <c r="I4080">
        <v>20.259630000000001</v>
      </c>
      <c r="J4080">
        <v>-405.43680000000001</v>
      </c>
      <c r="K4080">
        <v>1.1134900000000001</v>
      </c>
      <c r="L4080">
        <v>21.482970000000002</v>
      </c>
      <c r="M4080">
        <v>0.90670280000000003</v>
      </c>
      <c r="N4080">
        <v>0</v>
      </c>
      <c r="O4080">
        <v>-0.42160989999999998</v>
      </c>
      <c r="P4080">
        <v>0.97609990000000002</v>
      </c>
      <c r="Q4080">
        <v>0.1121987</v>
      </c>
      <c r="R4080">
        <v>-0.18612100000000001</v>
      </c>
      <c r="S4080">
        <v>3.0552060000000001</v>
      </c>
      <c r="T4080">
        <v>-0.19338179999999999</v>
      </c>
      <c r="U4080">
        <v>-0.22412109999999999</v>
      </c>
      <c r="V4080">
        <v>-0.2454519</v>
      </c>
      <c r="W4080">
        <v>0.1180302</v>
      </c>
      <c r="X4080">
        <v>0.96219659999999996</v>
      </c>
      <c r="Y4080">
        <v>-0.35268070000000001</v>
      </c>
      <c r="Z4080">
        <v>3.7007959999999999E-2</v>
      </c>
      <c r="AA4080">
        <v>0.93501160000000005</v>
      </c>
      <c r="AB4080">
        <v>30</v>
      </c>
      <c r="AC4080">
        <v>17.435699999999901</v>
      </c>
      <c r="AD4080">
        <v>-1.1134911165179999</v>
      </c>
      <c r="AE4080">
        <v>-1.2233400000000001</v>
      </c>
      <c r="AF4080">
        <v>-6.2170480031193103</v>
      </c>
      <c r="AG4080">
        <v>-1.1134911165179999</v>
      </c>
      <c r="AH4080">
        <v>16.259883117252102</v>
      </c>
      <c r="AI4080">
        <v>93.659918305015196</v>
      </c>
      <c r="AJ4080">
        <v>110.924605871772</v>
      </c>
      <c r="AK4080">
        <v>17.443490113115399</v>
      </c>
      <c r="AL4080">
        <v>83.221566781890104</v>
      </c>
      <c r="AM4080">
        <v>104.310682534885</v>
      </c>
      <c r="AN4080">
        <v>1.0000000301886001</v>
      </c>
    </row>
    <row r="4081" spans="1:40" x14ac:dyDescent="0.3">
      <c r="A4081" t="str">
        <f>"20200111150111019"</f>
        <v>20200111150111019</v>
      </c>
      <c r="B4081" t="str">
        <f>"1578726071011891"</f>
        <v>1578726071011891</v>
      </c>
      <c r="C4081" t="s">
        <v>40</v>
      </c>
      <c r="D4081">
        <v>4.4683320000000002</v>
      </c>
      <c r="E4081">
        <v>0.45130009999999998</v>
      </c>
      <c r="F4081" t="s">
        <v>89</v>
      </c>
      <c r="G4081">
        <v>-387.5523</v>
      </c>
      <c r="H4081" s="1">
        <v>-1.339919E-6</v>
      </c>
      <c r="I4081">
        <v>20.302060000000001</v>
      </c>
      <c r="J4081">
        <v>-405.28120000000001</v>
      </c>
      <c r="K4081">
        <v>1.113502</v>
      </c>
      <c r="L4081">
        <v>21.41696</v>
      </c>
      <c r="M4081">
        <v>0.90938209999999997</v>
      </c>
      <c r="N4081">
        <v>0</v>
      </c>
      <c r="O4081">
        <v>-0.41579899999999997</v>
      </c>
      <c r="P4081">
        <v>0.97721029999999998</v>
      </c>
      <c r="Q4081">
        <v>0.1121866</v>
      </c>
      <c r="R4081">
        <v>-0.18020659999999999</v>
      </c>
      <c r="S4081">
        <v>3.0568240000000002</v>
      </c>
      <c r="T4081">
        <v>-0.1903186</v>
      </c>
      <c r="U4081">
        <v>-0.2018433</v>
      </c>
      <c r="V4081">
        <v>-0.2451227</v>
      </c>
      <c r="W4081">
        <v>0.1180245</v>
      </c>
      <c r="X4081">
        <v>0.96228119999999995</v>
      </c>
      <c r="Y4081">
        <v>-0.35356799999999999</v>
      </c>
      <c r="Z4081">
        <v>3.6119600000000002E-2</v>
      </c>
      <c r="AA4081">
        <v>0.93471119999999996</v>
      </c>
      <c r="AB4081">
        <v>30</v>
      </c>
      <c r="AC4081">
        <v>17.728899999999999</v>
      </c>
      <c r="AD4081">
        <v>-1.113503339919</v>
      </c>
      <c r="AE4081">
        <v>-1.11489999999999</v>
      </c>
      <c r="AF4081">
        <v>-6.3333342074652101</v>
      </c>
      <c r="AG4081">
        <v>-1.113503339919</v>
      </c>
      <c r="AH4081">
        <v>16.522122588546502</v>
      </c>
      <c r="AI4081">
        <v>93.600858868164593</v>
      </c>
      <c r="AJ4081">
        <v>110.973051627291</v>
      </c>
      <c r="AK4081">
        <v>17.729397809920599</v>
      </c>
      <c r="AL4081">
        <v>83.221895558172506</v>
      </c>
      <c r="AM4081">
        <v>104.29107084395601</v>
      </c>
      <c r="AN4081">
        <v>1.00000001426448</v>
      </c>
    </row>
    <row r="4082" spans="1:40" x14ac:dyDescent="0.3">
      <c r="A4082" t="str">
        <f>"20200111150111036"</f>
        <v>20200111150111036</v>
      </c>
      <c r="B4082" t="str">
        <f>"1578726071032386"</f>
        <v>1578726071032386</v>
      </c>
      <c r="C4082" t="s">
        <v>40</v>
      </c>
      <c r="D4082">
        <v>4.474507</v>
      </c>
      <c r="E4082">
        <v>0.45118560000000002</v>
      </c>
      <c r="F4082" t="s">
        <v>89</v>
      </c>
      <c r="G4082">
        <v>-387.3014</v>
      </c>
      <c r="H4082" s="1">
        <v>-1.4706590000000001E-6</v>
      </c>
      <c r="I4082">
        <v>20.34761</v>
      </c>
      <c r="J4082">
        <v>-405.08690000000001</v>
      </c>
      <c r="K4082">
        <v>1.1135079999999999</v>
      </c>
      <c r="L4082">
        <v>21.336639999999999</v>
      </c>
      <c r="M4082">
        <v>0.91266230000000004</v>
      </c>
      <c r="N4082">
        <v>0</v>
      </c>
      <c r="O4082">
        <v>-0.40854879999999999</v>
      </c>
      <c r="P4082">
        <v>0.97844240000000005</v>
      </c>
      <c r="Q4082">
        <v>0.1123353</v>
      </c>
      <c r="R4082">
        <v>-0.17329639999999999</v>
      </c>
      <c r="S4082">
        <v>3.0581670000000001</v>
      </c>
      <c r="T4082">
        <v>-0.1893949</v>
      </c>
      <c r="U4082">
        <v>-0.18188480000000001</v>
      </c>
      <c r="V4082">
        <v>-0.2442628</v>
      </c>
      <c r="W4082">
        <v>0.1181922</v>
      </c>
      <c r="X4082">
        <v>0.96247919999999998</v>
      </c>
      <c r="Y4082">
        <v>-0.35225899999999999</v>
      </c>
      <c r="Z4082">
        <v>3.5492170000000003E-2</v>
      </c>
      <c r="AA4082">
        <v>0.93522939999999999</v>
      </c>
      <c r="AB4082">
        <v>30</v>
      </c>
      <c r="AC4082">
        <v>17.785499999999999</v>
      </c>
      <c r="AD4082">
        <v>-1.1135094706590001</v>
      </c>
      <c r="AE4082">
        <v>-0.98902999999999897</v>
      </c>
      <c r="AF4082">
        <v>-6.3392536269983504</v>
      </c>
      <c r="AG4082">
        <v>-1.1135094706590001</v>
      </c>
      <c r="AH4082">
        <v>16.572589034075602</v>
      </c>
      <c r="AI4082">
        <v>93.590910859648005</v>
      </c>
      <c r="AJ4082">
        <v>110.93257131543299</v>
      </c>
      <c r="AK4082">
        <v>17.7785473866968</v>
      </c>
      <c r="AL4082">
        <v>83.212218966259499</v>
      </c>
      <c r="AM4082">
        <v>104.240169688836</v>
      </c>
      <c r="AN4082">
        <v>0.99999996101865896</v>
      </c>
    </row>
    <row r="4083" spans="1:40" x14ac:dyDescent="0.3">
      <c r="A4083" t="str">
        <f>"20200111150111048"</f>
        <v>20200111150111048</v>
      </c>
      <c r="B4083" t="str">
        <f>"1578726071042147"</f>
        <v>1578726071042147</v>
      </c>
      <c r="C4083" t="s">
        <v>40</v>
      </c>
      <c r="D4083">
        <v>6.4584640000000002</v>
      </c>
      <c r="E4083">
        <v>0.45072679999999998</v>
      </c>
      <c r="F4083" t="s">
        <v>89</v>
      </c>
      <c r="G4083">
        <v>-386.10939999999999</v>
      </c>
      <c r="H4083" s="1">
        <v>-2.0353389999999998E-6</v>
      </c>
      <c r="I4083">
        <v>20.352219999999999</v>
      </c>
      <c r="J4083">
        <v>-404.94069999999999</v>
      </c>
      <c r="K4083">
        <v>1.113513</v>
      </c>
      <c r="L4083">
        <v>21.27731</v>
      </c>
      <c r="M4083">
        <v>0.91508489999999998</v>
      </c>
      <c r="N4083">
        <v>0</v>
      </c>
      <c r="O4083">
        <v>-0.40309319999999998</v>
      </c>
      <c r="P4083">
        <v>0.97930720000000004</v>
      </c>
      <c r="Q4083">
        <v>0.11237080000000001</v>
      </c>
      <c r="R4083">
        <v>-0.16831599999999999</v>
      </c>
      <c r="S4083">
        <v>3.058624</v>
      </c>
      <c r="T4083">
        <v>-0.17946599999999999</v>
      </c>
      <c r="U4083">
        <v>-0.15866089999999999</v>
      </c>
      <c r="V4083">
        <v>-0.24341389999999999</v>
      </c>
      <c r="W4083">
        <v>0.11824709999999999</v>
      </c>
      <c r="X4083">
        <v>0.96268759999999998</v>
      </c>
      <c r="Y4083">
        <v>-0.35391009999999901</v>
      </c>
      <c r="Z4083">
        <v>3.339934E-2</v>
      </c>
      <c r="AA4083">
        <v>0.93468289999999998</v>
      </c>
      <c r="AB4083">
        <v>30</v>
      </c>
      <c r="AC4083">
        <v>18.831299999999999</v>
      </c>
      <c r="AD4083">
        <v>-1.113515035339</v>
      </c>
      <c r="AE4083">
        <v>-0.92508999999999697</v>
      </c>
      <c r="AF4083">
        <v>-6.7212458955490701</v>
      </c>
      <c r="AG4083">
        <v>-1.113515035339</v>
      </c>
      <c r="AH4083">
        <v>17.545130036199101</v>
      </c>
      <c r="AI4083">
        <v>93.391716286422806</v>
      </c>
      <c r="AJ4083">
        <v>110.961000736127</v>
      </c>
      <c r="AK4083">
        <v>18.821441233590399</v>
      </c>
      <c r="AL4083">
        <v>83.209051884327295</v>
      </c>
      <c r="AM4083">
        <v>104.189734769284</v>
      </c>
      <c r="AN4083">
        <v>1.0000000592826801</v>
      </c>
    </row>
    <row r="4084" spans="1:40" x14ac:dyDescent="0.3">
      <c r="A4084" t="str">
        <f>"20200111150111062"</f>
        <v>20200111150111062</v>
      </c>
      <c r="B4084" t="str">
        <f>"1578726071051907"</f>
        <v>1578726071051907</v>
      </c>
      <c r="C4084" t="s">
        <v>40</v>
      </c>
      <c r="D4084">
        <v>4.3545489999999996</v>
      </c>
      <c r="E4084">
        <v>0.45085540000000002</v>
      </c>
      <c r="F4084" t="s">
        <v>89</v>
      </c>
      <c r="G4084">
        <v>-386.17020000000002</v>
      </c>
      <c r="H4084" s="1">
        <v>-2.0255150000000001E-6</v>
      </c>
      <c r="I4084">
        <v>20.423210000000001</v>
      </c>
      <c r="J4084">
        <v>-404.76130000000001</v>
      </c>
      <c r="K4084">
        <v>1.113521</v>
      </c>
      <c r="L4084">
        <v>21.2056</v>
      </c>
      <c r="M4084">
        <v>0.91800689999999996</v>
      </c>
      <c r="N4084">
        <v>0</v>
      </c>
      <c r="O4084">
        <v>-0.39639340000000001</v>
      </c>
      <c r="P4084">
        <v>0.98034270000000001</v>
      </c>
      <c r="Q4084">
        <v>0.11273080000000001</v>
      </c>
      <c r="R4084">
        <v>-0.16192579999999901</v>
      </c>
      <c r="S4084">
        <v>3.0603030000000002</v>
      </c>
      <c r="T4084">
        <v>-0.18154509999999999</v>
      </c>
      <c r="U4084">
        <v>-0.13925170000000001</v>
      </c>
      <c r="V4084">
        <v>-0.24264730000000001</v>
      </c>
      <c r="W4084">
        <v>0.1186244</v>
      </c>
      <c r="X4084">
        <v>0.96283470000000004</v>
      </c>
      <c r="Y4084">
        <v>-0.35299999999999998</v>
      </c>
      <c r="Z4084">
        <v>3.3385249999999998E-2</v>
      </c>
      <c r="AA4084">
        <v>0.93502750000000001</v>
      </c>
      <c r="AB4084">
        <v>30</v>
      </c>
      <c r="AC4084">
        <v>18.591099999999901</v>
      </c>
      <c r="AD4084">
        <v>-1.1135230255149999</v>
      </c>
      <c r="AE4084">
        <v>-0.78238999999999903</v>
      </c>
      <c r="AF4084">
        <v>-6.6278656974496197</v>
      </c>
      <c r="AG4084">
        <v>-1.1135230255149999</v>
      </c>
      <c r="AH4084">
        <v>17.316059607151601</v>
      </c>
      <c r="AI4084">
        <v>93.436874412950004</v>
      </c>
      <c r="AJ4084">
        <v>110.944762486963</v>
      </c>
      <c r="AK4084">
        <v>18.5745648010985</v>
      </c>
      <c r="AL4084">
        <v>83.187280962857599</v>
      </c>
      <c r="AM4084">
        <v>104.144768406713</v>
      </c>
      <c r="AN4084">
        <v>1.0000000599983601</v>
      </c>
    </row>
    <row r="4085" spans="1:40" x14ac:dyDescent="0.3">
      <c r="A4085" t="str">
        <f>"20200111150111076"</f>
        <v>20200111150111076</v>
      </c>
      <c r="B4085" t="str">
        <f>"1578726071072403"</f>
        <v>1578726071072403</v>
      </c>
      <c r="C4085" t="s">
        <v>40</v>
      </c>
      <c r="D4085">
        <v>5.5846999999999998</v>
      </c>
      <c r="E4085">
        <v>0.45111240000000002</v>
      </c>
      <c r="F4085" t="s">
        <v>89</v>
      </c>
      <c r="G4085">
        <v>-386.0942</v>
      </c>
      <c r="H4085" s="1">
        <v>-2.0746220000000002E-6</v>
      </c>
      <c r="I4085">
        <v>20.47279</v>
      </c>
      <c r="J4085">
        <v>-404.5806</v>
      </c>
      <c r="K4085">
        <v>1.1135280000000001</v>
      </c>
      <c r="L4085">
        <v>21.135249999999999</v>
      </c>
      <c r="M4085">
        <v>0.92088809999999999</v>
      </c>
      <c r="N4085">
        <v>0</v>
      </c>
      <c r="O4085">
        <v>-0.38965290000000002</v>
      </c>
      <c r="P4085">
        <v>0.98140179999999999</v>
      </c>
      <c r="Q4085">
        <v>0.11279939999999999</v>
      </c>
      <c r="R4085">
        <v>-0.1553283</v>
      </c>
      <c r="S4085">
        <v>3.06134</v>
      </c>
      <c r="T4085">
        <v>-0.1826142</v>
      </c>
      <c r="U4085">
        <v>-0.1201782</v>
      </c>
      <c r="V4085">
        <v>-0.242065</v>
      </c>
      <c r="W4085">
        <v>0.1187059</v>
      </c>
      <c r="X4085">
        <v>0.96297120000000003</v>
      </c>
      <c r="Y4085">
        <v>-0.35197099999999998</v>
      </c>
      <c r="Z4085">
        <v>3.3177819999999997E-2</v>
      </c>
      <c r="AA4085">
        <v>0.93542270000000005</v>
      </c>
      <c r="AB4085">
        <v>30</v>
      </c>
      <c r="AC4085">
        <v>18.4864</v>
      </c>
      <c r="AD4085">
        <v>-1.113530074622</v>
      </c>
      <c r="AE4085">
        <v>-0.66245999999999905</v>
      </c>
      <c r="AF4085">
        <v>-6.5698686528248604</v>
      </c>
      <c r="AG4085">
        <v>-1.113530074622</v>
      </c>
      <c r="AH4085">
        <v>17.220806604253401</v>
      </c>
      <c r="AI4085">
        <v>93.457298613999995</v>
      </c>
      <c r="AJ4085">
        <v>110.882233192741</v>
      </c>
      <c r="AK4085">
        <v>18.465083358695001</v>
      </c>
      <c r="AL4085">
        <v>83.182578015246406</v>
      </c>
      <c r="AM4085">
        <v>104.11026141267899</v>
      </c>
      <c r="AN4085">
        <v>1.0000000434746199</v>
      </c>
    </row>
    <row r="4086" spans="1:40" x14ac:dyDescent="0.3">
      <c r="A4086" t="str">
        <f>"20200111150111092"</f>
        <v>20200111150111092</v>
      </c>
      <c r="B4086" t="str">
        <f>"1578726071082162"</f>
        <v>1578726071082162</v>
      </c>
      <c r="C4086" t="s">
        <v>40</v>
      </c>
      <c r="D4086">
        <v>4.4503659999999998</v>
      </c>
      <c r="E4086">
        <v>0.45153219999999999</v>
      </c>
      <c r="F4086" t="s">
        <v>89</v>
      </c>
      <c r="G4086">
        <v>-385.57990000000001</v>
      </c>
      <c r="H4086" s="1">
        <v>-2.3264639999999999E-6</v>
      </c>
      <c r="I4086">
        <v>20.505659999999999</v>
      </c>
      <c r="J4086">
        <v>-404.38189999999997</v>
      </c>
      <c r="K4086">
        <v>1.1135330000000001</v>
      </c>
      <c r="L4086">
        <v>21.0596</v>
      </c>
      <c r="M4086">
        <v>0.92398970000000002</v>
      </c>
      <c r="N4086">
        <v>0</v>
      </c>
      <c r="O4086">
        <v>-0.38223970000000002</v>
      </c>
      <c r="P4086">
        <v>0.98240590000000005</v>
      </c>
      <c r="Q4086">
        <v>0.11319650000000001</v>
      </c>
      <c r="R4086">
        <v>-0.1485437</v>
      </c>
      <c r="S4086">
        <v>3.061401</v>
      </c>
      <c r="T4086">
        <v>-0.1794125</v>
      </c>
      <c r="U4086">
        <v>-0.1014404</v>
      </c>
      <c r="V4086">
        <v>-0.24097070000000001</v>
      </c>
      <c r="W4086">
        <v>0.1191282</v>
      </c>
      <c r="X4086">
        <v>0.96319339999999998</v>
      </c>
      <c r="Y4086">
        <v>-0.3502284</v>
      </c>
      <c r="Z4086">
        <v>3.2150919999999999E-2</v>
      </c>
      <c r="AA4086">
        <v>0.93611239999999996</v>
      </c>
      <c r="AB4086">
        <v>30</v>
      </c>
      <c r="AC4086">
        <v>18.8019999999999</v>
      </c>
      <c r="AD4086">
        <v>-1.11353532646399</v>
      </c>
      <c r="AE4086">
        <v>-0.55393999999999999</v>
      </c>
      <c r="AF4086">
        <v>-6.6521770245110901</v>
      </c>
      <c r="AG4086">
        <v>-1.11353532646399</v>
      </c>
      <c r="AH4086">
        <v>17.524372973202698</v>
      </c>
      <c r="AI4086">
        <v>93.399721870596693</v>
      </c>
      <c r="AJ4086">
        <v>110.786547663287</v>
      </c>
      <c r="AK4086">
        <v>18.777514963184899</v>
      </c>
      <c r="AL4086">
        <v>83.1582085589732</v>
      </c>
      <c r="AM4086">
        <v>104.04589226548801</v>
      </c>
      <c r="AN4086">
        <v>0.99999996604864405</v>
      </c>
    </row>
    <row r="4087" spans="1:40" x14ac:dyDescent="0.3">
      <c r="A4087" t="str">
        <f>"20200111150111106"</f>
        <v>20200111150111106</v>
      </c>
      <c r="B4087" t="str">
        <f>"1578726071101682"</f>
        <v>1578726071101682</v>
      </c>
      <c r="C4087" t="s">
        <v>40</v>
      </c>
      <c r="D4087">
        <v>4.3806050000000001</v>
      </c>
      <c r="E4087">
        <v>0.45229170000000002</v>
      </c>
      <c r="F4087" t="s">
        <v>89</v>
      </c>
      <c r="G4087">
        <v>-385.13589999999999</v>
      </c>
      <c r="H4087" s="1">
        <v>-2.5435279999999998E-6</v>
      </c>
      <c r="I4087">
        <v>20.532589999999999</v>
      </c>
      <c r="J4087">
        <v>-404.21019999999999</v>
      </c>
      <c r="K4087">
        <v>1.1135349999999999</v>
      </c>
      <c r="L4087">
        <v>20.995539999999998</v>
      </c>
      <c r="M4087">
        <v>0.92661300000000002</v>
      </c>
      <c r="N4087">
        <v>0</v>
      </c>
      <c r="O4087">
        <v>-0.3758359</v>
      </c>
      <c r="P4087">
        <v>0.98333959999999998</v>
      </c>
      <c r="Q4087">
        <v>0.1133058</v>
      </c>
      <c r="R4087">
        <v>-0.1421452</v>
      </c>
      <c r="S4087">
        <v>3.061493</v>
      </c>
      <c r="T4087">
        <v>-0.17713219999999999</v>
      </c>
      <c r="U4087">
        <v>-8.3831790000000003E-2</v>
      </c>
      <c r="V4087">
        <v>-0.24057410000000001</v>
      </c>
      <c r="W4087">
        <v>0.11924700000000001</v>
      </c>
      <c r="X4087">
        <v>0.96327790000000002</v>
      </c>
      <c r="Y4087">
        <v>-0.349170599999999</v>
      </c>
      <c r="Z4087">
        <v>3.1373720000000001E-2</v>
      </c>
      <c r="AA4087">
        <v>0.93653379999999997</v>
      </c>
      <c r="AB4087">
        <v>30</v>
      </c>
      <c r="AC4087">
        <v>19.074299999999901</v>
      </c>
      <c r="AD4087">
        <v>-1.1135375435279999</v>
      </c>
      <c r="AE4087">
        <v>-0.46294999999999897</v>
      </c>
      <c r="AF4087">
        <v>-6.7174085143251396</v>
      </c>
      <c r="AG4087">
        <v>-1.1135375435279999</v>
      </c>
      <c r="AH4087">
        <v>17.789107547855199</v>
      </c>
      <c r="AI4087">
        <v>93.351444505711001</v>
      </c>
      <c r="AJ4087">
        <v>110.687217208603</v>
      </c>
      <c r="AK4087">
        <v>19.047726645411799</v>
      </c>
      <c r="AL4087">
        <v>83.151353382200696</v>
      </c>
      <c r="AM4087">
        <v>104.022506261253</v>
      </c>
      <c r="AN4087">
        <v>1.0000000286141</v>
      </c>
    </row>
    <row r="4088" spans="1:40" x14ac:dyDescent="0.3">
      <c r="A4088" t="str">
        <f>"20200111150111127"</f>
        <v>20200111150111127</v>
      </c>
      <c r="B4088" t="str">
        <f>"1578726071122179"</f>
        <v>1578726071122179</v>
      </c>
      <c r="C4088" t="s">
        <v>40</v>
      </c>
      <c r="D4088">
        <v>4.40428</v>
      </c>
      <c r="E4088">
        <v>0.45305519999999999</v>
      </c>
      <c r="F4088" t="s">
        <v>89</v>
      </c>
      <c r="G4088">
        <v>-384.85770000000002</v>
      </c>
      <c r="H4088" s="1">
        <v>-2.6806600000000002E-6</v>
      </c>
      <c r="I4088">
        <v>20.553719999999998</v>
      </c>
      <c r="J4088">
        <v>-403.95339999999999</v>
      </c>
      <c r="K4088">
        <v>1.1135389999999901</v>
      </c>
      <c r="L4088">
        <v>20.902339999999999</v>
      </c>
      <c r="M4088">
        <v>0.93043920000000002</v>
      </c>
      <c r="N4088">
        <v>0</v>
      </c>
      <c r="O4088">
        <v>-0.36626130000000001</v>
      </c>
      <c r="P4088">
        <v>0.98466900000000002</v>
      </c>
      <c r="Q4088">
        <v>0.1131581</v>
      </c>
      <c r="R4088">
        <v>-0.132750799999999</v>
      </c>
      <c r="S4088">
        <v>3.0610659999999998</v>
      </c>
      <c r="T4088">
        <v>-0.1761327</v>
      </c>
      <c r="U4088">
        <v>-6.9885249999999996E-2</v>
      </c>
      <c r="V4088">
        <v>-0.23984140000000001</v>
      </c>
      <c r="W4088">
        <v>0.1191178</v>
      </c>
      <c r="X4088">
        <v>0.96347649999999996</v>
      </c>
      <c r="Y4088">
        <v>-0.34380290000000002</v>
      </c>
      <c r="Z4088">
        <v>3.0536319999999999E-2</v>
      </c>
      <c r="AA4088">
        <v>0.93854519999999997</v>
      </c>
      <c r="AB4088">
        <v>30</v>
      </c>
      <c r="AC4088">
        <v>19.095699999999901</v>
      </c>
      <c r="AD4088">
        <v>-1.11354168065999</v>
      </c>
      <c r="AE4088">
        <v>-0.34861999999999599</v>
      </c>
      <c r="AF4088">
        <v>-6.6475010470250799</v>
      </c>
      <c r="AG4088">
        <v>-1.11354168065999</v>
      </c>
      <c r="AH4088">
        <v>17.835657048872001</v>
      </c>
      <c r="AI4088">
        <v>93.348114160424103</v>
      </c>
      <c r="AJ4088">
        <v>110.44085232990901</v>
      </c>
      <c r="AK4088">
        <v>19.066722518821798</v>
      </c>
      <c r="AL4088">
        <v>83.158808644486101</v>
      </c>
      <c r="AM4088">
        <v>103.978707641258</v>
      </c>
      <c r="AN4088">
        <v>0.99999995674152398</v>
      </c>
    </row>
    <row r="4089" spans="1:40" x14ac:dyDescent="0.3">
      <c r="A4089" t="str">
        <f>"20200111150111142"</f>
        <v>20200111150111142</v>
      </c>
      <c r="B4089" t="str">
        <f>"1578726071131939"</f>
        <v>1578726071131939</v>
      </c>
      <c r="C4089" t="s">
        <v>40</v>
      </c>
      <c r="D4089">
        <v>4.4029780000000001</v>
      </c>
      <c r="E4089">
        <v>0.45345940000000001</v>
      </c>
      <c r="F4089" t="s">
        <v>89</v>
      </c>
      <c r="G4089">
        <v>-384.53800000000001</v>
      </c>
      <c r="H4089" s="1">
        <v>-2.8463129999999999E-6</v>
      </c>
      <c r="I4089">
        <v>20.60829</v>
      </c>
      <c r="J4089">
        <v>-403.75619999999998</v>
      </c>
      <c r="K4089">
        <v>1.113537</v>
      </c>
      <c r="L4089">
        <v>20.83258</v>
      </c>
      <c r="M4089">
        <v>0.93329839999999997</v>
      </c>
      <c r="N4089">
        <v>0</v>
      </c>
      <c r="O4089">
        <v>-0.35891309999999998</v>
      </c>
      <c r="P4089">
        <v>0.98570199999999997</v>
      </c>
      <c r="Q4089">
        <v>0.11269650000000001</v>
      </c>
      <c r="R4089">
        <v>-0.12526590000000001</v>
      </c>
      <c r="S4089">
        <v>3.0606689999999999</v>
      </c>
      <c r="T4089">
        <v>-0.1755401</v>
      </c>
      <c r="U4089">
        <v>-4.6356199999999903E-2</v>
      </c>
      <c r="V4089">
        <v>-0.23957249999999999</v>
      </c>
      <c r="W4089">
        <v>0.1186633</v>
      </c>
      <c r="X4089">
        <v>0.9635996</v>
      </c>
      <c r="Y4089">
        <v>-0.34362900000000002</v>
      </c>
      <c r="Z4089">
        <v>3.004507E-2</v>
      </c>
      <c r="AA4089">
        <v>0.93862469999999998</v>
      </c>
      <c r="AB4089">
        <v>30</v>
      </c>
      <c r="AC4089">
        <v>19.2181999999999</v>
      </c>
      <c r="AD4089">
        <v>-1.113539846313</v>
      </c>
      <c r="AE4089">
        <v>-0.22428999999999899</v>
      </c>
      <c r="AF4089">
        <v>-6.6664094846102104</v>
      </c>
      <c r="AG4089">
        <v>-1.113539846313</v>
      </c>
      <c r="AH4089">
        <v>17.957755740636401</v>
      </c>
      <c r="AI4089">
        <v>93.327001627987798</v>
      </c>
      <c r="AJ4089">
        <v>110.366301474781</v>
      </c>
      <c r="AK4089">
        <v>19.1875474630341</v>
      </c>
      <c r="AL4089">
        <v>83.185036407777702</v>
      </c>
      <c r="AM4089">
        <v>103.961934805807</v>
      </c>
      <c r="AN4089">
        <v>1.00000007532164</v>
      </c>
    </row>
    <row r="4090" spans="1:40" x14ac:dyDescent="0.3">
      <c r="A4090" t="str">
        <f>"20200111150111159"</f>
        <v>20200111150111159</v>
      </c>
      <c r="B4090" t="str">
        <f>"1578726071151673"</f>
        <v>1578726071151673</v>
      </c>
      <c r="C4090" t="s">
        <v>40</v>
      </c>
      <c r="D4090">
        <v>4.3692960000000003</v>
      </c>
      <c r="E4090">
        <v>0.454121</v>
      </c>
      <c r="F4090" t="s">
        <v>89</v>
      </c>
      <c r="G4090">
        <v>-384.48779999999999</v>
      </c>
      <c r="H4090" s="1">
        <v>-2.8863039999999999E-6</v>
      </c>
      <c r="I4090">
        <v>20.669450000000001</v>
      </c>
      <c r="J4090">
        <v>-403.53519999999997</v>
      </c>
      <c r="K4090">
        <v>1.1135280000000001</v>
      </c>
      <c r="L4090">
        <v>20.75656</v>
      </c>
      <c r="M4090">
        <v>0.93642000000000003</v>
      </c>
      <c r="N4090">
        <v>0</v>
      </c>
      <c r="O4090">
        <v>-0.35068759999999999</v>
      </c>
      <c r="P4090">
        <v>0.98678180000000004</v>
      </c>
      <c r="Q4090">
        <v>0.11191760000000001</v>
      </c>
      <c r="R4090">
        <v>-0.1172034</v>
      </c>
      <c r="S4090">
        <v>3.0604550000000001</v>
      </c>
      <c r="T4090">
        <v>-0.1768671</v>
      </c>
      <c r="U4090">
        <v>-2.5909419999999999E-2</v>
      </c>
      <c r="V4090">
        <v>-0.2389859</v>
      </c>
      <c r="W4090">
        <v>0.1179014</v>
      </c>
      <c r="X4090">
        <v>0.96383869999999905</v>
      </c>
      <c r="Y4090">
        <v>-0.34163589999999999</v>
      </c>
      <c r="Z4090">
        <v>2.9774229999999999E-2</v>
      </c>
      <c r="AA4090">
        <v>0.93936059999999999</v>
      </c>
      <c r="AB4090">
        <v>30</v>
      </c>
      <c r="AC4090">
        <v>19.0473999999999</v>
      </c>
      <c r="AD4090">
        <v>-1.1135308863040001</v>
      </c>
      <c r="AE4090">
        <v>-8.7109999999999105E-2</v>
      </c>
      <c r="AF4090">
        <v>-6.5760888862380504</v>
      </c>
      <c r="AG4090">
        <v>-1.1135308863040001</v>
      </c>
      <c r="AH4090">
        <v>17.807269391194399</v>
      </c>
      <c r="AI4090">
        <v>93.357136364664797</v>
      </c>
      <c r="AJ4090">
        <v>110.268803905418</v>
      </c>
      <c r="AK4090">
        <v>19.015355354161201</v>
      </c>
      <c r="AL4090">
        <v>83.228998299103694</v>
      </c>
      <c r="AM4090">
        <v>103.925760393529</v>
      </c>
      <c r="AN4090">
        <v>1.0000000200692201</v>
      </c>
    </row>
    <row r="4091" spans="1:40" x14ac:dyDescent="0.3">
      <c r="A4091" t="str">
        <f>"20200111150111173"</f>
        <v>20200111150111173</v>
      </c>
      <c r="B4091" t="str">
        <f>"1578726071162408"</f>
        <v>1578726071162408</v>
      </c>
      <c r="C4091" t="s">
        <v>40</v>
      </c>
      <c r="D4091">
        <v>4.3666349999999996</v>
      </c>
      <c r="E4091">
        <v>0.4544668</v>
      </c>
      <c r="F4091" t="s">
        <v>89</v>
      </c>
      <c r="G4091">
        <v>-384.4359</v>
      </c>
      <c r="H4091" s="1">
        <v>-2.9247670000000001E-6</v>
      </c>
      <c r="I4091">
        <v>20.721889999999998</v>
      </c>
      <c r="J4091">
        <v>-403.37610000000001</v>
      </c>
      <c r="K4091">
        <v>1.113523</v>
      </c>
      <c r="L4091">
        <v>20.703520000000001</v>
      </c>
      <c r="M4091">
        <v>0.93861240000000001</v>
      </c>
      <c r="N4091">
        <v>0</v>
      </c>
      <c r="O4091">
        <v>-0.34477669999999999</v>
      </c>
      <c r="P4091">
        <v>0.98749699999999996</v>
      </c>
      <c r="Q4091">
        <v>0.1115797</v>
      </c>
      <c r="R4091">
        <v>-0.11135490000000001</v>
      </c>
      <c r="S4091">
        <v>3.0597530000000002</v>
      </c>
      <c r="T4091">
        <v>-0.17839059999999901</v>
      </c>
      <c r="U4091">
        <v>-5.5541990000000001E-3</v>
      </c>
      <c r="V4091">
        <v>-0.2386239</v>
      </c>
      <c r="W4091">
        <v>0.1175737</v>
      </c>
      <c r="X4091">
        <v>0.96396839999999995</v>
      </c>
      <c r="Y4091">
        <v>-0.34194819999999998</v>
      </c>
      <c r="Z4091">
        <v>2.9725789999999998E-2</v>
      </c>
      <c r="AA4091">
        <v>0.93924850000000004</v>
      </c>
      <c r="AB4091">
        <v>30</v>
      </c>
      <c r="AC4091">
        <v>18.940200000000001</v>
      </c>
      <c r="AD4091">
        <v>-1.113525924767</v>
      </c>
      <c r="AE4091">
        <v>1.8369999999997302E-2</v>
      </c>
      <c r="AF4091">
        <v>-6.5252722202871896</v>
      </c>
      <c r="AG4091">
        <v>-1.113525924767</v>
      </c>
      <c r="AH4091">
        <v>17.7111618584177</v>
      </c>
      <c r="AI4091">
        <v>93.376242650133605</v>
      </c>
      <c r="AJ4091">
        <v>110.225165133882</v>
      </c>
      <c r="AK4091">
        <v>18.907786012885001</v>
      </c>
      <c r="AL4091">
        <v>83.247905551814696</v>
      </c>
      <c r="AM4091">
        <v>103.903687399246</v>
      </c>
      <c r="AN4091">
        <v>1.0000000083907199</v>
      </c>
    </row>
    <row r="4092" spans="1:40" x14ac:dyDescent="0.3">
      <c r="A4092" t="str">
        <f>"20200111150111186"</f>
        <v>20200111150111186</v>
      </c>
      <c r="B4092" t="str">
        <f>"1578726071181928"</f>
        <v>1578726071181928</v>
      </c>
      <c r="C4092" t="s">
        <v>40</v>
      </c>
      <c r="D4092">
        <v>4.361993</v>
      </c>
      <c r="E4092">
        <v>0.45531280000000002</v>
      </c>
      <c r="F4092" t="s">
        <v>89</v>
      </c>
      <c r="G4092">
        <v>-384.42770000000002</v>
      </c>
      <c r="H4092" s="1">
        <v>-2.9401769999999998E-6</v>
      </c>
      <c r="I4092">
        <v>20.765139999999999</v>
      </c>
      <c r="J4092">
        <v>-403.20170000000002</v>
      </c>
      <c r="K4092">
        <v>1.113524</v>
      </c>
      <c r="L4092">
        <v>20.646270000000001</v>
      </c>
      <c r="M4092">
        <v>0.94096570000000002</v>
      </c>
      <c r="N4092">
        <v>0</v>
      </c>
      <c r="O4092">
        <v>-0.33830130000000003</v>
      </c>
      <c r="P4092">
        <v>0.98816219999999999</v>
      </c>
      <c r="Q4092">
        <v>0.111581</v>
      </c>
      <c r="R4092">
        <v>-0.10528750000000001</v>
      </c>
      <c r="S4092">
        <v>3.0594480000000002</v>
      </c>
      <c r="T4092">
        <v>-0.17979249999999999</v>
      </c>
      <c r="U4092">
        <v>9.9487299999999994E-3</v>
      </c>
      <c r="V4092">
        <v>-0.23790159999999999</v>
      </c>
      <c r="W4092">
        <v>0.11759500000000001</v>
      </c>
      <c r="X4092">
        <v>0.96414429999999995</v>
      </c>
      <c r="Y4092">
        <v>-0.34022920000000001</v>
      </c>
      <c r="Z4092">
        <v>2.9553969999999999E-2</v>
      </c>
      <c r="AA4092">
        <v>0.93987799999999999</v>
      </c>
      <c r="AB4092">
        <v>30</v>
      </c>
      <c r="AC4092">
        <v>18.774000000000001</v>
      </c>
      <c r="AD4092">
        <v>-1.113526940177</v>
      </c>
      <c r="AE4092">
        <v>0.11886999999999701</v>
      </c>
      <c r="AF4092">
        <v>-6.4409022627269099</v>
      </c>
      <c r="AG4092">
        <v>-1.113526940177</v>
      </c>
      <c r="AH4092">
        <v>17.564883264707301</v>
      </c>
      <c r="AI4092">
        <v>93.406205638771397</v>
      </c>
      <c r="AJ4092">
        <v>110.137583147398</v>
      </c>
      <c r="AK4092">
        <v>18.741672505603599</v>
      </c>
      <c r="AL4092">
        <v>83.246676523917799</v>
      </c>
      <c r="AM4092">
        <v>103.860795860614</v>
      </c>
      <c r="AN4092">
        <v>0.99999999326502398</v>
      </c>
    </row>
    <row r="4093" spans="1:40" x14ac:dyDescent="0.3">
      <c r="A4093" t="str">
        <f>"20200111150111203"</f>
        <v>20200111150111203</v>
      </c>
      <c r="B4093" t="str">
        <f>"1578726071191688"</f>
        <v>1578726071191688</v>
      </c>
      <c r="C4093" t="s">
        <v>40</v>
      </c>
      <c r="D4093">
        <v>4.3439399999999999</v>
      </c>
      <c r="E4093">
        <v>0.45577069999999997</v>
      </c>
      <c r="F4093" t="s">
        <v>89</v>
      </c>
      <c r="G4093">
        <v>-384.24540000000002</v>
      </c>
      <c r="H4093" s="1">
        <v>-3.031298E-6</v>
      </c>
      <c r="I4093">
        <v>20.783770000000001</v>
      </c>
      <c r="J4093">
        <v>-402.99239999999998</v>
      </c>
      <c r="K4093">
        <v>1.1135200000000001</v>
      </c>
      <c r="L4093">
        <v>20.579219999999999</v>
      </c>
      <c r="M4093">
        <v>0.94371919999999998</v>
      </c>
      <c r="N4093">
        <v>0</v>
      </c>
      <c r="O4093">
        <v>-0.33054220000000001</v>
      </c>
      <c r="P4093">
        <v>0.98878719999999998</v>
      </c>
      <c r="Q4093">
        <v>0.1114947</v>
      </c>
      <c r="R4093">
        <v>-9.9340380000000006E-2</v>
      </c>
      <c r="S4093">
        <v>3.058624</v>
      </c>
      <c r="T4093">
        <v>-0.1796691</v>
      </c>
      <c r="U4093">
        <v>2.2186279999999999E-2</v>
      </c>
      <c r="V4093">
        <v>-0.23576040000000001</v>
      </c>
      <c r="W4093">
        <v>0.1175657</v>
      </c>
      <c r="X4093">
        <v>0.96467369999999997</v>
      </c>
      <c r="Y4093">
        <v>-0.33626810000000001</v>
      </c>
      <c r="Z4093">
        <v>2.8993870000000001E-2</v>
      </c>
      <c r="AA4093">
        <v>0.94131989999999999</v>
      </c>
      <c r="AB4093">
        <v>30</v>
      </c>
      <c r="AC4093">
        <v>18.7469999999999</v>
      </c>
      <c r="AD4093">
        <v>-1.113523031298</v>
      </c>
      <c r="AE4093">
        <v>0.20455000000000101</v>
      </c>
      <c r="AF4093">
        <v>-6.3676838537983897</v>
      </c>
      <c r="AG4093">
        <v>-1.113523031298</v>
      </c>
      <c r="AH4093">
        <v>17.563531694771498</v>
      </c>
      <c r="AI4093">
        <v>93.410986852949193</v>
      </c>
      <c r="AJ4093">
        <v>109.928186021028</v>
      </c>
      <c r="AK4093">
        <v>18.7153673967785</v>
      </c>
      <c r="AL4093">
        <v>83.2483670876952</v>
      </c>
      <c r="AM4093">
        <v>103.73353738380899</v>
      </c>
      <c r="AN4093">
        <v>1.00000000374816</v>
      </c>
    </row>
    <row r="4094" spans="1:40" x14ac:dyDescent="0.3">
      <c r="A4094" t="str">
        <f>"20200111150111215"</f>
        <v>20200111150111215</v>
      </c>
      <c r="B4094" t="str">
        <f>"1578726071212185"</f>
        <v>1578726071212185</v>
      </c>
      <c r="C4094" t="s">
        <v>40</v>
      </c>
      <c r="D4094">
        <v>4.3669849999999997</v>
      </c>
      <c r="E4094">
        <v>0.45653579999999999</v>
      </c>
      <c r="F4094" t="s">
        <v>89</v>
      </c>
      <c r="G4094">
        <v>-383.99829999999997</v>
      </c>
      <c r="H4094" s="1">
        <v>-3.154953E-6</v>
      </c>
      <c r="I4094">
        <v>20.809529999999999</v>
      </c>
      <c r="J4094">
        <v>-402.83449999999999</v>
      </c>
      <c r="K4094">
        <v>1.113518</v>
      </c>
      <c r="L4094">
        <v>20.530090000000001</v>
      </c>
      <c r="M4094">
        <v>0.94574539999999996</v>
      </c>
      <c r="N4094">
        <v>0</v>
      </c>
      <c r="O4094">
        <v>-0.32469959999999998</v>
      </c>
      <c r="P4094">
        <v>0.98923099999999997</v>
      </c>
      <c r="Q4094">
        <v>0.111582</v>
      </c>
      <c r="R4094">
        <v>-9.4718739999999996E-2</v>
      </c>
      <c r="S4094">
        <v>3.0579529999999999</v>
      </c>
      <c r="T4094">
        <v>-0.1792715</v>
      </c>
      <c r="U4094">
        <v>3.7078859999999998E-2</v>
      </c>
      <c r="V4094">
        <v>-0.23429749999999999</v>
      </c>
      <c r="W4094">
        <v>0.11769259999999999</v>
      </c>
      <c r="X4094">
        <v>0.96501459999999994</v>
      </c>
      <c r="Y4094">
        <v>-0.33504709999999899</v>
      </c>
      <c r="Z4094">
        <v>2.8576190000000001E-2</v>
      </c>
      <c r="AA4094">
        <v>0.94176789999999999</v>
      </c>
      <c r="AB4094">
        <v>30</v>
      </c>
      <c r="AC4094">
        <v>18.836200000000002</v>
      </c>
      <c r="AD4094">
        <v>-1.113521154953</v>
      </c>
      <c r="AE4094">
        <v>0.27944000000000102</v>
      </c>
      <c r="AF4094">
        <v>-6.358602456451</v>
      </c>
      <c r="AG4094">
        <v>-1.113521154953</v>
      </c>
      <c r="AH4094">
        <v>17.6630056797622</v>
      </c>
      <c r="AI4094">
        <v>93.394581290972695</v>
      </c>
      <c r="AJ4094">
        <v>109.798647803595</v>
      </c>
      <c r="AK4094">
        <v>18.805677977808301</v>
      </c>
      <c r="AL4094">
        <v>83.241045550026698</v>
      </c>
      <c r="AM4094">
        <v>103.646876338185</v>
      </c>
      <c r="AN4094">
        <v>1.00000002240708</v>
      </c>
    </row>
    <row r="4095" spans="1:40" x14ac:dyDescent="0.3">
      <c r="A4095" t="str">
        <f>"20200111150111228"</f>
        <v>20200111150111228</v>
      </c>
      <c r="B4095" t="str">
        <f>"1578726071221947"</f>
        <v>1578726071221947</v>
      </c>
      <c r="C4095" t="s">
        <v>40</v>
      </c>
      <c r="D4095">
        <v>4.410685</v>
      </c>
      <c r="E4095">
        <v>0.4568989</v>
      </c>
      <c r="F4095" t="s">
        <v>89</v>
      </c>
      <c r="G4095">
        <v>-383.78339999999997</v>
      </c>
      <c r="H4095" s="1">
        <v>-3.2574619999999999E-6</v>
      </c>
      <c r="I4095">
        <v>20.81307</v>
      </c>
      <c r="J4095">
        <v>-402.66919999999999</v>
      </c>
      <c r="K4095">
        <v>1.113515</v>
      </c>
      <c r="L4095">
        <v>20.47974</v>
      </c>
      <c r="M4095">
        <v>0.94782109999999997</v>
      </c>
      <c r="N4095">
        <v>0</v>
      </c>
      <c r="O4095">
        <v>-0.31858979999999998</v>
      </c>
      <c r="P4095">
        <v>0.98972249999999995</v>
      </c>
      <c r="Q4095">
        <v>0.11115410000000001</v>
      </c>
      <c r="R4095">
        <v>-8.9970270000000005E-2</v>
      </c>
      <c r="S4095">
        <v>3.0571899999999999</v>
      </c>
      <c r="T4095">
        <v>-0.1786906</v>
      </c>
      <c r="U4095">
        <v>4.5410159999999998E-2</v>
      </c>
      <c r="V4095">
        <v>-0.2327032</v>
      </c>
      <c r="W4095">
        <v>0.1173081</v>
      </c>
      <c r="X4095">
        <v>0.9654471</v>
      </c>
      <c r="Y4095">
        <v>-0.33155800000000002</v>
      </c>
      <c r="Z4095">
        <v>2.8048489999999999E-2</v>
      </c>
      <c r="AA4095">
        <v>0.94301780000000002</v>
      </c>
      <c r="AB4095">
        <v>30</v>
      </c>
      <c r="AC4095">
        <v>18.8858</v>
      </c>
      <c r="AD4095">
        <v>-1.1135182574619999</v>
      </c>
      <c r="AE4095">
        <v>0.33333000000000002</v>
      </c>
      <c r="AF4095">
        <v>-6.3112568528296302</v>
      </c>
      <c r="AG4095">
        <v>-1.1135182574619999</v>
      </c>
      <c r="AH4095">
        <v>17.733742109576401</v>
      </c>
      <c r="AI4095">
        <v>93.385460847334798</v>
      </c>
      <c r="AJ4095">
        <v>109.59012241371499</v>
      </c>
      <c r="AK4095">
        <v>18.856232263658999</v>
      </c>
      <c r="AL4095">
        <v>83.263229542017299</v>
      </c>
      <c r="AM4095">
        <v>103.551604083112</v>
      </c>
      <c r="AN4095">
        <v>1.00000003625712</v>
      </c>
    </row>
    <row r="4096" spans="1:40" x14ac:dyDescent="0.3">
      <c r="A4096" t="str">
        <f>"20200111150111240"</f>
        <v>20200111150111240</v>
      </c>
      <c r="B4096" t="str">
        <f>"1578726071231704"</f>
        <v>1578726071231704</v>
      </c>
      <c r="C4096" t="s">
        <v>40</v>
      </c>
      <c r="D4096">
        <v>4.4427909999999997</v>
      </c>
      <c r="E4096">
        <v>0.45725179999999999</v>
      </c>
      <c r="F4096" t="s">
        <v>89</v>
      </c>
      <c r="G4096">
        <v>-383.82760000000002</v>
      </c>
      <c r="H4096" s="1">
        <v>-3.2416809999999999E-6</v>
      </c>
      <c r="I4096">
        <v>20.832260000000002</v>
      </c>
      <c r="J4096">
        <v>-402.50909999999999</v>
      </c>
      <c r="K4096">
        <v>1.1135109999999999</v>
      </c>
      <c r="L4096">
        <v>20.43167</v>
      </c>
      <c r="M4096">
        <v>0.94978819999999997</v>
      </c>
      <c r="N4096">
        <v>0</v>
      </c>
      <c r="O4096">
        <v>-0.31267669999999997</v>
      </c>
      <c r="P4096">
        <v>0.9901044</v>
      </c>
      <c r="Q4096">
        <v>0.11114499999999999</v>
      </c>
      <c r="R4096">
        <v>-8.5676799999999997E-2</v>
      </c>
      <c r="S4096">
        <v>3.0566409999999999</v>
      </c>
      <c r="T4096">
        <v>-0.1806451</v>
      </c>
      <c r="U4096">
        <v>5.7189940000000002E-2</v>
      </c>
      <c r="V4096">
        <v>-0.23086950000000001</v>
      </c>
      <c r="W4096">
        <v>0.1173474</v>
      </c>
      <c r="X4096">
        <v>0.96588240000000003</v>
      </c>
      <c r="Y4096">
        <v>-0.3293045</v>
      </c>
      <c r="Z4096">
        <v>2.795986E-2</v>
      </c>
      <c r="AA4096">
        <v>0.94380969999999997</v>
      </c>
      <c r="AB4096">
        <v>30</v>
      </c>
      <c r="AC4096">
        <v>18.6814999999999</v>
      </c>
      <c r="AD4096">
        <v>-1.113514241681</v>
      </c>
      <c r="AE4096">
        <v>0.400590000000001</v>
      </c>
      <c r="AF4096">
        <v>-6.2001498471690697</v>
      </c>
      <c r="AG4096">
        <v>-1.113514241681</v>
      </c>
      <c r="AH4096">
        <v>17.557060563008498</v>
      </c>
      <c r="AI4096">
        <v>93.422389335282205</v>
      </c>
      <c r="AJ4096">
        <v>109.450307658581</v>
      </c>
      <c r="AK4096">
        <v>18.652939385172601</v>
      </c>
      <c r="AL4096">
        <v>83.260961739410106</v>
      </c>
      <c r="AM4096">
        <v>103.44287036671101</v>
      </c>
      <c r="AN4096">
        <v>0.99999997447338396</v>
      </c>
    </row>
    <row r="4097" spans="1:40" x14ac:dyDescent="0.3">
      <c r="A4097" t="str">
        <f>"20200111150111259"</f>
        <v>20200111150111259</v>
      </c>
      <c r="B4097" t="str">
        <f>"1578726071252200"</f>
        <v>1578726071252200</v>
      </c>
      <c r="C4097" t="s">
        <v>40</v>
      </c>
      <c r="D4097">
        <v>4.4904419999999998</v>
      </c>
      <c r="E4097">
        <v>0.4579588</v>
      </c>
      <c r="F4097" t="s">
        <v>89</v>
      </c>
      <c r="G4097">
        <v>-383.71690000000001</v>
      </c>
      <c r="H4097" s="1">
        <v>-3.2981429999999999E-6</v>
      </c>
      <c r="I4097">
        <v>20.84769</v>
      </c>
      <c r="J4097">
        <v>-402.2645</v>
      </c>
      <c r="K4097">
        <v>1.1134980000000001</v>
      </c>
      <c r="L4097">
        <v>20.360869999999998</v>
      </c>
      <c r="M4097">
        <v>0.95270390000000005</v>
      </c>
      <c r="N4097">
        <v>0</v>
      </c>
      <c r="O4097">
        <v>-0.30367680000000002</v>
      </c>
      <c r="P4097">
        <v>0.99062850000000002</v>
      </c>
      <c r="Q4097">
        <v>0.11093450000000001</v>
      </c>
      <c r="R4097">
        <v>-7.9681310000000005E-2</v>
      </c>
      <c r="S4097">
        <v>3.0562130000000001</v>
      </c>
      <c r="T4097">
        <v>-0.181093</v>
      </c>
      <c r="U4097">
        <v>6.7657469999999997E-2</v>
      </c>
      <c r="V4097">
        <v>-0.22757240000000001</v>
      </c>
      <c r="W4097">
        <v>0.1172252</v>
      </c>
      <c r="X4097">
        <v>0.96667939999999997</v>
      </c>
      <c r="Y4097">
        <v>-0.3236212</v>
      </c>
      <c r="Z4097">
        <v>2.7353209999999999E-2</v>
      </c>
      <c r="AA4097">
        <v>0.94579120000000005</v>
      </c>
      <c r="AB4097">
        <v>30</v>
      </c>
      <c r="AC4097">
        <v>18.5475999999999</v>
      </c>
      <c r="AD4097">
        <v>-1.1135012981429999</v>
      </c>
      <c r="AE4097">
        <v>0.48681999999999798</v>
      </c>
      <c r="AF4097">
        <v>-6.07480514659321</v>
      </c>
      <c r="AG4097">
        <v>-1.1135012981429999</v>
      </c>
      <c r="AH4097">
        <v>17.460835164383099</v>
      </c>
      <c r="AI4097">
        <v>93.446776666651303</v>
      </c>
      <c r="AJ4097">
        <v>109.18331440219799</v>
      </c>
      <c r="AK4097">
        <v>18.5209046039279</v>
      </c>
      <c r="AL4097">
        <v>83.268012140132299</v>
      </c>
      <c r="AM4097">
        <v>103.24717056849001</v>
      </c>
      <c r="AN4097">
        <v>1.0000000035705701</v>
      </c>
    </row>
    <row r="4098" spans="1:40" x14ac:dyDescent="0.3">
      <c r="A4098" t="str">
        <f>"20200111150111271"</f>
        <v>20200111150111271</v>
      </c>
      <c r="B4098" t="str">
        <f>"1578726071261960"</f>
        <v>1578726071261960</v>
      </c>
      <c r="C4098" t="s">
        <v>40</v>
      </c>
      <c r="D4098">
        <v>4.4595039999999999</v>
      </c>
      <c r="E4098">
        <v>0.4583335</v>
      </c>
      <c r="F4098" t="s">
        <v>89</v>
      </c>
      <c r="G4098">
        <v>-383.613</v>
      </c>
      <c r="H4098" s="1">
        <v>-3.349023E-6</v>
      </c>
      <c r="I4098">
        <v>20.854379999999999</v>
      </c>
      <c r="J4098">
        <v>-402.11470000000003</v>
      </c>
      <c r="K4098">
        <v>1.1134900000000001</v>
      </c>
      <c r="L4098">
        <v>20.31897</v>
      </c>
      <c r="M4098">
        <v>0.95443650000000002</v>
      </c>
      <c r="N4098">
        <v>0</v>
      </c>
      <c r="O4098">
        <v>-0.29818689999999998</v>
      </c>
      <c r="P4098">
        <v>0.99088469999999995</v>
      </c>
      <c r="Q4098">
        <v>0.1114626</v>
      </c>
      <c r="R4098">
        <v>-7.5657409999999994E-2</v>
      </c>
      <c r="S4098">
        <v>3.0552980000000001</v>
      </c>
      <c r="T4098">
        <v>-0.18240229999999999</v>
      </c>
      <c r="U4098">
        <v>8.0841060000000006E-2</v>
      </c>
      <c r="V4098">
        <v>-0.2259217</v>
      </c>
      <c r="W4098">
        <v>0.11779820000000001</v>
      </c>
      <c r="X4098">
        <v>0.96699690000000005</v>
      </c>
      <c r="Y4098">
        <v>-0.32225569999999998</v>
      </c>
      <c r="Z4098">
        <v>2.7203649999999999E-2</v>
      </c>
      <c r="AA4098">
        <v>0.94626169999999998</v>
      </c>
      <c r="AB4098">
        <v>30</v>
      </c>
      <c r="AC4098">
        <v>18.5016999999999</v>
      </c>
      <c r="AD4098">
        <v>-1.1134933490229999</v>
      </c>
      <c r="AE4098">
        <v>0.53540999999999805</v>
      </c>
      <c r="AF4098">
        <v>-6.0066499131708904</v>
      </c>
      <c r="AG4098">
        <v>-1.1134933490229999</v>
      </c>
      <c r="AH4098">
        <v>17.437126634746999</v>
      </c>
      <c r="AI4098">
        <v>93.455085970924699</v>
      </c>
      <c r="AJ4098">
        <v>109.00753662346899</v>
      </c>
      <c r="AK4098">
        <v>18.4762846885925</v>
      </c>
      <c r="AL4098">
        <v>83.234952699954604</v>
      </c>
      <c r="AM4098">
        <v>103.15026575263499</v>
      </c>
      <c r="AN4098">
        <v>1.00000001753187</v>
      </c>
    </row>
    <row r="4099" spans="1:40" x14ac:dyDescent="0.3">
      <c r="A4099" t="str">
        <f>"20200111150111283"</f>
        <v>20200111150111283</v>
      </c>
      <c r="B4099" t="str">
        <f>"1578726071271721"</f>
        <v>1578726071271721</v>
      </c>
      <c r="C4099" t="s">
        <v>40</v>
      </c>
      <c r="D4099">
        <v>4.4868990000000002</v>
      </c>
      <c r="E4099">
        <v>0.4583335</v>
      </c>
      <c r="F4099" t="s">
        <v>89</v>
      </c>
      <c r="G4099">
        <v>-383.34739999999999</v>
      </c>
      <c r="H4099" s="1">
        <v>-3.479771E-6</v>
      </c>
      <c r="I4099">
        <v>20.873919999999998</v>
      </c>
      <c r="J4099">
        <v>-401.95940000000002</v>
      </c>
      <c r="K4099">
        <v>1.113475</v>
      </c>
      <c r="L4099">
        <v>20.276029999999999</v>
      </c>
      <c r="M4099">
        <v>0.95619589999999999</v>
      </c>
      <c r="N4099">
        <v>0</v>
      </c>
      <c r="O4099">
        <v>-0.29249570000000003</v>
      </c>
      <c r="P4099">
        <v>0.99114979999999997</v>
      </c>
      <c r="Q4099">
        <v>0.11190269999999999</v>
      </c>
      <c r="R4099">
        <v>-7.1415939999999997E-2</v>
      </c>
      <c r="S4099">
        <v>3.0548709999999999</v>
      </c>
      <c r="T4099">
        <v>-0.18124999999999999</v>
      </c>
      <c r="U4099">
        <v>9.0332029999999994E-2</v>
      </c>
      <c r="V4099">
        <v>-0.22428980000000001</v>
      </c>
      <c r="W4099">
        <v>0.1182835</v>
      </c>
      <c r="X4099">
        <v>0.96731750000000005</v>
      </c>
      <c r="Y4099">
        <v>-0.31958560000000003</v>
      </c>
      <c r="Z4099">
        <v>2.6631490000000001E-2</v>
      </c>
      <c r="AA4099">
        <v>0.94718309999999994</v>
      </c>
      <c r="AB4099">
        <v>30</v>
      </c>
      <c r="AC4099">
        <v>18.611999999999998</v>
      </c>
      <c r="AD4099">
        <v>-1.113478479771</v>
      </c>
      <c r="AE4099">
        <v>0.59789000000000303</v>
      </c>
      <c r="AF4099">
        <v>-5.9946046796209496</v>
      </c>
      <c r="AG4099">
        <v>-1.113478479771</v>
      </c>
      <c r="AH4099">
        <v>17.5602476714967</v>
      </c>
      <c r="AI4099">
        <v>93.434131954027606</v>
      </c>
      <c r="AJ4099">
        <v>108.84854916114701</v>
      </c>
      <c r="AK4099">
        <v>18.588636794400799</v>
      </c>
      <c r="AL4099">
        <v>83.206951332488401</v>
      </c>
      <c r="AM4099">
        <v>103.05436432835199</v>
      </c>
      <c r="AN4099">
        <v>1.00000002328126</v>
      </c>
    </row>
    <row r="4100" spans="1:40" x14ac:dyDescent="0.3">
      <c r="A4100" t="str">
        <f>"20200111150111296"</f>
        <v>20200111150111296</v>
      </c>
      <c r="B4100" t="str">
        <f>"1578726071292217"</f>
        <v>1578726071292217</v>
      </c>
      <c r="C4100" t="s">
        <v>40</v>
      </c>
      <c r="D4100">
        <v>4.4269730000000003</v>
      </c>
      <c r="E4100">
        <v>0.4844675</v>
      </c>
      <c r="F4100" t="s">
        <v>89</v>
      </c>
      <c r="G4100">
        <v>-383.04770000000002</v>
      </c>
      <c r="H4100" s="1">
        <v>-3.6328549999999998E-6</v>
      </c>
      <c r="I4100">
        <v>20.916730000000001</v>
      </c>
      <c r="J4100">
        <v>-401.79129999999998</v>
      </c>
      <c r="K4100">
        <v>1.1134580000000001</v>
      </c>
      <c r="L4100">
        <v>20.230899999999998</v>
      </c>
      <c r="M4100">
        <v>0.95804929999999999</v>
      </c>
      <c r="N4100">
        <v>0</v>
      </c>
      <c r="O4100">
        <v>-0.28636679999999998</v>
      </c>
      <c r="P4100">
        <v>0.99140090000000003</v>
      </c>
      <c r="Q4100">
        <v>0.1124752</v>
      </c>
      <c r="R4100">
        <v>-6.6886280000000006E-2</v>
      </c>
      <c r="S4100">
        <v>3.0545960000000001</v>
      </c>
      <c r="T4100">
        <v>-0.17984749999999999</v>
      </c>
      <c r="U4100">
        <v>0.1034851</v>
      </c>
      <c r="V4100">
        <v>-0.22250110000000001</v>
      </c>
      <c r="W4100">
        <v>0.1189071</v>
      </c>
      <c r="X4100">
        <v>0.96765400000000001</v>
      </c>
      <c r="Y4100">
        <v>-0.31762610000000002</v>
      </c>
      <c r="Z4100">
        <v>2.6022279999999998E-2</v>
      </c>
      <c r="AA4100">
        <v>0.94785889999999995</v>
      </c>
      <c r="AB4100">
        <v>30</v>
      </c>
      <c r="AC4100">
        <v>18.743599999999901</v>
      </c>
      <c r="AD4100">
        <v>-1.113461632855</v>
      </c>
      <c r="AE4100">
        <v>0.68582999999999905</v>
      </c>
      <c r="AF4100">
        <v>-6.0038532767622703</v>
      </c>
      <c r="AG4100">
        <v>-1.113461632855</v>
      </c>
      <c r="AH4100">
        <v>17.699720410325501</v>
      </c>
      <c r="AI4100">
        <v>93.409331370345797</v>
      </c>
      <c r="AJ4100">
        <v>108.73725010154099</v>
      </c>
      <c r="AK4100">
        <v>18.7234119107715</v>
      </c>
      <c r="AL4100">
        <v>83.170967239495695</v>
      </c>
      <c r="AM4100">
        <v>102.949428541595</v>
      </c>
      <c r="AN4100">
        <v>0.99999995082380799</v>
      </c>
    </row>
    <row r="4101" spans="1:40" x14ac:dyDescent="0.3">
      <c r="A4101" t="str">
        <f>"20200111150111308"</f>
        <v>20200111150111308</v>
      </c>
      <c r="B4101" t="str">
        <f>"1578726071301976"</f>
        <v>1578726071301976</v>
      </c>
      <c r="C4101" t="s">
        <v>40</v>
      </c>
      <c r="D4101">
        <v>4.5019099999999996</v>
      </c>
      <c r="E4101">
        <v>0.48402200000000001</v>
      </c>
      <c r="F4101" t="s">
        <v>88</v>
      </c>
      <c r="G4101">
        <v>-379.68470000000002</v>
      </c>
      <c r="H4101" s="1">
        <v>-1.3647530000000001E-7</v>
      </c>
      <c r="I4101">
        <v>19.577210000000001</v>
      </c>
      <c r="J4101">
        <v>-401.62909999999999</v>
      </c>
      <c r="K4101">
        <v>1.1134360000000001</v>
      </c>
      <c r="L4101">
        <v>20.18845</v>
      </c>
      <c r="M4101">
        <v>0.95978929999999996</v>
      </c>
      <c r="N4101">
        <v>0</v>
      </c>
      <c r="O4101">
        <v>-0.2804799</v>
      </c>
      <c r="P4101">
        <v>0.99157830000000002</v>
      </c>
      <c r="Q4101">
        <v>0.11337410000000001</v>
      </c>
      <c r="R4101">
        <v>-6.2602829999999998E-2</v>
      </c>
      <c r="S4101">
        <v>3.0373230000000002</v>
      </c>
      <c r="T4101">
        <v>-0.15298249999999999</v>
      </c>
      <c r="U4101">
        <v>-8.9813229999999994E-2</v>
      </c>
      <c r="V4101">
        <v>-0.2207229</v>
      </c>
      <c r="W4101">
        <v>0.119858199999999</v>
      </c>
      <c r="X4101">
        <v>0.96794389999999997</v>
      </c>
      <c r="Y4101">
        <v>-0.25134109999999998</v>
      </c>
      <c r="Z4101">
        <v>2.0281090000000002E-2</v>
      </c>
      <c r="AA4101">
        <v>0.96768609999999999</v>
      </c>
      <c r="AB4101">
        <v>30</v>
      </c>
      <c r="AC4101">
        <v>21.944399999999899</v>
      </c>
      <c r="AD4101">
        <v>-1.1134361364753</v>
      </c>
      <c r="AE4101">
        <v>-0.61123999999999801</v>
      </c>
      <c r="AF4101">
        <v>-5.5543904934963804</v>
      </c>
      <c r="AG4101">
        <v>-1.1134361364753</v>
      </c>
      <c r="AH4101">
        <v>21.180394393594099</v>
      </c>
      <c r="AI4101">
        <v>92.910969743090902</v>
      </c>
      <c r="AJ4101">
        <v>104.694477457452</v>
      </c>
      <c r="AK4101">
        <v>21.924874012236501</v>
      </c>
      <c r="AL4101">
        <v>83.116080959368702</v>
      </c>
      <c r="AM4101">
        <v>102.845666019684</v>
      </c>
      <c r="AN4101">
        <v>0.99999999011942997</v>
      </c>
    </row>
    <row r="4102" spans="1:40" x14ac:dyDescent="0.3">
      <c r="A4102" t="str">
        <f>"20200111150111321"</f>
        <v>20200111150111321</v>
      </c>
      <c r="B4102" t="str">
        <f>"1578726071311737"</f>
        <v>1578726071311737</v>
      </c>
      <c r="C4102" t="s">
        <v>40</v>
      </c>
      <c r="D4102">
        <v>4.5094589999999997</v>
      </c>
      <c r="E4102">
        <v>0.48342170000000001</v>
      </c>
      <c r="F4102" t="s">
        <v>89</v>
      </c>
      <c r="G4102">
        <v>-380.75420000000003</v>
      </c>
      <c r="H4102" s="1">
        <v>-4.3892919999999901E-6</v>
      </c>
      <c r="I4102">
        <v>19.685199999999998</v>
      </c>
      <c r="J4102">
        <v>-401.46440000000001</v>
      </c>
      <c r="K4102">
        <v>1.113416</v>
      </c>
      <c r="L4102">
        <v>20.146059999999999</v>
      </c>
      <c r="M4102">
        <v>0.96151279999999995</v>
      </c>
      <c r="N4102">
        <v>0</v>
      </c>
      <c r="O4102">
        <v>-0.27451340000000002</v>
      </c>
      <c r="P4102">
        <v>0.99173639999999996</v>
      </c>
      <c r="Q4102">
        <v>0.11428140000000001</v>
      </c>
      <c r="R4102">
        <v>-5.8300089999999999E-2</v>
      </c>
      <c r="S4102">
        <v>3.0393979999999998</v>
      </c>
      <c r="T4102">
        <v>-0.16211800000000001</v>
      </c>
      <c r="U4102">
        <v>-7.3272710000000005E-2</v>
      </c>
      <c r="V4102">
        <v>-0.21889210000000001</v>
      </c>
      <c r="W4102">
        <v>0.1208196</v>
      </c>
      <c r="X4102">
        <v>0.96824010000000005</v>
      </c>
      <c r="Y4102">
        <v>-0.2505405</v>
      </c>
      <c r="Z4102">
        <v>2.1151300000000001E-2</v>
      </c>
      <c r="AA4102">
        <v>0.96787509999999999</v>
      </c>
      <c r="AB4102">
        <v>30</v>
      </c>
      <c r="AC4102">
        <v>20.710199999999901</v>
      </c>
      <c r="AD4102">
        <v>-1.113420389292</v>
      </c>
      <c r="AE4102">
        <v>-0.46086000000000299</v>
      </c>
      <c r="AF4102">
        <v>-5.2273584975825997</v>
      </c>
      <c r="AG4102">
        <v>-1.113420389292</v>
      </c>
      <c r="AH4102">
        <v>19.983262800671199</v>
      </c>
      <c r="AI4102">
        <v>93.085479988801794</v>
      </c>
      <c r="AJ4102">
        <v>104.65934531097901</v>
      </c>
      <c r="AK4102">
        <v>20.6856417349385</v>
      </c>
      <c r="AL4102">
        <v>83.060593693122996</v>
      </c>
      <c r="AM4102">
        <v>102.73883850449</v>
      </c>
      <c r="AN4102">
        <v>1.00000000921729</v>
      </c>
    </row>
    <row r="4103" spans="1:40" x14ac:dyDescent="0.3">
      <c r="A4103" t="str">
        <f>"20200111150111338"</f>
        <v>20200111150111338</v>
      </c>
      <c r="B4103" t="str">
        <f>"1578726071332233"</f>
        <v>1578726071332233</v>
      </c>
      <c r="C4103" t="s">
        <v>40</v>
      </c>
      <c r="D4103">
        <v>4.3697030000000003</v>
      </c>
      <c r="E4103">
        <v>0.48325180000000001</v>
      </c>
      <c r="F4103" t="s">
        <v>89</v>
      </c>
      <c r="G4103">
        <v>-381.1377</v>
      </c>
      <c r="H4103" s="1">
        <v>-4.2323019999999998E-6</v>
      </c>
      <c r="I4103">
        <v>19.776430000000001</v>
      </c>
      <c r="J4103">
        <v>-401.25200000000001</v>
      </c>
      <c r="K4103">
        <v>1.1133660000000001</v>
      </c>
      <c r="L4103">
        <v>20.09338</v>
      </c>
      <c r="M4103">
        <v>0.96365400000000001</v>
      </c>
      <c r="N4103">
        <v>0</v>
      </c>
      <c r="O4103">
        <v>-0.26689980000000002</v>
      </c>
      <c r="P4103">
        <v>0.9919502</v>
      </c>
      <c r="Q4103">
        <v>0.11490599999999999</v>
      </c>
      <c r="R4103">
        <v>-5.3214110000000002E-2</v>
      </c>
      <c r="S4103">
        <v>3.0409549999999999</v>
      </c>
      <c r="T4103">
        <v>-0.16657249999999901</v>
      </c>
      <c r="U4103">
        <v>-5.5297850000000003E-2</v>
      </c>
      <c r="V4103">
        <v>-0.2161748</v>
      </c>
      <c r="W4103">
        <v>0.1215282</v>
      </c>
      <c r="X4103">
        <v>0.96876169999999995</v>
      </c>
      <c r="Y4103">
        <v>-0.2485878</v>
      </c>
      <c r="Z4103">
        <v>2.1267459999999998E-2</v>
      </c>
      <c r="AA4103">
        <v>0.96837589999999996</v>
      </c>
      <c r="AB4103">
        <v>30</v>
      </c>
      <c r="AC4103">
        <v>20.114299999999901</v>
      </c>
      <c r="AD4103">
        <v>-1.1133702323019901</v>
      </c>
      <c r="AE4103">
        <v>-0.31695000000000201</v>
      </c>
      <c r="AF4103">
        <v>-5.0479530831398298</v>
      </c>
      <c r="AG4103">
        <v>-1.1133702323019901</v>
      </c>
      <c r="AH4103">
        <v>19.4096844274647</v>
      </c>
      <c r="AI4103">
        <v>93.177503987290194</v>
      </c>
      <c r="AJ4103">
        <v>104.578184270734</v>
      </c>
      <c r="AK4103">
        <v>20.086245870682799</v>
      </c>
      <c r="AL4103">
        <v>83.019692025190807</v>
      </c>
      <c r="AM4103">
        <v>102.57920756927901</v>
      </c>
      <c r="AN4103">
        <v>0.99999993946858301</v>
      </c>
    </row>
    <row r="4104" spans="1:40" x14ac:dyDescent="0.3">
      <c r="A4104" t="str">
        <f>"20200111150111349"</f>
        <v>20200111150111349</v>
      </c>
      <c r="B4104" t="str">
        <f>"1578726071341992"</f>
        <v>1578726071341992</v>
      </c>
      <c r="C4104" t="s">
        <v>40</v>
      </c>
      <c r="D4104">
        <v>4.3728790000000002</v>
      </c>
      <c r="E4104">
        <v>0.48381649999999998</v>
      </c>
      <c r="F4104" t="s">
        <v>89</v>
      </c>
      <c r="G4104">
        <v>-381.8365</v>
      </c>
      <c r="H4104" s="1">
        <v>-3.9204849999999998E-6</v>
      </c>
      <c r="I4104">
        <v>19.846060000000001</v>
      </c>
      <c r="J4104">
        <v>-401.09789999999998</v>
      </c>
      <c r="K4104">
        <v>1.1133200000000001</v>
      </c>
      <c r="L4104">
        <v>20.0563</v>
      </c>
      <c r="M4104">
        <v>0.96515459999999997</v>
      </c>
      <c r="N4104">
        <v>0</v>
      </c>
      <c r="O4104">
        <v>-0.26142189999999998</v>
      </c>
      <c r="P4104">
        <v>0.99219349999999995</v>
      </c>
      <c r="Q4104">
        <v>0.11477030000000001</v>
      </c>
      <c r="R4104">
        <v>-4.8782939999999997E-2</v>
      </c>
      <c r="S4104">
        <v>3.0424799999999999</v>
      </c>
      <c r="T4104">
        <v>-0.17446909999999999</v>
      </c>
      <c r="U4104">
        <v>-3.8757319999999998E-2</v>
      </c>
      <c r="V4104">
        <v>-0.2149857</v>
      </c>
      <c r="W4104">
        <v>0.1214378</v>
      </c>
      <c r="X4104">
        <v>0.9690377</v>
      </c>
      <c r="Y4104">
        <v>-0.24829470000000001</v>
      </c>
      <c r="Z4104">
        <v>2.195331E-2</v>
      </c>
      <c r="AA4104">
        <v>0.96843579999999996</v>
      </c>
      <c r="AB4104">
        <v>30</v>
      </c>
      <c r="AC4104">
        <v>19.261399999999899</v>
      </c>
      <c r="AD4104">
        <v>-1.1133239204850001</v>
      </c>
      <c r="AE4104">
        <v>-0.21023999999999801</v>
      </c>
      <c r="AF4104">
        <v>-4.8166741050224999</v>
      </c>
      <c r="AG4104">
        <v>-1.1133239204850001</v>
      </c>
      <c r="AH4104">
        <v>18.5843689065006</v>
      </c>
      <c r="AI4104">
        <v>93.318888712737703</v>
      </c>
      <c r="AJ4104">
        <v>104.53013442120699</v>
      </c>
      <c r="AK4104">
        <v>19.230668403329702</v>
      </c>
      <c r="AL4104">
        <v>83.024910827725407</v>
      </c>
      <c r="AM4104">
        <v>102.50874704181599</v>
      </c>
      <c r="AN4104">
        <v>1.0000000272473</v>
      </c>
    </row>
    <row r="4105" spans="1:40" x14ac:dyDescent="0.3">
      <c r="A4105" t="str">
        <f>"20200111150111361"</f>
        <v>20200111150111361</v>
      </c>
      <c r="B4105" t="str">
        <f>"1578726071351753"</f>
        <v>1578726071351753</v>
      </c>
      <c r="C4105" t="s">
        <v>40</v>
      </c>
      <c r="D4105">
        <v>4.5783699999999996</v>
      </c>
      <c r="E4105">
        <v>0.4838443</v>
      </c>
      <c r="F4105" t="s">
        <v>89</v>
      </c>
      <c r="G4105">
        <v>-381.85210000000001</v>
      </c>
      <c r="H4105" s="1">
        <v>-3.9186110000000001E-6</v>
      </c>
      <c r="I4105">
        <v>19.866540000000001</v>
      </c>
      <c r="J4105">
        <v>-400.94189999999998</v>
      </c>
      <c r="K4105">
        <v>1.1132660000000001</v>
      </c>
      <c r="L4105">
        <v>20.019290000000002</v>
      </c>
      <c r="M4105">
        <v>0.96663330000000003</v>
      </c>
      <c r="N4105">
        <v>0</v>
      </c>
      <c r="O4105">
        <v>-0.25590020000000002</v>
      </c>
      <c r="P4105">
        <v>0.99246259999999997</v>
      </c>
      <c r="Q4105">
        <v>0.1143054</v>
      </c>
      <c r="R4105">
        <v>-4.418358E-2</v>
      </c>
      <c r="S4105">
        <v>3.0424799999999999</v>
      </c>
      <c r="T4105">
        <v>-0.17599989999999999</v>
      </c>
      <c r="U4105">
        <v>-2.9998779999999999E-2</v>
      </c>
      <c r="V4105">
        <v>-0.213925</v>
      </c>
      <c r="W4105">
        <v>0.1210175</v>
      </c>
      <c r="X4105">
        <v>0.96932490000000004</v>
      </c>
      <c r="Y4105">
        <v>-0.24554339999999999</v>
      </c>
      <c r="Z4105">
        <v>2.1757410000000001E-2</v>
      </c>
      <c r="AA4105">
        <v>0.96914140000000004</v>
      </c>
      <c r="AB4105">
        <v>30</v>
      </c>
      <c r="AC4105">
        <v>19.089799999999901</v>
      </c>
      <c r="AD4105">
        <v>-1.113269918611</v>
      </c>
      <c r="AE4105">
        <v>-0.152749999999997</v>
      </c>
      <c r="AF4105">
        <v>-4.7216934288110899</v>
      </c>
      <c r="AG4105">
        <v>-1.113269918611</v>
      </c>
      <c r="AH4105">
        <v>18.430497960973799</v>
      </c>
      <c r="AI4105">
        <v>93.348785325561494</v>
      </c>
      <c r="AJ4105">
        <v>104.369506497343</v>
      </c>
      <c r="AK4105">
        <v>19.058253168557201</v>
      </c>
      <c r="AL4105">
        <v>83.049170639739998</v>
      </c>
      <c r="AM4105">
        <v>102.445386259382</v>
      </c>
      <c r="AN4105">
        <v>0.99999995134562802</v>
      </c>
    </row>
    <row r="4106" spans="1:40" x14ac:dyDescent="0.3">
      <c r="A4106" t="str">
        <f>"20200111150111373"</f>
        <v>20200111150111373</v>
      </c>
      <c r="B4106" t="str">
        <f>"1578726071361512"</f>
        <v>1578726071361512</v>
      </c>
      <c r="C4106" t="s">
        <v>40</v>
      </c>
      <c r="D4106">
        <v>4.5189599999999999</v>
      </c>
      <c r="E4106">
        <v>0.48460829999999999</v>
      </c>
      <c r="F4106" t="s">
        <v>89</v>
      </c>
      <c r="G4106">
        <v>-381.99189999999999</v>
      </c>
      <c r="H4106" s="1">
        <v>-3.865997E-6</v>
      </c>
      <c r="I4106">
        <v>19.91722</v>
      </c>
      <c r="J4106">
        <v>-400.78390000000002</v>
      </c>
      <c r="K4106">
        <v>1.113189</v>
      </c>
      <c r="L4106">
        <v>19.98312</v>
      </c>
      <c r="M4106">
        <v>0.96807149999999997</v>
      </c>
      <c r="N4106">
        <v>0</v>
      </c>
      <c r="O4106">
        <v>-0.2504054</v>
      </c>
      <c r="P4106">
        <v>0.9927454</v>
      </c>
      <c r="Q4106">
        <v>0.1135226</v>
      </c>
      <c r="R4106">
        <v>-3.9619849999999998E-2</v>
      </c>
      <c r="S4106">
        <v>3.0426329999999999</v>
      </c>
      <c r="T4106">
        <v>-0.1787475</v>
      </c>
      <c r="U4106">
        <v>-1.638794E-2</v>
      </c>
      <c r="V4106">
        <v>-0.21285960000000001</v>
      </c>
      <c r="W4106">
        <v>0.1202881</v>
      </c>
      <c r="X4106">
        <v>0.96965029999999997</v>
      </c>
      <c r="Y4106">
        <v>-0.24435850000000001</v>
      </c>
      <c r="Z4106">
        <v>2.1748880000000002E-2</v>
      </c>
      <c r="AA4106">
        <v>0.96944109999999994</v>
      </c>
      <c r="AB4106">
        <v>30</v>
      </c>
      <c r="AC4106">
        <v>18.792000000000002</v>
      </c>
      <c r="AD4106">
        <v>-1.1131928659970001</v>
      </c>
      <c r="AE4106">
        <v>-6.5899999999999098E-2</v>
      </c>
      <c r="AF4106">
        <v>-4.6259025180574103</v>
      </c>
      <c r="AG4106">
        <v>-1.1131928659970001</v>
      </c>
      <c r="AH4106">
        <v>18.146052475560602</v>
      </c>
      <c r="AI4106">
        <v>93.401949709761993</v>
      </c>
      <c r="AJ4106">
        <v>104.30157651992</v>
      </c>
      <c r="AK4106">
        <v>18.759461423752999</v>
      </c>
      <c r="AL4106">
        <v>83.091270553823705</v>
      </c>
      <c r="AM4106">
        <v>102.381294393852</v>
      </c>
      <c r="AN4106">
        <v>1.0000000703019201</v>
      </c>
    </row>
    <row r="4107" spans="1:40" x14ac:dyDescent="0.3">
      <c r="A4107" t="str">
        <f>"20200111150111385"</f>
        <v>20200111150111385</v>
      </c>
      <c r="B4107" t="str">
        <f>"1578726071382008"</f>
        <v>1578726071382008</v>
      </c>
      <c r="C4107" t="s">
        <v>40</v>
      </c>
      <c r="D4107">
        <v>4.4937709999999997</v>
      </c>
      <c r="E4107">
        <v>0.48572359999999998</v>
      </c>
      <c r="F4107" t="s">
        <v>89</v>
      </c>
      <c r="G4107">
        <v>-382.18060000000003</v>
      </c>
      <c r="H4107" s="1">
        <v>-3.7798019999999998E-6</v>
      </c>
      <c r="I4107">
        <v>19.928629999999998</v>
      </c>
      <c r="J4107">
        <v>-400.6293</v>
      </c>
      <c r="K4107">
        <v>1.1131059999999999</v>
      </c>
      <c r="L4107">
        <v>19.948360000000001</v>
      </c>
      <c r="M4107">
        <v>0.96943429999999997</v>
      </c>
      <c r="N4107">
        <v>0</v>
      </c>
      <c r="O4107">
        <v>-0.24507609999999999</v>
      </c>
      <c r="P4107">
        <v>0.99306899999999998</v>
      </c>
      <c r="Q4107">
        <v>0.1121315</v>
      </c>
      <c r="R4107">
        <v>-3.5218029999999997E-2</v>
      </c>
      <c r="S4107">
        <v>3.042389</v>
      </c>
      <c r="T4107">
        <v>-0.1820522</v>
      </c>
      <c r="U4107">
        <v>-8.9111329999999999E-3</v>
      </c>
      <c r="V4107">
        <v>-0.21180950000000001</v>
      </c>
      <c r="W4107">
        <v>0.11895210000000001</v>
      </c>
      <c r="X4107">
        <v>0.97004489999999999</v>
      </c>
      <c r="Y4107">
        <v>-0.24138870000000001</v>
      </c>
      <c r="Z4107">
        <v>2.1753689999999999E-2</v>
      </c>
      <c r="AA4107">
        <v>0.97018470000000001</v>
      </c>
      <c r="AB4107">
        <v>30</v>
      </c>
      <c r="AC4107">
        <v>18.448699999999899</v>
      </c>
      <c r="AD4107">
        <v>-1.113109779802</v>
      </c>
      <c r="AE4107">
        <v>-1.97300000000026E-2</v>
      </c>
      <c r="AF4107">
        <v>-4.4861807849819497</v>
      </c>
      <c r="AG4107">
        <v>-1.113109779802</v>
      </c>
      <c r="AH4107">
        <v>17.825951366904501</v>
      </c>
      <c r="AI4107">
        <v>93.465315108744505</v>
      </c>
      <c r="AJ4107">
        <v>104.126032582362</v>
      </c>
      <c r="AK4107">
        <v>18.4154656078166</v>
      </c>
      <c r="AL4107">
        <v>83.168370749112796</v>
      </c>
      <c r="AM4107">
        <v>102.317224791559</v>
      </c>
      <c r="AN4107">
        <v>0.99999998720033401</v>
      </c>
    </row>
    <row r="4108" spans="1:40" x14ac:dyDescent="0.3">
      <c r="A4108" t="str">
        <f>"20200111150111404"</f>
        <v>20200111150111404</v>
      </c>
      <c r="B4108" t="str">
        <f>"1578726071401528"</f>
        <v>1578726071401528</v>
      </c>
      <c r="C4108" t="s">
        <v>40</v>
      </c>
      <c r="D4108">
        <v>4.5008140000000001</v>
      </c>
      <c r="E4108">
        <v>0.48692800000000003</v>
      </c>
      <c r="F4108" t="s">
        <v>89</v>
      </c>
      <c r="G4108">
        <v>-382.34890000000001</v>
      </c>
      <c r="H4108" s="1">
        <v>-3.698239E-6</v>
      </c>
      <c r="I4108">
        <v>19.921040000000001</v>
      </c>
      <c r="J4108">
        <v>-400.3845</v>
      </c>
      <c r="K4108">
        <v>1.112949</v>
      </c>
      <c r="L4108">
        <v>19.89499</v>
      </c>
      <c r="M4108">
        <v>0.97149289999999999</v>
      </c>
      <c r="N4108">
        <v>0</v>
      </c>
      <c r="O4108">
        <v>-0.236785</v>
      </c>
      <c r="P4108">
        <v>0.9935657</v>
      </c>
      <c r="Q4108">
        <v>0.1095375</v>
      </c>
      <c r="R4108">
        <v>-2.879323E-2</v>
      </c>
      <c r="S4108">
        <v>3.041687</v>
      </c>
      <c r="T4108">
        <v>-0.1852106</v>
      </c>
      <c r="U4108">
        <v>-4.5471189999999996E-3</v>
      </c>
      <c r="V4108">
        <v>-0.2097667</v>
      </c>
      <c r="W4108">
        <v>0.1164632</v>
      </c>
      <c r="X4108">
        <v>0.9707905</v>
      </c>
      <c r="Y4108">
        <v>-0.23448179999999999</v>
      </c>
      <c r="Z4108">
        <v>2.1433279999999999E-2</v>
      </c>
      <c r="AA4108">
        <v>0.97188419999999998</v>
      </c>
      <c r="AB4108">
        <v>30</v>
      </c>
      <c r="AC4108">
        <v>18.035599999999899</v>
      </c>
      <c r="AD4108">
        <v>-1.1129526982389999</v>
      </c>
      <c r="AE4108">
        <v>2.6049999999997901E-2</v>
      </c>
      <c r="AF4108">
        <v>-4.27985817782357</v>
      </c>
      <c r="AG4108">
        <v>-1.1129526982389999</v>
      </c>
      <c r="AH4108">
        <v>17.450017516601999</v>
      </c>
      <c r="AI4108">
        <v>93.544576715750793</v>
      </c>
      <c r="AJ4108">
        <v>103.780560331713</v>
      </c>
      <c r="AK4108">
        <v>18.001637732731901</v>
      </c>
      <c r="AL4108">
        <v>83.311972418600206</v>
      </c>
      <c r="AM4108">
        <v>102.192915977818</v>
      </c>
      <c r="AN4108">
        <v>0.99999997013668895</v>
      </c>
    </row>
    <row r="4109" spans="1:40" x14ac:dyDescent="0.3">
      <c r="A4109" t="str">
        <f>"20200111150111416"</f>
        <v>20200111150111416</v>
      </c>
      <c r="B4109" t="str">
        <f>"1578726071412264"</f>
        <v>1578726071412264</v>
      </c>
      <c r="C4109" t="s">
        <v>40</v>
      </c>
      <c r="D4109">
        <v>4.5676439999999996</v>
      </c>
      <c r="E4109">
        <v>0.48712509999999998</v>
      </c>
      <c r="F4109" t="s">
        <v>89</v>
      </c>
      <c r="G4109">
        <v>-382.44060000000002</v>
      </c>
      <c r="H4109" s="1">
        <v>-3.6560429999999999E-6</v>
      </c>
      <c r="I4109">
        <v>19.925429999999999</v>
      </c>
      <c r="J4109">
        <v>-400.22649999999999</v>
      </c>
      <c r="K4109">
        <v>1.1128279999999999</v>
      </c>
      <c r="L4109">
        <v>19.861689999999999</v>
      </c>
      <c r="M4109">
        <v>0.97275319999999998</v>
      </c>
      <c r="N4109">
        <v>0</v>
      </c>
      <c r="O4109">
        <v>-0.2315547</v>
      </c>
      <c r="P4109">
        <v>0.99378710000000003</v>
      </c>
      <c r="Q4109">
        <v>0.1086295</v>
      </c>
      <c r="R4109">
        <v>-2.4231539999999999E-2</v>
      </c>
      <c r="S4109">
        <v>3.0403440000000002</v>
      </c>
      <c r="T4109">
        <v>-0.18857450000000001</v>
      </c>
      <c r="U4109">
        <v>5.1574709999999899E-3</v>
      </c>
      <c r="V4109">
        <v>-0.2089714</v>
      </c>
      <c r="W4109">
        <v>0.11561589999999999</v>
      </c>
      <c r="X4109">
        <v>0.97106329999999996</v>
      </c>
      <c r="Y4109">
        <v>-0.23233470000000001</v>
      </c>
      <c r="Z4109">
        <v>2.144913E-2</v>
      </c>
      <c r="AA4109">
        <v>0.97239940000000002</v>
      </c>
      <c r="AB4109">
        <v>31</v>
      </c>
      <c r="AC4109">
        <v>17.785899999999899</v>
      </c>
      <c r="AD4109">
        <v>-1.1128316560430001</v>
      </c>
      <c r="AE4109">
        <v>6.37399999999992E-2</v>
      </c>
      <c r="AF4109">
        <v>-4.1643889228389002</v>
      </c>
      <c r="AG4109">
        <v>-1.1128316560430001</v>
      </c>
      <c r="AH4109">
        <v>17.220274280521</v>
      </c>
      <c r="AI4109">
        <v>93.5941823565269</v>
      </c>
      <c r="AJ4109">
        <v>103.59486420994</v>
      </c>
      <c r="AK4109">
        <v>17.7515738933687</v>
      </c>
      <c r="AL4109">
        <v>83.360849567941301</v>
      </c>
      <c r="AM4109">
        <v>102.144752382428</v>
      </c>
      <c r="AN4109">
        <v>1.00000000747882</v>
      </c>
    </row>
    <row r="4110" spans="1:40" x14ac:dyDescent="0.3">
      <c r="A4110" t="str">
        <f>"20200111150111429"</f>
        <v>20200111150111429</v>
      </c>
      <c r="B4110" t="str">
        <f>"1578726071422024"</f>
        <v>1578726071422024</v>
      </c>
      <c r="C4110" t="s">
        <v>40</v>
      </c>
      <c r="D4110">
        <v>4.5199129999999998</v>
      </c>
      <c r="E4110">
        <v>0.48721740000000002</v>
      </c>
      <c r="F4110" t="s">
        <v>89</v>
      </c>
      <c r="G4110">
        <v>-382.5521</v>
      </c>
      <c r="H4110" s="1">
        <v>-3.6133210000000001E-6</v>
      </c>
      <c r="I4110">
        <v>19.96283</v>
      </c>
      <c r="J4110">
        <v>-400.0548</v>
      </c>
      <c r="K4110">
        <v>1.112689</v>
      </c>
      <c r="L4110">
        <v>19.826419999999999</v>
      </c>
      <c r="M4110">
        <v>0.97406179999999998</v>
      </c>
      <c r="N4110">
        <v>0</v>
      </c>
      <c r="O4110">
        <v>-0.2259872</v>
      </c>
      <c r="P4110">
        <v>0.99393529999999997</v>
      </c>
      <c r="Q4110">
        <v>0.1082992</v>
      </c>
      <c r="R4110">
        <v>-1.907536E-2</v>
      </c>
      <c r="S4110">
        <v>3.0400999999999998</v>
      </c>
      <c r="T4110">
        <v>-0.19141340000000001</v>
      </c>
      <c r="U4110">
        <v>1.7395020000000001E-2</v>
      </c>
      <c r="V4110">
        <v>-0.20841760000000001</v>
      </c>
      <c r="W4110">
        <v>0.1153479</v>
      </c>
      <c r="X4110">
        <v>0.97121420000000003</v>
      </c>
      <c r="Y4110">
        <v>-0.23067360000000001</v>
      </c>
      <c r="Z4110">
        <v>2.1379309999999999E-2</v>
      </c>
      <c r="AA4110">
        <v>0.97279629999999995</v>
      </c>
      <c r="AB4110">
        <v>31</v>
      </c>
      <c r="AC4110">
        <v>17.502700000000001</v>
      </c>
      <c r="AD4110">
        <v>-1.112692613321</v>
      </c>
      <c r="AE4110">
        <v>0.13640999999999701</v>
      </c>
      <c r="AF4110">
        <v>-4.0720744366814596</v>
      </c>
      <c r="AG4110">
        <v>-1.112692613321</v>
      </c>
      <c r="AH4110">
        <v>16.9505187163528</v>
      </c>
      <c r="AI4110">
        <v>93.652097973657007</v>
      </c>
      <c r="AJ4110">
        <v>103.508356968637</v>
      </c>
      <c r="AK4110">
        <v>17.468255775063501</v>
      </c>
      <c r="AL4110">
        <v>83.3763083994195</v>
      </c>
      <c r="AM4110">
        <v>102.11169251014</v>
      </c>
      <c r="AN4110">
        <v>1.0000000281529</v>
      </c>
    </row>
    <row r="4111" spans="1:40" x14ac:dyDescent="0.3">
      <c r="A4111" t="str">
        <f>"20200111150111451"</f>
        <v>20200111150111451</v>
      </c>
      <c r="B4111" t="str">
        <f>"1578726071441544"</f>
        <v>1578726071441544</v>
      </c>
      <c r="C4111" t="s">
        <v>40</v>
      </c>
      <c r="D4111">
        <v>4.5461269999999896</v>
      </c>
      <c r="E4111">
        <v>0.4763406</v>
      </c>
      <c r="F4111" t="s">
        <v>89</v>
      </c>
      <c r="G4111">
        <v>-382.524</v>
      </c>
      <c r="H4111" s="1">
        <v>-3.6393320000000001E-6</v>
      </c>
      <c r="I4111">
        <v>20.010680000000001</v>
      </c>
      <c r="J4111">
        <v>-399.76889999999997</v>
      </c>
      <c r="K4111">
        <v>1.112428</v>
      </c>
      <c r="L4111">
        <v>19.76953</v>
      </c>
      <c r="M4111">
        <v>0.97610620000000003</v>
      </c>
      <c r="N4111">
        <v>0</v>
      </c>
      <c r="O4111">
        <v>-0.2169885</v>
      </c>
      <c r="P4111">
        <v>0.99404420000000004</v>
      </c>
      <c r="Q4111">
        <v>0.10844139999999999</v>
      </c>
      <c r="R4111">
        <v>-1.079741E-2</v>
      </c>
      <c r="S4111">
        <v>3.0399780000000001</v>
      </c>
      <c r="T4111">
        <v>-0.19294890000000001</v>
      </c>
      <c r="U4111">
        <v>3.1951899999999998E-2</v>
      </c>
      <c r="V4111">
        <v>-0.20746829999999999</v>
      </c>
      <c r="W4111">
        <v>0.115606</v>
      </c>
      <c r="X4111">
        <v>0.97138670000000005</v>
      </c>
      <c r="Y4111">
        <v>-0.22636319999999999</v>
      </c>
      <c r="Z4111">
        <v>2.0856220000000002E-2</v>
      </c>
      <c r="AA4111">
        <v>0.97381969999999995</v>
      </c>
      <c r="AB4111">
        <v>31</v>
      </c>
      <c r="AC4111">
        <v>17.244899999999902</v>
      </c>
      <c r="AD4111">
        <v>-1.112431639332</v>
      </c>
      <c r="AE4111">
        <v>0.24114999999999701</v>
      </c>
      <c r="AF4111">
        <v>-3.9611168391292599</v>
      </c>
      <c r="AG4111">
        <v>-1.112431639332</v>
      </c>
      <c r="AH4111">
        <v>16.712110426334299</v>
      </c>
      <c r="AI4111">
        <v>93.705866162784503</v>
      </c>
      <c r="AJ4111">
        <v>103.334222450927</v>
      </c>
      <c r="AK4111">
        <v>17.211118083012899</v>
      </c>
      <c r="AL4111">
        <v>83.361420454359504</v>
      </c>
      <c r="AM4111">
        <v>102.056065622365</v>
      </c>
      <c r="AN4111">
        <v>0.99999998183888905</v>
      </c>
    </row>
    <row r="4112" spans="1:40" x14ac:dyDescent="0.3">
      <c r="A4112" t="str">
        <f>"20200111150111463"</f>
        <v>20200111150111463</v>
      </c>
      <c r="B4112" t="str">
        <f>"1578726071452281"</f>
        <v>1578726071452281</v>
      </c>
      <c r="C4112" t="s">
        <v>40</v>
      </c>
      <c r="D4112">
        <v>4.5362460000000002</v>
      </c>
      <c r="E4112">
        <v>0.47923529999999998</v>
      </c>
      <c r="F4112" t="s">
        <v>88</v>
      </c>
      <c r="G4112">
        <v>-371.60539999999997</v>
      </c>
      <c r="H4112" s="1">
        <v>-4.3473909999999996E-6</v>
      </c>
      <c r="I4112">
        <v>21.114879999999999</v>
      </c>
      <c r="J4112">
        <v>-399.5992</v>
      </c>
      <c r="K4112">
        <v>1.1122609999999999</v>
      </c>
      <c r="L4112">
        <v>19.736719999999998</v>
      </c>
      <c r="M4112">
        <v>0.97724149999999999</v>
      </c>
      <c r="N4112">
        <v>0</v>
      </c>
      <c r="O4112">
        <v>-0.2118187</v>
      </c>
      <c r="P4112">
        <v>0.99403779999999997</v>
      </c>
      <c r="Q4112">
        <v>0.10886419999999999</v>
      </c>
      <c r="R4112">
        <v>-6.1573019999999999E-3</v>
      </c>
      <c r="S4112">
        <v>3.032654</v>
      </c>
      <c r="T4112">
        <v>-0.1197869</v>
      </c>
      <c r="U4112">
        <v>0.14486689999999999</v>
      </c>
      <c r="V4112">
        <v>-0.20680950000000001</v>
      </c>
      <c r="W4112">
        <v>0.11610760000000001</v>
      </c>
      <c r="X4112">
        <v>0.97146739999999998</v>
      </c>
      <c r="Y4112">
        <v>-0.2578588</v>
      </c>
      <c r="Z4112">
        <v>1.340947E-2</v>
      </c>
      <c r="AA4112">
        <v>0.96608950000000005</v>
      </c>
      <c r="AB4112">
        <v>31</v>
      </c>
      <c r="AC4112">
        <v>27.9938</v>
      </c>
      <c r="AD4112">
        <v>-1.112265347391</v>
      </c>
      <c r="AE4112">
        <v>1.3781599999999901</v>
      </c>
      <c r="AF4112">
        <v>-7.2654433044891302</v>
      </c>
      <c r="AG4112">
        <v>-1.112265347391</v>
      </c>
      <c r="AH4112">
        <v>27.0240089789976</v>
      </c>
      <c r="AI4112">
        <v>92.276136971666702</v>
      </c>
      <c r="AJ4112">
        <v>105.048220344105</v>
      </c>
      <c r="AK4112">
        <v>28.0057290908609</v>
      </c>
      <c r="AL4112">
        <v>83.3324863443178</v>
      </c>
      <c r="AM4112">
        <v>102.01792800961999</v>
      </c>
      <c r="AN4112">
        <v>1.0000000266653799</v>
      </c>
    </row>
    <row r="4113" spans="1:40" x14ac:dyDescent="0.3">
      <c r="A4113" t="str">
        <f>"20200111150111476"</f>
        <v>20200111150111476</v>
      </c>
      <c r="B4113" t="str">
        <f>"1578726071471800"</f>
        <v>1578726071471800</v>
      </c>
      <c r="C4113" t="s">
        <v>40</v>
      </c>
      <c r="D4113">
        <v>4.5931139999999999</v>
      </c>
      <c r="E4113">
        <v>0.4800835</v>
      </c>
      <c r="F4113" t="s">
        <v>87</v>
      </c>
      <c r="G4113">
        <v>-368.572</v>
      </c>
      <c r="H4113" s="1">
        <v>-1.078604E-6</v>
      </c>
      <c r="I4113">
        <v>21.13138</v>
      </c>
      <c r="J4113">
        <v>-399.4248</v>
      </c>
      <c r="K4113">
        <v>1.1120779999999999</v>
      </c>
      <c r="L4113">
        <v>19.70401</v>
      </c>
      <c r="M4113">
        <v>0.97833899999999996</v>
      </c>
      <c r="N4113">
        <v>0</v>
      </c>
      <c r="O4113">
        <v>-0.20669129999999999</v>
      </c>
      <c r="P4113">
        <v>0.99394709999999997</v>
      </c>
      <c r="Q4113">
        <v>0.1098447</v>
      </c>
      <c r="R4113">
        <v>-1.874211E-3</v>
      </c>
      <c r="S4113">
        <v>3.0307309999999998</v>
      </c>
      <c r="T4113">
        <v>-0.10864559999999999</v>
      </c>
      <c r="U4113">
        <v>0.1362305</v>
      </c>
      <c r="V4113">
        <v>-0.2058402</v>
      </c>
      <c r="W4113">
        <v>0.1171788</v>
      </c>
      <c r="X4113">
        <v>0.97154459999999998</v>
      </c>
      <c r="Y4113">
        <v>-0.25013879999999999</v>
      </c>
      <c r="Z4113">
        <v>1.1851810000000001E-2</v>
      </c>
      <c r="AA4113">
        <v>0.96813740000000004</v>
      </c>
      <c r="AB4113">
        <v>31</v>
      </c>
      <c r="AC4113">
        <v>30.852799999999998</v>
      </c>
      <c r="AD4113">
        <v>-1.112079078604</v>
      </c>
      <c r="AE4113">
        <v>1.42736999999999</v>
      </c>
      <c r="AF4113">
        <v>-7.7639028017142699</v>
      </c>
      <c r="AG4113">
        <v>-1.112079078604</v>
      </c>
      <c r="AH4113">
        <v>29.852735690383401</v>
      </c>
      <c r="AI4113">
        <v>92.0647813015959</v>
      </c>
      <c r="AJ4113">
        <v>104.578155942409</v>
      </c>
      <c r="AK4113">
        <v>30.8658506247831</v>
      </c>
      <c r="AL4113">
        <v>83.270688984454907</v>
      </c>
      <c r="AM4113">
        <v>101.962304231684</v>
      </c>
      <c r="AN4113">
        <v>0.99999998444731897</v>
      </c>
    </row>
    <row r="4114" spans="1:40" x14ac:dyDescent="0.3">
      <c r="A4114" t="str">
        <f>"20200111150111494"</f>
        <v>20200111150111494</v>
      </c>
      <c r="B4114" t="str">
        <f>"1578726071492296"</f>
        <v>1578726071492296</v>
      </c>
      <c r="C4114" t="s">
        <v>40</v>
      </c>
      <c r="D4114">
        <v>4.6010289999999996</v>
      </c>
      <c r="E4114">
        <v>0.47993390000000002</v>
      </c>
      <c r="F4114" t="s">
        <v>87</v>
      </c>
      <c r="G4114">
        <v>-363.01389999999998</v>
      </c>
      <c r="H4114" s="1">
        <v>-3.7843400000000002E-6</v>
      </c>
      <c r="I4114">
        <v>21.426100000000002</v>
      </c>
      <c r="J4114">
        <v>-399.197</v>
      </c>
      <c r="K4114">
        <v>1.111826</v>
      </c>
      <c r="L4114">
        <v>19.66245</v>
      </c>
      <c r="M4114">
        <v>0.97967459999999995</v>
      </c>
      <c r="N4114">
        <v>0</v>
      </c>
      <c r="O4114">
        <v>-0.2002678</v>
      </c>
      <c r="P4114">
        <v>0.99375170000000002</v>
      </c>
      <c r="Q4114">
        <v>0.1115908</v>
      </c>
      <c r="R4114">
        <v>2.3143650000000001E-3</v>
      </c>
      <c r="S4114">
        <v>3.028778</v>
      </c>
      <c r="T4114">
        <v>-9.2506770000000002E-2</v>
      </c>
      <c r="U4114">
        <v>0.1432495</v>
      </c>
      <c r="V4114">
        <v>-0.2034706</v>
      </c>
      <c r="W4114">
        <v>0.11907280000000001</v>
      </c>
      <c r="X4114">
        <v>0.97181340000000005</v>
      </c>
      <c r="Y4114">
        <v>-0.2461361</v>
      </c>
      <c r="Z4114">
        <v>9.8440679999999992E-3</v>
      </c>
      <c r="AA4114">
        <v>0.96918530000000003</v>
      </c>
      <c r="AB4114">
        <v>31</v>
      </c>
      <c r="AC4114">
        <v>36.183099999999897</v>
      </c>
      <c r="AD4114">
        <v>-1.11182978434</v>
      </c>
      <c r="AE4114">
        <v>1.7636499999999999</v>
      </c>
      <c r="AF4114">
        <v>-8.9662526090031207</v>
      </c>
      <c r="AG4114">
        <v>-1.11182978434</v>
      </c>
      <c r="AH4114">
        <v>35.063722834785501</v>
      </c>
      <c r="AI4114">
        <v>91.759592921714301</v>
      </c>
      <c r="AJ4114">
        <v>104.343907350187</v>
      </c>
      <c r="AK4114">
        <v>36.209039069719303</v>
      </c>
      <c r="AL4114">
        <v>83.161405394238002</v>
      </c>
      <c r="AM4114">
        <v>101.825317585796</v>
      </c>
      <c r="AN4114">
        <v>0.99999995059187796</v>
      </c>
    </row>
    <row r="4115" spans="1:40" x14ac:dyDescent="0.3">
      <c r="A4115" t="str">
        <f>"20200111150111507"</f>
        <v>20200111150111507</v>
      </c>
      <c r="B4115" t="str">
        <f>"1578726071502056"</f>
        <v>1578726071502056</v>
      </c>
      <c r="C4115" t="s">
        <v>40</v>
      </c>
      <c r="D4115">
        <v>4.6012170000000001</v>
      </c>
      <c r="E4115">
        <v>0.48051759999999899</v>
      </c>
      <c r="F4115" t="s">
        <v>42</v>
      </c>
      <c r="G4115">
        <v>-358.43819999999999</v>
      </c>
      <c r="H4115" s="1">
        <v>-1.230259E-6</v>
      </c>
      <c r="I4115">
        <v>21.788329999999998</v>
      </c>
      <c r="J4115">
        <v>-399.01490000000001</v>
      </c>
      <c r="K4115">
        <v>1.1115919999999999</v>
      </c>
      <c r="L4115">
        <v>19.630099999999999</v>
      </c>
      <c r="M4115">
        <v>0.98066370000000003</v>
      </c>
      <c r="N4115">
        <v>0</v>
      </c>
      <c r="O4115">
        <v>-0.19536819999999999</v>
      </c>
      <c r="P4115">
        <v>0.99365130000000002</v>
      </c>
      <c r="Q4115">
        <v>0.1123492</v>
      </c>
      <c r="R4115">
        <v>5.8868409999999899E-3</v>
      </c>
      <c r="S4115">
        <v>3.027771</v>
      </c>
      <c r="T4115">
        <v>-8.2592369999999998E-2</v>
      </c>
      <c r="U4115">
        <v>0.1579285</v>
      </c>
      <c r="V4115">
        <v>-0.20202999999999999</v>
      </c>
      <c r="W4115">
        <v>0.1199467</v>
      </c>
      <c r="X4115">
        <v>0.9720065</v>
      </c>
      <c r="Y4115">
        <v>-0.24603739999999999</v>
      </c>
      <c r="Z4115">
        <v>8.6587639999999994E-3</v>
      </c>
      <c r="AA4115">
        <v>0.96922169999999996</v>
      </c>
      <c r="AB4115">
        <v>31</v>
      </c>
      <c r="AC4115">
        <v>40.576700000000002</v>
      </c>
      <c r="AD4115">
        <v>-1.1115932302589999</v>
      </c>
      <c r="AE4115">
        <v>2.1582300000000001</v>
      </c>
      <c r="AF4115">
        <v>-10.0370361128084</v>
      </c>
      <c r="AG4115">
        <v>-1.1115932302589999</v>
      </c>
      <c r="AH4115">
        <v>39.343562853706501</v>
      </c>
      <c r="AI4115">
        <v>91.568175884047903</v>
      </c>
      <c r="AJ4115">
        <v>104.311605873701</v>
      </c>
      <c r="AK4115">
        <v>40.618883188277501</v>
      </c>
      <c r="AL4115">
        <v>83.110973392395707</v>
      </c>
      <c r="AM4115">
        <v>101.74165772526899</v>
      </c>
      <c r="AN4115">
        <v>0.99999998389156897</v>
      </c>
    </row>
    <row r="4116" spans="1:40" x14ac:dyDescent="0.3">
      <c r="A4116" t="str">
        <f>"20200111150111520"</f>
        <v>20200111150111520</v>
      </c>
      <c r="B4116" t="str">
        <f>"1578726071511816"</f>
        <v>1578726071511816</v>
      </c>
      <c r="C4116" t="s">
        <v>40</v>
      </c>
      <c r="D4116">
        <v>4.7017519999999999</v>
      </c>
      <c r="E4116">
        <v>0.48072189999999998</v>
      </c>
      <c r="F4116" t="s">
        <v>42</v>
      </c>
      <c r="G4116">
        <v>-356.08260000000001</v>
      </c>
      <c r="H4116" s="1">
        <v>-2.285415E-6</v>
      </c>
      <c r="I4116">
        <v>21.956</v>
      </c>
      <c r="J4116">
        <v>-398.84350000000001</v>
      </c>
      <c r="K4116">
        <v>1.1113500000000001</v>
      </c>
      <c r="L4116">
        <v>19.600100000000001</v>
      </c>
      <c r="M4116">
        <v>0.98154209999999997</v>
      </c>
      <c r="N4116">
        <v>0</v>
      </c>
      <c r="O4116">
        <v>-0.19090850000000001</v>
      </c>
      <c r="P4116">
        <v>0.99356409999999995</v>
      </c>
      <c r="Q4116">
        <v>0.1129336</v>
      </c>
      <c r="R4116">
        <v>8.7609139999999999E-3</v>
      </c>
      <c r="S4116">
        <v>3.027069</v>
      </c>
      <c r="T4116">
        <v>-7.8376290000000001E-2</v>
      </c>
      <c r="U4116">
        <v>0.16400149999999999</v>
      </c>
      <c r="V4116">
        <v>-0.2003472</v>
      </c>
      <c r="W4116">
        <v>0.1206511</v>
      </c>
      <c r="X4116">
        <v>0.97226760000000001</v>
      </c>
      <c r="Y4116">
        <v>-0.24360010000000001</v>
      </c>
      <c r="Z4116">
        <v>8.0730939999999994E-3</v>
      </c>
      <c r="AA4116">
        <v>0.96984210000000004</v>
      </c>
      <c r="AB4116">
        <v>31</v>
      </c>
      <c r="AC4116">
        <v>42.7608999999999</v>
      </c>
      <c r="AD4116">
        <v>-1.111352285415</v>
      </c>
      <c r="AE4116">
        <v>2.3558999999999899</v>
      </c>
      <c r="AF4116">
        <v>-10.469459866592199</v>
      </c>
      <c r="AG4116">
        <v>-1.111352285415</v>
      </c>
      <c r="AH4116">
        <v>41.496596594815799</v>
      </c>
      <c r="AI4116">
        <v>91.487524688887603</v>
      </c>
      <c r="AJ4116">
        <v>104.160034059089</v>
      </c>
      <c r="AK4116">
        <v>42.811356235855897</v>
      </c>
      <c r="AL4116">
        <v>83.070319023406796</v>
      </c>
      <c r="AM4116">
        <v>101.64349645656</v>
      </c>
      <c r="AN4116">
        <v>0.99999998724440498</v>
      </c>
    </row>
    <row r="4117" spans="1:40" x14ac:dyDescent="0.3">
      <c r="A4117" t="str">
        <f>"20200111150111533"</f>
        <v>20200111150111533</v>
      </c>
      <c r="B4117" t="str">
        <f>"1578726071521576"</f>
        <v>1578726071521576</v>
      </c>
      <c r="C4117" t="s">
        <v>40</v>
      </c>
      <c r="D4117">
        <v>4.5621999999999998</v>
      </c>
      <c r="E4117">
        <v>0.4817013</v>
      </c>
      <c r="F4117" t="s">
        <v>42</v>
      </c>
      <c r="G4117">
        <v>-355.35320000000002</v>
      </c>
      <c r="H4117" s="1">
        <v>-2.6254389999999999E-6</v>
      </c>
      <c r="I4117">
        <v>22.057849999999998</v>
      </c>
      <c r="J4117">
        <v>-398.67469999999997</v>
      </c>
      <c r="K4117">
        <v>1.111084</v>
      </c>
      <c r="L4117">
        <v>19.571529999999999</v>
      </c>
      <c r="M4117">
        <v>0.98232319999999995</v>
      </c>
      <c r="N4117">
        <v>0</v>
      </c>
      <c r="O4117">
        <v>-0.18684899999999999</v>
      </c>
      <c r="P4117">
        <v>0.99351199999999995</v>
      </c>
      <c r="Q4117">
        <v>0.11320810000000001</v>
      </c>
      <c r="R4117">
        <v>1.0874129999999999E-2</v>
      </c>
      <c r="S4117">
        <v>3.026672</v>
      </c>
      <c r="T4117">
        <v>-7.7343700000000001E-2</v>
      </c>
      <c r="U4117">
        <v>0.17105100000000001</v>
      </c>
      <c r="V4117">
        <v>-0.19831280000000001</v>
      </c>
      <c r="W4117">
        <v>0.12105489999999999</v>
      </c>
      <c r="X4117">
        <v>0.97263440000000001</v>
      </c>
      <c r="Y4117">
        <v>-0.24185470000000001</v>
      </c>
      <c r="Z4117">
        <v>7.8427979999999998E-3</v>
      </c>
      <c r="AA4117">
        <v>0.97028080000000005</v>
      </c>
      <c r="AB4117">
        <v>31</v>
      </c>
      <c r="AC4117">
        <v>43.321499999999901</v>
      </c>
      <c r="AD4117">
        <v>-1.1110866254389999</v>
      </c>
      <c r="AE4117">
        <v>2.4863199999999899</v>
      </c>
      <c r="AF4117">
        <v>-10.5307219808202</v>
      </c>
      <c r="AG4117">
        <v>-1.1110866254389999</v>
      </c>
      <c r="AH4117">
        <v>42.066274413340899</v>
      </c>
      <c r="AI4117">
        <v>91.467718000790697</v>
      </c>
      <c r="AJ4117">
        <v>104.05438547527901</v>
      </c>
      <c r="AK4117">
        <v>43.378589902682002</v>
      </c>
      <c r="AL4117">
        <v>83.047012007399502</v>
      </c>
      <c r="AM4117">
        <v>101.524213692682</v>
      </c>
      <c r="AN4117">
        <v>0.99999996576060401</v>
      </c>
    </row>
    <row r="4118" spans="1:40" x14ac:dyDescent="0.3">
      <c r="A4118" t="str">
        <f>"20200111150111549"</f>
        <v>20200111150111549</v>
      </c>
      <c r="B4118" t="str">
        <f>"1578726071542075"</f>
        <v>1578726071542075</v>
      </c>
      <c r="C4118" t="s">
        <v>40</v>
      </c>
      <c r="D4118">
        <v>4.5623149999999999</v>
      </c>
      <c r="E4118">
        <v>0.48328579999999999</v>
      </c>
      <c r="F4118" t="s">
        <v>42</v>
      </c>
      <c r="G4118">
        <v>-353.92759999999998</v>
      </c>
      <c r="H4118" s="1">
        <v>-3.2437310000000002E-6</v>
      </c>
      <c r="I4118">
        <v>22.08305</v>
      </c>
      <c r="J4118">
        <v>-398.44580000000002</v>
      </c>
      <c r="K4118">
        <v>1.1106990000000001</v>
      </c>
      <c r="L4118">
        <v>19.533290000000001</v>
      </c>
      <c r="M4118">
        <v>0.98330189999999995</v>
      </c>
      <c r="N4118">
        <v>0</v>
      </c>
      <c r="O4118">
        <v>-0.18163170000000001</v>
      </c>
      <c r="P4118">
        <v>0.99346699999999999</v>
      </c>
      <c r="Q4118">
        <v>0.1135491</v>
      </c>
      <c r="R4118">
        <v>1.1401730000000001E-2</v>
      </c>
      <c r="S4118">
        <v>3.0262760000000002</v>
      </c>
      <c r="T4118">
        <v>-7.5143459999999995E-2</v>
      </c>
      <c r="U4118">
        <v>0.16986080000000001</v>
      </c>
      <c r="V4118">
        <v>-0.19353960000000001</v>
      </c>
      <c r="W4118">
        <v>0.1216125</v>
      </c>
      <c r="X4118">
        <v>0.973526</v>
      </c>
      <c r="Y4118">
        <v>-0.23633770000000001</v>
      </c>
      <c r="Z4118">
        <v>7.4242900000000001E-3</v>
      </c>
      <c r="AA4118">
        <v>0.97164260000000002</v>
      </c>
      <c r="AB4118">
        <v>31</v>
      </c>
      <c r="AC4118">
        <v>44.5182</v>
      </c>
      <c r="AD4118">
        <v>-1.1107022437309999</v>
      </c>
      <c r="AE4118">
        <v>2.5497599999999898</v>
      </c>
      <c r="AF4118">
        <v>-10.587205813733499</v>
      </c>
      <c r="AG4118">
        <v>-1.1107022437309999</v>
      </c>
      <c r="AH4118">
        <v>43.287613190532703</v>
      </c>
      <c r="AI4118">
        <v>91.427746127908094</v>
      </c>
      <c r="AJ4118">
        <v>103.743498727877</v>
      </c>
      <c r="AK4118">
        <v>44.577348980729703</v>
      </c>
      <c r="AL4118">
        <v>83.014826496752093</v>
      </c>
      <c r="AM4118">
        <v>101.243955697543</v>
      </c>
      <c r="AN4118">
        <v>1.0000000248001999</v>
      </c>
    </row>
    <row r="4119" spans="1:40" x14ac:dyDescent="0.3">
      <c r="A4119" t="str">
        <f>"20200111150111562"</f>
        <v>20200111150111562</v>
      </c>
      <c r="B4119" t="str">
        <f>"1578726071551832"</f>
        <v>1578726071551832</v>
      </c>
      <c r="C4119" t="s">
        <v>40</v>
      </c>
      <c r="D4119">
        <v>4.5482329999999997</v>
      </c>
      <c r="E4119">
        <v>0.48426140000000001</v>
      </c>
      <c r="F4119" t="s">
        <v>42</v>
      </c>
      <c r="G4119">
        <v>-358.23930000000001</v>
      </c>
      <c r="H4119" s="1">
        <v>-1.2784450000000001E-6</v>
      </c>
      <c r="I4119">
        <v>21.648800000000001</v>
      </c>
      <c r="J4119">
        <v>-398.27280000000002</v>
      </c>
      <c r="K4119">
        <v>1.1103879999999999</v>
      </c>
      <c r="L4119">
        <v>19.504940000000001</v>
      </c>
      <c r="M4119">
        <v>0.98397860000000004</v>
      </c>
      <c r="N4119">
        <v>0</v>
      </c>
      <c r="O4119">
        <v>-0.1779319</v>
      </c>
      <c r="P4119">
        <v>0.9934345</v>
      </c>
      <c r="Q4119">
        <v>0.11365210000000001</v>
      </c>
      <c r="R4119">
        <v>1.308515E-2</v>
      </c>
      <c r="S4119">
        <v>3.0274960000000002</v>
      </c>
      <c r="T4119">
        <v>-8.3634500000000001E-2</v>
      </c>
      <c r="U4119">
        <v>0.15930179999999999</v>
      </c>
      <c r="V4119">
        <v>-0.19143099999999999</v>
      </c>
      <c r="W4119">
        <v>0.121856199999999</v>
      </c>
      <c r="X4119">
        <v>0.97391240000000001</v>
      </c>
      <c r="Y4119">
        <v>-0.2292496</v>
      </c>
      <c r="Z4119">
        <v>8.0610560000000005E-3</v>
      </c>
      <c r="AA4119">
        <v>0.97333429999999999</v>
      </c>
      <c r="AB4119">
        <v>31</v>
      </c>
      <c r="AC4119">
        <v>40.033499999999997</v>
      </c>
      <c r="AD4119">
        <v>-1.110389278445</v>
      </c>
      <c r="AE4119">
        <v>2.1438600000000001</v>
      </c>
      <c r="AF4119">
        <v>-9.22625484517412</v>
      </c>
      <c r="AG4119">
        <v>-1.110389278445</v>
      </c>
      <c r="AH4119">
        <v>38.983206452959898</v>
      </c>
      <c r="AI4119">
        <v>91.587721527374498</v>
      </c>
      <c r="AJ4119">
        <v>103.315332064223</v>
      </c>
      <c r="AK4119">
        <v>40.075517815392999</v>
      </c>
      <c r="AL4119">
        <v>83.000759152910703</v>
      </c>
      <c r="AM4119">
        <v>101.12022172221501</v>
      </c>
      <c r="AN4119">
        <v>1.0000000620565901</v>
      </c>
    </row>
    <row r="4120" spans="1:40" x14ac:dyDescent="0.3">
      <c r="A4120" t="str">
        <f>"20200111150111576"</f>
        <v>20200111150111576</v>
      </c>
      <c r="B4120" t="str">
        <f>"1578726071572329"</f>
        <v>1578726071572329</v>
      </c>
      <c r="C4120" t="s">
        <v>40</v>
      </c>
      <c r="D4120">
        <v>4.547059</v>
      </c>
      <c r="E4120">
        <v>0.48579529999999899</v>
      </c>
      <c r="F4120" t="s">
        <v>42</v>
      </c>
      <c r="G4120">
        <v>-357.76369999999997</v>
      </c>
      <c r="H4120" s="1">
        <v>-1.470326E-6</v>
      </c>
      <c r="I4120">
        <v>21.60304</v>
      </c>
      <c r="J4120">
        <v>-398.09589999999997</v>
      </c>
      <c r="K4120">
        <v>1.110058</v>
      </c>
      <c r="L4120">
        <v>19.47644</v>
      </c>
      <c r="M4120">
        <v>0.98459969999999997</v>
      </c>
      <c r="N4120">
        <v>0</v>
      </c>
      <c r="O4120">
        <v>-0.1744656</v>
      </c>
      <c r="P4120">
        <v>0.99342109999999995</v>
      </c>
      <c r="Q4120">
        <v>0.1135868</v>
      </c>
      <c r="R4120">
        <v>1.458389E-2</v>
      </c>
      <c r="S4120">
        <v>3.0272830000000002</v>
      </c>
      <c r="T4120">
        <v>-8.2980509999999993E-2</v>
      </c>
      <c r="U4120">
        <v>0.1567993</v>
      </c>
      <c r="V4120">
        <v>-0.1893677</v>
      </c>
      <c r="W4120">
        <v>0.12193569999999999</v>
      </c>
      <c r="X4120">
        <v>0.97430570000000005</v>
      </c>
      <c r="Y4120">
        <v>-0.22502610000000001</v>
      </c>
      <c r="Z4120">
        <v>7.8468340000000004E-3</v>
      </c>
      <c r="AA4120">
        <v>0.97432110000000005</v>
      </c>
      <c r="AB4120">
        <v>31</v>
      </c>
      <c r="AC4120">
        <v>40.3322</v>
      </c>
      <c r="AD4120">
        <v>-1.1100594703260001</v>
      </c>
      <c r="AE4120">
        <v>2.1265999999999998</v>
      </c>
      <c r="AF4120">
        <v>-9.1241102978081301</v>
      </c>
      <c r="AG4120">
        <v>-1.1100594703260001</v>
      </c>
      <c r="AH4120">
        <v>39.312818791466</v>
      </c>
      <c r="AI4120">
        <v>91.575551354480098</v>
      </c>
      <c r="AJ4120">
        <v>103.06644172171301</v>
      </c>
      <c r="AK4120">
        <v>40.373002638952499</v>
      </c>
      <c r="AL4120">
        <v>82.996169612446593</v>
      </c>
      <c r="AM4120">
        <v>100.998971900844</v>
      </c>
      <c r="AN4120">
        <v>1.0000000188951299</v>
      </c>
    </row>
    <row r="4121" spans="1:40" x14ac:dyDescent="0.3">
      <c r="A4121" t="str">
        <f>"20200111150111588"</f>
        <v>20200111150111588</v>
      </c>
      <c r="B4121" t="str">
        <f>"1578726071582090"</f>
        <v>1578726071582090</v>
      </c>
      <c r="C4121" t="s">
        <v>40</v>
      </c>
      <c r="D4121">
        <v>4.5858210000000001</v>
      </c>
      <c r="E4121">
        <v>0.48637029999999998</v>
      </c>
      <c r="F4121" t="s">
        <v>42</v>
      </c>
      <c r="G4121">
        <v>-356.97019999999998</v>
      </c>
      <c r="H4121" s="1">
        <v>-1.7836839999999999E-6</v>
      </c>
      <c r="I4121">
        <v>21.501339999999999</v>
      </c>
      <c r="J4121">
        <v>-397.92619999999999</v>
      </c>
      <c r="K4121">
        <v>1.1097399999999999</v>
      </c>
      <c r="L4121">
        <v>19.449490000000001</v>
      </c>
      <c r="M4121">
        <v>0.98514219999999997</v>
      </c>
      <c r="N4121">
        <v>0</v>
      </c>
      <c r="O4121">
        <v>-0.171378799999999</v>
      </c>
      <c r="P4121">
        <v>0.99346120000000004</v>
      </c>
      <c r="Q4121">
        <v>0.1130331</v>
      </c>
      <c r="R4121">
        <v>1.6090409999999999E-2</v>
      </c>
      <c r="S4121">
        <v>3.0270389999999998</v>
      </c>
      <c r="T4121">
        <v>-8.1705449999999999E-2</v>
      </c>
      <c r="U4121">
        <v>0.14904790000000001</v>
      </c>
      <c r="V4121">
        <v>-0.18769669999999999</v>
      </c>
      <c r="W4121">
        <v>0.121515899999999</v>
      </c>
      <c r="X4121">
        <v>0.97468140000000003</v>
      </c>
      <c r="Y4121">
        <v>-0.21949179999999999</v>
      </c>
      <c r="Z4121">
        <v>7.57005E-3</v>
      </c>
      <c r="AA4121">
        <v>0.97558500000000004</v>
      </c>
      <c r="AB4121">
        <v>31</v>
      </c>
      <c r="AC4121">
        <v>40.956000000000003</v>
      </c>
      <c r="AD4121">
        <v>-1.109741783684</v>
      </c>
      <c r="AE4121">
        <v>2.0518499999999902</v>
      </c>
      <c r="AF4121">
        <v>-9.0342991091902203</v>
      </c>
      <c r="AG4121">
        <v>-1.109741783684</v>
      </c>
      <c r="AH4121">
        <v>39.969051946108102</v>
      </c>
      <c r="AI4121">
        <v>91.551295388206</v>
      </c>
      <c r="AJ4121">
        <v>102.736670688187</v>
      </c>
      <c r="AK4121">
        <v>40.992379788095498</v>
      </c>
      <c r="AL4121">
        <v>83.020402438160303</v>
      </c>
      <c r="AM4121">
        <v>100.90015001207399</v>
      </c>
      <c r="AN4121">
        <v>0.99999999832483</v>
      </c>
    </row>
    <row r="4122" spans="1:40" x14ac:dyDescent="0.3">
      <c r="A4122" t="str">
        <f>"20200111150111606"</f>
        <v>20200111150111606</v>
      </c>
      <c r="B4122" t="str">
        <f>"1578726071601611"</f>
        <v>1578726071601611</v>
      </c>
      <c r="C4122" t="s">
        <v>40</v>
      </c>
      <c r="D4122">
        <v>4.5728939999999998</v>
      </c>
      <c r="E4122">
        <v>0.48735309999999998</v>
      </c>
      <c r="F4122" t="s">
        <v>42</v>
      </c>
      <c r="G4122">
        <v>-356.7953</v>
      </c>
      <c r="H4122" s="1">
        <v>-1.850449E-6</v>
      </c>
      <c r="I4122">
        <v>21.470369999999999</v>
      </c>
      <c r="J4122">
        <v>-397.68520000000001</v>
      </c>
      <c r="K4122">
        <v>1.1092709999999999</v>
      </c>
      <c r="L4122">
        <v>19.41168</v>
      </c>
      <c r="M4122">
        <v>0.98582979999999998</v>
      </c>
      <c r="N4122">
        <v>0</v>
      </c>
      <c r="O4122">
        <v>-0.167381</v>
      </c>
      <c r="P4122">
        <v>0.99352059999999998</v>
      </c>
      <c r="Q4122">
        <v>0.1121795</v>
      </c>
      <c r="R4122">
        <v>1.8240409999999999E-2</v>
      </c>
      <c r="S4122">
        <v>3.0266109999999999</v>
      </c>
      <c r="T4122">
        <v>-8.1660269999999993E-2</v>
      </c>
      <c r="U4122">
        <v>0.14871219999999999</v>
      </c>
      <c r="V4122">
        <v>-0.1857163</v>
      </c>
      <c r="W4122">
        <v>0.1208494</v>
      </c>
      <c r="X4122">
        <v>0.97514350000000005</v>
      </c>
      <c r="Y4122">
        <v>-0.21543399999999999</v>
      </c>
      <c r="Z4122">
        <v>7.4054180000000004E-3</v>
      </c>
      <c r="AA4122">
        <v>0.97649030000000003</v>
      </c>
      <c r="AB4122">
        <v>31</v>
      </c>
      <c r="AC4122">
        <v>40.889899999999997</v>
      </c>
      <c r="AD4122">
        <v>-1.1092728504489999</v>
      </c>
      <c r="AE4122">
        <v>2.0586899999999999</v>
      </c>
      <c r="AF4122">
        <v>-8.8677473387152705</v>
      </c>
      <c r="AG4122">
        <v>-1.1092728504489999</v>
      </c>
      <c r="AH4122">
        <v>39.9390400277316</v>
      </c>
      <c r="AI4122">
        <v>91.553129008249499</v>
      </c>
      <c r="AJ4122">
        <v>102.518424536935</v>
      </c>
      <c r="AK4122">
        <v>40.9266948024976</v>
      </c>
      <c r="AL4122">
        <v>83.058873496936002</v>
      </c>
      <c r="AM4122">
        <v>100.78286229242001</v>
      </c>
      <c r="AN4122">
        <v>0.99999998357914899</v>
      </c>
    </row>
    <row r="4123" spans="1:40" x14ac:dyDescent="0.3">
      <c r="A4123" t="str">
        <f>"20200111150111620"</f>
        <v>20200111150111620</v>
      </c>
      <c r="B4123" t="str">
        <f>"1578726071611368"</f>
        <v>1578726071611368</v>
      </c>
      <c r="C4123" t="s">
        <v>40</v>
      </c>
      <c r="D4123">
        <v>4.5376110000000001</v>
      </c>
      <c r="E4123">
        <v>0.48779400000000001</v>
      </c>
      <c r="F4123" t="s">
        <v>42</v>
      </c>
      <c r="G4123">
        <v>-356.38650000000001</v>
      </c>
      <c r="H4123" s="1">
        <v>-2.0089809999999998E-6</v>
      </c>
      <c r="I4123">
        <v>21.407019999999999</v>
      </c>
      <c r="J4123">
        <v>-397.49579999999997</v>
      </c>
      <c r="K4123">
        <v>1.108889</v>
      </c>
      <c r="L4123">
        <v>19.38232</v>
      </c>
      <c r="M4123">
        <v>0.9863056</v>
      </c>
      <c r="N4123">
        <v>0</v>
      </c>
      <c r="O4123">
        <v>-0.16455710000000001</v>
      </c>
      <c r="P4123">
        <v>0.99356750000000005</v>
      </c>
      <c r="Q4123">
        <v>0.1113653</v>
      </c>
      <c r="R4123">
        <v>2.05363E-2</v>
      </c>
      <c r="S4123">
        <v>3.026062</v>
      </c>
      <c r="T4123">
        <v>-8.1279400000000002E-2</v>
      </c>
      <c r="U4123">
        <v>0.1462097</v>
      </c>
      <c r="V4123">
        <v>-0.18506990000000001</v>
      </c>
      <c r="W4123">
        <v>0.1201754</v>
      </c>
      <c r="X4123">
        <v>0.97534969999999999</v>
      </c>
      <c r="Y4123">
        <v>-0.21184259999999999</v>
      </c>
      <c r="Z4123">
        <v>7.2489549999999996E-3</v>
      </c>
      <c r="AA4123">
        <v>0.9772769</v>
      </c>
      <c r="AB4123">
        <v>31</v>
      </c>
      <c r="AC4123">
        <v>41.109299999999898</v>
      </c>
      <c r="AD4123">
        <v>-1.108891008981</v>
      </c>
      <c r="AE4123">
        <v>2.0247000000000002</v>
      </c>
      <c r="AF4123">
        <v>-8.7559801347605308</v>
      </c>
      <c r="AG4123">
        <v>-1.108891008981</v>
      </c>
      <c r="AH4123">
        <v>40.186442551222001</v>
      </c>
      <c r="AI4123">
        <v>91.544383781328605</v>
      </c>
      <c r="AJ4123">
        <v>102.291722767523</v>
      </c>
      <c r="AK4123">
        <v>41.144221858151397</v>
      </c>
      <c r="AL4123">
        <v>83.0977745948977</v>
      </c>
      <c r="AM4123">
        <v>100.743988175349</v>
      </c>
      <c r="AN4123">
        <v>1.0000000159706199</v>
      </c>
    </row>
    <row r="4124" spans="1:40" x14ac:dyDescent="0.3">
      <c r="A4124" t="str">
        <f>"20200111150111640"</f>
        <v>20200111150111640</v>
      </c>
      <c r="B4124" t="str">
        <f>"1578726071631864"</f>
        <v>1578726071631864</v>
      </c>
      <c r="C4124" t="s">
        <v>40</v>
      </c>
      <c r="D4124">
        <v>4.4838529999999999</v>
      </c>
      <c r="E4124">
        <v>0.48870570000000002</v>
      </c>
      <c r="F4124" t="s">
        <v>42</v>
      </c>
      <c r="G4124">
        <v>-356.85390000000001</v>
      </c>
      <c r="H4124" s="1">
        <v>-1.8013569999999999E-6</v>
      </c>
      <c r="I4124">
        <v>21.38025</v>
      </c>
      <c r="J4124">
        <v>-397.226</v>
      </c>
      <c r="K4124">
        <v>1.1083400000000001</v>
      </c>
      <c r="L4124">
        <v>19.341000000000001</v>
      </c>
      <c r="M4124">
        <v>0.98686589999999996</v>
      </c>
      <c r="N4124">
        <v>0</v>
      </c>
      <c r="O4124">
        <v>-0.161167</v>
      </c>
      <c r="P4124">
        <v>0.99360300000000001</v>
      </c>
      <c r="Q4124">
        <v>0.11047899999999999</v>
      </c>
      <c r="R4124">
        <v>2.339857E-2</v>
      </c>
      <c r="S4124">
        <v>3.025604</v>
      </c>
      <c r="T4124">
        <v>-8.2551840000000001E-2</v>
      </c>
      <c r="U4124">
        <v>0.14874270000000001</v>
      </c>
      <c r="V4124">
        <v>-0.1843746</v>
      </c>
      <c r="W4124">
        <v>0.1194871</v>
      </c>
      <c r="X4124">
        <v>0.97556589999999999</v>
      </c>
      <c r="Y4124">
        <v>-0.20930499999999999</v>
      </c>
      <c r="Z4124">
        <v>7.2371689999999999E-3</v>
      </c>
      <c r="AA4124">
        <v>0.97782360000000001</v>
      </c>
      <c r="AB4124">
        <v>31</v>
      </c>
      <c r="AC4124">
        <v>40.372099999999897</v>
      </c>
      <c r="AD4124">
        <v>-1.1083418013569999</v>
      </c>
      <c r="AE4124">
        <v>2.03925</v>
      </c>
      <c r="AF4124">
        <v>-8.5132316364196292</v>
      </c>
      <c r="AG4124">
        <v>-1.1083418013569999</v>
      </c>
      <c r="AH4124">
        <v>39.485893818337303</v>
      </c>
      <c r="AI4124">
        <v>91.571734141447394</v>
      </c>
      <c r="AJ4124">
        <v>102.166835818812</v>
      </c>
      <c r="AK4124">
        <v>40.408406861406696</v>
      </c>
      <c r="AL4124">
        <v>83.137497352217494</v>
      </c>
      <c r="AM4124">
        <v>100.702240420872</v>
      </c>
      <c r="AN4124">
        <v>0.99999999271718998</v>
      </c>
    </row>
    <row r="4125" spans="1:40" x14ac:dyDescent="0.3">
      <c r="A4125" t="str">
        <f>"20200111150111653"</f>
        <v>20200111150111653</v>
      </c>
      <c r="B4125" t="str">
        <f>"1578726071641624"</f>
        <v>1578726071641624</v>
      </c>
      <c r="C4125" t="s">
        <v>40</v>
      </c>
      <c r="D4125">
        <v>4.4777149999999999</v>
      </c>
      <c r="E4125">
        <v>0.4892068</v>
      </c>
      <c r="F4125" t="s">
        <v>42</v>
      </c>
      <c r="G4125">
        <v>-357.05689999999998</v>
      </c>
      <c r="H4125" s="1">
        <v>-1.6971509999999999E-6</v>
      </c>
      <c r="I4125">
        <v>21.316009999999999</v>
      </c>
      <c r="J4125">
        <v>-397.05959999999999</v>
      </c>
      <c r="K4125">
        <v>1.1079829999999999</v>
      </c>
      <c r="L4125">
        <v>19.315729999999999</v>
      </c>
      <c r="M4125">
        <v>0.9871356</v>
      </c>
      <c r="N4125">
        <v>0</v>
      </c>
      <c r="O4125">
        <v>-0.15950819999999999</v>
      </c>
      <c r="P4125">
        <v>0.9936121</v>
      </c>
      <c r="Q4125">
        <v>0.11006299999999999</v>
      </c>
      <c r="R4125">
        <v>2.492606E-2</v>
      </c>
      <c r="S4125">
        <v>3.0251160000000001</v>
      </c>
      <c r="T4125">
        <v>-8.3468790000000001E-2</v>
      </c>
      <c r="U4125">
        <v>0.14874270000000001</v>
      </c>
      <c r="V4125">
        <v>-0.18413350000000001</v>
      </c>
      <c r="W4125">
        <v>0.119202</v>
      </c>
      <c r="X4125">
        <v>0.97564629999999997</v>
      </c>
      <c r="Y4125">
        <v>-0.20766709999999999</v>
      </c>
      <c r="Z4125">
        <v>7.2507500000000003E-3</v>
      </c>
      <c r="AA4125">
        <v>0.97817270000000001</v>
      </c>
      <c r="AB4125">
        <v>31</v>
      </c>
      <c r="AC4125">
        <v>40.002699999999997</v>
      </c>
      <c r="AD4125">
        <v>-1.1079846971509999</v>
      </c>
      <c r="AE4125">
        <v>2.0002800000000001</v>
      </c>
      <c r="AF4125">
        <v>-8.3494200687581106</v>
      </c>
      <c r="AG4125">
        <v>-1.1079846971509999</v>
      </c>
      <c r="AH4125">
        <v>39.141434148114499</v>
      </c>
      <c r="AI4125">
        <v>91.585791637990695</v>
      </c>
      <c r="AJ4125">
        <v>102.041521498579</v>
      </c>
      <c r="AK4125">
        <v>40.037386437489701</v>
      </c>
      <c r="AL4125">
        <v>83.153949898498297</v>
      </c>
      <c r="AM4125">
        <v>100.687707611538</v>
      </c>
      <c r="AN4125">
        <v>0.99999998266496903</v>
      </c>
    </row>
    <row r="4126" spans="1:40" x14ac:dyDescent="0.3">
      <c r="A4126" t="str">
        <f>"20200111150111666"</f>
        <v>20200111150111666</v>
      </c>
      <c r="B4126" t="str">
        <f>"1578726071662120"</f>
        <v>1578726071662120</v>
      </c>
      <c r="C4126" t="s">
        <v>40</v>
      </c>
      <c r="D4126">
        <v>4.4585739999999996</v>
      </c>
      <c r="E4126">
        <v>0.48978749999999999</v>
      </c>
      <c r="F4126" t="s">
        <v>42</v>
      </c>
      <c r="G4126">
        <v>-357.08760000000001</v>
      </c>
      <c r="H4126" s="1">
        <v>-1.6741129999999999E-6</v>
      </c>
      <c r="I4126">
        <v>21.27881</v>
      </c>
      <c r="J4126">
        <v>-396.88470000000001</v>
      </c>
      <c r="K4126">
        <v>1.107602</v>
      </c>
      <c r="L4126">
        <v>19.28912</v>
      </c>
      <c r="M4126">
        <v>0.98738709999999996</v>
      </c>
      <c r="N4126">
        <v>0</v>
      </c>
      <c r="O4126">
        <v>-0.15794629999999901</v>
      </c>
      <c r="P4126">
        <v>0.99360820000000005</v>
      </c>
      <c r="Q4126">
        <v>0.109764899999999</v>
      </c>
      <c r="R4126">
        <v>2.6354590000000001E-2</v>
      </c>
      <c r="S4126">
        <v>3.0248409999999999</v>
      </c>
      <c r="T4126">
        <v>-8.3845500000000003E-2</v>
      </c>
      <c r="U4126">
        <v>0.14855960000000001</v>
      </c>
      <c r="V4126">
        <v>-0.18388289999999999</v>
      </c>
      <c r="W4126">
        <v>0.11904679999999999</v>
      </c>
      <c r="X4126">
        <v>0.97571249999999998</v>
      </c>
      <c r="Y4126">
        <v>-0.20606450000000001</v>
      </c>
      <c r="Z4126">
        <v>7.2190049999999997E-3</v>
      </c>
      <c r="AA4126">
        <v>0.97851180000000004</v>
      </c>
      <c r="AB4126">
        <v>31</v>
      </c>
      <c r="AC4126">
        <v>39.7971</v>
      </c>
      <c r="AD4126">
        <v>-1.107603674113</v>
      </c>
      <c r="AE4126">
        <v>1.98968999999999</v>
      </c>
      <c r="AF4126">
        <v>-8.2445225729260798</v>
      </c>
      <c r="AG4126">
        <v>-1.107603674113</v>
      </c>
      <c r="AH4126">
        <v>38.953114781072102</v>
      </c>
      <c r="AI4126">
        <v>91.593444467023303</v>
      </c>
      <c r="AJ4126">
        <v>101.95042891977999</v>
      </c>
      <c r="AK4126">
        <v>39.831445988085498</v>
      </c>
      <c r="AL4126">
        <v>83.162905904143003</v>
      </c>
      <c r="AM4126">
        <v>100.672788845155</v>
      </c>
      <c r="AN4126">
        <v>0.99999997207944902</v>
      </c>
    </row>
    <row r="4127" spans="1:40" x14ac:dyDescent="0.3">
      <c r="A4127" t="str">
        <f>"20200111150111684"</f>
        <v>20200111150111684</v>
      </c>
      <c r="B4127" t="str">
        <f>"1578726071681641"</f>
        <v>1578726071681641</v>
      </c>
      <c r="C4127" t="s">
        <v>40</v>
      </c>
      <c r="D4127">
        <v>4.4445240000000004</v>
      </c>
      <c r="E4127">
        <v>0.4902919</v>
      </c>
      <c r="F4127" t="s">
        <v>42</v>
      </c>
      <c r="G4127">
        <v>-357.08859999999999</v>
      </c>
      <c r="H4127" s="1">
        <v>-1.660275E-6</v>
      </c>
      <c r="I4127">
        <v>21.228400000000001</v>
      </c>
      <c r="J4127">
        <v>-396.63260000000002</v>
      </c>
      <c r="K4127">
        <v>1.107043</v>
      </c>
      <c r="L4127">
        <v>19.250820000000001</v>
      </c>
      <c r="M4127">
        <v>0.98766310000000002</v>
      </c>
      <c r="N4127">
        <v>0</v>
      </c>
      <c r="O4127">
        <v>-0.15621460000000001</v>
      </c>
      <c r="P4127">
        <v>0.99350400000000005</v>
      </c>
      <c r="Q4127">
        <v>0.110236</v>
      </c>
      <c r="R4127">
        <v>2.824803E-2</v>
      </c>
      <c r="S4127">
        <v>3.024689</v>
      </c>
      <c r="T4127">
        <v>-8.4182980000000004E-2</v>
      </c>
      <c r="U4127">
        <v>0.1473999</v>
      </c>
      <c r="V4127">
        <v>-0.1838593</v>
      </c>
      <c r="W4127">
        <v>0.1197309</v>
      </c>
      <c r="X4127">
        <v>0.97563330000000004</v>
      </c>
      <c r="Y4127">
        <v>-0.20397650000000001</v>
      </c>
      <c r="Z4127">
        <v>7.1716150000000001E-3</v>
      </c>
      <c r="AA4127">
        <v>0.97894950000000003</v>
      </c>
      <c r="AB4127">
        <v>31</v>
      </c>
      <c r="AC4127">
        <v>39.543999999999997</v>
      </c>
      <c r="AD4127">
        <v>-1.1070446602749999</v>
      </c>
      <c r="AE4127">
        <v>1.9775799999999999</v>
      </c>
      <c r="AF4127">
        <v>-8.1246634222603404</v>
      </c>
      <c r="AG4127">
        <v>-1.1070446602749999</v>
      </c>
      <c r="AH4127">
        <v>38.719250748215899</v>
      </c>
      <c r="AI4127">
        <v>91.602842519777298</v>
      </c>
      <c r="AJ4127">
        <v>101.850737702448</v>
      </c>
      <c r="AK4127">
        <v>39.577974709528398</v>
      </c>
      <c r="AL4127">
        <v>83.123427916288506</v>
      </c>
      <c r="AM4127">
        <v>100.67229692262499</v>
      </c>
      <c r="AN4127">
        <v>1.00000003334009</v>
      </c>
    </row>
    <row r="4128" spans="1:40" x14ac:dyDescent="0.3">
      <c r="A4128" t="str">
        <f>"20200111150111697"</f>
        <v>20200111150111697</v>
      </c>
      <c r="B4128" t="str">
        <f>"1578726071692377"</f>
        <v>1578726071692377</v>
      </c>
      <c r="C4128" t="s">
        <v>40</v>
      </c>
      <c r="D4128">
        <v>4.4038449999999996</v>
      </c>
      <c r="E4128">
        <v>0.49138100000000001</v>
      </c>
      <c r="F4128" t="s">
        <v>42</v>
      </c>
      <c r="G4128">
        <v>-355.74259999999998</v>
      </c>
      <c r="H4128" s="1">
        <v>-2.2446940000000001E-6</v>
      </c>
      <c r="I4128">
        <v>21.25468</v>
      </c>
      <c r="J4128">
        <v>-396.45350000000002</v>
      </c>
      <c r="K4128">
        <v>1.1066510000000001</v>
      </c>
      <c r="L4128">
        <v>19.223600000000001</v>
      </c>
      <c r="M4128">
        <v>0.98780380000000001</v>
      </c>
      <c r="N4128">
        <v>0</v>
      </c>
      <c r="O4128">
        <v>-0.1553244</v>
      </c>
      <c r="P4128">
        <v>0.99339010000000005</v>
      </c>
      <c r="Q4128">
        <v>0.11104550000000001</v>
      </c>
      <c r="R4128">
        <v>2.9073390000000001E-2</v>
      </c>
      <c r="S4128">
        <v>3.0244749999999998</v>
      </c>
      <c r="T4128">
        <v>-8.1883910000000004E-2</v>
      </c>
      <c r="U4128">
        <v>0.14822389999999999</v>
      </c>
      <c r="V4128">
        <v>-0.18366370000000001</v>
      </c>
      <c r="W4128">
        <v>0.1206932</v>
      </c>
      <c r="X4128">
        <v>0.97555150000000002</v>
      </c>
      <c r="Y4128">
        <v>-0.20337160000000001</v>
      </c>
      <c r="Z4128">
        <v>6.9442059999999996E-3</v>
      </c>
      <c r="AA4128">
        <v>0.97907699999999998</v>
      </c>
      <c r="AB4128">
        <v>31</v>
      </c>
      <c r="AC4128">
        <v>40.710900000000002</v>
      </c>
      <c r="AD4128">
        <v>-1.1066532446940001</v>
      </c>
      <c r="AE4128">
        <v>2.03107999999999</v>
      </c>
      <c r="AF4128">
        <v>-8.3240604814720793</v>
      </c>
      <c r="AG4128">
        <v>-1.1066532446940001</v>
      </c>
      <c r="AH4128">
        <v>39.871870090593198</v>
      </c>
      <c r="AI4128">
        <v>91.556312630689902</v>
      </c>
      <c r="AJ4128">
        <v>101.792279260695</v>
      </c>
      <c r="AK4128">
        <v>40.746542047446702</v>
      </c>
      <c r="AL4128">
        <v>83.067888967611097</v>
      </c>
      <c r="AM4128">
        <v>100.66207696746901</v>
      </c>
      <c r="AN4128">
        <v>0.99999996618808895</v>
      </c>
    </row>
    <row r="4129" spans="1:40" x14ac:dyDescent="0.3">
      <c r="A4129" t="str">
        <f>"20200111150111709"</f>
        <v>20200111150111709</v>
      </c>
      <c r="B4129" t="str">
        <f>"1578726071702137"</f>
        <v>1578726071702137</v>
      </c>
      <c r="C4129" t="s">
        <v>40</v>
      </c>
      <c r="D4129">
        <v>4.470987</v>
      </c>
      <c r="E4129">
        <v>0.49184499999999998</v>
      </c>
      <c r="F4129" t="s">
        <v>42</v>
      </c>
      <c r="G4129">
        <v>-353.22480000000002</v>
      </c>
      <c r="H4129" s="1">
        <v>-3.3231110000000001E-6</v>
      </c>
      <c r="I4129">
        <v>21.248280000000001</v>
      </c>
      <c r="J4129">
        <v>-396.27839999999998</v>
      </c>
      <c r="K4129">
        <v>1.1062959999999999</v>
      </c>
      <c r="L4129">
        <v>19.196870000000001</v>
      </c>
      <c r="M4129">
        <v>0.98790069999999996</v>
      </c>
      <c r="N4129">
        <v>0</v>
      </c>
      <c r="O4129">
        <v>-0.15470909999999999</v>
      </c>
      <c r="P4129">
        <v>0.99319489999999999</v>
      </c>
      <c r="Q4129">
        <v>0.1126612</v>
      </c>
      <c r="R4129">
        <v>2.952486E-2</v>
      </c>
      <c r="S4129">
        <v>3.0245060000000001</v>
      </c>
      <c r="T4129">
        <v>-7.7427389999999999E-2</v>
      </c>
      <c r="U4129">
        <v>0.1416626</v>
      </c>
      <c r="V4129">
        <v>-0.18337010000000001</v>
      </c>
      <c r="W4129">
        <v>0.1224483</v>
      </c>
      <c r="X4129">
        <v>0.97538809999999998</v>
      </c>
      <c r="Y4129">
        <v>-0.20065620000000001</v>
      </c>
      <c r="Z4129">
        <v>6.5161439999999998E-3</v>
      </c>
      <c r="AA4129">
        <v>0.97964010000000001</v>
      </c>
      <c r="AB4129">
        <v>31</v>
      </c>
      <c r="AC4129">
        <v>43.053599999999904</v>
      </c>
      <c r="AD4129">
        <v>-1.1062993231110001</v>
      </c>
      <c r="AE4129">
        <v>2.05140999999999</v>
      </c>
      <c r="AF4129">
        <v>-8.6821629982054507</v>
      </c>
      <c r="AG4129">
        <v>-1.1062993231110001</v>
      </c>
      <c r="AH4129">
        <v>42.1899919644232</v>
      </c>
      <c r="AI4129">
        <v>91.471241334814493</v>
      </c>
      <c r="AJ4129">
        <v>101.628407229359</v>
      </c>
      <c r="AK4129">
        <v>43.0882730505392</v>
      </c>
      <c r="AL4129">
        <v>82.966578360711907</v>
      </c>
      <c r="AM4129">
        <v>100.64716528579901</v>
      </c>
      <c r="AN4129">
        <v>1.00000006268425</v>
      </c>
    </row>
    <row r="4130" spans="1:40" x14ac:dyDescent="0.3">
      <c r="A4130" t="str">
        <f>"20200111150111722"</f>
        <v>20200111150111722</v>
      </c>
      <c r="B4130" t="str">
        <f>"1578726071711897"</f>
        <v>1578726071711897</v>
      </c>
      <c r="C4130" t="s">
        <v>40</v>
      </c>
      <c r="D4130">
        <v>4.4087189999999996</v>
      </c>
      <c r="E4130">
        <v>0.49248419999999998</v>
      </c>
      <c r="F4130" t="s">
        <v>42</v>
      </c>
      <c r="G4130">
        <v>-349.41699999999997</v>
      </c>
      <c r="H4130" s="1">
        <v>-6.9464259999999898E-7</v>
      </c>
      <c r="I4130">
        <v>21.353400000000001</v>
      </c>
      <c r="J4130">
        <v>-396.10629999999998</v>
      </c>
      <c r="K4130">
        <v>1.105963</v>
      </c>
      <c r="L4130">
        <v>19.170500000000001</v>
      </c>
      <c r="M4130">
        <v>0.98797219999999997</v>
      </c>
      <c r="N4130">
        <v>0</v>
      </c>
      <c r="O4130">
        <v>-0.15425229999999901</v>
      </c>
      <c r="P4130">
        <v>0.99302610000000002</v>
      </c>
      <c r="Q4130">
        <v>0.1142193</v>
      </c>
      <c r="R4130">
        <v>2.9205689999999999E-2</v>
      </c>
      <c r="S4130">
        <v>3.0245060000000001</v>
      </c>
      <c r="T4130">
        <v>-7.1401950000000006E-2</v>
      </c>
      <c r="U4130">
        <v>0.1391907</v>
      </c>
      <c r="V4130">
        <v>-0.18247830000000001</v>
      </c>
      <c r="W4130">
        <v>0.1241423</v>
      </c>
      <c r="X4130">
        <v>0.97534109999999996</v>
      </c>
      <c r="Y4130">
        <v>-0.19942199999999999</v>
      </c>
      <c r="Z4130">
        <v>5.9840029999999999E-3</v>
      </c>
      <c r="AA4130">
        <v>0.97989539999999997</v>
      </c>
      <c r="AB4130">
        <v>31</v>
      </c>
      <c r="AC4130">
        <v>46.689300000000003</v>
      </c>
      <c r="AD4130">
        <v>-1.1059636946425999</v>
      </c>
      <c r="AE4130">
        <v>2.1829000000000001</v>
      </c>
      <c r="AF4130">
        <v>-9.35388759919738</v>
      </c>
      <c r="AG4130">
        <v>-1.1059636946425999</v>
      </c>
      <c r="AH4130">
        <v>45.768070914560901</v>
      </c>
      <c r="AI4130">
        <v>91.3562319069799</v>
      </c>
      <c r="AJ4130">
        <v>101.550802148231</v>
      </c>
      <c r="AK4130">
        <v>46.727237069535398</v>
      </c>
      <c r="AL4130">
        <v>82.868772251433697</v>
      </c>
      <c r="AM4130">
        <v>100.597058534149</v>
      </c>
      <c r="AN4130">
        <v>0.99999995098469296</v>
      </c>
    </row>
    <row r="4131" spans="1:40" x14ac:dyDescent="0.3">
      <c r="A4131" t="str">
        <f>"20200111150111741"</f>
        <v>20200111150111741</v>
      </c>
      <c r="B4131" t="str">
        <f>"1578726071732392"</f>
        <v>1578726071732392</v>
      </c>
      <c r="C4131" t="s">
        <v>40</v>
      </c>
      <c r="D4131">
        <v>4.3880330000000001</v>
      </c>
      <c r="E4131">
        <v>0.49292970000000003</v>
      </c>
      <c r="F4131" t="s">
        <v>42</v>
      </c>
      <c r="G4131">
        <v>-345.96589999999998</v>
      </c>
      <c r="H4131" s="1">
        <v>-2.181402E-6</v>
      </c>
      <c r="I4131">
        <v>21.376950000000001</v>
      </c>
      <c r="J4131">
        <v>-395.85419999999999</v>
      </c>
      <c r="K4131">
        <v>1.1055120000000001</v>
      </c>
      <c r="L4131">
        <v>19.13165</v>
      </c>
      <c r="M4131">
        <v>0.98800580000000005</v>
      </c>
      <c r="N4131">
        <v>0</v>
      </c>
      <c r="O4131">
        <v>-0.15404000000000001</v>
      </c>
      <c r="P4131">
        <v>0.99267479999999997</v>
      </c>
      <c r="Q4131">
        <v>0.1177629</v>
      </c>
      <c r="R4131">
        <v>2.6986860000000001E-2</v>
      </c>
      <c r="S4131">
        <v>3.024902</v>
      </c>
      <c r="T4131">
        <v>-6.6721440000000007E-2</v>
      </c>
      <c r="U4131">
        <v>0.13311770000000001</v>
      </c>
      <c r="V4131">
        <v>-0.17988399999999999</v>
      </c>
      <c r="W4131">
        <v>0.1278755</v>
      </c>
      <c r="X4131">
        <v>0.97534080000000001</v>
      </c>
      <c r="Y4131">
        <v>-0.19725480000000001</v>
      </c>
      <c r="Z4131">
        <v>5.5626929999999996E-3</v>
      </c>
      <c r="AA4131">
        <v>0.98033650000000006</v>
      </c>
      <c r="AB4131">
        <v>31</v>
      </c>
      <c r="AC4131">
        <v>49.888300000000001</v>
      </c>
      <c r="AD4131">
        <v>-1.105514181402</v>
      </c>
      <c r="AE4131">
        <v>2.2452999999999999</v>
      </c>
      <c r="AF4131">
        <v>-9.8988875815442992</v>
      </c>
      <c r="AG4131">
        <v>-1.105514181402</v>
      </c>
      <c r="AH4131">
        <v>48.922932721318404</v>
      </c>
      <c r="AI4131">
        <v>91.268792551572304</v>
      </c>
      <c r="AJ4131">
        <v>101.43858880671</v>
      </c>
      <c r="AK4131">
        <v>49.926580926516301</v>
      </c>
      <c r="AL4131">
        <v>82.653157490123107</v>
      </c>
      <c r="AM4131">
        <v>100.449744814604</v>
      </c>
      <c r="AN4131">
        <v>1.00000003655044</v>
      </c>
    </row>
    <row r="4132" spans="1:40" x14ac:dyDescent="0.3">
      <c r="A4132" t="str">
        <f>"20200111150111752"</f>
        <v>20200111150111752</v>
      </c>
      <c r="B4132" t="str">
        <f>"1578726071742152"</f>
        <v>1578726071742152</v>
      </c>
      <c r="C4132" t="s">
        <v>40</v>
      </c>
      <c r="D4132">
        <v>4.3957670000000002</v>
      </c>
      <c r="E4132">
        <v>0.51051530000000001</v>
      </c>
      <c r="F4132" t="s">
        <v>42</v>
      </c>
      <c r="G4132">
        <v>-340.32889999999998</v>
      </c>
      <c r="H4132" s="1">
        <v>-4.4791400000000003E-6</v>
      </c>
      <c r="I4132">
        <v>21.392250000000001</v>
      </c>
      <c r="J4132">
        <v>-395.68279999999999</v>
      </c>
      <c r="K4132">
        <v>1.1052219999999999</v>
      </c>
      <c r="L4132">
        <v>19.104949999999999</v>
      </c>
      <c r="M4132">
        <v>0.9879791</v>
      </c>
      <c r="N4132">
        <v>0</v>
      </c>
      <c r="O4132">
        <v>-0.1542125</v>
      </c>
      <c r="P4132">
        <v>0.99251100000000003</v>
      </c>
      <c r="Q4132">
        <v>0.1196575</v>
      </c>
      <c r="R4132">
        <v>2.4580149999999999E-2</v>
      </c>
      <c r="S4132">
        <v>3.0259399999999999</v>
      </c>
      <c r="T4132">
        <v>-6.0246830000000001E-2</v>
      </c>
      <c r="U4132">
        <v>0.1231995</v>
      </c>
      <c r="V4132">
        <v>-0.17755960000000001</v>
      </c>
      <c r="W4132">
        <v>0.1298899</v>
      </c>
      <c r="X4132">
        <v>0.97550049999999999</v>
      </c>
      <c r="Y4132">
        <v>-0.1942189</v>
      </c>
      <c r="Z4132">
        <v>4.9946369999999997E-3</v>
      </c>
      <c r="AA4132">
        <v>0.98094550000000003</v>
      </c>
      <c r="AB4132">
        <v>31</v>
      </c>
      <c r="AC4132">
        <v>55.353900000000003</v>
      </c>
      <c r="AD4132">
        <v>-1.1052264791399999</v>
      </c>
      <c r="AE4132">
        <v>2.2873000000000001</v>
      </c>
      <c r="AF4132">
        <v>-10.792397863311299</v>
      </c>
      <c r="AG4132">
        <v>-1.1052264791399999</v>
      </c>
      <c r="AH4132">
        <v>54.317295048516598</v>
      </c>
      <c r="AI4132">
        <v>91.143326825057002</v>
      </c>
      <c r="AJ4132">
        <v>101.237839587216</v>
      </c>
      <c r="AK4132">
        <v>55.390124738962299</v>
      </c>
      <c r="AL4132">
        <v>82.536769979716397</v>
      </c>
      <c r="AM4132">
        <v>100.31598246590799</v>
      </c>
      <c r="AN4132">
        <v>1.0000000115872001</v>
      </c>
    </row>
    <row r="4133" spans="1:40" x14ac:dyDescent="0.3">
      <c r="A4133" t="str">
        <f>"20200111150111765"</f>
        <v>20200111150111765</v>
      </c>
      <c r="B4133" t="str">
        <f>"1578726071761672"</f>
        <v>1578726071761672</v>
      </c>
      <c r="C4133" t="s">
        <v>40</v>
      </c>
      <c r="D4133">
        <v>4.3240280000000002</v>
      </c>
      <c r="E4133">
        <v>0.51154060000000001</v>
      </c>
      <c r="F4133" t="s">
        <v>43</v>
      </c>
      <c r="G4133">
        <v>-298.34629999999999</v>
      </c>
      <c r="H4133">
        <v>-0.05</v>
      </c>
      <c r="I4133">
        <v>18.348479999999999</v>
      </c>
      <c r="J4133">
        <v>-395.51870000000002</v>
      </c>
      <c r="K4133">
        <v>1.104956</v>
      </c>
      <c r="L4133">
        <v>19.079249999999998</v>
      </c>
      <c r="M4133">
        <v>0.98793750000000002</v>
      </c>
      <c r="N4133">
        <v>0</v>
      </c>
      <c r="O4133">
        <v>-0.15447920000000001</v>
      </c>
      <c r="P4133">
        <v>0.99247160000000001</v>
      </c>
      <c r="Q4133">
        <v>0.1204697</v>
      </c>
      <c r="R4133">
        <v>2.2067610000000001E-2</v>
      </c>
      <c r="S4133">
        <v>3.0275270000000001</v>
      </c>
      <c r="T4133">
        <v>-3.5931709999999999E-2</v>
      </c>
      <c r="U4133">
        <v>-2.3529049999999999E-2</v>
      </c>
      <c r="V4133">
        <v>-0.17524679999999901</v>
      </c>
      <c r="W4133">
        <v>0.13081129999999999</v>
      </c>
      <c r="X4133">
        <v>0.97579559999999999</v>
      </c>
      <c r="Y4133">
        <v>-0.1467842</v>
      </c>
      <c r="Z4133">
        <v>2.6986110000000001E-3</v>
      </c>
      <c r="AA4133">
        <v>0.98916490000000001</v>
      </c>
      <c r="AB4133">
        <v>31</v>
      </c>
      <c r="AC4133">
        <v>97.172399999999996</v>
      </c>
      <c r="AD4133">
        <v>-1.1549559999999901</v>
      </c>
      <c r="AE4133">
        <v>-0.73076999999999903</v>
      </c>
      <c r="AF4133">
        <v>-14.2879677087301</v>
      </c>
      <c r="AG4133">
        <v>-1.1549559999999901</v>
      </c>
      <c r="AH4133">
        <v>96.105130163631401</v>
      </c>
      <c r="AI4133">
        <v>90.681041774889295</v>
      </c>
      <c r="AJ4133">
        <v>98.456235072085704</v>
      </c>
      <c r="AK4133">
        <v>97.168286947831902</v>
      </c>
      <c r="AL4133">
        <v>82.483523597787496</v>
      </c>
      <c r="AM4133">
        <v>100.181426713123</v>
      </c>
      <c r="AN4133">
        <v>1.0000000450486399</v>
      </c>
    </row>
    <row r="4134" spans="1:40" x14ac:dyDescent="0.3">
      <c r="A4134" t="str">
        <f>"20200111150111784"</f>
        <v>20200111150111784</v>
      </c>
      <c r="B4134" t="str">
        <f>"1578726071771432"</f>
        <v>1578726071771432</v>
      </c>
      <c r="C4134" t="s">
        <v>40</v>
      </c>
      <c r="D4134">
        <v>4.3699570000000003</v>
      </c>
      <c r="E4134">
        <v>0.51172019999999996</v>
      </c>
      <c r="F4134" t="s">
        <v>43</v>
      </c>
      <c r="G4134">
        <v>-313.7851</v>
      </c>
      <c r="H4134">
        <v>-0.05</v>
      </c>
      <c r="I4134">
        <v>18.011979999999902</v>
      </c>
      <c r="J4134">
        <v>-395.26589999999999</v>
      </c>
      <c r="K4134">
        <v>1.104568</v>
      </c>
      <c r="L4134">
        <v>19.03931</v>
      </c>
      <c r="M4134">
        <v>0.9878268</v>
      </c>
      <c r="N4134">
        <v>0</v>
      </c>
      <c r="O4134">
        <v>-0.1551881</v>
      </c>
      <c r="P4134">
        <v>0.99245110000000003</v>
      </c>
      <c r="Q4134">
        <v>0.1214845</v>
      </c>
      <c r="R4134">
        <v>1.6812669999999998E-2</v>
      </c>
      <c r="S4134">
        <v>3.0288390000000001</v>
      </c>
      <c r="T4134">
        <v>-4.2799709999999998E-2</v>
      </c>
      <c r="U4134">
        <v>-3.9550780000000001E-2</v>
      </c>
      <c r="V4134">
        <v>-0.17062620000000001</v>
      </c>
      <c r="W4134">
        <v>0.13198029999999999</v>
      </c>
      <c r="X4134">
        <v>0.97645680000000001</v>
      </c>
      <c r="Y4134">
        <v>-0.142255399999999</v>
      </c>
      <c r="Z4134">
        <v>3.1905990000000001E-3</v>
      </c>
      <c r="AA4134">
        <v>0.98982479999999995</v>
      </c>
      <c r="AB4134">
        <v>31</v>
      </c>
      <c r="AC4134">
        <v>81.480799999999903</v>
      </c>
      <c r="AD4134">
        <v>-1.154568</v>
      </c>
      <c r="AE4134">
        <v>-1.0273300000000001</v>
      </c>
      <c r="AF4134">
        <v>-11.628360027549</v>
      </c>
      <c r="AG4134">
        <v>-1.154568</v>
      </c>
      <c r="AH4134">
        <v>80.636791644468005</v>
      </c>
      <c r="AI4134">
        <v>90.811914791517594</v>
      </c>
      <c r="AJ4134">
        <v>98.205861551534696</v>
      </c>
      <c r="AK4134">
        <v>81.4791013138355</v>
      </c>
      <c r="AL4134">
        <v>82.415958632600294</v>
      </c>
      <c r="AM4134">
        <v>99.911798528541993</v>
      </c>
      <c r="AN4134">
        <v>0.99999999099038495</v>
      </c>
    </row>
    <row r="4135" spans="1:40" x14ac:dyDescent="0.3">
      <c r="A4135" t="str">
        <f>"20200111150111795"</f>
        <v>20200111150111795</v>
      </c>
      <c r="B4135" t="str">
        <f>"1578726071791929"</f>
        <v>1578726071791929</v>
      </c>
      <c r="C4135" t="s">
        <v>40</v>
      </c>
      <c r="D4135">
        <v>4.4187430000000001</v>
      </c>
      <c r="E4135">
        <v>0.51168530000000001</v>
      </c>
      <c r="F4135" t="s">
        <v>42</v>
      </c>
      <c r="G4135">
        <v>-327.1112</v>
      </c>
      <c r="H4135" s="1">
        <v>-1.6753559999999999E-6</v>
      </c>
      <c r="I4135">
        <v>17.759709999999998</v>
      </c>
      <c r="J4135">
        <v>-395.09210000000002</v>
      </c>
      <c r="K4135">
        <v>1.1043130000000001</v>
      </c>
      <c r="L4135">
        <v>19.01154</v>
      </c>
      <c r="M4135">
        <v>0.98771770000000003</v>
      </c>
      <c r="N4135">
        <v>0</v>
      </c>
      <c r="O4135">
        <v>-0.15588189999999999</v>
      </c>
      <c r="P4135">
        <v>0.99255360000000004</v>
      </c>
      <c r="Q4135">
        <v>0.1209867</v>
      </c>
      <c r="R4135">
        <v>1.4141000000000001E-2</v>
      </c>
      <c r="S4135">
        <v>3.0298159999999998</v>
      </c>
      <c r="T4135">
        <v>-4.9103620000000001E-2</v>
      </c>
      <c r="U4135">
        <v>-5.6884770000000001E-2</v>
      </c>
      <c r="V4135">
        <v>-0.1686067</v>
      </c>
      <c r="W4135">
        <v>0.131579</v>
      </c>
      <c r="X4135">
        <v>0.97686170000000005</v>
      </c>
      <c r="Y4135">
        <v>-0.13728280000000001</v>
      </c>
      <c r="Z4135">
        <v>3.6296980000000002E-3</v>
      </c>
      <c r="AA4135">
        <v>0.99052519999999999</v>
      </c>
      <c r="AB4135">
        <v>31</v>
      </c>
      <c r="AC4135">
        <v>67.980900000000005</v>
      </c>
      <c r="AD4135">
        <v>-1.10431467535599</v>
      </c>
      <c r="AE4135">
        <v>-1.25182999999999</v>
      </c>
      <c r="AF4135">
        <v>-9.3586047687452201</v>
      </c>
      <c r="AG4135">
        <v>-1.10431467535599</v>
      </c>
      <c r="AH4135">
        <v>67.327173584637407</v>
      </c>
      <c r="AI4135">
        <v>90.930746241256102</v>
      </c>
      <c r="AJ4135">
        <v>97.913514889219798</v>
      </c>
      <c r="AK4135">
        <v>67.983463408506097</v>
      </c>
      <c r="AL4135">
        <v>82.439153908517198</v>
      </c>
      <c r="AM4135">
        <v>99.792788692006496</v>
      </c>
      <c r="AN4135">
        <v>1.0000000167263801</v>
      </c>
    </row>
    <row r="4136" spans="1:40" x14ac:dyDescent="0.3">
      <c r="A4136" t="str">
        <f>"20200111150111810"</f>
        <v>20200111150111810</v>
      </c>
      <c r="B4136" t="str">
        <f>"1578726071801688"</f>
        <v>1578726071801688</v>
      </c>
      <c r="C4136" t="s">
        <v>40</v>
      </c>
      <c r="D4136">
        <v>4.4419459999999997</v>
      </c>
      <c r="E4136">
        <v>0.50010810000000006</v>
      </c>
      <c r="F4136" t="s">
        <v>42</v>
      </c>
      <c r="G4136">
        <v>-332.82369999999997</v>
      </c>
      <c r="H4136" s="1">
        <v>-3.402935E-6</v>
      </c>
      <c r="I4136">
        <v>17.688129999999902</v>
      </c>
      <c r="J4136">
        <v>-394.90550000000002</v>
      </c>
      <c r="K4136">
        <v>1.104053</v>
      </c>
      <c r="L4136">
        <v>18.981380000000001</v>
      </c>
      <c r="M4136">
        <v>0.98757569999999995</v>
      </c>
      <c r="N4136">
        <v>0</v>
      </c>
      <c r="O4136">
        <v>-0.1567807</v>
      </c>
      <c r="P4136">
        <v>0.9926391</v>
      </c>
      <c r="Q4136">
        <v>0.1205778</v>
      </c>
      <c r="R4136">
        <v>1.1346490000000001E-2</v>
      </c>
      <c r="S4136">
        <v>3.029938</v>
      </c>
      <c r="T4136">
        <v>-5.373526E-2</v>
      </c>
      <c r="U4136">
        <v>-6.4392089999999999E-2</v>
      </c>
      <c r="V4136">
        <v>-0.16666719999999999</v>
      </c>
      <c r="W4136">
        <v>0.1312651</v>
      </c>
      <c r="X4136">
        <v>0.97723669999999996</v>
      </c>
      <c r="Y4136">
        <v>-0.13572409999999999</v>
      </c>
      <c r="Z4136">
        <v>3.9735780000000002E-3</v>
      </c>
      <c r="AA4136">
        <v>0.99073869999999997</v>
      </c>
      <c r="AB4136">
        <v>31</v>
      </c>
      <c r="AC4136">
        <v>62.081800000000001</v>
      </c>
      <c r="AD4136">
        <v>-1.104056402935</v>
      </c>
      <c r="AE4136">
        <v>-1.29325</v>
      </c>
      <c r="AF4136">
        <v>-8.4538555136984801</v>
      </c>
      <c r="AG4136">
        <v>-1.104056402935</v>
      </c>
      <c r="AH4136">
        <v>61.497300657977398</v>
      </c>
      <c r="AI4136">
        <v>91.018935908418698</v>
      </c>
      <c r="AJ4136">
        <v>97.827226388307693</v>
      </c>
      <c r="AK4136">
        <v>62.085462080949497</v>
      </c>
      <c r="AL4136">
        <v>82.457296474587594</v>
      </c>
      <c r="AM4136">
        <v>99.678640493306204</v>
      </c>
      <c r="AN4136">
        <v>1.00000002493036</v>
      </c>
    </row>
    <row r="4137" spans="1:40" x14ac:dyDescent="0.3">
      <c r="A4137" t="str">
        <f>"20200111150111822"</f>
        <v>20200111150111822</v>
      </c>
      <c r="B4137" t="str">
        <f>"1578726071811449"</f>
        <v>1578726071811449</v>
      </c>
      <c r="C4137" t="s">
        <v>40</v>
      </c>
      <c r="D4137">
        <v>4.4093780000000002</v>
      </c>
      <c r="E4137">
        <v>0.5004653</v>
      </c>
      <c r="F4137" t="s">
        <v>88</v>
      </c>
      <c r="G4137">
        <v>-371.21719999999999</v>
      </c>
      <c r="H4137" s="1">
        <v>-4.2212469999999997E-6</v>
      </c>
      <c r="I4137">
        <v>19.114100000000001</v>
      </c>
      <c r="J4137">
        <v>-394.73750000000001</v>
      </c>
      <c r="K4137">
        <v>1.103828</v>
      </c>
      <c r="L4137">
        <v>18.954070000000002</v>
      </c>
      <c r="M4137">
        <v>0.98743389999999998</v>
      </c>
      <c r="N4137">
        <v>0</v>
      </c>
      <c r="O4137">
        <v>-0.15767149999999999</v>
      </c>
      <c r="P4137">
        <v>0.99283299999999997</v>
      </c>
      <c r="Q4137">
        <v>0.1191296</v>
      </c>
      <c r="R4137">
        <v>9.5243319999999999E-3</v>
      </c>
      <c r="S4137">
        <v>3.039307</v>
      </c>
      <c r="T4137">
        <v>-0.14165539999999999</v>
      </c>
      <c r="U4137">
        <v>1.7028809999999998E-2</v>
      </c>
      <c r="V4137">
        <v>-0.1657121</v>
      </c>
      <c r="W4137">
        <v>0.1298984</v>
      </c>
      <c r="X4137">
        <v>0.9775817</v>
      </c>
      <c r="Y4137">
        <v>-0.1628638</v>
      </c>
      <c r="Z4137">
        <v>1.1116060000000001E-2</v>
      </c>
      <c r="AA4137">
        <v>0.98658599999999996</v>
      </c>
      <c r="AB4137">
        <v>31</v>
      </c>
      <c r="AC4137">
        <v>23.520299999999999</v>
      </c>
      <c r="AD4137">
        <v>-1.103832221247</v>
      </c>
      <c r="AE4137">
        <v>0.16002999999999901</v>
      </c>
      <c r="AF4137">
        <v>-3.8582229899529601</v>
      </c>
      <c r="AG4137">
        <v>-1.103832221247</v>
      </c>
      <c r="AH4137">
        <v>23.149846066856501</v>
      </c>
      <c r="AI4137">
        <v>92.692826084316906</v>
      </c>
      <c r="AJ4137">
        <v>99.462118270709297</v>
      </c>
      <c r="AK4137">
        <v>23.495099555694999</v>
      </c>
      <c r="AL4137">
        <v>82.536278997237901</v>
      </c>
      <c r="AM4137">
        <v>99.620883575619004</v>
      </c>
      <c r="AN4137">
        <v>1.00000003729192</v>
      </c>
    </row>
    <row r="4138" spans="1:40" x14ac:dyDescent="0.3">
      <c r="A4138" t="str">
        <f>"20200111150111841"</f>
        <v>20200111150111841</v>
      </c>
      <c r="B4138" t="str">
        <f>"1578726071831947"</f>
        <v>1578726071831947</v>
      </c>
      <c r="C4138" t="s">
        <v>40</v>
      </c>
      <c r="D4138">
        <v>4.4390980000000004</v>
      </c>
      <c r="E4138">
        <v>0.50024959999999996</v>
      </c>
      <c r="F4138" t="s">
        <v>88</v>
      </c>
      <c r="G4138">
        <v>-371.40809999999999</v>
      </c>
      <c r="H4138" s="1">
        <v>-4.1472069999999998E-6</v>
      </c>
      <c r="I4138">
        <v>19.02271</v>
      </c>
      <c r="J4138">
        <v>-394.47890000000001</v>
      </c>
      <c r="K4138">
        <v>1.1035189999999999</v>
      </c>
      <c r="L4138">
        <v>18.91141</v>
      </c>
      <c r="M4138">
        <v>0.98717889999999997</v>
      </c>
      <c r="N4138">
        <v>0</v>
      </c>
      <c r="O4138">
        <v>-0.15925999999999901</v>
      </c>
      <c r="P4138">
        <v>0.99315940000000003</v>
      </c>
      <c r="Q4138">
        <v>0.11644259999999999</v>
      </c>
      <c r="R4138">
        <v>8.6941919999999999E-3</v>
      </c>
      <c r="S4138">
        <v>3.038818</v>
      </c>
      <c r="T4138">
        <v>-0.1437822</v>
      </c>
      <c r="U4138">
        <v>8.9416500000000006E-3</v>
      </c>
      <c r="V4138">
        <v>-0.1664281</v>
      </c>
      <c r="W4138">
        <v>0.12732499999999999</v>
      </c>
      <c r="X4138">
        <v>0.97779859999999996</v>
      </c>
      <c r="Y4138">
        <v>-0.16181519999999999</v>
      </c>
      <c r="Z4138">
        <v>1.1333859999999999E-2</v>
      </c>
      <c r="AA4138">
        <v>0.98675599999999997</v>
      </c>
      <c r="AB4138">
        <v>31</v>
      </c>
      <c r="AC4138">
        <v>23.070799999999998</v>
      </c>
      <c r="AD4138">
        <v>-1.103523147207</v>
      </c>
      <c r="AE4138">
        <v>0.111299999999999</v>
      </c>
      <c r="AF4138">
        <v>-3.7757062210983299</v>
      </c>
      <c r="AG4138">
        <v>-1.103523147207</v>
      </c>
      <c r="AH4138">
        <v>22.706630065769598</v>
      </c>
      <c r="AI4138">
        <v>92.744709912120996</v>
      </c>
      <c r="AJ4138">
        <v>99.440882560422494</v>
      </c>
      <c r="AK4138">
        <v>23.044842584582302</v>
      </c>
      <c r="AL4138">
        <v>82.684958759428298</v>
      </c>
      <c r="AM4138">
        <v>99.659568238909998</v>
      </c>
      <c r="AN4138">
        <v>1.0000000351282801</v>
      </c>
    </row>
    <row r="4139" spans="1:40" x14ac:dyDescent="0.3">
      <c r="A4139" t="str">
        <f>"20200111150111854"</f>
        <v>20200111150111854</v>
      </c>
      <c r="B4139" t="str">
        <f>"1578726071851464"</f>
        <v>1578726071851464</v>
      </c>
      <c r="C4139" t="s">
        <v>40</v>
      </c>
      <c r="D4139">
        <v>4.4247199999999998</v>
      </c>
      <c r="E4139">
        <v>0.49826530000000002</v>
      </c>
      <c r="F4139" t="s">
        <v>88</v>
      </c>
      <c r="G4139">
        <v>-372.76850000000002</v>
      </c>
      <c r="H4139" s="1">
        <v>-3.5138640000000002E-6</v>
      </c>
      <c r="I4139">
        <v>18.967880000000001</v>
      </c>
      <c r="J4139">
        <v>-394.29070000000002</v>
      </c>
      <c r="K4139">
        <v>1.103329</v>
      </c>
      <c r="L4139">
        <v>18.879850000000001</v>
      </c>
      <c r="M4139">
        <v>0.9869715</v>
      </c>
      <c r="N4139">
        <v>0</v>
      </c>
      <c r="O4139">
        <v>-0.1605422</v>
      </c>
      <c r="P4139">
        <v>0.99326270000000005</v>
      </c>
      <c r="Q4139">
        <v>0.115593</v>
      </c>
      <c r="R4139">
        <v>8.2250959999999994E-3</v>
      </c>
      <c r="S4139">
        <v>3.0386350000000002</v>
      </c>
      <c r="T4139">
        <v>-0.1544519</v>
      </c>
      <c r="U4139">
        <v>7.9040529999999994E-3</v>
      </c>
      <c r="V4139">
        <v>-0.16719800000000001</v>
      </c>
      <c r="W4139">
        <v>0.12654319999999999</v>
      </c>
      <c r="X4139">
        <v>0.97776870000000005</v>
      </c>
      <c r="Y4139">
        <v>-0.16270219999999999</v>
      </c>
      <c r="Z4139">
        <v>1.2261579999999999E-2</v>
      </c>
      <c r="AA4139">
        <v>0.986599</v>
      </c>
      <c r="AB4139">
        <v>31</v>
      </c>
      <c r="AC4139">
        <v>21.522200000000002</v>
      </c>
      <c r="AD4139">
        <v>-1.103332513864</v>
      </c>
      <c r="AE4139">
        <v>8.8029999999996195E-2</v>
      </c>
      <c r="AF4139">
        <v>-3.5330204741247999</v>
      </c>
      <c r="AG4139">
        <v>-1.103332513864</v>
      </c>
      <c r="AH4139">
        <v>21.173225718787901</v>
      </c>
      <c r="AI4139">
        <v>92.942365278132399</v>
      </c>
      <c r="AJ4139">
        <v>99.473247185262196</v>
      </c>
      <c r="AK4139">
        <v>21.494303050936001</v>
      </c>
      <c r="AL4139">
        <v>82.730117567217505</v>
      </c>
      <c r="AM4139">
        <v>99.703697051438098</v>
      </c>
      <c r="AN4139">
        <v>0.99999999168496501</v>
      </c>
    </row>
    <row r="4140" spans="1:40" x14ac:dyDescent="0.3">
      <c r="A4140" t="str">
        <f>"20200111150111867"</f>
        <v>20200111150111867</v>
      </c>
      <c r="B4140" t="str">
        <f>"1578726071862200"</f>
        <v>1578726071862200</v>
      </c>
      <c r="C4140" t="s">
        <v>40</v>
      </c>
      <c r="D4140">
        <v>4.444909</v>
      </c>
      <c r="E4140">
        <v>0.49798579999999998</v>
      </c>
      <c r="F4140" t="s">
        <v>88</v>
      </c>
      <c r="G4140">
        <v>-374.03410000000002</v>
      </c>
      <c r="H4140" s="1">
        <v>-2.9048710000000002E-6</v>
      </c>
      <c r="I4140">
        <v>19.02852</v>
      </c>
      <c r="J4140">
        <v>-394.12189999999998</v>
      </c>
      <c r="K4140">
        <v>1.1031770000000001</v>
      </c>
      <c r="L4140">
        <v>18.85135</v>
      </c>
      <c r="M4140">
        <v>0.98677680000000001</v>
      </c>
      <c r="N4140">
        <v>0</v>
      </c>
      <c r="O4140">
        <v>-0.161735299999999</v>
      </c>
      <c r="P4140">
        <v>0.9933573</v>
      </c>
      <c r="Q4140">
        <v>0.1147502</v>
      </c>
      <c r="R4140">
        <v>8.5917800000000003E-3</v>
      </c>
      <c r="S4140">
        <v>3.0394589999999999</v>
      </c>
      <c r="T4140">
        <v>-0.16555210000000001</v>
      </c>
      <c r="U4140">
        <v>2.2308350000000001E-2</v>
      </c>
      <c r="V4140">
        <v>-0.16871659999999999</v>
      </c>
      <c r="W4140">
        <v>0.12575459999999999</v>
      </c>
      <c r="X4140">
        <v>0.97760959999999997</v>
      </c>
      <c r="Y4140">
        <v>-0.168494899999999</v>
      </c>
      <c r="Z4140">
        <v>1.33606E-2</v>
      </c>
      <c r="AA4140">
        <v>0.98561200000000004</v>
      </c>
      <c r="AB4140">
        <v>31</v>
      </c>
      <c r="AC4140">
        <v>20.087799999999898</v>
      </c>
      <c r="AD4140">
        <v>-1.103179904871</v>
      </c>
      <c r="AE4140">
        <v>0.17716999999999999</v>
      </c>
      <c r="AF4140">
        <v>-3.4136328376370901</v>
      </c>
      <c r="AG4140">
        <v>-1.103179904871</v>
      </c>
      <c r="AH4140">
        <v>19.7351251202866</v>
      </c>
      <c r="AI4140">
        <v>93.152744835735803</v>
      </c>
      <c r="AJ4140">
        <v>99.813488468255699</v>
      </c>
      <c r="AK4140">
        <v>20.058540788553699</v>
      </c>
      <c r="AL4140">
        <v>82.775665091239006</v>
      </c>
      <c r="AM4140">
        <v>99.791696660226194</v>
      </c>
      <c r="AN4140">
        <v>1.0000000202744299</v>
      </c>
    </row>
    <row r="4141" spans="1:40" x14ac:dyDescent="0.3">
      <c r="A4141" t="str">
        <f>"20200111150111886"</f>
        <v>20200111150111886</v>
      </c>
      <c r="B4141" t="str">
        <f>"1578726071881720"</f>
        <v>1578726071881720</v>
      </c>
      <c r="C4141" t="s">
        <v>40</v>
      </c>
      <c r="D4141">
        <v>4.3776780000000004</v>
      </c>
      <c r="E4141">
        <v>0.49791020000000002</v>
      </c>
      <c r="F4141" t="s">
        <v>88</v>
      </c>
      <c r="G4141">
        <v>-374.51459999999997</v>
      </c>
      <c r="H4141" s="1">
        <v>-2.6787509999999998E-6</v>
      </c>
      <c r="I4141">
        <v>19.02281</v>
      </c>
      <c r="J4141">
        <v>-393.87790000000001</v>
      </c>
      <c r="K4141">
        <v>1.1029899999999999</v>
      </c>
      <c r="L4141">
        <v>18.809629999999999</v>
      </c>
      <c r="M4141">
        <v>0.98648179999999996</v>
      </c>
      <c r="N4141">
        <v>0</v>
      </c>
      <c r="O4141">
        <v>-0.163525</v>
      </c>
      <c r="P4141">
        <v>0.99344860000000001</v>
      </c>
      <c r="Q4141">
        <v>0.11388470000000001</v>
      </c>
      <c r="R4141">
        <v>9.4947780000000006E-3</v>
      </c>
      <c r="S4141">
        <v>3.0395810000000001</v>
      </c>
      <c r="T4141">
        <v>-0.171017899999999</v>
      </c>
      <c r="U4141">
        <v>2.658081E-2</v>
      </c>
      <c r="V4141">
        <v>-0.17134959999999999</v>
      </c>
      <c r="W4141">
        <v>0.1249518</v>
      </c>
      <c r="X4141">
        <v>0.97725450000000003</v>
      </c>
      <c r="Y4141">
        <v>-0.17162639999999901</v>
      </c>
      <c r="Z4141">
        <v>1.398832E-2</v>
      </c>
      <c r="AA4141">
        <v>0.98506280000000002</v>
      </c>
      <c r="AB4141">
        <v>31</v>
      </c>
      <c r="AC4141">
        <v>19.363299999999999</v>
      </c>
      <c r="AD4141">
        <v>-1.1029926787509901</v>
      </c>
      <c r="AE4141">
        <v>0.21318000000000101</v>
      </c>
      <c r="AF4141">
        <v>-3.36595253081498</v>
      </c>
      <c r="AG4141">
        <v>-1.1029926787509901</v>
      </c>
      <c r="AH4141">
        <v>19.006099041473899</v>
      </c>
      <c r="AI4141">
        <v>93.270576053582204</v>
      </c>
      <c r="AJ4141">
        <v>100.04286882757199</v>
      </c>
      <c r="AK4141">
        <v>19.333339857960201</v>
      </c>
      <c r="AL4141">
        <v>82.822027682027795</v>
      </c>
      <c r="AM4141">
        <v>99.945020748680804</v>
      </c>
      <c r="AN4141">
        <v>0.99999999775682402</v>
      </c>
    </row>
    <row r="4142" spans="1:40" x14ac:dyDescent="0.3">
      <c r="A4142" t="str">
        <f>"20200111150111899"</f>
        <v>20200111150111899</v>
      </c>
      <c r="B4142" t="str">
        <f>"1578726071891480"</f>
        <v>1578726071891480</v>
      </c>
      <c r="C4142" t="s">
        <v>40</v>
      </c>
      <c r="D4142">
        <v>4.4611650000000003</v>
      </c>
      <c r="E4142">
        <v>0.49744620000000001</v>
      </c>
      <c r="F4142" t="s">
        <v>88</v>
      </c>
      <c r="G4142">
        <v>-374.75909999999999</v>
      </c>
      <c r="H4142" s="1">
        <v>-2.5641309999999999E-6</v>
      </c>
      <c r="I4142">
        <v>19.017320000000002</v>
      </c>
      <c r="J4142">
        <v>-393.67509999999999</v>
      </c>
      <c r="K4142">
        <v>1.102889</v>
      </c>
      <c r="L4142">
        <v>18.7746</v>
      </c>
      <c r="M4142">
        <v>0.98622949999999998</v>
      </c>
      <c r="N4142">
        <v>0</v>
      </c>
      <c r="O4142">
        <v>-0.165040299999999</v>
      </c>
      <c r="P4142">
        <v>0.99348040000000004</v>
      </c>
      <c r="Q4142">
        <v>0.11363429999999999</v>
      </c>
      <c r="R4142">
        <v>9.1810840000000008E-3</v>
      </c>
      <c r="S4142">
        <v>3.0395810000000001</v>
      </c>
      <c r="T4142">
        <v>-0.17535780000000001</v>
      </c>
      <c r="U4142">
        <v>3.3020019999999997E-2</v>
      </c>
      <c r="V4142">
        <v>-0.17252110000000001</v>
      </c>
      <c r="W4142">
        <v>0.1247332</v>
      </c>
      <c r="X4142">
        <v>0.97707630000000001</v>
      </c>
      <c r="Y4142">
        <v>-0.1751895</v>
      </c>
      <c r="Z4142">
        <v>1.4532140000000001E-2</v>
      </c>
      <c r="AA4142">
        <v>0.98442750000000001</v>
      </c>
      <c r="AB4142">
        <v>31</v>
      </c>
      <c r="AC4142">
        <v>18.916</v>
      </c>
      <c r="AD4142">
        <v>-1.102891564131</v>
      </c>
      <c r="AE4142">
        <v>0.24272000000000199</v>
      </c>
      <c r="AF4142">
        <v>-3.3500834661515202</v>
      </c>
      <c r="AG4142">
        <v>-1.102891564131</v>
      </c>
      <c r="AH4142">
        <v>18.553450274001602</v>
      </c>
      <c r="AI4142">
        <v>93.347875875751299</v>
      </c>
      <c r="AJ4142">
        <v>100.2352661475</v>
      </c>
      <c r="AK4142">
        <v>18.885707455699499</v>
      </c>
      <c r="AL4142">
        <v>82.834651305335498</v>
      </c>
      <c r="AM4142">
        <v>100.013431776118</v>
      </c>
      <c r="AN4142">
        <v>0.99999999857457</v>
      </c>
    </row>
    <row r="4143" spans="1:40" x14ac:dyDescent="0.3">
      <c r="A4143" t="str">
        <f>"20200111150111911"</f>
        <v>20200111150111911</v>
      </c>
      <c r="B4143" t="str">
        <f>"1578726071902217"</f>
        <v>1578726071902217</v>
      </c>
      <c r="C4143" t="s">
        <v>40</v>
      </c>
      <c r="D4143">
        <v>4.4833460000000001</v>
      </c>
      <c r="E4143">
        <v>0.49707420000000002</v>
      </c>
      <c r="F4143" t="s">
        <v>88</v>
      </c>
      <c r="G4143">
        <v>-374.94229999999999</v>
      </c>
      <c r="H4143" s="1">
        <v>-2.4804500000000001E-6</v>
      </c>
      <c r="I4143">
        <v>19.00102</v>
      </c>
      <c r="J4143">
        <v>-393.51429999999999</v>
      </c>
      <c r="K4143">
        <v>1.1028480000000001</v>
      </c>
      <c r="L4143">
        <v>18.74652</v>
      </c>
      <c r="M4143">
        <v>0.9860293</v>
      </c>
      <c r="N4143">
        <v>0</v>
      </c>
      <c r="O4143">
        <v>-0.16623299999999999</v>
      </c>
      <c r="P4143">
        <v>0.99349699999999996</v>
      </c>
      <c r="Q4143">
        <v>0.1134921</v>
      </c>
      <c r="R4143">
        <v>9.1294359999999995E-3</v>
      </c>
      <c r="S4143">
        <v>3.039825</v>
      </c>
      <c r="T4143">
        <v>-0.17896879999999901</v>
      </c>
      <c r="U4143">
        <v>3.6743159999999997E-2</v>
      </c>
      <c r="V4143">
        <v>-0.17364579999999999</v>
      </c>
      <c r="W4143">
        <v>0.1246008</v>
      </c>
      <c r="X4143">
        <v>0.97689400000000004</v>
      </c>
      <c r="Y4143">
        <v>-0.17755499999999999</v>
      </c>
      <c r="Z4143">
        <v>1.4968850000000001E-2</v>
      </c>
      <c r="AA4143">
        <v>0.98399700000000001</v>
      </c>
      <c r="AB4143">
        <v>31</v>
      </c>
      <c r="AC4143">
        <v>18.571999999999999</v>
      </c>
      <c r="AD4143">
        <v>-1.1028504804499999</v>
      </c>
      <c r="AE4143">
        <v>0.2545</v>
      </c>
      <c r="AF4143">
        <v>-3.3266834486861399</v>
      </c>
      <c r="AG4143">
        <v>-1.1028504804499999</v>
      </c>
      <c r="AH4143">
        <v>18.207069431719098</v>
      </c>
      <c r="AI4143">
        <v>93.410005513851402</v>
      </c>
      <c r="AJ4143">
        <v>100.354513530258</v>
      </c>
      <c r="AK4143">
        <v>18.541318163534999</v>
      </c>
      <c r="AL4143">
        <v>82.842297320328498</v>
      </c>
      <c r="AM4143">
        <v>100.079219585614</v>
      </c>
      <c r="AN4143">
        <v>1.00000005522713</v>
      </c>
    </row>
    <row r="4144" spans="1:40" x14ac:dyDescent="0.3">
      <c r="A4144" t="str">
        <f>"20200111150111931"</f>
        <v>20200111150111931</v>
      </c>
      <c r="B4144" t="str">
        <f>"1578726071921736"</f>
        <v>1578726071921736</v>
      </c>
      <c r="C4144" t="s">
        <v>40</v>
      </c>
      <c r="D4144">
        <v>4.4797190000000002</v>
      </c>
      <c r="E4144">
        <v>0.49696499999999999</v>
      </c>
      <c r="F4144" t="s">
        <v>88</v>
      </c>
      <c r="G4144">
        <v>-374.97410000000002</v>
      </c>
      <c r="H4144" s="1">
        <v>-2.4670810000000002E-6</v>
      </c>
      <c r="I4144">
        <v>18.99146</v>
      </c>
      <c r="J4144">
        <v>-393.23840000000001</v>
      </c>
      <c r="K4144">
        <v>1.1028290000000001</v>
      </c>
      <c r="L4144">
        <v>18.697970000000002</v>
      </c>
      <c r="M4144">
        <v>0.98569410000000002</v>
      </c>
      <c r="N4144">
        <v>0</v>
      </c>
      <c r="O4144">
        <v>-0.16820969999999999</v>
      </c>
      <c r="P4144">
        <v>0.99359699999999995</v>
      </c>
      <c r="Q4144">
        <v>0.1126949</v>
      </c>
      <c r="R4144">
        <v>8.0519140000000003E-3</v>
      </c>
      <c r="S4144">
        <v>3.039917</v>
      </c>
      <c r="T4144">
        <v>-0.18082699999999999</v>
      </c>
      <c r="U4144">
        <v>4.0161130000000003E-2</v>
      </c>
      <c r="V4144">
        <v>-0.17456379999999999</v>
      </c>
      <c r="W4144">
        <v>0.1237955</v>
      </c>
      <c r="X4144">
        <v>0.9768327</v>
      </c>
      <c r="Y4144">
        <v>-0.18061169999999999</v>
      </c>
      <c r="Z4144">
        <v>1.5330770000000001E-2</v>
      </c>
      <c r="AA4144">
        <v>0.98343499999999995</v>
      </c>
      <c r="AB4144">
        <v>31</v>
      </c>
      <c r="AC4144">
        <v>18.264299999999899</v>
      </c>
      <c r="AD4144">
        <v>-1.102831467081</v>
      </c>
      <c r="AE4144">
        <v>0.29348999999999797</v>
      </c>
      <c r="AF4144">
        <v>-3.3495041040014302</v>
      </c>
      <c r="AG4144">
        <v>-1.102831467081</v>
      </c>
      <c r="AH4144">
        <v>17.889448675897299</v>
      </c>
      <c r="AI4144">
        <v>93.467545274359495</v>
      </c>
      <c r="AJ4144">
        <v>100.604903867495</v>
      </c>
      <c r="AK4144">
        <v>18.233699265784502</v>
      </c>
      <c r="AL4144">
        <v>82.888797139610602</v>
      </c>
      <c r="AM4144">
        <v>100.132026243285</v>
      </c>
      <c r="AN4144">
        <v>0.99999998493998898</v>
      </c>
    </row>
    <row r="4145" spans="1:40" x14ac:dyDescent="0.3">
      <c r="A4145" t="str">
        <f>"20200111150111943"</f>
        <v>20200111150111943</v>
      </c>
      <c r="B4145" t="str">
        <f>"1578726071931496"</f>
        <v>1578726071931496</v>
      </c>
      <c r="C4145" t="s">
        <v>40</v>
      </c>
      <c r="D4145">
        <v>4.5720460000000003</v>
      </c>
      <c r="E4145">
        <v>0.49696499999999999</v>
      </c>
      <c r="F4145" t="s">
        <v>88</v>
      </c>
      <c r="G4145">
        <v>-374.93779999999998</v>
      </c>
      <c r="H4145" s="1">
        <v>-2.494882E-6</v>
      </c>
      <c r="I4145">
        <v>18.931480000000001</v>
      </c>
      <c r="J4145">
        <v>-393.07389999999998</v>
      </c>
      <c r="K4145">
        <v>1.102857</v>
      </c>
      <c r="L4145">
        <v>18.668849999999999</v>
      </c>
      <c r="M4145">
        <v>0.98550249999999995</v>
      </c>
      <c r="N4145">
        <v>0</v>
      </c>
      <c r="O4145">
        <v>-0.16932990000000001</v>
      </c>
      <c r="P4145">
        <v>0.99362189999999995</v>
      </c>
      <c r="Q4145">
        <v>0.1125419</v>
      </c>
      <c r="R4145">
        <v>7.0728839999999998E-3</v>
      </c>
      <c r="S4145">
        <v>3.0397949999999998</v>
      </c>
      <c r="T4145">
        <v>-0.18318429999999999</v>
      </c>
      <c r="U4145">
        <v>3.8787839999999997E-2</v>
      </c>
      <c r="V4145">
        <v>-0.1747242</v>
      </c>
      <c r="W4145">
        <v>0.1236228</v>
      </c>
      <c r="X4145">
        <v>0.97682599999999997</v>
      </c>
      <c r="Y4145">
        <v>-0.18126629999999999</v>
      </c>
      <c r="Z4145">
        <v>1.5617290000000001E-2</v>
      </c>
      <c r="AA4145">
        <v>0.98331000000000002</v>
      </c>
      <c r="AB4145">
        <v>31</v>
      </c>
      <c r="AC4145">
        <v>18.136099999999999</v>
      </c>
      <c r="AD4145">
        <v>-1.1028594948819901</v>
      </c>
      <c r="AE4145">
        <v>0.26263000000000097</v>
      </c>
      <c r="AF4145">
        <v>-3.3177273726463001</v>
      </c>
      <c r="AG4145">
        <v>-1.1028594948819901</v>
      </c>
      <c r="AH4145">
        <v>17.7640256932353</v>
      </c>
      <c r="AI4145">
        <v>93.492349900401507</v>
      </c>
      <c r="AJ4145">
        <v>100.57905843945601</v>
      </c>
      <c r="AK4145">
        <v>18.1048121452442</v>
      </c>
      <c r="AL4145">
        <v>82.898769456635605</v>
      </c>
      <c r="AM4145">
        <v>100.141211149874</v>
      </c>
      <c r="AN4145">
        <v>1.0000000885107301</v>
      </c>
    </row>
    <row r="4146" spans="1:40" x14ac:dyDescent="0.3">
      <c r="A4146" t="str">
        <f>"20200111150111955"</f>
        <v>20200111150111955</v>
      </c>
      <c r="B4146" t="str">
        <f>"1578726071951993"</f>
        <v>1578726071951993</v>
      </c>
      <c r="C4146" t="s">
        <v>40</v>
      </c>
      <c r="D4146">
        <v>4.5241189999999998</v>
      </c>
      <c r="E4146">
        <v>0.49685960000000001</v>
      </c>
      <c r="F4146" t="s">
        <v>88</v>
      </c>
      <c r="G4146">
        <v>-374.81709999999998</v>
      </c>
      <c r="H4146" s="1">
        <v>-2.5599420000000001E-6</v>
      </c>
      <c r="I4146">
        <v>18.886410000000001</v>
      </c>
      <c r="J4146">
        <v>-392.90170000000001</v>
      </c>
      <c r="K4146">
        <v>1.1029180000000001</v>
      </c>
      <c r="L4146">
        <v>18.638179999999998</v>
      </c>
      <c r="M4146">
        <v>0.9853151</v>
      </c>
      <c r="N4146">
        <v>0</v>
      </c>
      <c r="O4146">
        <v>-0.17041619999999999</v>
      </c>
      <c r="P4146">
        <v>0.99366399999999999</v>
      </c>
      <c r="Q4146">
        <v>0.1122581</v>
      </c>
      <c r="R4146">
        <v>5.4559600000000001E-3</v>
      </c>
      <c r="S4146">
        <v>3.0397949999999998</v>
      </c>
      <c r="T4146">
        <v>-0.1836284</v>
      </c>
      <c r="U4146">
        <v>3.6224369999999999E-2</v>
      </c>
      <c r="V4146">
        <v>-0.17423640000000001</v>
      </c>
      <c r="W4146">
        <v>0.1233033</v>
      </c>
      <c r="X4146">
        <v>0.97695339999999997</v>
      </c>
      <c r="Y4146">
        <v>-0.1815157</v>
      </c>
      <c r="Z4146">
        <v>1.5727379999999999E-2</v>
      </c>
      <c r="AA4146">
        <v>0.98326230000000003</v>
      </c>
      <c r="AB4146">
        <v>31</v>
      </c>
      <c r="AC4146">
        <v>18.084599999999998</v>
      </c>
      <c r="AD4146">
        <v>-1.102920559942</v>
      </c>
      <c r="AE4146">
        <v>0.248230000000003</v>
      </c>
      <c r="AF4146">
        <v>-3.3143556342971601</v>
      </c>
      <c r="AG4146">
        <v>-1.102920559942</v>
      </c>
      <c r="AH4146">
        <v>17.711862073450401</v>
      </c>
      <c r="AI4146">
        <v>93.502576181942899</v>
      </c>
      <c r="AJ4146">
        <v>100.59897093242201</v>
      </c>
      <c r="AK4146">
        <v>18.0530176186994</v>
      </c>
      <c r="AL4146">
        <v>82.9172158650493</v>
      </c>
      <c r="AM4146">
        <v>100.112192220827</v>
      </c>
      <c r="AN4146">
        <v>0.99999998632370402</v>
      </c>
    </row>
    <row r="4147" spans="1:40" x14ac:dyDescent="0.3">
      <c r="A4147" t="str">
        <f>"20200111150111967"</f>
        <v>20200111150111967</v>
      </c>
      <c r="B4147" t="str">
        <f>"1578726071961752"</f>
        <v>1578726071961752</v>
      </c>
      <c r="C4147" t="s">
        <v>40</v>
      </c>
      <c r="D4147">
        <v>4.5737449999999997</v>
      </c>
      <c r="E4147">
        <v>0.49691289999999999</v>
      </c>
      <c r="F4147" t="s">
        <v>88</v>
      </c>
      <c r="G4147">
        <v>-374.71980000000002</v>
      </c>
      <c r="H4147" s="1">
        <v>-2.6153659999999999E-6</v>
      </c>
      <c r="I4147">
        <v>18.833130000000001</v>
      </c>
      <c r="J4147">
        <v>-392.73200000000003</v>
      </c>
      <c r="K4147">
        <v>1.1030009999999999</v>
      </c>
      <c r="L4147">
        <v>18.607849999999999</v>
      </c>
      <c r="M4147">
        <v>0.98514400000000002</v>
      </c>
      <c r="N4147">
        <v>0</v>
      </c>
      <c r="O4147">
        <v>-0.17140469999999999</v>
      </c>
      <c r="P4147">
        <v>0.9936895</v>
      </c>
      <c r="Q4147">
        <v>0.112085199999999</v>
      </c>
      <c r="R4147">
        <v>4.2488129999999997E-3</v>
      </c>
      <c r="S4147">
        <v>3.0397949999999998</v>
      </c>
      <c r="T4147">
        <v>-0.1843958</v>
      </c>
      <c r="U4147">
        <v>3.259277E-2</v>
      </c>
      <c r="V4147">
        <v>-0.17405760000000001</v>
      </c>
      <c r="W4147">
        <v>0.1230895</v>
      </c>
      <c r="X4147">
        <v>0.97701229999999994</v>
      </c>
      <c r="Y4147">
        <v>-0.18132090000000001</v>
      </c>
      <c r="Z4147">
        <v>1.5846180000000001E-2</v>
      </c>
      <c r="AA4147">
        <v>0.98329630000000001</v>
      </c>
      <c r="AB4147">
        <v>31</v>
      </c>
      <c r="AC4147">
        <v>18.012199999999901</v>
      </c>
      <c r="AD4147">
        <v>-1.1030036153659999</v>
      </c>
      <c r="AE4147">
        <v>0.22528000000000101</v>
      </c>
      <c r="AF4147">
        <v>-3.2971318645814098</v>
      </c>
      <c r="AG4147">
        <v>-1.1030036153659999</v>
      </c>
      <c r="AH4147">
        <v>17.6408447587003</v>
      </c>
      <c r="AI4147">
        <v>93.517046840740406</v>
      </c>
      <c r="AJ4147">
        <v>100.58662369394099</v>
      </c>
      <c r="AK4147">
        <v>17.980186297936701</v>
      </c>
      <c r="AL4147">
        <v>82.929560213784697</v>
      </c>
      <c r="AM4147">
        <v>100.101432533364</v>
      </c>
      <c r="AN4147">
        <v>1.0000000537396401</v>
      </c>
    </row>
    <row r="4148" spans="1:40" x14ac:dyDescent="0.3">
      <c r="A4148" t="str">
        <f>"20200111150111986"</f>
        <v>20200111150111986</v>
      </c>
      <c r="B4148" t="str">
        <f>"1578726071982248"</f>
        <v>1578726071982248</v>
      </c>
      <c r="C4148" t="s">
        <v>40</v>
      </c>
      <c r="D4148">
        <v>4.4885539999999997</v>
      </c>
      <c r="E4148">
        <v>0.49683359999999899</v>
      </c>
      <c r="F4148" t="s">
        <v>88</v>
      </c>
      <c r="G4148">
        <v>-374.20839999999998</v>
      </c>
      <c r="H4148" s="1">
        <v>-2.8659170000000002E-6</v>
      </c>
      <c r="I4148">
        <v>18.783609999999999</v>
      </c>
      <c r="J4148">
        <v>-392.4957</v>
      </c>
      <c r="K4148">
        <v>1.1031530000000001</v>
      </c>
      <c r="L4148">
        <v>18.56549</v>
      </c>
      <c r="M4148">
        <v>0.98492959999999996</v>
      </c>
      <c r="N4148">
        <v>0</v>
      </c>
      <c r="O4148">
        <v>-0.1726326</v>
      </c>
      <c r="P4148">
        <v>0.99367000000000005</v>
      </c>
      <c r="Q4148">
        <v>0.112286999999999</v>
      </c>
      <c r="R4148">
        <v>3.4495200000000002E-3</v>
      </c>
      <c r="S4148">
        <v>3.0393680000000001</v>
      </c>
      <c r="T4148">
        <v>-0.18098130000000001</v>
      </c>
      <c r="U4148">
        <v>2.8839110000000001E-2</v>
      </c>
      <c r="V4148">
        <v>-0.1745284</v>
      </c>
      <c r="W4148">
        <v>0.1232234</v>
      </c>
      <c r="X4148">
        <v>0.97691139999999999</v>
      </c>
      <c r="Y4148">
        <v>-0.18135519999999999</v>
      </c>
      <c r="Z4148">
        <v>1.5628570000000001E-2</v>
      </c>
      <c r="AA4148">
        <v>0.98329350000000004</v>
      </c>
      <c r="AB4148">
        <v>31</v>
      </c>
      <c r="AC4148">
        <v>18.287299999999998</v>
      </c>
      <c r="AD4148">
        <v>-1.103155865917</v>
      </c>
      <c r="AE4148">
        <v>0.21811999999999801</v>
      </c>
      <c r="AF4148">
        <v>-3.3597809754993699</v>
      </c>
      <c r="AG4148">
        <v>-1.103155865917</v>
      </c>
      <c r="AH4148">
        <v>17.909888411133501</v>
      </c>
      <c r="AI4148">
        <v>93.464388556932093</v>
      </c>
      <c r="AJ4148">
        <v>100.624837584273</v>
      </c>
      <c r="AK4148">
        <v>18.255661696226898</v>
      </c>
      <c r="AL4148">
        <v>82.921829260371297</v>
      </c>
      <c r="AM4148">
        <v>100.129214937515</v>
      </c>
      <c r="AN4148">
        <v>1.0000000260820301</v>
      </c>
    </row>
    <row r="4149" spans="1:40" x14ac:dyDescent="0.3">
      <c r="A4149" t="str">
        <f>"20200111150111997"</f>
        <v>20200111150111997</v>
      </c>
      <c r="B4149" t="str">
        <f>"1578726071992009"</f>
        <v>1578726071992009</v>
      </c>
      <c r="C4149" t="s">
        <v>40</v>
      </c>
      <c r="D4149">
        <v>4.5245430000000004</v>
      </c>
      <c r="E4149">
        <v>0.4967239</v>
      </c>
      <c r="F4149" t="s">
        <v>88</v>
      </c>
      <c r="G4149">
        <v>-373.6438</v>
      </c>
      <c r="H4149" s="1">
        <v>-3.1420269999999998E-6</v>
      </c>
      <c r="I4149">
        <v>18.7317</v>
      </c>
      <c r="J4149">
        <v>-392.31169999999997</v>
      </c>
      <c r="K4149">
        <v>1.1032949999999999</v>
      </c>
      <c r="L4149">
        <v>18.53238</v>
      </c>
      <c r="M4149">
        <v>0.98478840000000001</v>
      </c>
      <c r="N4149">
        <v>0</v>
      </c>
      <c r="O4149">
        <v>-0.1734358</v>
      </c>
      <c r="P4149">
        <v>0.99358829999999998</v>
      </c>
      <c r="Q4149">
        <v>0.11302089999999899</v>
      </c>
      <c r="R4149">
        <v>2.9506599999999999E-3</v>
      </c>
      <c r="S4149">
        <v>3.0390630000000001</v>
      </c>
      <c r="T4149">
        <v>-0.1778362</v>
      </c>
      <c r="U4149">
        <v>2.6794430000000001E-2</v>
      </c>
      <c r="V4149">
        <v>-0.17485979999999901</v>
      </c>
      <c r="W4149">
        <v>0.1238929</v>
      </c>
      <c r="X4149">
        <v>0.97676739999999995</v>
      </c>
      <c r="Y4149">
        <v>-0.18151639999999999</v>
      </c>
      <c r="Z4149">
        <v>1.541003E-2</v>
      </c>
      <c r="AA4149">
        <v>0.98326720000000001</v>
      </c>
      <c r="AB4149">
        <v>31</v>
      </c>
      <c r="AC4149">
        <v>18.6678999999999</v>
      </c>
      <c r="AD4149">
        <v>-1.1032981420270001</v>
      </c>
      <c r="AE4149">
        <v>0.19932</v>
      </c>
      <c r="AF4149">
        <v>-3.4222099085347799</v>
      </c>
      <c r="AG4149">
        <v>-1.1032981420270001</v>
      </c>
      <c r="AH4149">
        <v>18.286521256754099</v>
      </c>
      <c r="AI4149">
        <v>93.393916057383095</v>
      </c>
      <c r="AJ4149">
        <v>100.599940893658</v>
      </c>
      <c r="AK4149">
        <v>18.63667478715</v>
      </c>
      <c r="AL4149">
        <v>82.883173179264602</v>
      </c>
      <c r="AM4149">
        <v>100.149514223411</v>
      </c>
      <c r="AN4149">
        <v>0.99999997701460397</v>
      </c>
    </row>
    <row r="4150" spans="1:40" x14ac:dyDescent="0.3">
      <c r="A4150" t="str">
        <f>"20200111150112011"</f>
        <v>20200111150112011</v>
      </c>
      <c r="B4150" t="str">
        <f>"1578726072001768"</f>
        <v>1578726072001768</v>
      </c>
      <c r="C4150" t="s">
        <v>40</v>
      </c>
      <c r="D4150">
        <v>4.5327869999999999</v>
      </c>
      <c r="E4150">
        <v>0.49654300000000001</v>
      </c>
      <c r="F4150" t="s">
        <v>88</v>
      </c>
      <c r="G4150">
        <v>-373.38119999999998</v>
      </c>
      <c r="H4150" s="1">
        <v>-3.27279E-6</v>
      </c>
      <c r="I4150">
        <v>18.694130000000001</v>
      </c>
      <c r="J4150">
        <v>-392.13229999999999</v>
      </c>
      <c r="K4150">
        <v>1.1034489999999999</v>
      </c>
      <c r="L4150">
        <v>18.500119999999999</v>
      </c>
      <c r="M4150">
        <v>0.98468060000000002</v>
      </c>
      <c r="N4150">
        <v>0</v>
      </c>
      <c r="O4150">
        <v>-0.17404800000000001</v>
      </c>
      <c r="P4150">
        <v>0.99352110000000005</v>
      </c>
      <c r="Q4150">
        <v>0.1136171</v>
      </c>
      <c r="R4150">
        <v>2.7457029999999999E-3</v>
      </c>
      <c r="S4150">
        <v>3.0394290000000002</v>
      </c>
      <c r="T4150">
        <v>-0.1771431</v>
      </c>
      <c r="U4150">
        <v>2.5970460000000001E-2</v>
      </c>
      <c r="V4150">
        <v>-0.17529810000000001</v>
      </c>
      <c r="W4150">
        <v>0.1244205</v>
      </c>
      <c r="X4150">
        <v>0.97662179999999998</v>
      </c>
      <c r="Y4150">
        <v>-0.18186330000000001</v>
      </c>
      <c r="Z4150">
        <v>1.5393530000000001E-2</v>
      </c>
      <c r="AA4150">
        <v>0.98320339999999995</v>
      </c>
      <c r="AB4150">
        <v>31</v>
      </c>
      <c r="AC4150">
        <v>18.751100000000001</v>
      </c>
      <c r="AD4150">
        <v>-1.10345227278999</v>
      </c>
      <c r="AE4150">
        <v>0.19400999999999499</v>
      </c>
      <c r="AF4150">
        <v>-3.4429002736074801</v>
      </c>
      <c r="AG4150">
        <v>-1.10345227278999</v>
      </c>
      <c r="AH4150">
        <v>18.3675040550457</v>
      </c>
      <c r="AI4150">
        <v>93.379274052555502</v>
      </c>
      <c r="AJ4150">
        <v>100.6166214772</v>
      </c>
      <c r="AK4150">
        <v>18.719945898010799</v>
      </c>
      <c r="AL4150">
        <v>82.852708460601605</v>
      </c>
      <c r="AM4150">
        <v>100.175909133831</v>
      </c>
      <c r="AN4150">
        <v>1.0000000124595401</v>
      </c>
    </row>
    <row r="4151" spans="1:40" x14ac:dyDescent="0.3">
      <c r="A4151" t="str">
        <f>"20200111150112024"</f>
        <v>20200111150112024</v>
      </c>
      <c r="B4151" t="str">
        <f>"1578726072012504"</f>
        <v>1578726072012504</v>
      </c>
      <c r="C4151" t="s">
        <v>40</v>
      </c>
      <c r="D4151">
        <v>4.5628399999999996</v>
      </c>
      <c r="E4151">
        <v>0.49636780000000003</v>
      </c>
      <c r="F4151" t="s">
        <v>88</v>
      </c>
      <c r="G4151">
        <v>-373.12729999999999</v>
      </c>
      <c r="H4151" s="1">
        <v>-3.397245E-6</v>
      </c>
      <c r="I4151">
        <v>18.669170000000001</v>
      </c>
      <c r="J4151">
        <v>-391.95690000000002</v>
      </c>
      <c r="K4151">
        <v>1.103612</v>
      </c>
      <c r="L4151">
        <v>18.468599999999999</v>
      </c>
      <c r="M4151">
        <v>0.98459209999999997</v>
      </c>
      <c r="N4151">
        <v>0</v>
      </c>
      <c r="O4151">
        <v>-0.17454710000000001</v>
      </c>
      <c r="P4151">
        <v>0.99343959999999998</v>
      </c>
      <c r="Q4151">
        <v>0.1143299</v>
      </c>
      <c r="R4151">
        <v>2.5299319999999999E-3</v>
      </c>
      <c r="S4151">
        <v>3.0397340000000002</v>
      </c>
      <c r="T4151">
        <v>-0.17649100000000001</v>
      </c>
      <c r="U4151">
        <v>2.7038570000000001E-2</v>
      </c>
      <c r="V4151">
        <v>-0.17561260000000001</v>
      </c>
      <c r="W4151">
        <v>0.12506199999999901</v>
      </c>
      <c r="X4151">
        <v>0.97648330000000005</v>
      </c>
      <c r="Y4151">
        <v>-0.1827085</v>
      </c>
      <c r="Z4151">
        <v>1.538862E-2</v>
      </c>
      <c r="AA4151">
        <v>0.98304669999999905</v>
      </c>
      <c r="AB4151">
        <v>31</v>
      </c>
      <c r="AC4151">
        <v>18.829599999999999</v>
      </c>
      <c r="AD4151">
        <v>-1.103615397245</v>
      </c>
      <c r="AE4151">
        <v>0.200570000000002</v>
      </c>
      <c r="AF4151">
        <v>-3.4723992600424598</v>
      </c>
      <c r="AG4151">
        <v>-1.103615397245</v>
      </c>
      <c r="AH4151">
        <v>18.4421546255995</v>
      </c>
      <c r="AI4151">
        <v>93.365610902491696</v>
      </c>
      <c r="AJ4151">
        <v>100.66315328709</v>
      </c>
      <c r="AK4151">
        <v>18.798632684339001</v>
      </c>
      <c r="AL4151">
        <v>82.815663510596806</v>
      </c>
      <c r="AM4151">
        <v>100.195198619108</v>
      </c>
      <c r="AN4151">
        <v>0.99999996215082398</v>
      </c>
    </row>
    <row r="4152" spans="1:40" x14ac:dyDescent="0.3">
      <c r="A4152" t="str">
        <f>"20200111150112042"</f>
        <v>20200111150112042</v>
      </c>
      <c r="B4152" t="str">
        <f>"1578726072032027"</f>
        <v>1578726072032027</v>
      </c>
      <c r="C4152" t="s">
        <v>40</v>
      </c>
      <c r="D4152">
        <v>4.5930809999999997</v>
      </c>
      <c r="E4152">
        <v>0.49615009999999998</v>
      </c>
      <c r="F4152" t="s">
        <v>88</v>
      </c>
      <c r="G4152">
        <v>-372.79090000000002</v>
      </c>
      <c r="H4152" s="1">
        <v>-3.5601999999999998E-6</v>
      </c>
      <c r="I4152">
        <v>18.64715</v>
      </c>
      <c r="J4152">
        <v>-391.70460000000003</v>
      </c>
      <c r="K4152">
        <v>1.1038699999999999</v>
      </c>
      <c r="L4152">
        <v>18.423279999999998</v>
      </c>
      <c r="M4152">
        <v>0.98451429999999995</v>
      </c>
      <c r="N4152">
        <v>0</v>
      </c>
      <c r="O4152">
        <v>-0.1749868</v>
      </c>
      <c r="P4152">
        <v>0.99320810000000004</v>
      </c>
      <c r="Q4152">
        <v>0.116313899999999</v>
      </c>
      <c r="R4152">
        <v>3.028308E-3</v>
      </c>
      <c r="S4152">
        <v>3.0398860000000001</v>
      </c>
      <c r="T4152">
        <v>-0.17504210000000001</v>
      </c>
      <c r="U4152">
        <v>2.8320310000000001E-2</v>
      </c>
      <c r="V4152">
        <v>-0.17657310000000001</v>
      </c>
      <c r="W4152">
        <v>0.1269315</v>
      </c>
      <c r="X4152">
        <v>0.97606879999999996</v>
      </c>
      <c r="Y4152">
        <v>-0.18356919999999999</v>
      </c>
      <c r="Z4152">
        <v>1.531157E-2</v>
      </c>
      <c r="AA4152">
        <v>0.98288759999999997</v>
      </c>
      <c r="AB4152">
        <v>31</v>
      </c>
      <c r="AC4152">
        <v>18.913699999999999</v>
      </c>
      <c r="AD4152">
        <v>-1.1038735602</v>
      </c>
      <c r="AE4152">
        <v>0.22387000000000101</v>
      </c>
      <c r="AF4152">
        <v>-3.5182647026416198</v>
      </c>
      <c r="AG4152">
        <v>-1.1038735602</v>
      </c>
      <c r="AH4152">
        <v>18.519592312394099</v>
      </c>
      <c r="AI4152">
        <v>93.351320777251402</v>
      </c>
      <c r="AJ4152">
        <v>100.75659998260601</v>
      </c>
      <c r="AK4152">
        <v>18.883114752922701</v>
      </c>
      <c r="AL4152">
        <v>82.707688699174199</v>
      </c>
      <c r="AM4152">
        <v>100.254041885517</v>
      </c>
      <c r="AN4152">
        <v>0.99999998383464905</v>
      </c>
    </row>
    <row r="4153" spans="1:40" x14ac:dyDescent="0.3">
      <c r="A4153" t="str">
        <f>"20200111150112054"</f>
        <v>20200111150112054</v>
      </c>
      <c r="B4153" t="str">
        <f>"1578726072052520"</f>
        <v>1578726072052520</v>
      </c>
      <c r="C4153" t="s">
        <v>40</v>
      </c>
      <c r="D4153">
        <v>4.5805199999999999</v>
      </c>
      <c r="E4153">
        <v>0.49593159999999997</v>
      </c>
      <c r="F4153" t="s">
        <v>88</v>
      </c>
      <c r="G4153">
        <v>-371.95830000000001</v>
      </c>
      <c r="H4153" s="1">
        <v>-3.9562640000000004E-6</v>
      </c>
      <c r="I4153">
        <v>18.63298</v>
      </c>
      <c r="J4153">
        <v>-391.53019999999998</v>
      </c>
      <c r="K4153">
        <v>1.104063</v>
      </c>
      <c r="L4153">
        <v>18.392119999999998</v>
      </c>
      <c r="M4153">
        <v>0.98449779999999998</v>
      </c>
      <c r="N4153">
        <v>0</v>
      </c>
      <c r="O4153">
        <v>-0.1750794</v>
      </c>
      <c r="P4153">
        <v>0.99310469999999895</v>
      </c>
      <c r="Q4153">
        <v>0.11718149999999999</v>
      </c>
      <c r="R4153">
        <v>3.4220710000000001E-3</v>
      </c>
      <c r="S4153">
        <v>3.0402830000000001</v>
      </c>
      <c r="T4153">
        <v>-0.1699609</v>
      </c>
      <c r="U4153">
        <v>3.22876E-2</v>
      </c>
      <c r="V4153">
        <v>-0.1770909</v>
      </c>
      <c r="W4153">
        <v>0.12771559999999901</v>
      </c>
      <c r="X4153">
        <v>0.97587270000000004</v>
      </c>
      <c r="Y4153">
        <v>-0.18497430000000001</v>
      </c>
      <c r="Z4153">
        <v>1.4910400000000001E-2</v>
      </c>
      <c r="AA4153">
        <v>0.98263029999999996</v>
      </c>
      <c r="AB4153">
        <v>31</v>
      </c>
      <c r="AC4153">
        <v>19.5718999999999</v>
      </c>
      <c r="AD4153">
        <v>-1.104066956264</v>
      </c>
      <c r="AE4153">
        <v>0.24085999999999699</v>
      </c>
      <c r="AF4153">
        <v>-3.6523458629296202</v>
      </c>
      <c r="AG4153">
        <v>-1.104066956264</v>
      </c>
      <c r="AH4153">
        <v>19.1664110131081</v>
      </c>
      <c r="AI4153">
        <v>93.238686277746098</v>
      </c>
      <c r="AJ4153">
        <v>100.788915974072</v>
      </c>
      <c r="AK4153">
        <v>19.542515326072099</v>
      </c>
      <c r="AL4153">
        <v>82.662394512053098</v>
      </c>
      <c r="AM4153">
        <v>100.28549345563199</v>
      </c>
      <c r="AN4153">
        <v>0.99999999397573003</v>
      </c>
    </row>
    <row r="4154" spans="1:40" x14ac:dyDescent="0.3">
      <c r="A4154" t="str">
        <f>"20200111150112069"</f>
        <v>20200111150112069</v>
      </c>
      <c r="B4154" t="str">
        <f>"1578726072062281"</f>
        <v>1578726072062281</v>
      </c>
      <c r="C4154" t="s">
        <v>40</v>
      </c>
      <c r="D4154">
        <v>4.588711</v>
      </c>
      <c r="E4154">
        <v>0.49587520000000002</v>
      </c>
      <c r="F4154" t="s">
        <v>88</v>
      </c>
      <c r="G4154">
        <v>-371.45909999999998</v>
      </c>
      <c r="H4154" s="1">
        <v>-4.1933759999999997E-6</v>
      </c>
      <c r="I4154">
        <v>18.626619999999999</v>
      </c>
      <c r="J4154">
        <v>-391.34879999999998</v>
      </c>
      <c r="K4154">
        <v>1.1042670000000001</v>
      </c>
      <c r="L4154">
        <v>18.3598</v>
      </c>
      <c r="M4154">
        <v>0.98450420000000005</v>
      </c>
      <c r="N4154">
        <v>0</v>
      </c>
      <c r="O4154">
        <v>-0.17504339999999999</v>
      </c>
      <c r="P4154">
        <v>0.99298710000000001</v>
      </c>
      <c r="Q4154">
        <v>0.1181733</v>
      </c>
      <c r="R4154">
        <v>3.4734129999999998E-3</v>
      </c>
      <c r="S4154">
        <v>3.0404360000000001</v>
      </c>
      <c r="T4154">
        <v>-0.16724729999999999</v>
      </c>
      <c r="U4154">
        <v>3.5522459999999999E-2</v>
      </c>
      <c r="V4154">
        <v>-0.17714579999999999</v>
      </c>
      <c r="W4154">
        <v>0.12862080000000001</v>
      </c>
      <c r="X4154">
        <v>0.97574380000000005</v>
      </c>
      <c r="Y4154">
        <v>-0.18599930000000001</v>
      </c>
      <c r="Z4154">
        <v>1.4698320000000001E-2</v>
      </c>
      <c r="AA4154">
        <v>0.98243990000000003</v>
      </c>
      <c r="AB4154">
        <v>31</v>
      </c>
      <c r="AC4154">
        <v>19.889700000000001</v>
      </c>
      <c r="AD4154">
        <v>-1.1042711933759899</v>
      </c>
      <c r="AE4154">
        <v>0.266820000000002</v>
      </c>
      <c r="AF4154">
        <v>-3.7329499522223402</v>
      </c>
      <c r="AG4154">
        <v>-1.1042711933759899</v>
      </c>
      <c r="AH4154">
        <v>19.4758527944185</v>
      </c>
      <c r="AI4154">
        <v>93.187272207559602</v>
      </c>
      <c r="AJ4154">
        <v>100.85032643869501</v>
      </c>
      <c r="AK4154">
        <v>19.861096955711599</v>
      </c>
      <c r="AL4154">
        <v>82.610098763147704</v>
      </c>
      <c r="AM4154">
        <v>100.289944104695</v>
      </c>
      <c r="AN4154">
        <v>0.99999995394435803</v>
      </c>
    </row>
    <row r="4155" spans="1:40" x14ac:dyDescent="0.3">
      <c r="A4155" t="str">
        <f>"20200111150112087"</f>
        <v>20200111150112087</v>
      </c>
      <c r="B4155" t="str">
        <f>"1578726072081801"</f>
        <v>1578726072081801</v>
      </c>
      <c r="C4155" t="s">
        <v>40</v>
      </c>
      <c r="D4155">
        <v>4.5729069999999998</v>
      </c>
      <c r="E4155">
        <v>0.49578369999999999</v>
      </c>
      <c r="F4155" t="s">
        <v>88</v>
      </c>
      <c r="G4155">
        <v>-370.93849999999998</v>
      </c>
      <c r="H4155" s="1">
        <v>-4.4432320000000001E-6</v>
      </c>
      <c r="I4155">
        <v>18.605419999999999</v>
      </c>
      <c r="J4155">
        <v>-391.08420000000001</v>
      </c>
      <c r="K4155">
        <v>1.1045780000000001</v>
      </c>
      <c r="L4155">
        <v>18.312930000000001</v>
      </c>
      <c r="M4155">
        <v>0.98456540000000003</v>
      </c>
      <c r="N4155">
        <v>0</v>
      </c>
      <c r="O4155">
        <v>-0.17469849999999901</v>
      </c>
      <c r="P4155">
        <v>0.99277439999999995</v>
      </c>
      <c r="Q4155">
        <v>0.119953</v>
      </c>
      <c r="R4155">
        <v>3.2309750000000001E-3</v>
      </c>
      <c r="S4155">
        <v>3.040619</v>
      </c>
      <c r="T4155">
        <v>-0.1645085</v>
      </c>
      <c r="U4155">
        <v>3.6590579999999998E-2</v>
      </c>
      <c r="V4155">
        <v>-0.17662269999999999</v>
      </c>
      <c r="W4155">
        <v>0.13026860000000001</v>
      </c>
      <c r="X4155">
        <v>0.97562009999999999</v>
      </c>
      <c r="Y4155">
        <v>-0.18601780000000001</v>
      </c>
      <c r="Z4155">
        <v>1.4439219999999999E-2</v>
      </c>
      <c r="AA4155">
        <v>0.98244030000000004</v>
      </c>
      <c r="AB4155">
        <v>31</v>
      </c>
      <c r="AC4155">
        <v>20.145700000000001</v>
      </c>
      <c r="AD4155">
        <v>-1.1045824432319999</v>
      </c>
      <c r="AE4155">
        <v>0.29249000000000402</v>
      </c>
      <c r="AF4155">
        <v>-3.7962011148772201</v>
      </c>
      <c r="AG4155">
        <v>-1.1045824432319999</v>
      </c>
      <c r="AH4155">
        <v>19.725475633197799</v>
      </c>
      <c r="AI4155">
        <v>93.147450153612596</v>
      </c>
      <c r="AJ4155">
        <v>100.89348304422499</v>
      </c>
      <c r="AK4155">
        <v>20.117793970372901</v>
      </c>
      <c r="AL4155">
        <v>82.5148862947635</v>
      </c>
      <c r="AM4155">
        <v>100.261478199735</v>
      </c>
      <c r="AN4155">
        <v>1.00000003291262</v>
      </c>
    </row>
    <row r="4156" spans="1:40" x14ac:dyDescent="0.3">
      <c r="A4156" t="str">
        <f>"20200111150112101"</f>
        <v>20200111150112101</v>
      </c>
      <c r="B4156" t="str">
        <f>"1578726072091561"</f>
        <v>1578726072091561</v>
      </c>
      <c r="C4156" t="s">
        <v>40</v>
      </c>
      <c r="D4156">
        <v>4.5755800000000004</v>
      </c>
      <c r="E4156">
        <v>0.49571609999999999</v>
      </c>
      <c r="F4156" t="s">
        <v>87</v>
      </c>
      <c r="G4156">
        <v>-369.96069999999997</v>
      </c>
      <c r="H4156" s="1">
        <v>-2.9226450000000002E-7</v>
      </c>
      <c r="I4156">
        <v>18.576219999999999</v>
      </c>
      <c r="J4156">
        <v>-390.88780000000003</v>
      </c>
      <c r="K4156">
        <v>1.1048230000000001</v>
      </c>
      <c r="L4156">
        <v>18.27835</v>
      </c>
      <c r="M4156">
        <v>0.9846492</v>
      </c>
      <c r="N4156">
        <v>0</v>
      </c>
      <c r="O4156">
        <v>-0.17422599999999999</v>
      </c>
      <c r="P4156">
        <v>0.99267169999999905</v>
      </c>
      <c r="Q4156">
        <v>0.1207992</v>
      </c>
      <c r="R4156">
        <v>3.2809530000000001E-3</v>
      </c>
      <c r="S4156">
        <v>3.0408940000000002</v>
      </c>
      <c r="T4156">
        <v>-0.15901299999999999</v>
      </c>
      <c r="U4156">
        <v>3.7902829999999998E-2</v>
      </c>
      <c r="V4156">
        <v>-0.17626240000000001</v>
      </c>
      <c r="W4156">
        <v>0.13101079999999901</v>
      </c>
      <c r="X4156">
        <v>0.97558579999999995</v>
      </c>
      <c r="Y4156">
        <v>-0.18600439999999999</v>
      </c>
      <c r="Z4156">
        <v>1.3931570000000001E-2</v>
      </c>
      <c r="AA4156">
        <v>0.98245009999999999</v>
      </c>
      <c r="AB4156">
        <v>31</v>
      </c>
      <c r="AC4156">
        <v>20.927099999999999</v>
      </c>
      <c r="AD4156">
        <v>-1.1048232922644901</v>
      </c>
      <c r="AE4156">
        <v>0.29787000000000302</v>
      </c>
      <c r="AF4156">
        <v>-3.92861393368453</v>
      </c>
      <c r="AG4156">
        <v>-1.1048232922644901</v>
      </c>
      <c r="AH4156">
        <v>20.497978707329501</v>
      </c>
      <c r="AI4156">
        <v>93.030161563248299</v>
      </c>
      <c r="AJ4156">
        <v>100.849658906214</v>
      </c>
      <c r="AK4156">
        <v>20.9002816496143</v>
      </c>
      <c r="AL4156">
        <v>82.471993209686801</v>
      </c>
      <c r="AM4156">
        <v>100.241341252571</v>
      </c>
      <c r="AN4156">
        <v>0.99999995826601895</v>
      </c>
    </row>
    <row r="4157" spans="1:40" x14ac:dyDescent="0.3">
      <c r="A4157" t="str">
        <f>"20200111150112115"</f>
        <v>20200111150112115</v>
      </c>
      <c r="B4157" t="str">
        <f>"1578726072112057"</f>
        <v>1578726072112057</v>
      </c>
      <c r="C4157" t="s">
        <v>40</v>
      </c>
      <c r="D4157">
        <v>4.6304379999999998</v>
      </c>
      <c r="E4157">
        <v>0.49541059999999998</v>
      </c>
      <c r="F4157" t="s">
        <v>87</v>
      </c>
      <c r="G4157">
        <v>-369.44459999999998</v>
      </c>
      <c r="H4157" s="1">
        <v>-4.9618100000000001E-7</v>
      </c>
      <c r="I4157">
        <v>18.554649999999999</v>
      </c>
      <c r="J4157">
        <v>-390.69170000000003</v>
      </c>
      <c r="K4157">
        <v>1.1050850000000001</v>
      </c>
      <c r="L4157">
        <v>18.244260000000001</v>
      </c>
      <c r="M4157">
        <v>0.98478279999999996</v>
      </c>
      <c r="N4157">
        <v>0</v>
      </c>
      <c r="O4157">
        <v>-0.17346909999999999</v>
      </c>
      <c r="P4157">
        <v>0.99256310000000003</v>
      </c>
      <c r="Q4157">
        <v>0.1216859</v>
      </c>
      <c r="R4157">
        <v>3.3626049999999998E-3</v>
      </c>
      <c r="S4157">
        <v>3.0411069999999998</v>
      </c>
      <c r="T4157">
        <v>-0.15668850000000001</v>
      </c>
      <c r="U4157">
        <v>3.9184570000000002E-2</v>
      </c>
      <c r="V4157">
        <v>-0.17565699999999901</v>
      </c>
      <c r="W4157">
        <v>0.131790299999999</v>
      </c>
      <c r="X4157">
        <v>0.97559010000000002</v>
      </c>
      <c r="Y4157">
        <v>-0.18567800000000001</v>
      </c>
      <c r="Z4157">
        <v>1.3680309999999999E-2</v>
      </c>
      <c r="AA4157">
        <v>0.98251540000000004</v>
      </c>
      <c r="AB4157">
        <v>31</v>
      </c>
      <c r="AC4157">
        <v>21.2471</v>
      </c>
      <c r="AD4157">
        <v>-1.1050854961809999</v>
      </c>
      <c r="AE4157">
        <v>0.310389999999998</v>
      </c>
      <c r="AF4157">
        <v>-3.98083771087098</v>
      </c>
      <c r="AG4157">
        <v>-1.1050854961809999</v>
      </c>
      <c r="AH4157">
        <v>20.814801862469299</v>
      </c>
      <c r="AI4157">
        <v>92.985054919398706</v>
      </c>
      <c r="AJ4157">
        <v>100.827093752045</v>
      </c>
      <c r="AK4157">
        <v>21.220844926817101</v>
      </c>
      <c r="AL4157">
        <v>82.426941240017896</v>
      </c>
      <c r="AM4157">
        <v>100.206862492703</v>
      </c>
      <c r="AN4157">
        <v>1.00000005402054</v>
      </c>
    </row>
    <row r="4158" spans="1:40" x14ac:dyDescent="0.3">
      <c r="A4158" t="str">
        <f>"20200111150112132"</f>
        <v>20200111150112132</v>
      </c>
      <c r="B4158" t="str">
        <f>"1578726072121817"</f>
        <v>1578726072121817</v>
      </c>
      <c r="C4158" t="s">
        <v>40</v>
      </c>
      <c r="D4158">
        <v>4.6095509999999997</v>
      </c>
      <c r="E4158">
        <v>0.49527640000000001</v>
      </c>
      <c r="F4158" t="s">
        <v>87</v>
      </c>
      <c r="G4158">
        <v>-369.233</v>
      </c>
      <c r="H4158" s="1">
        <v>-5.8064239999999996E-7</v>
      </c>
      <c r="I4158">
        <v>18.542680000000001</v>
      </c>
      <c r="J4158">
        <v>-390.45940000000002</v>
      </c>
      <c r="K4158">
        <v>1.1054040000000001</v>
      </c>
      <c r="L4158">
        <v>18.204280000000001</v>
      </c>
      <c r="M4158">
        <v>0.98498149999999995</v>
      </c>
      <c r="N4158">
        <v>0</v>
      </c>
      <c r="O4158">
        <v>-0.17233570000000001</v>
      </c>
      <c r="P4158">
        <v>0.99247189999999996</v>
      </c>
      <c r="Q4158">
        <v>0.1224344</v>
      </c>
      <c r="R4158">
        <v>3.077972E-3</v>
      </c>
      <c r="S4158">
        <v>3.0415649999999999</v>
      </c>
      <c r="T4158">
        <v>-0.1566351</v>
      </c>
      <c r="U4158">
        <v>4.2297359999999999E-2</v>
      </c>
      <c r="V4158">
        <v>-0.1743392</v>
      </c>
      <c r="W4158">
        <v>0.13241329999999901</v>
      </c>
      <c r="X4158">
        <v>0.975742</v>
      </c>
      <c r="Y4158">
        <v>-0.185553</v>
      </c>
      <c r="Z4158">
        <v>1.3612799999999901E-2</v>
      </c>
      <c r="AA4158">
        <v>0.98253999999999997</v>
      </c>
      <c r="AB4158">
        <v>31</v>
      </c>
      <c r="AC4158">
        <v>21.226400000000002</v>
      </c>
      <c r="AD4158">
        <v>-1.1054045806424</v>
      </c>
      <c r="AE4158">
        <v>0.33839999999999998</v>
      </c>
      <c r="AF4158">
        <v>-3.9808142526077699</v>
      </c>
      <c r="AG4158">
        <v>-1.1054045806424</v>
      </c>
      <c r="AH4158">
        <v>20.794079783342699</v>
      </c>
      <c r="AI4158">
        <v>92.988781118610206</v>
      </c>
      <c r="AJ4158">
        <v>100.83756560473201</v>
      </c>
      <c r="AK4158">
        <v>21.200531961172398</v>
      </c>
      <c r="AL4158">
        <v>82.390929539719593</v>
      </c>
      <c r="AM4158">
        <v>100.13033691648</v>
      </c>
      <c r="AN4158">
        <v>0.99999994461876296</v>
      </c>
    </row>
    <row r="4159" spans="1:40" x14ac:dyDescent="0.3">
      <c r="A4159" t="str">
        <f>"20200111150112146"</f>
        <v>20200111150112146</v>
      </c>
      <c r="B4159" t="str">
        <f>"1578726072142312"</f>
        <v>1578726072142312</v>
      </c>
      <c r="C4159" t="s">
        <v>40</v>
      </c>
      <c r="D4159">
        <v>4.6115649999999997</v>
      </c>
      <c r="E4159">
        <v>0.49551129999999999</v>
      </c>
      <c r="F4159" t="s">
        <v>87</v>
      </c>
      <c r="G4159">
        <v>-368.76769999999999</v>
      </c>
      <c r="H4159" s="1">
        <v>-7.7894990000000003E-7</v>
      </c>
      <c r="I4159">
        <v>18.51136</v>
      </c>
      <c r="J4159">
        <v>-390.27339999999998</v>
      </c>
      <c r="K4159">
        <v>1.1056699999999999</v>
      </c>
      <c r="L4159">
        <v>18.172640000000001</v>
      </c>
      <c r="M4159">
        <v>0.98517390000000005</v>
      </c>
      <c r="N4159">
        <v>0</v>
      </c>
      <c r="O4159">
        <v>-0.171233</v>
      </c>
      <c r="P4159">
        <v>0.992398</v>
      </c>
      <c r="Q4159">
        <v>0.12302920000000001</v>
      </c>
      <c r="R4159">
        <v>3.2073079999999999E-3</v>
      </c>
      <c r="S4159">
        <v>3.0417179999999999</v>
      </c>
      <c r="T4159">
        <v>-0.15500510000000001</v>
      </c>
      <c r="U4159">
        <v>4.3060300000000003E-2</v>
      </c>
      <c r="V4159">
        <v>-0.1734464</v>
      </c>
      <c r="W4159">
        <v>0.13290669999999999</v>
      </c>
      <c r="X4159">
        <v>0.97583410000000004</v>
      </c>
      <c r="Y4159">
        <v>-0.18471109999999999</v>
      </c>
      <c r="Z4159">
        <v>1.339369E-2</v>
      </c>
      <c r="AA4159">
        <v>0.98270159999999995</v>
      </c>
      <c r="AB4159">
        <v>31</v>
      </c>
      <c r="AC4159">
        <v>21.505699999999901</v>
      </c>
      <c r="AD4159">
        <v>-1.1056707789499001</v>
      </c>
      <c r="AE4159">
        <v>0.33872000000000202</v>
      </c>
      <c r="AF4159">
        <v>-4.0058219313273202</v>
      </c>
      <c r="AG4159">
        <v>-1.1056707789499001</v>
      </c>
      <c r="AH4159">
        <v>21.074342137303201</v>
      </c>
      <c r="AI4159">
        <v>92.950550446548206</v>
      </c>
      <c r="AJ4159">
        <v>100.76241978626101</v>
      </c>
      <c r="AK4159">
        <v>21.4801539504967</v>
      </c>
      <c r="AL4159">
        <v>82.362408274108006</v>
      </c>
      <c r="AM4159">
        <v>100.078593525302</v>
      </c>
      <c r="AN4159">
        <v>1.0000000176503201</v>
      </c>
    </row>
    <row r="4160" spans="1:40" x14ac:dyDescent="0.3">
      <c r="A4160" t="str">
        <f>"20200111150112163"</f>
        <v>20200111150112163</v>
      </c>
      <c r="B4160" t="str">
        <f>"1578726072152072"</f>
        <v>1578726072152072</v>
      </c>
      <c r="C4160" t="s">
        <v>40</v>
      </c>
      <c r="D4160">
        <v>4.572584</v>
      </c>
      <c r="E4160">
        <v>0.49557370000000001</v>
      </c>
      <c r="F4160" t="s">
        <v>87</v>
      </c>
      <c r="G4160">
        <v>-368.13589999999999</v>
      </c>
      <c r="H4160" s="1">
        <v>-1.0829160000000001E-6</v>
      </c>
      <c r="I4160">
        <v>18.481369999999998</v>
      </c>
      <c r="J4160">
        <v>-390.02190000000002</v>
      </c>
      <c r="K4160">
        <v>1.1060410000000001</v>
      </c>
      <c r="L4160">
        <v>18.130490000000002</v>
      </c>
      <c r="M4160">
        <v>0.98548610000000003</v>
      </c>
      <c r="N4160">
        <v>0</v>
      </c>
      <c r="O4160">
        <v>-0.16942650000000001</v>
      </c>
      <c r="P4160">
        <v>0.99225649999999999</v>
      </c>
      <c r="Q4160">
        <v>0.12419230000000001</v>
      </c>
      <c r="R4160">
        <v>1.9560409999999999E-3</v>
      </c>
      <c r="S4160">
        <v>3.0417179999999999</v>
      </c>
      <c r="T4160">
        <v>-0.15192030000000001</v>
      </c>
      <c r="U4160">
        <v>4.2419430000000001E-2</v>
      </c>
      <c r="V4160">
        <v>-0.17051849999999999</v>
      </c>
      <c r="W4160">
        <v>0.13394020000000001</v>
      </c>
      <c r="X4160">
        <v>0.97620870000000004</v>
      </c>
      <c r="Y4160">
        <v>-0.18272479999999999</v>
      </c>
      <c r="Z4160">
        <v>1.2988670000000001E-2</v>
      </c>
      <c r="AA4160">
        <v>0.98307829999999996</v>
      </c>
      <c r="AB4160">
        <v>32</v>
      </c>
      <c r="AC4160">
        <v>21.885999999999999</v>
      </c>
      <c r="AD4160">
        <v>-1.106042082916</v>
      </c>
      <c r="AE4160">
        <v>0.35088000000000302</v>
      </c>
      <c r="AF4160">
        <v>-4.0437575310324796</v>
      </c>
      <c r="AG4160">
        <v>-1.106042082916</v>
      </c>
      <c r="AH4160">
        <v>21.455321445784701</v>
      </c>
      <c r="AI4160">
        <v>92.900069748430695</v>
      </c>
      <c r="AJ4160">
        <v>100.67352372772299</v>
      </c>
      <c r="AK4160">
        <v>21.861064072933601</v>
      </c>
      <c r="AL4160">
        <v>82.302658588172605</v>
      </c>
      <c r="AM4160">
        <v>99.9081337263016</v>
      </c>
      <c r="AN4160">
        <v>0.99999998098698994</v>
      </c>
    </row>
    <row r="4161" spans="1:40" x14ac:dyDescent="0.3">
      <c r="A4161" t="str">
        <f>"20200111150112176"</f>
        <v>20200111150112176</v>
      </c>
      <c r="B4161" t="str">
        <f>"1578726072171595"</f>
        <v>1578726072171595</v>
      </c>
      <c r="C4161" t="s">
        <v>40</v>
      </c>
      <c r="D4161">
        <v>4.5647200000000003</v>
      </c>
      <c r="E4161">
        <v>0.49556559999999999</v>
      </c>
      <c r="F4161" t="s">
        <v>87</v>
      </c>
      <c r="G4161">
        <v>-367.4239</v>
      </c>
      <c r="H4161" s="1">
        <v>-1.4292030000000001E-6</v>
      </c>
      <c r="I4161">
        <v>18.426580000000001</v>
      </c>
      <c r="J4161">
        <v>-389.84769999999997</v>
      </c>
      <c r="K4161">
        <v>1.1062959999999999</v>
      </c>
      <c r="L4161">
        <v>18.101870000000002</v>
      </c>
      <c r="M4161">
        <v>0.98573710000000003</v>
      </c>
      <c r="N4161">
        <v>0</v>
      </c>
      <c r="O4161">
        <v>-0.16795869999999999</v>
      </c>
      <c r="P4161">
        <v>0.99218079999999997</v>
      </c>
      <c r="Q4161">
        <v>0.12479560000000001</v>
      </c>
      <c r="R4161">
        <v>1.787935E-3</v>
      </c>
      <c r="S4161">
        <v>3.0419619999999998</v>
      </c>
      <c r="T4161">
        <v>-0.14888660000000001</v>
      </c>
      <c r="U4161">
        <v>3.9855960000000003E-2</v>
      </c>
      <c r="V4161">
        <v>-0.16896839999999999</v>
      </c>
      <c r="W4161">
        <v>0.13445570000000001</v>
      </c>
      <c r="X4161">
        <v>0.97640729999999998</v>
      </c>
      <c r="Y4161">
        <v>-0.18045269999999999</v>
      </c>
      <c r="Z4161">
        <v>1.2601899999999999E-2</v>
      </c>
      <c r="AA4161">
        <v>0.98350289999999996</v>
      </c>
      <c r="AB4161">
        <v>32</v>
      </c>
      <c r="AC4161">
        <v>22.4237999999999</v>
      </c>
      <c r="AD4161">
        <v>-1.1062974292029999</v>
      </c>
      <c r="AE4161">
        <v>0.324709999999996</v>
      </c>
      <c r="AF4161">
        <v>-4.07665972644942</v>
      </c>
      <c r="AG4161">
        <v>-1.1062974292029999</v>
      </c>
      <c r="AH4161">
        <v>21.997140875369102</v>
      </c>
      <c r="AI4161">
        <v>92.831012228356897</v>
      </c>
      <c r="AJ4161">
        <v>100.499321712182</v>
      </c>
      <c r="AK4161">
        <v>22.3990458550794</v>
      </c>
      <c r="AL4161">
        <v>82.272852654065701</v>
      </c>
      <c r="AM4161">
        <v>99.817866543142998</v>
      </c>
      <c r="AN4161">
        <v>0.99999993547716703</v>
      </c>
    </row>
    <row r="4162" spans="1:40" x14ac:dyDescent="0.3">
      <c r="A4162" t="str">
        <f>"20200111150112189"</f>
        <v>20200111150112189</v>
      </c>
      <c r="B4162" t="str">
        <f>"1578726072182329"</f>
        <v>1578726072182329</v>
      </c>
      <c r="C4162" t="s">
        <v>40</v>
      </c>
      <c r="D4162">
        <v>4.547536</v>
      </c>
      <c r="E4162">
        <v>0.49554490000000001</v>
      </c>
      <c r="F4162" t="s">
        <v>87</v>
      </c>
      <c r="G4162">
        <v>-366.82479999999998</v>
      </c>
      <c r="H4162" s="1">
        <v>-1.7165260000000001E-6</v>
      </c>
      <c r="I4162">
        <v>18.403510000000001</v>
      </c>
      <c r="J4162">
        <v>-389.67129999999997</v>
      </c>
      <c r="K4162">
        <v>1.1065449999999999</v>
      </c>
      <c r="L4162">
        <v>18.0733</v>
      </c>
      <c r="M4162">
        <v>0.98601589999999995</v>
      </c>
      <c r="N4162">
        <v>0</v>
      </c>
      <c r="O4162">
        <v>-0.16631370000000001</v>
      </c>
      <c r="P4162">
        <v>0.99212310000000004</v>
      </c>
      <c r="Q4162">
        <v>0.12524979999999999</v>
      </c>
      <c r="R4162">
        <v>2.0881319999999999E-3</v>
      </c>
      <c r="S4162">
        <v>3.0419619999999998</v>
      </c>
      <c r="T4162">
        <v>-0.14617249999999901</v>
      </c>
      <c r="U4162">
        <v>3.9855960000000003E-2</v>
      </c>
      <c r="V4162">
        <v>-0.16770550000000001</v>
      </c>
      <c r="W4162">
        <v>0.13482569999999999</v>
      </c>
      <c r="X4162">
        <v>0.9765741</v>
      </c>
      <c r="Y4162">
        <v>-0.17883019999999999</v>
      </c>
      <c r="Z4162">
        <v>1.225528E-2</v>
      </c>
      <c r="AA4162">
        <v>0.9838036</v>
      </c>
      <c r="AB4162">
        <v>32</v>
      </c>
      <c r="AC4162">
        <v>22.846499999999899</v>
      </c>
      <c r="AD4162">
        <v>-1.1065467165259999</v>
      </c>
      <c r="AE4162">
        <v>0.330210000000001</v>
      </c>
      <c r="AF4162">
        <v>-4.1158569491678296</v>
      </c>
      <c r="AG4162">
        <v>-1.1065467165259999</v>
      </c>
      <c r="AH4162">
        <v>22.420772056951801</v>
      </c>
      <c r="AI4162">
        <v>92.7790986505305</v>
      </c>
      <c r="AJ4162">
        <v>100.40216376614499</v>
      </c>
      <c r="AK4162">
        <v>22.8222642104516</v>
      </c>
      <c r="AL4162">
        <v>82.251459211310504</v>
      </c>
      <c r="AM4162">
        <v>99.744265755229705</v>
      </c>
      <c r="AN4162">
        <v>1.0000000384507699</v>
      </c>
    </row>
    <row r="4163" spans="1:40" x14ac:dyDescent="0.3">
      <c r="A4163" t="str">
        <f>"20200111150112201"</f>
        <v>20200111150112201</v>
      </c>
      <c r="B4163" t="str">
        <f>"1578726072192090"</f>
        <v>1578726072192090</v>
      </c>
      <c r="C4163" t="s">
        <v>40</v>
      </c>
      <c r="D4163">
        <v>4.5645199999999999</v>
      </c>
      <c r="E4163">
        <v>0.49550379999999999</v>
      </c>
      <c r="F4163" t="s">
        <v>87</v>
      </c>
      <c r="G4163">
        <v>-366.5403</v>
      </c>
      <c r="H4163" s="1">
        <v>-1.854156E-6</v>
      </c>
      <c r="I4163">
        <v>18.385629999999999</v>
      </c>
      <c r="J4163">
        <v>-389.50189999999998</v>
      </c>
      <c r="K4163">
        <v>1.10677</v>
      </c>
      <c r="L4163">
        <v>18.046109999999999</v>
      </c>
      <c r="M4163">
        <v>0.98629599999999995</v>
      </c>
      <c r="N4163">
        <v>0</v>
      </c>
      <c r="O4163">
        <v>-0.1646445</v>
      </c>
      <c r="P4163">
        <v>0.99207190000000001</v>
      </c>
      <c r="Q4163">
        <v>0.12564040000000001</v>
      </c>
      <c r="R4163">
        <v>2.8461580000000001E-3</v>
      </c>
      <c r="S4163">
        <v>3.0421140000000002</v>
      </c>
      <c r="T4163">
        <v>-0.14552960000000001</v>
      </c>
      <c r="U4163">
        <v>4.1076660000000001E-2</v>
      </c>
      <c r="V4163">
        <v>-0.16686619999999999</v>
      </c>
      <c r="W4163">
        <v>0.1351366</v>
      </c>
      <c r="X4163">
        <v>0.97667490000000001</v>
      </c>
      <c r="Y4163">
        <v>-0.17756569999999999</v>
      </c>
      <c r="Z4163">
        <v>1.2091630000000001E-2</v>
      </c>
      <c r="AA4163">
        <v>0.98403470000000004</v>
      </c>
      <c r="AB4163">
        <v>32</v>
      </c>
      <c r="AC4163">
        <v>22.961599999999901</v>
      </c>
      <c r="AD4163">
        <v>-1.1067718541560001</v>
      </c>
      <c r="AE4163">
        <v>0.33951999999999599</v>
      </c>
      <c r="AF4163">
        <v>-4.1060619756605599</v>
      </c>
      <c r="AG4163">
        <v>-1.1067718541560001</v>
      </c>
      <c r="AH4163">
        <v>22.539947320446601</v>
      </c>
      <c r="AI4163">
        <v>92.765675706138893</v>
      </c>
      <c r="AJ4163">
        <v>100.32425893755099</v>
      </c>
      <c r="AK4163">
        <v>22.937609162544</v>
      </c>
      <c r="AL4163">
        <v>82.2334814741873</v>
      </c>
      <c r="AM4163">
        <v>99.695445854320695</v>
      </c>
      <c r="AN4163">
        <v>1.000000044826</v>
      </c>
    </row>
    <row r="4164" spans="1:40" x14ac:dyDescent="0.3">
      <c r="A4164" t="str">
        <f>"20200111150112214"</f>
        <v>20200111150112214</v>
      </c>
      <c r="B4164" t="str">
        <f>"1578726072211608"</f>
        <v>1578726072211608</v>
      </c>
      <c r="C4164" t="s">
        <v>40</v>
      </c>
      <c r="D4164">
        <v>4.5862550000000004</v>
      </c>
      <c r="E4164">
        <v>0.4954385</v>
      </c>
      <c r="F4164" t="s">
        <v>87</v>
      </c>
      <c r="G4164">
        <v>-366.2312</v>
      </c>
      <c r="H4164" s="1">
        <v>-2.0014020000000001E-6</v>
      </c>
      <c r="I4164">
        <v>18.37923</v>
      </c>
      <c r="J4164">
        <v>-389.31079999999997</v>
      </c>
      <c r="K4164">
        <v>1.107011</v>
      </c>
      <c r="L4164">
        <v>18.01624</v>
      </c>
      <c r="M4164">
        <v>0.98664770000000002</v>
      </c>
      <c r="N4164">
        <v>0</v>
      </c>
      <c r="O4164">
        <v>-0.16252220000000001</v>
      </c>
      <c r="P4164">
        <v>0.99211389999999999</v>
      </c>
      <c r="Q4164">
        <v>0.1252741</v>
      </c>
      <c r="R4164">
        <v>4.0468209999999999E-3</v>
      </c>
      <c r="S4164">
        <v>3.0421749999999999</v>
      </c>
      <c r="T4164">
        <v>-0.1446885</v>
      </c>
      <c r="U4164">
        <v>4.3548580000000003E-2</v>
      </c>
      <c r="V4164">
        <v>-0.1660315</v>
      </c>
      <c r="W4164">
        <v>0.13468769999999999</v>
      </c>
      <c r="X4164">
        <v>0.9768791</v>
      </c>
      <c r="Y4164">
        <v>-0.176256</v>
      </c>
      <c r="Z4164">
        <v>1.1890609999999999E-2</v>
      </c>
      <c r="AA4164">
        <v>0.98427249999999999</v>
      </c>
      <c r="AB4164">
        <v>32</v>
      </c>
      <c r="AC4164">
        <v>23.0795999999999</v>
      </c>
      <c r="AD4164">
        <v>-1.1070130014020001</v>
      </c>
      <c r="AE4164">
        <v>0.36298999999999898</v>
      </c>
      <c r="AF4164">
        <v>-4.09989244329884</v>
      </c>
      <c r="AG4164">
        <v>-1.1070130014020001</v>
      </c>
      <c r="AH4164">
        <v>22.661598674559301</v>
      </c>
      <c r="AI4164">
        <v>92.752054068462499</v>
      </c>
      <c r="AJ4164">
        <v>100.25491566968699</v>
      </c>
      <c r="AK4164">
        <v>23.056076212544902</v>
      </c>
      <c r="AL4164">
        <v>82.259438558267206</v>
      </c>
      <c r="AM4164">
        <v>99.645882154912897</v>
      </c>
      <c r="AN4164">
        <v>1.0000000057701699</v>
      </c>
    </row>
    <row r="4165" spans="1:40" x14ac:dyDescent="0.3">
      <c r="A4165" t="str">
        <f>"20200111150112232"</f>
        <v>20200111150112232</v>
      </c>
      <c r="B4165" t="str">
        <f>"1578726072222347"</f>
        <v>1578726072222347</v>
      </c>
      <c r="C4165" t="s">
        <v>40</v>
      </c>
      <c r="D4165">
        <v>4.5910500000000001</v>
      </c>
      <c r="E4165">
        <v>0.49530619999999997</v>
      </c>
      <c r="F4165" t="s">
        <v>87</v>
      </c>
      <c r="G4165">
        <v>-366.41890000000001</v>
      </c>
      <c r="H4165" s="1">
        <v>-1.913316E-6</v>
      </c>
      <c r="I4165">
        <v>18.375610000000002</v>
      </c>
      <c r="J4165">
        <v>-389.08109999999999</v>
      </c>
      <c r="K4165">
        <v>1.107267</v>
      </c>
      <c r="L4165">
        <v>17.980989999999998</v>
      </c>
      <c r="M4165">
        <v>0.98709290000000005</v>
      </c>
      <c r="N4165">
        <v>0</v>
      </c>
      <c r="O4165">
        <v>-0.15979489999999999</v>
      </c>
      <c r="P4165">
        <v>0.99223300000000003</v>
      </c>
      <c r="Q4165">
        <v>0.1242713</v>
      </c>
      <c r="R4165">
        <v>5.497254E-3</v>
      </c>
      <c r="S4165">
        <v>3.0422359999999999</v>
      </c>
      <c r="T4165">
        <v>-0.14711740000000001</v>
      </c>
      <c r="U4165">
        <v>4.7760009999999999E-2</v>
      </c>
      <c r="V4165">
        <v>-0.1648616</v>
      </c>
      <c r="W4165">
        <v>0.1335971</v>
      </c>
      <c r="X4165">
        <v>0.97722690000000001</v>
      </c>
      <c r="Y4165">
        <v>-0.1748895</v>
      </c>
      <c r="Z4165">
        <v>1.1926239999999999E-2</v>
      </c>
      <c r="AA4165">
        <v>0.98451580000000005</v>
      </c>
      <c r="AB4165">
        <v>32</v>
      </c>
      <c r="AC4165">
        <v>22.662199999999899</v>
      </c>
      <c r="AD4165">
        <v>-1.1072689133159901</v>
      </c>
      <c r="AE4165">
        <v>0.39462000000000302</v>
      </c>
      <c r="AF4165">
        <v>-4.0015078129254302</v>
      </c>
      <c r="AG4165">
        <v>-1.1072689133159901</v>
      </c>
      <c r="AH4165">
        <v>22.254788929847599</v>
      </c>
      <c r="AI4165">
        <v>92.803472432928402</v>
      </c>
      <c r="AJ4165">
        <v>100.193115122957</v>
      </c>
      <c r="AK4165">
        <v>22.6387662988814</v>
      </c>
      <c r="AL4165">
        <v>82.322494988793196</v>
      </c>
      <c r="AM4165">
        <v>99.575832509613903</v>
      </c>
      <c r="AN4165">
        <v>0.99999997318328904</v>
      </c>
    </row>
    <row r="4166" spans="1:40" x14ac:dyDescent="0.3">
      <c r="A4166" t="str">
        <f>"20200111150112244"</f>
        <v>20200111150112244</v>
      </c>
      <c r="B4166" t="str">
        <f>"1578726072241865"</f>
        <v>1578726072241865</v>
      </c>
      <c r="C4166" t="s">
        <v>40</v>
      </c>
      <c r="D4166">
        <v>4.619402</v>
      </c>
      <c r="E4166">
        <v>0.49503419999999998</v>
      </c>
      <c r="F4166" t="s">
        <v>87</v>
      </c>
      <c r="G4166">
        <v>-366.76560000000001</v>
      </c>
      <c r="H4166" s="1">
        <v>-1.750102E-6</v>
      </c>
      <c r="I4166">
        <v>18.371849999999998</v>
      </c>
      <c r="J4166">
        <v>-388.89980000000003</v>
      </c>
      <c r="K4166">
        <v>1.107461</v>
      </c>
      <c r="L4166">
        <v>17.953700000000001</v>
      </c>
      <c r="M4166">
        <v>0.98745939999999999</v>
      </c>
      <c r="N4166">
        <v>0</v>
      </c>
      <c r="O4166">
        <v>-0.157514299999999</v>
      </c>
      <c r="P4166">
        <v>0.99232600000000004</v>
      </c>
      <c r="Q4166">
        <v>0.1234416</v>
      </c>
      <c r="R4166">
        <v>7.1424369999999997E-3</v>
      </c>
      <c r="S4166">
        <v>3.0420530000000001</v>
      </c>
      <c r="T4166">
        <v>-0.1509433</v>
      </c>
      <c r="U4166">
        <v>5.3283690000000002E-2</v>
      </c>
      <c r="V4166">
        <v>-0.16430049999999999</v>
      </c>
      <c r="W4166">
        <v>0.1327006</v>
      </c>
      <c r="X4166">
        <v>0.97744359999999997</v>
      </c>
      <c r="Y4166">
        <v>-0.17438609999999999</v>
      </c>
      <c r="Z4166">
        <v>1.2112299999999999E-2</v>
      </c>
      <c r="AA4166">
        <v>0.98460289999999995</v>
      </c>
      <c r="AB4166">
        <v>32</v>
      </c>
      <c r="AC4166">
        <v>22.1342</v>
      </c>
      <c r="AD4166">
        <v>-1.107462750102</v>
      </c>
      <c r="AE4166">
        <v>0.41814999999999702</v>
      </c>
      <c r="AF4166">
        <v>-3.8898454751646501</v>
      </c>
      <c r="AG4166">
        <v>-1.107462750102</v>
      </c>
      <c r="AH4166">
        <v>21.737593954088101</v>
      </c>
      <c r="AI4166">
        <v>92.8709935676264</v>
      </c>
      <c r="AJ4166">
        <v>100.14544288979</v>
      </c>
      <c r="AK4166">
        <v>22.110639124103301</v>
      </c>
      <c r="AL4166">
        <v>82.3743226935281</v>
      </c>
      <c r="AM4166">
        <v>99.541765074705793</v>
      </c>
      <c r="AN4166">
        <v>1.00000004736078</v>
      </c>
    </row>
    <row r="4167" spans="1:40" x14ac:dyDescent="0.3">
      <c r="A4167" t="str">
        <f>"20200111150112257"</f>
        <v>20200111150112257</v>
      </c>
      <c r="B4167" t="str">
        <f>"1578726072251624"</f>
        <v>1578726072251624</v>
      </c>
      <c r="C4167" t="s">
        <v>40</v>
      </c>
      <c r="D4167">
        <v>4.5497230000000002</v>
      </c>
      <c r="E4167">
        <v>0.49496590000000001</v>
      </c>
      <c r="F4167" t="s">
        <v>87</v>
      </c>
      <c r="G4167">
        <v>-367.28280000000001</v>
      </c>
      <c r="H4167" s="1">
        <v>-1.5029099999999999E-6</v>
      </c>
      <c r="I4167">
        <v>18.38719</v>
      </c>
      <c r="J4167">
        <v>-388.71499999999997</v>
      </c>
      <c r="K4167">
        <v>1.107648</v>
      </c>
      <c r="L4167">
        <v>17.926449999999999</v>
      </c>
      <c r="M4167">
        <v>0.98784850000000002</v>
      </c>
      <c r="N4167">
        <v>0</v>
      </c>
      <c r="O4167">
        <v>-0.1550549</v>
      </c>
      <c r="P4167">
        <v>0.99237319999999996</v>
      </c>
      <c r="Q4167">
        <v>0.12293270000000001</v>
      </c>
      <c r="R4167">
        <v>9.1113119999999999E-3</v>
      </c>
      <c r="S4167">
        <v>3.0421450000000001</v>
      </c>
      <c r="T4167">
        <v>-0.1558522</v>
      </c>
      <c r="U4167">
        <v>6.1004639999999999E-2</v>
      </c>
      <c r="V4167">
        <v>-0.16387360000000001</v>
      </c>
      <c r="W4167">
        <v>0.132128299999999</v>
      </c>
      <c r="X4167">
        <v>0.97759280000000004</v>
      </c>
      <c r="Y4167">
        <v>-0.17440810000000001</v>
      </c>
      <c r="Z4167">
        <v>1.238117E-2</v>
      </c>
      <c r="AA4167">
        <v>0.98459560000000002</v>
      </c>
      <c r="AB4167">
        <v>32</v>
      </c>
      <c r="AC4167">
        <v>21.432199999999899</v>
      </c>
      <c r="AD4167">
        <v>-1.10764950291</v>
      </c>
      <c r="AE4167">
        <v>0.46074000000000098</v>
      </c>
      <c r="AF4167">
        <v>-3.7684621902213902</v>
      </c>
      <c r="AG4167">
        <v>-1.10764950291</v>
      </c>
      <c r="AH4167">
        <v>21.045336482231399</v>
      </c>
      <c r="AI4167">
        <v>92.965703414210495</v>
      </c>
      <c r="AJ4167">
        <v>100.15201960586</v>
      </c>
      <c r="AK4167">
        <v>21.408745464196699</v>
      </c>
      <c r="AL4167">
        <v>82.407404493252997</v>
      </c>
      <c r="AM4167">
        <v>99.516000960934093</v>
      </c>
      <c r="AN4167">
        <v>1.0000000635248401</v>
      </c>
    </row>
    <row r="4168" spans="1:40" x14ac:dyDescent="0.3">
      <c r="A4168" t="str">
        <f>"20200111150112276"</f>
        <v>20200111150112276</v>
      </c>
      <c r="B4168" t="str">
        <f>"1578726072272120"</f>
        <v>1578726072272120</v>
      </c>
      <c r="C4168" t="s">
        <v>40</v>
      </c>
      <c r="D4168">
        <v>4.6507430000000003</v>
      </c>
      <c r="E4168">
        <v>0.49498049999999999</v>
      </c>
      <c r="F4168" t="s">
        <v>87</v>
      </c>
      <c r="G4168">
        <v>-367.37709999999998</v>
      </c>
      <c r="H4168" s="1">
        <v>-1.4556699999999999E-6</v>
      </c>
      <c r="I4168">
        <v>18.402100000000001</v>
      </c>
      <c r="J4168">
        <v>-388.46940000000001</v>
      </c>
      <c r="K4168">
        <v>1.107869</v>
      </c>
      <c r="L4168">
        <v>17.89124</v>
      </c>
      <c r="M4168">
        <v>0.98838459999999995</v>
      </c>
      <c r="N4168">
        <v>0</v>
      </c>
      <c r="O4168">
        <v>-0.15159890000000001</v>
      </c>
      <c r="P4168">
        <v>0.99257169999999895</v>
      </c>
      <c r="Q4168">
        <v>0.12108480000000001</v>
      </c>
      <c r="R4168">
        <v>1.1824019999999999E-2</v>
      </c>
      <c r="S4168">
        <v>3.041992</v>
      </c>
      <c r="T4168">
        <v>-0.15790960000000001</v>
      </c>
      <c r="U4168">
        <v>6.7810060000000005E-2</v>
      </c>
      <c r="V4168">
        <v>-0.1632208</v>
      </c>
      <c r="W4168">
        <v>0.13020760000000001</v>
      </c>
      <c r="X4168">
        <v>0.97795960000000004</v>
      </c>
      <c r="Y4168">
        <v>-0.1731618</v>
      </c>
      <c r="Z4168">
        <v>1.2334950000000001E-2</v>
      </c>
      <c r="AA4168">
        <v>0.98481609999999997</v>
      </c>
      <c r="AB4168">
        <v>32</v>
      </c>
      <c r="AC4168">
        <v>21.092300000000002</v>
      </c>
      <c r="AD4168">
        <v>-1.1078704556700001</v>
      </c>
      <c r="AE4168">
        <v>0.51086000000000098</v>
      </c>
      <c r="AF4168">
        <v>-3.6925248620809499</v>
      </c>
      <c r="AG4168">
        <v>-1.1078704556700001</v>
      </c>
      <c r="AH4168">
        <v>20.713925722113299</v>
      </c>
      <c r="AI4168">
        <v>93.014083377812</v>
      </c>
      <c r="AJ4168">
        <v>100.107540681072</v>
      </c>
      <c r="AK4168">
        <v>21.0696187821436</v>
      </c>
      <c r="AL4168">
        <v>82.518411218331494</v>
      </c>
      <c r="AM4168">
        <v>99.475291943890497</v>
      </c>
      <c r="AN4168">
        <v>1.0000000139412799</v>
      </c>
    </row>
    <row r="4169" spans="1:40" x14ac:dyDescent="0.3">
      <c r="A4169" t="str">
        <f>"20200111150112288"</f>
        <v>20200111150112288</v>
      </c>
      <c r="B4169" t="str">
        <f>"1578726072281880"</f>
        <v>1578726072281880</v>
      </c>
      <c r="C4169" t="s">
        <v>40</v>
      </c>
      <c r="D4169">
        <v>4.5367410000000001</v>
      </c>
      <c r="E4169">
        <v>0.49496000000000001</v>
      </c>
      <c r="F4169" t="s">
        <v>87</v>
      </c>
      <c r="G4169">
        <v>-367.9796</v>
      </c>
      <c r="H4169" s="1">
        <v>-1.1705189999999999E-6</v>
      </c>
      <c r="I4169">
        <v>18.403960000000001</v>
      </c>
      <c r="J4169">
        <v>-388.28590000000003</v>
      </c>
      <c r="K4169">
        <v>1.1080270000000001</v>
      </c>
      <c r="L4169">
        <v>17.865600000000001</v>
      </c>
      <c r="M4169">
        <v>0.98879490000000003</v>
      </c>
      <c r="N4169">
        <v>0</v>
      </c>
      <c r="O4169">
        <v>-0.14889920000000001</v>
      </c>
      <c r="P4169">
        <v>0.99260999999999999</v>
      </c>
      <c r="Q4169">
        <v>0.1205093</v>
      </c>
      <c r="R4169">
        <v>1.424335E-2</v>
      </c>
      <c r="S4169">
        <v>3.041595</v>
      </c>
      <c r="T4169">
        <v>-0.16445750000000001</v>
      </c>
      <c r="U4169">
        <v>7.6110839999999999E-2</v>
      </c>
      <c r="V4169">
        <v>-0.16299089999999999</v>
      </c>
      <c r="W4169">
        <v>0.12958159999999999</v>
      </c>
      <c r="X4169">
        <v>0.97808099999999998</v>
      </c>
      <c r="Y4169">
        <v>-0.17312839999999999</v>
      </c>
      <c r="Z4169">
        <v>1.2701749999999999E-2</v>
      </c>
      <c r="AA4169">
        <v>0.98481730000000001</v>
      </c>
      <c r="AB4169">
        <v>32</v>
      </c>
      <c r="AC4169">
        <v>20.3063</v>
      </c>
      <c r="AD4169">
        <v>-1.108028170519</v>
      </c>
      <c r="AE4169">
        <v>0.53835999999999995</v>
      </c>
      <c r="AF4169">
        <v>-3.5455723314976502</v>
      </c>
      <c r="AG4169">
        <v>-1.108028170519</v>
      </c>
      <c r="AH4169">
        <v>19.940411994789599</v>
      </c>
      <c r="AI4169">
        <v>93.131465142887805</v>
      </c>
      <c r="AJ4169">
        <v>100.082297578291</v>
      </c>
      <c r="AK4169">
        <v>20.283462231741801</v>
      </c>
      <c r="AL4169">
        <v>82.554584244437805</v>
      </c>
      <c r="AM4169">
        <v>99.461034081115798</v>
      </c>
      <c r="AN4169">
        <v>0.999999933551182</v>
      </c>
    </row>
    <row r="4170" spans="1:40" x14ac:dyDescent="0.3">
      <c r="A4170" t="str">
        <f>"20200111150112302"</f>
        <v>20200111150112302</v>
      </c>
      <c r="B4170" t="str">
        <f>"1578726072291641"</f>
        <v>1578726072291641</v>
      </c>
      <c r="C4170" t="s">
        <v>40</v>
      </c>
      <c r="D4170">
        <v>4.5256780000000001</v>
      </c>
      <c r="E4170">
        <v>0.49500100000000002</v>
      </c>
      <c r="F4170" t="s">
        <v>87</v>
      </c>
      <c r="G4170">
        <v>-368.04300000000001</v>
      </c>
      <c r="H4170" s="1">
        <v>-1.1372520000000001E-6</v>
      </c>
      <c r="I4170">
        <v>18.42276</v>
      </c>
      <c r="J4170">
        <v>-388.09870000000001</v>
      </c>
      <c r="K4170">
        <v>1.1081829999999999</v>
      </c>
      <c r="L4170">
        <v>17.839939999999999</v>
      </c>
      <c r="M4170">
        <v>0.98921630000000005</v>
      </c>
      <c r="N4170">
        <v>0</v>
      </c>
      <c r="O4170">
        <v>-0.14607200000000001</v>
      </c>
      <c r="P4170">
        <v>0.9926682</v>
      </c>
      <c r="Q4170">
        <v>0.11971850000000001</v>
      </c>
      <c r="R4170">
        <v>1.6655679999999999E-2</v>
      </c>
      <c r="S4170">
        <v>3.0413510000000001</v>
      </c>
      <c r="T4170">
        <v>-0.16647319999999999</v>
      </c>
      <c r="U4170">
        <v>8.3709720000000001E-2</v>
      </c>
      <c r="V4170">
        <v>-0.1626291</v>
      </c>
      <c r="W4170">
        <v>0.1287442</v>
      </c>
      <c r="X4170">
        <v>0.97825189999999995</v>
      </c>
      <c r="Y4170">
        <v>-0.172767</v>
      </c>
      <c r="Z4170">
        <v>1.2694820000000001E-2</v>
      </c>
      <c r="AA4170">
        <v>0.98488089999999995</v>
      </c>
      <c r="AB4170">
        <v>32</v>
      </c>
      <c r="AC4170">
        <v>20.055700000000002</v>
      </c>
      <c r="AD4170">
        <v>-1.1081841372519901</v>
      </c>
      <c r="AE4170">
        <v>0.582820000000001</v>
      </c>
      <c r="AF4170">
        <v>-3.4956475321387601</v>
      </c>
      <c r="AG4170">
        <v>-1.1081841372519901</v>
      </c>
      <c r="AH4170">
        <v>19.695336484677199</v>
      </c>
      <c r="AI4170">
        <v>93.170972989388503</v>
      </c>
      <c r="AJ4170">
        <v>100.064394645888</v>
      </c>
      <c r="AK4170">
        <v>20.0338189818033</v>
      </c>
      <c r="AL4170">
        <v>82.602969801500095</v>
      </c>
      <c r="AM4170">
        <v>99.438791783525701</v>
      </c>
      <c r="AN4170">
        <v>1.0000000365270201</v>
      </c>
    </row>
    <row r="4171" spans="1:40" x14ac:dyDescent="0.3">
      <c r="A4171" t="str">
        <f>"20200111150112315"</f>
        <v>20200111150112315</v>
      </c>
      <c r="B4171" t="str">
        <f>"1578726072312136"</f>
        <v>1578726072312136</v>
      </c>
      <c r="C4171" t="s">
        <v>40</v>
      </c>
      <c r="D4171">
        <v>4.5066790000000001</v>
      </c>
      <c r="E4171">
        <v>0.49508819999999998</v>
      </c>
      <c r="F4171" t="s">
        <v>87</v>
      </c>
      <c r="G4171">
        <v>-368.19889999999998</v>
      </c>
      <c r="H4171" s="1">
        <v>-1.0612840000000001E-6</v>
      </c>
      <c r="I4171">
        <v>18.43544</v>
      </c>
      <c r="J4171">
        <v>-387.91469999999998</v>
      </c>
      <c r="K4171">
        <v>1.108325</v>
      </c>
      <c r="L4171">
        <v>17.815519999999999</v>
      </c>
      <c r="M4171">
        <v>0.9896393</v>
      </c>
      <c r="N4171">
        <v>0</v>
      </c>
      <c r="O4171">
        <v>-0.14317769999999999</v>
      </c>
      <c r="P4171">
        <v>0.99268279999999998</v>
      </c>
      <c r="Q4171">
        <v>0.1192038</v>
      </c>
      <c r="R4171">
        <v>1.9272129999999998E-2</v>
      </c>
      <c r="S4171">
        <v>3.0410460000000001</v>
      </c>
      <c r="T4171">
        <v>-0.1693509</v>
      </c>
      <c r="U4171">
        <v>9.1003420000000002E-2</v>
      </c>
      <c r="V4171">
        <v>-0.1623946</v>
      </c>
      <c r="W4171">
        <v>0.12819</v>
      </c>
      <c r="X4171">
        <v>0.9783636</v>
      </c>
      <c r="Y4171">
        <v>-0.17223759999999999</v>
      </c>
      <c r="Z4171">
        <v>1.27405E-2</v>
      </c>
      <c r="AA4171">
        <v>0.98497299999999999</v>
      </c>
      <c r="AB4171">
        <v>32</v>
      </c>
      <c r="AC4171">
        <v>19.715800000000002</v>
      </c>
      <c r="AD4171">
        <v>-1.108326061284</v>
      </c>
      <c r="AE4171">
        <v>0.61991999999999603</v>
      </c>
      <c r="AF4171">
        <v>-3.4257412007038699</v>
      </c>
      <c r="AG4171">
        <v>-1.108326061284</v>
      </c>
      <c r="AH4171">
        <v>19.362752379106901</v>
      </c>
      <c r="AI4171">
        <v>93.226048036227596</v>
      </c>
      <c r="AJ4171">
        <v>100.033187901833</v>
      </c>
      <c r="AK4171">
        <v>19.694676162022301</v>
      </c>
      <c r="AL4171">
        <v>82.634988224269804</v>
      </c>
      <c r="AM4171">
        <v>99.424369284787304</v>
      </c>
      <c r="AN4171">
        <v>1.0000000080070599</v>
      </c>
    </row>
    <row r="4172" spans="1:40" x14ac:dyDescent="0.3">
      <c r="A4172" t="str">
        <f>"20200111150112332"</f>
        <v>20200111150112332</v>
      </c>
      <c r="B4172" t="str">
        <f>"1578726072321896"</f>
        <v>1578726072321896</v>
      </c>
      <c r="C4172" t="s">
        <v>40</v>
      </c>
      <c r="D4172">
        <v>4.7074720000000001</v>
      </c>
      <c r="E4172">
        <v>0.4952126</v>
      </c>
      <c r="F4172" t="s">
        <v>87</v>
      </c>
      <c r="G4172">
        <v>-368.351</v>
      </c>
      <c r="H4172" s="1">
        <v>-9.8689540000000007E-7</v>
      </c>
      <c r="I4172">
        <v>18.449680000000001</v>
      </c>
      <c r="J4172">
        <v>-387.67329999999998</v>
      </c>
      <c r="K4172">
        <v>1.108498</v>
      </c>
      <c r="L4172">
        <v>17.78436</v>
      </c>
      <c r="M4172">
        <v>0.99019480000000004</v>
      </c>
      <c r="N4172">
        <v>0</v>
      </c>
      <c r="O4172">
        <v>-0.139282399999999</v>
      </c>
      <c r="P4172">
        <v>0.99269320000000005</v>
      </c>
      <c r="Q4172">
        <v>0.118716</v>
      </c>
      <c r="R4172">
        <v>2.1604700000000001E-2</v>
      </c>
      <c r="S4172">
        <v>3.040924</v>
      </c>
      <c r="T4172">
        <v>-0.1722745</v>
      </c>
      <c r="U4172">
        <v>9.8571779999999998E-2</v>
      </c>
      <c r="V4172">
        <v>-0.16090070000000001</v>
      </c>
      <c r="W4172">
        <v>0.12766930000000001</v>
      </c>
      <c r="X4172">
        <v>0.97867850000000001</v>
      </c>
      <c r="Y4172">
        <v>-0.17080329999999999</v>
      </c>
      <c r="Z4172">
        <v>1.270086E-2</v>
      </c>
      <c r="AA4172">
        <v>0.98522330000000002</v>
      </c>
      <c r="AB4172">
        <v>32</v>
      </c>
      <c r="AC4172">
        <v>19.322299999999899</v>
      </c>
      <c r="AD4172">
        <v>-1.1084989868953901</v>
      </c>
      <c r="AE4172">
        <v>0.66531999999999702</v>
      </c>
      <c r="AF4172">
        <v>-3.3392676656952398</v>
      </c>
      <c r="AG4172">
        <v>-1.1084989868953901</v>
      </c>
      <c r="AH4172">
        <v>18.978876271383299</v>
      </c>
      <c r="AI4172">
        <v>93.292219558245407</v>
      </c>
      <c r="AJ4172">
        <v>99.978858412219793</v>
      </c>
      <c r="AK4172">
        <v>19.302259532800299</v>
      </c>
      <c r="AL4172">
        <v>82.665069585077305</v>
      </c>
      <c r="AM4172">
        <v>99.336254960166798</v>
      </c>
      <c r="AN4172">
        <v>1.0000000458926099</v>
      </c>
    </row>
    <row r="4173" spans="1:40" x14ac:dyDescent="0.3">
      <c r="A4173" t="str">
        <f>"20200111150112347"</f>
        <v>20200111150112347</v>
      </c>
      <c r="B4173" t="str">
        <f>"1578726072342392"</f>
        <v>1578726072342392</v>
      </c>
      <c r="C4173" t="s">
        <v>40</v>
      </c>
      <c r="D4173">
        <v>4.5135420000000002</v>
      </c>
      <c r="E4173">
        <v>0.51616090000000003</v>
      </c>
      <c r="F4173" t="s">
        <v>87</v>
      </c>
      <c r="G4173">
        <v>-368.10390000000001</v>
      </c>
      <c r="H4173" s="1">
        <v>-1.1014459999999999E-6</v>
      </c>
      <c r="I4173">
        <v>18.462219999999999</v>
      </c>
      <c r="J4173">
        <v>-387.47480000000002</v>
      </c>
      <c r="K4173">
        <v>1.1086320000000001</v>
      </c>
      <c r="L4173">
        <v>17.759460000000001</v>
      </c>
      <c r="M4173">
        <v>0.99065150000000002</v>
      </c>
      <c r="N4173">
        <v>0</v>
      </c>
      <c r="O4173">
        <v>-0.13599449999999999</v>
      </c>
      <c r="P4173">
        <v>0.99260809999999999</v>
      </c>
      <c r="Q4173">
        <v>0.1189446</v>
      </c>
      <c r="R4173">
        <v>2.4115770000000002E-2</v>
      </c>
      <c r="S4173">
        <v>3.0404049999999998</v>
      </c>
      <c r="T4173">
        <v>-0.17222209999999999</v>
      </c>
      <c r="U4173">
        <v>0.1053162</v>
      </c>
      <c r="V4173">
        <v>-0.16016720000000001</v>
      </c>
      <c r="W4173">
        <v>0.12786889999999901</v>
      </c>
      <c r="X4173">
        <v>0.97877270000000005</v>
      </c>
      <c r="Y4173">
        <v>-0.1697282</v>
      </c>
      <c r="Z4173">
        <v>1.2483660000000001E-2</v>
      </c>
      <c r="AA4173">
        <v>0.98541179999999995</v>
      </c>
      <c r="AB4173">
        <v>32</v>
      </c>
      <c r="AC4173">
        <v>19.370899999999999</v>
      </c>
      <c r="AD4173">
        <v>-1.108633101446</v>
      </c>
      <c r="AE4173">
        <v>0.70276000000000105</v>
      </c>
      <c r="AF4173">
        <v>-3.31985793591282</v>
      </c>
      <c r="AG4173">
        <v>-1.108633101446</v>
      </c>
      <c r="AH4173">
        <v>19.033077946716201</v>
      </c>
      <c r="AI4173">
        <v>93.284107918029093</v>
      </c>
      <c r="AJ4173">
        <v>99.894315176779003</v>
      </c>
      <c r="AK4173">
        <v>19.3522241665923</v>
      </c>
      <c r="AL4173">
        <v>82.653538449917093</v>
      </c>
      <c r="AM4173">
        <v>99.293559140140999</v>
      </c>
      <c r="AN4173">
        <v>0.99999999290416997</v>
      </c>
    </row>
    <row r="4174" spans="1:40" x14ac:dyDescent="0.3">
      <c r="A4174" t="str">
        <f>"20200111150112358"</f>
        <v>20200111150112358</v>
      </c>
      <c r="B4174" t="str">
        <f>"1578726072352153"</f>
        <v>1578726072352153</v>
      </c>
      <c r="C4174" t="s">
        <v>40</v>
      </c>
      <c r="D4174">
        <v>4.4944430000000004</v>
      </c>
      <c r="E4174">
        <v>0.51616090000000003</v>
      </c>
      <c r="F4174" t="s">
        <v>88</v>
      </c>
      <c r="G4174">
        <v>-370.04059999999998</v>
      </c>
      <c r="H4174" s="1">
        <v>-5.0718350000000002E-6</v>
      </c>
      <c r="I4174">
        <v>17.45439</v>
      </c>
      <c r="J4174">
        <v>-387.298</v>
      </c>
      <c r="K4174">
        <v>1.108743</v>
      </c>
      <c r="L4174">
        <v>17.737850000000002</v>
      </c>
      <c r="M4174">
        <v>0.9910563</v>
      </c>
      <c r="N4174">
        <v>0</v>
      </c>
      <c r="O4174">
        <v>-0.13301189999999999</v>
      </c>
      <c r="P4174">
        <v>0.99256279999999997</v>
      </c>
      <c r="Q4174">
        <v>0.1189113</v>
      </c>
      <c r="R4174">
        <v>2.6068310000000001E-2</v>
      </c>
      <c r="S4174">
        <v>3.0468440000000001</v>
      </c>
      <c r="T4174">
        <v>-0.19374839999999999</v>
      </c>
      <c r="U4174">
        <v>-5.3314210000000001E-2</v>
      </c>
      <c r="V4174">
        <v>-0.15918009999999999</v>
      </c>
      <c r="W4174">
        <v>0.12781729999999999</v>
      </c>
      <c r="X4174">
        <v>0.97894049999999999</v>
      </c>
      <c r="Y4174">
        <v>-0.1151595</v>
      </c>
      <c r="Z4174">
        <v>1.20857E-2</v>
      </c>
      <c r="AA4174">
        <v>0.99327350000000003</v>
      </c>
      <c r="AB4174">
        <v>32</v>
      </c>
      <c r="AC4174">
        <v>17.257400000000001</v>
      </c>
      <c r="AD4174">
        <v>-1.108748071835</v>
      </c>
      <c r="AE4174">
        <v>-0.28346000000000099</v>
      </c>
      <c r="AF4174">
        <v>-2.0063513212209698</v>
      </c>
      <c r="AG4174">
        <v>-1.108748071835</v>
      </c>
      <c r="AH4174">
        <v>17.071299006886001</v>
      </c>
      <c r="AI4174">
        <v>93.690700557016498</v>
      </c>
      <c r="AJ4174">
        <v>96.703094010623701</v>
      </c>
      <c r="AK4174">
        <v>17.224517923398299</v>
      </c>
      <c r="AL4174">
        <v>82.656519679382001</v>
      </c>
      <c r="AM4174">
        <v>99.235717777722002</v>
      </c>
      <c r="AN4174">
        <v>1.00000003447777</v>
      </c>
    </row>
    <row r="4175" spans="1:40" x14ac:dyDescent="0.3">
      <c r="A4175" t="str">
        <f>"20200111150112376"</f>
        <v>20200111150112376</v>
      </c>
      <c r="B4175" t="str">
        <f>"1578726072371672"</f>
        <v>1578726072371672</v>
      </c>
      <c r="C4175" t="s">
        <v>40</v>
      </c>
      <c r="D4175">
        <v>4.4759510000000002</v>
      </c>
      <c r="E4175">
        <v>0.51614320000000002</v>
      </c>
      <c r="F4175" t="s">
        <v>87</v>
      </c>
      <c r="G4175">
        <v>-369.88240000000002</v>
      </c>
      <c r="H4175" s="1">
        <v>-6.1665700000000004E-7</v>
      </c>
      <c r="I4175">
        <v>17.470099999999999</v>
      </c>
      <c r="J4175">
        <v>-387.06670000000003</v>
      </c>
      <c r="K4175">
        <v>1.1088769999999999</v>
      </c>
      <c r="L4175">
        <v>17.710719999999998</v>
      </c>
      <c r="M4175">
        <v>0.99158539999999995</v>
      </c>
      <c r="N4175">
        <v>0</v>
      </c>
      <c r="O4175">
        <v>-0.12900610000000001</v>
      </c>
      <c r="P4175">
        <v>0.99249399999999999</v>
      </c>
      <c r="Q4175">
        <v>0.1190068</v>
      </c>
      <c r="R4175">
        <v>2.8158030000000001E-2</v>
      </c>
      <c r="S4175">
        <v>3.0469360000000001</v>
      </c>
      <c r="T4175">
        <v>-0.19397900000000001</v>
      </c>
      <c r="U4175">
        <v>-4.6844480000000001E-2</v>
      </c>
      <c r="V4175">
        <v>-0.15732449999999901</v>
      </c>
      <c r="W4175">
        <v>0.12790009999999999</v>
      </c>
      <c r="X4175">
        <v>0.97922960000000003</v>
      </c>
      <c r="Y4175">
        <v>-0.1132653</v>
      </c>
      <c r="Z4175">
        <v>1.1787010000000001E-2</v>
      </c>
      <c r="AA4175">
        <v>0.99349489999999996</v>
      </c>
      <c r="AB4175">
        <v>32</v>
      </c>
      <c r="AC4175">
        <v>17.1843</v>
      </c>
      <c r="AD4175">
        <v>-1.108877616657</v>
      </c>
      <c r="AE4175">
        <v>-0.240620000000003</v>
      </c>
      <c r="AF4175">
        <v>-1.9701966631885599</v>
      </c>
      <c r="AG4175">
        <v>-1.108877616657</v>
      </c>
      <c r="AH4175">
        <v>17.0009541691206</v>
      </c>
      <c r="AI4175">
        <v>93.707059008510598</v>
      </c>
      <c r="AJ4175">
        <v>96.610372924390603</v>
      </c>
      <c r="AK4175">
        <v>17.150618855332901</v>
      </c>
      <c r="AL4175">
        <v>82.651736234723302</v>
      </c>
      <c r="AM4175">
        <v>99.127228416251</v>
      </c>
      <c r="AN4175">
        <v>1.0000000216981999</v>
      </c>
    </row>
    <row r="4176" spans="1:40" x14ac:dyDescent="0.3">
      <c r="A4176" t="str">
        <f>"20200111150112389"</f>
        <v>20200111150112389</v>
      </c>
      <c r="B4176" t="str">
        <f>"1578726072382409"</f>
        <v>1578726072382409</v>
      </c>
      <c r="C4176" t="s">
        <v>40</v>
      </c>
      <c r="D4176">
        <v>4.5337829999999997</v>
      </c>
      <c r="E4176">
        <v>0.51663559999999997</v>
      </c>
      <c r="F4176" t="s">
        <v>88</v>
      </c>
      <c r="G4176">
        <v>-374.07679999999999</v>
      </c>
      <c r="H4176" s="1">
        <v>-3.148245E-6</v>
      </c>
      <c r="I4176">
        <v>17.542560000000002</v>
      </c>
      <c r="J4176">
        <v>-386.88119999999998</v>
      </c>
      <c r="K4176">
        <v>1.108976</v>
      </c>
      <c r="L4176">
        <v>17.68967</v>
      </c>
      <c r="M4176">
        <v>0.99200580000000005</v>
      </c>
      <c r="N4176">
        <v>0</v>
      </c>
      <c r="O4176">
        <v>-0.12573229999999999</v>
      </c>
      <c r="P4176">
        <v>0.9924269</v>
      </c>
      <c r="Q4176">
        <v>0.1191002</v>
      </c>
      <c r="R4176">
        <v>3.0068770000000002E-2</v>
      </c>
      <c r="S4176">
        <v>3.055145</v>
      </c>
      <c r="T4176">
        <v>-0.26080160000000002</v>
      </c>
      <c r="U4176">
        <v>-3.9550780000000001E-2</v>
      </c>
      <c r="V4176">
        <v>-0.15600720000000001</v>
      </c>
      <c r="W4176">
        <v>0.12798470000000001</v>
      </c>
      <c r="X4176">
        <v>0.9794292</v>
      </c>
      <c r="Y4176">
        <v>-0.11202479999999999</v>
      </c>
      <c r="Z4176">
        <v>1.546285E-2</v>
      </c>
      <c r="AA4176">
        <v>0.9935851</v>
      </c>
      <c r="AB4176">
        <v>32</v>
      </c>
      <c r="AC4176">
        <v>12.8043999999999</v>
      </c>
      <c r="AD4176">
        <v>-1.108979148245</v>
      </c>
      <c r="AE4176">
        <v>-0.14710999999999699</v>
      </c>
      <c r="AF4176">
        <v>-1.45317843912306</v>
      </c>
      <c r="AG4176">
        <v>-1.108979148245</v>
      </c>
      <c r="AH4176">
        <v>12.6265712440184</v>
      </c>
      <c r="AI4176">
        <v>94.986602572765193</v>
      </c>
      <c r="AJ4176">
        <v>96.565224553266901</v>
      </c>
      <c r="AK4176">
        <v>12.7582076996515</v>
      </c>
      <c r="AL4176">
        <v>82.646848269763098</v>
      </c>
      <c r="AM4176">
        <v>99.050261225299295</v>
      </c>
      <c r="AN4176">
        <v>0.99999994384928304</v>
      </c>
    </row>
    <row r="4177" spans="1:40" x14ac:dyDescent="0.3">
      <c r="A4177" t="str">
        <f>"20200111150112403"</f>
        <v>20200111150112403</v>
      </c>
      <c r="B4177" t="str">
        <f>"1578726072401928"</f>
        <v>1578726072401928</v>
      </c>
      <c r="C4177" t="s">
        <v>40</v>
      </c>
      <c r="D4177">
        <v>4.4655459999999998</v>
      </c>
      <c r="E4177">
        <v>0.51641519999999996</v>
      </c>
      <c r="F4177" t="s">
        <v>88</v>
      </c>
      <c r="G4177">
        <v>-372.79270000000002</v>
      </c>
      <c r="H4177" s="1">
        <v>-3.7597990000000002E-6</v>
      </c>
      <c r="I4177">
        <v>17.516999999999999</v>
      </c>
      <c r="J4177">
        <v>-386.67599999999999</v>
      </c>
      <c r="K4177">
        <v>1.1090789999999999</v>
      </c>
      <c r="L4177">
        <v>17.66705</v>
      </c>
      <c r="M4177">
        <v>0.99246389999999995</v>
      </c>
      <c r="N4177">
        <v>0</v>
      </c>
      <c r="O4177">
        <v>-0.1220609</v>
      </c>
      <c r="P4177">
        <v>0.99233450000000001</v>
      </c>
      <c r="Q4177">
        <v>0.11927069999999999</v>
      </c>
      <c r="R4177">
        <v>3.2356389999999999E-2</v>
      </c>
      <c r="S4177">
        <v>3.052826</v>
      </c>
      <c r="T4177">
        <v>-0.2403033</v>
      </c>
      <c r="U4177">
        <v>-3.7414549999999998E-2</v>
      </c>
      <c r="V4177">
        <v>-0.1546719</v>
      </c>
      <c r="W4177">
        <v>0.12814690000000001</v>
      </c>
      <c r="X4177">
        <v>0.97961980000000004</v>
      </c>
      <c r="Y4177">
        <v>-0.10918219999999999</v>
      </c>
      <c r="Z4177">
        <v>1.386392E-2</v>
      </c>
      <c r="AA4177">
        <v>0.99392499999999995</v>
      </c>
      <c r="AB4177">
        <v>32</v>
      </c>
      <c r="AC4177">
        <v>13.883299999999901</v>
      </c>
      <c r="AD4177">
        <v>-1.1090827597990001</v>
      </c>
      <c r="AE4177">
        <v>-0.15004999999999999</v>
      </c>
      <c r="AF4177">
        <v>-1.5359778203205301</v>
      </c>
      <c r="AG4177">
        <v>-1.1090827597990001</v>
      </c>
      <c r="AH4177">
        <v>13.7103072695576</v>
      </c>
      <c r="AI4177">
        <v>94.596190228554207</v>
      </c>
      <c r="AJ4177">
        <v>96.392242814699799</v>
      </c>
      <c r="AK4177">
        <v>13.840585892883499</v>
      </c>
      <c r="AL4177">
        <v>82.637478064964597</v>
      </c>
      <c r="AM4177">
        <v>98.972346395022001</v>
      </c>
      <c r="AN4177">
        <v>0.999999988590629</v>
      </c>
    </row>
    <row r="4178" spans="1:40" x14ac:dyDescent="0.3">
      <c r="A4178" t="str">
        <f>"20200111150112422"</f>
        <v>20200111150112422</v>
      </c>
      <c r="B4178" t="str">
        <f>"1578726072411688"</f>
        <v>1578726072411688</v>
      </c>
      <c r="C4178" t="s">
        <v>40</v>
      </c>
      <c r="D4178">
        <v>4.5090680000000001</v>
      </c>
      <c r="E4178">
        <v>0.51664350000000003</v>
      </c>
      <c r="F4178" t="s">
        <v>88</v>
      </c>
      <c r="G4178">
        <v>-372.13940000000002</v>
      </c>
      <c r="H4178" s="1">
        <v>-4.0658790000000004E-6</v>
      </c>
      <c r="I4178">
        <v>17.532309999999999</v>
      </c>
      <c r="J4178">
        <v>-386.41989999999998</v>
      </c>
      <c r="K4178">
        <v>1.1091979999999999</v>
      </c>
      <c r="L4178">
        <v>17.639949999999999</v>
      </c>
      <c r="M4178">
        <v>0.99302610000000002</v>
      </c>
      <c r="N4178">
        <v>0</v>
      </c>
      <c r="O4178">
        <v>-0.11739860000000001</v>
      </c>
      <c r="P4178">
        <v>0.99228550000000004</v>
      </c>
      <c r="Q4178">
        <v>0.119143</v>
      </c>
      <c r="R4178">
        <v>3.4270679999999998E-2</v>
      </c>
      <c r="S4178">
        <v>3.052063</v>
      </c>
      <c r="T4178">
        <v>-0.23286080000000001</v>
      </c>
      <c r="U4178">
        <v>-2.8289789999999999E-2</v>
      </c>
      <c r="V4178">
        <v>-0.1519953</v>
      </c>
      <c r="W4178">
        <v>0.1280268</v>
      </c>
      <c r="X4178">
        <v>0.98005439999999999</v>
      </c>
      <c r="Y4178">
        <v>-0.1075435</v>
      </c>
      <c r="Z4178">
        <v>1.302419E-2</v>
      </c>
      <c r="AA4178">
        <v>0.99411510000000003</v>
      </c>
      <c r="AB4178">
        <v>32</v>
      </c>
      <c r="AC4178">
        <v>14.2804999999999</v>
      </c>
      <c r="AD4178">
        <v>-1.1092020658789901</v>
      </c>
      <c r="AE4178">
        <v>-0.107639999999999</v>
      </c>
      <c r="AF4178">
        <v>-1.56030021740858</v>
      </c>
      <c r="AG4178">
        <v>-1.1092020658789901</v>
      </c>
      <c r="AH4178">
        <v>14.109257959520599</v>
      </c>
      <c r="AI4178">
        <v>94.467947691042696</v>
      </c>
      <c r="AJ4178">
        <v>96.3105257253914</v>
      </c>
      <c r="AK4178">
        <v>14.2385401695431</v>
      </c>
      <c r="AL4178">
        <v>82.644416745038797</v>
      </c>
      <c r="AM4178">
        <v>98.815692234651607</v>
      </c>
      <c r="AN4178">
        <v>1.0000000298498399</v>
      </c>
    </row>
    <row r="4179" spans="1:40" x14ac:dyDescent="0.3">
      <c r="A4179" t="str">
        <f>"20200111150112436"</f>
        <v>20200111150112436</v>
      </c>
      <c r="B4179" t="str">
        <f>"1578726072432185"</f>
        <v>1578726072432185</v>
      </c>
      <c r="C4179" t="s">
        <v>40</v>
      </c>
      <c r="D4179">
        <v>4.474024</v>
      </c>
      <c r="E4179">
        <v>0.51678999999999997</v>
      </c>
      <c r="F4179" t="s">
        <v>88</v>
      </c>
      <c r="G4179">
        <v>-371.2946</v>
      </c>
      <c r="H4179" s="1">
        <v>-4.4670120000000001E-6</v>
      </c>
      <c r="I4179">
        <v>17.522400000000001</v>
      </c>
      <c r="J4179">
        <v>-386.22039999999998</v>
      </c>
      <c r="K4179">
        <v>1.1092740000000001</v>
      </c>
      <c r="L4179">
        <v>17.61993</v>
      </c>
      <c r="M4179">
        <v>0.99345450000000002</v>
      </c>
      <c r="N4179">
        <v>0</v>
      </c>
      <c r="O4179">
        <v>-0.11371630000000001</v>
      </c>
      <c r="P4179">
        <v>0.99224109999999999</v>
      </c>
      <c r="Q4179">
        <v>0.11877740000000001</v>
      </c>
      <c r="R4179">
        <v>3.673792E-2</v>
      </c>
      <c r="S4179">
        <v>3.0509949999999999</v>
      </c>
      <c r="T4179">
        <v>-0.22374269999999999</v>
      </c>
      <c r="U4179">
        <v>-2.3712159999999999E-2</v>
      </c>
      <c r="V4179">
        <v>-0.15082279999999901</v>
      </c>
      <c r="W4179">
        <v>0.12766130000000001</v>
      </c>
      <c r="X4179">
        <v>0.98028320000000002</v>
      </c>
      <c r="Y4179">
        <v>-0.1054109</v>
      </c>
      <c r="Z4179">
        <v>1.217388E-2</v>
      </c>
      <c r="AA4179">
        <v>0.99435419999999997</v>
      </c>
      <c r="AB4179">
        <v>32</v>
      </c>
      <c r="AC4179">
        <v>14.925799999999899</v>
      </c>
      <c r="AD4179">
        <v>-1.1092784670119999</v>
      </c>
      <c r="AE4179">
        <v>-9.7529999999999006E-2</v>
      </c>
      <c r="AF4179">
        <v>-1.59171726887179</v>
      </c>
      <c r="AG4179">
        <v>-1.1092784670119999</v>
      </c>
      <c r="AH4179">
        <v>14.7585465421861</v>
      </c>
      <c r="AI4179">
        <v>94.273679372411493</v>
      </c>
      <c r="AJ4179">
        <v>96.155587822671293</v>
      </c>
      <c r="AK4179">
        <v>14.8855217785362</v>
      </c>
      <c r="AL4179">
        <v>82.6655316773533</v>
      </c>
      <c r="AM4179">
        <v>98.746733229555204</v>
      </c>
      <c r="AN4179">
        <v>1.0000000383598799</v>
      </c>
    </row>
    <row r="4180" spans="1:40" x14ac:dyDescent="0.3">
      <c r="A4180" t="str">
        <f>"20200111150112449"</f>
        <v>20200111150112449</v>
      </c>
      <c r="B4180" t="str">
        <f>"1578726072441945"</f>
        <v>1578726072441945</v>
      </c>
      <c r="C4180" t="s">
        <v>40</v>
      </c>
      <c r="D4180">
        <v>4.5802139999999998</v>
      </c>
      <c r="E4180">
        <v>0.51632920000000004</v>
      </c>
      <c r="F4180" t="s">
        <v>88</v>
      </c>
      <c r="G4180">
        <v>-371.3417</v>
      </c>
      <c r="H4180" s="1">
        <v>-4.4423980000000004E-6</v>
      </c>
      <c r="I4180">
        <v>17.53556</v>
      </c>
      <c r="J4180">
        <v>-386.03100000000001</v>
      </c>
      <c r="K4180">
        <v>1.1093360000000001</v>
      </c>
      <c r="L4180">
        <v>17.601589999999899</v>
      </c>
      <c r="M4180">
        <v>0.99385089999999998</v>
      </c>
      <c r="N4180">
        <v>0</v>
      </c>
      <c r="O4180">
        <v>-0.11019519999999999</v>
      </c>
      <c r="P4180">
        <v>0.99217560000000005</v>
      </c>
      <c r="Q4180">
        <v>0.1185523</v>
      </c>
      <c r="R4180">
        <v>3.9152619999999999E-2</v>
      </c>
      <c r="S4180">
        <v>3.051361</v>
      </c>
      <c r="T4180">
        <v>-0.22749440000000001</v>
      </c>
      <c r="U4180">
        <v>-1.7303470000000001E-2</v>
      </c>
      <c r="V4180">
        <v>-0.1497542</v>
      </c>
      <c r="W4180">
        <v>0.12743850000000001</v>
      </c>
      <c r="X4180">
        <v>0.98047600000000001</v>
      </c>
      <c r="Y4180">
        <v>-0.1039704</v>
      </c>
      <c r="Z4180">
        <v>1.2061809999999999E-2</v>
      </c>
      <c r="AA4180">
        <v>0.99450729999999998</v>
      </c>
      <c r="AB4180">
        <v>32</v>
      </c>
      <c r="AC4180">
        <v>14.689299999999999</v>
      </c>
      <c r="AD4180">
        <v>-1.109340442398</v>
      </c>
      <c r="AE4180">
        <v>-6.6029999999997799E-2</v>
      </c>
      <c r="AF4180">
        <v>-1.54434981629443</v>
      </c>
      <c r="AG4180">
        <v>-1.109340442398</v>
      </c>
      <c r="AH4180">
        <v>14.5242728692687</v>
      </c>
      <c r="AI4180">
        <v>94.343290076964195</v>
      </c>
      <c r="AJ4180">
        <v>96.069392030562895</v>
      </c>
      <c r="AK4180">
        <v>14.648213370688</v>
      </c>
      <c r="AL4180">
        <v>82.678402307557306</v>
      </c>
      <c r="AM4180">
        <v>98.684027902803706</v>
      </c>
      <c r="AN4180">
        <v>1.00000003913794</v>
      </c>
    </row>
    <row r="4181" spans="1:40" x14ac:dyDescent="0.3">
      <c r="A4181" t="str">
        <f>"20200111150112465"</f>
        <v>20200111150112465</v>
      </c>
      <c r="B4181" t="str">
        <f>"1578726072462440"</f>
        <v>1578726072462440</v>
      </c>
      <c r="C4181" t="s">
        <v>40</v>
      </c>
      <c r="D4181">
        <v>4.451193</v>
      </c>
      <c r="E4181">
        <v>0.51711799999999997</v>
      </c>
      <c r="F4181" t="s">
        <v>88</v>
      </c>
      <c r="G4181">
        <v>-371.70530000000002</v>
      </c>
      <c r="H4181" s="1">
        <v>-4.2641049999999999E-6</v>
      </c>
      <c r="I4181">
        <v>17.5718</v>
      </c>
      <c r="J4181">
        <v>-385.80990000000003</v>
      </c>
      <c r="K4181">
        <v>1.109394</v>
      </c>
      <c r="L4181">
        <v>17.580929999999999</v>
      </c>
      <c r="M4181">
        <v>0.99430079999999998</v>
      </c>
      <c r="N4181">
        <v>0</v>
      </c>
      <c r="O4181">
        <v>-0.10605729999999999</v>
      </c>
      <c r="P4181">
        <v>0.99218019999999996</v>
      </c>
      <c r="Q4181">
        <v>0.1177858</v>
      </c>
      <c r="R4181">
        <v>4.1292490000000001E-2</v>
      </c>
      <c r="S4181">
        <v>3.052155</v>
      </c>
      <c r="T4181">
        <v>-0.23634959999999999</v>
      </c>
      <c r="U4181">
        <v>-6.3476560000000001E-3</v>
      </c>
      <c r="V4181">
        <v>-0.1478061</v>
      </c>
      <c r="W4181">
        <v>0.12668789999999999</v>
      </c>
      <c r="X4181">
        <v>0.98086879999999999</v>
      </c>
      <c r="Y4181">
        <v>-0.1033693</v>
      </c>
      <c r="Z4181">
        <v>1.2185430000000001E-2</v>
      </c>
      <c r="AA4181">
        <v>0.99456840000000002</v>
      </c>
      <c r="AB4181">
        <v>32</v>
      </c>
      <c r="AC4181">
        <v>14.1046</v>
      </c>
      <c r="AD4181">
        <v>-1.109398264105</v>
      </c>
      <c r="AE4181">
        <v>-9.1299999999989705E-3</v>
      </c>
      <c r="AF4181">
        <v>-1.4777630310165699</v>
      </c>
      <c r="AG4181">
        <v>-1.109398264105</v>
      </c>
      <c r="AH4181">
        <v>13.9397692861272</v>
      </c>
      <c r="AI4181">
        <v>94.525051402703397</v>
      </c>
      <c r="AJ4181">
        <v>96.0513574968016</v>
      </c>
      <c r="AK4181">
        <v>14.0617109853209</v>
      </c>
      <c r="AL4181">
        <v>82.721759918836696</v>
      </c>
      <c r="AM4181">
        <v>98.569367606899803</v>
      </c>
      <c r="AN4181">
        <v>1.0000000350085201</v>
      </c>
    </row>
    <row r="4182" spans="1:40" x14ac:dyDescent="0.3">
      <c r="A4182" t="str">
        <f>"20200111150112478"</f>
        <v>20200111150112478</v>
      </c>
      <c r="B4182" t="str">
        <f>"1578726072472200"</f>
        <v>1578726072472200</v>
      </c>
      <c r="C4182" t="s">
        <v>40</v>
      </c>
      <c r="D4182">
        <v>4.7557869999999998</v>
      </c>
      <c r="E4182">
        <v>0.5176347</v>
      </c>
      <c r="F4182" t="s">
        <v>88</v>
      </c>
      <c r="G4182">
        <v>-371.73860000000002</v>
      </c>
      <c r="H4182" s="1">
        <v>-4.25195E-6</v>
      </c>
      <c r="I4182">
        <v>17.55153</v>
      </c>
      <c r="J4182">
        <v>-385.63220000000001</v>
      </c>
      <c r="K4182">
        <v>1.109432</v>
      </c>
      <c r="L4182">
        <v>17.56503</v>
      </c>
      <c r="M4182">
        <v>0.99465130000000002</v>
      </c>
      <c r="N4182">
        <v>0</v>
      </c>
      <c r="O4182">
        <v>-0.1027182</v>
      </c>
      <c r="P4182">
        <v>0.99210830000000005</v>
      </c>
      <c r="Q4182">
        <v>0.1175712</v>
      </c>
      <c r="R4182">
        <v>4.3572069999999997E-2</v>
      </c>
      <c r="S4182">
        <v>3.0524900000000001</v>
      </c>
      <c r="T4182">
        <v>-0.2406626</v>
      </c>
      <c r="U4182">
        <v>-6.3781740000000003E-3</v>
      </c>
      <c r="V4182">
        <v>-0.14677850000000001</v>
      </c>
      <c r="W4182">
        <v>0.1264817</v>
      </c>
      <c r="X4182">
        <v>0.98104970000000002</v>
      </c>
      <c r="Y4182">
        <v>-0.1000173</v>
      </c>
      <c r="Z4182">
        <v>1.201206E-2</v>
      </c>
      <c r="AA4182">
        <v>0.99491320000000005</v>
      </c>
      <c r="AB4182">
        <v>32</v>
      </c>
      <c r="AC4182">
        <v>13.8935999999999</v>
      </c>
      <c r="AD4182">
        <v>-1.1094362519499901</v>
      </c>
      <c r="AE4182">
        <v>-1.3500000000000499E-2</v>
      </c>
      <c r="AF4182">
        <v>-1.40482334060515</v>
      </c>
      <c r="AG4182">
        <v>-1.1094362519499901</v>
      </c>
      <c r="AH4182">
        <v>13.7339150831467</v>
      </c>
      <c r="AI4182">
        <v>94.5944988518158</v>
      </c>
      <c r="AJ4182">
        <v>95.840393963980901</v>
      </c>
      <c r="AK4182">
        <v>13.8500830656908</v>
      </c>
      <c r="AL4182">
        <v>82.733670088366296</v>
      </c>
      <c r="AM4182">
        <v>98.509119466214301</v>
      </c>
      <c r="AN4182">
        <v>1.0000000311836099</v>
      </c>
    </row>
    <row r="4183" spans="1:40" x14ac:dyDescent="0.3">
      <c r="A4183" t="str">
        <f>"20200111150112489"</f>
        <v>20200111150112489</v>
      </c>
      <c r="B4183" t="str">
        <f>"1578726072481961"</f>
        <v>1578726072481961</v>
      </c>
      <c r="C4183" t="s">
        <v>40</v>
      </c>
      <c r="D4183">
        <v>4.4409559999999999</v>
      </c>
      <c r="E4183">
        <v>0.51798869999999997</v>
      </c>
      <c r="F4183" t="s">
        <v>88</v>
      </c>
      <c r="G4183">
        <v>-370.86110000000002</v>
      </c>
      <c r="H4183" s="1">
        <v>-4.6674969999999999E-6</v>
      </c>
      <c r="I4183">
        <v>17.5473</v>
      </c>
      <c r="J4183">
        <v>-385.46449999999999</v>
      </c>
      <c r="K4183">
        <v>1.1094569999999999</v>
      </c>
      <c r="L4183">
        <v>17.550719999999998</v>
      </c>
      <c r="M4183">
        <v>0.99497250000000004</v>
      </c>
      <c r="N4183">
        <v>0</v>
      </c>
      <c r="O4183">
        <v>-9.9557900000000005E-2</v>
      </c>
      <c r="P4183">
        <v>0.99201530000000004</v>
      </c>
      <c r="Q4183">
        <v>0.1175455</v>
      </c>
      <c r="R4183">
        <v>4.5704750000000002E-2</v>
      </c>
      <c r="S4183">
        <v>3.0511469999999998</v>
      </c>
      <c r="T4183">
        <v>-0.22916719999999999</v>
      </c>
      <c r="U4183">
        <v>-3.6621090000000002E-3</v>
      </c>
      <c r="V4183">
        <v>-0.14577860000000001</v>
      </c>
      <c r="W4183">
        <v>0.126467</v>
      </c>
      <c r="X4183">
        <v>0.98120059999999998</v>
      </c>
      <c r="Y4183">
        <v>-9.7814200000000004E-2</v>
      </c>
      <c r="Z4183">
        <v>1.112632E-2</v>
      </c>
      <c r="AA4183">
        <v>0.99514250000000004</v>
      </c>
      <c r="AB4183">
        <v>32</v>
      </c>
      <c r="AC4183">
        <v>14.603399999999899</v>
      </c>
      <c r="AD4183">
        <v>-1.1094616674969999</v>
      </c>
      <c r="AE4183">
        <v>-3.4200000000019701E-3</v>
      </c>
      <c r="AF4183">
        <v>-1.4422421440886199</v>
      </c>
      <c r="AG4183">
        <v>-1.1094616674969999</v>
      </c>
      <c r="AH4183">
        <v>14.4477881177804</v>
      </c>
      <c r="AI4183">
        <v>94.369556105153805</v>
      </c>
      <c r="AJ4183">
        <v>95.700632869658605</v>
      </c>
      <c r="AK4183">
        <v>14.5619212018919</v>
      </c>
      <c r="AL4183">
        <v>82.734518633506198</v>
      </c>
      <c r="AM4183">
        <v>98.450711756560594</v>
      </c>
      <c r="AN4183">
        <v>0.99999995987365897</v>
      </c>
    </row>
    <row r="4184" spans="1:40" x14ac:dyDescent="0.3">
      <c r="A4184" t="str">
        <f>"20200111150112502"</f>
        <v>20200111150112502</v>
      </c>
      <c r="B4184" t="str">
        <f>"1578726072491720"</f>
        <v>1578726072491720</v>
      </c>
      <c r="C4184" t="s">
        <v>40</v>
      </c>
      <c r="D4184">
        <v>4.4462419999999998</v>
      </c>
      <c r="E4184">
        <v>0.51829179999999997</v>
      </c>
      <c r="F4184" t="s">
        <v>87</v>
      </c>
      <c r="G4184">
        <v>-369.98309999999998</v>
      </c>
      <c r="H4184" s="1">
        <v>-5.5647019999999999E-7</v>
      </c>
      <c r="I4184">
        <v>17.550879999999999</v>
      </c>
      <c r="J4184">
        <v>-385.29180000000002</v>
      </c>
      <c r="K4184">
        <v>1.1094790000000001</v>
      </c>
      <c r="L4184">
        <v>17.53632</v>
      </c>
      <c r="M4184">
        <v>0.99529279999999998</v>
      </c>
      <c r="N4184">
        <v>0</v>
      </c>
      <c r="O4184">
        <v>-9.6303630000000001E-2</v>
      </c>
      <c r="P4184">
        <v>0.99186620000000003</v>
      </c>
      <c r="Q4184">
        <v>0.11791889999999899</v>
      </c>
      <c r="R4184">
        <v>4.7927259999999999E-2</v>
      </c>
      <c r="S4184">
        <v>3.050049</v>
      </c>
      <c r="T4184">
        <v>-0.2185793</v>
      </c>
      <c r="U4184" s="1">
        <v>3.0517579999999999E-5</v>
      </c>
      <c r="V4184">
        <v>-0.14477570000000001</v>
      </c>
      <c r="W4184">
        <v>0.12685150000000001</v>
      </c>
      <c r="X4184">
        <v>0.98129949999999999</v>
      </c>
      <c r="Y4184">
        <v>-9.5827109999999993E-2</v>
      </c>
      <c r="Z4184">
        <v>1.031434E-2</v>
      </c>
      <c r="AA4184">
        <v>0.99534460000000002</v>
      </c>
      <c r="AB4184">
        <v>32</v>
      </c>
      <c r="AC4184">
        <v>15.3087</v>
      </c>
      <c r="AD4184">
        <v>-1.1094795564702</v>
      </c>
      <c r="AE4184">
        <v>1.45599999999994E-2</v>
      </c>
      <c r="AF4184">
        <v>-1.4810832700800001</v>
      </c>
      <c r="AG4184">
        <v>-1.1094795564702</v>
      </c>
      <c r="AH4184">
        <v>15.1565257140527</v>
      </c>
      <c r="AI4184">
        <v>94.166889174968702</v>
      </c>
      <c r="AJ4184">
        <v>95.5811766684144</v>
      </c>
      <c r="AK4184">
        <v>15.2690806619088</v>
      </c>
      <c r="AL4184">
        <v>82.712309888751093</v>
      </c>
      <c r="AM4184">
        <v>98.392571270634704</v>
      </c>
      <c r="AN4184">
        <v>1.0000000075314901</v>
      </c>
    </row>
    <row r="4185" spans="1:40" x14ac:dyDescent="0.3">
      <c r="A4185" t="str">
        <f>"20200111150112514"</f>
        <v>20200111150112514</v>
      </c>
      <c r="B4185" t="str">
        <f>"1578726072502456"</f>
        <v>1578726072502456</v>
      </c>
      <c r="C4185" t="s">
        <v>40</v>
      </c>
      <c r="D4185">
        <v>4.4824669999999998</v>
      </c>
      <c r="E4185">
        <v>0.51838580000000001</v>
      </c>
      <c r="F4185" t="s">
        <v>87</v>
      </c>
      <c r="G4185">
        <v>-369.06150000000002</v>
      </c>
      <c r="H4185" s="1">
        <v>-9.0773690000000003E-7</v>
      </c>
      <c r="I4185">
        <v>17.560839999999999</v>
      </c>
      <c r="J4185">
        <v>-385.12270000000001</v>
      </c>
      <c r="K4185">
        <v>1.1094900000000001</v>
      </c>
      <c r="L4185">
        <v>17.523009999999999</v>
      </c>
      <c r="M4185">
        <v>0.99559520000000001</v>
      </c>
      <c r="N4185">
        <v>0</v>
      </c>
      <c r="O4185">
        <v>-9.3123709999999998E-2</v>
      </c>
      <c r="P4185">
        <v>0.99177660000000001</v>
      </c>
      <c r="Q4185">
        <v>0.1178075</v>
      </c>
      <c r="R4185">
        <v>5.0007269999999999E-2</v>
      </c>
      <c r="S4185">
        <v>3.0491329999999999</v>
      </c>
      <c r="T4185">
        <v>-0.20843449999999999</v>
      </c>
      <c r="U4185">
        <v>4.6081539999999997E-3</v>
      </c>
      <c r="V4185">
        <v>-0.1437012</v>
      </c>
      <c r="W4185">
        <v>0.12675699999999901</v>
      </c>
      <c r="X4185">
        <v>0.98146960000000005</v>
      </c>
      <c r="Y4185">
        <v>-9.4197130000000004E-2</v>
      </c>
      <c r="Z4185">
        <v>9.5677769999999995E-3</v>
      </c>
      <c r="AA4185">
        <v>0.99550760000000005</v>
      </c>
      <c r="AB4185">
        <v>32</v>
      </c>
      <c r="AC4185">
        <v>16.0611999999999</v>
      </c>
      <c r="AD4185">
        <v>-1.1094909077369</v>
      </c>
      <c r="AE4185">
        <v>3.7829999999999503E-2</v>
      </c>
      <c r="AF4185">
        <v>-1.5261499074501601</v>
      </c>
      <c r="AG4185">
        <v>-1.1094909077369</v>
      </c>
      <c r="AH4185">
        <v>15.911945623095701</v>
      </c>
      <c r="AI4185">
        <v>93.970440560063295</v>
      </c>
      <c r="AJ4185">
        <v>95.478606472725403</v>
      </c>
      <c r="AK4185">
        <v>16.0234240138216</v>
      </c>
      <c r="AL4185">
        <v>82.717768155532099</v>
      </c>
      <c r="AM4185">
        <v>98.329736905869396</v>
      </c>
      <c r="AN4185">
        <v>0.99999997382729899</v>
      </c>
    </row>
    <row r="4186" spans="1:40" x14ac:dyDescent="0.3">
      <c r="A4186" t="str">
        <f>"20200111150112527"</f>
        <v>20200111150112527</v>
      </c>
      <c r="B4186" t="str">
        <f>"1578726072521977"</f>
        <v>1578726072521977</v>
      </c>
      <c r="C4186" t="s">
        <v>40</v>
      </c>
      <c r="D4186">
        <v>4.4775669999999996</v>
      </c>
      <c r="E4186">
        <v>0.5187621</v>
      </c>
      <c r="F4186" t="s">
        <v>87</v>
      </c>
      <c r="G4186">
        <v>-368.03570000000002</v>
      </c>
      <c r="H4186" s="1">
        <v>-1.296057E-6</v>
      </c>
      <c r="I4186">
        <v>17.581859999999999</v>
      </c>
      <c r="J4186">
        <v>-384.92950000000002</v>
      </c>
      <c r="K4186">
        <v>1.1094949999999999</v>
      </c>
      <c r="L4186">
        <v>17.508299999999998</v>
      </c>
      <c r="M4186">
        <v>0.99592709999999995</v>
      </c>
      <c r="N4186">
        <v>0</v>
      </c>
      <c r="O4186">
        <v>-8.9502460000000006E-2</v>
      </c>
      <c r="P4186">
        <v>0.99165049999999999</v>
      </c>
      <c r="Q4186">
        <v>0.1178362</v>
      </c>
      <c r="R4186">
        <v>5.2386349999999998E-2</v>
      </c>
      <c r="S4186">
        <v>3.0478519999999998</v>
      </c>
      <c r="T4186">
        <v>-0.19790350000000001</v>
      </c>
      <c r="U4186">
        <v>1.049805E-2</v>
      </c>
      <c r="V4186">
        <v>-0.142488</v>
      </c>
      <c r="W4186">
        <v>0.1268061</v>
      </c>
      <c r="X4186">
        <v>0.98164019999999996</v>
      </c>
      <c r="Y4186">
        <v>-9.2554769999999995E-2</v>
      </c>
      <c r="Z4186">
        <v>8.8019009999999905E-3</v>
      </c>
      <c r="AA4186">
        <v>0.99566869999999996</v>
      </c>
      <c r="AB4186">
        <v>32</v>
      </c>
      <c r="AC4186">
        <v>16.893799999999999</v>
      </c>
      <c r="AD4186">
        <v>-1.1094962960570001</v>
      </c>
      <c r="AE4186">
        <v>7.35600000000005E-2</v>
      </c>
      <c r="AF4186">
        <v>-1.5785824379459199</v>
      </c>
      <c r="AG4186">
        <v>-1.1094962960570001</v>
      </c>
      <c r="AH4186">
        <v>16.747174085479699</v>
      </c>
      <c r="AI4186">
        <v>93.773614659885993</v>
      </c>
      <c r="AJ4186">
        <v>95.384768933403507</v>
      </c>
      <c r="AK4186">
        <v>16.8579578951224</v>
      </c>
      <c r="AL4186">
        <v>82.714932602892105</v>
      </c>
      <c r="AM4186">
        <v>98.258971640957597</v>
      </c>
      <c r="AN4186">
        <v>1.0000000496986201</v>
      </c>
    </row>
    <row r="4187" spans="1:40" x14ac:dyDescent="0.3">
      <c r="A4187" t="str">
        <f>"20200111150112543"</f>
        <v>20200111150112543</v>
      </c>
      <c r="B4187" t="str">
        <f>"1578726072531736"</f>
        <v>1578726072531736</v>
      </c>
      <c r="C4187" t="s">
        <v>40</v>
      </c>
      <c r="D4187">
        <v>4.4328050000000001</v>
      </c>
      <c r="E4187">
        <v>0.51886019999999999</v>
      </c>
      <c r="F4187" t="s">
        <v>87</v>
      </c>
      <c r="G4187">
        <v>-368.50850000000003</v>
      </c>
      <c r="H4187" s="1">
        <v>-1.112173E-6</v>
      </c>
      <c r="I4187">
        <v>17.59065</v>
      </c>
      <c r="J4187">
        <v>-384.7079</v>
      </c>
      <c r="K4187">
        <v>1.1094869999999999</v>
      </c>
      <c r="L4187">
        <v>17.49222</v>
      </c>
      <c r="M4187">
        <v>0.9962898</v>
      </c>
      <c r="N4187">
        <v>0</v>
      </c>
      <c r="O4187">
        <v>-8.537024E-2</v>
      </c>
      <c r="P4187">
        <v>0.99157260000000003</v>
      </c>
      <c r="Q4187">
        <v>0.1176421</v>
      </c>
      <c r="R4187">
        <v>5.4262640000000001E-2</v>
      </c>
      <c r="S4187">
        <v>3.0489199999999999</v>
      </c>
      <c r="T4187">
        <v>-0.20600270000000001</v>
      </c>
      <c r="U4187">
        <v>1.528931E-2</v>
      </c>
      <c r="V4187">
        <v>-0.14026939999999999</v>
      </c>
      <c r="W4187">
        <v>0.12665000000000001</v>
      </c>
      <c r="X4187">
        <v>0.98197979999999996</v>
      </c>
      <c r="Y4187">
        <v>-8.997107E-2</v>
      </c>
      <c r="Z4187">
        <v>8.7928850000000003E-3</v>
      </c>
      <c r="AA4187">
        <v>0.99590559999999995</v>
      </c>
      <c r="AB4187">
        <v>32</v>
      </c>
      <c r="AC4187">
        <v>16.199399999999901</v>
      </c>
      <c r="AD4187">
        <v>-1.109488112173</v>
      </c>
      <c r="AE4187">
        <v>9.8430000000000406E-2</v>
      </c>
      <c r="AF4187">
        <v>-1.4741844130595601</v>
      </c>
      <c r="AG4187">
        <v>-1.109488112173</v>
      </c>
      <c r="AH4187">
        <v>16.056534984035299</v>
      </c>
      <c r="AI4187">
        <v>93.9362862307961</v>
      </c>
      <c r="AJ4187">
        <v>95.245740008658402</v>
      </c>
      <c r="AK4187">
        <v>16.162193515990001</v>
      </c>
      <c r="AL4187">
        <v>82.723949006167103</v>
      </c>
      <c r="AM4187">
        <v>98.1293345034304</v>
      </c>
      <c r="AN4187">
        <v>1.0000000273421901</v>
      </c>
    </row>
    <row r="4188" spans="1:40" x14ac:dyDescent="0.3">
      <c r="A4188" t="str">
        <f>"20200111150112558"</f>
        <v>20200111150112558</v>
      </c>
      <c r="B4188" t="str">
        <f>"1578726072552232"</f>
        <v>1578726072552232</v>
      </c>
      <c r="C4188" t="s">
        <v>40</v>
      </c>
      <c r="D4188">
        <v>4.4186610000000002</v>
      </c>
      <c r="E4188">
        <v>0.51887929999999904</v>
      </c>
      <c r="F4188" t="s">
        <v>87</v>
      </c>
      <c r="G4188">
        <v>-368.19229999999999</v>
      </c>
      <c r="H4188" s="1">
        <v>-1.2300540000000001E-6</v>
      </c>
      <c r="I4188">
        <v>17.60398</v>
      </c>
      <c r="J4188">
        <v>-384.50189999999998</v>
      </c>
      <c r="K4188">
        <v>1.10947</v>
      </c>
      <c r="L4188">
        <v>17.478149999999999</v>
      </c>
      <c r="M4188">
        <v>0.99660859999999996</v>
      </c>
      <c r="N4188">
        <v>0</v>
      </c>
      <c r="O4188">
        <v>-8.1564280000000003E-2</v>
      </c>
      <c r="P4188">
        <v>0.99146909999999999</v>
      </c>
      <c r="Q4188">
        <v>0.1173469</v>
      </c>
      <c r="R4188">
        <v>5.6736790000000002E-2</v>
      </c>
      <c r="S4188">
        <v>3.048645</v>
      </c>
      <c r="T4188">
        <v>-0.20480229999999999</v>
      </c>
      <c r="U4188">
        <v>2.062988E-2</v>
      </c>
      <c r="V4188">
        <v>-0.13896159999999999</v>
      </c>
      <c r="W4188">
        <v>0.12638279999999999</v>
      </c>
      <c r="X4188">
        <v>0.98220010000000002</v>
      </c>
      <c r="Y4188">
        <v>-8.7929690000000005E-2</v>
      </c>
      <c r="Z4188">
        <v>8.4193529999999992E-3</v>
      </c>
      <c r="AA4188">
        <v>0.99609110000000001</v>
      </c>
      <c r="AB4188">
        <v>32</v>
      </c>
      <c r="AC4188">
        <v>16.3095999999999</v>
      </c>
      <c r="AD4188">
        <v>-1.1094712300539999</v>
      </c>
      <c r="AE4188">
        <v>0.12583</v>
      </c>
      <c r="AF4188">
        <v>-1.4490652113032301</v>
      </c>
      <c r="AG4188">
        <v>-1.1094712300539999</v>
      </c>
      <c r="AH4188">
        <v>16.170164656155301</v>
      </c>
      <c r="AI4188">
        <v>93.909423094095899</v>
      </c>
      <c r="AJ4188">
        <v>95.120797479495096</v>
      </c>
      <c r="AK4188">
        <v>16.272828316064199</v>
      </c>
      <c r="AL4188">
        <v>82.739382161913895</v>
      </c>
      <c r="AM4188">
        <v>98.052757093977405</v>
      </c>
      <c r="AN4188">
        <v>0.99999998742520402</v>
      </c>
    </row>
    <row r="4189" spans="1:40" x14ac:dyDescent="0.3">
      <c r="A4189" t="str">
        <f>"20200111150112570"</f>
        <v>20200111150112570</v>
      </c>
      <c r="B4189" t="str">
        <f>"1578726072562500"</f>
        <v>1578726072562500</v>
      </c>
      <c r="C4189" t="s">
        <v>40</v>
      </c>
      <c r="D4189">
        <v>4.4740970000000004</v>
      </c>
      <c r="E4189">
        <v>0.51891409999999905</v>
      </c>
      <c r="F4189" t="s">
        <v>87</v>
      </c>
      <c r="G4189">
        <v>-368.37009999999998</v>
      </c>
      <c r="H4189" s="1">
        <v>-1.155639E-6</v>
      </c>
      <c r="I4189">
        <v>17.627020000000002</v>
      </c>
      <c r="J4189">
        <v>-384.32389999999998</v>
      </c>
      <c r="K4189">
        <v>1.1094469999999901</v>
      </c>
      <c r="L4189">
        <v>17.466709999999999</v>
      </c>
      <c r="M4189">
        <v>0.99686909999999895</v>
      </c>
      <c r="N4189">
        <v>0</v>
      </c>
      <c r="O4189">
        <v>-7.8316910000000003E-2</v>
      </c>
      <c r="P4189">
        <v>0.99139489999999997</v>
      </c>
      <c r="Q4189">
        <v>0.11680409999999999</v>
      </c>
      <c r="R4189">
        <v>5.910352E-2</v>
      </c>
      <c r="S4189">
        <v>3.0490110000000001</v>
      </c>
      <c r="T4189">
        <v>-0.20969769999999999</v>
      </c>
      <c r="U4189">
        <v>2.8137209999999999E-2</v>
      </c>
      <c r="V4189">
        <v>-0.13809769999999999</v>
      </c>
      <c r="W4189">
        <v>0.125863</v>
      </c>
      <c r="X4189">
        <v>0.9823887</v>
      </c>
      <c r="Y4189">
        <v>-8.7127220000000005E-2</v>
      </c>
      <c r="Z4189">
        <v>8.3690050000000005E-3</v>
      </c>
      <c r="AA4189">
        <v>0.99616210000000005</v>
      </c>
      <c r="AB4189">
        <v>32</v>
      </c>
      <c r="AC4189">
        <v>15.953799999999999</v>
      </c>
      <c r="AD4189">
        <v>-1.1094481556389999</v>
      </c>
      <c r="AE4189">
        <v>0.16031000000000201</v>
      </c>
      <c r="AF4189">
        <v>-1.4025617860777799</v>
      </c>
      <c r="AG4189">
        <v>-1.1094481556389999</v>
      </c>
      <c r="AH4189">
        <v>15.8157593884732</v>
      </c>
      <c r="AI4189">
        <v>93.996991670721599</v>
      </c>
      <c r="AJ4189">
        <v>95.0678057778766</v>
      </c>
      <c r="AK4189">
        <v>15.916541703771401</v>
      </c>
      <c r="AL4189">
        <v>82.769404437482805</v>
      </c>
      <c r="AM4189">
        <v>98.001828580300696</v>
      </c>
      <c r="AN4189">
        <v>1.0000000137009899</v>
      </c>
    </row>
    <row r="4190" spans="1:40" x14ac:dyDescent="0.3">
      <c r="A4190" t="str">
        <f>"20200111150112582"</f>
        <v>20200111150112582</v>
      </c>
      <c r="B4190" t="str">
        <f>"1578726072572259"</f>
        <v>1578726072572259</v>
      </c>
      <c r="C4190" t="s">
        <v>40</v>
      </c>
      <c r="D4190">
        <v>4.5190409999999996</v>
      </c>
      <c r="E4190">
        <v>0.51941130000000002</v>
      </c>
      <c r="F4190" t="s">
        <v>87</v>
      </c>
      <c r="G4190">
        <v>-368.7312</v>
      </c>
      <c r="H4190" s="1">
        <v>-1.0120729999999999E-6</v>
      </c>
      <c r="I4190">
        <v>17.645379999999999</v>
      </c>
      <c r="J4190">
        <v>-384.15010000000001</v>
      </c>
      <c r="K4190">
        <v>1.1094200000000001</v>
      </c>
      <c r="L4190">
        <v>17.455839999999998</v>
      </c>
      <c r="M4190">
        <v>0.99711150000000004</v>
      </c>
      <c r="N4190">
        <v>0</v>
      </c>
      <c r="O4190">
        <v>-7.5166460000000004E-2</v>
      </c>
      <c r="P4190">
        <v>0.99132039999999999</v>
      </c>
      <c r="Q4190">
        <v>0.1163728</v>
      </c>
      <c r="R4190">
        <v>6.116775E-2</v>
      </c>
      <c r="S4190">
        <v>3.0495000000000001</v>
      </c>
      <c r="T4190">
        <v>-0.21697720000000001</v>
      </c>
      <c r="U4190">
        <v>3.4942630000000002E-2</v>
      </c>
      <c r="V4190">
        <v>-0.13702779999999901</v>
      </c>
      <c r="W4190">
        <v>0.12545799999999999</v>
      </c>
      <c r="X4190">
        <v>0.98259030000000003</v>
      </c>
      <c r="Y4190">
        <v>-8.6183629999999997E-2</v>
      </c>
      <c r="Z4190">
        <v>8.40049E-3</v>
      </c>
      <c r="AA4190">
        <v>0.99624380000000001</v>
      </c>
      <c r="AB4190">
        <v>32</v>
      </c>
      <c r="AC4190">
        <v>15.418900000000001</v>
      </c>
      <c r="AD4190">
        <v>-1.1094210120729999</v>
      </c>
      <c r="AE4190">
        <v>0.18953999999999999</v>
      </c>
      <c r="AF4190">
        <v>-1.3411145999071501</v>
      </c>
      <c r="AG4190">
        <v>-1.1094210120729999</v>
      </c>
      <c r="AH4190">
        <v>15.2819228654201</v>
      </c>
      <c r="AI4190">
        <v>94.136372544075002</v>
      </c>
      <c r="AJ4190">
        <v>95.015327705390504</v>
      </c>
      <c r="AK4190">
        <v>15.380720718378701</v>
      </c>
      <c r="AL4190">
        <v>82.792794627752201</v>
      </c>
      <c r="AM4190">
        <v>97.939020480307306</v>
      </c>
      <c r="AN4190">
        <v>1.00000001269546</v>
      </c>
    </row>
    <row r="4191" spans="1:40" x14ac:dyDescent="0.3">
      <c r="A4191" t="str">
        <f>"20200111150112601"</f>
        <v>20200111150112601</v>
      </c>
      <c r="B4191" t="str">
        <f>"1578726072591779"</f>
        <v>1578726072591779</v>
      </c>
      <c r="C4191" t="s">
        <v>40</v>
      </c>
      <c r="D4191">
        <v>4.4643059999999997</v>
      </c>
      <c r="E4191">
        <v>0.5193141</v>
      </c>
      <c r="F4191" t="s">
        <v>87</v>
      </c>
      <c r="G4191">
        <v>-369.142</v>
      </c>
      <c r="H4191" s="1">
        <v>-8.5569329999999996E-7</v>
      </c>
      <c r="I4191">
        <v>17.640219999999999</v>
      </c>
      <c r="J4191">
        <v>-383.89080000000001</v>
      </c>
      <c r="K4191">
        <v>1.109364</v>
      </c>
      <c r="L4191">
        <v>17.4407</v>
      </c>
      <c r="M4191">
        <v>0.99744739999999998</v>
      </c>
      <c r="N4191">
        <v>0</v>
      </c>
      <c r="O4191">
        <v>-7.0567999999999895E-2</v>
      </c>
      <c r="P4191">
        <v>0.99113819999999997</v>
      </c>
      <c r="Q4191">
        <v>0.1163487</v>
      </c>
      <c r="R4191">
        <v>6.4094070000000003E-2</v>
      </c>
      <c r="S4191">
        <v>3.0503849999999999</v>
      </c>
      <c r="T4191">
        <v>-0.2254893</v>
      </c>
      <c r="U4191">
        <v>3.7475590000000003E-2</v>
      </c>
      <c r="V4191">
        <v>-0.1353761</v>
      </c>
      <c r="W4191">
        <v>0.1254798</v>
      </c>
      <c r="X4191">
        <v>0.98281649999999998</v>
      </c>
      <c r="Y4191">
        <v>-8.2403660000000004E-2</v>
      </c>
      <c r="Z4191">
        <v>8.248254E-3</v>
      </c>
      <c r="AA4191">
        <v>0.99656489999999998</v>
      </c>
      <c r="AB4191">
        <v>32</v>
      </c>
      <c r="AC4191">
        <v>14.748799999999999</v>
      </c>
      <c r="AD4191">
        <v>-1.1093648556933</v>
      </c>
      <c r="AE4191">
        <v>0.199520000000003</v>
      </c>
      <c r="AF4191">
        <v>-1.23290364963934</v>
      </c>
      <c r="AG4191">
        <v>-1.1093648556933</v>
      </c>
      <c r="AH4191">
        <v>14.615273027902401</v>
      </c>
      <c r="AI4191">
        <v>94.325379356361793</v>
      </c>
      <c r="AJ4191">
        <v>94.821895943381705</v>
      </c>
      <c r="AK4191">
        <v>14.709077043529</v>
      </c>
      <c r="AL4191">
        <v>82.791536050712594</v>
      </c>
      <c r="AM4191">
        <v>97.842740982492401</v>
      </c>
      <c r="AN4191">
        <v>1.0000000706657399</v>
      </c>
    </row>
    <row r="4192" spans="1:40" x14ac:dyDescent="0.3">
      <c r="A4192" t="str">
        <f>"20200111150112614"</f>
        <v>20200111150112614</v>
      </c>
      <c r="B4192" t="str">
        <f>"1578726072612274"</f>
        <v>1578726072612274</v>
      </c>
      <c r="C4192" t="s">
        <v>40</v>
      </c>
      <c r="D4192">
        <v>4.4181379999999999</v>
      </c>
      <c r="E4192">
        <v>0.51974049999999905</v>
      </c>
      <c r="F4192" t="s">
        <v>87</v>
      </c>
      <c r="G4192">
        <v>-368.56709999999998</v>
      </c>
      <c r="H4192" s="1">
        <v>-1.066368E-6</v>
      </c>
      <c r="I4192">
        <v>17.678229999999999</v>
      </c>
      <c r="J4192">
        <v>-383.6977</v>
      </c>
      <c r="K4192">
        <v>1.109305</v>
      </c>
      <c r="L4192">
        <v>17.430299999999999</v>
      </c>
      <c r="M4192">
        <v>0.99767740000000005</v>
      </c>
      <c r="N4192">
        <v>0</v>
      </c>
      <c r="O4192">
        <v>-6.7237729999999996E-2</v>
      </c>
      <c r="P4192">
        <v>0.99092499999999994</v>
      </c>
      <c r="Q4192">
        <v>0.11644400000000001</v>
      </c>
      <c r="R4192">
        <v>6.7146330000000004E-2</v>
      </c>
      <c r="S4192">
        <v>3.0496829999999999</v>
      </c>
      <c r="T4192">
        <v>-0.22078229999999999</v>
      </c>
      <c r="U4192">
        <v>4.7271729999999998E-2</v>
      </c>
      <c r="V4192">
        <v>-0.13510320000000001</v>
      </c>
      <c r="W4192">
        <v>0.12559989999999999</v>
      </c>
      <c r="X4192">
        <v>0.98283860000000001</v>
      </c>
      <c r="Y4192">
        <v>-8.2306050000000006E-2</v>
      </c>
      <c r="Z4192">
        <v>7.8344069999999998E-3</v>
      </c>
      <c r="AA4192">
        <v>0.99657629999999997</v>
      </c>
      <c r="AB4192">
        <v>32</v>
      </c>
      <c r="AC4192">
        <v>15.130599999999999</v>
      </c>
      <c r="AD4192">
        <v>-1.1093060663680001</v>
      </c>
      <c r="AE4192">
        <v>0.24793000000000001</v>
      </c>
      <c r="AF4192">
        <v>-1.2580163345928499</v>
      </c>
      <c r="AG4192">
        <v>-1.1093060663680001</v>
      </c>
      <c r="AH4192">
        <v>14.999083220677999</v>
      </c>
      <c r="AI4192">
        <v>94.215049064224303</v>
      </c>
      <c r="AJ4192">
        <v>94.794340969972097</v>
      </c>
      <c r="AK4192">
        <v>15.0925697781328</v>
      </c>
      <c r="AL4192">
        <v>82.784599162478798</v>
      </c>
      <c r="AM4192">
        <v>97.826953411722101</v>
      </c>
      <c r="AN4192">
        <v>0.99999996159010396</v>
      </c>
    </row>
    <row r="4193" spans="1:40" x14ac:dyDescent="0.3">
      <c r="A4193" t="str">
        <f>"20200111150112633"</f>
        <v>20200111150112633</v>
      </c>
      <c r="B4193" t="str">
        <f>"1578726072622035"</f>
        <v>1578726072622035</v>
      </c>
      <c r="C4193" t="s">
        <v>40</v>
      </c>
      <c r="D4193">
        <v>4.5428119999999996</v>
      </c>
      <c r="E4193">
        <v>0.5199781</v>
      </c>
      <c r="F4193" t="s">
        <v>87</v>
      </c>
      <c r="G4193">
        <v>-368.66030000000001</v>
      </c>
      <c r="H4193" s="1">
        <v>-1.026123E-6</v>
      </c>
      <c r="I4193">
        <v>17.694929999999999</v>
      </c>
      <c r="J4193">
        <v>-383.43450000000001</v>
      </c>
      <c r="K4193">
        <v>1.1092169999999999</v>
      </c>
      <c r="L4193">
        <v>17.416929999999901</v>
      </c>
      <c r="M4193">
        <v>0.9979671</v>
      </c>
      <c r="N4193">
        <v>0</v>
      </c>
      <c r="O4193">
        <v>-6.2791260000000002E-2</v>
      </c>
      <c r="P4193">
        <v>0.99058139999999995</v>
      </c>
      <c r="Q4193">
        <v>0.1167673</v>
      </c>
      <c r="R4193">
        <v>7.1511749999999999E-2</v>
      </c>
      <c r="S4193">
        <v>3.0502929999999999</v>
      </c>
      <c r="T4193">
        <v>-0.22501959999999999</v>
      </c>
      <c r="U4193">
        <v>5.368042E-2</v>
      </c>
      <c r="V4193">
        <v>-0.13502439999999999</v>
      </c>
      <c r="W4193">
        <v>0.12595429999999999</v>
      </c>
      <c r="X4193">
        <v>0.98280409999999996</v>
      </c>
      <c r="Y4193">
        <v>-7.9958559999999998E-2</v>
      </c>
      <c r="Z4193">
        <v>7.5691209999999998E-3</v>
      </c>
      <c r="AA4193">
        <v>0.99676940000000003</v>
      </c>
      <c r="AB4193">
        <v>32</v>
      </c>
      <c r="AC4193">
        <v>14.7742</v>
      </c>
      <c r="AD4193">
        <v>-1.10921802612299</v>
      </c>
      <c r="AE4193">
        <v>0.27800000000000202</v>
      </c>
      <c r="AF4193">
        <v>-1.1984442585847901</v>
      </c>
      <c r="AG4193">
        <v>-1.10921802612299</v>
      </c>
      <c r="AH4193">
        <v>14.645064521817501</v>
      </c>
      <c r="AI4193">
        <v>94.316940546939904</v>
      </c>
      <c r="AJ4193">
        <v>94.678240609215294</v>
      </c>
      <c r="AK4193">
        <v>14.7358253287221</v>
      </c>
      <c r="AL4193">
        <v>82.764131172032094</v>
      </c>
      <c r="AM4193">
        <v>97.822716009974798</v>
      </c>
      <c r="AN4193">
        <v>0.99999998663032896</v>
      </c>
    </row>
    <row r="4194" spans="1:40" x14ac:dyDescent="0.3">
      <c r="A4194" t="str">
        <f>"20200111150112647"</f>
        <v>20200111150112647</v>
      </c>
      <c r="B4194" t="str">
        <f>"1578726072641555"</f>
        <v>1578726072641555</v>
      </c>
      <c r="C4194" t="s">
        <v>40</v>
      </c>
      <c r="D4194">
        <v>4.3881739999999896</v>
      </c>
      <c r="E4194">
        <v>0.52044429999999997</v>
      </c>
      <c r="F4194" t="s">
        <v>87</v>
      </c>
      <c r="G4194">
        <v>-368.41079999999999</v>
      </c>
      <c r="H4194" s="1">
        <v>-1.1103279999999999E-6</v>
      </c>
      <c r="I4194">
        <v>17.738589999999999</v>
      </c>
      <c r="J4194">
        <v>-383.23950000000002</v>
      </c>
      <c r="K4194">
        <v>1.109138</v>
      </c>
      <c r="L4194">
        <v>17.407620000000001</v>
      </c>
      <c r="M4194">
        <v>0.99816309999999997</v>
      </c>
      <c r="N4194">
        <v>0</v>
      </c>
      <c r="O4194">
        <v>-5.9595950000000002E-2</v>
      </c>
      <c r="P4194">
        <v>0.99025649999999998</v>
      </c>
      <c r="Q4194">
        <v>0.1172081</v>
      </c>
      <c r="R4194">
        <v>7.5195239999999997E-2</v>
      </c>
      <c r="S4194">
        <v>3.050354</v>
      </c>
      <c r="T4194">
        <v>-0.2252113</v>
      </c>
      <c r="U4194">
        <v>6.5307619999999997E-2</v>
      </c>
      <c r="V4194">
        <v>-0.1355094</v>
      </c>
      <c r="W4194">
        <v>0.126415</v>
      </c>
      <c r="X4194">
        <v>0.98267819999999995</v>
      </c>
      <c r="Y4194">
        <v>-8.0571399999999904E-2</v>
      </c>
      <c r="Z4194">
        <v>7.3625219999999998E-3</v>
      </c>
      <c r="AA4194">
        <v>0.99672159999999999</v>
      </c>
      <c r="AB4194">
        <v>32</v>
      </c>
      <c r="AC4194">
        <v>14.8287</v>
      </c>
      <c r="AD4194">
        <v>-1.1091391103279999</v>
      </c>
      <c r="AE4194">
        <v>0.33096999999999699</v>
      </c>
      <c r="AF4194">
        <v>-1.2074130169186901</v>
      </c>
      <c r="AG4194">
        <v>-1.1091391103279999</v>
      </c>
      <c r="AH4194">
        <v>14.7004130396604</v>
      </c>
      <c r="AI4194">
        <v>94.300337739871495</v>
      </c>
      <c r="AJ4194">
        <v>94.695428093898599</v>
      </c>
      <c r="AK4194">
        <v>14.791557703504401</v>
      </c>
      <c r="AL4194">
        <v>82.737522392547902</v>
      </c>
      <c r="AM4194">
        <v>97.851458273108705</v>
      </c>
      <c r="AN4194">
        <v>0.9999999972343</v>
      </c>
    </row>
    <row r="4195" spans="1:40" x14ac:dyDescent="0.3">
      <c r="A4195" t="str">
        <f>"20200111150112661"</f>
        <v>20200111150112661</v>
      </c>
      <c r="B4195" t="str">
        <f>"1578726072652291"</f>
        <v>1578726072652291</v>
      </c>
      <c r="C4195" t="s">
        <v>40</v>
      </c>
      <c r="D4195">
        <v>4.4210789999999998</v>
      </c>
      <c r="E4195">
        <v>0.52071179999999995</v>
      </c>
      <c r="F4195" t="s">
        <v>87</v>
      </c>
      <c r="G4195">
        <v>-368.24180000000001</v>
      </c>
      <c r="H4195" s="1">
        <v>-1.167874E-6</v>
      </c>
      <c r="I4195">
        <v>17.766200000000001</v>
      </c>
      <c r="J4195">
        <v>-383.03410000000002</v>
      </c>
      <c r="K4195">
        <v>1.1090439999999999</v>
      </c>
      <c r="L4195">
        <v>17.39838</v>
      </c>
      <c r="M4195">
        <v>0.99835320000000005</v>
      </c>
      <c r="N4195">
        <v>0</v>
      </c>
      <c r="O4195">
        <v>-5.6321620000000003E-2</v>
      </c>
      <c r="P4195">
        <v>0.98989439999999995</v>
      </c>
      <c r="Q4195">
        <v>0.1178859</v>
      </c>
      <c r="R4195">
        <v>7.8818570000000004E-2</v>
      </c>
      <c r="S4195">
        <v>3.0506899999999999</v>
      </c>
      <c r="T4195">
        <v>-0.2256108</v>
      </c>
      <c r="U4195">
        <v>7.2937009999999997E-2</v>
      </c>
      <c r="V4195">
        <v>-0.13585269999999999</v>
      </c>
      <c r="W4195">
        <v>0.127120699999999</v>
      </c>
      <c r="X4195">
        <v>0.98253979999999996</v>
      </c>
      <c r="Y4195">
        <v>-7.9800940000000001E-2</v>
      </c>
      <c r="Z4195">
        <v>7.1045889999999997E-3</v>
      </c>
      <c r="AA4195">
        <v>0.99678549999999999</v>
      </c>
      <c r="AB4195">
        <v>32</v>
      </c>
      <c r="AC4195">
        <v>14.792299999999999</v>
      </c>
      <c r="AD4195">
        <v>-1.1090451678740001</v>
      </c>
      <c r="AE4195">
        <v>0.36782000000000098</v>
      </c>
      <c r="AF4195">
        <v>-1.19370597486844</v>
      </c>
      <c r="AG4195">
        <v>-1.1090451678740001</v>
      </c>
      <c r="AH4195">
        <v>14.665712029619799</v>
      </c>
      <c r="AI4195">
        <v>94.310369073809497</v>
      </c>
      <c r="AJ4195">
        <v>94.653294257124401</v>
      </c>
      <c r="AK4195">
        <v>14.755948782594601</v>
      </c>
      <c r="AL4195">
        <v>82.696760244942297</v>
      </c>
      <c r="AM4195">
        <v>97.872194997627901</v>
      </c>
      <c r="AN4195">
        <v>1.0000000435248999</v>
      </c>
    </row>
    <row r="4196" spans="1:40" x14ac:dyDescent="0.3">
      <c r="A4196" t="str">
        <f>"20200111150112678"</f>
        <v>20200111150112678</v>
      </c>
      <c r="B4196" t="str">
        <f>"1578726072671811"</f>
        <v>1578726072671811</v>
      </c>
      <c r="C4196" t="s">
        <v>40</v>
      </c>
      <c r="D4196">
        <v>4.5041849999999997</v>
      </c>
      <c r="E4196">
        <v>0.52143909999999905</v>
      </c>
      <c r="F4196" t="s">
        <v>87</v>
      </c>
      <c r="G4196">
        <v>-367.8159</v>
      </c>
      <c r="H4196" s="1">
        <v>-1.3537879999999999E-6</v>
      </c>
      <c r="I4196">
        <v>17.807300000000001</v>
      </c>
      <c r="J4196">
        <v>-382.78399999999999</v>
      </c>
      <c r="K4196">
        <v>1.1089020000000001</v>
      </c>
      <c r="L4196">
        <v>17.387999999999899</v>
      </c>
      <c r="M4196">
        <v>0.99855910000000003</v>
      </c>
      <c r="N4196">
        <v>0</v>
      </c>
      <c r="O4196">
        <v>-5.254735E-2</v>
      </c>
      <c r="P4196">
        <v>0.98936829999999998</v>
      </c>
      <c r="Q4196">
        <v>0.1195377</v>
      </c>
      <c r="R4196">
        <v>8.2833939999999995E-2</v>
      </c>
      <c r="S4196">
        <v>3.0505680000000002</v>
      </c>
      <c r="T4196">
        <v>-0.22231390000000001</v>
      </c>
      <c r="U4196">
        <v>8.1970210000000002E-2</v>
      </c>
      <c r="V4196">
        <v>-0.13608219999999999</v>
      </c>
      <c r="W4196">
        <v>0.12881509999999999</v>
      </c>
      <c r="X4196">
        <v>0.98228729999999997</v>
      </c>
      <c r="Y4196">
        <v>-7.9006519999999997E-2</v>
      </c>
      <c r="Z4196">
        <v>6.6977909999999998E-3</v>
      </c>
      <c r="AA4196">
        <v>0.99685159999999995</v>
      </c>
      <c r="AB4196">
        <v>32</v>
      </c>
      <c r="AC4196">
        <v>14.9680999999999</v>
      </c>
      <c r="AD4196">
        <v>-1.108903353788</v>
      </c>
      <c r="AE4196">
        <v>0.419300000000003</v>
      </c>
      <c r="AF4196">
        <v>-1.1987271753251001</v>
      </c>
      <c r="AG4196">
        <v>-1.108903353788</v>
      </c>
      <c r="AH4196">
        <v>14.843976362557701</v>
      </c>
      <c r="AI4196">
        <v>94.258472445234901</v>
      </c>
      <c r="AJ4196">
        <v>94.616909042051603</v>
      </c>
      <c r="AK4196">
        <v>14.9335276388761</v>
      </c>
      <c r="AL4196">
        <v>82.598873279246803</v>
      </c>
      <c r="AM4196">
        <v>97.887328019817204</v>
      </c>
      <c r="AN4196">
        <v>1.0000000174430601</v>
      </c>
    </row>
    <row r="4197" spans="1:40" x14ac:dyDescent="0.3">
      <c r="A4197" t="str">
        <f>"20200111150112691"</f>
        <v>20200111150112691</v>
      </c>
      <c r="B4197" t="str">
        <f>"1578726072681571"</f>
        <v>1578726072681571</v>
      </c>
      <c r="C4197" t="s">
        <v>40</v>
      </c>
      <c r="D4197">
        <v>4.3791630000000001</v>
      </c>
      <c r="E4197">
        <v>0.52189140000000001</v>
      </c>
      <c r="F4197" t="s">
        <v>87</v>
      </c>
      <c r="G4197">
        <v>-367.21120000000002</v>
      </c>
      <c r="H4197" s="1">
        <v>-1.6333460000000001E-6</v>
      </c>
      <c r="I4197">
        <v>17.84253</v>
      </c>
      <c r="J4197">
        <v>-382.60039999999998</v>
      </c>
      <c r="K4197">
        <v>1.108776</v>
      </c>
      <c r="L4197">
        <v>17.38092</v>
      </c>
      <c r="M4197">
        <v>0.99869399999999997</v>
      </c>
      <c r="N4197">
        <v>0</v>
      </c>
      <c r="O4197">
        <v>-4.9917940000000001E-2</v>
      </c>
      <c r="P4197">
        <v>0.9890274</v>
      </c>
      <c r="Q4197">
        <v>0.1205534</v>
      </c>
      <c r="R4197">
        <v>8.539273E-2</v>
      </c>
      <c r="S4197">
        <v>3.0510250000000001</v>
      </c>
      <c r="T4197">
        <v>-0.21725700000000001</v>
      </c>
      <c r="U4197">
        <v>8.9050290000000004E-2</v>
      </c>
      <c r="V4197">
        <v>-0.13599919999999999</v>
      </c>
      <c r="W4197">
        <v>0.12986909999999999</v>
      </c>
      <c r="X4197">
        <v>0.98216000000000003</v>
      </c>
      <c r="Y4197">
        <v>-7.8712379999999998E-2</v>
      </c>
      <c r="Z4197">
        <v>6.3473820000000004E-3</v>
      </c>
      <c r="AA4197">
        <v>0.99687709999999996</v>
      </c>
      <c r="AB4197">
        <v>32</v>
      </c>
      <c r="AC4197">
        <v>15.389199999999899</v>
      </c>
      <c r="AD4197">
        <v>-1.108777633346</v>
      </c>
      <c r="AE4197">
        <v>0.46161000000000002</v>
      </c>
      <c r="AF4197">
        <v>-1.2229345015061801</v>
      </c>
      <c r="AG4197">
        <v>-1.108777633346</v>
      </c>
      <c r="AH4197">
        <v>15.2677834944915</v>
      </c>
      <c r="AI4197">
        <v>94.1404301454494</v>
      </c>
      <c r="AJ4197">
        <v>94.579558587030505</v>
      </c>
      <c r="AK4197">
        <v>15.356762988007899</v>
      </c>
      <c r="AL4197">
        <v>82.537971942417002</v>
      </c>
      <c r="AM4197">
        <v>97.883586662116898</v>
      </c>
      <c r="AN4197">
        <v>1.00000001556772</v>
      </c>
    </row>
    <row r="4198" spans="1:40" x14ac:dyDescent="0.3">
      <c r="A4198" t="str">
        <f>"20200111150112704"</f>
        <v>20200111150112704</v>
      </c>
      <c r="B4198" t="str">
        <f>"1578726072702068"</f>
        <v>1578726072702068</v>
      </c>
      <c r="C4198" t="s">
        <v>40</v>
      </c>
      <c r="D4198">
        <v>4.3973380000000004</v>
      </c>
      <c r="E4198">
        <v>0.52278999999999998</v>
      </c>
      <c r="F4198" t="s">
        <v>87</v>
      </c>
      <c r="G4198">
        <v>-366.74099999999999</v>
      </c>
      <c r="H4198" s="1">
        <v>-1.851799E-6</v>
      </c>
      <c r="I4198">
        <v>17.864229999999999</v>
      </c>
      <c r="J4198">
        <v>-382.42239999999998</v>
      </c>
      <c r="K4198">
        <v>1.1086419999999999</v>
      </c>
      <c r="L4198">
        <v>17.374269999999999</v>
      </c>
      <c r="M4198">
        <v>0.99881430000000004</v>
      </c>
      <c r="N4198">
        <v>0</v>
      </c>
      <c r="O4198">
        <v>-4.7453219999999997E-2</v>
      </c>
      <c r="P4198">
        <v>0.98872360000000004</v>
      </c>
      <c r="Q4198">
        <v>0.1215555</v>
      </c>
      <c r="R4198">
        <v>8.7464929999999996E-2</v>
      </c>
      <c r="S4198">
        <v>3.0512700000000001</v>
      </c>
      <c r="T4198">
        <v>-0.21332309999999999</v>
      </c>
      <c r="U4198">
        <v>9.2987059999999996E-2</v>
      </c>
      <c r="V4198">
        <v>-0.13559260000000001</v>
      </c>
      <c r="W4198">
        <v>0.13091530000000001</v>
      </c>
      <c r="X4198">
        <v>0.98207730000000004</v>
      </c>
      <c r="Y4198">
        <v>-7.7555509999999994E-2</v>
      </c>
      <c r="Z4198">
        <v>6.0197769999999996E-3</v>
      </c>
      <c r="AA4198">
        <v>0.99696989999999996</v>
      </c>
      <c r="AB4198">
        <v>32</v>
      </c>
      <c r="AC4198">
        <v>15.681399999999901</v>
      </c>
      <c r="AD4198">
        <v>-1.1086438517989901</v>
      </c>
      <c r="AE4198">
        <v>0.48995999999999601</v>
      </c>
      <c r="AF4198">
        <v>-1.22745577942314</v>
      </c>
      <c r="AG4198">
        <v>-1.1086438517989901</v>
      </c>
      <c r="AH4198">
        <v>15.5627705329356</v>
      </c>
      <c r="AI4198">
        <v>94.062119040795693</v>
      </c>
      <c r="AJ4198">
        <v>94.509656428503206</v>
      </c>
      <c r="AK4198">
        <v>15.6504174238702</v>
      </c>
      <c r="AL4198">
        <v>82.477512779037994</v>
      </c>
      <c r="AM4198">
        <v>97.860965607651494</v>
      </c>
      <c r="AN4198">
        <v>0.99999999606207002</v>
      </c>
    </row>
    <row r="4199" spans="1:40" x14ac:dyDescent="0.3">
      <c r="A4199" t="str">
        <f>"20200111150112723"</f>
        <v>20200111150112723</v>
      </c>
      <c r="B4199" t="str">
        <f>"1578726072711830"</f>
        <v>1578726072711830</v>
      </c>
      <c r="C4199" t="s">
        <v>40</v>
      </c>
      <c r="D4199">
        <v>4.3893370000000003</v>
      </c>
      <c r="E4199">
        <v>0.5231654</v>
      </c>
      <c r="F4199" t="s">
        <v>87</v>
      </c>
      <c r="G4199">
        <v>-366.30840000000001</v>
      </c>
      <c r="H4199" s="1">
        <v>-2.0573179999999998E-6</v>
      </c>
      <c r="I4199">
        <v>17.858309999999999</v>
      </c>
      <c r="J4199">
        <v>-382.14909999999998</v>
      </c>
      <c r="K4199">
        <v>1.1084020000000001</v>
      </c>
      <c r="L4199">
        <v>17.36478</v>
      </c>
      <c r="M4199">
        <v>0.99897449999999999</v>
      </c>
      <c r="N4199">
        <v>0</v>
      </c>
      <c r="O4199">
        <v>-4.395052E-2</v>
      </c>
      <c r="P4199">
        <v>0.98847600000000002</v>
      </c>
      <c r="Q4199">
        <v>0.1218945</v>
      </c>
      <c r="R4199">
        <v>8.975988E-2</v>
      </c>
      <c r="S4199">
        <v>3.0518800000000001</v>
      </c>
      <c r="T4199">
        <v>-0.20996970000000001</v>
      </c>
      <c r="U4199">
        <v>9.1674800000000001E-2</v>
      </c>
      <c r="V4199">
        <v>-0.13434760000000001</v>
      </c>
      <c r="W4199">
        <v>0.13134119999999999</v>
      </c>
      <c r="X4199">
        <v>0.9821915</v>
      </c>
      <c r="Y4199">
        <v>-7.3651750000000002E-2</v>
      </c>
      <c r="Z4199">
        <v>5.5495639999999999E-3</v>
      </c>
      <c r="AA4199">
        <v>0.99726859999999995</v>
      </c>
      <c r="AB4199">
        <v>32</v>
      </c>
      <c r="AC4199">
        <v>15.840699999999901</v>
      </c>
      <c r="AD4199">
        <v>-1.1084040573180001</v>
      </c>
      <c r="AE4199">
        <v>0.49352999999999903</v>
      </c>
      <c r="AF4199">
        <v>-1.1835122985654001</v>
      </c>
      <c r="AG4199">
        <v>-1.1084040573180001</v>
      </c>
      <c r="AH4199">
        <v>15.7267745853484</v>
      </c>
      <c r="AI4199">
        <v>94.020140917134199</v>
      </c>
      <c r="AJ4199">
        <v>94.3036595708801</v>
      </c>
      <c r="AK4199">
        <v>15.8101454697133</v>
      </c>
      <c r="AL4199">
        <v>82.452897735955801</v>
      </c>
      <c r="AM4199">
        <v>97.788782453310802</v>
      </c>
      <c r="AN4199">
        <v>0.99999996555772397</v>
      </c>
    </row>
    <row r="4200" spans="1:40" x14ac:dyDescent="0.3">
      <c r="A4200" t="str">
        <f>"20200111150112735"</f>
        <v>20200111150112735</v>
      </c>
      <c r="B4200" t="str">
        <f>"1578726072732323"</f>
        <v>1578726072732323</v>
      </c>
      <c r="C4200" t="s">
        <v>40</v>
      </c>
      <c r="D4200">
        <v>4.3901389999999996</v>
      </c>
      <c r="E4200">
        <v>0.52394620000000003</v>
      </c>
      <c r="F4200" t="s">
        <v>87</v>
      </c>
      <c r="G4200">
        <v>-365.80560000000003</v>
      </c>
      <c r="H4200" s="1">
        <v>-2.2931940000000002E-6</v>
      </c>
      <c r="I4200">
        <v>17.868449999999999</v>
      </c>
      <c r="J4200">
        <v>-381.97359999999998</v>
      </c>
      <c r="K4200">
        <v>1.108225</v>
      </c>
      <c r="L4200">
        <v>17.359069999999999</v>
      </c>
      <c r="M4200">
        <v>0.99906309999999998</v>
      </c>
      <c r="N4200">
        <v>0</v>
      </c>
      <c r="O4200">
        <v>-4.1890900000000002E-2</v>
      </c>
      <c r="P4200">
        <v>0.98834149999999998</v>
      </c>
      <c r="Q4200">
        <v>0.122127</v>
      </c>
      <c r="R4200">
        <v>9.0918959999999993E-2</v>
      </c>
      <c r="S4200">
        <v>3.051971</v>
      </c>
      <c r="T4200">
        <v>-0.20698259999999999</v>
      </c>
      <c r="U4200">
        <v>9.4055180000000002E-2</v>
      </c>
      <c r="V4200">
        <v>-0.13341639999999999</v>
      </c>
      <c r="W4200">
        <v>0.13163529999999901</v>
      </c>
      <c r="X4200">
        <v>0.98227909999999996</v>
      </c>
      <c r="Y4200">
        <v>-7.2387359999999998E-2</v>
      </c>
      <c r="Z4200">
        <v>5.2883160000000004E-3</v>
      </c>
      <c r="AA4200">
        <v>0.99736259999999999</v>
      </c>
      <c r="AB4200">
        <v>32</v>
      </c>
      <c r="AC4200">
        <v>16.1679999999999</v>
      </c>
      <c r="AD4200">
        <v>-1.108227293194</v>
      </c>
      <c r="AE4200">
        <v>0.50937999999999595</v>
      </c>
      <c r="AF4200">
        <v>-1.1807229240586801</v>
      </c>
      <c r="AG4200">
        <v>-1.108227293194</v>
      </c>
      <c r="AH4200">
        <v>16.057099246269601</v>
      </c>
      <c r="AI4200">
        <v>93.937575961966203</v>
      </c>
      <c r="AJ4200">
        <v>94.205548160749203</v>
      </c>
      <c r="AK4200">
        <v>16.138547349787402</v>
      </c>
      <c r="AL4200">
        <v>82.435899794569394</v>
      </c>
      <c r="AM4200">
        <v>97.734770640380603</v>
      </c>
      <c r="AN4200">
        <v>1.00000000914592</v>
      </c>
    </row>
    <row r="4201" spans="1:40" x14ac:dyDescent="0.3">
      <c r="A4201" t="str">
        <f>"20200111150112748"</f>
        <v>20200111150112748</v>
      </c>
      <c r="B4201" t="str">
        <f>"1578726072742083"</f>
        <v>1578726072742083</v>
      </c>
      <c r="C4201" t="s">
        <v>40</v>
      </c>
      <c r="D4201">
        <v>4.3950649999999998</v>
      </c>
      <c r="E4201">
        <v>0.52432080000000003</v>
      </c>
      <c r="F4201" t="s">
        <v>87</v>
      </c>
      <c r="G4201">
        <v>-365.49149999999997</v>
      </c>
      <c r="H4201" s="1">
        <v>-2.4449999999999999E-6</v>
      </c>
      <c r="I4201">
        <v>17.849810000000002</v>
      </c>
      <c r="J4201">
        <v>-381.78879999999998</v>
      </c>
      <c r="K4201">
        <v>1.108036</v>
      </c>
      <c r="L4201">
        <v>17.353300000000001</v>
      </c>
      <c r="M4201">
        <v>0.99914650000000005</v>
      </c>
      <c r="N4201">
        <v>0</v>
      </c>
      <c r="O4201">
        <v>-3.9853350000000003E-2</v>
      </c>
      <c r="P4201">
        <v>0.98811269999999995</v>
      </c>
      <c r="Q4201">
        <v>0.1228539</v>
      </c>
      <c r="R4201">
        <v>9.2414120000000002E-2</v>
      </c>
      <c r="S4201">
        <v>3.052368</v>
      </c>
      <c r="T4201">
        <v>-0.20523569999999999</v>
      </c>
      <c r="U4201">
        <v>9.088135E-2</v>
      </c>
      <c r="V4201">
        <v>-0.13283879999999901</v>
      </c>
      <c r="W4201">
        <v>0.13242219999999999</v>
      </c>
      <c r="X4201">
        <v>0.9822516</v>
      </c>
      <c r="Y4201">
        <v>-6.9328899999999999E-2</v>
      </c>
      <c r="Z4201">
        <v>5.0037079999999999E-3</v>
      </c>
      <c r="AA4201">
        <v>0.9975813</v>
      </c>
      <c r="AB4201">
        <v>32</v>
      </c>
      <c r="AC4201">
        <v>16.2973</v>
      </c>
      <c r="AD4201">
        <v>-1.108038445</v>
      </c>
      <c r="AE4201">
        <v>0.49651000000000001</v>
      </c>
      <c r="AF4201">
        <v>-1.1403892368497199</v>
      </c>
      <c r="AG4201">
        <v>-1.108038445</v>
      </c>
      <c r="AH4201">
        <v>16.189793988998499</v>
      </c>
      <c r="AI4201">
        <v>93.905602259265706</v>
      </c>
      <c r="AJ4201">
        <v>94.029189477293997</v>
      </c>
      <c r="AK4201">
        <v>16.267687795545299</v>
      </c>
      <c r="AL4201">
        <v>82.390415468439699</v>
      </c>
      <c r="AM4201">
        <v>97.701900280206701</v>
      </c>
      <c r="AN4201">
        <v>0.99999999577041998</v>
      </c>
    </row>
    <row r="4202" spans="1:40" x14ac:dyDescent="0.3">
      <c r="A4202" t="str">
        <f>"20200111150112761"</f>
        <v>20200111150112761</v>
      </c>
      <c r="B4202" t="str">
        <f>"1578726072751842"</f>
        <v>1578726072751842</v>
      </c>
      <c r="C4202" t="s">
        <v>40</v>
      </c>
      <c r="D4202">
        <v>4.4416250000000002</v>
      </c>
      <c r="E4202">
        <v>0.52463179999999998</v>
      </c>
      <c r="F4202" t="s">
        <v>87</v>
      </c>
      <c r="G4202">
        <v>-365.0917</v>
      </c>
      <c r="H4202" s="1">
        <v>-2.6325519999999999E-6</v>
      </c>
      <c r="I4202">
        <v>17.857749999999999</v>
      </c>
      <c r="J4202">
        <v>-381.60070000000002</v>
      </c>
      <c r="K4202">
        <v>1.1078410000000001</v>
      </c>
      <c r="L4202">
        <v>17.3476</v>
      </c>
      <c r="M4202">
        <v>0.99922339999999998</v>
      </c>
      <c r="N4202">
        <v>0</v>
      </c>
      <c r="O4202">
        <v>-3.788354E-2</v>
      </c>
      <c r="P4202">
        <v>0.98785330000000005</v>
      </c>
      <c r="Q4202">
        <v>0.123819</v>
      </c>
      <c r="R4202">
        <v>9.3889849999999997E-2</v>
      </c>
      <c r="S4202">
        <v>3.0526119999999999</v>
      </c>
      <c r="T4202">
        <v>-0.20257459999999999</v>
      </c>
      <c r="U4202">
        <v>9.2224120000000007E-2</v>
      </c>
      <c r="V4202">
        <v>-0.13230710000000001</v>
      </c>
      <c r="W4202">
        <v>0.13344919999999999</v>
      </c>
      <c r="X4202">
        <v>0.98218439999999996</v>
      </c>
      <c r="Y4202">
        <v>-6.7812259999999999E-2</v>
      </c>
      <c r="Z4202">
        <v>4.7577790000000002E-3</v>
      </c>
      <c r="AA4202">
        <v>0.99768670000000004</v>
      </c>
      <c r="AB4202">
        <v>32</v>
      </c>
      <c r="AC4202">
        <v>16.509</v>
      </c>
      <c r="AD4202">
        <v>-1.107843632552</v>
      </c>
      <c r="AE4202">
        <v>0.51014999999999899</v>
      </c>
      <c r="AF4202">
        <v>-1.13015544683022</v>
      </c>
      <c r="AG4202">
        <v>-1.107843632552</v>
      </c>
      <c r="AH4202">
        <v>16.404021256469299</v>
      </c>
      <c r="AI4202">
        <v>93.854487665558295</v>
      </c>
      <c r="AJ4202">
        <v>93.941166393877197</v>
      </c>
      <c r="AK4202">
        <v>16.480184532670901</v>
      </c>
      <c r="AL4202">
        <v>82.331046012083505</v>
      </c>
      <c r="AM4202">
        <v>97.671959144932501</v>
      </c>
      <c r="AN4202">
        <v>1.0000000266472</v>
      </c>
    </row>
    <row r="4203" spans="1:40" x14ac:dyDescent="0.3">
      <c r="A4203" t="str">
        <f>"20200111150112779"</f>
        <v>20200111150112779</v>
      </c>
      <c r="B4203" t="str">
        <f>"1578726072772206"</f>
        <v>1578726072772206</v>
      </c>
      <c r="C4203" t="s">
        <v>40</v>
      </c>
      <c r="D4203">
        <v>4.4912489999999998</v>
      </c>
      <c r="E4203">
        <v>0.52505489999999999</v>
      </c>
      <c r="F4203" t="s">
        <v>87</v>
      </c>
      <c r="G4203">
        <v>-364.65899999999999</v>
      </c>
      <c r="H4203" s="1">
        <v>-2.8349160000000002E-6</v>
      </c>
      <c r="I4203">
        <v>17.87021</v>
      </c>
      <c r="J4203">
        <v>-381.33890000000002</v>
      </c>
      <c r="K4203">
        <v>1.107551</v>
      </c>
      <c r="L4203">
        <v>17.340119999999999</v>
      </c>
      <c r="M4203">
        <v>0.99931139999999996</v>
      </c>
      <c r="N4203">
        <v>0</v>
      </c>
      <c r="O4203">
        <v>-3.5484250000000002E-2</v>
      </c>
      <c r="P4203">
        <v>0.98722030000000005</v>
      </c>
      <c r="Q4203">
        <v>0.12701680000000001</v>
      </c>
      <c r="R4203">
        <v>9.6244670000000004E-2</v>
      </c>
      <c r="S4203">
        <v>3.0529480000000002</v>
      </c>
      <c r="T4203">
        <v>-0.1996367</v>
      </c>
      <c r="U4203">
        <v>9.4177250000000004E-2</v>
      </c>
      <c r="V4203">
        <v>-0.13220199999999999</v>
      </c>
      <c r="W4203">
        <v>0.13672909999999999</v>
      </c>
      <c r="X4203">
        <v>0.98174729999999999</v>
      </c>
      <c r="Y4203">
        <v>-6.6066630000000001E-2</v>
      </c>
      <c r="Z4203">
        <v>4.4747110000000001E-3</v>
      </c>
      <c r="AA4203">
        <v>0.99780519999999995</v>
      </c>
      <c r="AB4203">
        <v>32</v>
      </c>
      <c r="AC4203">
        <v>16.6799</v>
      </c>
      <c r="AD4203">
        <v>-1.1075538349159999</v>
      </c>
      <c r="AE4203">
        <v>0.53008999999999695</v>
      </c>
      <c r="AF4203">
        <v>-1.11674587858247</v>
      </c>
      <c r="AG4203">
        <v>-1.1075538349159999</v>
      </c>
      <c r="AH4203">
        <v>16.577566207476401</v>
      </c>
      <c r="AI4203">
        <v>93.813655798423497</v>
      </c>
      <c r="AJ4203">
        <v>93.853901061625294</v>
      </c>
      <c r="AK4203">
        <v>16.652011836947199</v>
      </c>
      <c r="AL4203">
        <v>82.141382639906396</v>
      </c>
      <c r="AM4203">
        <v>97.669309781509</v>
      </c>
      <c r="AN4203">
        <v>0.99999998832404902</v>
      </c>
    </row>
    <row r="4204" spans="1:40" x14ac:dyDescent="0.3">
      <c r="A4204" t="str">
        <f>"20200111150112791"</f>
        <v>20200111150112791</v>
      </c>
      <c r="B4204" t="str">
        <f>"1578726072781966"</f>
        <v>1578726072781966</v>
      </c>
      <c r="C4204" t="s">
        <v>40</v>
      </c>
      <c r="D4204">
        <v>4.4773639999999997</v>
      </c>
      <c r="E4204">
        <v>0.52533890000000005</v>
      </c>
      <c r="F4204" t="s">
        <v>87</v>
      </c>
      <c r="G4204">
        <v>-363.41739999999999</v>
      </c>
      <c r="H4204" s="1">
        <v>-3.4141500000000002E-6</v>
      </c>
      <c r="I4204">
        <v>17.913260000000001</v>
      </c>
      <c r="J4204">
        <v>-381.16910000000001</v>
      </c>
      <c r="K4204">
        <v>1.1072919999999999</v>
      </c>
      <c r="L4204">
        <v>17.335360000000001</v>
      </c>
      <c r="M4204">
        <v>0.9993765</v>
      </c>
      <c r="N4204">
        <v>0</v>
      </c>
      <c r="O4204">
        <v>-3.3662400000000002E-2</v>
      </c>
      <c r="P4204">
        <v>0.98684669999999997</v>
      </c>
      <c r="Q4204">
        <v>0.1283754</v>
      </c>
      <c r="R4204">
        <v>9.8252930000000002E-2</v>
      </c>
      <c r="S4204">
        <v>3.0535890000000001</v>
      </c>
      <c r="T4204">
        <v>-0.18871299999999999</v>
      </c>
      <c r="U4204">
        <v>9.765625E-2</v>
      </c>
      <c r="V4204">
        <v>-0.13234070000000001</v>
      </c>
      <c r="W4204">
        <v>0.13796040000000001</v>
      </c>
      <c r="X4204">
        <v>0.9815564</v>
      </c>
      <c r="Y4204">
        <v>-6.5404630000000005E-2</v>
      </c>
      <c r="Z4204">
        <v>4.0965150000000002E-3</v>
      </c>
      <c r="AA4204">
        <v>0.99785040000000003</v>
      </c>
      <c r="AB4204">
        <v>32</v>
      </c>
      <c r="AC4204">
        <v>17.7517</v>
      </c>
      <c r="AD4204">
        <v>-1.10729541415</v>
      </c>
      <c r="AE4204">
        <v>0.57789999999999897</v>
      </c>
      <c r="AF4204">
        <v>-1.1706212541893699</v>
      </c>
      <c r="AG4204">
        <v>-1.10729541415</v>
      </c>
      <c r="AH4204">
        <v>17.653568587214799</v>
      </c>
      <c r="AI4204">
        <v>93.581251397320599</v>
      </c>
      <c r="AJ4204">
        <v>93.793771680527399</v>
      </c>
      <c r="AK4204">
        <v>17.726955212851799</v>
      </c>
      <c r="AL4204">
        <v>82.070159869041703</v>
      </c>
      <c r="AM4204">
        <v>97.678735452917707</v>
      </c>
      <c r="AN4204">
        <v>1.0000000496128001</v>
      </c>
    </row>
    <row r="4205" spans="1:40" x14ac:dyDescent="0.3">
      <c r="A4205" t="str">
        <f>"20200111150112803"</f>
        <v>20200111150112803</v>
      </c>
      <c r="B4205" t="str">
        <f>"1578726072791726"</f>
        <v>1578726072791726</v>
      </c>
      <c r="C4205" t="s">
        <v>40</v>
      </c>
      <c r="D4205">
        <v>4.4955689999999997</v>
      </c>
      <c r="E4205">
        <v>0.52564630000000001</v>
      </c>
      <c r="F4205" t="s">
        <v>87</v>
      </c>
      <c r="G4205">
        <v>-362.80590000000001</v>
      </c>
      <c r="H4205" s="1">
        <v>-3.6974590000000001E-6</v>
      </c>
      <c r="I4205">
        <v>17.945889999999999</v>
      </c>
      <c r="J4205">
        <v>-380.99669999999998</v>
      </c>
      <c r="K4205">
        <v>1.107067</v>
      </c>
      <c r="L4205">
        <v>17.330629999999999</v>
      </c>
      <c r="M4205">
        <v>0.99943360000000003</v>
      </c>
      <c r="N4205">
        <v>0</v>
      </c>
      <c r="O4205">
        <v>-3.1964630000000001E-2</v>
      </c>
      <c r="P4205">
        <v>0.98652289999999998</v>
      </c>
      <c r="Q4205">
        <v>0.12940119999999999</v>
      </c>
      <c r="R4205">
        <v>0.10013950000000001</v>
      </c>
      <c r="S4205">
        <v>3.053833</v>
      </c>
      <c r="T4205">
        <v>-0.18414459999999999</v>
      </c>
      <c r="U4205">
        <v>0.101532</v>
      </c>
      <c r="V4205">
        <v>-0.13248650000000001</v>
      </c>
      <c r="W4205">
        <v>0.13892280000000001</v>
      </c>
      <c r="X4205">
        <v>0.98140090000000002</v>
      </c>
      <c r="Y4205">
        <v>-6.4984849999999997E-2</v>
      </c>
      <c r="Z4205">
        <v>3.882248E-3</v>
      </c>
      <c r="AA4205">
        <v>0.99787870000000001</v>
      </c>
      <c r="AB4205">
        <v>32</v>
      </c>
      <c r="AC4205">
        <v>18.1907999999999</v>
      </c>
      <c r="AD4205">
        <v>-1.1070706974590001</v>
      </c>
      <c r="AE4205">
        <v>0.61525999999999903</v>
      </c>
      <c r="AF4205">
        <v>-1.1920299663290399</v>
      </c>
      <c r="AG4205">
        <v>-1.1070706974590001</v>
      </c>
      <c r="AH4205">
        <v>18.094892617491201</v>
      </c>
      <c r="AI4205">
        <v>93.493518037287501</v>
      </c>
      <c r="AJ4205">
        <v>93.769005177670607</v>
      </c>
      <c r="AK4205">
        <v>18.167874939253</v>
      </c>
      <c r="AL4205">
        <v>82.0144816438182</v>
      </c>
      <c r="AM4205">
        <v>97.688297461783606</v>
      </c>
      <c r="AN4205">
        <v>0.99999997178144895</v>
      </c>
    </row>
    <row r="4206" spans="1:40" x14ac:dyDescent="0.3">
      <c r="A4206" t="str">
        <f>"20200111150112816"</f>
        <v>20200111150112816</v>
      </c>
      <c r="B4206" t="str">
        <f>"1578726072812222"</f>
        <v>1578726072812222</v>
      </c>
      <c r="C4206" t="s">
        <v>40</v>
      </c>
      <c r="D4206">
        <v>4.5391849999999998</v>
      </c>
      <c r="E4206">
        <v>0.52592910000000004</v>
      </c>
      <c r="F4206" t="s">
        <v>87</v>
      </c>
      <c r="G4206">
        <v>-362.32589999999999</v>
      </c>
      <c r="H4206" s="1">
        <v>-3.9192349999999996E-6</v>
      </c>
      <c r="I4206">
        <v>17.97466</v>
      </c>
      <c r="J4206">
        <v>-380.80840000000001</v>
      </c>
      <c r="K4206">
        <v>1.106978</v>
      </c>
      <c r="L4206">
        <v>17.32565</v>
      </c>
      <c r="M4206">
        <v>0.99947030000000003</v>
      </c>
      <c r="N4206">
        <v>0</v>
      </c>
      <c r="O4206">
        <v>-3.0735060000000002E-2</v>
      </c>
      <c r="P4206">
        <v>0.98633150000000003</v>
      </c>
      <c r="Q4206">
        <v>0.13017490000000001</v>
      </c>
      <c r="R4206">
        <v>0.10102</v>
      </c>
      <c r="S4206">
        <v>3.0540470000000002</v>
      </c>
      <c r="T4206">
        <v>-0.18108779999999999</v>
      </c>
      <c r="U4206">
        <v>0.1053467</v>
      </c>
      <c r="V4206">
        <v>-0.13211829999999999</v>
      </c>
      <c r="W4206">
        <v>0.1399135</v>
      </c>
      <c r="X4206">
        <v>0.98130980000000001</v>
      </c>
      <c r="Y4206">
        <v>-6.5007880000000004E-2</v>
      </c>
      <c r="Z4206">
        <v>3.7454459999999999E-3</v>
      </c>
      <c r="AA4206">
        <v>0.99787769999999998</v>
      </c>
      <c r="AB4206">
        <v>32</v>
      </c>
      <c r="AC4206">
        <v>18.482500000000002</v>
      </c>
      <c r="AD4206">
        <v>-1.1069819192349999</v>
      </c>
      <c r="AE4206">
        <v>0.64900999999999998</v>
      </c>
      <c r="AF4206">
        <v>-1.21245262047795</v>
      </c>
      <c r="AG4206">
        <v>-1.1069819192349999</v>
      </c>
      <c r="AH4206">
        <v>18.387938153512899</v>
      </c>
      <c r="AI4206">
        <v>93.437688319351196</v>
      </c>
      <c r="AJ4206">
        <v>93.772473150412395</v>
      </c>
      <c r="AK4206">
        <v>18.461086638219101</v>
      </c>
      <c r="AL4206">
        <v>81.957158925091605</v>
      </c>
      <c r="AM4206">
        <v>97.667888353566198</v>
      </c>
      <c r="AN4206">
        <v>0.99999997812658903</v>
      </c>
    </row>
    <row r="4207" spans="1:40" x14ac:dyDescent="0.3">
      <c r="A4207" t="str">
        <f>"20200111150112834"</f>
        <v>20200111150112834</v>
      </c>
      <c r="B4207" t="str">
        <f>"1578726072831741"</f>
        <v>1578726072831741</v>
      </c>
      <c r="C4207" t="s">
        <v>40</v>
      </c>
      <c r="D4207">
        <v>4.5428610000000003</v>
      </c>
      <c r="E4207">
        <v>0.52644219999999997</v>
      </c>
      <c r="F4207" t="s">
        <v>87</v>
      </c>
      <c r="G4207">
        <v>-361.89569999999998</v>
      </c>
      <c r="H4207" s="1">
        <v>-4.1208240000000002E-6</v>
      </c>
      <c r="I4207">
        <v>17.98479</v>
      </c>
      <c r="J4207">
        <v>-380.55720000000002</v>
      </c>
      <c r="K4207">
        <v>1.106892</v>
      </c>
      <c r="L4207">
        <v>17.319269999999999</v>
      </c>
      <c r="M4207">
        <v>0.99949710000000003</v>
      </c>
      <c r="N4207">
        <v>0</v>
      </c>
      <c r="O4207">
        <v>-2.9741730000000001E-2</v>
      </c>
      <c r="P4207">
        <v>0.98619690000000004</v>
      </c>
      <c r="Q4207">
        <v>0.13111110000000001</v>
      </c>
      <c r="R4207">
        <v>0.10112309999999999</v>
      </c>
      <c r="S4207">
        <v>3.0542600000000002</v>
      </c>
      <c r="T4207">
        <v>-0.1787686</v>
      </c>
      <c r="U4207">
        <v>0.10644530000000001</v>
      </c>
      <c r="V4207">
        <v>-0.13120519999999999</v>
      </c>
      <c r="W4207">
        <v>0.14119010000000001</v>
      </c>
      <c r="X4207">
        <v>0.9812495</v>
      </c>
      <c r="Y4207">
        <v>-6.4379420000000007E-2</v>
      </c>
      <c r="Z4207">
        <v>3.620847E-3</v>
      </c>
      <c r="AA4207">
        <v>0.99791890000000005</v>
      </c>
      <c r="AB4207">
        <v>32</v>
      </c>
      <c r="AC4207">
        <v>18.6615</v>
      </c>
      <c r="AD4207">
        <v>-1.106896120824</v>
      </c>
      <c r="AE4207">
        <v>0.66552</v>
      </c>
      <c r="AF4207">
        <v>-1.2160116803799099</v>
      </c>
      <c r="AG4207">
        <v>-1.106896120824</v>
      </c>
      <c r="AH4207">
        <v>18.568204859376401</v>
      </c>
      <c r="AI4207">
        <v>93.404229317117199</v>
      </c>
      <c r="AJ4207">
        <v>93.746888276769695</v>
      </c>
      <c r="AK4207">
        <v>18.640872702984801</v>
      </c>
      <c r="AL4207">
        <v>81.883282073264098</v>
      </c>
      <c r="AM4207">
        <v>97.615980387261502</v>
      </c>
      <c r="AN4207">
        <v>1.00000001504764</v>
      </c>
    </row>
    <row r="4208" spans="1:40" x14ac:dyDescent="0.3">
      <c r="A4208" t="str">
        <f>"20200111150112846"</f>
        <v>20200111150112846</v>
      </c>
      <c r="B4208" t="str">
        <f>"1578726072842478"</f>
        <v>1578726072842478</v>
      </c>
      <c r="C4208" t="s">
        <v>40</v>
      </c>
      <c r="D4208">
        <v>4.5091359999999998</v>
      </c>
      <c r="E4208">
        <v>0.52668440000000005</v>
      </c>
      <c r="F4208" t="s">
        <v>87</v>
      </c>
      <c r="G4208">
        <v>-361.79450000000003</v>
      </c>
      <c r="H4208" s="1">
        <v>-4.1735220000000001E-6</v>
      </c>
      <c r="I4208">
        <v>17.95722</v>
      </c>
      <c r="J4208">
        <v>-380.37389999999999</v>
      </c>
      <c r="K4208">
        <v>1.1067819999999999</v>
      </c>
      <c r="L4208">
        <v>17.314729999999901</v>
      </c>
      <c r="M4208">
        <v>0.99951009999999996</v>
      </c>
      <c r="N4208">
        <v>0</v>
      </c>
      <c r="O4208">
        <v>-2.9244929999999999E-2</v>
      </c>
      <c r="P4208">
        <v>0.98614449999999998</v>
      </c>
      <c r="Q4208">
        <v>0.13138639999999999</v>
      </c>
      <c r="R4208">
        <v>0.101276</v>
      </c>
      <c r="S4208">
        <v>3.0552980000000001</v>
      </c>
      <c r="T4208">
        <v>-0.1802464</v>
      </c>
      <c r="U4208">
        <v>0.1038818</v>
      </c>
      <c r="V4208">
        <v>-0.13083239999999999</v>
      </c>
      <c r="W4208">
        <v>0.14165079999999999</v>
      </c>
      <c r="X4208">
        <v>0.98123289999999996</v>
      </c>
      <c r="Y4208">
        <v>-6.3035949999999993E-2</v>
      </c>
      <c r="Z4208">
        <v>3.5806810000000001E-3</v>
      </c>
      <c r="AA4208">
        <v>0.99800489999999997</v>
      </c>
      <c r="AB4208">
        <v>32</v>
      </c>
      <c r="AC4208">
        <v>18.5793999999999</v>
      </c>
      <c r="AD4208">
        <v>-1.1067861735219999</v>
      </c>
      <c r="AE4208">
        <v>0.642490000000002</v>
      </c>
      <c r="AF4208">
        <v>-1.18141475171838</v>
      </c>
      <c r="AG4208">
        <v>-1.1067861735219999</v>
      </c>
      <c r="AH4208">
        <v>18.487135253245501</v>
      </c>
      <c r="AI4208">
        <v>93.419131493366507</v>
      </c>
      <c r="AJ4208">
        <v>93.656497280348205</v>
      </c>
      <c r="AK4208">
        <v>18.5578793594869</v>
      </c>
      <c r="AL4208">
        <v>81.856618086917095</v>
      </c>
      <c r="AM4208">
        <v>97.594720629106504</v>
      </c>
      <c r="AN4208">
        <v>1.0000000350364</v>
      </c>
    </row>
    <row r="4209" spans="1:40" x14ac:dyDescent="0.3">
      <c r="A4209" t="str">
        <f>"20200111150112859"</f>
        <v>20200111150112859</v>
      </c>
      <c r="B4209" t="str">
        <f>"1578726072852237"</f>
        <v>1578726072852237</v>
      </c>
      <c r="C4209" t="s">
        <v>40</v>
      </c>
      <c r="D4209">
        <v>4.5050379999999999</v>
      </c>
      <c r="E4209">
        <v>0.52697299999999903</v>
      </c>
      <c r="F4209" t="s">
        <v>87</v>
      </c>
      <c r="G4209">
        <v>-361.5147</v>
      </c>
      <c r="H4209" s="1">
        <v>-4.3076559999999999E-6</v>
      </c>
      <c r="I4209">
        <v>17.946679999999901</v>
      </c>
      <c r="J4209">
        <v>-380.1875</v>
      </c>
      <c r="K4209">
        <v>1.1066119999999999</v>
      </c>
      <c r="L4209">
        <v>17.310179999999999</v>
      </c>
      <c r="M4209">
        <v>0.9995214</v>
      </c>
      <c r="N4209">
        <v>0</v>
      </c>
      <c r="O4209">
        <v>-2.88302E-2</v>
      </c>
      <c r="P4209">
        <v>0.98610869999999995</v>
      </c>
      <c r="Q4209">
        <v>0.13174350000000001</v>
      </c>
      <c r="R4209">
        <v>0.1011614</v>
      </c>
      <c r="S4209">
        <v>3.0555110000000001</v>
      </c>
      <c r="T4209">
        <v>-0.17931810000000001</v>
      </c>
      <c r="U4209">
        <v>0.10238650000000001</v>
      </c>
      <c r="V4209">
        <v>-0.1302635</v>
      </c>
      <c r="W4209">
        <v>0.14211849999999901</v>
      </c>
      <c r="X4209">
        <v>0.98124089999999997</v>
      </c>
      <c r="Y4209">
        <v>-6.2135540000000003E-2</v>
      </c>
      <c r="Z4209">
        <v>3.5113480000000001E-3</v>
      </c>
      <c r="AA4209">
        <v>0.99806150000000005</v>
      </c>
      <c r="AB4209">
        <v>32</v>
      </c>
      <c r="AC4209">
        <v>18.672799999999899</v>
      </c>
      <c r="AD4209">
        <v>-1.1066163076560001</v>
      </c>
      <c r="AE4209">
        <v>0.63649999999999796</v>
      </c>
      <c r="AF4209">
        <v>-1.17050357568667</v>
      </c>
      <c r="AG4209">
        <v>-1.1066163076560001</v>
      </c>
      <c r="AH4209">
        <v>18.581499997784299</v>
      </c>
      <c r="AI4209">
        <v>93.401483218512297</v>
      </c>
      <c r="AJ4209">
        <v>93.604467796777897</v>
      </c>
      <c r="AK4209">
        <v>18.651188177720002</v>
      </c>
      <c r="AL4209">
        <v>81.829546489994399</v>
      </c>
      <c r="AM4209">
        <v>97.562018476703599</v>
      </c>
      <c r="AN4209">
        <v>0.99999997565365395</v>
      </c>
    </row>
    <row r="4210" spans="1:40" x14ac:dyDescent="0.3">
      <c r="A4210" t="str">
        <f>"20200111150112872"</f>
        <v>20200111150112872</v>
      </c>
      <c r="B4210" t="str">
        <f>"1578726072861639"</f>
        <v>1578726072861639</v>
      </c>
      <c r="C4210" t="s">
        <v>40</v>
      </c>
      <c r="D4210">
        <v>4.5594780000000004</v>
      </c>
      <c r="E4210">
        <v>0.52726099999999998</v>
      </c>
      <c r="F4210" t="s">
        <v>87</v>
      </c>
      <c r="G4210">
        <v>-361.2122</v>
      </c>
      <c r="H4210" s="1">
        <v>-4.4538310000000003E-6</v>
      </c>
      <c r="I4210">
        <v>17.928709999999999</v>
      </c>
      <c r="J4210">
        <v>-380.00709999999998</v>
      </c>
      <c r="K4210">
        <v>1.1063780000000001</v>
      </c>
      <c r="L4210">
        <v>17.305820000000001</v>
      </c>
      <c r="M4210">
        <v>0.99953499999999995</v>
      </c>
      <c r="N4210">
        <v>0</v>
      </c>
      <c r="O4210">
        <v>-2.835917E-2</v>
      </c>
      <c r="P4210">
        <v>0.98604230000000004</v>
      </c>
      <c r="Q4210">
        <v>0.1323058</v>
      </c>
      <c r="R4210">
        <v>0.1010741</v>
      </c>
      <c r="S4210">
        <v>3.055847</v>
      </c>
      <c r="T4210">
        <v>-0.17821329999999999</v>
      </c>
      <c r="U4210">
        <v>9.9609379999999997E-2</v>
      </c>
      <c r="V4210">
        <v>-0.1296486</v>
      </c>
      <c r="W4210">
        <v>0.14272309999999999</v>
      </c>
      <c r="X4210">
        <v>0.98123459999999996</v>
      </c>
      <c r="Y4210">
        <v>-6.0760519999999998E-2</v>
      </c>
      <c r="Z4210">
        <v>3.421927E-3</v>
      </c>
      <c r="AA4210">
        <v>0.99814650000000005</v>
      </c>
      <c r="AB4210">
        <v>32</v>
      </c>
      <c r="AC4210">
        <v>18.794899999999899</v>
      </c>
      <c r="AD4210">
        <v>-1.1063824538310001</v>
      </c>
      <c r="AE4210">
        <v>0.62288999999999795</v>
      </c>
      <c r="AF4210">
        <v>-1.15169417304035</v>
      </c>
      <c r="AG4210">
        <v>-1.1063824538310001</v>
      </c>
      <c r="AH4210">
        <v>18.704928414331299</v>
      </c>
      <c r="AI4210">
        <v>93.378674788455697</v>
      </c>
      <c r="AJ4210">
        <v>93.523350404887793</v>
      </c>
      <c r="AK4210">
        <v>18.7729813452104</v>
      </c>
      <c r="AL4210">
        <v>81.794548830725702</v>
      </c>
      <c r="AM4210">
        <v>97.526780463957493</v>
      </c>
      <c r="AN4210">
        <v>0.99999999149636498</v>
      </c>
    </row>
    <row r="4211" spans="1:40" x14ac:dyDescent="0.3">
      <c r="A4211" t="str">
        <f>"20200111150112886"</f>
        <v>20200111150112886</v>
      </c>
      <c r="B4211" t="str">
        <f>"1578726072882135"</f>
        <v>1578726072882135</v>
      </c>
      <c r="C4211" t="s">
        <v>40</v>
      </c>
      <c r="D4211">
        <v>4.5311309999999896</v>
      </c>
      <c r="E4211">
        <v>0.52792939999999999</v>
      </c>
      <c r="F4211" t="s">
        <v>87</v>
      </c>
      <c r="G4211">
        <v>-360.82229999999998</v>
      </c>
      <c r="H4211" s="1">
        <v>-4.6406129999999998E-6</v>
      </c>
      <c r="I4211">
        <v>17.914819999999999</v>
      </c>
      <c r="J4211">
        <v>-379.81659999999999</v>
      </c>
      <c r="K4211">
        <v>1.106123</v>
      </c>
      <c r="L4211">
        <v>17.301179999999999</v>
      </c>
      <c r="M4211">
        <v>0.99955020000000006</v>
      </c>
      <c r="N4211">
        <v>0</v>
      </c>
      <c r="O4211">
        <v>-2.7826150000000001E-2</v>
      </c>
      <c r="P4211">
        <v>0.98593359999999997</v>
      </c>
      <c r="Q4211">
        <v>0.1329244</v>
      </c>
      <c r="R4211">
        <v>0.1013226</v>
      </c>
      <c r="S4211">
        <v>3.056152</v>
      </c>
      <c r="T4211">
        <v>-0.1762475</v>
      </c>
      <c r="U4211">
        <v>9.7015379999999998E-2</v>
      </c>
      <c r="V4211">
        <v>-0.12929969999999999</v>
      </c>
      <c r="W4211">
        <v>0.14338049999999999</v>
      </c>
      <c r="X4211">
        <v>0.98118479999999997</v>
      </c>
      <c r="Y4211">
        <v>-5.938512E-2</v>
      </c>
      <c r="Z4211">
        <v>3.3136260000000001E-3</v>
      </c>
      <c r="AA4211">
        <v>0.99822960000000005</v>
      </c>
      <c r="AB4211">
        <v>32</v>
      </c>
      <c r="AC4211">
        <v>18.994299999999999</v>
      </c>
      <c r="AD4211">
        <v>-1.1061276406129901</v>
      </c>
      <c r="AE4211">
        <v>0.61364000000000296</v>
      </c>
      <c r="AF4211">
        <v>-1.1381180052036199</v>
      </c>
      <c r="AG4211">
        <v>-1.1061276406129901</v>
      </c>
      <c r="AH4211">
        <v>18.905819638632298</v>
      </c>
      <c r="AI4211">
        <v>93.342364649692797</v>
      </c>
      <c r="AJ4211">
        <v>93.4450110231911</v>
      </c>
      <c r="AK4211">
        <v>18.972317917418302</v>
      </c>
      <c r="AL4211">
        <v>81.756491206056594</v>
      </c>
      <c r="AM4211">
        <v>97.507132960626095</v>
      </c>
      <c r="AN4211">
        <v>0.999999995975689</v>
      </c>
    </row>
    <row r="4212" spans="1:40" x14ac:dyDescent="0.3">
      <c r="A4212" t="str">
        <f>"20200111150112902"</f>
        <v>20200111150112902</v>
      </c>
      <c r="B4212" t="str">
        <f>"1578726072891897"</f>
        <v>1578726072891897</v>
      </c>
      <c r="C4212" t="s">
        <v>40</v>
      </c>
      <c r="D4212">
        <v>4.5407080000000004</v>
      </c>
      <c r="E4212">
        <v>0.52828739999999996</v>
      </c>
      <c r="F4212" t="s">
        <v>87</v>
      </c>
      <c r="G4212">
        <v>-360.68340000000001</v>
      </c>
      <c r="H4212" s="1">
        <v>-4.7121150000000004E-6</v>
      </c>
      <c r="I4212">
        <v>17.881810000000002</v>
      </c>
      <c r="J4212">
        <v>-379.57569999999998</v>
      </c>
      <c r="K4212">
        <v>1.10582</v>
      </c>
      <c r="L4212">
        <v>17.295349999999999</v>
      </c>
      <c r="M4212">
        <v>0.99957099999999999</v>
      </c>
      <c r="N4212">
        <v>0</v>
      </c>
      <c r="O4212">
        <v>-2.7085740000000001E-2</v>
      </c>
      <c r="P4212">
        <v>0.98561019999999999</v>
      </c>
      <c r="Q4212">
        <v>0.1352372</v>
      </c>
      <c r="R4212">
        <v>0.1014079</v>
      </c>
      <c r="S4212">
        <v>3.0570979999999999</v>
      </c>
      <c r="T4212">
        <v>-0.17673699999999901</v>
      </c>
      <c r="U4212">
        <v>9.2773439999999999E-2</v>
      </c>
      <c r="V4212">
        <v>-0.12856429999999999</v>
      </c>
      <c r="W4212">
        <v>0.1457434</v>
      </c>
      <c r="X4212">
        <v>0.98093319999999995</v>
      </c>
      <c r="Y4212">
        <v>-5.7256040000000001E-2</v>
      </c>
      <c r="Z4212">
        <v>3.2176119999999999E-3</v>
      </c>
      <c r="AA4212">
        <v>0.99835430000000003</v>
      </c>
      <c r="AB4212">
        <v>32</v>
      </c>
      <c r="AC4212">
        <v>18.892299999999899</v>
      </c>
      <c r="AD4212">
        <v>-1.105824712115</v>
      </c>
      <c r="AE4212">
        <v>0.58646000000000198</v>
      </c>
      <c r="AF4212">
        <v>-1.0942431079208601</v>
      </c>
      <c r="AG4212">
        <v>-1.105824712115</v>
      </c>
      <c r="AH4212">
        <v>18.805115521512999</v>
      </c>
      <c r="AI4212">
        <v>93.359702010952404</v>
      </c>
      <c r="AJ4212">
        <v>93.330205267333795</v>
      </c>
      <c r="AK4212">
        <v>18.869355740210199</v>
      </c>
      <c r="AL4212">
        <v>81.619669213745695</v>
      </c>
      <c r="AM4212">
        <v>97.466811658032398</v>
      </c>
      <c r="AN4212">
        <v>0.99999993037014201</v>
      </c>
    </row>
    <row r="4213" spans="1:40" x14ac:dyDescent="0.3">
      <c r="A4213" t="str">
        <f>"20200111150112915"</f>
        <v>20200111150112915</v>
      </c>
      <c r="B4213" t="str">
        <f>"1578726072912390"</f>
        <v>1578726072912390</v>
      </c>
      <c r="C4213" t="s">
        <v>40</v>
      </c>
      <c r="D4213">
        <v>4.5543060000000004</v>
      </c>
      <c r="E4213">
        <v>0.5291749</v>
      </c>
      <c r="F4213" t="s">
        <v>42</v>
      </c>
      <c r="G4213">
        <v>-359.75670000000002</v>
      </c>
      <c r="H4213" s="1">
        <v>-5.29409E-7</v>
      </c>
      <c r="I4213">
        <v>17.885269999999998</v>
      </c>
      <c r="J4213">
        <v>-379.38310000000001</v>
      </c>
      <c r="K4213">
        <v>1.1056330000000001</v>
      </c>
      <c r="L4213">
        <v>17.290679999999998</v>
      </c>
      <c r="M4213">
        <v>0.999587</v>
      </c>
      <c r="N4213">
        <v>0</v>
      </c>
      <c r="O4213">
        <v>-2.649812E-2</v>
      </c>
      <c r="P4213">
        <v>0.98537980000000003</v>
      </c>
      <c r="Q4213">
        <v>0.1365642</v>
      </c>
      <c r="R4213">
        <v>0.1018675</v>
      </c>
      <c r="S4213">
        <v>3.057922</v>
      </c>
      <c r="T4213">
        <v>-0.17062060000000001</v>
      </c>
      <c r="U4213">
        <v>9.1033939999999994E-2</v>
      </c>
      <c r="V4213">
        <v>-0.12838169999999999</v>
      </c>
      <c r="W4213">
        <v>0.1471104</v>
      </c>
      <c r="X4213">
        <v>0.98075310000000004</v>
      </c>
      <c r="Y4213">
        <v>-5.6105870000000002E-2</v>
      </c>
      <c r="Z4213">
        <v>3.0408129999999998E-3</v>
      </c>
      <c r="AA4213">
        <v>0.99842019999999998</v>
      </c>
      <c r="AB4213">
        <v>32</v>
      </c>
      <c r="AC4213">
        <v>19.626399999999901</v>
      </c>
      <c r="AD4213">
        <v>-1.1056335294090001</v>
      </c>
      <c r="AE4213">
        <v>0.59459000000000295</v>
      </c>
      <c r="AF4213">
        <v>-1.1109536578144299</v>
      </c>
      <c r="AG4213">
        <v>-1.1056335294090001</v>
      </c>
      <c r="AH4213">
        <v>19.541791722731801</v>
      </c>
      <c r="AI4213">
        <v>93.233013420647595</v>
      </c>
      <c r="AJ4213">
        <v>93.253770956504397</v>
      </c>
      <c r="AK4213">
        <v>19.604547106877899</v>
      </c>
      <c r="AL4213">
        <v>81.540492945714902</v>
      </c>
      <c r="AM4213">
        <v>97.457679780339404</v>
      </c>
      <c r="AN4213">
        <v>0.99999998692132896</v>
      </c>
    </row>
    <row r="4214" spans="1:40" x14ac:dyDescent="0.3">
      <c r="A4214" t="str">
        <f>"20200111150112928"</f>
        <v>20200111150112928</v>
      </c>
      <c r="B4214" t="str">
        <f>"1578726072922151"</f>
        <v>1578726072922151</v>
      </c>
      <c r="C4214" t="s">
        <v>40</v>
      </c>
      <c r="D4214">
        <v>4.5940079999999996</v>
      </c>
      <c r="E4214">
        <v>0.52947489999999997</v>
      </c>
      <c r="F4214" t="s">
        <v>42</v>
      </c>
      <c r="G4214">
        <v>-359.6902</v>
      </c>
      <c r="H4214" s="1">
        <v>-5.6358180000000004E-7</v>
      </c>
      <c r="I4214">
        <v>17.84198</v>
      </c>
      <c r="J4214">
        <v>-379.19740000000002</v>
      </c>
      <c r="K4214">
        <v>1.1054930000000001</v>
      </c>
      <c r="L4214">
        <v>17.28622</v>
      </c>
      <c r="M4214">
        <v>0.99960079999999996</v>
      </c>
      <c r="N4214">
        <v>0</v>
      </c>
      <c r="O4214">
        <v>-2.5975120000000001E-2</v>
      </c>
      <c r="P4214">
        <v>0.98520830000000004</v>
      </c>
      <c r="Q4214">
        <v>0.1375286</v>
      </c>
      <c r="R4214">
        <v>0.1022308</v>
      </c>
      <c r="S4214">
        <v>3.0594480000000002</v>
      </c>
      <c r="T4214">
        <v>-0.17176900000000001</v>
      </c>
      <c r="U4214">
        <v>8.5662840000000004E-2</v>
      </c>
      <c r="V4214">
        <v>-0.12818160000000001</v>
      </c>
      <c r="W4214">
        <v>0.1481017</v>
      </c>
      <c r="X4214">
        <v>0.98063009999999995</v>
      </c>
      <c r="Y4214">
        <v>-5.382E-2</v>
      </c>
      <c r="Z4214">
        <v>2.9663549999999999E-3</v>
      </c>
      <c r="AA4214">
        <v>0.99854620000000005</v>
      </c>
      <c r="AB4214">
        <v>32</v>
      </c>
      <c r="AC4214">
        <v>19.507200000000001</v>
      </c>
      <c r="AD4214">
        <v>-1.1054935635818</v>
      </c>
      <c r="AE4214">
        <v>0.55575999999999903</v>
      </c>
      <c r="AF4214">
        <v>-1.05890758062104</v>
      </c>
      <c r="AG4214">
        <v>-1.1054935635818</v>
      </c>
      <c r="AH4214">
        <v>19.423849229753898</v>
      </c>
      <c r="AI4214">
        <v>93.252612065730105</v>
      </c>
      <c r="AJ4214">
        <v>93.120439068425895</v>
      </c>
      <c r="AK4214">
        <v>19.484078633172</v>
      </c>
      <c r="AL4214">
        <v>81.483066838744193</v>
      </c>
      <c r="AM4214">
        <v>97.4471100212333</v>
      </c>
      <c r="AN4214">
        <v>1.00000001457373</v>
      </c>
    </row>
    <row r="4215" spans="1:40" x14ac:dyDescent="0.3">
      <c r="A4215" t="str">
        <f>"20200111150112946"</f>
        <v>20200111150112946</v>
      </c>
      <c r="B4215" t="str">
        <f>"1578726072941671"</f>
        <v>1578726072941671</v>
      </c>
      <c r="C4215" t="s">
        <v>40</v>
      </c>
      <c r="D4215">
        <v>4.5552229999999998</v>
      </c>
      <c r="E4215">
        <v>0.53002989999999905</v>
      </c>
      <c r="F4215" t="s">
        <v>42</v>
      </c>
      <c r="G4215">
        <v>-359.19699999999898</v>
      </c>
      <c r="H4215" s="1">
        <v>-7.3233289999999998E-7</v>
      </c>
      <c r="I4215">
        <v>17.838480000000001</v>
      </c>
      <c r="J4215">
        <v>-378.9375</v>
      </c>
      <c r="K4215">
        <v>1.1053630000000001</v>
      </c>
      <c r="L4215">
        <v>17.28003</v>
      </c>
      <c r="M4215">
        <v>0.99961789999999995</v>
      </c>
      <c r="N4215">
        <v>0</v>
      </c>
      <c r="O4215">
        <v>-2.5318710000000001E-2</v>
      </c>
      <c r="P4215">
        <v>0.98485590000000001</v>
      </c>
      <c r="Q4215">
        <v>0.1395827</v>
      </c>
      <c r="R4215">
        <v>0.1028375</v>
      </c>
      <c r="S4215">
        <v>3.0598749999999999</v>
      </c>
      <c r="T4215">
        <v>-0.16913</v>
      </c>
      <c r="U4215">
        <v>8.4503170000000002E-2</v>
      </c>
      <c r="V4215">
        <v>-0.1280925</v>
      </c>
      <c r="W4215">
        <v>0.15017169999999999</v>
      </c>
      <c r="X4215">
        <v>0.9803269</v>
      </c>
      <c r="Y4215">
        <v>-5.2788630000000003E-2</v>
      </c>
      <c r="Z4215">
        <v>2.8557330000000001E-3</v>
      </c>
      <c r="AA4215">
        <v>0.99860159999999998</v>
      </c>
      <c r="AB4215">
        <v>32</v>
      </c>
      <c r="AC4215">
        <v>19.740500000000001</v>
      </c>
      <c r="AD4215">
        <v>-1.1053637323329</v>
      </c>
      <c r="AE4215">
        <v>0.55845</v>
      </c>
      <c r="AF4215">
        <v>-1.05480110781373</v>
      </c>
      <c r="AG4215">
        <v>-1.1053637323329</v>
      </c>
      <c r="AH4215">
        <v>19.658442948010102</v>
      </c>
      <c r="AI4215">
        <v>93.213650908773701</v>
      </c>
      <c r="AJ4215">
        <v>93.071339556025904</v>
      </c>
      <c r="AK4215">
        <v>19.717728406131599</v>
      </c>
      <c r="AL4215">
        <v>81.363123303840297</v>
      </c>
      <c r="AM4215">
        <v>97.444267404880804</v>
      </c>
      <c r="AN4215">
        <v>1.0000000294503699</v>
      </c>
    </row>
    <row r="4216" spans="1:40" x14ac:dyDescent="0.3">
      <c r="A4216" t="str">
        <f>"20200111150112958"</f>
        <v>20200111150112958</v>
      </c>
      <c r="B4216" t="str">
        <f>"1578726072952407"</f>
        <v>1578726072952407</v>
      </c>
      <c r="C4216" t="s">
        <v>40</v>
      </c>
      <c r="D4216">
        <v>4.5705140000000002</v>
      </c>
      <c r="E4216">
        <v>0.53002989999999905</v>
      </c>
      <c r="F4216" t="s">
        <v>42</v>
      </c>
      <c r="G4216">
        <v>-358.58390000000003</v>
      </c>
      <c r="H4216" s="1">
        <v>-9.4425100000000003E-7</v>
      </c>
      <c r="I4216">
        <v>17.82619</v>
      </c>
      <c r="J4216">
        <v>-378.7534</v>
      </c>
      <c r="K4216">
        <v>1.1053109999999999</v>
      </c>
      <c r="L4216">
        <v>17.275700000000001</v>
      </c>
      <c r="M4216">
        <v>0.99962850000000003</v>
      </c>
      <c r="N4216">
        <v>0</v>
      </c>
      <c r="O4216">
        <v>-2.490757E-2</v>
      </c>
      <c r="P4216">
        <v>0.9847572</v>
      </c>
      <c r="Q4216">
        <v>0.13995450000000001</v>
      </c>
      <c r="R4216">
        <v>0.10327890000000001</v>
      </c>
      <c r="S4216">
        <v>3.0611269999999999</v>
      </c>
      <c r="T4216">
        <v>-0.166243899999999</v>
      </c>
      <c r="U4216">
        <v>8.2153320000000002E-2</v>
      </c>
      <c r="V4216">
        <v>-0.12810949999999999</v>
      </c>
      <c r="W4216">
        <v>0.15054119999999999</v>
      </c>
      <c r="X4216">
        <v>0.98026789999999997</v>
      </c>
      <c r="Y4216">
        <v>-5.160708E-2</v>
      </c>
      <c r="Z4216">
        <v>2.7515909999999998E-3</v>
      </c>
      <c r="AA4216">
        <v>0.99866370000000004</v>
      </c>
      <c r="AB4216">
        <v>32</v>
      </c>
      <c r="AC4216">
        <v>20.1694999999999</v>
      </c>
      <c r="AD4216">
        <v>-1.105311944251</v>
      </c>
      <c r="AE4216">
        <v>0.55048999999999904</v>
      </c>
      <c r="AF4216">
        <v>-1.0495734960958401</v>
      </c>
      <c r="AG4216">
        <v>-1.105311944251</v>
      </c>
      <c r="AH4216">
        <v>20.089243165879001</v>
      </c>
      <c r="AI4216">
        <v>93.144962946260506</v>
      </c>
      <c r="AJ4216">
        <v>92.990730151005806</v>
      </c>
      <c r="AK4216">
        <v>20.146985134149102</v>
      </c>
      <c r="AL4216">
        <v>81.341708173955794</v>
      </c>
      <c r="AM4216">
        <v>97.445687383044003</v>
      </c>
      <c r="AN4216">
        <v>0.999999926329047</v>
      </c>
    </row>
    <row r="4217" spans="1:40" x14ac:dyDescent="0.3">
      <c r="A4217" t="str">
        <f>"20200111150112970"</f>
        <v>20200111150112970</v>
      </c>
      <c r="B4217" t="str">
        <f>"1578726072962167"</f>
        <v>1578726072962167</v>
      </c>
      <c r="C4217" t="s">
        <v>40</v>
      </c>
      <c r="D4217">
        <v>4.7403760000000004</v>
      </c>
      <c r="E4217">
        <v>0.53002989999999905</v>
      </c>
      <c r="F4217" t="s">
        <v>42</v>
      </c>
      <c r="G4217">
        <v>-358.27010000000001</v>
      </c>
      <c r="H4217" s="1">
        <v>-1.0484E-6</v>
      </c>
      <c r="I4217">
        <v>17.83615</v>
      </c>
      <c r="J4217">
        <v>-378.57810000000001</v>
      </c>
      <c r="K4217">
        <v>1.1052930000000001</v>
      </c>
      <c r="L4217">
        <v>17.271729999999899</v>
      </c>
      <c r="M4217">
        <v>0.99963749999999996</v>
      </c>
      <c r="N4217">
        <v>0</v>
      </c>
      <c r="O4217">
        <v>-2.4550720000000002E-2</v>
      </c>
      <c r="P4217">
        <v>0.98469180000000001</v>
      </c>
      <c r="Q4217">
        <v>0.14009240000000001</v>
      </c>
      <c r="R4217">
        <v>0.1037127</v>
      </c>
      <c r="S4217">
        <v>3.0611269999999999</v>
      </c>
      <c r="T4217">
        <v>-0.16518339999999901</v>
      </c>
      <c r="U4217">
        <v>8.3770750000000005E-2</v>
      </c>
      <c r="V4217">
        <v>-0.12818280000000001</v>
      </c>
      <c r="W4217">
        <v>0.150668</v>
      </c>
      <c r="X4217">
        <v>0.98023890000000002</v>
      </c>
      <c r="Y4217">
        <v>-5.1779550000000001E-2</v>
      </c>
      <c r="Z4217">
        <v>2.7194570000000002E-3</v>
      </c>
      <c r="AA4217">
        <v>0.99865479999999995</v>
      </c>
      <c r="AB4217">
        <v>32</v>
      </c>
      <c r="AC4217">
        <v>20.308</v>
      </c>
      <c r="AD4217">
        <v>-1.1052940484</v>
      </c>
      <c r="AE4217">
        <v>0.56442000000000103</v>
      </c>
      <c r="AF4217">
        <v>-1.05971959636266</v>
      </c>
      <c r="AG4217">
        <v>-1.1052940484</v>
      </c>
      <c r="AH4217">
        <v>20.2281458399268</v>
      </c>
      <c r="AI4217">
        <v>93.123336316635999</v>
      </c>
      <c r="AJ4217">
        <v>92.998890996604004</v>
      </c>
      <c r="AK4217">
        <v>20.286018946005399</v>
      </c>
      <c r="AL4217">
        <v>81.3343597924259</v>
      </c>
      <c r="AM4217">
        <v>97.450117643506701</v>
      </c>
      <c r="AN4217">
        <v>0.99999998875652496</v>
      </c>
    </row>
    <row r="4218" spans="1:40" x14ac:dyDescent="0.3">
      <c r="A4218" t="str">
        <f>"20200111150112983"</f>
        <v>20200111150112983</v>
      </c>
      <c r="B4218" t="str">
        <f>"1578726072971927"</f>
        <v>1578726072971927</v>
      </c>
      <c r="C4218" t="s">
        <v>40</v>
      </c>
      <c r="D4218">
        <v>4.5943329999999998</v>
      </c>
      <c r="E4218">
        <v>0.53002989999999905</v>
      </c>
      <c r="F4218" t="s">
        <v>42</v>
      </c>
      <c r="G4218">
        <v>-358.04289999999997</v>
      </c>
      <c r="H4218" s="1">
        <v>-1.1364489999999999E-6</v>
      </c>
      <c r="I4218">
        <v>17.843029999999999</v>
      </c>
      <c r="J4218">
        <v>-378.3997</v>
      </c>
      <c r="K4218">
        <v>1.1052839999999999</v>
      </c>
      <c r="L4218">
        <v>17.26773</v>
      </c>
      <c r="M4218">
        <v>0.99964640000000005</v>
      </c>
      <c r="N4218">
        <v>0</v>
      </c>
      <c r="O4218">
        <v>-2.4192950000000001E-2</v>
      </c>
      <c r="P4218">
        <v>0.98468049999999996</v>
      </c>
      <c r="Q4218">
        <v>0.13999010000000001</v>
      </c>
      <c r="R4218">
        <v>0.1039588</v>
      </c>
      <c r="S4218">
        <v>3.061096</v>
      </c>
      <c r="T4218">
        <v>-0.16476170000000001</v>
      </c>
      <c r="U4218">
        <v>8.5174559999999996E-2</v>
      </c>
      <c r="V4218">
        <v>-0.12807099999999999</v>
      </c>
      <c r="W4218">
        <v>0.15055299999999999</v>
      </c>
      <c r="X4218">
        <v>0.98027120000000001</v>
      </c>
      <c r="Y4218">
        <v>-5.1880959999999997E-2</v>
      </c>
      <c r="Z4218">
        <v>2.6960230000000001E-3</v>
      </c>
      <c r="AA4218">
        <v>0.99864969999999997</v>
      </c>
      <c r="AB4218">
        <v>32</v>
      </c>
      <c r="AC4218">
        <v>20.3568</v>
      </c>
      <c r="AD4218">
        <v>-1.1052851364489999</v>
      </c>
      <c r="AE4218">
        <v>0.57529999999999804</v>
      </c>
      <c r="AF4218">
        <v>-1.06451692067888</v>
      </c>
      <c r="AG4218">
        <v>-1.1052851364489999</v>
      </c>
      <c r="AH4218">
        <v>20.277192189624099</v>
      </c>
      <c r="AI4218">
        <v>93.115753571622506</v>
      </c>
      <c r="AJ4218">
        <v>93.005168848647699</v>
      </c>
      <c r="AK4218">
        <v>20.335175794721302</v>
      </c>
      <c r="AL4218">
        <v>81.341024986274803</v>
      </c>
      <c r="AM4218">
        <v>97.443450092827007</v>
      </c>
      <c r="AN4218">
        <v>1.0000000061997101</v>
      </c>
    </row>
    <row r="4219" spans="1:40" x14ac:dyDescent="0.3">
      <c r="A4219" t="str">
        <f>"20200111150112996"</f>
        <v>20200111150112996</v>
      </c>
      <c r="B4219" t="str">
        <f>"1578726072992422"</f>
        <v>1578726072992422</v>
      </c>
      <c r="C4219" t="s">
        <v>40</v>
      </c>
      <c r="D4219">
        <v>4.5050759999999999</v>
      </c>
      <c r="E4219">
        <v>0.60559989999999997</v>
      </c>
      <c r="F4219" t="s">
        <v>42</v>
      </c>
      <c r="G4219">
        <v>-357.89249999999998</v>
      </c>
      <c r="H4219" s="1">
        <v>-1.201174E-6</v>
      </c>
      <c r="I4219">
        <v>17.841940000000001</v>
      </c>
      <c r="J4219">
        <v>-378.20699999999999</v>
      </c>
      <c r="K4219">
        <v>1.1052930000000001</v>
      </c>
      <c r="L4219">
        <v>17.263490000000001</v>
      </c>
      <c r="M4219">
        <v>0.99965599999999999</v>
      </c>
      <c r="N4219">
        <v>0</v>
      </c>
      <c r="O4219">
        <v>-2.380179E-2</v>
      </c>
      <c r="P4219">
        <v>0.98463460000000003</v>
      </c>
      <c r="Q4219">
        <v>0.13997299999999999</v>
      </c>
      <c r="R4219">
        <v>0.1044128</v>
      </c>
      <c r="S4219">
        <v>3.0610659999999998</v>
      </c>
      <c r="T4219">
        <v>-0.16498299999999999</v>
      </c>
      <c r="U4219">
        <v>8.5723880000000002E-2</v>
      </c>
      <c r="V4219">
        <v>-0.1281381</v>
      </c>
      <c r="W4219">
        <v>0.1505177</v>
      </c>
      <c r="X4219">
        <v>0.98026789999999997</v>
      </c>
      <c r="Y4219">
        <v>-5.167012E-2</v>
      </c>
      <c r="Z4219">
        <v>2.6729200000000001E-3</v>
      </c>
      <c r="AA4219">
        <v>0.99866060000000001</v>
      </c>
      <c r="AB4219">
        <v>32</v>
      </c>
      <c r="AC4219">
        <v>20.314499999999999</v>
      </c>
      <c r="AD4219">
        <v>-1.1052942011739999</v>
      </c>
      <c r="AE4219">
        <v>0.57845000000000002</v>
      </c>
      <c r="AF4219">
        <v>-1.05870530614503</v>
      </c>
      <c r="AG4219">
        <v>-1.1052942011739999</v>
      </c>
      <c r="AH4219">
        <v>20.2351205967908</v>
      </c>
      <c r="AI4219">
        <v>93.122273401326495</v>
      </c>
      <c r="AJ4219">
        <v>92.994995090806697</v>
      </c>
      <c r="AK4219">
        <v>20.292920878056801</v>
      </c>
      <c r="AL4219">
        <v>81.343071250795703</v>
      </c>
      <c r="AM4219">
        <v>97.447330949955301</v>
      </c>
      <c r="AN4219">
        <v>1.0000000532276501</v>
      </c>
    </row>
    <row r="4220" spans="1:40" x14ac:dyDescent="0.3">
      <c r="A4220" t="str">
        <f>"20200111150113012"</f>
        <v>20200111150113012</v>
      </c>
      <c r="B4220" t="str">
        <f>"1578726073002183"</f>
        <v>1578726073002183</v>
      </c>
      <c r="C4220" t="s">
        <v>40</v>
      </c>
      <c r="D4220">
        <v>4.4911629999999896</v>
      </c>
      <c r="E4220">
        <v>0.60585489999999997</v>
      </c>
      <c r="F4220" t="s">
        <v>42</v>
      </c>
      <c r="G4220">
        <v>-345.04969999999997</v>
      </c>
      <c r="H4220" s="1">
        <v>-3.75084E-6</v>
      </c>
      <c r="I4220">
        <v>11.79819</v>
      </c>
      <c r="J4220">
        <v>-377.96660000000003</v>
      </c>
      <c r="K4220">
        <v>1.1053189999999999</v>
      </c>
      <c r="L4220">
        <v>17.258389999999999</v>
      </c>
      <c r="M4220">
        <v>0.99966849999999996</v>
      </c>
      <c r="N4220">
        <v>0</v>
      </c>
      <c r="O4220">
        <v>-2.32791E-2</v>
      </c>
      <c r="P4220">
        <v>0.98443740000000002</v>
      </c>
      <c r="Q4220">
        <v>0.140765</v>
      </c>
      <c r="R4220">
        <v>0.1052048</v>
      </c>
      <c r="S4220">
        <v>3.1160580000000002</v>
      </c>
      <c r="T4220">
        <v>-0.1038737</v>
      </c>
      <c r="U4220">
        <v>-0.51361080000000003</v>
      </c>
      <c r="V4220">
        <v>-0.1284131</v>
      </c>
      <c r="W4220">
        <v>0.15128459999999999</v>
      </c>
      <c r="X4220">
        <v>0.98011380000000003</v>
      </c>
      <c r="Y4220">
        <v>0.13955519999999999</v>
      </c>
      <c r="Z4220">
        <v>-1.5395929999999999E-3</v>
      </c>
      <c r="AA4220">
        <v>0.99021309999999996</v>
      </c>
      <c r="AB4220">
        <v>32</v>
      </c>
      <c r="AC4220">
        <v>32.916899999999998</v>
      </c>
      <c r="AD4220">
        <v>-1.1053227508400001</v>
      </c>
      <c r="AE4220">
        <v>-5.4601999999999897</v>
      </c>
      <c r="AF4220">
        <v>4.6872543350139102</v>
      </c>
      <c r="AG4220">
        <v>-1.1053227508400001</v>
      </c>
      <c r="AH4220">
        <v>32.9988829491461</v>
      </c>
      <c r="AI4220">
        <v>91.899397158421394</v>
      </c>
      <c r="AJ4220">
        <v>81.915627062328397</v>
      </c>
      <c r="AK4220">
        <v>33.3484387562008</v>
      </c>
      <c r="AL4220">
        <v>81.298621726185502</v>
      </c>
      <c r="AM4220">
        <v>97.464294021355002</v>
      </c>
      <c r="AN4220">
        <v>1.0000000076996001</v>
      </c>
    </row>
    <row r="4221" spans="1:40" x14ac:dyDescent="0.3">
      <c r="A4221" t="str">
        <f>"20200111150113026"</f>
        <v>20200111150113026</v>
      </c>
      <c r="B4221" t="str">
        <f>"1578726073021703"</f>
        <v>1578726073021703</v>
      </c>
      <c r="C4221" t="s">
        <v>40</v>
      </c>
      <c r="D4221">
        <v>4.5043030000000002</v>
      </c>
      <c r="E4221">
        <v>0.60651769999999905</v>
      </c>
      <c r="F4221" t="s">
        <v>42</v>
      </c>
      <c r="G4221">
        <v>-342.6472</v>
      </c>
      <c r="H4221" s="1">
        <v>-4.6645930000000002E-6</v>
      </c>
      <c r="I4221">
        <v>11.43676</v>
      </c>
      <c r="J4221">
        <v>-377.7706</v>
      </c>
      <c r="K4221">
        <v>1.1053389999999901</v>
      </c>
      <c r="L4221">
        <v>17.254359999999998</v>
      </c>
      <c r="M4221">
        <v>0.99967930000000005</v>
      </c>
      <c r="N4221">
        <v>0</v>
      </c>
      <c r="O4221">
        <v>-2.2819369999999999E-2</v>
      </c>
      <c r="P4221">
        <v>0.98431170000000001</v>
      </c>
      <c r="Q4221">
        <v>0.14097309999999999</v>
      </c>
      <c r="R4221">
        <v>0.1060982</v>
      </c>
      <c r="S4221">
        <v>3.1162719999999999</v>
      </c>
      <c r="T4221">
        <v>-9.7523929999999995E-2</v>
      </c>
      <c r="U4221">
        <v>-0.51364140000000003</v>
      </c>
      <c r="V4221">
        <v>-0.12885189999999999</v>
      </c>
      <c r="W4221">
        <v>0.15147360000000001</v>
      </c>
      <c r="X4221">
        <v>0.98002699999999998</v>
      </c>
      <c r="Y4221">
        <v>0.14001620000000001</v>
      </c>
      <c r="Z4221">
        <v>-1.46686E-3</v>
      </c>
      <c r="AA4221">
        <v>0.99014809999999998</v>
      </c>
      <c r="AB4221">
        <v>32</v>
      </c>
      <c r="AC4221">
        <v>35.123399999999997</v>
      </c>
      <c r="AD4221">
        <v>-1.1053436645929999</v>
      </c>
      <c r="AE4221">
        <v>-5.8175999999999997</v>
      </c>
      <c r="AF4221">
        <v>5.0097137197041901</v>
      </c>
      <c r="AG4221">
        <v>-1.1053436645929999</v>
      </c>
      <c r="AH4221">
        <v>35.213071793838097</v>
      </c>
      <c r="AI4221">
        <v>91.780020666282695</v>
      </c>
      <c r="AJ4221">
        <v>81.902948092773698</v>
      </c>
      <c r="AK4221">
        <v>35.584820377911797</v>
      </c>
      <c r="AL4221">
        <v>81.287666438081999</v>
      </c>
      <c r="AM4221">
        <v>97.490166972348106</v>
      </c>
      <c r="AN4221">
        <v>0.99999999217978497</v>
      </c>
    </row>
    <row r="4222" spans="1:40" x14ac:dyDescent="0.3">
      <c r="A4222" t="str">
        <f>"20200111150113040"</f>
        <v>20200111150113040</v>
      </c>
      <c r="B4222" t="str">
        <f>"1578726073032439"</f>
        <v>1578726073032439</v>
      </c>
      <c r="C4222" t="s">
        <v>40</v>
      </c>
      <c r="D4222">
        <v>4.5539100000000001</v>
      </c>
      <c r="E4222">
        <v>0.60647169999999995</v>
      </c>
      <c r="F4222" t="s">
        <v>42</v>
      </c>
      <c r="G4222">
        <v>-342.85390000000001</v>
      </c>
      <c r="H4222" s="1">
        <v>-4.5853939999999996E-6</v>
      </c>
      <c r="I4222">
        <v>11.470090000000001</v>
      </c>
      <c r="J4222">
        <v>-377.56560000000002</v>
      </c>
      <c r="K4222">
        <v>1.1053580000000001</v>
      </c>
      <c r="L4222">
        <v>17.250209999999999</v>
      </c>
      <c r="M4222">
        <v>0.99969110000000005</v>
      </c>
      <c r="N4222">
        <v>0</v>
      </c>
      <c r="O4222">
        <v>-2.230598E-2</v>
      </c>
      <c r="P4222">
        <v>0.98411329999999997</v>
      </c>
      <c r="Q4222">
        <v>0.14168829999999999</v>
      </c>
      <c r="R4222">
        <v>0.1069841</v>
      </c>
      <c r="S4222">
        <v>3.1175839999999999</v>
      </c>
      <c r="T4222">
        <v>-9.8691940000000006E-2</v>
      </c>
      <c r="U4222">
        <v>-0.51644899999999905</v>
      </c>
      <c r="V4222">
        <v>-0.12923090000000001</v>
      </c>
      <c r="W4222">
        <v>0.15216879999999999</v>
      </c>
      <c r="X4222">
        <v>0.9798694</v>
      </c>
      <c r="Y4222">
        <v>0.14132349999999999</v>
      </c>
      <c r="Z4222">
        <v>-1.520366E-3</v>
      </c>
      <c r="AA4222">
        <v>0.98996229999999996</v>
      </c>
      <c r="AB4222">
        <v>33</v>
      </c>
      <c r="AC4222">
        <v>34.7117</v>
      </c>
      <c r="AD4222">
        <v>-1.1053625853939999</v>
      </c>
      <c r="AE4222">
        <v>-5.7801200000000001</v>
      </c>
      <c r="AF4222">
        <v>4.9994238080759601</v>
      </c>
      <c r="AG4222">
        <v>-1.1053625853939999</v>
      </c>
      <c r="AH4222">
        <v>34.797666943783</v>
      </c>
      <c r="AI4222">
        <v>91.800933231991394</v>
      </c>
      <c r="AJ4222">
        <v>81.824191664400303</v>
      </c>
      <c r="AK4222">
        <v>35.172342679844199</v>
      </c>
      <c r="AL4222">
        <v>81.247367376130299</v>
      </c>
      <c r="AM4222">
        <v>97.513141423117006</v>
      </c>
      <c r="AN4222">
        <v>1.0000000051322999</v>
      </c>
    </row>
    <row r="4223" spans="1:40" x14ac:dyDescent="0.3">
      <c r="A4223" t="str">
        <f>"20200111150113057"</f>
        <v>20200111150113057</v>
      </c>
      <c r="B4223" t="str">
        <f>"1578726073051959"</f>
        <v>1578726073051959</v>
      </c>
      <c r="C4223" t="s">
        <v>40</v>
      </c>
      <c r="D4223">
        <v>4.461373</v>
      </c>
      <c r="E4223">
        <v>0.6070873</v>
      </c>
      <c r="F4223" t="s">
        <v>42</v>
      </c>
      <c r="G4223">
        <v>-341.97309999999999</v>
      </c>
      <c r="H4223" s="1">
        <v>-4.9071120000000003E-6</v>
      </c>
      <c r="I4223">
        <v>11.38754</v>
      </c>
      <c r="J4223">
        <v>-377.30709999999999</v>
      </c>
      <c r="K4223">
        <v>1.1053850000000001</v>
      </c>
      <c r="L4223">
        <v>17.245239999999999</v>
      </c>
      <c r="M4223">
        <v>0.99970709999999996</v>
      </c>
      <c r="N4223">
        <v>0</v>
      </c>
      <c r="O4223">
        <v>-2.158848E-2</v>
      </c>
      <c r="P4223">
        <v>0.98382150000000002</v>
      </c>
      <c r="Q4223">
        <v>0.14328370000000001</v>
      </c>
      <c r="R4223">
        <v>0.10754180000000001</v>
      </c>
      <c r="S4223">
        <v>3.1181950000000001</v>
      </c>
      <c r="T4223">
        <v>-9.6838830000000001E-2</v>
      </c>
      <c r="U4223">
        <v>-0.51361080000000003</v>
      </c>
      <c r="V4223">
        <v>-0.1290828</v>
      </c>
      <c r="W4223">
        <v>0.15374079999999901</v>
      </c>
      <c r="X4223">
        <v>0.9796435</v>
      </c>
      <c r="Y4223">
        <v>0.14112759999999999</v>
      </c>
      <c r="Z4223">
        <v>-1.5107370000000001E-3</v>
      </c>
      <c r="AA4223">
        <v>0.98999029999999999</v>
      </c>
      <c r="AB4223">
        <v>33</v>
      </c>
      <c r="AC4223">
        <v>35.334000000000003</v>
      </c>
      <c r="AD4223">
        <v>-1.1053899071119999</v>
      </c>
      <c r="AE4223">
        <v>-5.8577000000000004</v>
      </c>
      <c r="AF4223">
        <v>5.08863467107627</v>
      </c>
      <c r="AG4223">
        <v>-1.1053899071119999</v>
      </c>
      <c r="AH4223">
        <v>35.418493981798001</v>
      </c>
      <c r="AI4223">
        <v>91.769429720897094</v>
      </c>
      <c r="AJ4223">
        <v>81.824166502603006</v>
      </c>
      <c r="AK4223">
        <v>35.799243086985598</v>
      </c>
      <c r="AL4223">
        <v>81.1562258662413</v>
      </c>
      <c r="AM4223">
        <v>97.506340268490604</v>
      </c>
      <c r="AN4223">
        <v>0.99999999496636405</v>
      </c>
    </row>
    <row r="4224" spans="1:40" x14ac:dyDescent="0.3">
      <c r="A4224" t="str">
        <f>"20200111150113071"</f>
        <v>20200111150113071</v>
      </c>
      <c r="B4224" t="str">
        <f>"1578726073061719"</f>
        <v>1578726073061719</v>
      </c>
      <c r="C4224" t="s">
        <v>40</v>
      </c>
      <c r="D4224">
        <v>4.553947</v>
      </c>
      <c r="E4224">
        <v>0.60747609999999996</v>
      </c>
      <c r="F4224" t="s">
        <v>42</v>
      </c>
      <c r="G4224">
        <v>-349.51589999999999</v>
      </c>
      <c r="H4224" s="1">
        <v>-2.0027779999999999E-6</v>
      </c>
      <c r="I4224">
        <v>12.655939999999999</v>
      </c>
      <c r="J4224">
        <v>-377.11509999999998</v>
      </c>
      <c r="K4224">
        <v>1.10541</v>
      </c>
      <c r="L4224">
        <v>17.241669999999999</v>
      </c>
      <c r="M4224">
        <v>0.99971940000000004</v>
      </c>
      <c r="N4224">
        <v>0</v>
      </c>
      <c r="O4224">
        <v>-2.1019510000000002E-2</v>
      </c>
      <c r="P4224">
        <v>0.98369879999999998</v>
      </c>
      <c r="Q4224">
        <v>0.14395629999999901</v>
      </c>
      <c r="R4224">
        <v>0.1077671</v>
      </c>
      <c r="S4224">
        <v>3.1238100000000002</v>
      </c>
      <c r="T4224">
        <v>-0.1242481</v>
      </c>
      <c r="U4224">
        <v>-0.51583859999999904</v>
      </c>
      <c r="V4224">
        <v>-0.12875039999999999</v>
      </c>
      <c r="W4224">
        <v>0.15439900000000001</v>
      </c>
      <c r="X4224">
        <v>0.97958369999999995</v>
      </c>
      <c r="Y4224">
        <v>0.14205589999999901</v>
      </c>
      <c r="Z4224">
        <v>-1.975273E-3</v>
      </c>
      <c r="AA4224">
        <v>0.98985670000000003</v>
      </c>
      <c r="AB4224">
        <v>33</v>
      </c>
      <c r="AC4224">
        <v>27.5992</v>
      </c>
      <c r="AD4224">
        <v>-1.1054120027779999</v>
      </c>
      <c r="AE4224">
        <v>-4.5857299999999999</v>
      </c>
      <c r="AF4224">
        <v>3.99831872701089</v>
      </c>
      <c r="AG4224">
        <v>-1.1054120027779999</v>
      </c>
      <c r="AH4224">
        <v>27.6463387631721</v>
      </c>
      <c r="AI4224">
        <v>92.266144634236497</v>
      </c>
      <c r="AJ4224">
        <v>81.770724392622299</v>
      </c>
      <c r="AK4224">
        <v>27.9558318664768</v>
      </c>
      <c r="AL4224">
        <v>81.118057843143504</v>
      </c>
      <c r="AM4224">
        <v>97.487682218942695</v>
      </c>
      <c r="AN4224">
        <v>0.99999997100342397</v>
      </c>
    </row>
    <row r="4225" spans="1:40" x14ac:dyDescent="0.3">
      <c r="A4225" t="str">
        <f>"20200111150113085"</f>
        <v>20200111150113085</v>
      </c>
      <c r="B4225" t="str">
        <f>"1578726073082216"</f>
        <v>1578726073082216</v>
      </c>
      <c r="C4225" t="s">
        <v>40</v>
      </c>
      <c r="D4225">
        <v>4.4751000000000003</v>
      </c>
      <c r="E4225">
        <v>0.60799409999999998</v>
      </c>
      <c r="F4225" t="s">
        <v>42</v>
      </c>
      <c r="G4225">
        <v>-348.39510000000001</v>
      </c>
      <c r="H4225" s="1">
        <v>-2.4311279999999998E-6</v>
      </c>
      <c r="I4225">
        <v>12.479419999999999</v>
      </c>
      <c r="J4225">
        <v>-376.92419999999998</v>
      </c>
      <c r="K4225">
        <v>1.1054409999999999</v>
      </c>
      <c r="L4225">
        <v>17.238219999999998</v>
      </c>
      <c r="M4225">
        <v>0.9997317</v>
      </c>
      <c r="N4225">
        <v>0</v>
      </c>
      <c r="O4225">
        <v>-2.0433710000000001E-2</v>
      </c>
      <c r="P4225">
        <v>0.98350300000000002</v>
      </c>
      <c r="Q4225">
        <v>0.14485410000000001</v>
      </c>
      <c r="R4225">
        <v>0.10834770000000001</v>
      </c>
      <c r="S4225">
        <v>3.1240230000000002</v>
      </c>
      <c r="T4225">
        <v>-0.1202416</v>
      </c>
      <c r="U4225">
        <v>-0.51800539999999995</v>
      </c>
      <c r="V4225">
        <v>-0.1287567</v>
      </c>
      <c r="W4225">
        <v>0.15527939999999901</v>
      </c>
      <c r="X4225">
        <v>0.97944370000000003</v>
      </c>
      <c r="Y4225">
        <v>0.143297799999999</v>
      </c>
      <c r="Z4225">
        <v>-1.9574850000000001E-3</v>
      </c>
      <c r="AA4225">
        <v>0.98967769999999999</v>
      </c>
      <c r="AB4225">
        <v>33</v>
      </c>
      <c r="AC4225">
        <v>28.5290999999999</v>
      </c>
      <c r="AD4225">
        <v>-1.1054434311279999</v>
      </c>
      <c r="AE4225">
        <v>-4.7587999999999999</v>
      </c>
      <c r="AF4225">
        <v>4.1687267497164404</v>
      </c>
      <c r="AG4225">
        <v>-1.1054434311279999</v>
      </c>
      <c r="AH4225">
        <v>28.5786419538526</v>
      </c>
      <c r="AI4225">
        <v>92.191965448246506</v>
      </c>
      <c r="AJ4225">
        <v>81.7008759810752</v>
      </c>
      <c r="AK4225">
        <v>28.902232851801099</v>
      </c>
      <c r="AL4225">
        <v>81.066998844976595</v>
      </c>
      <c r="AM4225">
        <v>97.489102627367004</v>
      </c>
      <c r="AN4225">
        <v>0.999999970664469</v>
      </c>
    </row>
    <row r="4226" spans="1:40" x14ac:dyDescent="0.3">
      <c r="A4226" t="str">
        <f>"20200111150113103"</f>
        <v>20200111150113103</v>
      </c>
      <c r="B4226" t="str">
        <f>"1578726073091974"</f>
        <v>1578726073091974</v>
      </c>
      <c r="C4226" t="s">
        <v>40</v>
      </c>
      <c r="D4226">
        <v>4.5762939999999999</v>
      </c>
      <c r="E4226">
        <v>0.60796619999999901</v>
      </c>
      <c r="F4226" t="s">
        <v>42</v>
      </c>
      <c r="G4226">
        <v>-349.8297</v>
      </c>
      <c r="H4226" s="1">
        <v>-1.875312E-6</v>
      </c>
      <c r="I4226">
        <v>12.73354</v>
      </c>
      <c r="J4226">
        <v>-376.64589999999998</v>
      </c>
      <c r="K4226">
        <v>1.1054930000000001</v>
      </c>
      <c r="L4226">
        <v>17.2334</v>
      </c>
      <c r="M4226">
        <v>0.99974989999999997</v>
      </c>
      <c r="N4226">
        <v>0</v>
      </c>
      <c r="O4226">
        <v>-1.9529100000000001E-2</v>
      </c>
      <c r="P4226">
        <v>0.98314990000000002</v>
      </c>
      <c r="Q4226">
        <v>0.1464386</v>
      </c>
      <c r="R4226">
        <v>0.10941670000000001</v>
      </c>
      <c r="S4226">
        <v>3.1263730000000001</v>
      </c>
      <c r="T4226">
        <v>-0.1275548</v>
      </c>
      <c r="U4226">
        <v>-0.5197754</v>
      </c>
      <c r="V4226">
        <v>-0.1289431</v>
      </c>
      <c r="W4226">
        <v>0.15683749999999999</v>
      </c>
      <c r="X4226">
        <v>0.97917089999999996</v>
      </c>
      <c r="Y4226">
        <v>0.1446056</v>
      </c>
      <c r="Z4226">
        <v>-2.137908E-3</v>
      </c>
      <c r="AA4226">
        <v>0.98948709999999995</v>
      </c>
      <c r="AB4226">
        <v>33</v>
      </c>
      <c r="AC4226">
        <v>26.816199999999899</v>
      </c>
      <c r="AD4226">
        <v>-1.105494875312</v>
      </c>
      <c r="AE4226">
        <v>-4.49986</v>
      </c>
      <c r="AF4226">
        <v>3.9687142990864199</v>
      </c>
      <c r="AG4226">
        <v>-1.105494875312</v>
      </c>
      <c r="AH4226">
        <v>26.8545794679391</v>
      </c>
      <c r="AI4226">
        <v>92.332005348954894</v>
      </c>
      <c r="AJ4226">
        <v>81.593370598779202</v>
      </c>
      <c r="AK4226">
        <v>27.1687550415357</v>
      </c>
      <c r="AL4226">
        <v>80.9766190845138</v>
      </c>
      <c r="AM4226">
        <v>97.501886884792498</v>
      </c>
      <c r="AN4226">
        <v>0.99999998792533495</v>
      </c>
    </row>
    <row r="4227" spans="1:40" x14ac:dyDescent="0.3">
      <c r="A4227" t="str">
        <f>"20200111150113118"</f>
        <v>20200111150113118</v>
      </c>
      <c r="B4227" t="str">
        <f>"1578726073112471"</f>
        <v>1578726073112471</v>
      </c>
      <c r="C4227" t="s">
        <v>40</v>
      </c>
      <c r="D4227">
        <v>4.5352410000000001</v>
      </c>
      <c r="E4227">
        <v>0.607684</v>
      </c>
      <c r="F4227" t="s">
        <v>42</v>
      </c>
      <c r="G4227">
        <v>-348.5754</v>
      </c>
      <c r="H4227" s="1">
        <v>-2.3357010000000002E-6</v>
      </c>
      <c r="I4227">
        <v>12.607530000000001</v>
      </c>
      <c r="J4227">
        <v>-376.43759999999997</v>
      </c>
      <c r="K4227">
        <v>1.105539</v>
      </c>
      <c r="L4227">
        <v>17.23001</v>
      </c>
      <c r="M4227">
        <v>0.99976370000000003</v>
      </c>
      <c r="N4227">
        <v>0</v>
      </c>
      <c r="O4227">
        <v>-1.881882E-2</v>
      </c>
      <c r="P4227">
        <v>0.98290290000000002</v>
      </c>
      <c r="Q4227">
        <v>0.14728079999999999</v>
      </c>
      <c r="R4227">
        <v>0.1105014</v>
      </c>
      <c r="S4227">
        <v>3.1271059999999999</v>
      </c>
      <c r="T4227">
        <v>-0.12315420000000001</v>
      </c>
      <c r="U4227">
        <v>-0.51531979999999999</v>
      </c>
      <c r="V4227">
        <v>-0.1293369</v>
      </c>
      <c r="W4227">
        <v>0.15765870000000001</v>
      </c>
      <c r="X4227">
        <v>0.9789871</v>
      </c>
      <c r="Y4227">
        <v>0.1439057</v>
      </c>
      <c r="Z4227">
        <v>-2.078033E-3</v>
      </c>
      <c r="AA4227">
        <v>0.98958919999999995</v>
      </c>
      <c r="AB4227">
        <v>33</v>
      </c>
      <c r="AC4227">
        <v>27.862199999999898</v>
      </c>
      <c r="AD4227">
        <v>-1.105541335701</v>
      </c>
      <c r="AE4227">
        <v>-4.6224800000000004</v>
      </c>
      <c r="AF4227">
        <v>4.0910281011359704</v>
      </c>
      <c r="AG4227">
        <v>-1.105541335701</v>
      </c>
      <c r="AH4227">
        <v>27.9015082519435</v>
      </c>
      <c r="AI4227">
        <v>92.245063913793601</v>
      </c>
      <c r="AJ4227">
        <v>81.658506888224295</v>
      </c>
      <c r="AK4227">
        <v>28.221497042192901</v>
      </c>
      <c r="AL4227">
        <v>80.928975354753206</v>
      </c>
      <c r="AM4227">
        <v>97.525932468380503</v>
      </c>
      <c r="AN4227">
        <v>1.00000002067685</v>
      </c>
    </row>
    <row r="4228" spans="1:40" x14ac:dyDescent="0.3">
      <c r="A4228" t="str">
        <f>"20200111150113133"</f>
        <v>20200111150113133</v>
      </c>
      <c r="B4228" t="str">
        <f>"1578726073131991"</f>
        <v>1578726073131991</v>
      </c>
      <c r="C4228" t="s">
        <v>40</v>
      </c>
      <c r="D4228">
        <v>4.5173560000000004</v>
      </c>
      <c r="E4228">
        <v>0.60762740000000004</v>
      </c>
      <c r="F4228" t="s">
        <v>42</v>
      </c>
      <c r="G4228">
        <v>-349.29430000000002</v>
      </c>
      <c r="H4228" s="1">
        <v>-2.0356449999999998E-6</v>
      </c>
      <c r="I4228">
        <v>12.815860000000001</v>
      </c>
      <c r="J4228">
        <v>-376.21010000000001</v>
      </c>
      <c r="K4228">
        <v>1.105586</v>
      </c>
      <c r="L4228">
        <v>17.226500000000001</v>
      </c>
      <c r="M4228">
        <v>0.99977859999999996</v>
      </c>
      <c r="N4228">
        <v>0</v>
      </c>
      <c r="O4228">
        <v>-1.8010479999999999E-2</v>
      </c>
      <c r="P4228">
        <v>0.98264770000000001</v>
      </c>
      <c r="Q4228">
        <v>0.14823599999999901</v>
      </c>
      <c r="R4228">
        <v>0.1114888</v>
      </c>
      <c r="S4228">
        <v>3.1285099999999999</v>
      </c>
      <c r="T4228">
        <v>-0.12742300000000001</v>
      </c>
      <c r="U4228">
        <v>-0.5087585</v>
      </c>
      <c r="V4228">
        <v>-0.12954089999999999</v>
      </c>
      <c r="W4228">
        <v>0.1585915</v>
      </c>
      <c r="X4228">
        <v>0.97880940000000005</v>
      </c>
      <c r="Y4228">
        <v>0.14260699999999901</v>
      </c>
      <c r="Z4228">
        <v>-2.1558150000000002E-3</v>
      </c>
      <c r="AA4228">
        <v>0.98977700000000002</v>
      </c>
      <c r="AB4228">
        <v>33</v>
      </c>
      <c r="AC4228">
        <v>26.915799999999901</v>
      </c>
      <c r="AD4228">
        <v>-1.1055880356450001</v>
      </c>
      <c r="AE4228">
        <v>-4.4106399999999999</v>
      </c>
      <c r="AF4228">
        <v>3.91869053031074</v>
      </c>
      <c r="AG4228">
        <v>-1.1055880356450001</v>
      </c>
      <c r="AH4228">
        <v>26.946600186296401</v>
      </c>
      <c r="AI4228">
        <v>92.325032965847598</v>
      </c>
      <c r="AJ4228">
        <v>81.725804086286203</v>
      </c>
      <c r="AK4228">
        <v>27.252481024248301</v>
      </c>
      <c r="AL4228">
        <v>80.874848470688306</v>
      </c>
      <c r="AM4228">
        <v>97.539019259333799</v>
      </c>
      <c r="AN4228">
        <v>0.99999997508670901</v>
      </c>
    </row>
    <row r="4229" spans="1:40" x14ac:dyDescent="0.3">
      <c r="A4229" t="str">
        <f>"20200111150113146"</f>
        <v>20200111150113146</v>
      </c>
      <c r="B4229" t="str">
        <f>"1578726073141751"</f>
        <v>1578726073141751</v>
      </c>
      <c r="C4229" t="s">
        <v>40</v>
      </c>
      <c r="D4229">
        <v>4.5478680000000002</v>
      </c>
      <c r="E4229">
        <v>0.60744419999999899</v>
      </c>
      <c r="F4229" t="s">
        <v>42</v>
      </c>
      <c r="G4229">
        <v>-349.32429999999999</v>
      </c>
      <c r="H4229" s="1">
        <v>-2.00528E-6</v>
      </c>
      <c r="I4229">
        <v>12.89148</v>
      </c>
      <c r="J4229">
        <v>-376.02210000000002</v>
      </c>
      <c r="K4229">
        <v>1.105629</v>
      </c>
      <c r="L4229">
        <v>17.223790000000001</v>
      </c>
      <c r="M4229">
        <v>0.99979079999999998</v>
      </c>
      <c r="N4229">
        <v>0</v>
      </c>
      <c r="O4229">
        <v>-1.7320550000000001E-2</v>
      </c>
      <c r="P4229">
        <v>0.98231299999999999</v>
      </c>
      <c r="Q4229">
        <v>0.1498369</v>
      </c>
      <c r="R4229">
        <v>0.11229459999999999</v>
      </c>
      <c r="S4229">
        <v>3.1296390000000001</v>
      </c>
      <c r="T4229">
        <v>-0.12869620000000001</v>
      </c>
      <c r="U4229">
        <v>-0.50460819999999995</v>
      </c>
      <c r="V4229">
        <v>-0.12967819999999999</v>
      </c>
      <c r="W4229">
        <v>0.16017229999999999</v>
      </c>
      <c r="X4229">
        <v>0.97853380000000001</v>
      </c>
      <c r="Y4229">
        <v>0.1419523</v>
      </c>
      <c r="Z4229">
        <v>-2.1915770000000001E-3</v>
      </c>
      <c r="AA4229">
        <v>0.9898711</v>
      </c>
      <c r="AB4229">
        <v>33</v>
      </c>
      <c r="AC4229">
        <v>26.697800000000001</v>
      </c>
      <c r="AD4229">
        <v>-1.10563100528</v>
      </c>
      <c r="AE4229">
        <v>-4.3323099999999997</v>
      </c>
      <c r="AF4229">
        <v>3.8627573352172799</v>
      </c>
      <c r="AG4229">
        <v>-1.10563100528</v>
      </c>
      <c r="AH4229">
        <v>26.7241803455744</v>
      </c>
      <c r="AI4229">
        <v>92.344746777745399</v>
      </c>
      <c r="AJ4229">
        <v>81.775334737957806</v>
      </c>
      <c r="AK4229">
        <v>27.024528289933201</v>
      </c>
      <c r="AL4229">
        <v>80.783102728089602</v>
      </c>
      <c r="AM4229">
        <v>97.549018835218305</v>
      </c>
      <c r="AN4229">
        <v>0.99999999949248497</v>
      </c>
    </row>
    <row r="4230" spans="1:40" x14ac:dyDescent="0.3">
      <c r="A4230" t="str">
        <f>"20200111150113159"</f>
        <v>20200111150113159</v>
      </c>
      <c r="B4230" t="str">
        <f>"1578726073152488"</f>
        <v>1578726073152488</v>
      </c>
      <c r="C4230" t="s">
        <v>40</v>
      </c>
      <c r="D4230">
        <v>5.622179</v>
      </c>
      <c r="E4230">
        <v>0.60744419999999899</v>
      </c>
      <c r="F4230" t="s">
        <v>42</v>
      </c>
      <c r="G4230">
        <v>-349.13959999999997</v>
      </c>
      <c r="H4230" s="1">
        <v>-2.056213E-6</v>
      </c>
      <c r="I4230">
        <v>12.936389999999999</v>
      </c>
      <c r="J4230">
        <v>-375.8297</v>
      </c>
      <c r="K4230">
        <v>1.105675</v>
      </c>
      <c r="L4230">
        <v>17.221070000000001</v>
      </c>
      <c r="M4230">
        <v>0.99980340000000001</v>
      </c>
      <c r="N4230">
        <v>0</v>
      </c>
      <c r="O4230">
        <v>-1.6593279999999998E-2</v>
      </c>
      <c r="P4230">
        <v>0.98215609999999998</v>
      </c>
      <c r="Q4230">
        <v>0.1502811</v>
      </c>
      <c r="R4230">
        <v>0.113071</v>
      </c>
      <c r="S4230">
        <v>3.1307369999999999</v>
      </c>
      <c r="T4230">
        <v>-0.1287614</v>
      </c>
      <c r="U4230">
        <v>-0.49929810000000002</v>
      </c>
      <c r="V4230">
        <v>-0.12975210000000001</v>
      </c>
      <c r="W4230">
        <v>0.1605982</v>
      </c>
      <c r="X4230">
        <v>0.97845420000000005</v>
      </c>
      <c r="Y4230">
        <v>0.140981</v>
      </c>
      <c r="Z4230">
        <v>-2.202065E-3</v>
      </c>
      <c r="AA4230">
        <v>0.99000980000000005</v>
      </c>
      <c r="AB4230">
        <v>33</v>
      </c>
      <c r="AC4230">
        <v>26.690100000000001</v>
      </c>
      <c r="AD4230">
        <v>-1.1056770562130001</v>
      </c>
      <c r="AE4230">
        <v>-4.2846799999999998</v>
      </c>
      <c r="AF4230">
        <v>3.83477191206766</v>
      </c>
      <c r="AG4230">
        <v>-1.1056770562130001</v>
      </c>
      <c r="AH4230">
        <v>26.712834441599799</v>
      </c>
      <c r="AI4230">
        <v>92.346165308578804</v>
      </c>
      <c r="AJ4230">
        <v>81.830693855112102</v>
      </c>
      <c r="AK4230">
        <v>27.0093228584972</v>
      </c>
      <c r="AL4230">
        <v>80.758380467512296</v>
      </c>
      <c r="AM4230">
        <v>97.553878539590002</v>
      </c>
      <c r="AN4230">
        <v>1.0000000053976399</v>
      </c>
    </row>
    <row r="4231" spans="1:40" x14ac:dyDescent="0.3">
      <c r="A4231" t="str">
        <f>"20200111150113228"</f>
        <v>20200111150113228</v>
      </c>
      <c r="B4231" t="str">
        <f>"1578726073221783"</f>
        <v>1578726073221783</v>
      </c>
      <c r="C4231" t="s">
        <v>40</v>
      </c>
      <c r="D4231">
        <v>4.4350189999999996</v>
      </c>
      <c r="E4231">
        <v>0.60744419999999899</v>
      </c>
      <c r="F4231" t="s">
        <v>42</v>
      </c>
      <c r="G4231">
        <v>-348.78840000000002</v>
      </c>
      <c r="H4231" s="1">
        <v>-2.1761100000000001E-6</v>
      </c>
      <c r="I4231">
        <v>12.93487</v>
      </c>
      <c r="J4231">
        <v>-374.83109999999999</v>
      </c>
      <c r="K4231">
        <v>1.105926</v>
      </c>
      <c r="L4231">
        <v>17.21011</v>
      </c>
      <c r="M4231">
        <v>0.99986459999999999</v>
      </c>
      <c r="N4231">
        <v>0</v>
      </c>
      <c r="O4231">
        <v>-1.2382509999999999E-2</v>
      </c>
      <c r="P4231">
        <v>0.98078419999999999</v>
      </c>
      <c r="Q4231">
        <v>0.15451289999999901</v>
      </c>
      <c r="R4231">
        <v>0.11911480000000001</v>
      </c>
      <c r="S4231">
        <v>3.1312259999999998</v>
      </c>
      <c r="T4231">
        <v>-0.12803129999999999</v>
      </c>
      <c r="U4231">
        <v>-0.49630740000000001</v>
      </c>
      <c r="V4231">
        <v>-0.1317305</v>
      </c>
      <c r="W4231">
        <v>0.1647323</v>
      </c>
      <c r="X4231">
        <v>0.97750210000000004</v>
      </c>
      <c r="Y4231">
        <v>0.1441983</v>
      </c>
      <c r="Z4231">
        <v>-2.425689E-3</v>
      </c>
      <c r="AA4231">
        <v>0.98954580000000003</v>
      </c>
      <c r="AB4231">
        <v>33</v>
      </c>
      <c r="AC4231">
        <v>26.0426999999999</v>
      </c>
      <c r="AD4231">
        <v>-1.1059281761099999</v>
      </c>
      <c r="AE4231">
        <v>-4.2752400000000002</v>
      </c>
      <c r="AF4231">
        <v>3.94549084811855</v>
      </c>
      <c r="AG4231">
        <v>-1.1059281761099999</v>
      </c>
      <c r="AH4231">
        <v>26.0479034913281</v>
      </c>
      <c r="AI4231">
        <v>92.403787552298397</v>
      </c>
      <c r="AJ4231">
        <v>81.386848714712201</v>
      </c>
      <c r="AK4231">
        <v>26.3682242757612</v>
      </c>
      <c r="AL4231">
        <v>80.518316462387602</v>
      </c>
      <c r="AM4231">
        <v>97.675075867016204</v>
      </c>
      <c r="AN4231">
        <v>1.0000000053989699</v>
      </c>
    </row>
    <row r="4232" spans="1:40" x14ac:dyDescent="0.3">
      <c r="A4232" t="str">
        <f>"20200111150113241"</f>
        <v>20200111150113241</v>
      </c>
      <c r="B4232" t="str">
        <f>"1578726073231545"</f>
        <v>1578726073231545</v>
      </c>
      <c r="C4232" t="s">
        <v>40</v>
      </c>
      <c r="D4232">
        <v>4.4876909999999999</v>
      </c>
      <c r="E4232">
        <v>0.51855459999999998</v>
      </c>
      <c r="F4232" t="s">
        <v>42</v>
      </c>
      <c r="G4232">
        <v>-345.3691</v>
      </c>
      <c r="H4232" s="1">
        <v>-3.3894999999999999E-6</v>
      </c>
      <c r="I4232">
        <v>12.747730000000001</v>
      </c>
      <c r="J4232">
        <v>-374.63979999999998</v>
      </c>
      <c r="K4232">
        <v>1.1059650000000001</v>
      </c>
      <c r="L4232">
        <v>17.208500000000001</v>
      </c>
      <c r="M4232">
        <v>0.99987510000000002</v>
      </c>
      <c r="N4232">
        <v>0</v>
      </c>
      <c r="O4232">
        <v>-1.151283E-2</v>
      </c>
      <c r="P4232">
        <v>0.98057099999999997</v>
      </c>
      <c r="Q4232">
        <v>0.15525990000000001</v>
      </c>
      <c r="R4232">
        <v>0.1198954</v>
      </c>
      <c r="S4232">
        <v>3.134979</v>
      </c>
      <c r="T4232">
        <v>-0.1176794</v>
      </c>
      <c r="U4232">
        <v>-0.474823</v>
      </c>
      <c r="V4232">
        <v>-0.1316717</v>
      </c>
      <c r="W4232">
        <v>0.1654651</v>
      </c>
      <c r="X4232">
        <v>0.97738619999999998</v>
      </c>
      <c r="Y4232">
        <v>0.138270899999999</v>
      </c>
      <c r="Z4232">
        <v>-2.1500769999999998E-3</v>
      </c>
      <c r="AA4232">
        <v>0.9903921</v>
      </c>
      <c r="AB4232">
        <v>33</v>
      </c>
      <c r="AC4232">
        <v>29.270699999999898</v>
      </c>
      <c r="AD4232">
        <v>-1.1059683895000001</v>
      </c>
      <c r="AE4232">
        <v>-4.4607700000000001</v>
      </c>
      <c r="AF4232">
        <v>4.1177207814582797</v>
      </c>
      <c r="AG4232">
        <v>-1.1059683895000001</v>
      </c>
      <c r="AH4232">
        <v>29.279267429447401</v>
      </c>
      <c r="AI4232">
        <v>92.142149572957607</v>
      </c>
      <c r="AJ4232">
        <v>81.994649797435997</v>
      </c>
      <c r="AK4232">
        <v>29.588076850612101</v>
      </c>
      <c r="AL4232">
        <v>80.475745483789794</v>
      </c>
      <c r="AM4232">
        <v>97.672589669282402</v>
      </c>
      <c r="AN4232">
        <v>0.99999995992466895</v>
      </c>
    </row>
    <row r="4233" spans="1:40" x14ac:dyDescent="0.3">
      <c r="A4233" t="str">
        <f>"20200111150113259"</f>
        <v>20200111150113259</v>
      </c>
      <c r="B4233" t="str">
        <f>"1578726073252039"</f>
        <v>1578726073252039</v>
      </c>
      <c r="C4233" t="s">
        <v>40</v>
      </c>
      <c r="D4233">
        <v>4.6422600000000003</v>
      </c>
      <c r="E4233">
        <v>0.52064719999999998</v>
      </c>
      <c r="F4233" t="s">
        <v>42</v>
      </c>
      <c r="G4233">
        <v>-338.74059999999997</v>
      </c>
      <c r="H4233" s="1">
        <v>-6.0615579999999998E-7</v>
      </c>
      <c r="I4233">
        <v>19.930350000000001</v>
      </c>
      <c r="J4233">
        <v>-374.37009999999998</v>
      </c>
      <c r="K4233">
        <v>1.1060140000000001</v>
      </c>
      <c r="L4233">
        <v>17.206630000000001</v>
      </c>
      <c r="M4233">
        <v>0.99988900000000003</v>
      </c>
      <c r="N4233">
        <v>0</v>
      </c>
      <c r="O4233">
        <v>-1.0247300000000001E-2</v>
      </c>
      <c r="P4233">
        <v>0.98037819999999998</v>
      </c>
      <c r="Q4233">
        <v>0.15628420000000001</v>
      </c>
      <c r="R4233">
        <v>0.1201424</v>
      </c>
      <c r="S4233">
        <v>3.0460509999999998</v>
      </c>
      <c r="T4233">
        <v>-9.3841309999999997E-2</v>
      </c>
      <c r="U4233">
        <v>0.230957</v>
      </c>
      <c r="V4233">
        <v>-0.1306969</v>
      </c>
      <c r="W4233">
        <v>0.16647509999999999</v>
      </c>
      <c r="X4233">
        <v>0.97734560000000004</v>
      </c>
      <c r="Y4233">
        <v>-8.5774069999999994E-2</v>
      </c>
      <c r="Z4233">
        <v>1.634251E-3</v>
      </c>
      <c r="AA4233">
        <v>0.99631329999999996</v>
      </c>
      <c r="AB4233">
        <v>33</v>
      </c>
      <c r="AC4233">
        <v>35.6295</v>
      </c>
      <c r="AD4233">
        <v>-1.1060146061558001</v>
      </c>
      <c r="AE4233">
        <v>2.7237200000000001</v>
      </c>
      <c r="AF4233">
        <v>-3.0857483180412899</v>
      </c>
      <c r="AG4233">
        <v>-1.1060146061558001</v>
      </c>
      <c r="AH4233">
        <v>35.565644276823797</v>
      </c>
      <c r="AI4233">
        <v>91.774538523920995</v>
      </c>
      <c r="AJ4233">
        <v>94.958681930592206</v>
      </c>
      <c r="AK4233">
        <v>35.716385088876201</v>
      </c>
      <c r="AL4233">
        <v>80.417063539376798</v>
      </c>
      <c r="AM4233">
        <v>97.6167694103748</v>
      </c>
      <c r="AN4233">
        <v>1.00000003021448</v>
      </c>
    </row>
    <row r="4234" spans="1:40" x14ac:dyDescent="0.3">
      <c r="A4234" t="str">
        <f>"20200111150113272"</f>
        <v>20200111150113272</v>
      </c>
      <c r="B4234" t="str">
        <f>"1578726073262405"</f>
        <v>1578726073262405</v>
      </c>
      <c r="C4234" t="s">
        <v>40</v>
      </c>
      <c r="D4234">
        <v>4.500108</v>
      </c>
      <c r="E4234">
        <v>0.52119079999999995</v>
      </c>
      <c r="F4234" t="s">
        <v>42</v>
      </c>
      <c r="G4234">
        <v>-332.41559999999998</v>
      </c>
      <c r="H4234" s="1">
        <v>-3.3830719999999999E-6</v>
      </c>
      <c r="I4234">
        <v>20.169060000000002</v>
      </c>
      <c r="J4234">
        <v>-374.19060000000002</v>
      </c>
      <c r="K4234">
        <v>1.1060430000000001</v>
      </c>
      <c r="L4234">
        <v>17.205629999999999</v>
      </c>
      <c r="M4234">
        <v>0.99989740000000005</v>
      </c>
      <c r="N4234">
        <v>0</v>
      </c>
      <c r="O4234">
        <v>-9.3829359999999997E-3</v>
      </c>
      <c r="P4234">
        <v>0.98030870000000003</v>
      </c>
      <c r="Q4234">
        <v>0.15643979999999999</v>
      </c>
      <c r="R4234">
        <v>0.1205059</v>
      </c>
      <c r="S4234">
        <v>3.046478</v>
      </c>
      <c r="T4234">
        <v>-8.0312010000000003E-2</v>
      </c>
      <c r="U4234">
        <v>0.21511839999999999</v>
      </c>
      <c r="V4234">
        <v>-0.13022339999999999</v>
      </c>
      <c r="W4234">
        <v>0.16662270000000001</v>
      </c>
      <c r="X4234">
        <v>0.97738360000000002</v>
      </c>
      <c r="Y4234">
        <v>-7.9763029999999999E-2</v>
      </c>
      <c r="Z4234">
        <v>1.296915E-3</v>
      </c>
      <c r="AA4234">
        <v>0.99681299999999995</v>
      </c>
      <c r="AB4234">
        <v>33</v>
      </c>
      <c r="AC4234">
        <v>41.774999999999999</v>
      </c>
      <c r="AD4234">
        <v>-1.106046383072</v>
      </c>
      <c r="AE4234">
        <v>2.9634299999999998</v>
      </c>
      <c r="AF4234">
        <v>-3.3529560148787998</v>
      </c>
      <c r="AG4234">
        <v>-1.106046383072</v>
      </c>
      <c r="AH4234">
        <v>41.7162571250146</v>
      </c>
      <c r="AI4234">
        <v>91.513879316606605</v>
      </c>
      <c r="AJ4234">
        <v>94.595286073413405</v>
      </c>
      <c r="AK4234">
        <v>41.865400525488198</v>
      </c>
      <c r="AL4234">
        <v>80.408486406192495</v>
      </c>
      <c r="AM4234">
        <v>97.589205315462095</v>
      </c>
      <c r="AN4234">
        <v>0.99999997980590405</v>
      </c>
    </row>
    <row r="4235" spans="1:40" x14ac:dyDescent="0.3">
      <c r="A4235" t="str">
        <f>"20200111150113284"</f>
        <v>20200111150113284</v>
      </c>
      <c r="B4235" t="str">
        <f>"1578726073281925"</f>
        <v>1578726073281925</v>
      </c>
      <c r="C4235" t="s">
        <v>40</v>
      </c>
      <c r="D4235">
        <v>4.489058</v>
      </c>
      <c r="E4235">
        <v>0.52248170000000005</v>
      </c>
      <c r="F4235" t="s">
        <v>43</v>
      </c>
      <c r="G4235">
        <v>-316.76400000000001</v>
      </c>
      <c r="H4235">
        <v>-0.05</v>
      </c>
      <c r="I4235">
        <v>21.189029999999999</v>
      </c>
      <c r="J4235">
        <v>-374.01299999999998</v>
      </c>
      <c r="K4235">
        <v>1.1060669999999999</v>
      </c>
      <c r="L4235">
        <v>17.204740000000001</v>
      </c>
      <c r="M4235">
        <v>0.99990520000000005</v>
      </c>
      <c r="N4235">
        <v>0</v>
      </c>
      <c r="O4235">
        <v>-8.5216900000000002E-3</v>
      </c>
      <c r="P4235">
        <v>0.98029149999999998</v>
      </c>
      <c r="Q4235">
        <v>0.1565327</v>
      </c>
      <c r="R4235">
        <v>0.1205238</v>
      </c>
      <c r="S4235">
        <v>3.0440670000000001</v>
      </c>
      <c r="T4235">
        <v>-6.127954E-2</v>
      </c>
      <c r="U4235">
        <v>0.21115110000000001</v>
      </c>
      <c r="V4235">
        <v>-0.1294072</v>
      </c>
      <c r="W4235">
        <v>0.1667102</v>
      </c>
      <c r="X4235">
        <v>0.97747709999999999</v>
      </c>
      <c r="Y4235">
        <v>-7.7680379999999993E-2</v>
      </c>
      <c r="Z4235">
        <v>9.5221369999999995E-4</v>
      </c>
      <c r="AA4235">
        <v>0.99697789999999997</v>
      </c>
      <c r="AB4235">
        <v>33</v>
      </c>
      <c r="AC4235">
        <v>57.249000000000002</v>
      </c>
      <c r="AD4235">
        <v>-1.156067</v>
      </c>
      <c r="AE4235">
        <v>3.9842899999999899</v>
      </c>
      <c r="AF4235">
        <v>-4.4702179818887</v>
      </c>
      <c r="AG4235">
        <v>-1.156067</v>
      </c>
      <c r="AH4235">
        <v>57.189757504463699</v>
      </c>
      <c r="AI4235">
        <v>91.154531868071103</v>
      </c>
      <c r="AJ4235">
        <v>94.469417650797098</v>
      </c>
      <c r="AK4235">
        <v>57.375845990568699</v>
      </c>
      <c r="AL4235">
        <v>80.403402082707402</v>
      </c>
      <c r="AM4235">
        <v>97.541474670663405</v>
      </c>
      <c r="AN4235">
        <v>0.99999999761014402</v>
      </c>
    </row>
    <row r="4236" spans="1:40" x14ac:dyDescent="0.3">
      <c r="A4236" t="str">
        <f>"20200111150113297"</f>
        <v>20200111150113297</v>
      </c>
      <c r="B4236" t="str">
        <f>"1578726073291686"</f>
        <v>1578726073291686</v>
      </c>
      <c r="C4236" t="s">
        <v>40</v>
      </c>
      <c r="D4236">
        <v>4.4420000000000002</v>
      </c>
      <c r="E4236">
        <v>0.52303109999999997</v>
      </c>
      <c r="F4236" t="s">
        <v>90</v>
      </c>
      <c r="G4236">
        <v>-279.68</v>
      </c>
      <c r="H4236">
        <v>5.2954790000000002E-2</v>
      </c>
      <c r="I4236">
        <v>23.402229999999999</v>
      </c>
      <c r="J4236">
        <v>-373.81920000000002</v>
      </c>
      <c r="K4236">
        <v>1.1060909999999999</v>
      </c>
      <c r="L4236">
        <v>17.203979999999898</v>
      </c>
      <c r="M4236">
        <v>0.99991280000000005</v>
      </c>
      <c r="N4236">
        <v>0</v>
      </c>
      <c r="O4236">
        <v>-7.56902099999999E-3</v>
      </c>
      <c r="P4236">
        <v>0.98032490000000005</v>
      </c>
      <c r="Q4236">
        <v>0.15644739999999999</v>
      </c>
      <c r="R4236">
        <v>0.120363</v>
      </c>
      <c r="S4236">
        <v>3.0411679999999999</v>
      </c>
      <c r="T4236">
        <v>-3.3950809999999998E-2</v>
      </c>
      <c r="U4236">
        <v>0.19979859999999999</v>
      </c>
      <c r="V4236">
        <v>-0.12832260000000001</v>
      </c>
      <c r="W4236">
        <v>0.1666213</v>
      </c>
      <c r="X4236">
        <v>0.97763529999999998</v>
      </c>
      <c r="Y4236">
        <v>-7.3102940000000005E-2</v>
      </c>
      <c r="Z4236">
        <v>4.9201349999999997E-4</v>
      </c>
      <c r="AA4236">
        <v>0.99732430000000005</v>
      </c>
      <c r="AB4236">
        <v>33</v>
      </c>
      <c r="AC4236">
        <v>94.139200000000002</v>
      </c>
      <c r="AD4236">
        <v>-1.0531362099999999</v>
      </c>
      <c r="AE4236">
        <v>6.1982499999999998</v>
      </c>
      <c r="AF4236">
        <v>-6.90979471037961</v>
      </c>
      <c r="AG4236">
        <v>-1.0531362099999999</v>
      </c>
      <c r="AH4236">
        <v>94.077862643399897</v>
      </c>
      <c r="AI4236">
        <v>90.639636781476199</v>
      </c>
      <c r="AJ4236">
        <v>94.2006956120686</v>
      </c>
      <c r="AK4236">
        <v>94.337153859796004</v>
      </c>
      <c r="AL4236">
        <v>80.408568568276095</v>
      </c>
      <c r="AM4236">
        <v>97.477789309753902</v>
      </c>
      <c r="AN4236">
        <v>1.0000000635452599</v>
      </c>
    </row>
    <row r="4237" spans="1:40" x14ac:dyDescent="0.3">
      <c r="A4237" t="str">
        <f>"20200111150113314"</f>
        <v>20200111150113314</v>
      </c>
      <c r="B4237" t="str">
        <f>"1578726073312182"</f>
        <v>1578726073312182</v>
      </c>
      <c r="C4237" t="s">
        <v>40</v>
      </c>
      <c r="D4237">
        <v>4.4810119999999998</v>
      </c>
      <c r="E4237">
        <v>0.5225957</v>
      </c>
      <c r="F4237" t="s">
        <v>43</v>
      </c>
      <c r="G4237">
        <v>-282.14550000000003</v>
      </c>
      <c r="H4237">
        <v>-0.05</v>
      </c>
      <c r="I4237">
        <v>23.079910000000002</v>
      </c>
      <c r="J4237">
        <v>-373.57690000000002</v>
      </c>
      <c r="K4237">
        <v>1.10612</v>
      </c>
      <c r="L4237">
        <v>17.203279999999999</v>
      </c>
      <c r="M4237">
        <v>0.99992130000000001</v>
      </c>
      <c r="N4237">
        <v>0</v>
      </c>
      <c r="O4237">
        <v>-6.3662509999999999E-3</v>
      </c>
      <c r="P4237">
        <v>0.98058259999999997</v>
      </c>
      <c r="Q4237">
        <v>0.15568219999999999</v>
      </c>
      <c r="R4237">
        <v>0.11925180000000001</v>
      </c>
      <c r="S4237">
        <v>3.0424190000000002</v>
      </c>
      <c r="T4237">
        <v>-3.8367749999999999E-2</v>
      </c>
      <c r="U4237">
        <v>0.19500729999999999</v>
      </c>
      <c r="V4237">
        <v>-0.12604189999999901</v>
      </c>
      <c r="W4237">
        <v>0.16585910000000001</v>
      </c>
      <c r="X4237">
        <v>0.97806139999999997</v>
      </c>
      <c r="Y4237">
        <v>-7.0311079999999998E-2</v>
      </c>
      <c r="Z4237">
        <v>5.2307949999999895E-4</v>
      </c>
      <c r="AA4237">
        <v>0.997525</v>
      </c>
      <c r="AB4237">
        <v>33</v>
      </c>
      <c r="AC4237">
        <v>91.431399999999996</v>
      </c>
      <c r="AD4237">
        <v>-1.15612</v>
      </c>
      <c r="AE4237">
        <v>5.8766299999999996</v>
      </c>
      <c r="AF4237">
        <v>-6.4575919123070902</v>
      </c>
      <c r="AG4237">
        <v>-1.15612</v>
      </c>
      <c r="AH4237">
        <v>91.377582613315099</v>
      </c>
      <c r="AI4237">
        <v>90.723071189798802</v>
      </c>
      <c r="AJ4237">
        <v>94.042333550460796</v>
      </c>
      <c r="AK4237">
        <v>91.612770458127301</v>
      </c>
      <c r="AL4237">
        <v>80.452854575769607</v>
      </c>
      <c r="AM4237">
        <v>97.343184434598896</v>
      </c>
      <c r="AN4237">
        <v>0.999999951889188</v>
      </c>
    </row>
    <row r="4238" spans="1:40" x14ac:dyDescent="0.3">
      <c r="A4238" t="str">
        <f>"20200111150113327"</f>
        <v>20200111150113327</v>
      </c>
      <c r="B4238" t="str">
        <f>"1578726073321942"</f>
        <v>1578726073321942</v>
      </c>
      <c r="C4238" t="s">
        <v>40</v>
      </c>
      <c r="D4238">
        <v>4.5703750000000003</v>
      </c>
      <c r="E4238">
        <v>0.52180820000000006</v>
      </c>
      <c r="F4238" t="s">
        <v>43</v>
      </c>
      <c r="G4238">
        <v>-282.39640000000003</v>
      </c>
      <c r="H4238">
        <v>-0.05</v>
      </c>
      <c r="I4238">
        <v>23.022870000000001</v>
      </c>
      <c r="J4238">
        <v>-373.37720000000002</v>
      </c>
      <c r="K4238">
        <v>1.106136</v>
      </c>
      <c r="L4238">
        <v>17.202939999999899</v>
      </c>
      <c r="M4238">
        <v>0.99992720000000002</v>
      </c>
      <c r="N4238">
        <v>0</v>
      </c>
      <c r="O4238">
        <v>-5.3682269999999997E-3</v>
      </c>
      <c r="P4238">
        <v>0.98064739999999995</v>
      </c>
      <c r="Q4238">
        <v>0.1554152</v>
      </c>
      <c r="R4238">
        <v>0.1190671</v>
      </c>
      <c r="S4238">
        <v>3.0419619999999998</v>
      </c>
      <c r="T4238">
        <v>-3.8570399999999998E-2</v>
      </c>
      <c r="U4238">
        <v>0.19415279999999999</v>
      </c>
      <c r="V4238">
        <v>-0.1248848</v>
      </c>
      <c r="W4238">
        <v>0.1655925</v>
      </c>
      <c r="X4238">
        <v>0.97825499999999999</v>
      </c>
      <c r="Y4238">
        <v>-6.9046040000000003E-2</v>
      </c>
      <c r="Z4238">
        <v>5.0527150000000002E-4</v>
      </c>
      <c r="AA4238">
        <v>0.99761339999999998</v>
      </c>
      <c r="AB4238">
        <v>33</v>
      </c>
      <c r="AC4238">
        <v>90.980800000000002</v>
      </c>
      <c r="AD4238">
        <v>-1.1561360000000001</v>
      </c>
      <c r="AE4238">
        <v>5.8199300000000003</v>
      </c>
      <c r="AF4238">
        <v>-6.3072658917388402</v>
      </c>
      <c r="AG4238">
        <v>-1.1561360000000001</v>
      </c>
      <c r="AH4238">
        <v>90.9336202659062</v>
      </c>
      <c r="AI4238">
        <v>90.726677314597893</v>
      </c>
      <c r="AJ4238">
        <v>93.967749794446306</v>
      </c>
      <c r="AK4238">
        <v>91.159429288163096</v>
      </c>
      <c r="AL4238">
        <v>80.468343965711199</v>
      </c>
      <c r="AM4238">
        <v>97.275073133147899</v>
      </c>
      <c r="AN4238">
        <v>0.99999996717614403</v>
      </c>
    </row>
    <row r="4239" spans="1:40" x14ac:dyDescent="0.3">
      <c r="A4239" t="str">
        <f>"20200111150113339"</f>
        <v>20200111150113339</v>
      </c>
      <c r="B4239" t="str">
        <f>"1578726073331702"</f>
        <v>1578726073331702</v>
      </c>
      <c r="C4239" t="s">
        <v>40</v>
      </c>
      <c r="D4239">
        <v>4.4995379999999896</v>
      </c>
      <c r="E4239">
        <v>0.52160459999999997</v>
      </c>
      <c r="F4239" t="s">
        <v>90</v>
      </c>
      <c r="G4239">
        <v>-279.68</v>
      </c>
      <c r="H4239">
        <v>0.13956009999999999</v>
      </c>
      <c r="I4239">
        <v>23.344139999999999</v>
      </c>
      <c r="J4239">
        <v>-373.19450000000001</v>
      </c>
      <c r="K4239">
        <v>1.106149</v>
      </c>
      <c r="L4239">
        <v>17.202760000000001</v>
      </c>
      <c r="M4239">
        <v>0.99993149999999997</v>
      </c>
      <c r="N4239">
        <v>0</v>
      </c>
      <c r="O4239">
        <v>-4.4516529999999999E-3</v>
      </c>
      <c r="P4239">
        <v>0.98082460000000005</v>
      </c>
      <c r="Q4239">
        <v>0.1546053</v>
      </c>
      <c r="R4239">
        <v>0.118661</v>
      </c>
      <c r="S4239">
        <v>3.0399780000000001</v>
      </c>
      <c r="T4239">
        <v>-3.1360150000000003E-2</v>
      </c>
      <c r="U4239">
        <v>0.19924929999999999</v>
      </c>
      <c r="V4239">
        <v>-0.12358379999999999</v>
      </c>
      <c r="W4239">
        <v>0.1647855</v>
      </c>
      <c r="X4239">
        <v>0.97855650000000005</v>
      </c>
      <c r="Y4239">
        <v>-6.9840459999999993E-2</v>
      </c>
      <c r="Z4239">
        <v>4.0571509999999999E-4</v>
      </c>
      <c r="AA4239">
        <v>0.9975581</v>
      </c>
      <c r="AB4239">
        <v>33</v>
      </c>
      <c r="AC4239">
        <v>93.514499999999998</v>
      </c>
      <c r="AD4239">
        <v>-0.96658889999999997</v>
      </c>
      <c r="AE4239">
        <v>6.1413799999999901</v>
      </c>
      <c r="AF4239">
        <v>-6.5569401150262898</v>
      </c>
      <c r="AG4239">
        <v>-0.96658889999999997</v>
      </c>
      <c r="AH4239">
        <v>93.476288462931507</v>
      </c>
      <c r="AI4239">
        <v>90.590992193437202</v>
      </c>
      <c r="AJ4239">
        <v>94.012468207514004</v>
      </c>
      <c r="AK4239">
        <v>93.710961272301702</v>
      </c>
      <c r="AL4239">
        <v>80.515226234876195</v>
      </c>
      <c r="AM4239">
        <v>97.197888690843797</v>
      </c>
      <c r="AN4239">
        <v>1.0000000201624699</v>
      </c>
    </row>
    <row r="4240" spans="1:40" x14ac:dyDescent="0.3">
      <c r="A4240" t="str">
        <f>"20200111150113353"</f>
        <v>20200111150113353</v>
      </c>
      <c r="B4240" t="str">
        <f>"1578726073342439"</f>
        <v>1578726073342439</v>
      </c>
      <c r="C4240" t="s">
        <v>40</v>
      </c>
      <c r="D4240">
        <v>4.4921530000000001</v>
      </c>
      <c r="E4240">
        <v>0.5220129</v>
      </c>
      <c r="F4240" t="s">
        <v>90</v>
      </c>
      <c r="G4240">
        <v>-279.68</v>
      </c>
      <c r="H4240">
        <v>0.12433180000000001</v>
      </c>
      <c r="I4240">
        <v>23.325209999999998</v>
      </c>
      <c r="J4240">
        <v>-373.0052</v>
      </c>
      <c r="K4240">
        <v>1.1061620000000001</v>
      </c>
      <c r="L4240">
        <v>17.20288</v>
      </c>
      <c r="M4240">
        <v>0.99993540000000003</v>
      </c>
      <c r="N4240">
        <v>0</v>
      </c>
      <c r="O4240">
        <v>-3.4981510000000001E-3</v>
      </c>
      <c r="P4240">
        <v>0.98093750000000002</v>
      </c>
      <c r="Q4240">
        <v>0.15423100000000001</v>
      </c>
      <c r="R4240">
        <v>0.1182144</v>
      </c>
      <c r="S4240">
        <v>3.039612</v>
      </c>
      <c r="T4240">
        <v>-3.1913039999999997E-2</v>
      </c>
      <c r="U4240">
        <v>0.19900509999999999</v>
      </c>
      <c r="V4240">
        <v>-0.1222051</v>
      </c>
      <c r="W4240">
        <v>0.16441439999999999</v>
      </c>
      <c r="X4240">
        <v>0.978792</v>
      </c>
      <c r="Y4240">
        <v>-6.8817240000000002E-2</v>
      </c>
      <c r="Z4240">
        <v>3.9755189999999998E-4</v>
      </c>
      <c r="AA4240">
        <v>0.99762919999999999</v>
      </c>
      <c r="AB4240">
        <v>33</v>
      </c>
      <c r="AC4240">
        <v>93.325199999999995</v>
      </c>
      <c r="AD4240">
        <v>-0.98183019999999999</v>
      </c>
      <c r="AE4240">
        <v>6.1223299999999998</v>
      </c>
      <c r="AF4240">
        <v>-6.44806664750823</v>
      </c>
      <c r="AG4240">
        <v>-0.98183019999999999</v>
      </c>
      <c r="AH4240">
        <v>93.292929280648707</v>
      </c>
      <c r="AI4240">
        <v>90.601533023547006</v>
      </c>
      <c r="AJ4240">
        <v>93.953787246862206</v>
      </c>
      <c r="AK4240">
        <v>93.520651237020701</v>
      </c>
      <c r="AL4240">
        <v>80.536782339567594</v>
      </c>
      <c r="AM4240">
        <v>97.116722282881199</v>
      </c>
      <c r="AN4240">
        <v>0.99999998032868398</v>
      </c>
    </row>
    <row r="4241" spans="1:40" x14ac:dyDescent="0.3">
      <c r="A4241" t="str">
        <f>"20200111150113371"</f>
        <v>20200111150113371</v>
      </c>
      <c r="B4241" t="str">
        <f>"1578726073361690"</f>
        <v>1578726073361690</v>
      </c>
      <c r="C4241" t="s">
        <v>40</v>
      </c>
      <c r="D4241">
        <v>4.5301910000000003</v>
      </c>
      <c r="E4241">
        <v>0.5217349</v>
      </c>
      <c r="F4241" t="s">
        <v>43</v>
      </c>
      <c r="G4241">
        <v>-280.34030000000001</v>
      </c>
      <c r="H4241">
        <v>-0.05</v>
      </c>
      <c r="I4241">
        <v>23.123049999999999</v>
      </c>
      <c r="J4241">
        <v>-372.73009999999999</v>
      </c>
      <c r="K4241">
        <v>1.1061749999999999</v>
      </c>
      <c r="L4241">
        <v>17.203250000000001</v>
      </c>
      <c r="M4241">
        <v>0.99993929999999998</v>
      </c>
      <c r="N4241">
        <v>0</v>
      </c>
      <c r="O4241">
        <v>-2.1104829999999998E-3</v>
      </c>
      <c r="P4241">
        <v>0.98114060000000003</v>
      </c>
      <c r="Q4241">
        <v>0.1540279</v>
      </c>
      <c r="R4241">
        <v>0.1167855</v>
      </c>
      <c r="S4241">
        <v>3.0408629999999999</v>
      </c>
      <c r="T4241">
        <v>-3.7940260000000003E-2</v>
      </c>
      <c r="U4241">
        <v>0.1942749</v>
      </c>
      <c r="V4241">
        <v>-0.1194202</v>
      </c>
      <c r="W4241">
        <v>0.16422110000000001</v>
      </c>
      <c r="X4241">
        <v>0.97916809999999999</v>
      </c>
      <c r="Y4241">
        <v>-6.5859009999999996E-2</v>
      </c>
      <c r="Z4241">
        <v>4.3672699999999998E-4</v>
      </c>
      <c r="AA4241">
        <v>0.99782879999999996</v>
      </c>
      <c r="AB4241">
        <v>33</v>
      </c>
      <c r="AC4241">
        <v>92.389799999999894</v>
      </c>
      <c r="AD4241">
        <v>-1.156175</v>
      </c>
      <c r="AE4241">
        <v>5.9197999999999897</v>
      </c>
      <c r="AF4241">
        <v>-6.1138317914936096</v>
      </c>
      <c r="AG4241">
        <v>-1.156175</v>
      </c>
      <c r="AH4241">
        <v>92.362694747163104</v>
      </c>
      <c r="AI4241">
        <v>90.715612061420401</v>
      </c>
      <c r="AJ4241">
        <v>93.787096930963898</v>
      </c>
      <c r="AK4241">
        <v>92.572042543971904</v>
      </c>
      <c r="AL4241">
        <v>80.548010044739499</v>
      </c>
      <c r="AM4241">
        <v>96.953502680295699</v>
      </c>
      <c r="AN4241">
        <v>0.99999996095542898</v>
      </c>
    </row>
    <row r="4242" spans="1:40" x14ac:dyDescent="0.3">
      <c r="A4242" t="str">
        <f>"20200111150113384"</f>
        <v>20200111150113384</v>
      </c>
      <c r="B4242" t="str">
        <f>"1578726073372427"</f>
        <v>1578726073372427</v>
      </c>
      <c r="C4242" t="s">
        <v>40</v>
      </c>
      <c r="D4242">
        <v>4.5736339999999904</v>
      </c>
      <c r="E4242">
        <v>0.52160609999999996</v>
      </c>
      <c r="F4242" t="s">
        <v>43</v>
      </c>
      <c r="G4242">
        <v>-294.85019999999997</v>
      </c>
      <c r="H4242">
        <v>-0.05</v>
      </c>
      <c r="I4242">
        <v>22.11542</v>
      </c>
      <c r="J4242">
        <v>-372.55189999999999</v>
      </c>
      <c r="K4242">
        <v>1.106185</v>
      </c>
      <c r="L4242">
        <v>17.203669999999999</v>
      </c>
      <c r="M4242">
        <v>0.99994079999999996</v>
      </c>
      <c r="N4242">
        <v>0</v>
      </c>
      <c r="O4242">
        <v>-1.210657E-3</v>
      </c>
      <c r="P4242">
        <v>0.98121829999999999</v>
      </c>
      <c r="Q4242">
        <v>0.1539761</v>
      </c>
      <c r="R4242">
        <v>0.1162</v>
      </c>
      <c r="S4242">
        <v>3.0419010000000002</v>
      </c>
      <c r="T4242">
        <v>-4.5158860000000002E-2</v>
      </c>
      <c r="U4242">
        <v>0.19186400000000001</v>
      </c>
      <c r="V4242">
        <v>-0.1179545</v>
      </c>
      <c r="W4242">
        <v>0.1641745</v>
      </c>
      <c r="X4242">
        <v>0.97935360000000005</v>
      </c>
      <c r="Y4242">
        <v>-6.4149739999999997E-2</v>
      </c>
      <c r="Z4242">
        <v>4.9362760000000005E-4</v>
      </c>
      <c r="AA4242">
        <v>0.99794020000000005</v>
      </c>
      <c r="AB4242">
        <v>33</v>
      </c>
      <c r="AC4242">
        <v>77.701700000000002</v>
      </c>
      <c r="AD4242">
        <v>-1.156185</v>
      </c>
      <c r="AE4242">
        <v>4.9117499999999898</v>
      </c>
      <c r="AF4242">
        <v>-5.0047183320453001</v>
      </c>
      <c r="AG4242">
        <v>-1.156185</v>
      </c>
      <c r="AH4242">
        <v>77.678566039663195</v>
      </c>
      <c r="AI4242">
        <v>90.850975989560993</v>
      </c>
      <c r="AJ4242">
        <v>93.686389551299996</v>
      </c>
      <c r="AK4242">
        <v>77.848208658360605</v>
      </c>
      <c r="AL4242">
        <v>80.550717158398001</v>
      </c>
      <c r="AM4242">
        <v>96.867690844411598</v>
      </c>
      <c r="AN4242">
        <v>1.0000000021767299</v>
      </c>
    </row>
    <row r="4243" spans="1:40" x14ac:dyDescent="0.3">
      <c r="A4243" t="str">
        <f>"20200111150113395"</f>
        <v>20200111150113395</v>
      </c>
      <c r="B4243" t="str">
        <f>"1578726073391947"</f>
        <v>1578726073391947</v>
      </c>
      <c r="C4243" t="s">
        <v>40</v>
      </c>
      <c r="D4243">
        <v>4.5131990000000002</v>
      </c>
      <c r="E4243">
        <v>0.52096790000000004</v>
      </c>
      <c r="F4243" t="s">
        <v>43</v>
      </c>
      <c r="G4243">
        <v>-299.94150000000002</v>
      </c>
      <c r="H4243">
        <v>-0.05</v>
      </c>
      <c r="I4243">
        <v>21.76595</v>
      </c>
      <c r="J4243">
        <v>-372.37259999999998</v>
      </c>
      <c r="K4243">
        <v>1.1061909999999999</v>
      </c>
      <c r="L4243">
        <v>17.204279999999901</v>
      </c>
      <c r="M4243">
        <v>0.99994150000000004</v>
      </c>
      <c r="N4243">
        <v>0</v>
      </c>
      <c r="O4243">
        <v>-3.0547769999999998E-4</v>
      </c>
      <c r="P4243">
        <v>0.98123249999999995</v>
      </c>
      <c r="Q4243">
        <v>0.15420400000000001</v>
      </c>
      <c r="R4243">
        <v>0.1157768</v>
      </c>
      <c r="S4243">
        <v>3.0424190000000002</v>
      </c>
      <c r="T4243">
        <v>-4.8444870000000001E-2</v>
      </c>
      <c r="U4243">
        <v>0.1911621</v>
      </c>
      <c r="V4243">
        <v>-0.1166455</v>
      </c>
      <c r="W4243">
        <v>0.16440639999999901</v>
      </c>
      <c r="X4243">
        <v>0.97947139999999999</v>
      </c>
      <c r="Y4243">
        <v>-6.3005499999999895E-2</v>
      </c>
      <c r="Z4243">
        <v>5.0595619999999997E-4</v>
      </c>
      <c r="AA4243">
        <v>0.99801309999999999</v>
      </c>
      <c r="AB4243">
        <v>33</v>
      </c>
      <c r="AC4243">
        <v>72.431099999999901</v>
      </c>
      <c r="AD4243">
        <v>-1.156191</v>
      </c>
      <c r="AE4243">
        <v>4.5616700000000003</v>
      </c>
      <c r="AF4243">
        <v>-4.5826340986588203</v>
      </c>
      <c r="AG4243">
        <v>-1.156191</v>
      </c>
      <c r="AH4243">
        <v>72.411325131734003</v>
      </c>
      <c r="AI4243">
        <v>90.912937398777601</v>
      </c>
      <c r="AJ4243">
        <v>93.621200072507406</v>
      </c>
      <c r="AK4243">
        <v>72.565400296865803</v>
      </c>
      <c r="AL4243">
        <v>80.537246550819702</v>
      </c>
      <c r="AM4243">
        <v>96.7913833550014</v>
      </c>
      <c r="AN4243">
        <v>0.999999930224582</v>
      </c>
    </row>
    <row r="4244" spans="1:40" x14ac:dyDescent="0.3">
      <c r="A4244" t="str">
        <f>"20200111150113407"</f>
        <v>20200111150113407</v>
      </c>
      <c r="B4244" t="str">
        <f>"1578726073401707"</f>
        <v>1578726073401707</v>
      </c>
      <c r="C4244" t="s">
        <v>40</v>
      </c>
      <c r="D4244">
        <v>4.5079500000000001</v>
      </c>
      <c r="E4244">
        <v>0.52075329999999997</v>
      </c>
      <c r="F4244" t="s">
        <v>43</v>
      </c>
      <c r="G4244">
        <v>-308.1062</v>
      </c>
      <c r="H4244">
        <v>-0.05</v>
      </c>
      <c r="I4244">
        <v>21.323409999999999</v>
      </c>
      <c r="J4244">
        <v>-372.20240000000001</v>
      </c>
      <c r="K4244">
        <v>1.106196</v>
      </c>
      <c r="L4244">
        <v>17.20505</v>
      </c>
      <c r="M4244">
        <v>0.99994139999999998</v>
      </c>
      <c r="N4244">
        <v>0</v>
      </c>
      <c r="O4244">
        <v>5.5320459999999897E-4</v>
      </c>
      <c r="P4244">
        <v>0.98121049999999999</v>
      </c>
      <c r="Q4244">
        <v>0.15451389999999901</v>
      </c>
      <c r="R4244">
        <v>0.1155492</v>
      </c>
      <c r="S4244">
        <v>3.0429689999999998</v>
      </c>
      <c r="T4244">
        <v>-5.4744840000000003E-2</v>
      </c>
      <c r="U4244">
        <v>0.19503780000000001</v>
      </c>
      <c r="V4244">
        <v>-0.11557820000000001</v>
      </c>
      <c r="W4244">
        <v>0.1647197</v>
      </c>
      <c r="X4244">
        <v>0.97954540000000001</v>
      </c>
      <c r="Y4244">
        <v>-6.3401100000000002E-2</v>
      </c>
      <c r="Z4244">
        <v>5.5973950000000002E-4</v>
      </c>
      <c r="AA4244">
        <v>0.99798799999999999</v>
      </c>
      <c r="AB4244">
        <v>33</v>
      </c>
      <c r="AC4244">
        <v>64.096199999999996</v>
      </c>
      <c r="AD4244">
        <v>-1.156196</v>
      </c>
      <c r="AE4244">
        <v>4.1183599999999903</v>
      </c>
      <c r="AF4244">
        <v>-4.0815763586019802</v>
      </c>
      <c r="AG4244">
        <v>-1.156196</v>
      </c>
      <c r="AH4244">
        <v>64.077704379661299</v>
      </c>
      <c r="AI4244">
        <v>91.0316228597503</v>
      </c>
      <c r="AJ4244">
        <v>93.644662202498495</v>
      </c>
      <c r="AK4244">
        <v>64.217974534617397</v>
      </c>
      <c r="AL4244">
        <v>80.519048769295296</v>
      </c>
      <c r="AM4244">
        <v>96.729311380323395</v>
      </c>
      <c r="AN4244">
        <v>1.00000004527224</v>
      </c>
    </row>
    <row r="4245" spans="1:40" x14ac:dyDescent="0.3">
      <c r="A4245" t="str">
        <f>"20200111150113427"</f>
        <v>20200111150113427</v>
      </c>
      <c r="B4245" t="str">
        <f>"1578726073422203"</f>
        <v>1578726073422203</v>
      </c>
      <c r="C4245" t="s">
        <v>40</v>
      </c>
      <c r="D4245">
        <v>4.5890149999999998</v>
      </c>
      <c r="E4245">
        <v>0.52015089999999997</v>
      </c>
      <c r="F4245" t="s">
        <v>43</v>
      </c>
      <c r="G4245">
        <v>-310.93</v>
      </c>
      <c r="H4245">
        <v>-0.05</v>
      </c>
      <c r="I4245">
        <v>21.145810000000001</v>
      </c>
      <c r="J4245">
        <v>-371.92129999999997</v>
      </c>
      <c r="K4245">
        <v>1.1062000000000001</v>
      </c>
      <c r="L4245">
        <v>17.206569999999999</v>
      </c>
      <c r="M4245">
        <v>0.99993969999999999</v>
      </c>
      <c r="N4245">
        <v>0</v>
      </c>
      <c r="O4245">
        <v>1.9701469999999998E-3</v>
      </c>
      <c r="P4245">
        <v>0.9812961</v>
      </c>
      <c r="Q4245">
        <v>0.15439229999999901</v>
      </c>
      <c r="R4245">
        <v>0.1149838</v>
      </c>
      <c r="S4245">
        <v>3.0434269999999999</v>
      </c>
      <c r="T4245">
        <v>-5.7428720000000003E-2</v>
      </c>
      <c r="U4245">
        <v>0.19573969999999999</v>
      </c>
      <c r="V4245">
        <v>-0.113624</v>
      </c>
      <c r="W4245">
        <v>0.1646058</v>
      </c>
      <c r="X4245">
        <v>0.97979309999999997</v>
      </c>
      <c r="Y4245">
        <v>-6.2205969999999999E-2</v>
      </c>
      <c r="Z4245">
        <v>5.4911199999999895E-4</v>
      </c>
      <c r="AA4245">
        <v>0.99806320000000004</v>
      </c>
      <c r="AB4245">
        <v>33</v>
      </c>
      <c r="AC4245">
        <v>60.991299999999903</v>
      </c>
      <c r="AD4245">
        <v>-1.1561999999999999</v>
      </c>
      <c r="AE4245">
        <v>3.9392399999999901</v>
      </c>
      <c r="AF4245">
        <v>-3.8176972845683999</v>
      </c>
      <c r="AG4245">
        <v>-1.1561999999999999</v>
      </c>
      <c r="AH4245">
        <v>60.977121222116303</v>
      </c>
      <c r="AI4245">
        <v>91.0841448834895</v>
      </c>
      <c r="AJ4245">
        <v>93.582537210024697</v>
      </c>
      <c r="AK4245">
        <v>61.107453911395098</v>
      </c>
      <c r="AL4245">
        <v>80.525664645949902</v>
      </c>
      <c r="AM4245">
        <v>96.6148914820145</v>
      </c>
      <c r="AN4245">
        <v>1.0000000007886201</v>
      </c>
    </row>
    <row r="4246" spans="1:40" x14ac:dyDescent="0.3">
      <c r="A4246" t="str">
        <f>"20200111150113439"</f>
        <v>20200111150113439</v>
      </c>
      <c r="B4246" t="str">
        <f>"1578726073431963"</f>
        <v>1578726073431963</v>
      </c>
      <c r="C4246" t="s">
        <v>40</v>
      </c>
      <c r="D4246">
        <v>4.6256149999999998</v>
      </c>
      <c r="E4246">
        <v>0.52019759999999904</v>
      </c>
      <c r="F4246" t="s">
        <v>43</v>
      </c>
      <c r="G4246">
        <v>-305.84179999999998</v>
      </c>
      <c r="H4246">
        <v>-0.05</v>
      </c>
      <c r="I4246">
        <v>21.503689999999999</v>
      </c>
      <c r="J4246">
        <v>-371.72669999999999</v>
      </c>
      <c r="K4246">
        <v>1.1062069999999999</v>
      </c>
      <c r="L4246">
        <v>17.207820000000002</v>
      </c>
      <c r="M4246">
        <v>0.99993710000000002</v>
      </c>
      <c r="N4246">
        <v>0</v>
      </c>
      <c r="O4246">
        <v>2.9498189999999998E-3</v>
      </c>
      <c r="P4246">
        <v>0.98132010000000003</v>
      </c>
      <c r="Q4246">
        <v>0.15438180000000001</v>
      </c>
      <c r="R4246">
        <v>0.1147919</v>
      </c>
      <c r="S4246">
        <v>3.042389</v>
      </c>
      <c r="T4246">
        <v>-5.3233030000000001E-2</v>
      </c>
      <c r="U4246">
        <v>0.19784550000000001</v>
      </c>
      <c r="V4246">
        <v>-0.1124724</v>
      </c>
      <c r="W4246">
        <v>0.1646002</v>
      </c>
      <c r="X4246">
        <v>0.97992690000000005</v>
      </c>
      <c r="Y4246">
        <v>-6.193953E-2</v>
      </c>
      <c r="Z4246">
        <v>4.8971180000000004E-4</v>
      </c>
      <c r="AA4246">
        <v>0.99807979999999996</v>
      </c>
      <c r="AB4246">
        <v>33</v>
      </c>
      <c r="AC4246">
        <v>65.884900000000002</v>
      </c>
      <c r="AD4246">
        <v>-1.156207</v>
      </c>
      <c r="AE4246">
        <v>4.2958699999999901</v>
      </c>
      <c r="AF4246">
        <v>-4.1002340209554999</v>
      </c>
      <c r="AG4246">
        <v>-1.156207</v>
      </c>
      <c r="AH4246">
        <v>65.877084241230506</v>
      </c>
      <c r="AI4246">
        <v>91.003551954999693</v>
      </c>
      <c r="AJ4246">
        <v>93.561533575832797</v>
      </c>
      <c r="AK4246">
        <v>66.0146874701353</v>
      </c>
      <c r="AL4246">
        <v>80.525989912425501</v>
      </c>
      <c r="AM4246">
        <v>96.547547238821593</v>
      </c>
      <c r="AN4246">
        <v>0.999999997972705</v>
      </c>
    </row>
    <row r="4247" spans="1:40" x14ac:dyDescent="0.3">
      <c r="A4247" t="str">
        <f>"20200111150113460"</f>
        <v>20200111150113460</v>
      </c>
      <c r="B4247" t="str">
        <f>"1578726073452459"</f>
        <v>1578726073452459</v>
      </c>
      <c r="C4247" t="s">
        <v>40</v>
      </c>
      <c r="D4247">
        <v>4.5709739999999996</v>
      </c>
      <c r="E4247">
        <v>0.51993849999999997</v>
      </c>
      <c r="F4247" t="s">
        <v>43</v>
      </c>
      <c r="G4247">
        <v>-308.32510000000002</v>
      </c>
      <c r="H4247">
        <v>-0.05</v>
      </c>
      <c r="I4247">
        <v>21.31183</v>
      </c>
      <c r="J4247">
        <v>-371.42290000000003</v>
      </c>
      <c r="K4247">
        <v>1.1062099999999999</v>
      </c>
      <c r="L4247">
        <v>17.210239999999999</v>
      </c>
      <c r="M4247">
        <v>0.99993149999999997</v>
      </c>
      <c r="N4247">
        <v>0</v>
      </c>
      <c r="O4247">
        <v>4.4775520000000001E-3</v>
      </c>
      <c r="P4247">
        <v>0.98142039999999997</v>
      </c>
      <c r="Q4247">
        <v>0.154387</v>
      </c>
      <c r="R4247">
        <v>0.113925</v>
      </c>
      <c r="S4247">
        <v>3.042786</v>
      </c>
      <c r="T4247">
        <v>-5.548894E-2</v>
      </c>
      <c r="U4247">
        <v>0.19696040000000001</v>
      </c>
      <c r="V4247">
        <v>-0.11010739999999899</v>
      </c>
      <c r="W4247">
        <v>0.1646157</v>
      </c>
      <c r="X4247">
        <v>0.98019279999999998</v>
      </c>
      <c r="Y4247">
        <v>-6.011681E-2</v>
      </c>
      <c r="Z4247">
        <v>4.6597050000000002E-4</v>
      </c>
      <c r="AA4247">
        <v>0.99819119999999995</v>
      </c>
      <c r="AB4247">
        <v>33</v>
      </c>
      <c r="AC4247">
        <v>63.097799999999999</v>
      </c>
      <c r="AD4247">
        <v>-1.15621</v>
      </c>
      <c r="AE4247">
        <v>4.1015899999999998</v>
      </c>
      <c r="AF4247">
        <v>-3.8177321821881902</v>
      </c>
      <c r="AG4247">
        <v>-1.15621</v>
      </c>
      <c r="AH4247">
        <v>63.094437342484603</v>
      </c>
      <c r="AI4247">
        <v>91.047915527663505</v>
      </c>
      <c r="AJ4247">
        <v>93.462643966058195</v>
      </c>
      <c r="AK4247">
        <v>63.2204074974508</v>
      </c>
      <c r="AL4247">
        <v>80.525089055694806</v>
      </c>
      <c r="AM4247">
        <v>96.409303238082401</v>
      </c>
      <c r="AN4247">
        <v>0.99999994669654302</v>
      </c>
    </row>
    <row r="4248" spans="1:40" x14ac:dyDescent="0.3">
      <c r="A4248" t="str">
        <f>"20200111150113472"</f>
        <v>20200111150113472</v>
      </c>
      <c r="B4248" t="str">
        <f>"1578726073462219"</f>
        <v>1578726073462219</v>
      </c>
      <c r="C4248" t="s">
        <v>40</v>
      </c>
      <c r="D4248">
        <v>4.5440329999999998</v>
      </c>
      <c r="E4248">
        <v>0.5198294</v>
      </c>
      <c r="F4248" t="s">
        <v>43</v>
      </c>
      <c r="G4248">
        <v>-310.03800000000001</v>
      </c>
      <c r="H4248">
        <v>-0.05</v>
      </c>
      <c r="I4248">
        <v>21.179780000000001</v>
      </c>
      <c r="J4248">
        <v>-371.24259999999998</v>
      </c>
      <c r="K4248">
        <v>1.106214</v>
      </c>
      <c r="L4248">
        <v>17.211939999999998</v>
      </c>
      <c r="M4248">
        <v>0.99992709999999996</v>
      </c>
      <c r="N4248">
        <v>0</v>
      </c>
      <c r="O4248">
        <v>5.3836600000000002E-3</v>
      </c>
      <c r="P4248">
        <v>0.98148780000000002</v>
      </c>
      <c r="Q4248">
        <v>0.15398889999999901</v>
      </c>
      <c r="R4248">
        <v>0.1138835</v>
      </c>
      <c r="S4248">
        <v>3.0429689999999998</v>
      </c>
      <c r="T4248">
        <v>-5.731559E-2</v>
      </c>
      <c r="U4248">
        <v>0.19677729999999999</v>
      </c>
      <c r="V4248">
        <v>-0.1091756</v>
      </c>
      <c r="W4248">
        <v>0.1642229</v>
      </c>
      <c r="X4248">
        <v>0.98036299999999998</v>
      </c>
      <c r="Y4248">
        <v>-5.9148270000000003E-2</v>
      </c>
      <c r="Z4248">
        <v>4.5512100000000001E-4</v>
      </c>
      <c r="AA4248">
        <v>0.9982491</v>
      </c>
      <c r="AB4248">
        <v>33</v>
      </c>
      <c r="AC4248">
        <v>61.2045999999999</v>
      </c>
      <c r="AD4248">
        <v>-1.1562139999999901</v>
      </c>
      <c r="AE4248">
        <v>3.96783999999999</v>
      </c>
      <c r="AF4248">
        <v>-3.6369660011102498</v>
      </c>
      <c r="AG4248">
        <v>-1.1562139999999901</v>
      </c>
      <c r="AH4248">
        <v>61.203325535942398</v>
      </c>
      <c r="AI4248">
        <v>91.080361031097397</v>
      </c>
      <c r="AJ4248">
        <v>93.400763516552999</v>
      </c>
      <c r="AK4248">
        <v>61.322193447116398</v>
      </c>
      <c r="AL4248">
        <v>80.547906267317899</v>
      </c>
      <c r="AM4248">
        <v>96.354414916947405</v>
      </c>
      <c r="AN4248">
        <v>1.00000004214438</v>
      </c>
    </row>
    <row r="4249" spans="1:40" x14ac:dyDescent="0.3">
      <c r="A4249" t="str">
        <f>"20200111150113486"</f>
        <v>20200111150113486</v>
      </c>
      <c r="B4249" t="str">
        <f>"1578726073481740"</f>
        <v>1578726073481740</v>
      </c>
      <c r="C4249" t="s">
        <v>40</v>
      </c>
      <c r="D4249">
        <v>4.6151809999999998</v>
      </c>
      <c r="E4249">
        <v>0.51935450000000005</v>
      </c>
      <c r="F4249" t="s">
        <v>43</v>
      </c>
      <c r="G4249">
        <v>-314.10610000000003</v>
      </c>
      <c r="H4249">
        <v>-0.05</v>
      </c>
      <c r="I4249">
        <v>20.916</v>
      </c>
      <c r="J4249">
        <v>-371.05540000000002</v>
      </c>
      <c r="K4249">
        <v>1.106212</v>
      </c>
      <c r="L4249">
        <v>17.213809999999999</v>
      </c>
      <c r="M4249">
        <v>0.99992150000000002</v>
      </c>
      <c r="N4249">
        <v>0</v>
      </c>
      <c r="O4249">
        <v>6.3248139999999998E-3</v>
      </c>
      <c r="P4249">
        <v>0.98151840000000001</v>
      </c>
      <c r="Q4249">
        <v>0.15358179999999999</v>
      </c>
      <c r="R4249">
        <v>0.11416809999999999</v>
      </c>
      <c r="S4249">
        <v>3.0433650000000001</v>
      </c>
      <c r="T4249">
        <v>-6.1585550000000003E-2</v>
      </c>
      <c r="U4249">
        <v>0.1972961</v>
      </c>
      <c r="V4249">
        <v>-0.10853500000000001</v>
      </c>
      <c r="W4249">
        <v>0.1638194</v>
      </c>
      <c r="X4249">
        <v>0.98050159999999997</v>
      </c>
      <c r="Y4249">
        <v>-5.8368639999999999E-2</v>
      </c>
      <c r="Z4249">
        <v>4.620526E-4</v>
      </c>
      <c r="AA4249">
        <v>0.99829500000000004</v>
      </c>
      <c r="AB4249">
        <v>33</v>
      </c>
      <c r="AC4249">
        <v>56.949300000000001</v>
      </c>
      <c r="AD4249">
        <v>-1.156212</v>
      </c>
      <c r="AE4249">
        <v>3.7021899999999901</v>
      </c>
      <c r="AF4249">
        <v>-3.3405299985929999</v>
      </c>
      <c r="AG4249">
        <v>-1.156212</v>
      </c>
      <c r="AH4249">
        <v>56.948203074912399</v>
      </c>
      <c r="AI4249">
        <v>91.161113634834706</v>
      </c>
      <c r="AJ4249">
        <v>93.357071606983297</v>
      </c>
      <c r="AK4249">
        <v>57.057811036894002</v>
      </c>
      <c r="AL4249">
        <v>80.571342254822994</v>
      </c>
      <c r="AM4249">
        <v>96.316546224733003</v>
      </c>
      <c r="AN4249">
        <v>1.0000000148219499</v>
      </c>
    </row>
    <row r="4250" spans="1:40" x14ac:dyDescent="0.3">
      <c r="A4250" t="str">
        <f>"20200111150113498"</f>
        <v>20200111150113498</v>
      </c>
      <c r="B4250" t="str">
        <f>"1578726073492477"</f>
        <v>1578726073492477</v>
      </c>
      <c r="C4250" t="s">
        <v>40</v>
      </c>
      <c r="D4250">
        <v>4.538646</v>
      </c>
      <c r="E4250">
        <v>0.51911620000000003</v>
      </c>
      <c r="F4250" t="s">
        <v>43</v>
      </c>
      <c r="G4250">
        <v>-311.14819999999997</v>
      </c>
      <c r="H4250">
        <v>-0.05</v>
      </c>
      <c r="I4250">
        <v>21.18187</v>
      </c>
      <c r="J4250">
        <v>-370.85480000000001</v>
      </c>
      <c r="K4250">
        <v>1.1062129999999999</v>
      </c>
      <c r="L4250">
        <v>17.215969999999999</v>
      </c>
      <c r="M4250">
        <v>0.99991470000000005</v>
      </c>
      <c r="N4250">
        <v>0</v>
      </c>
      <c r="O4250">
        <v>7.3321849999999997E-3</v>
      </c>
      <c r="P4250">
        <v>0.98157110000000003</v>
      </c>
      <c r="Q4250">
        <v>0.1530504</v>
      </c>
      <c r="R4250">
        <v>0.1144289</v>
      </c>
      <c r="S4250">
        <v>3.0422359999999999</v>
      </c>
      <c r="T4250">
        <v>-5.8715339999999998E-2</v>
      </c>
      <c r="U4250">
        <v>0.20150760000000001</v>
      </c>
      <c r="V4250">
        <v>-0.107805399999999</v>
      </c>
      <c r="W4250">
        <v>0.16329299999999999</v>
      </c>
      <c r="X4250">
        <v>0.98066989999999998</v>
      </c>
      <c r="Y4250">
        <v>-5.8763940000000001E-2</v>
      </c>
      <c r="Z4250">
        <v>4.2505830000000002E-4</v>
      </c>
      <c r="AA4250">
        <v>0.99827180000000004</v>
      </c>
      <c r="AB4250">
        <v>33</v>
      </c>
      <c r="AC4250">
        <v>59.706600000000002</v>
      </c>
      <c r="AD4250">
        <v>-1.1562129999999999</v>
      </c>
      <c r="AE4250">
        <v>3.9658999999999902</v>
      </c>
      <c r="AF4250">
        <v>-3.5266712767293802</v>
      </c>
      <c r="AG4250">
        <v>-1.1562129999999999</v>
      </c>
      <c r="AH4250">
        <v>59.711781715613398</v>
      </c>
      <c r="AI4250">
        <v>91.1073635410674</v>
      </c>
      <c r="AJ4250">
        <v>93.380051878702105</v>
      </c>
      <c r="AK4250">
        <v>59.827009907303101</v>
      </c>
      <c r="AL4250">
        <v>80.601914585667004</v>
      </c>
      <c r="AM4250">
        <v>96.273356364505204</v>
      </c>
      <c r="AN4250">
        <v>1.00000003044208</v>
      </c>
    </row>
    <row r="4251" spans="1:40" x14ac:dyDescent="0.3">
      <c r="A4251" t="str">
        <f>"20200111150113514"</f>
        <v>20200111150113514</v>
      </c>
      <c r="B4251" t="str">
        <f>"1578726073511995"</f>
        <v>1578726073511995</v>
      </c>
      <c r="C4251" t="s">
        <v>40</v>
      </c>
      <c r="D4251">
        <v>4.5308570000000001</v>
      </c>
      <c r="E4251">
        <v>0.51877609999999996</v>
      </c>
      <c r="F4251" t="s">
        <v>43</v>
      </c>
      <c r="G4251">
        <v>-314.35910000000001</v>
      </c>
      <c r="H4251">
        <v>-0.05</v>
      </c>
      <c r="I4251">
        <v>21.003340000000001</v>
      </c>
      <c r="J4251">
        <v>-370.61610000000002</v>
      </c>
      <c r="K4251">
        <v>1.106209</v>
      </c>
      <c r="L4251">
        <v>17.21893</v>
      </c>
      <c r="M4251">
        <v>0.99990509999999999</v>
      </c>
      <c r="N4251">
        <v>0</v>
      </c>
      <c r="O4251">
        <v>8.5307630000000002E-3</v>
      </c>
      <c r="P4251">
        <v>0.98176459999999999</v>
      </c>
      <c r="Q4251">
        <v>0.15188409999999999</v>
      </c>
      <c r="R4251">
        <v>0.1143228</v>
      </c>
      <c r="S4251">
        <v>3.0422669999999998</v>
      </c>
      <c r="T4251">
        <v>-6.2261579999999997E-2</v>
      </c>
      <c r="U4251">
        <v>0.20394899999999999</v>
      </c>
      <c r="V4251">
        <v>-0.106517</v>
      </c>
      <c r="W4251">
        <v>0.16213459999999999</v>
      </c>
      <c r="X4251">
        <v>0.98100279999999995</v>
      </c>
      <c r="Y4251">
        <v>-5.8363390000000001E-2</v>
      </c>
      <c r="Z4251">
        <v>4.2211810000000001E-4</v>
      </c>
      <c r="AA4251">
        <v>0.9982953</v>
      </c>
      <c r="AB4251">
        <v>33</v>
      </c>
      <c r="AC4251">
        <v>56.256999999999998</v>
      </c>
      <c r="AD4251">
        <v>-1.156209</v>
      </c>
      <c r="AE4251">
        <v>3.7844099999999901</v>
      </c>
      <c r="AF4251">
        <v>-3.3029401995350498</v>
      </c>
      <c r="AG4251">
        <v>-1.156209</v>
      </c>
      <c r="AH4251">
        <v>56.263580058570398</v>
      </c>
      <c r="AI4251">
        <v>91.175232100746797</v>
      </c>
      <c r="AJ4251">
        <v>93.359679334637505</v>
      </c>
      <c r="AK4251">
        <v>56.372304141489103</v>
      </c>
      <c r="AL4251">
        <v>80.6691821594967</v>
      </c>
      <c r="AM4251">
        <v>96.196882418520005</v>
      </c>
      <c r="AN4251">
        <v>0.99999999670699902</v>
      </c>
    </row>
    <row r="4252" spans="1:40" x14ac:dyDescent="0.3">
      <c r="A4252" t="str">
        <f>"20200111150113527"</f>
        <v>20200111150113527</v>
      </c>
      <c r="B4252" t="str">
        <f>"1578726073521755"</f>
        <v>1578726073521755</v>
      </c>
      <c r="C4252" t="s">
        <v>40</v>
      </c>
      <c r="D4252">
        <v>4.5916329999999999</v>
      </c>
      <c r="E4252">
        <v>0.51873179999999997</v>
      </c>
      <c r="F4252" t="s">
        <v>42</v>
      </c>
      <c r="G4252">
        <v>-321.09879999999998</v>
      </c>
      <c r="H4252" s="1">
        <v>-4.4443510000000003E-6</v>
      </c>
      <c r="I4252">
        <v>20.579249999999998</v>
      </c>
      <c r="J4252">
        <v>-370.4298</v>
      </c>
      <c r="K4252">
        <v>1.1062080000000001</v>
      </c>
      <c r="L4252">
        <v>17.221409999999999</v>
      </c>
      <c r="M4252">
        <v>0.99989660000000002</v>
      </c>
      <c r="N4252">
        <v>0</v>
      </c>
      <c r="O4252">
        <v>9.4663609999999995E-3</v>
      </c>
      <c r="P4252">
        <v>0.98184249999999995</v>
      </c>
      <c r="Q4252">
        <v>0.15123239999999999</v>
      </c>
      <c r="R4252">
        <v>0.1145176</v>
      </c>
      <c r="S4252">
        <v>3.0422359999999999</v>
      </c>
      <c r="T4252">
        <v>-6.796336E-2</v>
      </c>
      <c r="U4252">
        <v>0.20645140000000001</v>
      </c>
      <c r="V4252">
        <v>-0.1057897</v>
      </c>
      <c r="W4252">
        <v>0.16148950000000001</v>
      </c>
      <c r="X4252">
        <v>0.9811879</v>
      </c>
      <c r="Y4252">
        <v>-5.8245669999999999E-2</v>
      </c>
      <c r="Z4252">
        <v>4.3857219999999999E-4</v>
      </c>
      <c r="AA4252">
        <v>0.99830220000000003</v>
      </c>
      <c r="AB4252">
        <v>33</v>
      </c>
      <c r="AC4252">
        <v>49.331000000000003</v>
      </c>
      <c r="AD4252">
        <v>-1.106212444351</v>
      </c>
      <c r="AE4252">
        <v>3.3578399999999902</v>
      </c>
      <c r="AF4252">
        <v>-2.8892309652456998</v>
      </c>
      <c r="AG4252">
        <v>-1.106212444351</v>
      </c>
      <c r="AH4252">
        <v>49.335883687519399</v>
      </c>
      <c r="AI4252">
        <v>91.282278318029199</v>
      </c>
      <c r="AJ4252">
        <v>93.351554129702194</v>
      </c>
      <c r="AK4252">
        <v>49.432790542017898</v>
      </c>
      <c r="AL4252">
        <v>80.706637364372</v>
      </c>
      <c r="AM4252">
        <v>96.1537436572644</v>
      </c>
      <c r="AN4252">
        <v>1.0000000071713699</v>
      </c>
    </row>
    <row r="4253" spans="1:40" x14ac:dyDescent="0.3">
      <c r="A4253" t="str">
        <f>"20200111150114490"</f>
        <v>20200111150114490</v>
      </c>
      <c r="B4253" t="str">
        <f>"1578726074482139"</f>
        <v>1578726074482139</v>
      </c>
      <c r="C4253" t="s">
        <v>40</v>
      </c>
      <c r="D4253">
        <v>4.551736</v>
      </c>
      <c r="E4253">
        <v>0.51873179999999997</v>
      </c>
      <c r="F4253" t="s">
        <v>42</v>
      </c>
      <c r="G4253">
        <v>-323.51190000000003</v>
      </c>
      <c r="H4253" s="1">
        <v>-3.261229E-6</v>
      </c>
      <c r="I4253">
        <v>20.41986</v>
      </c>
      <c r="J4253">
        <v>-356.20769999999999</v>
      </c>
      <c r="K4253">
        <v>1.1045959999999999</v>
      </c>
      <c r="L4253">
        <v>17.733829999999902</v>
      </c>
      <c r="M4253">
        <v>0.99905809999999995</v>
      </c>
      <c r="N4253">
        <v>0</v>
      </c>
      <c r="O4253">
        <v>4.0998920000000001E-2</v>
      </c>
      <c r="P4253">
        <v>0.98321420000000004</v>
      </c>
      <c r="Q4253">
        <v>0.12866949999999999</v>
      </c>
      <c r="R4253">
        <v>0.1293599</v>
      </c>
      <c r="S4253">
        <v>3.042297</v>
      </c>
      <c r="T4253">
        <v>-7.1730020000000005E-2</v>
      </c>
      <c r="U4253">
        <v>0.20739750000000001</v>
      </c>
      <c r="V4253">
        <v>-8.8780739999999997E-2</v>
      </c>
      <c r="W4253">
        <v>0.14279439999999999</v>
      </c>
      <c r="X4253">
        <v>0.98576249999999999</v>
      </c>
      <c r="Y4253">
        <v>-2.705202E-2</v>
      </c>
      <c r="Z4253">
        <v>-6.4646229999999999E-4</v>
      </c>
      <c r="AA4253">
        <v>0.99963380000000002</v>
      </c>
      <c r="AB4253">
        <v>33</v>
      </c>
      <c r="AC4253">
        <v>32.695799999999899</v>
      </c>
      <c r="AD4253">
        <v>-1.1045992612290001</v>
      </c>
      <c r="AE4253">
        <v>2.6860300000000001</v>
      </c>
      <c r="AF4253">
        <v>-1.34162218620134</v>
      </c>
      <c r="AG4253">
        <v>-1.1045992612290001</v>
      </c>
      <c r="AH4253">
        <v>32.741319601787097</v>
      </c>
      <c r="AI4253">
        <v>91.930645285907403</v>
      </c>
      <c r="AJ4253">
        <v>92.346463438025296</v>
      </c>
      <c r="AK4253">
        <v>32.787407626782397</v>
      </c>
      <c r="AL4253">
        <v>81.790421299490802</v>
      </c>
      <c r="AM4253">
        <v>95.146345858444505</v>
      </c>
      <c r="AN4253">
        <v>0.99999998343627805</v>
      </c>
    </row>
    <row r="4254" spans="1:40" x14ac:dyDescent="0.3">
      <c r="A4254" t="str">
        <f>"20200111150114503"</f>
        <v>20200111150114503</v>
      </c>
      <c r="B4254" t="str">
        <f>"1578726074491900"</f>
        <v>1578726074491900</v>
      </c>
      <c r="C4254" t="s">
        <v>40</v>
      </c>
      <c r="D4254">
        <v>4.6291169999999999</v>
      </c>
      <c r="E4254">
        <v>0.63656899999999905</v>
      </c>
      <c r="F4254" t="s">
        <v>42</v>
      </c>
      <c r="G4254">
        <v>-332.27609999999999</v>
      </c>
      <c r="H4254" s="1">
        <v>-3.3157380000000001E-6</v>
      </c>
      <c r="I4254">
        <v>19.69106</v>
      </c>
      <c r="J4254">
        <v>-356.03019999999998</v>
      </c>
      <c r="K4254">
        <v>1.104587</v>
      </c>
      <c r="L4254">
        <v>17.74081</v>
      </c>
      <c r="M4254">
        <v>0.99907069999999998</v>
      </c>
      <c r="N4254">
        <v>0</v>
      </c>
      <c r="O4254">
        <v>4.0685039999999999E-2</v>
      </c>
      <c r="P4254">
        <v>0.98330099999999998</v>
      </c>
      <c r="Q4254">
        <v>0.128583</v>
      </c>
      <c r="R4254">
        <v>0.12878539999999999</v>
      </c>
      <c r="S4254">
        <v>3.0369259999999998</v>
      </c>
      <c r="T4254">
        <v>-0.14017370000000001</v>
      </c>
      <c r="U4254">
        <v>0.24838260000000001</v>
      </c>
      <c r="V4254">
        <v>-8.8508970000000006E-2</v>
      </c>
      <c r="W4254">
        <v>0.1427283</v>
      </c>
      <c r="X4254">
        <v>0.98579649999999996</v>
      </c>
      <c r="Y4254">
        <v>-4.0893819999999997E-2</v>
      </c>
      <c r="Z4254">
        <v>-9.3109349999999998E-4</v>
      </c>
      <c r="AA4254">
        <v>0.99916309999999997</v>
      </c>
      <c r="AB4254">
        <v>32</v>
      </c>
      <c r="AC4254">
        <v>23.754099999999902</v>
      </c>
      <c r="AD4254">
        <v>-1.1045903157379999</v>
      </c>
      <c r="AE4254">
        <v>1.95025</v>
      </c>
      <c r="AF4254">
        <v>-0.97999564724092003</v>
      </c>
      <c r="AG4254">
        <v>-1.1045903157379999</v>
      </c>
      <c r="AH4254">
        <v>23.762742905397399</v>
      </c>
      <c r="AI4254">
        <v>92.659171215523202</v>
      </c>
      <c r="AJ4254">
        <v>92.361588221084105</v>
      </c>
      <c r="AK4254">
        <v>23.808579580106102</v>
      </c>
      <c r="AL4254">
        <v>81.794247653148204</v>
      </c>
      <c r="AM4254">
        <v>95.130500386196999</v>
      </c>
      <c r="AN4254">
        <v>0.99999997240180005</v>
      </c>
    </row>
    <row r="4255" spans="1:40" x14ac:dyDescent="0.3">
      <c r="A4255" t="str">
        <f>"20200111150114521"</f>
        <v>20200111150114521</v>
      </c>
      <c r="B4255" t="str">
        <f>"1578726074512395"</f>
        <v>1578726074512395</v>
      </c>
      <c r="C4255" t="s">
        <v>40</v>
      </c>
      <c r="D4255">
        <v>6.9860759999999997</v>
      </c>
      <c r="E4255">
        <v>0.63664779999999999</v>
      </c>
      <c r="F4255" t="s">
        <v>42</v>
      </c>
      <c r="G4255">
        <v>-328.9658</v>
      </c>
      <c r="H4255" s="1">
        <v>-2.4432979999999999E-6</v>
      </c>
      <c r="I4255">
        <v>11.86689</v>
      </c>
      <c r="J4255">
        <v>-355.76960000000003</v>
      </c>
      <c r="K4255">
        <v>1.104582</v>
      </c>
      <c r="L4255">
        <v>17.75095</v>
      </c>
      <c r="M4255">
        <v>0.99908909999999995</v>
      </c>
      <c r="N4255">
        <v>0</v>
      </c>
      <c r="O4255">
        <v>4.0219600000000001E-2</v>
      </c>
      <c r="P4255">
        <v>0.98340490000000003</v>
      </c>
      <c r="Q4255">
        <v>0.12916949999999999</v>
      </c>
      <c r="R4255">
        <v>0.12739829999999999</v>
      </c>
      <c r="S4255">
        <v>3.157562</v>
      </c>
      <c r="T4255">
        <v>-0.12887080000000001</v>
      </c>
      <c r="U4255">
        <v>-0.68530269999999904</v>
      </c>
      <c r="V4255">
        <v>-8.7573680000000001E-2</v>
      </c>
      <c r="W4255">
        <v>0.14333989999999999</v>
      </c>
      <c r="X4255">
        <v>0.98579130000000004</v>
      </c>
      <c r="Y4255">
        <v>0.25100240000000001</v>
      </c>
      <c r="Z4255">
        <v>-6.6847039999999996E-3</v>
      </c>
      <c r="AA4255">
        <v>0.96796340000000003</v>
      </c>
      <c r="AB4255">
        <v>32</v>
      </c>
      <c r="AC4255">
        <v>26.803799999999999</v>
      </c>
      <c r="AD4255">
        <v>-1.1045844432980001</v>
      </c>
      <c r="AE4255">
        <v>-5.8840599999999998</v>
      </c>
      <c r="AF4255">
        <v>6.94619164975306</v>
      </c>
      <c r="AG4255">
        <v>-1.1045844432980001</v>
      </c>
      <c r="AH4255">
        <v>26.5024901116576</v>
      </c>
      <c r="AI4255">
        <v>92.308729241408201</v>
      </c>
      <c r="AJ4255">
        <v>75.313363668558907</v>
      </c>
      <c r="AK4255">
        <v>27.419913700556801</v>
      </c>
      <c r="AL4255">
        <v>81.758841575912001</v>
      </c>
      <c r="AM4255">
        <v>95.076596912936196</v>
      </c>
      <c r="AN4255">
        <v>0.99999998175822102</v>
      </c>
    </row>
    <row r="4256" spans="1:40" x14ac:dyDescent="0.3">
      <c r="A4256" t="str">
        <f>"20200111150114587"</f>
        <v>20200111150114587</v>
      </c>
      <c r="B4256" t="str">
        <f>"1578726074581691"</f>
        <v>1578726074581691</v>
      </c>
      <c r="C4256" t="s">
        <v>40</v>
      </c>
      <c r="D4256">
        <v>4.4966429999999997</v>
      </c>
      <c r="E4256">
        <v>0.63664779999999999</v>
      </c>
      <c r="F4256" t="s">
        <v>42</v>
      </c>
      <c r="G4256">
        <v>-329.5</v>
      </c>
      <c r="H4256" s="1">
        <v>-2.1996629999999999E-6</v>
      </c>
      <c r="I4256">
        <v>12.011520000000001</v>
      </c>
      <c r="J4256">
        <v>-354.81549999999999</v>
      </c>
      <c r="K4256">
        <v>1.1045700000000001</v>
      </c>
      <c r="L4256">
        <v>17.787050000000001</v>
      </c>
      <c r="M4256">
        <v>0.99915500000000002</v>
      </c>
      <c r="N4256">
        <v>0</v>
      </c>
      <c r="O4256">
        <v>3.8528149999999997E-2</v>
      </c>
      <c r="P4256">
        <v>0.98389389999999999</v>
      </c>
      <c r="Q4256">
        <v>0.13139509999999999</v>
      </c>
      <c r="R4256">
        <v>0.1211951</v>
      </c>
      <c r="S4256">
        <v>3.1574710000000001</v>
      </c>
      <c r="T4256">
        <v>-0.13276540000000001</v>
      </c>
      <c r="U4256">
        <v>-0.68984990000000002</v>
      </c>
      <c r="V4256">
        <v>-8.3017590000000002E-2</v>
      </c>
      <c r="W4256">
        <v>0.14562639999999999</v>
      </c>
      <c r="X4256">
        <v>0.98585040000000002</v>
      </c>
      <c r="Y4256">
        <v>0.25068800000000002</v>
      </c>
      <c r="Z4256">
        <v>-6.8088050000000002E-3</v>
      </c>
      <c r="AA4256">
        <v>0.96804400000000002</v>
      </c>
      <c r="AB4256">
        <v>32</v>
      </c>
      <c r="AC4256">
        <v>25.315499999999901</v>
      </c>
      <c r="AD4256">
        <v>-1.104572199663</v>
      </c>
      <c r="AE4256">
        <v>-5.7755299999999998</v>
      </c>
      <c r="AF4256">
        <v>6.7345135003122696</v>
      </c>
      <c r="AG4256">
        <v>-1.104572199663</v>
      </c>
      <c r="AH4256">
        <v>25.028864597309401</v>
      </c>
      <c r="AI4256">
        <v>92.440252500888704</v>
      </c>
      <c r="AJ4256">
        <v>74.940107632756806</v>
      </c>
      <c r="AK4256">
        <v>25.9425868960789</v>
      </c>
      <c r="AL4256">
        <v>81.626445614291995</v>
      </c>
      <c r="AM4256">
        <v>94.813470617593396</v>
      </c>
      <c r="AN4256">
        <v>0.999999989903264</v>
      </c>
    </row>
    <row r="4257" spans="1:40" x14ac:dyDescent="0.3">
      <c r="A4257" t="str">
        <f>"20200111150114598"</f>
        <v>20200111150114598</v>
      </c>
      <c r="B4257" t="str">
        <f>"1578726074592427"</f>
        <v>1578726074592427</v>
      </c>
      <c r="C4257" t="s">
        <v>40</v>
      </c>
      <c r="D4257">
        <v>4.4989249999999998</v>
      </c>
      <c r="E4257">
        <v>0.56436549999999996</v>
      </c>
      <c r="F4257" t="s">
        <v>42</v>
      </c>
      <c r="G4257">
        <v>-327.51150000000001</v>
      </c>
      <c r="H4257" s="1">
        <v>-3.05965E-6</v>
      </c>
      <c r="I4257">
        <v>11.649369999999999</v>
      </c>
      <c r="J4257">
        <v>-354.65030000000002</v>
      </c>
      <c r="K4257">
        <v>1.1045670000000001</v>
      </c>
      <c r="L4257">
        <v>17.793119999999998</v>
      </c>
      <c r="M4257">
        <v>0.99916590000000005</v>
      </c>
      <c r="N4257">
        <v>0</v>
      </c>
      <c r="O4257">
        <v>3.8238920000000003E-2</v>
      </c>
      <c r="P4257">
        <v>0.9840103</v>
      </c>
      <c r="Q4257">
        <v>0.13126930000000001</v>
      </c>
      <c r="R4257">
        <v>0.1203833</v>
      </c>
      <c r="S4257">
        <v>3.1534420000000001</v>
      </c>
      <c r="T4257">
        <v>-0.12757099999999999</v>
      </c>
      <c r="U4257">
        <v>-0.70886229999999995</v>
      </c>
      <c r="V4257">
        <v>-8.2487809999999995E-2</v>
      </c>
      <c r="W4257">
        <v>0.14550950000000001</v>
      </c>
      <c r="X4257">
        <v>0.98591209999999996</v>
      </c>
      <c r="Y4257">
        <v>0.25623879999999999</v>
      </c>
      <c r="Z4257">
        <v>-6.6458960000000001E-3</v>
      </c>
      <c r="AA4257">
        <v>0.96659059999999997</v>
      </c>
      <c r="AB4257">
        <v>32</v>
      </c>
      <c r="AC4257">
        <v>27.1388</v>
      </c>
      <c r="AD4257">
        <v>-1.1045700596500001</v>
      </c>
      <c r="AE4257">
        <v>-6.1437499999999998</v>
      </c>
      <c r="AF4257">
        <v>7.1658287559266203</v>
      </c>
      <c r="AG4257">
        <v>-1.1045700596500001</v>
      </c>
      <c r="AH4257">
        <v>26.841695799233101</v>
      </c>
      <c r="AI4257">
        <v>92.276814189492598</v>
      </c>
      <c r="AJ4257">
        <v>75.052554977110503</v>
      </c>
      <c r="AK4257">
        <v>27.8037013750779</v>
      </c>
      <c r="AL4257">
        <v>81.633215360945101</v>
      </c>
      <c r="AM4257">
        <v>94.782598290558795</v>
      </c>
      <c r="AN4257">
        <v>0.99999996115762702</v>
      </c>
    </row>
    <row r="4258" spans="1:40" x14ac:dyDescent="0.3">
      <c r="A4258" t="str">
        <f>"20200111150114610"</f>
        <v>20200111150114610</v>
      </c>
      <c r="B4258" t="str">
        <f>"1578726074602187"</f>
        <v>1578726074602187</v>
      </c>
      <c r="C4258" t="s">
        <v>40</v>
      </c>
      <c r="D4258">
        <v>4.4674069999999997</v>
      </c>
      <c r="E4258">
        <v>0.56362049999999997</v>
      </c>
      <c r="F4258" t="s">
        <v>41</v>
      </c>
      <c r="G4258">
        <v>-353.88639999999998</v>
      </c>
      <c r="H4258">
        <v>1.0523769999999999</v>
      </c>
      <c r="I4258">
        <v>17.75881</v>
      </c>
      <c r="J4258">
        <v>-354.48559999999998</v>
      </c>
      <c r="K4258">
        <v>1.1045659999999999</v>
      </c>
      <c r="L4258">
        <v>17.799129999999899</v>
      </c>
      <c r="M4258">
        <v>0.99917690000000003</v>
      </c>
      <c r="N4258">
        <v>0</v>
      </c>
      <c r="O4258">
        <v>3.7951499999999999E-2</v>
      </c>
      <c r="P4258">
        <v>0.98411459999999995</v>
      </c>
      <c r="Q4258">
        <v>0.13072819999999999</v>
      </c>
      <c r="R4258">
        <v>0.1201195</v>
      </c>
      <c r="S4258">
        <v>3.0937809999999999</v>
      </c>
      <c r="T4258">
        <v>-0.2113572</v>
      </c>
      <c r="U4258">
        <v>-0.1376648</v>
      </c>
      <c r="V4258">
        <v>-8.2504659999999994E-2</v>
      </c>
      <c r="W4258">
        <v>0.14497679999999999</v>
      </c>
      <c r="X4258">
        <v>0.98598920000000001</v>
      </c>
      <c r="Y4258">
        <v>8.2059869999999993E-2</v>
      </c>
      <c r="Z4258">
        <v>-5.3871680000000003E-3</v>
      </c>
      <c r="AA4258">
        <v>0.99661279999999997</v>
      </c>
      <c r="AB4258">
        <v>32</v>
      </c>
      <c r="AC4258">
        <v>0.59919999999999596</v>
      </c>
      <c r="AD4258">
        <v>-5.2188999999999798E-2</v>
      </c>
      <c r="AE4258">
        <v>-4.0319999999997601E-2</v>
      </c>
      <c r="AF4258">
        <v>6.2561366259447193E-2</v>
      </c>
      <c r="AG4258">
        <v>-5.2188999999999798E-2</v>
      </c>
      <c r="AH4258">
        <v>0.59276144061580105</v>
      </c>
      <c r="AI4258">
        <v>95.003916485681799</v>
      </c>
      <c r="AJ4258">
        <v>83.975179890384595</v>
      </c>
      <c r="AK4258">
        <v>0.59833413888075004</v>
      </c>
      <c r="AL4258">
        <v>81.664064243738096</v>
      </c>
      <c r="AM4258">
        <v>94.783198392797303</v>
      </c>
      <c r="AN4258">
        <v>0.999999996988297</v>
      </c>
    </row>
    <row r="4259" spans="1:40" x14ac:dyDescent="0.3">
      <c r="A4259" t="str">
        <f>"20200111150114623"</f>
        <v>20200111150114623</v>
      </c>
      <c r="B4259" t="str">
        <f>"1578726074611947"</f>
        <v>1578726074611947</v>
      </c>
      <c r="C4259" t="s">
        <v>40</v>
      </c>
      <c r="D4259">
        <v>4.4566420000000004</v>
      </c>
      <c r="E4259">
        <v>0.56383289999999997</v>
      </c>
      <c r="F4259" t="s">
        <v>41</v>
      </c>
      <c r="G4259">
        <v>-353.60879999999997</v>
      </c>
      <c r="H4259">
        <v>1.04308</v>
      </c>
      <c r="I4259">
        <v>17.761420000000001</v>
      </c>
      <c r="J4259">
        <v>-354.29930000000002</v>
      </c>
      <c r="K4259">
        <v>1.1045640000000001</v>
      </c>
      <c r="L4259">
        <v>17.805910000000001</v>
      </c>
      <c r="M4259">
        <v>0.99918899999999999</v>
      </c>
      <c r="N4259">
        <v>0</v>
      </c>
      <c r="O4259">
        <v>3.7626649999999998E-2</v>
      </c>
      <c r="P4259">
        <v>0.98417779999999999</v>
      </c>
      <c r="Q4259">
        <v>0.1305926</v>
      </c>
      <c r="R4259">
        <v>0.1197486</v>
      </c>
      <c r="S4259">
        <v>3.0934140000000001</v>
      </c>
      <c r="T4259">
        <v>-0.21697520000000001</v>
      </c>
      <c r="U4259">
        <v>-0.13275149999999999</v>
      </c>
      <c r="V4259">
        <v>-8.2452150000000002E-2</v>
      </c>
      <c r="W4259">
        <v>0.14484939999999999</v>
      </c>
      <c r="X4259">
        <v>0.98601229999999995</v>
      </c>
      <c r="Y4259">
        <v>8.015137E-2</v>
      </c>
      <c r="Z4259">
        <v>-5.4412740000000003E-3</v>
      </c>
      <c r="AA4259">
        <v>0.99676790000000004</v>
      </c>
      <c r="AB4259">
        <v>32</v>
      </c>
      <c r="AC4259">
        <v>0.69050000000004197</v>
      </c>
      <c r="AD4259">
        <v>-6.1483999999999803E-2</v>
      </c>
      <c r="AE4259">
        <v>-4.4489999999999599E-2</v>
      </c>
      <c r="AF4259">
        <v>6.9890518014578795E-2</v>
      </c>
      <c r="AG4259">
        <v>-6.1483999999999803E-2</v>
      </c>
      <c r="AH4259">
        <v>0.68294434103630697</v>
      </c>
      <c r="AI4259">
        <v>95.117760548288999</v>
      </c>
      <c r="AJ4259">
        <v>84.156859706994794</v>
      </c>
      <c r="AK4259">
        <v>0.68925897869948805</v>
      </c>
      <c r="AL4259">
        <v>81.671441462261498</v>
      </c>
      <c r="AM4259">
        <v>94.780056773240105</v>
      </c>
      <c r="AN4259">
        <v>0.99999998073563601</v>
      </c>
    </row>
    <row r="4260" spans="1:40" x14ac:dyDescent="0.3">
      <c r="A4260" t="str">
        <f>"20200111150114635"</f>
        <v>20200111150114635</v>
      </c>
      <c r="B4260" t="str">
        <f>"1578726074632443"</f>
        <v>1578726074632443</v>
      </c>
      <c r="C4260" t="s">
        <v>40</v>
      </c>
      <c r="D4260">
        <v>4.4948329999999999</v>
      </c>
      <c r="E4260">
        <v>0.5627259</v>
      </c>
      <c r="F4260" t="s">
        <v>41</v>
      </c>
      <c r="G4260">
        <v>-353.32440000000003</v>
      </c>
      <c r="H4260">
        <v>1.035369</v>
      </c>
      <c r="I4260">
        <v>17.762879999999999</v>
      </c>
      <c r="J4260">
        <v>-354.11649999999997</v>
      </c>
      <c r="K4260">
        <v>1.1045609999999999</v>
      </c>
      <c r="L4260">
        <v>17.812470000000001</v>
      </c>
      <c r="M4260">
        <v>0.99920100000000001</v>
      </c>
      <c r="N4260">
        <v>0</v>
      </c>
      <c r="O4260">
        <v>3.7307350000000003E-2</v>
      </c>
      <c r="P4260">
        <v>0.98423240000000001</v>
      </c>
      <c r="Q4260">
        <v>0.13019040000000001</v>
      </c>
      <c r="R4260">
        <v>0.1197382</v>
      </c>
      <c r="S4260">
        <v>3.0938720000000002</v>
      </c>
      <c r="T4260">
        <v>-0.21958269999999999</v>
      </c>
      <c r="U4260">
        <v>-0.13580320000000001</v>
      </c>
      <c r="V4260">
        <v>-8.2756010000000005E-2</v>
      </c>
      <c r="W4260">
        <v>0.14445450000000001</v>
      </c>
      <c r="X4260">
        <v>0.98604480000000005</v>
      </c>
      <c r="Y4260">
        <v>8.0800179999999999E-2</v>
      </c>
      <c r="Z4260">
        <v>-5.5059459999999899E-3</v>
      </c>
      <c r="AA4260">
        <v>0.99671509999999996</v>
      </c>
      <c r="AB4260">
        <v>32</v>
      </c>
      <c r="AC4260">
        <v>0.79209999999994796</v>
      </c>
      <c r="AD4260">
        <v>-6.9192000000000101E-2</v>
      </c>
      <c r="AE4260">
        <v>-4.9590000000002001E-2</v>
      </c>
      <c r="AF4260">
        <v>7.8512907327565398E-2</v>
      </c>
      <c r="AG4260">
        <v>-6.9192000000000101E-2</v>
      </c>
      <c r="AH4260">
        <v>0.78374122354178399</v>
      </c>
      <c r="AI4260">
        <v>95.020236003402403</v>
      </c>
      <c r="AJ4260">
        <v>84.279361551295295</v>
      </c>
      <c r="AK4260">
        <v>0.79069723343375897</v>
      </c>
      <c r="AL4260">
        <v>81.694308255364405</v>
      </c>
      <c r="AM4260">
        <v>94.797433197992603</v>
      </c>
      <c r="AN4260">
        <v>1.0000000036842001</v>
      </c>
    </row>
    <row r="4261" spans="1:40" x14ac:dyDescent="0.3">
      <c r="A4261" t="str">
        <f>"20200111150114648"</f>
        <v>20200111150114648</v>
      </c>
      <c r="B4261" t="str">
        <f>"1578726074642203"</f>
        <v>1578726074642203</v>
      </c>
      <c r="C4261" t="s">
        <v>40</v>
      </c>
      <c r="D4261">
        <v>4.4938419999999999</v>
      </c>
      <c r="E4261">
        <v>0.56265220000000005</v>
      </c>
      <c r="F4261" t="s">
        <v>41</v>
      </c>
      <c r="G4261">
        <v>-353.31979999999999</v>
      </c>
      <c r="H4261">
        <v>1.0446899999999999</v>
      </c>
      <c r="I4261">
        <v>17.77946</v>
      </c>
      <c r="J4261">
        <v>-353.94619999999998</v>
      </c>
      <c r="K4261">
        <v>1.10456</v>
      </c>
      <c r="L4261">
        <v>17.81851</v>
      </c>
      <c r="M4261">
        <v>0.99921190000000004</v>
      </c>
      <c r="N4261">
        <v>0</v>
      </c>
      <c r="O4261">
        <v>3.7009399999999998E-2</v>
      </c>
      <c r="P4261">
        <v>0.98428329999999997</v>
      </c>
      <c r="Q4261">
        <v>0.12979369999999901</v>
      </c>
      <c r="R4261">
        <v>0.11974990000000001</v>
      </c>
      <c r="S4261">
        <v>3.0942989999999999</v>
      </c>
      <c r="T4261">
        <v>-0.23249610000000001</v>
      </c>
      <c r="U4261">
        <v>-0.12728879999999901</v>
      </c>
      <c r="V4261">
        <v>-8.3059820000000006E-2</v>
      </c>
      <c r="W4261">
        <v>0.14406429999999901</v>
      </c>
      <c r="X4261">
        <v>0.98607639999999996</v>
      </c>
      <c r="Y4261">
        <v>7.7732579999999996E-2</v>
      </c>
      <c r="Z4261">
        <v>-5.6909810000000003E-3</v>
      </c>
      <c r="AA4261">
        <v>0.99695800000000001</v>
      </c>
      <c r="AB4261">
        <v>32</v>
      </c>
      <c r="AC4261">
        <v>0.62639999999998897</v>
      </c>
      <c r="AD4261">
        <v>-5.987E-2</v>
      </c>
      <c r="AE4261">
        <v>-3.9049999999999502E-2</v>
      </c>
      <c r="AF4261">
        <v>6.1647340304884501E-2</v>
      </c>
      <c r="AG4261">
        <v>-5.987E-2</v>
      </c>
      <c r="AH4261">
        <v>0.61889361959261502</v>
      </c>
      <c r="AI4261">
        <v>95.498394877981596</v>
      </c>
      <c r="AJ4261">
        <v>84.311591701040896</v>
      </c>
      <c r="AK4261">
        <v>0.62483127629714197</v>
      </c>
      <c r="AL4261">
        <v>81.716901876680495</v>
      </c>
      <c r="AM4261">
        <v>94.814809081977401</v>
      </c>
      <c r="AN4261">
        <v>1.00000006143493</v>
      </c>
    </row>
    <row r="4262" spans="1:40" x14ac:dyDescent="0.3">
      <c r="A4262" t="str">
        <f>"20200111150114660"</f>
        <v>20200111150114660</v>
      </c>
      <c r="B4262" t="str">
        <f>"1578726074651963"</f>
        <v>1578726074651963</v>
      </c>
      <c r="C4262" t="s">
        <v>40</v>
      </c>
      <c r="D4262">
        <v>4.4762779999999998</v>
      </c>
      <c r="E4262">
        <v>0.56282540000000003</v>
      </c>
      <c r="F4262" t="s">
        <v>41</v>
      </c>
      <c r="G4262">
        <v>-353.03629999999998</v>
      </c>
      <c r="H4262">
        <v>1.0373110000000001</v>
      </c>
      <c r="I4262">
        <v>17.781009999999998</v>
      </c>
      <c r="J4262">
        <v>-353.75699999999898</v>
      </c>
      <c r="K4262">
        <v>1.1045640000000001</v>
      </c>
      <c r="L4262">
        <v>17.825199999999999</v>
      </c>
      <c r="M4262">
        <v>0.999224</v>
      </c>
      <c r="N4262">
        <v>0</v>
      </c>
      <c r="O4262">
        <v>3.6676979999999998E-2</v>
      </c>
      <c r="P4262">
        <v>0.98431990000000003</v>
      </c>
      <c r="Q4262">
        <v>0.12964010000000001</v>
      </c>
      <c r="R4262">
        <v>0.11961620000000001</v>
      </c>
      <c r="S4262">
        <v>3.0934750000000002</v>
      </c>
      <c r="T4262">
        <v>-0.22862469999999999</v>
      </c>
      <c r="U4262">
        <v>-0.12695310000000001</v>
      </c>
      <c r="V4262">
        <v>-8.3253469999999996E-2</v>
      </c>
      <c r="W4262">
        <v>0.14391660000000001</v>
      </c>
      <c r="X4262">
        <v>0.9860816</v>
      </c>
      <c r="Y4262">
        <v>7.7316330000000003E-2</v>
      </c>
      <c r="Z4262">
        <v>-5.5580990000000004E-3</v>
      </c>
      <c r="AA4262">
        <v>0.99699110000000002</v>
      </c>
      <c r="AB4262">
        <v>32</v>
      </c>
      <c r="AC4262">
        <v>0.72069999999996504</v>
      </c>
      <c r="AD4262">
        <v>-6.7252999999999702E-2</v>
      </c>
      <c r="AE4262">
        <v>-4.4189999999996801E-2</v>
      </c>
      <c r="AF4262">
        <v>6.9988911857358005E-2</v>
      </c>
      <c r="AG4262">
        <v>-6.7252999999999702E-2</v>
      </c>
      <c r="AH4262">
        <v>0.71241366746063495</v>
      </c>
      <c r="AI4262">
        <v>95.367145956146899</v>
      </c>
      <c r="AJ4262">
        <v>84.389155338937201</v>
      </c>
      <c r="AK4262">
        <v>0.71899558230679705</v>
      </c>
      <c r="AL4262">
        <v>81.725453275333706</v>
      </c>
      <c r="AM4262">
        <v>94.825956293176802</v>
      </c>
      <c r="AN4262">
        <v>1.00000002494058</v>
      </c>
    </row>
    <row r="4263" spans="1:40" x14ac:dyDescent="0.3">
      <c r="A4263" t="str">
        <f>"20200111150114676"</f>
        <v>20200111150114676</v>
      </c>
      <c r="B4263" t="str">
        <f>"1578726074672459"</f>
        <v>1578726074672459</v>
      </c>
      <c r="C4263" t="s">
        <v>40</v>
      </c>
      <c r="D4263">
        <v>4.4305789999999998</v>
      </c>
      <c r="E4263">
        <v>0.56188070000000001</v>
      </c>
      <c r="F4263" t="s">
        <v>41</v>
      </c>
      <c r="G4263">
        <v>-352.7525</v>
      </c>
      <c r="H4263">
        <v>1.0298590000000001</v>
      </c>
      <c r="I4263">
        <v>17.78323</v>
      </c>
      <c r="J4263">
        <v>-353.52839999999998</v>
      </c>
      <c r="K4263">
        <v>1.1045640000000001</v>
      </c>
      <c r="L4263">
        <v>17.833189999999998</v>
      </c>
      <c r="M4263">
        <v>0.99923879999999998</v>
      </c>
      <c r="N4263">
        <v>0</v>
      </c>
      <c r="O4263">
        <v>3.6269309999999999E-2</v>
      </c>
      <c r="P4263">
        <v>0.98444339999999997</v>
      </c>
      <c r="Q4263">
        <v>0.12928999999999999</v>
      </c>
      <c r="R4263">
        <v>0.1189761</v>
      </c>
      <c r="S4263">
        <v>3.0937190000000001</v>
      </c>
      <c r="T4263">
        <v>-0.23004830000000001</v>
      </c>
      <c r="U4263">
        <v>-0.128418</v>
      </c>
      <c r="V4263">
        <v>-8.3011260000000003E-2</v>
      </c>
      <c r="W4263">
        <v>0.14357349999999999</v>
      </c>
      <c r="X4263">
        <v>0.98615200000000003</v>
      </c>
      <c r="Y4263">
        <v>7.7374780000000004E-2</v>
      </c>
      <c r="Z4263">
        <v>-5.5640359999999996E-3</v>
      </c>
      <c r="AA4263">
        <v>0.99698659999999995</v>
      </c>
      <c r="AB4263">
        <v>32</v>
      </c>
      <c r="AC4263">
        <v>0.77589999999997805</v>
      </c>
      <c r="AD4263">
        <v>-7.4704999999999799E-2</v>
      </c>
      <c r="AE4263">
        <v>-4.9959999999998603E-2</v>
      </c>
      <c r="AF4263">
        <v>7.7357229820397402E-2</v>
      </c>
      <c r="AG4263">
        <v>-7.4704999999999799E-2</v>
      </c>
      <c r="AH4263">
        <v>0.76650093335024005</v>
      </c>
      <c r="AI4263">
        <v>95.538642706246904</v>
      </c>
      <c r="AJ4263">
        <v>84.237076706656595</v>
      </c>
      <c r="AK4263">
        <v>0.77400817751317996</v>
      </c>
      <c r="AL4263">
        <v>81.745317490116804</v>
      </c>
      <c r="AM4263">
        <v>94.811640215173796</v>
      </c>
      <c r="AN4263">
        <v>0.999999993146518</v>
      </c>
    </row>
    <row r="4264" spans="1:40" x14ac:dyDescent="0.3">
      <c r="A4264" t="str">
        <f>"20200111150114689"</f>
        <v>20200111150114689</v>
      </c>
      <c r="B4264" t="str">
        <f>"1578726074682219"</f>
        <v>1578726074682219</v>
      </c>
      <c r="C4264" t="s">
        <v>40</v>
      </c>
      <c r="D4264">
        <v>4.4897869999999998</v>
      </c>
      <c r="E4264">
        <v>0.56195249999999997</v>
      </c>
      <c r="F4264" t="s">
        <v>41</v>
      </c>
      <c r="G4264">
        <v>-352.74369999999999</v>
      </c>
      <c r="H4264">
        <v>1.0462400000000001</v>
      </c>
      <c r="I4264">
        <v>17.802050000000001</v>
      </c>
      <c r="J4264">
        <v>-353.35969999999998</v>
      </c>
      <c r="K4264">
        <v>1.104563</v>
      </c>
      <c r="L4264">
        <v>17.838989999999999</v>
      </c>
      <c r="M4264">
        <v>0.99924990000000002</v>
      </c>
      <c r="N4264">
        <v>0</v>
      </c>
      <c r="O4264">
        <v>3.5964349999999999E-2</v>
      </c>
      <c r="P4264">
        <v>0.98451109999999997</v>
      </c>
      <c r="Q4264">
        <v>0.12924089999999999</v>
      </c>
      <c r="R4264">
        <v>0.1184682</v>
      </c>
      <c r="S4264">
        <v>3.0922550000000002</v>
      </c>
      <c r="T4264">
        <v>-0.2298307</v>
      </c>
      <c r="U4264">
        <v>-0.12167360000000001</v>
      </c>
      <c r="V4264">
        <v>-8.2802089999999995E-2</v>
      </c>
      <c r="W4264">
        <v>0.14352870000000001</v>
      </c>
      <c r="X4264">
        <v>0.9861761</v>
      </c>
      <c r="Y4264">
        <v>7.4926759999999995E-2</v>
      </c>
      <c r="Z4264">
        <v>-5.4481879999999996E-3</v>
      </c>
      <c r="AA4264">
        <v>0.99717409999999995</v>
      </c>
      <c r="AB4264">
        <v>32</v>
      </c>
      <c r="AC4264">
        <v>0.615999999999985</v>
      </c>
      <c r="AD4264">
        <v>-5.8322999999999903E-2</v>
      </c>
      <c r="AE4264">
        <v>-3.6939999999997697E-2</v>
      </c>
      <c r="AF4264">
        <v>5.8549445257348801E-2</v>
      </c>
      <c r="AG4264">
        <v>-5.8322999999999903E-2</v>
      </c>
      <c r="AH4264">
        <v>0.60883450836875097</v>
      </c>
      <c r="AI4264">
        <v>95.446947201122597</v>
      </c>
      <c r="AJ4264">
        <v>84.506960662653498</v>
      </c>
      <c r="AK4264">
        <v>0.61441766612749804</v>
      </c>
      <c r="AL4264">
        <v>81.747911153504006</v>
      </c>
      <c r="AM4264">
        <v>94.799455913593803</v>
      </c>
      <c r="AN4264">
        <v>0.99999998702163395</v>
      </c>
    </row>
    <row r="4265" spans="1:40" x14ac:dyDescent="0.3">
      <c r="A4265" t="str">
        <f>"20200111150114701"</f>
        <v>20200111150114701</v>
      </c>
      <c r="B4265" t="str">
        <f>"1578726074691979"</f>
        <v>1578726074691979</v>
      </c>
      <c r="C4265" t="s">
        <v>40</v>
      </c>
      <c r="D4265">
        <v>4.4746790000000001</v>
      </c>
      <c r="E4265">
        <v>0.56210839999999995</v>
      </c>
      <c r="F4265" t="s">
        <v>41</v>
      </c>
      <c r="G4265">
        <v>-352.46190000000001</v>
      </c>
      <c r="H4265">
        <v>1.0379969999999901</v>
      </c>
      <c r="I4265">
        <v>17.802910000000001</v>
      </c>
      <c r="J4265">
        <v>-353.1728</v>
      </c>
      <c r="K4265">
        <v>1.1045609999999999</v>
      </c>
      <c r="L4265">
        <v>17.845400000000001</v>
      </c>
      <c r="M4265">
        <v>0.99926199999999998</v>
      </c>
      <c r="N4265">
        <v>0</v>
      </c>
      <c r="O4265">
        <v>3.5622880000000003E-2</v>
      </c>
      <c r="P4265">
        <v>0.98453579999999996</v>
      </c>
      <c r="Q4265">
        <v>0.1292401</v>
      </c>
      <c r="R4265">
        <v>0.11826399999999999</v>
      </c>
      <c r="S4265">
        <v>3.0921940000000001</v>
      </c>
      <c r="T4265">
        <v>-0.2292334</v>
      </c>
      <c r="U4265">
        <v>-0.1238708</v>
      </c>
      <c r="V4265">
        <v>-8.2933220000000002E-2</v>
      </c>
      <c r="W4265">
        <v>0.14353289999999999</v>
      </c>
      <c r="X4265">
        <v>0.9861645</v>
      </c>
      <c r="Y4265">
        <v>7.529574E-2</v>
      </c>
      <c r="Z4265">
        <v>-5.4224900000000003E-3</v>
      </c>
      <c r="AA4265">
        <v>0.99714650000000005</v>
      </c>
      <c r="AB4265">
        <v>32</v>
      </c>
      <c r="AC4265">
        <v>0.71089999999997999</v>
      </c>
      <c r="AD4265">
        <v>-6.6564000000000206E-2</v>
      </c>
      <c r="AE4265">
        <v>-4.2490000000000798E-2</v>
      </c>
      <c r="AF4265">
        <v>6.7202861446753595E-2</v>
      </c>
      <c r="AG4265">
        <v>-6.6564000000000206E-2</v>
      </c>
      <c r="AH4265">
        <v>0.70279530234381205</v>
      </c>
      <c r="AI4265">
        <v>95.386104521940396</v>
      </c>
      <c r="AJ4265">
        <v>84.537856698517203</v>
      </c>
      <c r="AK4265">
        <v>0.70913202415288101</v>
      </c>
      <c r="AL4265">
        <v>81.747668240227796</v>
      </c>
      <c r="AM4265">
        <v>94.807077288974497</v>
      </c>
      <c r="AN4265">
        <v>1.0000000167111101</v>
      </c>
    </row>
    <row r="4266" spans="1:40" x14ac:dyDescent="0.3">
      <c r="A4266" t="str">
        <f>"20200111150114713"</f>
        <v>20200111150114713</v>
      </c>
      <c r="B4266" t="str">
        <f>"1578726074701739"</f>
        <v>1578726074701739</v>
      </c>
      <c r="C4266" t="s">
        <v>40</v>
      </c>
      <c r="D4266">
        <v>4.4367739999999998</v>
      </c>
      <c r="E4266">
        <v>0.56191789999999997</v>
      </c>
      <c r="F4266" t="s">
        <v>41</v>
      </c>
      <c r="G4266">
        <v>-352.17860000000002</v>
      </c>
      <c r="H4266">
        <v>1.030969</v>
      </c>
      <c r="I4266">
        <v>17.804590000000001</v>
      </c>
      <c r="J4266">
        <v>-352.99290000000002</v>
      </c>
      <c r="K4266">
        <v>1.104555</v>
      </c>
      <c r="L4266">
        <v>17.85144</v>
      </c>
      <c r="M4266">
        <v>0.99927410000000005</v>
      </c>
      <c r="N4266">
        <v>0</v>
      </c>
      <c r="O4266">
        <v>3.5283630000000003E-2</v>
      </c>
      <c r="P4266">
        <v>0.98455999999999999</v>
      </c>
      <c r="Q4266">
        <v>0.12926689999999999</v>
      </c>
      <c r="R4266">
        <v>0.1180336</v>
      </c>
      <c r="S4266">
        <v>3.0923159999999998</v>
      </c>
      <c r="T4266">
        <v>-0.2288994</v>
      </c>
      <c r="U4266">
        <v>-0.1262817</v>
      </c>
      <c r="V4266">
        <v>-8.3033940000000001E-2</v>
      </c>
      <c r="W4266">
        <v>0.14356459999999999</v>
      </c>
      <c r="X4266">
        <v>0.98615140000000001</v>
      </c>
      <c r="Y4266">
        <v>7.5732430000000003E-2</v>
      </c>
      <c r="Z4266">
        <v>-5.4053879999999997E-3</v>
      </c>
      <c r="AA4266">
        <v>0.99711349999999999</v>
      </c>
      <c r="AB4266">
        <v>32</v>
      </c>
      <c r="AC4266">
        <v>0.81430000000000202</v>
      </c>
      <c r="AD4266">
        <v>-7.3585999999999901E-2</v>
      </c>
      <c r="AE4266">
        <v>-4.6849999999999101E-2</v>
      </c>
      <c r="AF4266">
        <v>7.4945246084331604E-2</v>
      </c>
      <c r="AG4266">
        <v>-7.3585999999999901E-2</v>
      </c>
      <c r="AH4266">
        <v>0.80558278506601499</v>
      </c>
      <c r="AI4266">
        <v>95.196884388480001</v>
      </c>
      <c r="AJ4266">
        <v>84.684938696252203</v>
      </c>
      <c r="AK4266">
        <v>0.81240095574867299</v>
      </c>
      <c r="AL4266">
        <v>81.745832872788299</v>
      </c>
      <c r="AM4266">
        <v>94.812951571913402</v>
      </c>
      <c r="AN4266">
        <v>1.00000000664352</v>
      </c>
    </row>
    <row r="4267" spans="1:40" x14ac:dyDescent="0.3">
      <c r="A4267" t="str">
        <f>"20200111150114726"</f>
        <v>20200111150114726</v>
      </c>
      <c r="B4267" t="str">
        <f>"1578726074722235"</f>
        <v>1578726074722235</v>
      </c>
      <c r="C4267" t="s">
        <v>40</v>
      </c>
      <c r="D4267">
        <v>4.4605870000000003</v>
      </c>
      <c r="E4267">
        <v>0.56217309999999998</v>
      </c>
      <c r="F4267" t="s">
        <v>41</v>
      </c>
      <c r="G4267">
        <v>-352.17230000000001</v>
      </c>
      <c r="H4267">
        <v>1.043885</v>
      </c>
      <c r="I4267">
        <v>17.817820000000001</v>
      </c>
      <c r="J4267">
        <v>-352.82240000000002</v>
      </c>
      <c r="K4267">
        <v>1.10454599999999</v>
      </c>
      <c r="L4267">
        <v>17.85718</v>
      </c>
      <c r="M4267">
        <v>0.99928539999999999</v>
      </c>
      <c r="N4267">
        <v>0</v>
      </c>
      <c r="O4267">
        <v>3.4956399999999999E-2</v>
      </c>
      <c r="P4267">
        <v>0.98457919999999999</v>
      </c>
      <c r="Q4267">
        <v>0.12915389999999999</v>
      </c>
      <c r="R4267">
        <v>0.1179965</v>
      </c>
      <c r="S4267">
        <v>3.0921630000000002</v>
      </c>
      <c r="T4267">
        <v>-0.2285587</v>
      </c>
      <c r="U4267">
        <v>-0.12591550000000001</v>
      </c>
      <c r="V4267">
        <v>-8.3316929999999997E-2</v>
      </c>
      <c r="W4267">
        <v>0.14345559999999999</v>
      </c>
      <c r="X4267">
        <v>0.9861434</v>
      </c>
      <c r="Y4267">
        <v>7.5292979999999995E-2</v>
      </c>
      <c r="Z4267">
        <v>-5.3572849999999998E-3</v>
      </c>
      <c r="AA4267">
        <v>0.99714709999999995</v>
      </c>
      <c r="AB4267">
        <v>32</v>
      </c>
      <c r="AC4267">
        <v>0.650100000000009</v>
      </c>
      <c r="AD4267">
        <v>-6.0660999999999798E-2</v>
      </c>
      <c r="AE4267">
        <v>-3.93599999999985E-2</v>
      </c>
      <c r="AF4267">
        <v>6.1529674552156702E-2</v>
      </c>
      <c r="AG4267">
        <v>-6.0660999999999798E-2</v>
      </c>
      <c r="AH4267">
        <v>0.64275070971194004</v>
      </c>
      <c r="AI4267">
        <v>95.367053251221293</v>
      </c>
      <c r="AJ4267">
        <v>84.531813701756903</v>
      </c>
      <c r="AK4267">
        <v>0.64853229110561394</v>
      </c>
      <c r="AL4267">
        <v>81.752143484401998</v>
      </c>
      <c r="AM4267">
        <v>94.829316254500398</v>
      </c>
      <c r="AN4267">
        <v>1.0000000126797699</v>
      </c>
    </row>
    <row r="4268" spans="1:40" x14ac:dyDescent="0.3">
      <c r="A4268" t="str">
        <f>"20200111150114743"</f>
        <v>20200111150114743</v>
      </c>
      <c r="B4268" t="str">
        <f>"1578726074731995"</f>
        <v>1578726074731995</v>
      </c>
      <c r="C4268" t="s">
        <v>40</v>
      </c>
      <c r="D4268">
        <v>4.4528990000000004</v>
      </c>
      <c r="E4268">
        <v>0.56205859999999996</v>
      </c>
      <c r="F4268" t="s">
        <v>41</v>
      </c>
      <c r="G4268">
        <v>-351.89</v>
      </c>
      <c r="H4268">
        <v>1.0359240000000001</v>
      </c>
      <c r="I4268">
        <v>17.818479999999902</v>
      </c>
      <c r="J4268">
        <v>-352.57240000000002</v>
      </c>
      <c r="K4268">
        <v>1.104528</v>
      </c>
      <c r="L4268">
        <v>17.86542</v>
      </c>
      <c r="M4268">
        <v>0.99930269999999999</v>
      </c>
      <c r="N4268">
        <v>0</v>
      </c>
      <c r="O4268">
        <v>3.446138E-2</v>
      </c>
      <c r="P4268">
        <v>0.98469799999999996</v>
      </c>
      <c r="Q4268">
        <v>0.12877919999999901</v>
      </c>
      <c r="R4268">
        <v>0.1174145</v>
      </c>
      <c r="S4268">
        <v>3.0921940000000001</v>
      </c>
      <c r="T4268">
        <v>-0.22758059999999999</v>
      </c>
      <c r="U4268">
        <v>-0.12823490000000001</v>
      </c>
      <c r="V4268">
        <v>-8.3216090000000006E-2</v>
      </c>
      <c r="W4268">
        <v>0.1430884</v>
      </c>
      <c r="X4268">
        <v>0.9862052</v>
      </c>
      <c r="Y4268">
        <v>7.5548509999999999E-2</v>
      </c>
      <c r="Z4268">
        <v>-5.3073149999999999E-3</v>
      </c>
      <c r="AA4268">
        <v>0.99712800000000001</v>
      </c>
      <c r="AB4268">
        <v>32</v>
      </c>
      <c r="AC4268">
        <v>0.68240000000002898</v>
      </c>
      <c r="AD4268">
        <v>-6.8604000000000095E-2</v>
      </c>
      <c r="AE4268">
        <v>-4.6940000000002799E-2</v>
      </c>
      <c r="AF4268">
        <v>6.9729552417375606E-2</v>
      </c>
      <c r="AG4268">
        <v>-6.8604000000000095E-2</v>
      </c>
      <c r="AH4268">
        <v>0.67360080735665795</v>
      </c>
      <c r="AI4268">
        <v>95.784632870121399</v>
      </c>
      <c r="AJ4268">
        <v>84.089927855277196</v>
      </c>
      <c r="AK4268">
        <v>0.68066641386796001</v>
      </c>
      <c r="AL4268">
        <v>81.773401308012893</v>
      </c>
      <c r="AM4268">
        <v>94.823198003315198</v>
      </c>
      <c r="AN4268">
        <v>0.999999952178243</v>
      </c>
    </row>
    <row r="4269" spans="1:40" x14ac:dyDescent="0.3">
      <c r="A4269" t="str">
        <f>"20200111150114756"</f>
        <v>20200111150114756</v>
      </c>
      <c r="B4269" t="str">
        <f>"1578726074752491"</f>
        <v>1578726074752491</v>
      </c>
      <c r="C4269" t="s">
        <v>40</v>
      </c>
      <c r="D4269">
        <v>4.4357680000000004</v>
      </c>
      <c r="E4269">
        <v>0.56199319999999997</v>
      </c>
      <c r="F4269" t="s">
        <v>41</v>
      </c>
      <c r="G4269">
        <v>-351.6053</v>
      </c>
      <c r="H4269">
        <v>1.03331</v>
      </c>
      <c r="I4269">
        <v>17.824760000000001</v>
      </c>
      <c r="J4269">
        <v>-352.38920000000002</v>
      </c>
      <c r="K4269">
        <v>1.1045130000000001</v>
      </c>
      <c r="L4269">
        <v>17.871369999999999</v>
      </c>
      <c r="M4269">
        <v>0.99931559999999997</v>
      </c>
      <c r="N4269">
        <v>0</v>
      </c>
      <c r="O4269">
        <v>3.408274E-2</v>
      </c>
      <c r="P4269">
        <v>0.9847882</v>
      </c>
      <c r="Q4269">
        <v>0.12859010000000001</v>
      </c>
      <c r="R4269">
        <v>0.11686340000000001</v>
      </c>
      <c r="S4269">
        <v>3.091736</v>
      </c>
      <c r="T4269">
        <v>-0.2276099</v>
      </c>
      <c r="U4269">
        <v>-0.12863160000000001</v>
      </c>
      <c r="V4269">
        <v>-8.3031610000000006E-2</v>
      </c>
      <c r="W4269">
        <v>0.14290439999999999</v>
      </c>
      <c r="X4269">
        <v>0.98624750000000005</v>
      </c>
      <c r="Y4269">
        <v>7.5306059999999994E-2</v>
      </c>
      <c r="Z4269">
        <v>-5.2720319999999899E-3</v>
      </c>
      <c r="AA4269">
        <v>0.99714650000000005</v>
      </c>
      <c r="AB4269">
        <v>32</v>
      </c>
      <c r="AC4269">
        <v>0.78390000000001603</v>
      </c>
      <c r="AD4269">
        <v>-7.1202999999999905E-2</v>
      </c>
      <c r="AE4269">
        <v>-4.6610000000001102E-2</v>
      </c>
      <c r="AF4269">
        <v>7.2705400459700198E-2</v>
      </c>
      <c r="AG4269">
        <v>-7.1202999999999905E-2</v>
      </c>
      <c r="AH4269">
        <v>0.77548022474475697</v>
      </c>
      <c r="AI4269">
        <v>95.223292516384404</v>
      </c>
      <c r="AJ4269">
        <v>84.643872518548207</v>
      </c>
      <c r="AK4269">
        <v>0.78212883940894495</v>
      </c>
      <c r="AL4269">
        <v>81.784053789490599</v>
      </c>
      <c r="AM4269">
        <v>94.812350392397306</v>
      </c>
      <c r="AN4269">
        <v>1.0000000235274</v>
      </c>
    </row>
    <row r="4270" spans="1:40" x14ac:dyDescent="0.3">
      <c r="A4270" t="str">
        <f>"20200111150114769"</f>
        <v>20200111150114769</v>
      </c>
      <c r="B4270" t="str">
        <f>"1578726074762251"</f>
        <v>1578726074762251</v>
      </c>
      <c r="C4270" t="s">
        <v>40</v>
      </c>
      <c r="D4270">
        <v>4.4428939999999999</v>
      </c>
      <c r="E4270">
        <v>0.56215490000000001</v>
      </c>
      <c r="F4270" t="s">
        <v>41</v>
      </c>
      <c r="G4270">
        <v>-351.59769999999997</v>
      </c>
      <c r="H4270">
        <v>1.046489</v>
      </c>
      <c r="I4270">
        <v>17.837710000000001</v>
      </c>
      <c r="J4270">
        <v>-352.21370000000002</v>
      </c>
      <c r="K4270">
        <v>1.104498</v>
      </c>
      <c r="L4270">
        <v>17.876950000000001</v>
      </c>
      <c r="M4270">
        <v>0.99932829999999995</v>
      </c>
      <c r="N4270">
        <v>0</v>
      </c>
      <c r="O4270">
        <v>3.3706460000000001E-2</v>
      </c>
      <c r="P4270">
        <v>0.98488960000000003</v>
      </c>
      <c r="Q4270">
        <v>0.12811149999999999</v>
      </c>
      <c r="R4270">
        <v>0.116533</v>
      </c>
      <c r="S4270">
        <v>3.0913390000000001</v>
      </c>
      <c r="T4270">
        <v>-0.22655310000000001</v>
      </c>
      <c r="U4270">
        <v>-0.1297913</v>
      </c>
      <c r="V4270">
        <v>-8.3065070000000005E-2</v>
      </c>
      <c r="W4270">
        <v>0.14243140000000001</v>
      </c>
      <c r="X4270">
        <v>0.98631310000000005</v>
      </c>
      <c r="Y4270">
        <v>7.5312980000000002E-2</v>
      </c>
      <c r="Z4270">
        <v>-5.2209800000000001E-3</v>
      </c>
      <c r="AA4270">
        <v>0.99714619999999998</v>
      </c>
      <c r="AB4270">
        <v>32</v>
      </c>
      <c r="AC4270">
        <v>0.61600000000004196</v>
      </c>
      <c r="AD4270">
        <v>-5.8008999999999901E-2</v>
      </c>
      <c r="AE4270">
        <v>-3.9239999999999498E-2</v>
      </c>
      <c r="AF4270">
        <v>5.9457879182114599E-2</v>
      </c>
      <c r="AG4270">
        <v>-5.8008999999999901E-2</v>
      </c>
      <c r="AH4270">
        <v>0.608948745036614</v>
      </c>
      <c r="AI4270">
        <v>95.416024734995602</v>
      </c>
      <c r="AJ4270">
        <v>84.423305625303996</v>
      </c>
      <c r="AK4270">
        <v>0.61458836432160202</v>
      </c>
      <c r="AL4270">
        <v>81.811434757734403</v>
      </c>
      <c r="AM4270">
        <v>94.813961861230496</v>
      </c>
      <c r="AN4270">
        <v>1.0000000203958299</v>
      </c>
    </row>
    <row r="4271" spans="1:40" x14ac:dyDescent="0.3">
      <c r="A4271" t="str">
        <f>"20200111150114782"</f>
        <v>20200111150114782</v>
      </c>
      <c r="B4271" t="str">
        <f>"1578726074772520"</f>
        <v>1578726074772520</v>
      </c>
      <c r="C4271" t="s">
        <v>40</v>
      </c>
      <c r="D4271">
        <v>4.4711699999999999</v>
      </c>
      <c r="E4271">
        <v>0.56216840000000001</v>
      </c>
      <c r="F4271" t="s">
        <v>41</v>
      </c>
      <c r="G4271">
        <v>-351.31740000000002</v>
      </c>
      <c r="H4271">
        <v>1.038343</v>
      </c>
      <c r="I4271">
        <v>17.838379999999901</v>
      </c>
      <c r="J4271">
        <v>-352.01620000000003</v>
      </c>
      <c r="K4271">
        <v>1.104481</v>
      </c>
      <c r="L4271">
        <v>17.883209999999998</v>
      </c>
      <c r="M4271">
        <v>0.99934290000000003</v>
      </c>
      <c r="N4271">
        <v>0</v>
      </c>
      <c r="O4271">
        <v>3.3271219999999997E-2</v>
      </c>
      <c r="P4271">
        <v>0.98497829999999997</v>
      </c>
      <c r="Q4271">
        <v>0.127827</v>
      </c>
      <c r="R4271">
        <v>0.11609510000000001</v>
      </c>
      <c r="S4271">
        <v>3.0914000000000001</v>
      </c>
      <c r="T4271">
        <v>-0.2281173</v>
      </c>
      <c r="U4271">
        <v>-0.1323242</v>
      </c>
      <c r="V4271">
        <v>-8.3048659999999996E-2</v>
      </c>
      <c r="W4271">
        <v>0.142153</v>
      </c>
      <c r="X4271">
        <v>0.98635459999999997</v>
      </c>
      <c r="Y4271">
        <v>7.5689569999999998E-2</v>
      </c>
      <c r="Z4271">
        <v>-5.238553E-3</v>
      </c>
      <c r="AA4271">
        <v>0.9971177</v>
      </c>
      <c r="AB4271">
        <v>32</v>
      </c>
      <c r="AC4271">
        <v>0.69880000000000497</v>
      </c>
      <c r="AD4271">
        <v>-6.6138000000000002E-2</v>
      </c>
      <c r="AE4271">
        <v>-4.4830000000004498E-2</v>
      </c>
      <c r="AF4271">
        <v>6.7455736707881894E-2</v>
      </c>
      <c r="AG4271">
        <v>-6.6138000000000002E-2</v>
      </c>
      <c r="AH4271">
        <v>0.69075908440565303</v>
      </c>
      <c r="AI4271">
        <v>95.443480213328399</v>
      </c>
      <c r="AJ4271">
        <v>84.422493909795804</v>
      </c>
      <c r="AK4271">
        <v>0.69718908780024602</v>
      </c>
      <c r="AL4271">
        <v>81.827549514561497</v>
      </c>
      <c r="AM4271">
        <v>94.812813750292705</v>
      </c>
      <c r="AN4271">
        <v>0.99999997613897695</v>
      </c>
    </row>
    <row r="4272" spans="1:40" x14ac:dyDescent="0.3">
      <c r="A4272" t="str">
        <f>"20200111150114794"</f>
        <v>20200111150114794</v>
      </c>
      <c r="B4272" t="str">
        <f>"1578726074792039"</f>
        <v>1578726074792039</v>
      </c>
      <c r="C4272" t="s">
        <v>40</v>
      </c>
      <c r="D4272">
        <v>4.4384069999999998</v>
      </c>
      <c r="E4272">
        <v>0.56218469999999998</v>
      </c>
      <c r="F4272" t="s">
        <v>41</v>
      </c>
      <c r="G4272">
        <v>-351.0351</v>
      </c>
      <c r="H4272">
        <v>1.0318240000000001</v>
      </c>
      <c r="I4272">
        <v>17.840299999999999</v>
      </c>
      <c r="J4272">
        <v>-351.82679999999999</v>
      </c>
      <c r="K4272">
        <v>1.1044639999999999</v>
      </c>
      <c r="L4272">
        <v>17.88907</v>
      </c>
      <c r="M4272">
        <v>0.99935739999999995</v>
      </c>
      <c r="N4272">
        <v>0</v>
      </c>
      <c r="O4272">
        <v>3.2829860000000002E-2</v>
      </c>
      <c r="P4272">
        <v>0.98511579999999999</v>
      </c>
      <c r="Q4272">
        <v>0.1274217</v>
      </c>
      <c r="R4272">
        <v>0.1153716</v>
      </c>
      <c r="S4272">
        <v>3.091278</v>
      </c>
      <c r="T4272">
        <v>-0.22880259999999999</v>
      </c>
      <c r="U4272">
        <v>-0.1340942</v>
      </c>
      <c r="V4272">
        <v>-8.2750550000000006E-2</v>
      </c>
      <c r="W4272">
        <v>0.14175409999999999</v>
      </c>
      <c r="X4272">
        <v>0.98643709999999996</v>
      </c>
      <c r="Y4272">
        <v>7.5819810000000001E-2</v>
      </c>
      <c r="Z4272">
        <v>-5.2265979999999998E-3</v>
      </c>
      <c r="AA4272">
        <v>0.99710790000000005</v>
      </c>
      <c r="AB4272">
        <v>32</v>
      </c>
      <c r="AC4272">
        <v>0.79169999999999097</v>
      </c>
      <c r="AD4272">
        <v>-7.2639999999999802E-2</v>
      </c>
      <c r="AE4272">
        <v>-4.8770000000001E-2</v>
      </c>
      <c r="AF4272">
        <v>7.4116213489993199E-2</v>
      </c>
      <c r="AG4272">
        <v>-7.2639999999999802E-2</v>
      </c>
      <c r="AH4272">
        <v>0.78310429623933298</v>
      </c>
      <c r="AI4272">
        <v>95.276092835575199</v>
      </c>
      <c r="AJ4272">
        <v>84.593396475618107</v>
      </c>
      <c r="AK4272">
        <v>0.78995070826640501</v>
      </c>
      <c r="AL4272">
        <v>81.850638939194894</v>
      </c>
      <c r="AM4272">
        <v>94.795219267874202</v>
      </c>
      <c r="AN4272">
        <v>1.0000000153242601</v>
      </c>
    </row>
    <row r="4273" spans="1:40" x14ac:dyDescent="0.3">
      <c r="A4273" t="str">
        <f>"20200111150114812"</f>
        <v>20200111150114812</v>
      </c>
      <c r="B4273" t="str">
        <f>"1578726074801799"</f>
        <v>1578726074801799</v>
      </c>
      <c r="C4273" t="s">
        <v>40</v>
      </c>
      <c r="D4273">
        <v>4.4755880000000001</v>
      </c>
      <c r="E4273">
        <v>0.56230630000000004</v>
      </c>
      <c r="F4273" t="s">
        <v>41</v>
      </c>
      <c r="G4273">
        <v>-351.02789999999999</v>
      </c>
      <c r="H4273">
        <v>1.045215</v>
      </c>
      <c r="I4273">
        <v>17.853370000000002</v>
      </c>
      <c r="J4273">
        <v>-351.5933</v>
      </c>
      <c r="K4273">
        <v>1.104433</v>
      </c>
      <c r="L4273">
        <v>17.896179999999902</v>
      </c>
      <c r="M4273">
        <v>0.99937600000000004</v>
      </c>
      <c r="N4273">
        <v>0</v>
      </c>
      <c r="O4273">
        <v>3.226238E-2</v>
      </c>
      <c r="P4273">
        <v>0.98529929999999999</v>
      </c>
      <c r="Q4273">
        <v>0.12685450000000001</v>
      </c>
      <c r="R4273">
        <v>0.11442620000000001</v>
      </c>
      <c r="S4273">
        <v>3.0909420000000001</v>
      </c>
      <c r="T4273">
        <v>-0.22917009999999999</v>
      </c>
      <c r="U4273">
        <v>-0.13677979999999901</v>
      </c>
      <c r="V4273">
        <v>-8.2352209999999995E-2</v>
      </c>
      <c r="W4273">
        <v>0.14119479999999901</v>
      </c>
      <c r="X4273">
        <v>0.98655060000000006</v>
      </c>
      <c r="Y4273">
        <v>7.6122690000000007E-2</v>
      </c>
      <c r="Z4273">
        <v>-5.2046530000000001E-3</v>
      </c>
      <c r="AA4273">
        <v>0.99708490000000005</v>
      </c>
      <c r="AB4273">
        <v>32</v>
      </c>
      <c r="AC4273">
        <v>0.565400000000011</v>
      </c>
      <c r="AD4273">
        <v>-5.9217999999999903E-2</v>
      </c>
      <c r="AE4273">
        <v>-4.2809999999995803E-2</v>
      </c>
      <c r="AF4273">
        <v>6.0372253478035702E-2</v>
      </c>
      <c r="AG4273">
        <v>-5.9217999999999903E-2</v>
      </c>
      <c r="AH4273">
        <v>0.55764200425511701</v>
      </c>
      <c r="AI4273">
        <v>96.026770328486805</v>
      </c>
      <c r="AJ4273">
        <v>83.821026804250096</v>
      </c>
      <c r="AK4273">
        <v>0.56401789459526896</v>
      </c>
      <c r="AL4273">
        <v>81.883009707959701</v>
      </c>
      <c r="AM4273">
        <v>94.771696675133597</v>
      </c>
      <c r="AN4273">
        <v>0.99999997219964099</v>
      </c>
    </row>
    <row r="4274" spans="1:40" x14ac:dyDescent="0.3">
      <c r="A4274" t="str">
        <f>"20200111150114825"</f>
        <v>20200111150114825</v>
      </c>
      <c r="B4274" t="str">
        <f>"1578726074822296"</f>
        <v>1578726074822296</v>
      </c>
      <c r="C4274" t="s">
        <v>40</v>
      </c>
      <c r="D4274">
        <v>4.4204829999999999</v>
      </c>
      <c r="E4274">
        <v>0.56274619999999997</v>
      </c>
      <c r="F4274" t="s">
        <v>41</v>
      </c>
      <c r="G4274">
        <v>-350.74549999999999</v>
      </c>
      <c r="H4274">
        <v>1.041561</v>
      </c>
      <c r="I4274">
        <v>17.857039999999898</v>
      </c>
      <c r="J4274">
        <v>-351.40879999999999</v>
      </c>
      <c r="K4274">
        <v>1.1044099999999999</v>
      </c>
      <c r="L4274">
        <v>17.901669999999999</v>
      </c>
      <c r="M4274">
        <v>0.99939069999999997</v>
      </c>
      <c r="N4274">
        <v>0</v>
      </c>
      <c r="O4274">
        <v>3.179825E-2</v>
      </c>
      <c r="P4274">
        <v>0.98537569999999997</v>
      </c>
      <c r="Q4274">
        <v>0.1267421</v>
      </c>
      <c r="R4274">
        <v>0.1138911</v>
      </c>
      <c r="S4274">
        <v>3.0906980000000002</v>
      </c>
      <c r="T4274">
        <v>-0.2291791</v>
      </c>
      <c r="U4274">
        <v>-0.14147950000000001</v>
      </c>
      <c r="V4274">
        <v>-8.2266939999999997E-2</v>
      </c>
      <c r="W4274">
        <v>0.14108760000000001</v>
      </c>
      <c r="X4274">
        <v>0.98657309999999998</v>
      </c>
      <c r="Y4274">
        <v>7.7174519999999996E-2</v>
      </c>
      <c r="Z4274">
        <v>-5.2096770000000002E-3</v>
      </c>
      <c r="AA4274">
        <v>0.997004</v>
      </c>
      <c r="AB4274">
        <v>32</v>
      </c>
      <c r="AC4274">
        <v>0.66329999999999201</v>
      </c>
      <c r="AD4274">
        <v>-6.2849000000000099E-2</v>
      </c>
      <c r="AE4274">
        <v>-4.4630000000004999E-2</v>
      </c>
      <c r="AF4274">
        <v>6.5119386753094199E-2</v>
      </c>
      <c r="AG4274">
        <v>-6.2849000000000099E-2</v>
      </c>
      <c r="AH4274">
        <v>0.65568503084680296</v>
      </c>
      <c r="AI4274">
        <v>95.448569600535805</v>
      </c>
      <c r="AJ4274">
        <v>84.328266095551996</v>
      </c>
      <c r="AK4274">
        <v>0.66190134537457401</v>
      </c>
      <c r="AL4274">
        <v>81.889214321355297</v>
      </c>
      <c r="AM4274">
        <v>94.766670481744498</v>
      </c>
      <c r="AN4274">
        <v>1.00000002096716</v>
      </c>
    </row>
    <row r="4275" spans="1:40" x14ac:dyDescent="0.3">
      <c r="A4275" t="str">
        <f>"20200111150114838"</f>
        <v>20200111150114838</v>
      </c>
      <c r="B4275" t="str">
        <f>"1578726074832055"</f>
        <v>1578726074832055</v>
      </c>
      <c r="C4275" t="s">
        <v>40</v>
      </c>
      <c r="D4275">
        <v>4.4558660000000003</v>
      </c>
      <c r="E4275">
        <v>0.56273839999999997</v>
      </c>
      <c r="F4275" t="s">
        <v>41</v>
      </c>
      <c r="G4275">
        <v>-350.46449999999999</v>
      </c>
      <c r="H4275">
        <v>1.0336459999999901</v>
      </c>
      <c r="I4275">
        <v>17.856459999999998</v>
      </c>
      <c r="J4275">
        <v>-351.21839999999997</v>
      </c>
      <c r="K4275">
        <v>1.104385</v>
      </c>
      <c r="L4275">
        <v>17.907260000000001</v>
      </c>
      <c r="M4275">
        <v>0.99940640000000003</v>
      </c>
      <c r="N4275">
        <v>0</v>
      </c>
      <c r="O4275">
        <v>3.1303480000000002E-2</v>
      </c>
      <c r="P4275">
        <v>0.98548100000000005</v>
      </c>
      <c r="Q4275">
        <v>0.1263522</v>
      </c>
      <c r="R4275">
        <v>0.11341370000000001</v>
      </c>
      <c r="S4275">
        <v>3.0913089999999999</v>
      </c>
      <c r="T4275">
        <v>-0.2316976</v>
      </c>
      <c r="U4275">
        <v>-0.147308299999999</v>
      </c>
      <c r="V4275">
        <v>-8.2268649999999999E-2</v>
      </c>
      <c r="W4275">
        <v>0.14070379999999999</v>
      </c>
      <c r="X4275">
        <v>0.98662780000000005</v>
      </c>
      <c r="Y4275">
        <v>7.8538830000000004E-2</v>
      </c>
      <c r="Z4275">
        <v>-5.2795319999999896E-3</v>
      </c>
      <c r="AA4275">
        <v>0.99689709999999998</v>
      </c>
      <c r="AB4275">
        <v>32</v>
      </c>
      <c r="AC4275">
        <v>0.75389999999998702</v>
      </c>
      <c r="AD4275">
        <v>-7.0739000000000093E-2</v>
      </c>
      <c r="AE4275">
        <v>-5.0799999999998798E-2</v>
      </c>
      <c r="AF4275">
        <v>7.3731025619950305E-2</v>
      </c>
      <c r="AG4275">
        <v>-7.0739000000000093E-2</v>
      </c>
      <c r="AH4275">
        <v>0.74540701922522601</v>
      </c>
      <c r="AI4275">
        <v>95.394953278421795</v>
      </c>
      <c r="AJ4275">
        <v>84.351033113881002</v>
      </c>
      <c r="AK4275">
        <v>0.752377494726023</v>
      </c>
      <c r="AL4275">
        <v>81.911426275365301</v>
      </c>
      <c r="AM4275">
        <v>94.766506046621799</v>
      </c>
      <c r="AN4275">
        <v>1.0000000529200499</v>
      </c>
    </row>
    <row r="4276" spans="1:40" x14ac:dyDescent="0.3">
      <c r="A4276" t="str">
        <f>"20200111150114851"</f>
        <v>20200111150114851</v>
      </c>
      <c r="B4276" t="str">
        <f>"1578726074841816"</f>
        <v>1578726074841816</v>
      </c>
      <c r="C4276" t="s">
        <v>40</v>
      </c>
      <c r="D4276">
        <v>4.2060449999999996</v>
      </c>
      <c r="E4276">
        <v>0.56273839999999997</v>
      </c>
      <c r="F4276" t="s">
        <v>41</v>
      </c>
      <c r="G4276">
        <v>-350.45650000000001</v>
      </c>
      <c r="H4276">
        <v>1.0471490000000001</v>
      </c>
      <c r="I4276">
        <v>17.870170000000002</v>
      </c>
      <c r="J4276">
        <v>-351.03140000000002</v>
      </c>
      <c r="K4276">
        <v>1.1043639999999999</v>
      </c>
      <c r="L4276">
        <v>17.912600000000001</v>
      </c>
      <c r="M4276">
        <v>0.99942200000000003</v>
      </c>
      <c r="N4276">
        <v>0</v>
      </c>
      <c r="O4276">
        <v>3.080132E-2</v>
      </c>
      <c r="P4276">
        <v>0.98556889999999997</v>
      </c>
      <c r="Q4276">
        <v>0.12631589999999901</v>
      </c>
      <c r="R4276">
        <v>0.11268739999999999</v>
      </c>
      <c r="S4276">
        <v>3.0912169999999999</v>
      </c>
      <c r="T4276">
        <v>-0.23221739999999999</v>
      </c>
      <c r="U4276">
        <v>-0.14959720000000001</v>
      </c>
      <c r="V4276">
        <v>-8.2030499999999895E-2</v>
      </c>
      <c r="W4276">
        <v>0.14067170000000001</v>
      </c>
      <c r="X4276">
        <v>0.98665210000000003</v>
      </c>
      <c r="Y4276">
        <v>7.8775120000000004E-2</v>
      </c>
      <c r="Z4276">
        <v>-5.2626160000000003E-3</v>
      </c>
      <c r="AA4276">
        <v>0.9968785</v>
      </c>
      <c r="AB4276">
        <v>32</v>
      </c>
      <c r="AC4276">
        <v>0.57490000000001296</v>
      </c>
      <c r="AD4276">
        <v>-5.7215000000000002E-2</v>
      </c>
      <c r="AE4276">
        <v>-4.2429999999999503E-2</v>
      </c>
      <c r="AF4276">
        <v>5.9532922377480202E-2</v>
      </c>
      <c r="AG4276">
        <v>-5.7215000000000002E-2</v>
      </c>
      <c r="AH4276">
        <v>0.56772750579919296</v>
      </c>
      <c r="AI4276">
        <v>95.723607907035202</v>
      </c>
      <c r="AJ4276">
        <v>84.013739670949903</v>
      </c>
      <c r="AK4276">
        <v>0.57370048449759503</v>
      </c>
      <c r="AL4276">
        <v>81.913283094232796</v>
      </c>
      <c r="AM4276">
        <v>94.752654820625096</v>
      </c>
      <c r="AN4276">
        <v>0.99999994827277305</v>
      </c>
    </row>
    <row r="4277" spans="1:40" x14ac:dyDescent="0.3">
      <c r="A4277" t="str">
        <f>"20200111150114866"</f>
        <v>20200111150114866</v>
      </c>
      <c r="B4277" t="str">
        <f>"1578726074862311"</f>
        <v>1578726074862311</v>
      </c>
      <c r="C4277" t="s">
        <v>40</v>
      </c>
      <c r="D4277">
        <v>4.322457</v>
      </c>
      <c r="E4277">
        <v>0.56231679999999995</v>
      </c>
      <c r="F4277" t="s">
        <v>41</v>
      </c>
      <c r="G4277">
        <v>-350.1771</v>
      </c>
      <c r="H4277">
        <v>1.040252</v>
      </c>
      <c r="I4277">
        <v>17.870480000000001</v>
      </c>
      <c r="J4277">
        <v>-350.82139999999998</v>
      </c>
      <c r="K4277">
        <v>1.1043430000000001</v>
      </c>
      <c r="L4277">
        <v>17.918520000000001</v>
      </c>
      <c r="M4277">
        <v>0.99943950000000004</v>
      </c>
      <c r="N4277">
        <v>0</v>
      </c>
      <c r="O4277">
        <v>3.02271E-2</v>
      </c>
      <c r="P4277">
        <v>0.98577530000000002</v>
      </c>
      <c r="Q4277">
        <v>0.12620229999999999</v>
      </c>
      <c r="R4277">
        <v>0.1109971</v>
      </c>
      <c r="S4277">
        <v>3.0910340000000001</v>
      </c>
      <c r="T4277">
        <v>-0.23197999999999999</v>
      </c>
      <c r="U4277">
        <v>-0.15228269999999999</v>
      </c>
      <c r="V4277">
        <v>-8.0896469999999998E-2</v>
      </c>
      <c r="W4277">
        <v>0.1405612</v>
      </c>
      <c r="X4277">
        <v>0.98676149999999996</v>
      </c>
      <c r="Y4277">
        <v>7.9070650000000006E-2</v>
      </c>
      <c r="Z4277">
        <v>-5.2255130000000002E-3</v>
      </c>
      <c r="AA4277">
        <v>0.9968553</v>
      </c>
      <c r="AB4277">
        <v>32</v>
      </c>
      <c r="AC4277">
        <v>0.64429999999998699</v>
      </c>
      <c r="AD4277">
        <v>-6.4091000000000106E-2</v>
      </c>
      <c r="AE4277">
        <v>-4.8040000000000298E-2</v>
      </c>
      <c r="AF4277">
        <v>6.6837675092018795E-2</v>
      </c>
      <c r="AG4277">
        <v>-6.4091000000000106E-2</v>
      </c>
      <c r="AH4277">
        <v>0.63629194144904999</v>
      </c>
      <c r="AI4277">
        <v>95.720499655671105</v>
      </c>
      <c r="AJ4277">
        <v>84.003500430058807</v>
      </c>
      <c r="AK4277">
        <v>0.64299484122791195</v>
      </c>
      <c r="AL4277">
        <v>81.919678023215198</v>
      </c>
      <c r="AM4277">
        <v>94.686729223692893</v>
      </c>
      <c r="AN4277">
        <v>0.99999997384307504</v>
      </c>
    </row>
    <row r="4278" spans="1:40" x14ac:dyDescent="0.3">
      <c r="A4278" t="str">
        <f>"20200111150114879"</f>
        <v>20200111150114879</v>
      </c>
      <c r="B4278" t="str">
        <f>"1578726074872579"</f>
        <v>1578726074872579</v>
      </c>
      <c r="C4278" t="s">
        <v>40</v>
      </c>
      <c r="D4278">
        <v>4.4721630000000001</v>
      </c>
      <c r="E4278">
        <v>0.56213869999999999</v>
      </c>
      <c r="F4278" t="s">
        <v>41</v>
      </c>
      <c r="G4278">
        <v>-349.8954</v>
      </c>
      <c r="H4278">
        <v>1.0352920000000001</v>
      </c>
      <c r="I4278">
        <v>17.872160000000001</v>
      </c>
      <c r="J4278">
        <v>-350.62560000000002</v>
      </c>
      <c r="K4278">
        <v>1.10433</v>
      </c>
      <c r="L4278">
        <v>17.923919999999999</v>
      </c>
      <c r="M4278">
        <v>0.99945589999999995</v>
      </c>
      <c r="N4278">
        <v>0</v>
      </c>
      <c r="O4278">
        <v>2.9682770000000001E-2</v>
      </c>
      <c r="P4278">
        <v>0.98594440000000005</v>
      </c>
      <c r="Q4278">
        <v>0.1260966</v>
      </c>
      <c r="R4278">
        <v>0.1096061</v>
      </c>
      <c r="S4278">
        <v>3.0900880000000002</v>
      </c>
      <c r="T4278">
        <v>-0.23034209999999999</v>
      </c>
      <c r="U4278">
        <v>-0.1536255</v>
      </c>
      <c r="V4278">
        <v>-8.0034220000000003E-2</v>
      </c>
      <c r="W4278">
        <v>0.14045829999999901</v>
      </c>
      <c r="X4278">
        <v>0.98684649999999996</v>
      </c>
      <c r="Y4278">
        <v>7.8980750000000002E-2</v>
      </c>
      <c r="Z4278">
        <v>-5.1464049999999997E-3</v>
      </c>
      <c r="AA4278">
        <v>0.99686280000000005</v>
      </c>
      <c r="AB4278">
        <v>32</v>
      </c>
      <c r="AC4278">
        <v>0.73020000000002405</v>
      </c>
      <c r="AD4278">
        <v>-6.9037999999999905E-2</v>
      </c>
      <c r="AE4278">
        <v>-5.1760000000001499E-2</v>
      </c>
      <c r="AF4278">
        <v>7.2766574680816196E-2</v>
      </c>
      <c r="AG4278">
        <v>-6.9037999999999905E-2</v>
      </c>
      <c r="AH4278">
        <v>0.72192060448393902</v>
      </c>
      <c r="AI4278">
        <v>95.435266824699994</v>
      </c>
      <c r="AJ4278">
        <v>84.244265121445494</v>
      </c>
      <c r="AK4278">
        <v>0.72885566404689095</v>
      </c>
      <c r="AL4278">
        <v>81.925633149118994</v>
      </c>
      <c r="AM4278">
        <v>94.636596203162398</v>
      </c>
      <c r="AN4278">
        <v>1.00000001248607</v>
      </c>
    </row>
    <row r="4279" spans="1:40" x14ac:dyDescent="0.3">
      <c r="A4279" t="str">
        <f>"20200111150114891"</f>
        <v>20200111150114891</v>
      </c>
      <c r="B4279" t="str">
        <f>"1578726074882337"</f>
        <v>1578726074882337</v>
      </c>
      <c r="C4279" t="s">
        <v>40</v>
      </c>
      <c r="D4279">
        <v>4.2413150000000002</v>
      </c>
      <c r="E4279">
        <v>0.56213869999999999</v>
      </c>
      <c r="F4279" t="s">
        <v>41</v>
      </c>
      <c r="G4279">
        <v>-349.88569999999999</v>
      </c>
      <c r="H4279">
        <v>1.049731</v>
      </c>
      <c r="I4279">
        <v>17.886199999999999</v>
      </c>
      <c r="J4279">
        <v>-350.4633</v>
      </c>
      <c r="K4279">
        <v>1.104322</v>
      </c>
      <c r="L4279">
        <v>17.928249999999998</v>
      </c>
      <c r="M4279">
        <v>0.9994693</v>
      </c>
      <c r="N4279">
        <v>0</v>
      </c>
      <c r="O4279">
        <v>2.9223079999999999E-2</v>
      </c>
      <c r="P4279">
        <v>0.98616409999999999</v>
      </c>
      <c r="Q4279">
        <v>0.12519829999999901</v>
      </c>
      <c r="R4279">
        <v>0.10865470000000001</v>
      </c>
      <c r="S4279">
        <v>3.089264</v>
      </c>
      <c r="T4279">
        <v>-0.2278791</v>
      </c>
      <c r="U4279">
        <v>-0.156158399999999</v>
      </c>
      <c r="V4279">
        <v>-7.9530989999999996E-2</v>
      </c>
      <c r="W4279">
        <v>0.1395622</v>
      </c>
      <c r="X4279">
        <v>0.98701430000000001</v>
      </c>
      <c r="Y4279">
        <v>7.9357220000000006E-2</v>
      </c>
      <c r="Z4279">
        <v>-5.0727929999999999E-3</v>
      </c>
      <c r="AA4279">
        <v>0.99683330000000003</v>
      </c>
      <c r="AB4279">
        <v>32</v>
      </c>
      <c r="AC4279">
        <v>0.57760000000001799</v>
      </c>
      <c r="AD4279">
        <v>-5.4591000000000001E-2</v>
      </c>
      <c r="AE4279">
        <v>-4.2049999999999699E-2</v>
      </c>
      <c r="AF4279">
        <v>5.8394163231444501E-2</v>
      </c>
      <c r="AG4279">
        <v>-5.4591000000000001E-2</v>
      </c>
      <c r="AH4279">
        <v>0.57105012190582505</v>
      </c>
      <c r="AI4279">
        <v>95.432583685775001</v>
      </c>
      <c r="AJ4279">
        <v>84.161370581804903</v>
      </c>
      <c r="AK4279">
        <v>0.576617982124351</v>
      </c>
      <c r="AL4279">
        <v>81.977486610030198</v>
      </c>
      <c r="AM4279">
        <v>94.606788715507506</v>
      </c>
      <c r="AN4279">
        <v>1.00000000722185</v>
      </c>
    </row>
    <row r="4280" spans="1:40" x14ac:dyDescent="0.3">
      <c r="A4280" t="str">
        <f>"20200111150114903"</f>
        <v>20200111150114903</v>
      </c>
      <c r="B4280" t="str">
        <f>"1578726074892098"</f>
        <v>1578726074892098</v>
      </c>
      <c r="C4280" t="s">
        <v>40</v>
      </c>
      <c r="D4280">
        <v>5.4889349999999997</v>
      </c>
      <c r="E4280">
        <v>0.56315029999999999</v>
      </c>
      <c r="F4280" t="s">
        <v>41</v>
      </c>
      <c r="G4280">
        <v>-349.60919999999999</v>
      </c>
      <c r="H4280">
        <v>1.0405500000000001</v>
      </c>
      <c r="I4280">
        <v>17.884179999999901</v>
      </c>
      <c r="J4280">
        <v>-350.29750000000001</v>
      </c>
      <c r="K4280">
        <v>1.104309</v>
      </c>
      <c r="L4280">
        <v>17.932649999999999</v>
      </c>
      <c r="M4280">
        <v>0.99948309999999996</v>
      </c>
      <c r="N4280">
        <v>0</v>
      </c>
      <c r="O4280">
        <v>2.8751369999999998E-2</v>
      </c>
      <c r="P4280">
        <v>0.9863343</v>
      </c>
      <c r="Q4280">
        <v>0.12457169999999999</v>
      </c>
      <c r="R4280">
        <v>0.1078277</v>
      </c>
      <c r="S4280">
        <v>3.0888979999999999</v>
      </c>
      <c r="T4280">
        <v>-0.2306774</v>
      </c>
      <c r="U4280">
        <v>-0.15914919999999999</v>
      </c>
      <c r="V4280">
        <v>-7.9164789999999999E-2</v>
      </c>
      <c r="W4280">
        <v>0.1389379</v>
      </c>
      <c r="X4280">
        <v>0.9871318</v>
      </c>
      <c r="Y4280">
        <v>7.9847979999999999E-2</v>
      </c>
      <c r="Z4280">
        <v>-5.1185270000000003E-3</v>
      </c>
      <c r="AA4280">
        <v>0.99679390000000001</v>
      </c>
      <c r="AB4280">
        <v>32</v>
      </c>
      <c r="AC4280">
        <v>0.688300000000026</v>
      </c>
      <c r="AD4280">
        <v>-6.3758999999999899E-2</v>
      </c>
      <c r="AE4280">
        <v>-4.8470000000001699E-2</v>
      </c>
      <c r="AF4280">
        <v>6.76638291546586E-2</v>
      </c>
      <c r="AG4280">
        <v>-6.3758999999999899E-2</v>
      </c>
      <c r="AH4280">
        <v>0.68080861906116996</v>
      </c>
      <c r="AI4280">
        <v>95.324172261042705</v>
      </c>
      <c r="AJ4280">
        <v>84.324158291185995</v>
      </c>
      <c r="AK4280">
        <v>0.68712733874067899</v>
      </c>
      <c r="AL4280">
        <v>82.013608210254702</v>
      </c>
      <c r="AM4280">
        <v>94.585123945484796</v>
      </c>
      <c r="AN4280">
        <v>0.99999999730169697</v>
      </c>
    </row>
    <row r="4281" spans="1:40" x14ac:dyDescent="0.3">
      <c r="A4281" t="str">
        <f>"20200111150114914"</f>
        <v>20200111150114914</v>
      </c>
      <c r="B4281" t="str">
        <f>"1578726074912595"</f>
        <v>1578726074912595</v>
      </c>
      <c r="C4281" t="s">
        <v>40</v>
      </c>
      <c r="D4281">
        <v>4.6068800000000003</v>
      </c>
      <c r="E4281">
        <v>0.56392010000000004</v>
      </c>
      <c r="F4281" t="s">
        <v>41</v>
      </c>
      <c r="G4281">
        <v>-349.32760000000002</v>
      </c>
      <c r="H4281">
        <v>1.036165</v>
      </c>
      <c r="I4281">
        <v>17.87893</v>
      </c>
      <c r="J4281">
        <v>-350.12430000000001</v>
      </c>
      <c r="K4281">
        <v>1.1042989999999999</v>
      </c>
      <c r="L4281">
        <v>17.93713</v>
      </c>
      <c r="M4281">
        <v>0.99949730000000003</v>
      </c>
      <c r="N4281">
        <v>0</v>
      </c>
      <c r="O4281">
        <v>2.8254600000000001E-2</v>
      </c>
      <c r="P4281">
        <v>0.98653970000000002</v>
      </c>
      <c r="Q4281">
        <v>0.1236698</v>
      </c>
      <c r="R4281">
        <v>0.10698390000000001</v>
      </c>
      <c r="S4281">
        <v>3.087555</v>
      </c>
      <c r="T4281">
        <v>-0.21694069999999999</v>
      </c>
      <c r="U4281">
        <v>-0.17007449999999999</v>
      </c>
      <c r="V4281">
        <v>-7.8806710000000002E-2</v>
      </c>
      <c r="W4281">
        <v>0.13803779999999999</v>
      </c>
      <c r="X4281">
        <v>0.98728669999999996</v>
      </c>
      <c r="Y4281">
        <v>8.2919919999999994E-2</v>
      </c>
      <c r="Z4281">
        <v>-4.88902E-3</v>
      </c>
      <c r="AA4281">
        <v>0.99654419999999999</v>
      </c>
      <c r="AB4281">
        <v>32</v>
      </c>
      <c r="AC4281">
        <v>0.79669999999998697</v>
      </c>
      <c r="AD4281">
        <v>-6.8133999999999903E-2</v>
      </c>
      <c r="AE4281">
        <v>-5.8199999999999301E-2</v>
      </c>
      <c r="AF4281">
        <v>8.0106759204963296E-2</v>
      </c>
      <c r="AG4281">
        <v>-6.8133999999999903E-2</v>
      </c>
      <c r="AH4281">
        <v>0.78899739846857198</v>
      </c>
      <c r="AI4281">
        <v>94.910422497968696</v>
      </c>
      <c r="AJ4281">
        <v>84.202636019943895</v>
      </c>
      <c r="AK4281">
        <v>0.795975018211311</v>
      </c>
      <c r="AL4281">
        <v>82.065681779665994</v>
      </c>
      <c r="AM4281">
        <v>94.563759127264504</v>
      </c>
      <c r="AN4281">
        <v>0.99999997988337597</v>
      </c>
    </row>
    <row r="4282" spans="1:40" x14ac:dyDescent="0.3">
      <c r="A4282" t="str">
        <f>"20200111150114927"</f>
        <v>20200111150114927</v>
      </c>
      <c r="B4282" t="str">
        <f>"1578726074922355"</f>
        <v>1578726074922355</v>
      </c>
      <c r="C4282" t="s">
        <v>40</v>
      </c>
      <c r="D4282">
        <v>4.3890560000000001</v>
      </c>
      <c r="E4282">
        <v>0.56419750000000002</v>
      </c>
      <c r="F4282" t="s">
        <v>41</v>
      </c>
      <c r="G4282">
        <v>-349.31720000000001</v>
      </c>
      <c r="H4282">
        <v>1.0511889999999999</v>
      </c>
      <c r="I4282">
        <v>17.89</v>
      </c>
      <c r="J4282">
        <v>-349.96010000000001</v>
      </c>
      <c r="K4282">
        <v>1.104295</v>
      </c>
      <c r="L4282">
        <v>17.941310000000001</v>
      </c>
      <c r="M4282">
        <v>0.99951049999999997</v>
      </c>
      <c r="N4282">
        <v>0</v>
      </c>
      <c r="O4282">
        <v>2.778284E-2</v>
      </c>
      <c r="P4282">
        <v>0.98668219999999995</v>
      </c>
      <c r="Q4282">
        <v>0.123058399999999</v>
      </c>
      <c r="R4282">
        <v>0.10637190000000001</v>
      </c>
      <c r="S4282">
        <v>3.085785</v>
      </c>
      <c r="T4282">
        <v>-0.2030758</v>
      </c>
      <c r="U4282">
        <v>-0.17910770000000001</v>
      </c>
      <c r="V4282">
        <v>-7.8657619999999998E-2</v>
      </c>
      <c r="W4282">
        <v>0.13742760000000001</v>
      </c>
      <c r="X4282">
        <v>0.98738369999999998</v>
      </c>
      <c r="Y4282">
        <v>8.5417809999999997E-2</v>
      </c>
      <c r="Z4282">
        <v>-4.6305529999999999E-3</v>
      </c>
      <c r="AA4282">
        <v>0.99633439999999995</v>
      </c>
      <c r="AB4282">
        <v>32</v>
      </c>
      <c r="AC4282">
        <v>0.64289999999999703</v>
      </c>
      <c r="AD4282">
        <v>-5.3106000000000098E-2</v>
      </c>
      <c r="AE4282">
        <v>-5.1310000000000799E-2</v>
      </c>
      <c r="AF4282">
        <v>6.8687906958780395E-2</v>
      </c>
      <c r="AG4282">
        <v>-5.3106000000000098E-2</v>
      </c>
      <c r="AH4282">
        <v>0.63690772831210596</v>
      </c>
      <c r="AI4282">
        <v>94.739000507049894</v>
      </c>
      <c r="AJ4282">
        <v>83.844673423835104</v>
      </c>
      <c r="AK4282">
        <v>0.64279835888252401</v>
      </c>
      <c r="AL4282">
        <v>82.100979989629593</v>
      </c>
      <c r="AM4282">
        <v>94.554715963208096</v>
      </c>
      <c r="AN4282">
        <v>0.99999996872575603</v>
      </c>
    </row>
    <row r="4283" spans="1:40" x14ac:dyDescent="0.3">
      <c r="A4283" t="str">
        <f>"20200111150114939"</f>
        <v>20200111150114939</v>
      </c>
      <c r="B4283" t="str">
        <f>"1578726074932114"</f>
        <v>1578726074932114</v>
      </c>
      <c r="C4283" t="s">
        <v>40</v>
      </c>
      <c r="D4283">
        <v>5.1250799999999996</v>
      </c>
      <c r="E4283">
        <v>0.56476230000000005</v>
      </c>
      <c r="F4283" t="s">
        <v>41</v>
      </c>
      <c r="G4283">
        <v>-349.04070000000002</v>
      </c>
      <c r="H4283">
        <v>1.043836</v>
      </c>
      <c r="I4283">
        <v>17.88655</v>
      </c>
      <c r="J4283">
        <v>-349.77069999999998</v>
      </c>
      <c r="K4283">
        <v>1.1042940000000001</v>
      </c>
      <c r="L4283">
        <v>17.946079999999998</v>
      </c>
      <c r="M4283">
        <v>0.99952549999999996</v>
      </c>
      <c r="N4283">
        <v>0</v>
      </c>
      <c r="O4283">
        <v>2.723737E-2</v>
      </c>
      <c r="P4283">
        <v>0.9867958</v>
      </c>
      <c r="Q4283">
        <v>0.12289600000000001</v>
      </c>
      <c r="R4283">
        <v>0.1055027</v>
      </c>
      <c r="S4283">
        <v>3.0855410000000001</v>
      </c>
      <c r="T4283">
        <v>-0.20288</v>
      </c>
      <c r="U4283">
        <v>-0.183197</v>
      </c>
      <c r="V4283">
        <v>-7.8324640000000001E-2</v>
      </c>
      <c r="W4283">
        <v>0.13726559999999999</v>
      </c>
      <c r="X4283">
        <v>0.98743270000000005</v>
      </c>
      <c r="Y4283">
        <v>8.6194519999999997E-2</v>
      </c>
      <c r="Z4283">
        <v>-4.6159740000000001E-3</v>
      </c>
      <c r="AA4283">
        <v>0.99626760000000003</v>
      </c>
      <c r="AB4283">
        <v>32</v>
      </c>
      <c r="AC4283">
        <v>0.72999999999996101</v>
      </c>
      <c r="AD4283">
        <v>-6.0458000000000102E-2</v>
      </c>
      <c r="AE4283">
        <v>-5.9529999999998702E-2</v>
      </c>
      <c r="AF4283">
        <v>7.8855945667390404E-2</v>
      </c>
      <c r="AG4283">
        <v>-6.0458000000000102E-2</v>
      </c>
      <c r="AH4283">
        <v>0.72317996646275595</v>
      </c>
      <c r="AI4283">
        <v>94.750797411013394</v>
      </c>
      <c r="AJ4283">
        <v>83.777022037488095</v>
      </c>
      <c r="AK4283">
        <v>0.72997444737755801</v>
      </c>
      <c r="AL4283">
        <v>82.110350687287806</v>
      </c>
      <c r="AM4283">
        <v>94.535291046868394</v>
      </c>
      <c r="AN4283">
        <v>0.99999996560188897</v>
      </c>
    </row>
    <row r="4284" spans="1:40" x14ac:dyDescent="0.3">
      <c r="A4284" t="str">
        <f>"20200111150114956"</f>
        <v>20200111150114956</v>
      </c>
      <c r="B4284" t="str">
        <f>"1578726074951634"</f>
        <v>1578726074951634</v>
      </c>
      <c r="C4284" t="s">
        <v>40</v>
      </c>
      <c r="D4284">
        <v>4.4202029999999999</v>
      </c>
      <c r="E4284">
        <v>0.56611440000000002</v>
      </c>
      <c r="F4284" t="s">
        <v>42</v>
      </c>
      <c r="G4284">
        <v>-331.88299999999998</v>
      </c>
      <c r="H4284" s="1">
        <v>-3.95674E-6</v>
      </c>
      <c r="I4284">
        <v>16.841200000000001</v>
      </c>
      <c r="J4284">
        <v>-349.54500000000002</v>
      </c>
      <c r="K4284">
        <v>1.104298</v>
      </c>
      <c r="L4284">
        <v>17.951539999999898</v>
      </c>
      <c r="M4284">
        <v>0.99954310000000002</v>
      </c>
      <c r="N4284">
        <v>0</v>
      </c>
      <c r="O4284">
        <v>2.6584489999999999E-2</v>
      </c>
      <c r="P4284">
        <v>0.98690259999999996</v>
      </c>
      <c r="Q4284">
        <v>0.12309349999999999</v>
      </c>
      <c r="R4284">
        <v>0.1042666</v>
      </c>
      <c r="S4284">
        <v>3.0842290000000001</v>
      </c>
      <c r="T4284">
        <v>-0.19040409999999999</v>
      </c>
      <c r="U4284">
        <v>-0.19049070000000001</v>
      </c>
      <c r="V4284">
        <v>-7.7730649999999998E-2</v>
      </c>
      <c r="W4284">
        <v>0.13746120000000001</v>
      </c>
      <c r="X4284">
        <v>0.98745240000000001</v>
      </c>
      <c r="Y4284">
        <v>8.7942980000000004E-2</v>
      </c>
      <c r="Z4284">
        <v>-4.3478450000000004E-3</v>
      </c>
      <c r="AA4284">
        <v>0.996116</v>
      </c>
      <c r="AB4284">
        <v>32</v>
      </c>
      <c r="AC4284">
        <v>17.6619999999999</v>
      </c>
      <c r="AD4284">
        <v>-1.1043019567399901</v>
      </c>
      <c r="AE4284">
        <v>-1.1103399999999899</v>
      </c>
      <c r="AF4284">
        <v>1.5734046704432201</v>
      </c>
      <c r="AG4284">
        <v>-1.1043019567399901</v>
      </c>
      <c r="AH4284">
        <v>17.557867268079701</v>
      </c>
      <c r="AI4284">
        <v>93.584551009655399</v>
      </c>
      <c r="AJ4284">
        <v>84.879258986948898</v>
      </c>
      <c r="AK4284">
        <v>17.662779737972599</v>
      </c>
      <c r="AL4284">
        <v>82.099036168288805</v>
      </c>
      <c r="AM4284">
        <v>94.5009492329512</v>
      </c>
      <c r="AN4284">
        <v>0.99999993886030902</v>
      </c>
    </row>
    <row r="4285" spans="1:40" x14ac:dyDescent="0.3">
      <c r="A4285" t="str">
        <f>"20200111150114969"</f>
        <v>20200111150114969</v>
      </c>
      <c r="B4285" t="str">
        <f>"1578726074962370"</f>
        <v>1578726074962370</v>
      </c>
      <c r="C4285" t="s">
        <v>40</v>
      </c>
      <c r="D4285">
        <v>4.5270299999999999</v>
      </c>
      <c r="E4285">
        <v>0.63618330000000001</v>
      </c>
      <c r="F4285" t="s">
        <v>42</v>
      </c>
      <c r="G4285">
        <v>-331.14940000000001</v>
      </c>
      <c r="H4285" s="1">
        <v>-4.2924879999999997E-6</v>
      </c>
      <c r="I4285">
        <v>16.722660000000001</v>
      </c>
      <c r="J4285">
        <v>-349.36279999999999</v>
      </c>
      <c r="K4285">
        <v>1.104298</v>
      </c>
      <c r="L4285">
        <v>17.955870000000001</v>
      </c>
      <c r="M4285">
        <v>0.99955709999999998</v>
      </c>
      <c r="N4285">
        <v>0</v>
      </c>
      <c r="O4285">
        <v>2.6054799999999999E-2</v>
      </c>
      <c r="P4285">
        <v>0.98697270000000004</v>
      </c>
      <c r="Q4285">
        <v>0.1234204</v>
      </c>
      <c r="R4285">
        <v>0.10321080000000001</v>
      </c>
      <c r="S4285">
        <v>3.0847169999999999</v>
      </c>
      <c r="T4285">
        <v>-0.1851777</v>
      </c>
      <c r="U4285">
        <v>-0.20605470000000001</v>
      </c>
      <c r="V4285">
        <v>-7.7195979999999997E-2</v>
      </c>
      <c r="W4285">
        <v>0.1377871</v>
      </c>
      <c r="X4285">
        <v>0.98744900000000002</v>
      </c>
      <c r="Y4285">
        <v>9.2414549999999998E-2</v>
      </c>
      <c r="Z4285">
        <v>-4.3295979999999996E-3</v>
      </c>
      <c r="AA4285">
        <v>0.99571120000000002</v>
      </c>
      <c r="AB4285">
        <v>32</v>
      </c>
      <c r="AC4285">
        <v>18.213399999999901</v>
      </c>
      <c r="AD4285">
        <v>-1.1043022924879999</v>
      </c>
      <c r="AE4285">
        <v>-1.2332099999999899</v>
      </c>
      <c r="AF4285">
        <v>1.7011616213377301</v>
      </c>
      <c r="AG4285">
        <v>-1.1043022924879999</v>
      </c>
      <c r="AH4285">
        <v>18.108814183459899</v>
      </c>
      <c r="AI4285">
        <v>93.474400735275296</v>
      </c>
      <c r="AJ4285">
        <v>84.6333222710618</v>
      </c>
      <c r="AK4285">
        <v>18.222035713558</v>
      </c>
      <c r="AL4285">
        <v>82.080184700243294</v>
      </c>
      <c r="AM4285">
        <v>94.470130709189604</v>
      </c>
      <c r="AN4285">
        <v>1.00000001592778</v>
      </c>
    </row>
    <row r="4286" spans="1:40" x14ac:dyDescent="0.3">
      <c r="A4286" t="str">
        <f>"20200111150114982"</f>
        <v>20200111150114982</v>
      </c>
      <c r="B4286" t="str">
        <f>"1578726074971662"</f>
        <v>1578726074971662</v>
      </c>
      <c r="C4286" t="s">
        <v>40</v>
      </c>
      <c r="D4286">
        <v>4.4570379999999998</v>
      </c>
      <c r="E4286">
        <v>0.63578269999999903</v>
      </c>
      <c r="F4286" t="s">
        <v>43</v>
      </c>
      <c r="G4286">
        <v>-294.60340000000002</v>
      </c>
      <c r="H4286">
        <v>-0.05</v>
      </c>
      <c r="I4286">
        <v>4.5376890000000003</v>
      </c>
      <c r="J4286">
        <v>-349.1771</v>
      </c>
      <c r="K4286">
        <v>1.1042989999999999</v>
      </c>
      <c r="L4286">
        <v>17.96021</v>
      </c>
      <c r="M4286">
        <v>0.99957099999999999</v>
      </c>
      <c r="N4286">
        <v>0</v>
      </c>
      <c r="O4286">
        <v>2.5512569999999998E-2</v>
      </c>
      <c r="P4286">
        <v>0.98706039999999995</v>
      </c>
      <c r="Q4286">
        <v>0.1235139</v>
      </c>
      <c r="R4286">
        <v>0.1022546</v>
      </c>
      <c r="S4286">
        <v>3.1279910000000002</v>
      </c>
      <c r="T4286">
        <v>-6.5936330000000001E-2</v>
      </c>
      <c r="U4286">
        <v>-0.76647949999999998</v>
      </c>
      <c r="V4286">
        <v>-7.677262E-2</v>
      </c>
      <c r="W4286">
        <v>0.13787959999999999</v>
      </c>
      <c r="X4286">
        <v>0.98746909999999999</v>
      </c>
      <c r="Y4286">
        <v>0.26264189999999998</v>
      </c>
      <c r="Z4286">
        <v>-3.2578490000000002E-3</v>
      </c>
      <c r="AA4286">
        <v>0.96488790000000002</v>
      </c>
      <c r="AB4286">
        <v>32</v>
      </c>
      <c r="AC4286">
        <v>54.573699999999903</v>
      </c>
      <c r="AD4286">
        <v>-1.154299</v>
      </c>
      <c r="AE4286">
        <v>-13.422521</v>
      </c>
      <c r="AF4286">
        <v>14.804365218196899</v>
      </c>
      <c r="AG4286">
        <v>-1.154299</v>
      </c>
      <c r="AH4286">
        <v>54.190593695805099</v>
      </c>
      <c r="AI4286">
        <v>91.177133762782304</v>
      </c>
      <c r="AJ4286">
        <v>74.720171014321096</v>
      </c>
      <c r="AK4286">
        <v>56.188273516802397</v>
      </c>
      <c r="AL4286">
        <v>82.074833811780906</v>
      </c>
      <c r="AM4286">
        <v>94.445623931527706</v>
      </c>
      <c r="AN4286">
        <v>1.0000000213663101</v>
      </c>
    </row>
    <row r="4287" spans="1:40" x14ac:dyDescent="0.3">
      <c r="A4287" t="str">
        <f>"20200111150114994"</f>
        <v>20200111150114994</v>
      </c>
      <c r="B4287" t="str">
        <f>"1578726074992157"</f>
        <v>1578726074992157</v>
      </c>
      <c r="C4287" t="s">
        <v>40</v>
      </c>
      <c r="D4287">
        <v>4.4854719999999997</v>
      </c>
      <c r="E4287">
        <v>0.63805630000000002</v>
      </c>
      <c r="F4287" t="s">
        <v>43</v>
      </c>
      <c r="G4287">
        <v>-292.9101</v>
      </c>
      <c r="H4287">
        <v>-0.05</v>
      </c>
      <c r="I4287">
        <v>4.1696929999999996</v>
      </c>
      <c r="J4287">
        <v>-349.00549999999998</v>
      </c>
      <c r="K4287">
        <v>1.1042970000000001</v>
      </c>
      <c r="L4287">
        <v>17.96405</v>
      </c>
      <c r="M4287">
        <v>0.99958389999999997</v>
      </c>
      <c r="N4287">
        <v>0</v>
      </c>
      <c r="O4287">
        <v>2.500602E-2</v>
      </c>
      <c r="P4287">
        <v>0.98711110000000002</v>
      </c>
      <c r="Q4287">
        <v>0.123724</v>
      </c>
      <c r="R4287">
        <v>0.10150969999999999</v>
      </c>
      <c r="S4287">
        <v>3.126709</v>
      </c>
      <c r="T4287">
        <v>-6.4143420000000007E-2</v>
      </c>
      <c r="U4287">
        <v>-0.76632690000000003</v>
      </c>
      <c r="V4287">
        <v>-7.6525029999999994E-2</v>
      </c>
      <c r="W4287">
        <v>0.13808979999999901</v>
      </c>
      <c r="X4287">
        <v>0.98745890000000003</v>
      </c>
      <c r="Y4287">
        <v>0.26220339999999998</v>
      </c>
      <c r="Z4287">
        <v>-3.1558760000000002E-3</v>
      </c>
      <c r="AA4287">
        <v>0.96500750000000002</v>
      </c>
      <c r="AB4287">
        <v>32</v>
      </c>
      <c r="AC4287">
        <v>56.095399999999898</v>
      </c>
      <c r="AD4287">
        <v>-1.1542969999999999</v>
      </c>
      <c r="AE4287">
        <v>-13.794357</v>
      </c>
      <c r="AF4287">
        <v>15.186846464156799</v>
      </c>
      <c r="AG4287">
        <v>-1.1542969999999999</v>
      </c>
      <c r="AH4287">
        <v>55.710633390038304</v>
      </c>
      <c r="AI4287">
        <v>91.145193961231001</v>
      </c>
      <c r="AJ4287">
        <v>74.751546515729402</v>
      </c>
      <c r="AK4287">
        <v>57.755063672455002</v>
      </c>
      <c r="AL4287">
        <v>82.062673560713506</v>
      </c>
      <c r="AM4287">
        <v>94.431389681013002</v>
      </c>
      <c r="AN4287">
        <v>0.99999997613487501</v>
      </c>
    </row>
    <row r="4288" spans="1:40" x14ac:dyDescent="0.3">
      <c r="A4288" t="str">
        <f>"20200111150115012"</f>
        <v>20200111150115012</v>
      </c>
      <c r="B4288" t="str">
        <f>"1578726075001917"</f>
        <v>1578726075001917</v>
      </c>
      <c r="C4288" t="s">
        <v>40</v>
      </c>
      <c r="D4288">
        <v>4.4867210000000002</v>
      </c>
      <c r="E4288">
        <v>0.63819440000000005</v>
      </c>
      <c r="F4288" t="s">
        <v>43</v>
      </c>
      <c r="G4288">
        <v>-288.93439999999998</v>
      </c>
      <c r="H4288">
        <v>-0.05</v>
      </c>
      <c r="I4288">
        <v>2.853653</v>
      </c>
      <c r="J4288">
        <v>-348.76010000000002</v>
      </c>
      <c r="K4288">
        <v>1.1042959999999999</v>
      </c>
      <c r="L4288">
        <v>17.969449999999998</v>
      </c>
      <c r="M4288">
        <v>0.99960190000000004</v>
      </c>
      <c r="N4288">
        <v>0</v>
      </c>
      <c r="O4288">
        <v>2.4275649999999999E-2</v>
      </c>
      <c r="P4288">
        <v>0.98712049999999996</v>
      </c>
      <c r="Q4288">
        <v>0.1242042</v>
      </c>
      <c r="R4288">
        <v>0.1008293</v>
      </c>
      <c r="S4288">
        <v>3.1275629999999999</v>
      </c>
      <c r="T4288">
        <v>-6.0097690000000002E-2</v>
      </c>
      <c r="U4288">
        <v>-0.78671259999999998</v>
      </c>
      <c r="V4288">
        <v>-7.6563649999999997E-2</v>
      </c>
      <c r="W4288">
        <v>0.1385691</v>
      </c>
      <c r="X4288">
        <v>0.98738879999999996</v>
      </c>
      <c r="Y4288">
        <v>0.26736470000000001</v>
      </c>
      <c r="Z4288">
        <v>-2.9887859999999998E-3</v>
      </c>
      <c r="AA4288">
        <v>0.96359079999999997</v>
      </c>
      <c r="AB4288">
        <v>32</v>
      </c>
      <c r="AC4288">
        <v>59.825699999999998</v>
      </c>
      <c r="AD4288">
        <v>-1.154296</v>
      </c>
      <c r="AE4288">
        <v>-15.115797000000001</v>
      </c>
      <c r="AF4288">
        <v>16.5580052315796</v>
      </c>
      <c r="AG4288">
        <v>-1.154296</v>
      </c>
      <c r="AH4288">
        <v>59.420289142408997</v>
      </c>
      <c r="AI4288">
        <v>91.072050708721306</v>
      </c>
      <c r="AJ4288">
        <v>74.429019978288196</v>
      </c>
      <c r="AK4288">
        <v>61.694981143299898</v>
      </c>
      <c r="AL4288">
        <v>82.034945431822095</v>
      </c>
      <c r="AM4288">
        <v>94.433930673436905</v>
      </c>
      <c r="AN4288">
        <v>1.00000001517078</v>
      </c>
    </row>
    <row r="4289" spans="1:40" x14ac:dyDescent="0.3">
      <c r="A4289" t="str">
        <f>"20200111150115023"</f>
        <v>20200111150115023</v>
      </c>
      <c r="B4289" t="str">
        <f>"1578726075011678"</f>
        <v>1578726075011678</v>
      </c>
      <c r="C4289" t="s">
        <v>40</v>
      </c>
      <c r="D4289">
        <v>4.4311689999999997</v>
      </c>
      <c r="E4289">
        <v>0.63787079999999996</v>
      </c>
      <c r="F4289" t="s">
        <v>43</v>
      </c>
      <c r="G4289">
        <v>-285.67079999999999</v>
      </c>
      <c r="H4289">
        <v>-0.05</v>
      </c>
      <c r="I4289">
        <v>2.0324249999999999</v>
      </c>
      <c r="J4289">
        <v>-348.59840000000003</v>
      </c>
      <c r="K4289">
        <v>1.10429</v>
      </c>
      <c r="L4289">
        <v>17.972899999999999</v>
      </c>
      <c r="M4289">
        <v>0.99961350000000004</v>
      </c>
      <c r="N4289">
        <v>0</v>
      </c>
      <c r="O4289">
        <v>2.3789399999999999E-2</v>
      </c>
      <c r="P4289">
        <v>0.9870816</v>
      </c>
      <c r="Q4289">
        <v>0.1246121</v>
      </c>
      <c r="R4289">
        <v>0.1007059</v>
      </c>
      <c r="S4289">
        <v>3.127014</v>
      </c>
      <c r="T4289">
        <v>-5.7212470000000001E-2</v>
      </c>
      <c r="U4289">
        <v>-0.78991699999999998</v>
      </c>
      <c r="V4289">
        <v>-7.6918890000000004E-2</v>
      </c>
      <c r="W4289">
        <v>0.13897709999999999</v>
      </c>
      <c r="X4289">
        <v>0.98730390000000001</v>
      </c>
      <c r="Y4289">
        <v>0.26786910000000003</v>
      </c>
      <c r="Z4289">
        <v>-2.8412300000000001E-3</v>
      </c>
      <c r="AA4289">
        <v>0.9634511</v>
      </c>
      <c r="AB4289">
        <v>32</v>
      </c>
      <c r="AC4289">
        <v>62.927599999999998</v>
      </c>
      <c r="AD4289">
        <v>-1.15429</v>
      </c>
      <c r="AE4289">
        <v>-15.940474999999999</v>
      </c>
      <c r="AF4289">
        <v>17.427617235496601</v>
      </c>
      <c r="AG4289">
        <v>-1.15429</v>
      </c>
      <c r="AH4289">
        <v>62.510768951973098</v>
      </c>
      <c r="AI4289">
        <v>91.019020095705798</v>
      </c>
      <c r="AJ4289">
        <v>74.421857375503905</v>
      </c>
      <c r="AK4289">
        <v>64.904934041088495</v>
      </c>
      <c r="AL4289">
        <v>82.011340800607002</v>
      </c>
      <c r="AM4289">
        <v>94.454802119333905</v>
      </c>
      <c r="AN4289">
        <v>1.00000007045922</v>
      </c>
    </row>
    <row r="4290" spans="1:40" x14ac:dyDescent="0.3">
      <c r="A4290" t="str">
        <f>"20200111150115035"</f>
        <v>20200111150115035</v>
      </c>
      <c r="B4290" t="str">
        <f>"1578726075032174"</f>
        <v>1578726075032174</v>
      </c>
      <c r="C4290" t="s">
        <v>40</v>
      </c>
      <c r="D4290">
        <v>4.5056440000000002</v>
      </c>
      <c r="E4290">
        <v>0.63753740000000003</v>
      </c>
      <c r="F4290" t="s">
        <v>43</v>
      </c>
      <c r="G4290">
        <v>-288.97019999999998</v>
      </c>
      <c r="H4290">
        <v>-0.05</v>
      </c>
      <c r="I4290">
        <v>2.9529570000000001</v>
      </c>
      <c r="J4290">
        <v>-348.43669999999997</v>
      </c>
      <c r="K4290">
        <v>1.104282</v>
      </c>
      <c r="L4290">
        <v>17.97626</v>
      </c>
      <c r="M4290">
        <v>0.99962530000000005</v>
      </c>
      <c r="N4290">
        <v>0</v>
      </c>
      <c r="O4290">
        <v>2.3294659999999998E-2</v>
      </c>
      <c r="P4290">
        <v>0.98706000000000005</v>
      </c>
      <c r="Q4290">
        <v>0.12498629999999999</v>
      </c>
      <c r="R4290">
        <v>0.1004544</v>
      </c>
      <c r="S4290">
        <v>3.127319</v>
      </c>
      <c r="T4290">
        <v>-6.0539009999999997E-2</v>
      </c>
      <c r="U4290">
        <v>-0.78775019999999996</v>
      </c>
      <c r="V4290">
        <v>-7.71535E-2</v>
      </c>
      <c r="W4290">
        <v>0.13935159999999999</v>
      </c>
      <c r="X4290">
        <v>0.98723269999999996</v>
      </c>
      <c r="Y4290">
        <v>0.266737</v>
      </c>
      <c r="Z4290">
        <v>-2.986135E-3</v>
      </c>
      <c r="AA4290">
        <v>0.96376470000000003</v>
      </c>
      <c r="AB4290">
        <v>31</v>
      </c>
      <c r="AC4290">
        <v>59.466500000000003</v>
      </c>
      <c r="AD4290">
        <v>-1.154282</v>
      </c>
      <c r="AE4290">
        <v>-15.023303</v>
      </c>
      <c r="AF4290">
        <v>16.398812570337299</v>
      </c>
      <c r="AG4290">
        <v>-1.154282</v>
      </c>
      <c r="AH4290">
        <v>59.0794370544291</v>
      </c>
      <c r="AI4290">
        <v>91.078523741736504</v>
      </c>
      <c r="AJ4290">
        <v>74.486821644117299</v>
      </c>
      <c r="AK4290">
        <v>61.324002668782398</v>
      </c>
      <c r="AL4290">
        <v>81.989671856219502</v>
      </c>
      <c r="AM4290">
        <v>94.468655705197804</v>
      </c>
      <c r="AN4290">
        <v>0.999999967467049</v>
      </c>
    </row>
    <row r="4291" spans="1:40" x14ac:dyDescent="0.3">
      <c r="A4291" t="str">
        <f>"20200111150115047"</f>
        <v>20200111150115047</v>
      </c>
      <c r="B4291" t="str">
        <f>"1578726075041933"</f>
        <v>1578726075041933</v>
      </c>
      <c r="C4291" t="s">
        <v>40</v>
      </c>
      <c r="D4291">
        <v>4.3961759999999996</v>
      </c>
      <c r="E4291">
        <v>0.63716850000000003</v>
      </c>
      <c r="F4291" t="s">
        <v>43</v>
      </c>
      <c r="G4291">
        <v>-275.69420000000002</v>
      </c>
      <c r="H4291">
        <v>-0.05</v>
      </c>
      <c r="I4291">
        <v>-0.31890869999999999</v>
      </c>
      <c r="J4291">
        <v>-348.26670000000001</v>
      </c>
      <c r="K4291">
        <v>1.104274</v>
      </c>
      <c r="L4291">
        <v>17.979710000000001</v>
      </c>
      <c r="M4291">
        <v>0.99963749999999996</v>
      </c>
      <c r="N4291">
        <v>0</v>
      </c>
      <c r="O4291">
        <v>2.2766089999999999E-2</v>
      </c>
      <c r="P4291">
        <v>0.98701550000000005</v>
      </c>
      <c r="Q4291">
        <v>0.1255106</v>
      </c>
      <c r="R4291">
        <v>0.1002388</v>
      </c>
      <c r="S4291">
        <v>3.1255799999999998</v>
      </c>
      <c r="T4291">
        <v>-4.9596910000000001E-2</v>
      </c>
      <c r="U4291">
        <v>-0.78610230000000003</v>
      </c>
      <c r="V4291">
        <v>-7.7457460000000006E-2</v>
      </c>
      <c r="W4291">
        <v>0.13987569999999999</v>
      </c>
      <c r="X4291">
        <v>0.98713479999999998</v>
      </c>
      <c r="Y4291">
        <v>0.2658934</v>
      </c>
      <c r="Z4291">
        <v>-2.4330939999999998E-3</v>
      </c>
      <c r="AA4291">
        <v>0.96399939999999995</v>
      </c>
      <c r="AB4291">
        <v>31</v>
      </c>
      <c r="AC4291">
        <v>72.572499999999906</v>
      </c>
      <c r="AD4291">
        <v>-1.154274</v>
      </c>
      <c r="AE4291">
        <v>-18.298618699999999</v>
      </c>
      <c r="AF4291">
        <v>19.9414947015573</v>
      </c>
      <c r="AG4291">
        <v>-1.154274</v>
      </c>
      <c r="AH4291">
        <v>72.119901865655905</v>
      </c>
      <c r="AI4291">
        <v>90.883779776955606</v>
      </c>
      <c r="AJ4291">
        <v>74.543626003970004</v>
      </c>
      <c r="AK4291">
        <v>74.8349905091941</v>
      </c>
      <c r="AL4291">
        <v>81.959346322497694</v>
      </c>
      <c r="AM4291">
        <v>94.4866321523252</v>
      </c>
      <c r="AN4291">
        <v>0.99999999146559004</v>
      </c>
    </row>
    <row r="4292" spans="1:40" x14ac:dyDescent="0.3">
      <c r="A4292" t="str">
        <f>"20200111150115059"</f>
        <v>20200111150115059</v>
      </c>
      <c r="B4292" t="str">
        <f>"1578726075052670"</f>
        <v>1578726075052670</v>
      </c>
      <c r="C4292" t="s">
        <v>40</v>
      </c>
      <c r="D4292">
        <v>4.477252</v>
      </c>
      <c r="E4292">
        <v>0.63727369999999905</v>
      </c>
      <c r="F4292" t="s">
        <v>91</v>
      </c>
      <c r="G4292">
        <v>-279.02</v>
      </c>
      <c r="H4292">
        <v>0.29120479999999999</v>
      </c>
      <c r="I4292">
        <v>0.59617039999999999</v>
      </c>
      <c r="J4292">
        <v>-348.09010000000001</v>
      </c>
      <c r="K4292">
        <v>1.1042650000000001</v>
      </c>
      <c r="L4292">
        <v>17.983179999999901</v>
      </c>
      <c r="M4292">
        <v>0.99964989999999998</v>
      </c>
      <c r="N4292">
        <v>0</v>
      </c>
      <c r="O4292">
        <v>2.2210199999999999E-2</v>
      </c>
      <c r="P4292">
        <v>0.98705200000000004</v>
      </c>
      <c r="Q4292">
        <v>0.12572510000000001</v>
      </c>
      <c r="R4292">
        <v>9.9607310000000004E-2</v>
      </c>
      <c r="S4292">
        <v>3.1237490000000001</v>
      </c>
      <c r="T4292">
        <v>-3.6677960000000003E-2</v>
      </c>
      <c r="U4292">
        <v>-0.78417969999999904</v>
      </c>
      <c r="V4292">
        <v>-7.7370830000000002E-2</v>
      </c>
      <c r="W4292">
        <v>0.14009099999999999</v>
      </c>
      <c r="X4292">
        <v>0.98711110000000002</v>
      </c>
      <c r="Y4292">
        <v>0.26494839999999997</v>
      </c>
      <c r="Z4292">
        <v>-1.78863E-3</v>
      </c>
      <c r="AA4292">
        <v>0.96426089999999998</v>
      </c>
      <c r="AB4292">
        <v>31</v>
      </c>
      <c r="AC4292">
        <v>69.070099999999996</v>
      </c>
      <c r="AD4292">
        <v>-0.81306020000000001</v>
      </c>
      <c r="AE4292">
        <v>-17.387009599999999</v>
      </c>
      <c r="AF4292">
        <v>18.9144743410309</v>
      </c>
      <c r="AG4292">
        <v>-0.81306020000000001</v>
      </c>
      <c r="AH4292">
        <v>68.657902690467097</v>
      </c>
      <c r="AI4292">
        <v>90.6541106036657</v>
      </c>
      <c r="AJ4292">
        <v>74.5977217755851</v>
      </c>
      <c r="AK4292">
        <v>71.220264028856207</v>
      </c>
      <c r="AL4292">
        <v>81.946888175048599</v>
      </c>
      <c r="AM4292">
        <v>94.481741828538006</v>
      </c>
      <c r="AN4292">
        <v>1.0000000286795401</v>
      </c>
    </row>
    <row r="4293" spans="1:40" x14ac:dyDescent="0.3">
      <c r="A4293" t="str">
        <f>"20200111150115073"</f>
        <v>20200111150115073</v>
      </c>
      <c r="B4293" t="str">
        <f>"1578726075062432"</f>
        <v>1578726075062432</v>
      </c>
      <c r="C4293" t="s">
        <v>40</v>
      </c>
      <c r="D4293">
        <v>4.4232610000000001</v>
      </c>
      <c r="E4293">
        <v>0.63762830000000004</v>
      </c>
      <c r="F4293" t="s">
        <v>91</v>
      </c>
      <c r="G4293">
        <v>-279.02</v>
      </c>
      <c r="H4293">
        <v>0.47882449999999999</v>
      </c>
      <c r="I4293">
        <v>0.57153129999999996</v>
      </c>
      <c r="J4293">
        <v>-347.90410000000003</v>
      </c>
      <c r="K4293">
        <v>1.104252</v>
      </c>
      <c r="L4293">
        <v>17.986689999999999</v>
      </c>
      <c r="M4293">
        <v>0.99966319999999997</v>
      </c>
      <c r="N4293">
        <v>0</v>
      </c>
      <c r="O4293">
        <v>2.1604399999999999E-2</v>
      </c>
      <c r="P4293">
        <v>0.98715350000000002</v>
      </c>
      <c r="Q4293">
        <v>0.1255492</v>
      </c>
      <c r="R4293">
        <v>9.8820030000000003E-2</v>
      </c>
      <c r="S4293">
        <v>3.1223749999999999</v>
      </c>
      <c r="T4293">
        <v>-2.827358E-2</v>
      </c>
      <c r="U4293">
        <v>-0.78710939999999996</v>
      </c>
      <c r="V4293">
        <v>-7.7176010000000003E-2</v>
      </c>
      <c r="W4293">
        <v>0.13991679999999901</v>
      </c>
      <c r="X4293">
        <v>0.987151</v>
      </c>
      <c r="Y4293">
        <v>0.26532270000000002</v>
      </c>
      <c r="Z4293">
        <v>-1.375497E-3</v>
      </c>
      <c r="AA4293">
        <v>0.96415870000000004</v>
      </c>
      <c r="AB4293">
        <v>31</v>
      </c>
      <c r="AC4293">
        <v>68.884100000000004</v>
      </c>
      <c r="AD4293">
        <v>-0.62542749999999903</v>
      </c>
      <c r="AE4293">
        <v>-17.415158699999999</v>
      </c>
      <c r="AF4293">
        <v>18.897982349667299</v>
      </c>
      <c r="AG4293">
        <v>-0.62542749999999903</v>
      </c>
      <c r="AH4293">
        <v>68.486429460645397</v>
      </c>
      <c r="AI4293">
        <v>90.504369897526104</v>
      </c>
      <c r="AJ4293">
        <v>74.573816124137906</v>
      </c>
      <c r="AK4293">
        <v>71.048686945742006</v>
      </c>
      <c r="AL4293">
        <v>81.956967922071499</v>
      </c>
      <c r="AM4293">
        <v>94.470322628846205</v>
      </c>
      <c r="AN4293">
        <v>0.99999997212137903</v>
      </c>
    </row>
    <row r="4294" spans="1:40" x14ac:dyDescent="0.3">
      <c r="A4294" t="str">
        <f>"20200111150115086"</f>
        <v>20200111150115086</v>
      </c>
      <c r="B4294" t="str">
        <f>"1578726075081950"</f>
        <v>1578726075081950</v>
      </c>
      <c r="C4294" t="s">
        <v>40</v>
      </c>
      <c r="D4294">
        <v>4.398911</v>
      </c>
      <c r="E4294">
        <v>0.63807879999999995</v>
      </c>
      <c r="F4294" t="s">
        <v>91</v>
      </c>
      <c r="G4294">
        <v>-279.02</v>
      </c>
      <c r="H4294">
        <v>0.41330080000000002</v>
      </c>
      <c r="I4294">
        <v>0.4987183</v>
      </c>
      <c r="J4294">
        <v>-347.72289999999998</v>
      </c>
      <c r="K4294">
        <v>1.1042339999999999</v>
      </c>
      <c r="L4294">
        <v>17.990020000000001</v>
      </c>
      <c r="M4294">
        <v>0.99967620000000001</v>
      </c>
      <c r="N4294">
        <v>0</v>
      </c>
      <c r="O4294">
        <v>2.1002219999999999E-2</v>
      </c>
      <c r="P4294">
        <v>0.98728110000000002</v>
      </c>
      <c r="Q4294">
        <v>0.12521450000000001</v>
      </c>
      <c r="R4294">
        <v>9.7968399999999997E-2</v>
      </c>
      <c r="S4294">
        <v>3.1223749999999999</v>
      </c>
      <c r="T4294">
        <v>-3.1319380000000001E-2</v>
      </c>
      <c r="U4294">
        <v>-0.79269409999999996</v>
      </c>
      <c r="V4294">
        <v>-7.6912750000000002E-2</v>
      </c>
      <c r="W4294">
        <v>0.1395844</v>
      </c>
      <c r="X4294">
        <v>0.98721859999999995</v>
      </c>
      <c r="Y4294">
        <v>0.26635989999999998</v>
      </c>
      <c r="Z4294">
        <v>-1.5225060000000001E-3</v>
      </c>
      <c r="AA4294">
        <v>0.96387239999999996</v>
      </c>
      <c r="AB4294">
        <v>31</v>
      </c>
      <c r="AC4294">
        <v>68.7029</v>
      </c>
      <c r="AD4294">
        <v>-0.69093319999999903</v>
      </c>
      <c r="AE4294">
        <v>-17.491301699999902</v>
      </c>
      <c r="AF4294">
        <v>18.928707275214201</v>
      </c>
      <c r="AG4294">
        <v>-0.69093319999999903</v>
      </c>
      <c r="AH4294">
        <v>68.313860256176397</v>
      </c>
      <c r="AI4294">
        <v>90.558436086279301</v>
      </c>
      <c r="AJ4294">
        <v>74.512775609120595</v>
      </c>
      <c r="AK4294">
        <v>70.891162008377407</v>
      </c>
      <c r="AL4294">
        <v>81.976201769788204</v>
      </c>
      <c r="AM4294">
        <v>94.454831283443994</v>
      </c>
      <c r="AN4294">
        <v>0.99999997001093999</v>
      </c>
    </row>
    <row r="4295" spans="1:40" x14ac:dyDescent="0.3">
      <c r="A4295" t="str">
        <f>"20200111150115102"</f>
        <v>20200111150115102</v>
      </c>
      <c r="B4295" t="str">
        <f>"1578726075091709"</f>
        <v>1578726075091709</v>
      </c>
      <c r="C4295" t="s">
        <v>40</v>
      </c>
      <c r="D4295">
        <v>4.3946189999999996</v>
      </c>
      <c r="E4295">
        <v>0.63835839999999999</v>
      </c>
      <c r="F4295" t="s">
        <v>91</v>
      </c>
      <c r="G4295">
        <v>-279.02</v>
      </c>
      <c r="H4295">
        <v>0.27135559999999997</v>
      </c>
      <c r="I4295">
        <v>0.40909960000000001</v>
      </c>
      <c r="J4295">
        <v>-347.49360000000001</v>
      </c>
      <c r="K4295">
        <v>1.1042160000000001</v>
      </c>
      <c r="L4295">
        <v>17.99408</v>
      </c>
      <c r="M4295">
        <v>0.99969229999999998</v>
      </c>
      <c r="N4295">
        <v>0</v>
      </c>
      <c r="O4295">
        <v>2.0218159999999999E-2</v>
      </c>
      <c r="P4295">
        <v>0.98757600000000001</v>
      </c>
      <c r="Q4295">
        <v>0.124121</v>
      </c>
      <c r="R4295">
        <v>9.6372760000000002E-2</v>
      </c>
      <c r="S4295">
        <v>3.1227420000000001</v>
      </c>
      <c r="T4295">
        <v>-3.7856699999999903E-2</v>
      </c>
      <c r="U4295">
        <v>-0.7991028</v>
      </c>
      <c r="V4295">
        <v>-7.6081360000000001E-2</v>
      </c>
      <c r="W4295">
        <v>0.13849549999999999</v>
      </c>
      <c r="X4295">
        <v>0.98743639999999999</v>
      </c>
      <c r="Y4295">
        <v>0.267428</v>
      </c>
      <c r="Z4295">
        <v>-1.8366179999999999E-3</v>
      </c>
      <c r="AA4295">
        <v>0.96357610000000005</v>
      </c>
      <c r="AB4295">
        <v>31</v>
      </c>
      <c r="AC4295">
        <v>68.473600000000005</v>
      </c>
      <c r="AD4295">
        <v>-0.83286039999999995</v>
      </c>
      <c r="AE4295">
        <v>-17.584980399999999</v>
      </c>
      <c r="AF4295">
        <v>18.963306405896901</v>
      </c>
      <c r="AG4295">
        <v>-0.83286039999999995</v>
      </c>
      <c r="AH4295">
        <v>68.094577013577904</v>
      </c>
      <c r="AI4295">
        <v>90.675060569926998</v>
      </c>
      <c r="AJ4295">
        <v>74.438286930882697</v>
      </c>
      <c r="AK4295">
        <v>70.690678769890994</v>
      </c>
      <c r="AL4295">
        <v>82.039203419563606</v>
      </c>
      <c r="AM4295">
        <v>94.405899211309404</v>
      </c>
      <c r="AN4295">
        <v>1.0000000104523199</v>
      </c>
    </row>
    <row r="4296" spans="1:40" x14ac:dyDescent="0.3">
      <c r="A4296" t="str">
        <f>"20200111150115116"</f>
        <v>20200111150115116</v>
      </c>
      <c r="B4296" t="str">
        <f>"1578726075112206"</f>
        <v>1578726075112206</v>
      </c>
      <c r="C4296" t="s">
        <v>40</v>
      </c>
      <c r="D4296">
        <v>4.3954630000000003</v>
      </c>
      <c r="E4296">
        <v>0.63865079999999996</v>
      </c>
      <c r="F4296" t="s">
        <v>91</v>
      </c>
      <c r="G4296">
        <v>-279.02</v>
      </c>
      <c r="H4296">
        <v>0.1749289</v>
      </c>
      <c r="I4296">
        <v>0.29334450000000001</v>
      </c>
      <c r="J4296">
        <v>-347.29660000000001</v>
      </c>
      <c r="K4296">
        <v>1.104196</v>
      </c>
      <c r="L4296">
        <v>17.997339999999902</v>
      </c>
      <c r="M4296">
        <v>0.99970619999999999</v>
      </c>
      <c r="N4296">
        <v>0</v>
      </c>
      <c r="O4296">
        <v>1.9519950000000001E-2</v>
      </c>
      <c r="P4296">
        <v>0.98768199999999995</v>
      </c>
      <c r="Q4296">
        <v>0.1240734</v>
      </c>
      <c r="R4296">
        <v>9.5342730000000001E-2</v>
      </c>
      <c r="S4296">
        <v>3.121826</v>
      </c>
      <c r="T4296">
        <v>-4.236782E-2</v>
      </c>
      <c r="U4296">
        <v>-0.80700680000000002</v>
      </c>
      <c r="V4296">
        <v>-7.5732949999999993E-2</v>
      </c>
      <c r="W4296">
        <v>0.13845060000000001</v>
      </c>
      <c r="X4296">
        <v>0.9874695</v>
      </c>
      <c r="Y4296">
        <v>0.269105599999999</v>
      </c>
      <c r="Z4296">
        <v>-2.0572709999999998E-3</v>
      </c>
      <c r="AA4296">
        <v>0.96310850000000003</v>
      </c>
      <c r="AB4296">
        <v>31</v>
      </c>
      <c r="AC4296">
        <v>68.276600000000002</v>
      </c>
      <c r="AD4296">
        <v>-0.92926710000000001</v>
      </c>
      <c r="AE4296">
        <v>-17.703995499999898</v>
      </c>
      <c r="AF4296">
        <v>19.030211963395999</v>
      </c>
      <c r="AG4296">
        <v>-0.92926710000000001</v>
      </c>
      <c r="AH4296">
        <v>67.906185077038003</v>
      </c>
      <c r="AI4296">
        <v>90.7549382176785</v>
      </c>
      <c r="AJ4296">
        <v>74.344860156555498</v>
      </c>
      <c r="AK4296">
        <v>70.528451538594396</v>
      </c>
      <c r="AL4296">
        <v>82.041801188567007</v>
      </c>
      <c r="AM4296">
        <v>94.385655125508507</v>
      </c>
      <c r="AN4296">
        <v>1.00000003089315</v>
      </c>
    </row>
    <row r="4297" spans="1:40" x14ac:dyDescent="0.3">
      <c r="A4297" t="str">
        <f>"20200111150115130"</f>
        <v>20200111150115130</v>
      </c>
      <c r="B4297" t="str">
        <f>"1578726075121965"</f>
        <v>1578726075121965</v>
      </c>
      <c r="C4297" t="s">
        <v>40</v>
      </c>
      <c r="D4297">
        <v>4.3079460000000003</v>
      </c>
      <c r="E4297">
        <v>0.63848319999999903</v>
      </c>
      <c r="F4297" t="s">
        <v>43</v>
      </c>
      <c r="G4297">
        <v>-274.19549999999998</v>
      </c>
      <c r="H4297">
        <v>-0.05</v>
      </c>
      <c r="I4297">
        <v>-1.0346219999999999</v>
      </c>
      <c r="J4297">
        <v>-347.09440000000001</v>
      </c>
      <c r="K4297">
        <v>1.104177</v>
      </c>
      <c r="L4297">
        <v>18.00055</v>
      </c>
      <c r="M4297">
        <v>0.99972030000000001</v>
      </c>
      <c r="N4297">
        <v>0</v>
      </c>
      <c r="O4297">
        <v>1.87849E-2</v>
      </c>
      <c r="P4297">
        <v>0.98779479999999997</v>
      </c>
      <c r="Q4297">
        <v>0.12399309999999999</v>
      </c>
      <c r="R4297">
        <v>9.427265E-2</v>
      </c>
      <c r="S4297">
        <v>3.1220699999999999</v>
      </c>
      <c r="T4297">
        <v>-4.929447E-2</v>
      </c>
      <c r="U4297">
        <v>-0.81283570000000005</v>
      </c>
      <c r="V4297">
        <v>-7.5380150000000007E-2</v>
      </c>
      <c r="W4297">
        <v>0.1383732</v>
      </c>
      <c r="X4297">
        <v>0.98750729999999998</v>
      </c>
      <c r="Y4297">
        <v>0.27005499999999999</v>
      </c>
      <c r="Z4297">
        <v>-2.388785E-3</v>
      </c>
      <c r="AA4297">
        <v>0.96284190000000003</v>
      </c>
      <c r="AB4297">
        <v>31</v>
      </c>
      <c r="AC4297">
        <v>72.898899999999998</v>
      </c>
      <c r="AD4297">
        <v>-1.154177</v>
      </c>
      <c r="AE4297">
        <v>-19.035171999999999</v>
      </c>
      <c r="AF4297">
        <v>20.396565978808098</v>
      </c>
      <c r="AG4297">
        <v>-1.154177</v>
      </c>
      <c r="AH4297">
        <v>72.5114072335694</v>
      </c>
      <c r="AI4297">
        <v>90.877847958027104</v>
      </c>
      <c r="AJ4297">
        <v>74.289361200082993</v>
      </c>
      <c r="AK4297">
        <v>75.334296354766295</v>
      </c>
      <c r="AL4297">
        <v>82.046278642455803</v>
      </c>
      <c r="AM4297">
        <v>94.3651373682019</v>
      </c>
      <c r="AN4297">
        <v>0.99999998852277605</v>
      </c>
    </row>
    <row r="4298" spans="1:40" x14ac:dyDescent="0.3">
      <c r="A4298" t="str">
        <f>"20200111150115145"</f>
        <v>20200111150115145</v>
      </c>
      <c r="B4298" t="str">
        <f>"1578726075142462"</f>
        <v>1578726075142462</v>
      </c>
      <c r="C4298" t="s">
        <v>40</v>
      </c>
      <c r="D4298">
        <v>4.4228639999999997</v>
      </c>
      <c r="E4298">
        <v>0.63756880000000005</v>
      </c>
      <c r="F4298" t="s">
        <v>43</v>
      </c>
      <c r="G4298">
        <v>-267.72559999999999</v>
      </c>
      <c r="H4298">
        <v>-0.05</v>
      </c>
      <c r="I4298">
        <v>-2.7328800000000002</v>
      </c>
      <c r="J4298">
        <v>-346.89280000000002</v>
      </c>
      <c r="K4298">
        <v>1.104158</v>
      </c>
      <c r="L4298">
        <v>18.003599999999999</v>
      </c>
      <c r="M4298">
        <v>0.99973420000000002</v>
      </c>
      <c r="N4298">
        <v>0</v>
      </c>
      <c r="O4298">
        <v>1.8035840000000001E-2</v>
      </c>
      <c r="P4298">
        <v>0.98775369999999996</v>
      </c>
      <c r="Q4298">
        <v>0.12519379999999999</v>
      </c>
      <c r="R4298">
        <v>9.3110730000000003E-2</v>
      </c>
      <c r="S4298">
        <v>3.1205750000000001</v>
      </c>
      <c r="T4298">
        <v>-4.5379280000000001E-2</v>
      </c>
      <c r="U4298">
        <v>-0.81518550000000001</v>
      </c>
      <c r="V4298">
        <v>-7.4949710000000003E-2</v>
      </c>
      <c r="W4298">
        <v>0.13957349999999999</v>
      </c>
      <c r="X4298">
        <v>0.98737109999999995</v>
      </c>
      <c r="Y4298">
        <v>0.27013009999999998</v>
      </c>
      <c r="Z4298">
        <v>-2.1897040000000002E-3</v>
      </c>
      <c r="AA4298">
        <v>0.96282140000000005</v>
      </c>
      <c r="AB4298">
        <v>31</v>
      </c>
      <c r="AC4298">
        <v>79.167199999999994</v>
      </c>
      <c r="AD4298">
        <v>-1.154158</v>
      </c>
      <c r="AE4298">
        <v>-20.73648</v>
      </c>
      <c r="AF4298">
        <v>22.156693713578701</v>
      </c>
      <c r="AG4298">
        <v>-1.154158</v>
      </c>
      <c r="AH4298">
        <v>78.764615885257498</v>
      </c>
      <c r="AI4298">
        <v>90.808147844305495</v>
      </c>
      <c r="AJ4298">
        <v>74.288567699523696</v>
      </c>
      <c r="AK4298">
        <v>81.829798194535798</v>
      </c>
      <c r="AL4298">
        <v>81.976832346699794</v>
      </c>
      <c r="AM4298">
        <v>94.3409032568443</v>
      </c>
      <c r="AN4298">
        <v>0.99999995502327099</v>
      </c>
    </row>
    <row r="4299" spans="1:40" x14ac:dyDescent="0.3">
      <c r="A4299" t="str">
        <f>"20200111150115157"</f>
        <v>20200111150115157</v>
      </c>
      <c r="B4299" t="str">
        <f>"1578726075152222"</f>
        <v>1578726075152222</v>
      </c>
      <c r="C4299" t="s">
        <v>40</v>
      </c>
      <c r="D4299">
        <v>4.4275669999999998</v>
      </c>
      <c r="E4299">
        <v>0.63767280000000004</v>
      </c>
      <c r="F4299" t="s">
        <v>91</v>
      </c>
      <c r="G4299">
        <v>-279.02</v>
      </c>
      <c r="H4299">
        <v>0.4449785</v>
      </c>
      <c r="I4299">
        <v>0.31837650000000001</v>
      </c>
      <c r="J4299">
        <v>-346.72859999999997</v>
      </c>
      <c r="K4299">
        <v>1.1041449999999999</v>
      </c>
      <c r="L4299">
        <v>18.005949999999999</v>
      </c>
      <c r="M4299">
        <v>0.9997452</v>
      </c>
      <c r="N4299">
        <v>0</v>
      </c>
      <c r="O4299">
        <v>1.7411630000000001E-2</v>
      </c>
      <c r="P4299">
        <v>0.98781099999999999</v>
      </c>
      <c r="Q4299">
        <v>0.1253427</v>
      </c>
      <c r="R4299">
        <v>9.2297439999999994E-2</v>
      </c>
      <c r="S4299">
        <v>3.117645</v>
      </c>
      <c r="T4299">
        <v>-3.027856E-2</v>
      </c>
      <c r="U4299">
        <v>-0.81234740000000005</v>
      </c>
      <c r="V4299">
        <v>-7.4747079999999994E-2</v>
      </c>
      <c r="W4299">
        <v>0.13972409999999999</v>
      </c>
      <c r="X4299">
        <v>0.98736520000000005</v>
      </c>
      <c r="Y4299">
        <v>0.2689454</v>
      </c>
      <c r="Z4299">
        <v>-1.450949E-3</v>
      </c>
      <c r="AA4299">
        <v>0.96315439999999997</v>
      </c>
      <c r="AB4299">
        <v>31</v>
      </c>
      <c r="AC4299">
        <v>67.708599999999905</v>
      </c>
      <c r="AD4299">
        <v>-0.65916649999999999</v>
      </c>
      <c r="AE4299">
        <v>-17.687573499999999</v>
      </c>
      <c r="AF4299">
        <v>18.862256870343</v>
      </c>
      <c r="AG4299">
        <v>-0.65916649999999999</v>
      </c>
      <c r="AH4299">
        <v>67.384353901493398</v>
      </c>
      <c r="AI4299">
        <v>90.539715484647701</v>
      </c>
      <c r="AJ4299">
        <v>74.3619815668836</v>
      </c>
      <c r="AK4299">
        <v>69.977642039720294</v>
      </c>
      <c r="AL4299">
        <v>81.968118529125803</v>
      </c>
      <c r="AM4299">
        <v>94.329237872392298</v>
      </c>
      <c r="AN4299">
        <v>0.99999999413018803</v>
      </c>
    </row>
    <row r="4300" spans="1:40" x14ac:dyDescent="0.3">
      <c r="A4300" t="str">
        <f>"20200111150115167"</f>
        <v>20200111150115167</v>
      </c>
      <c r="B4300" t="str">
        <f>"1578726075161981"</f>
        <v>1578726075161981</v>
      </c>
      <c r="C4300" t="s">
        <v>40</v>
      </c>
      <c r="D4300">
        <v>4.4306140000000003</v>
      </c>
      <c r="E4300">
        <v>0.63786339999999997</v>
      </c>
      <c r="F4300" t="s">
        <v>91</v>
      </c>
      <c r="G4300">
        <v>-279.02</v>
      </c>
      <c r="H4300">
        <v>0.43523990000000001</v>
      </c>
      <c r="I4300">
        <v>0.28069690000000003</v>
      </c>
      <c r="J4300">
        <v>-346.57549999999998</v>
      </c>
      <c r="K4300">
        <v>1.1041319999999999</v>
      </c>
      <c r="L4300">
        <v>18.007999999999999</v>
      </c>
      <c r="M4300">
        <v>0.99975530000000001</v>
      </c>
      <c r="N4300">
        <v>0</v>
      </c>
      <c r="O4300">
        <v>1.6818900000000001E-2</v>
      </c>
      <c r="P4300">
        <v>0.98783770000000004</v>
      </c>
      <c r="Q4300">
        <v>0.1255907</v>
      </c>
      <c r="R4300">
        <v>9.1672509999999999E-2</v>
      </c>
      <c r="S4300">
        <v>3.1171880000000001</v>
      </c>
      <c r="T4300">
        <v>-3.0795220000000002E-2</v>
      </c>
      <c r="U4300">
        <v>-0.81603999999999999</v>
      </c>
      <c r="V4300">
        <v>-7.470251E-2</v>
      </c>
      <c r="W4300">
        <v>0.1399734</v>
      </c>
      <c r="X4300">
        <v>0.98733320000000002</v>
      </c>
      <c r="Y4300">
        <v>0.2694764</v>
      </c>
      <c r="Z4300">
        <v>-1.4725140000000001E-3</v>
      </c>
      <c r="AA4300">
        <v>0.96300580000000002</v>
      </c>
      <c r="AB4300">
        <v>31</v>
      </c>
      <c r="AC4300">
        <v>67.555499999999995</v>
      </c>
      <c r="AD4300">
        <v>-0.66889209999999899</v>
      </c>
      <c r="AE4300">
        <v>-17.7273031</v>
      </c>
      <c r="AF4300">
        <v>18.8593917990706</v>
      </c>
      <c r="AG4300">
        <v>-0.66889209999999899</v>
      </c>
      <c r="AH4300">
        <v>67.241590449909395</v>
      </c>
      <c r="AI4300">
        <v>90.548762247750403</v>
      </c>
      <c r="AJ4300">
        <v>74.332672418650404</v>
      </c>
      <c r="AK4300">
        <v>69.839498579998704</v>
      </c>
      <c r="AL4300">
        <v>81.953692431992195</v>
      </c>
      <c r="AM4300">
        <v>94.326805947793005</v>
      </c>
      <c r="AN4300">
        <v>0.99999993276504695</v>
      </c>
    </row>
    <row r="4301" spans="1:40" x14ac:dyDescent="0.3">
      <c r="A4301" t="str">
        <f>"20200111150115179"</f>
        <v>20200111150115179</v>
      </c>
      <c r="B4301" t="str">
        <f>"1578726075171805"</f>
        <v>1578726075171805</v>
      </c>
      <c r="C4301" t="s">
        <v>40</v>
      </c>
      <c r="D4301">
        <v>4.4574150000000001</v>
      </c>
      <c r="E4301">
        <v>0.63793599999999995</v>
      </c>
      <c r="F4301" t="s">
        <v>91</v>
      </c>
      <c r="G4301">
        <v>-279.02</v>
      </c>
      <c r="H4301">
        <v>0.40093390000000001</v>
      </c>
      <c r="I4301">
        <v>0.24726490000000001</v>
      </c>
      <c r="J4301">
        <v>-346.41269999999997</v>
      </c>
      <c r="K4301">
        <v>1.104115</v>
      </c>
      <c r="L4301">
        <v>18.010159999999999</v>
      </c>
      <c r="M4301">
        <v>0.99976600000000004</v>
      </c>
      <c r="N4301">
        <v>0</v>
      </c>
      <c r="O4301">
        <v>1.618265E-2</v>
      </c>
      <c r="P4301">
        <v>0.98785670000000003</v>
      </c>
      <c r="Q4301">
        <v>0.12600140000000001</v>
      </c>
      <c r="R4301">
        <v>9.0901399999999993E-2</v>
      </c>
      <c r="S4301">
        <v>3.1171570000000002</v>
      </c>
      <c r="T4301">
        <v>-3.24471E-2</v>
      </c>
      <c r="U4301">
        <v>-0.819519</v>
      </c>
      <c r="V4301">
        <v>-7.4554529999999994E-2</v>
      </c>
      <c r="W4301">
        <v>0.1403846</v>
      </c>
      <c r="X4301">
        <v>0.98728610000000006</v>
      </c>
      <c r="Y4301">
        <v>0.26987</v>
      </c>
      <c r="Z4301">
        <v>-1.5467910000000001E-3</v>
      </c>
      <c r="AA4301">
        <v>0.96289550000000002</v>
      </c>
      <c r="AB4301">
        <v>31</v>
      </c>
      <c r="AC4301">
        <v>67.392699999999905</v>
      </c>
      <c r="AD4301">
        <v>-0.703181099999999</v>
      </c>
      <c r="AE4301">
        <v>-17.762895099999898</v>
      </c>
      <c r="AF4301">
        <v>18.8493546438288</v>
      </c>
      <c r="AG4301">
        <v>-0.703181099999999</v>
      </c>
      <c r="AH4301">
        <v>67.089563337391695</v>
      </c>
      <c r="AI4301">
        <v>90.578125313253196</v>
      </c>
      <c r="AJ4301">
        <v>74.306863286383802</v>
      </c>
      <c r="AK4301">
        <v>69.690760814832004</v>
      </c>
      <c r="AL4301">
        <v>81.929898236525204</v>
      </c>
      <c r="AM4301">
        <v>94.318472556853095</v>
      </c>
      <c r="AN4301">
        <v>1.0000000285569399</v>
      </c>
    </row>
    <row r="4302" spans="1:40" x14ac:dyDescent="0.3">
      <c r="A4302" t="str">
        <f>"20200111150115191"</f>
        <v>20200111150115191</v>
      </c>
      <c r="B4302" t="str">
        <f>"1578726075182541"</f>
        <v>1578726075182541</v>
      </c>
      <c r="C4302" t="s">
        <v>40</v>
      </c>
      <c r="D4302">
        <v>4.4602750000000002</v>
      </c>
      <c r="E4302">
        <v>0.63802440000000005</v>
      </c>
      <c r="F4302" t="s">
        <v>91</v>
      </c>
      <c r="G4302">
        <v>-279.02</v>
      </c>
      <c r="H4302">
        <v>0.39315739999999999</v>
      </c>
      <c r="I4302">
        <v>0.22398760000000001</v>
      </c>
      <c r="J4302">
        <v>-346.24380000000002</v>
      </c>
      <c r="K4302">
        <v>1.1041049999999999</v>
      </c>
      <c r="L4302">
        <v>18.012179999999901</v>
      </c>
      <c r="M4302">
        <v>0.99977669999999996</v>
      </c>
      <c r="N4302">
        <v>0</v>
      </c>
      <c r="O4302">
        <v>1.5511489999999999E-2</v>
      </c>
      <c r="P4302">
        <v>0.98791719999999905</v>
      </c>
      <c r="Q4302">
        <v>0.12613669999999999</v>
      </c>
      <c r="R4302">
        <v>9.0052419999999994E-2</v>
      </c>
      <c r="S4302">
        <v>3.1167600000000002</v>
      </c>
      <c r="T4302">
        <v>-3.2880189999999997E-2</v>
      </c>
      <c r="U4302">
        <v>-0.82257080000000005</v>
      </c>
      <c r="V4302">
        <v>-7.4364319999999998E-2</v>
      </c>
      <c r="W4302">
        <v>0.14052020000000001</v>
      </c>
      <c r="X4302">
        <v>0.98728110000000002</v>
      </c>
      <c r="Y4302">
        <v>0.27013500000000001</v>
      </c>
      <c r="Z4302">
        <v>-1.5618429999999901E-3</v>
      </c>
      <c r="AA4302">
        <v>0.96282120000000004</v>
      </c>
      <c r="AB4302">
        <v>31</v>
      </c>
      <c r="AC4302">
        <v>67.223799999999997</v>
      </c>
      <c r="AD4302">
        <v>-0.71094759999999901</v>
      </c>
      <c r="AE4302">
        <v>-17.7881923999999</v>
      </c>
      <c r="AF4302">
        <v>18.826932582233901</v>
      </c>
      <c r="AG4302">
        <v>-0.71094759999999901</v>
      </c>
      <c r="AH4302">
        <v>66.932764400875797</v>
      </c>
      <c r="AI4302">
        <v>90.585830027583697</v>
      </c>
      <c r="AJ4302">
        <v>74.2897021901003</v>
      </c>
      <c r="AK4302">
        <v>69.533831961780194</v>
      </c>
      <c r="AL4302">
        <v>81.922050705087301</v>
      </c>
      <c r="AM4302">
        <v>94.307518147576204</v>
      </c>
      <c r="AN4302">
        <v>0.99999997455715495</v>
      </c>
    </row>
    <row r="4303" spans="1:40" x14ac:dyDescent="0.3">
      <c r="A4303" t="str">
        <f>"20200111150115204"</f>
        <v>20200111150115204</v>
      </c>
      <c r="B4303" t="str">
        <f>"1578726075192301"</f>
        <v>1578726075192301</v>
      </c>
      <c r="C4303" t="s">
        <v>40</v>
      </c>
      <c r="D4303">
        <v>4.4425980000000003</v>
      </c>
      <c r="E4303">
        <v>0.63812460000000004</v>
      </c>
      <c r="F4303" t="s">
        <v>91</v>
      </c>
      <c r="G4303">
        <v>-279.02</v>
      </c>
      <c r="H4303">
        <v>0.37912780000000001</v>
      </c>
      <c r="I4303">
        <v>0.19719120000000001</v>
      </c>
      <c r="J4303">
        <v>-346.0761</v>
      </c>
      <c r="K4303">
        <v>1.1040989999999999</v>
      </c>
      <c r="L4303">
        <v>18.01416</v>
      </c>
      <c r="M4303">
        <v>0.99978679999999998</v>
      </c>
      <c r="N4303">
        <v>0</v>
      </c>
      <c r="O4303">
        <v>1.484196E-2</v>
      </c>
      <c r="P4303">
        <v>0.98799400000000004</v>
      </c>
      <c r="Q4303">
        <v>0.12598480000000001</v>
      </c>
      <c r="R4303">
        <v>8.9421150000000005E-2</v>
      </c>
      <c r="S4303">
        <v>3.116241</v>
      </c>
      <c r="T4303">
        <v>-3.3607239999999997E-2</v>
      </c>
      <c r="U4303">
        <v>-0.82583619999999902</v>
      </c>
      <c r="V4303">
        <v>-7.4391349999999995E-2</v>
      </c>
      <c r="W4303">
        <v>0.14036860000000001</v>
      </c>
      <c r="X4303">
        <v>0.98730059999999997</v>
      </c>
      <c r="Y4303">
        <v>0.27047199999999999</v>
      </c>
      <c r="Z4303">
        <v>-1.5911059999999999E-3</v>
      </c>
      <c r="AA4303">
        <v>0.96272650000000004</v>
      </c>
      <c r="AB4303">
        <v>31</v>
      </c>
      <c r="AC4303">
        <v>67.056100000000001</v>
      </c>
      <c r="AD4303">
        <v>-0.72497119999999904</v>
      </c>
      <c r="AE4303">
        <v>-17.816968799999898</v>
      </c>
      <c r="AF4303">
        <v>18.808298939173898</v>
      </c>
      <c r="AG4303">
        <v>-0.72497119999999904</v>
      </c>
      <c r="AH4303">
        <v>66.776955763840206</v>
      </c>
      <c r="AI4303">
        <v>90.598719676410894</v>
      </c>
      <c r="AJ4303">
        <v>74.269673453110201</v>
      </c>
      <c r="AK4303">
        <v>69.378955839015305</v>
      </c>
      <c r="AL4303">
        <v>81.930823464762099</v>
      </c>
      <c r="AM4303">
        <v>94.308993164101594</v>
      </c>
      <c r="AN4303">
        <v>0.99999994579056894</v>
      </c>
    </row>
    <row r="4304" spans="1:40" x14ac:dyDescent="0.3">
      <c r="A4304" t="str">
        <f>"20200111150115215"</f>
        <v>20200111150115215</v>
      </c>
      <c r="B4304" t="str">
        <f>"1578726075211821"</f>
        <v>1578726075211821</v>
      </c>
      <c r="C4304" t="s">
        <v>40</v>
      </c>
      <c r="D4304">
        <v>4.4793190000000003</v>
      </c>
      <c r="E4304">
        <v>0.6383238</v>
      </c>
      <c r="F4304" t="s">
        <v>91</v>
      </c>
      <c r="G4304">
        <v>-279.02</v>
      </c>
      <c r="H4304">
        <v>0.34920220000000002</v>
      </c>
      <c r="I4304">
        <v>0.17750929999999901</v>
      </c>
      <c r="J4304">
        <v>-345.90480000000002</v>
      </c>
      <c r="K4304">
        <v>1.104093</v>
      </c>
      <c r="L4304">
        <v>18.015989999999999</v>
      </c>
      <c r="M4304">
        <v>0.99979669999999998</v>
      </c>
      <c r="N4304">
        <v>0</v>
      </c>
      <c r="O4304">
        <v>1.4151510000000001E-2</v>
      </c>
      <c r="P4304">
        <v>0.98804519999999996</v>
      </c>
      <c r="Q4304">
        <v>0.126136</v>
      </c>
      <c r="R4304">
        <v>8.8636720000000002E-2</v>
      </c>
      <c r="S4304">
        <v>3.115936</v>
      </c>
      <c r="T4304">
        <v>-3.5078289999999998E-2</v>
      </c>
      <c r="U4304">
        <v>-0.82882690000000003</v>
      </c>
      <c r="V4304">
        <v>-7.4286630000000006E-2</v>
      </c>
      <c r="W4304">
        <v>0.1405197</v>
      </c>
      <c r="X4304">
        <v>0.98728700000000003</v>
      </c>
      <c r="Y4304">
        <v>0.2706923</v>
      </c>
      <c r="Z4304">
        <v>-1.654275E-3</v>
      </c>
      <c r="AA4304">
        <v>0.96266450000000003</v>
      </c>
      <c r="AB4304">
        <v>31</v>
      </c>
      <c r="AC4304">
        <v>66.884799999999998</v>
      </c>
      <c r="AD4304">
        <v>-0.75489079999999997</v>
      </c>
      <c r="AE4304">
        <v>-17.838480699999899</v>
      </c>
      <c r="AF4304">
        <v>18.781079062796501</v>
      </c>
      <c r="AG4304">
        <v>-0.75489079999999997</v>
      </c>
      <c r="AH4304">
        <v>66.617710985892202</v>
      </c>
      <c r="AI4304">
        <v>90.6248739200079</v>
      </c>
      <c r="AJ4304">
        <v>74.255623700493103</v>
      </c>
      <c r="AK4304">
        <v>69.218626162925204</v>
      </c>
      <c r="AL4304">
        <v>81.922079480444594</v>
      </c>
      <c r="AM4304">
        <v>94.303009284032996</v>
      </c>
      <c r="AN4304">
        <v>0.99999995492692195</v>
      </c>
    </row>
    <row r="4305" spans="1:40" x14ac:dyDescent="0.3">
      <c r="A4305" t="str">
        <f>"20200111150115227"</f>
        <v>20200111150115227</v>
      </c>
      <c r="B4305" t="str">
        <f>"1578726075222557"</f>
        <v>1578726075222557</v>
      </c>
      <c r="C4305" t="s">
        <v>40</v>
      </c>
      <c r="D4305">
        <v>4.4635870000000004</v>
      </c>
      <c r="E4305">
        <v>0.63844369999999995</v>
      </c>
      <c r="F4305" t="s">
        <v>91</v>
      </c>
      <c r="G4305">
        <v>-279.02</v>
      </c>
      <c r="H4305">
        <v>0.30230829999999997</v>
      </c>
      <c r="I4305">
        <v>0.13070300000000001</v>
      </c>
      <c r="J4305">
        <v>-345.74130000000002</v>
      </c>
      <c r="K4305">
        <v>1.10409</v>
      </c>
      <c r="L4305">
        <v>18.01764</v>
      </c>
      <c r="M4305">
        <v>0.99980590000000003</v>
      </c>
      <c r="N4305">
        <v>0</v>
      </c>
      <c r="O4305">
        <v>1.3491029999999999E-2</v>
      </c>
      <c r="P4305">
        <v>0.98814900000000006</v>
      </c>
      <c r="Q4305">
        <v>0.12583920000000001</v>
      </c>
      <c r="R4305">
        <v>8.7897030000000001E-2</v>
      </c>
      <c r="S4305">
        <v>3.1158450000000002</v>
      </c>
      <c r="T4305">
        <v>-3.7351370000000002E-2</v>
      </c>
      <c r="U4305">
        <v>-0.83319089999999996</v>
      </c>
      <c r="V4305">
        <v>-7.4197979999999997E-2</v>
      </c>
      <c r="W4305">
        <v>0.14022319999999999</v>
      </c>
      <c r="X4305">
        <v>0.98733590000000004</v>
      </c>
      <c r="Y4305">
        <v>0.2713199</v>
      </c>
      <c r="Z4305">
        <v>-1.757111E-3</v>
      </c>
      <c r="AA4305">
        <v>0.9624876</v>
      </c>
      <c r="AB4305">
        <v>31</v>
      </c>
      <c r="AC4305">
        <v>66.721299999999999</v>
      </c>
      <c r="AD4305">
        <v>-0.80178169999999904</v>
      </c>
      <c r="AE4305">
        <v>-17.886937</v>
      </c>
      <c r="AF4305">
        <v>18.783010164606999</v>
      </c>
      <c r="AG4305">
        <v>-0.80178169999999904</v>
      </c>
      <c r="AH4305">
        <v>66.464934138793296</v>
      </c>
      <c r="AI4305">
        <v>90.665092989328897</v>
      </c>
      <c r="AJ4305">
        <v>74.219692278942901</v>
      </c>
      <c r="AK4305">
        <v>69.072655912541194</v>
      </c>
      <c r="AL4305">
        <v>81.939238195022497</v>
      </c>
      <c r="AM4305">
        <v>94.297681472205994</v>
      </c>
      <c r="AN4305">
        <v>1.0000000327415599</v>
      </c>
    </row>
    <row r="4306" spans="1:40" x14ac:dyDescent="0.3">
      <c r="A4306" t="str">
        <f>"20200111150115239"</f>
        <v>20200111150115239</v>
      </c>
      <c r="B4306" t="str">
        <f>"1578726075232317"</f>
        <v>1578726075232317</v>
      </c>
      <c r="C4306" t="s">
        <v>40</v>
      </c>
      <c r="D4306">
        <v>4.500394</v>
      </c>
      <c r="E4306">
        <v>0.63858199999999998</v>
      </c>
      <c r="F4306" t="s">
        <v>91</v>
      </c>
      <c r="G4306">
        <v>-279.02</v>
      </c>
      <c r="H4306">
        <v>0.2856592</v>
      </c>
      <c r="I4306">
        <v>9.6099850000000001E-2</v>
      </c>
      <c r="J4306">
        <v>-345.56830000000002</v>
      </c>
      <c r="K4306">
        <v>1.1040890000000001</v>
      </c>
      <c r="L4306">
        <v>18.01932</v>
      </c>
      <c r="M4306">
        <v>0.99981509999999996</v>
      </c>
      <c r="N4306">
        <v>0</v>
      </c>
      <c r="O4306">
        <v>1.279101E-2</v>
      </c>
      <c r="P4306">
        <v>0.98825750000000001</v>
      </c>
      <c r="Q4306">
        <v>0.12558069999999999</v>
      </c>
      <c r="R4306">
        <v>8.7043110000000007E-2</v>
      </c>
      <c r="S4306">
        <v>3.1152340000000001</v>
      </c>
      <c r="T4306">
        <v>-3.8212780000000002E-2</v>
      </c>
      <c r="U4306">
        <v>-0.83676149999999905</v>
      </c>
      <c r="V4306">
        <v>-7.4035000000000004E-2</v>
      </c>
      <c r="W4306">
        <v>0.13996400000000001</v>
      </c>
      <c r="X4306">
        <v>0.98738490000000001</v>
      </c>
      <c r="Y4306">
        <v>0.2717214</v>
      </c>
      <c r="Z4306">
        <v>-1.7916849999999999E-3</v>
      </c>
      <c r="AA4306">
        <v>0.96237430000000002</v>
      </c>
      <c r="AB4306">
        <v>31</v>
      </c>
      <c r="AC4306">
        <v>66.548299999999998</v>
      </c>
      <c r="AD4306">
        <v>-0.81842979999999899</v>
      </c>
      <c r="AE4306">
        <v>-17.923220149999999</v>
      </c>
      <c r="AF4306">
        <v>18.770414325863999</v>
      </c>
      <c r="AG4306">
        <v>-0.81842979999999899</v>
      </c>
      <c r="AH4306">
        <v>66.304224813483899</v>
      </c>
      <c r="AI4306">
        <v>90.680458789555203</v>
      </c>
      <c r="AJ4306">
        <v>74.193431725124299</v>
      </c>
      <c r="AK4306">
        <v>68.9147916591144</v>
      </c>
      <c r="AL4306">
        <v>81.954237086650394</v>
      </c>
      <c r="AM4306">
        <v>94.288064611661397</v>
      </c>
      <c r="AN4306">
        <v>1.0000000216345</v>
      </c>
    </row>
    <row r="4307" spans="1:40" x14ac:dyDescent="0.3">
      <c r="A4307" t="str">
        <f>"20200111150115251"</f>
        <v>20200111150115251</v>
      </c>
      <c r="B4307" t="str">
        <f>"1578726075242079"</f>
        <v>1578726075242079</v>
      </c>
      <c r="C4307" t="s">
        <v>40</v>
      </c>
      <c r="D4307">
        <v>4.5343499999999999</v>
      </c>
      <c r="E4307">
        <v>0.63871040000000001</v>
      </c>
      <c r="F4307" t="s">
        <v>91</v>
      </c>
      <c r="G4307">
        <v>-279.02</v>
      </c>
      <c r="H4307">
        <v>0.26002839999999999</v>
      </c>
      <c r="I4307">
        <v>5.312157E-2</v>
      </c>
      <c r="J4307">
        <v>-345.40940000000001</v>
      </c>
      <c r="K4307">
        <v>1.1040909999999999</v>
      </c>
      <c r="L4307">
        <v>18.020689999999998</v>
      </c>
      <c r="M4307">
        <v>0.99982320000000002</v>
      </c>
      <c r="N4307">
        <v>0</v>
      </c>
      <c r="O4307">
        <v>1.2152949999999999E-2</v>
      </c>
      <c r="P4307">
        <v>0.98829750000000005</v>
      </c>
      <c r="Q4307">
        <v>0.1256929</v>
      </c>
      <c r="R4307">
        <v>8.6426240000000001E-2</v>
      </c>
      <c r="S4307">
        <v>3.1148069999999999</v>
      </c>
      <c r="T4307">
        <v>-3.9506439999999997E-2</v>
      </c>
      <c r="U4307">
        <v>-0.84091190000000005</v>
      </c>
      <c r="V4307">
        <v>-7.4048909999999996E-2</v>
      </c>
      <c r="W4307">
        <v>0.14007449999999999</v>
      </c>
      <c r="X4307">
        <v>0.98736820000000003</v>
      </c>
      <c r="Y4307">
        <v>0.27233449999999998</v>
      </c>
      <c r="Z4307">
        <v>-1.848129E-3</v>
      </c>
      <c r="AA4307">
        <v>0.96220090000000003</v>
      </c>
      <c r="AB4307">
        <v>31</v>
      </c>
      <c r="AC4307">
        <v>66.389399999999995</v>
      </c>
      <c r="AD4307">
        <v>-0.8440626</v>
      </c>
      <c r="AE4307">
        <v>-17.96756843</v>
      </c>
      <c r="AF4307">
        <v>18.770324387537901</v>
      </c>
      <c r="AG4307">
        <v>-0.8440626</v>
      </c>
      <c r="AH4307">
        <v>66.156150950043894</v>
      </c>
      <c r="AI4307">
        <v>90.703222240765996</v>
      </c>
      <c r="AJ4307">
        <v>74.159898337439202</v>
      </c>
      <c r="AK4307">
        <v>68.772624116076202</v>
      </c>
      <c r="AL4307">
        <v>81.947843017003393</v>
      </c>
      <c r="AM4307">
        <v>94.288939534692901</v>
      </c>
      <c r="AN4307">
        <v>1.0000000344968301</v>
      </c>
    </row>
    <row r="4308" spans="1:40" x14ac:dyDescent="0.3">
      <c r="A4308" t="str">
        <f>"20200111150115263"</f>
        <v>20200111150115263</v>
      </c>
      <c r="B4308" t="str">
        <f>"1578726075251838"</f>
        <v>1578726075251838</v>
      </c>
      <c r="C4308" t="s">
        <v>40</v>
      </c>
      <c r="D4308">
        <v>4.520645</v>
      </c>
      <c r="E4308">
        <v>0.63886330000000002</v>
      </c>
      <c r="F4308" t="s">
        <v>91</v>
      </c>
      <c r="G4308">
        <v>-279.02</v>
      </c>
      <c r="H4308">
        <v>0.25137690000000001</v>
      </c>
      <c r="I4308">
        <v>2.0656589999999999E-2</v>
      </c>
      <c r="J4308">
        <v>-345.24470000000002</v>
      </c>
      <c r="K4308">
        <v>1.1040939999999999</v>
      </c>
      <c r="L4308">
        <v>18.02206</v>
      </c>
      <c r="M4308">
        <v>0.99983080000000002</v>
      </c>
      <c r="N4308">
        <v>0</v>
      </c>
      <c r="O4308">
        <v>1.1495440000000001E-2</v>
      </c>
      <c r="P4308">
        <v>0.9883094</v>
      </c>
      <c r="Q4308">
        <v>0.1258708</v>
      </c>
      <c r="R4308">
        <v>8.6027950000000006E-2</v>
      </c>
      <c r="S4308">
        <v>3.114471</v>
      </c>
      <c r="T4308">
        <v>-4.0002700000000002E-2</v>
      </c>
      <c r="U4308">
        <v>-0.84442139999999999</v>
      </c>
      <c r="V4308">
        <v>-7.430175E-2</v>
      </c>
      <c r="W4308">
        <v>0.14025009999999999</v>
      </c>
      <c r="X4308">
        <v>0.98732419999999999</v>
      </c>
      <c r="Y4308">
        <v>0.27273770000000003</v>
      </c>
      <c r="Z4308">
        <v>-1.865509E-3</v>
      </c>
      <c r="AA4308">
        <v>0.96208660000000001</v>
      </c>
      <c r="AB4308">
        <v>31</v>
      </c>
      <c r="AC4308">
        <v>66.224699999999999</v>
      </c>
      <c r="AD4308">
        <v>-0.85271710000000001</v>
      </c>
      <c r="AE4308">
        <v>-18.001403409999899</v>
      </c>
      <c r="AF4308">
        <v>18.758678203923299</v>
      </c>
      <c r="AG4308">
        <v>-0.85271710000000001</v>
      </c>
      <c r="AH4308">
        <v>66.003177883064694</v>
      </c>
      <c r="AI4308">
        <v>90.711988272138498</v>
      </c>
      <c r="AJ4308">
        <v>74.134388356646099</v>
      </c>
      <c r="AK4308">
        <v>68.622406144600205</v>
      </c>
      <c r="AL4308">
        <v>81.937680951384493</v>
      </c>
      <c r="AM4308">
        <v>94.303720259978903</v>
      </c>
      <c r="AN4308">
        <v>0.99999995825435495</v>
      </c>
    </row>
    <row r="4309" spans="1:40" x14ac:dyDescent="0.3">
      <c r="A4309" t="str">
        <f>"20200111150115281"</f>
        <v>20200111150115281</v>
      </c>
      <c r="B4309" t="str">
        <f>"1578726075272333"</f>
        <v>1578726075272333</v>
      </c>
      <c r="C4309" t="s">
        <v>40</v>
      </c>
      <c r="D4309">
        <v>4.4693110000000003</v>
      </c>
      <c r="E4309">
        <v>0.63906560000000001</v>
      </c>
      <c r="F4309" t="s">
        <v>91</v>
      </c>
      <c r="G4309">
        <v>-279.02</v>
      </c>
      <c r="H4309">
        <v>0.2681772</v>
      </c>
      <c r="I4309">
        <v>2.153397E-3</v>
      </c>
      <c r="J4309">
        <v>-345.00060000000002</v>
      </c>
      <c r="K4309">
        <v>1.1041049999999999</v>
      </c>
      <c r="L4309">
        <v>18.023900000000001</v>
      </c>
      <c r="M4309">
        <v>0.99984150000000005</v>
      </c>
      <c r="N4309">
        <v>0</v>
      </c>
      <c r="O4309">
        <v>1.0539710000000001E-2</v>
      </c>
      <c r="P4309">
        <v>0.98838060000000005</v>
      </c>
      <c r="Q4309">
        <v>0.1257964</v>
      </c>
      <c r="R4309">
        <v>8.5317560000000001E-2</v>
      </c>
      <c r="S4309">
        <v>3.1141969999999999</v>
      </c>
      <c r="T4309">
        <v>-3.9308790000000003E-2</v>
      </c>
      <c r="U4309">
        <v>-0.84738159999999896</v>
      </c>
      <c r="V4309">
        <v>-7.4540800000000004E-2</v>
      </c>
      <c r="W4309">
        <v>0.14017170000000001</v>
      </c>
      <c r="X4309">
        <v>0.98731740000000001</v>
      </c>
      <c r="Y4309">
        <v>0.27269189999999999</v>
      </c>
      <c r="Z4309">
        <v>-1.820941E-3</v>
      </c>
      <c r="AA4309">
        <v>0.9620997</v>
      </c>
      <c r="AB4309">
        <v>31</v>
      </c>
      <c r="AC4309">
        <v>65.980599999999995</v>
      </c>
      <c r="AD4309">
        <v>-0.835927799999999</v>
      </c>
      <c r="AE4309">
        <v>-18.021746603</v>
      </c>
      <c r="AF4309">
        <v>18.713438199142999</v>
      </c>
      <c r="AG4309">
        <v>-0.835927799999999</v>
      </c>
      <c r="AH4309">
        <v>65.777145880898004</v>
      </c>
      <c r="AI4309">
        <v>90.700316213233293</v>
      </c>
      <c r="AJ4309">
        <v>74.119076106484101</v>
      </c>
      <c r="AK4309">
        <v>68.392429879021705</v>
      </c>
      <c r="AL4309">
        <v>81.9422184388727</v>
      </c>
      <c r="AM4309">
        <v>94.317543910695704</v>
      </c>
      <c r="AN4309">
        <v>1.00000004234414</v>
      </c>
    </row>
    <row r="4310" spans="1:40" x14ac:dyDescent="0.3">
      <c r="A4310" t="str">
        <f>"20200111150115292"</f>
        <v>20200111150115292</v>
      </c>
      <c r="B4310" t="str">
        <f>"1578726075282093"</f>
        <v>1578726075282093</v>
      </c>
      <c r="C4310" t="s">
        <v>40</v>
      </c>
      <c r="D4310">
        <v>4.4139229999999996</v>
      </c>
      <c r="E4310">
        <v>0.63906560000000001</v>
      </c>
      <c r="F4310" t="s">
        <v>91</v>
      </c>
      <c r="G4310">
        <v>-279.02</v>
      </c>
      <c r="H4310">
        <v>0.24039260000000001</v>
      </c>
      <c r="I4310">
        <v>-2.506065E-2</v>
      </c>
      <c r="J4310">
        <v>-344.82659999999998</v>
      </c>
      <c r="K4310">
        <v>1.10412</v>
      </c>
      <c r="L4310">
        <v>18.025020000000001</v>
      </c>
      <c r="M4310">
        <v>0.99984819999999996</v>
      </c>
      <c r="N4310">
        <v>0</v>
      </c>
      <c r="O4310">
        <v>9.880626E-3</v>
      </c>
      <c r="P4310">
        <v>0.98842039999999998</v>
      </c>
      <c r="Q4310">
        <v>0.1259605</v>
      </c>
      <c r="R4310">
        <v>8.4612489999999999E-2</v>
      </c>
      <c r="S4310">
        <v>3.1140140000000001</v>
      </c>
      <c r="T4310">
        <v>-4.076374E-2</v>
      </c>
      <c r="U4310">
        <v>-0.85183719999999996</v>
      </c>
      <c r="V4310">
        <v>-7.4492020000000006E-2</v>
      </c>
      <c r="W4310">
        <v>0.14033029999999999</v>
      </c>
      <c r="X4310">
        <v>0.98729849999999997</v>
      </c>
      <c r="Y4310">
        <v>0.27335159999999997</v>
      </c>
      <c r="Z4310">
        <v>-1.883855E-3</v>
      </c>
      <c r="AA4310">
        <v>0.96191230000000005</v>
      </c>
      <c r="AB4310">
        <v>31</v>
      </c>
      <c r="AC4310">
        <v>65.806600000000003</v>
      </c>
      <c r="AD4310">
        <v>-0.86372739999999903</v>
      </c>
      <c r="AE4310">
        <v>-18.050080650000002</v>
      </c>
      <c r="AF4310">
        <v>18.696481218569598</v>
      </c>
      <c r="AG4310">
        <v>-0.86372739999999903</v>
      </c>
      <c r="AH4310">
        <v>65.614509931381207</v>
      </c>
      <c r="AI4310">
        <v>90.725311520058796</v>
      </c>
      <c r="AJ4310">
        <v>74.095399243898299</v>
      </c>
      <c r="AK4310">
        <v>68.231725381329497</v>
      </c>
      <c r="AL4310">
        <v>81.933040198883305</v>
      </c>
      <c r="AM4310">
        <v>94.314811439959399</v>
      </c>
      <c r="AN4310">
        <v>0.99999999112200999</v>
      </c>
    </row>
    <row r="4311" spans="1:40" x14ac:dyDescent="0.3">
      <c r="A4311" t="str">
        <f>"20200111150115304"</f>
        <v>20200111150115304</v>
      </c>
      <c r="B4311" t="str">
        <f>"1578726075302590"</f>
        <v>1578726075302590</v>
      </c>
      <c r="C4311" t="s">
        <v>40</v>
      </c>
      <c r="D4311">
        <v>4.499568</v>
      </c>
      <c r="E4311">
        <v>0.63944999999999996</v>
      </c>
      <c r="F4311" t="s">
        <v>91</v>
      </c>
      <c r="G4311">
        <v>-279.02</v>
      </c>
      <c r="H4311">
        <v>0.25023719999999999</v>
      </c>
      <c r="I4311">
        <v>-2.5476459999999999E-2</v>
      </c>
      <c r="J4311">
        <v>-344.6696</v>
      </c>
      <c r="K4311">
        <v>1.1041339999999999</v>
      </c>
      <c r="L4311">
        <v>18.026</v>
      </c>
      <c r="M4311">
        <v>0.99985400000000002</v>
      </c>
      <c r="N4311">
        <v>0</v>
      </c>
      <c r="O4311">
        <v>9.2939549999999996E-3</v>
      </c>
      <c r="P4311">
        <v>0.98853349999999995</v>
      </c>
      <c r="Q4311">
        <v>0.1257721</v>
      </c>
      <c r="R4311">
        <v>8.3565E-2</v>
      </c>
      <c r="S4311">
        <v>3.1134339999999998</v>
      </c>
      <c r="T4311">
        <v>-4.0398839999999998E-2</v>
      </c>
      <c r="U4311">
        <v>-0.85400390000000004</v>
      </c>
      <c r="V4311">
        <v>-7.4030349999999995E-2</v>
      </c>
      <c r="W4311">
        <v>0.14013729999999999</v>
      </c>
      <c r="X4311">
        <v>0.98736069999999998</v>
      </c>
      <c r="Y4311">
        <v>0.27345589999999997</v>
      </c>
      <c r="Z4311">
        <v>-1.860345E-3</v>
      </c>
      <c r="AA4311">
        <v>0.96188280000000004</v>
      </c>
      <c r="AB4311">
        <v>31</v>
      </c>
      <c r="AC4311">
        <v>65.649600000000007</v>
      </c>
      <c r="AD4311">
        <v>-0.85389679999999901</v>
      </c>
      <c r="AE4311">
        <v>-18.05147646</v>
      </c>
      <c r="AF4311">
        <v>18.65796916487</v>
      </c>
      <c r="AG4311">
        <v>-0.85389679999999901</v>
      </c>
      <c r="AH4311">
        <v>65.468679791784595</v>
      </c>
      <c r="AI4311">
        <v>90.718645445667804</v>
      </c>
      <c r="AJ4311">
        <v>74.092937425317302</v>
      </c>
      <c r="AK4311">
        <v>68.080812177745898</v>
      </c>
      <c r="AL4311">
        <v>81.944209154155004</v>
      </c>
      <c r="AM4311">
        <v>94.287900991822298</v>
      </c>
      <c r="AN4311">
        <v>1.0000000537384399</v>
      </c>
    </row>
    <row r="4312" spans="1:40" x14ac:dyDescent="0.3">
      <c r="A4312" t="str">
        <f>"20200111150115317"</f>
        <v>20200111150115317</v>
      </c>
      <c r="B4312" t="str">
        <f>"1578726075312348"</f>
        <v>1578726075312348</v>
      </c>
      <c r="C4312" t="s">
        <v>40</v>
      </c>
      <c r="D4312">
        <v>4.4953839999999996</v>
      </c>
      <c r="E4312">
        <v>0.63962680000000005</v>
      </c>
      <c r="F4312" t="s">
        <v>91</v>
      </c>
      <c r="G4312">
        <v>-279.02</v>
      </c>
      <c r="H4312">
        <v>0.1838437</v>
      </c>
      <c r="I4312">
        <v>-0.1180668</v>
      </c>
      <c r="J4312">
        <v>-344.49630000000002</v>
      </c>
      <c r="K4312">
        <v>1.1041510000000001</v>
      </c>
      <c r="L4312">
        <v>18.026979999999998</v>
      </c>
      <c r="M4312">
        <v>0.99985959999999996</v>
      </c>
      <c r="N4312">
        <v>0</v>
      </c>
      <c r="O4312">
        <v>8.6622049999999992E-3</v>
      </c>
      <c r="P4312">
        <v>0.98866920000000003</v>
      </c>
      <c r="Q4312">
        <v>0.12550619999999901</v>
      </c>
      <c r="R4312">
        <v>8.2350880000000001E-2</v>
      </c>
      <c r="S4312">
        <v>3.1130680000000002</v>
      </c>
      <c r="T4312">
        <v>-4.3639659999999997E-2</v>
      </c>
      <c r="U4312">
        <v>-0.86038210000000004</v>
      </c>
      <c r="V4312">
        <v>-7.3447970000000001E-2</v>
      </c>
      <c r="W4312">
        <v>0.139865299999999</v>
      </c>
      <c r="X4312">
        <v>0.98744270000000001</v>
      </c>
      <c r="Y4312">
        <v>0.27470489999999997</v>
      </c>
      <c r="Z4312">
        <v>-2.0091559999999998E-3</v>
      </c>
      <c r="AA4312">
        <v>0.96152649999999995</v>
      </c>
      <c r="AB4312">
        <v>31</v>
      </c>
      <c r="AC4312">
        <v>65.476299999999995</v>
      </c>
      <c r="AD4312">
        <v>-0.92030730000000005</v>
      </c>
      <c r="AE4312">
        <v>-18.145046799999999</v>
      </c>
      <c r="AF4312">
        <v>18.708161017065802</v>
      </c>
      <c r="AG4312">
        <v>-0.92030730000000005</v>
      </c>
      <c r="AH4312">
        <v>65.304669292733806</v>
      </c>
      <c r="AI4312">
        <v>90.776171022776794</v>
      </c>
      <c r="AJ4312">
        <v>74.014311202740203</v>
      </c>
      <c r="AK4312">
        <v>67.937780988197105</v>
      </c>
      <c r="AL4312">
        <v>81.959948151947401</v>
      </c>
      <c r="AM4312">
        <v>94.2539413879623</v>
      </c>
      <c r="AN4312">
        <v>0.99999999611224999</v>
      </c>
    </row>
    <row r="4313" spans="1:40" x14ac:dyDescent="0.3">
      <c r="A4313" t="str">
        <f>"20200111150115328"</f>
        <v>20200111150115328</v>
      </c>
      <c r="B4313" t="str">
        <f>"1578726075322109"</f>
        <v>1578726075322109</v>
      </c>
      <c r="C4313" t="s">
        <v>40</v>
      </c>
      <c r="D4313">
        <v>4.5115220000000003</v>
      </c>
      <c r="E4313">
        <v>0.63985400000000003</v>
      </c>
      <c r="F4313" t="s">
        <v>91</v>
      </c>
      <c r="G4313">
        <v>-279.02</v>
      </c>
      <c r="H4313">
        <v>0.15927369999999999</v>
      </c>
      <c r="I4313">
        <v>-0.1854191</v>
      </c>
      <c r="J4313">
        <v>-344.3313</v>
      </c>
      <c r="K4313">
        <v>1.1041729999999901</v>
      </c>
      <c r="L4313">
        <v>18.027799999999999</v>
      </c>
      <c r="M4313">
        <v>0.99986439999999999</v>
      </c>
      <c r="N4313">
        <v>0</v>
      </c>
      <c r="O4313">
        <v>8.0834310000000003E-3</v>
      </c>
      <c r="P4313">
        <v>0.98873929999999999</v>
      </c>
      <c r="Q4313">
        <v>0.12561220000000001</v>
      </c>
      <c r="R4313">
        <v>8.1341440000000001E-2</v>
      </c>
      <c r="S4313">
        <v>3.1121829999999999</v>
      </c>
      <c r="T4313">
        <v>-4.4911380000000001E-2</v>
      </c>
      <c r="U4313">
        <v>-0.86566160000000003</v>
      </c>
      <c r="V4313">
        <v>-7.3018449999999999E-2</v>
      </c>
      <c r="W4313">
        <v>0.13996439999999999</v>
      </c>
      <c r="X4313">
        <v>0.98746049999999996</v>
      </c>
      <c r="Y4313">
        <v>0.27573150000000002</v>
      </c>
      <c r="Z4313">
        <v>-2.0668739999999998E-3</v>
      </c>
      <c r="AA4313">
        <v>0.96123250000000005</v>
      </c>
      <c r="AB4313">
        <v>31</v>
      </c>
      <c r="AC4313">
        <v>65.311300000000003</v>
      </c>
      <c r="AD4313">
        <v>-0.9448993</v>
      </c>
      <c r="AE4313">
        <v>-18.2132191</v>
      </c>
      <c r="AF4313">
        <v>18.736978765484402</v>
      </c>
      <c r="AG4313">
        <v>-0.9448993</v>
      </c>
      <c r="AH4313">
        <v>65.149272713493204</v>
      </c>
      <c r="AI4313">
        <v>90.798571030951294</v>
      </c>
      <c r="AJ4313">
        <v>73.954725751208201</v>
      </c>
      <c r="AK4313">
        <v>67.796717789598503</v>
      </c>
      <c r="AL4313">
        <v>81.954213629087306</v>
      </c>
      <c r="AM4313">
        <v>94.229079119700998</v>
      </c>
      <c r="AN4313">
        <v>0.99999998318400596</v>
      </c>
    </row>
    <row r="4314" spans="1:40" x14ac:dyDescent="0.3">
      <c r="A4314" t="str">
        <f>"20200111150115341"</f>
        <v>20200111150115341</v>
      </c>
      <c r="B4314" t="str">
        <f>"1578726075331869"</f>
        <v>1578726075331869</v>
      </c>
      <c r="C4314" t="s">
        <v>40</v>
      </c>
      <c r="D4314">
        <v>4.5294270000000001</v>
      </c>
      <c r="E4314">
        <v>0.64004419999999995</v>
      </c>
      <c r="F4314" t="s">
        <v>91</v>
      </c>
      <c r="G4314">
        <v>-279.02</v>
      </c>
      <c r="H4314">
        <v>0.15901609999999999</v>
      </c>
      <c r="I4314">
        <v>-0.25324819999999998</v>
      </c>
      <c r="J4314">
        <v>-344.15710000000001</v>
      </c>
      <c r="K4314">
        <v>1.104201</v>
      </c>
      <c r="L4314">
        <v>18.02863</v>
      </c>
      <c r="M4314">
        <v>0.99986909999999896</v>
      </c>
      <c r="N4314">
        <v>0</v>
      </c>
      <c r="O4314">
        <v>7.4845099999999998E-3</v>
      </c>
      <c r="P4314">
        <v>0.98887820000000004</v>
      </c>
      <c r="Q4314">
        <v>0.12534709999999999</v>
      </c>
      <c r="R4314">
        <v>8.0051430000000007E-2</v>
      </c>
      <c r="S4314">
        <v>3.111542</v>
      </c>
      <c r="T4314">
        <v>-4.502892E-2</v>
      </c>
      <c r="U4314">
        <v>-0.87094119999999997</v>
      </c>
      <c r="V4314">
        <v>-7.2330039999999998E-2</v>
      </c>
      <c r="W4314">
        <v>0.13969200000000001</v>
      </c>
      <c r="X4314">
        <v>0.98754969999999997</v>
      </c>
      <c r="Y4314">
        <v>0.27671960000000001</v>
      </c>
      <c r="Z4314">
        <v>-2.070737E-3</v>
      </c>
      <c r="AA4314">
        <v>0.96094849999999998</v>
      </c>
      <c r="AB4314">
        <v>31</v>
      </c>
      <c r="AC4314">
        <v>65.137100000000004</v>
      </c>
      <c r="AD4314">
        <v>-0.94518489999999999</v>
      </c>
      <c r="AE4314">
        <v>-18.281878200000001</v>
      </c>
      <c r="AF4314">
        <v>18.765272775647801</v>
      </c>
      <c r="AG4314">
        <v>-0.94518489999999999</v>
      </c>
      <c r="AH4314">
        <v>64.985745964620406</v>
      </c>
      <c r="AI4314">
        <v>90.800575285125504</v>
      </c>
      <c r="AJ4314">
        <v>73.893407091365304</v>
      </c>
      <c r="AK4314">
        <v>67.647439089871199</v>
      </c>
      <c r="AL4314">
        <v>81.969975581126803</v>
      </c>
      <c r="AM4314">
        <v>94.188973395164396</v>
      </c>
      <c r="AN4314">
        <v>0.99999994976024398</v>
      </c>
    </row>
    <row r="4315" spans="1:40" x14ac:dyDescent="0.3">
      <c r="A4315" t="str">
        <f>"20200111150115358"</f>
        <v>20200111150115358</v>
      </c>
      <c r="B4315" t="str">
        <f>"1578726075352365"</f>
        <v>1578726075352365</v>
      </c>
      <c r="C4315" t="s">
        <v>40</v>
      </c>
      <c r="D4315">
        <v>4.5331849999999996</v>
      </c>
      <c r="E4315">
        <v>0.64031990000000005</v>
      </c>
      <c r="F4315" t="s">
        <v>91</v>
      </c>
      <c r="G4315">
        <v>-279.02</v>
      </c>
      <c r="H4315">
        <v>0.14892030000000001</v>
      </c>
      <c r="I4315">
        <v>-0.33502389999999999</v>
      </c>
      <c r="J4315">
        <v>-343.92919999999998</v>
      </c>
      <c r="K4315">
        <v>1.104228</v>
      </c>
      <c r="L4315">
        <v>18.029509999999998</v>
      </c>
      <c r="M4315">
        <v>0.9998745</v>
      </c>
      <c r="N4315">
        <v>0</v>
      </c>
      <c r="O4315">
        <v>6.7391119999999898E-3</v>
      </c>
      <c r="P4315">
        <v>0.98919080000000004</v>
      </c>
      <c r="Q4315">
        <v>0.124254</v>
      </c>
      <c r="R4315">
        <v>7.7863710000000003E-2</v>
      </c>
      <c r="S4315">
        <v>3.1105040000000002</v>
      </c>
      <c r="T4315">
        <v>-4.5617699999999997E-2</v>
      </c>
      <c r="U4315">
        <v>-0.8769226</v>
      </c>
      <c r="V4315">
        <v>-7.0892540000000004E-2</v>
      </c>
      <c r="W4315">
        <v>0.13859089999999999</v>
      </c>
      <c r="X4315">
        <v>0.9878091</v>
      </c>
      <c r="Y4315">
        <v>0.2777982</v>
      </c>
      <c r="Z4315">
        <v>-2.0949779999999999E-3</v>
      </c>
      <c r="AA4315">
        <v>0.96063719999999997</v>
      </c>
      <c r="AB4315">
        <v>31</v>
      </c>
      <c r="AC4315">
        <v>64.909199999999998</v>
      </c>
      <c r="AD4315">
        <v>-0.95530769999999998</v>
      </c>
      <c r="AE4315">
        <v>-18.364533899999898</v>
      </c>
      <c r="AF4315">
        <v>18.797822150117302</v>
      </c>
      <c r="AG4315">
        <v>-0.95530769999999998</v>
      </c>
      <c r="AH4315">
        <v>64.770962288288999</v>
      </c>
      <c r="AI4315">
        <v>90.811514514473402</v>
      </c>
      <c r="AJ4315">
        <v>73.816219770210395</v>
      </c>
      <c r="AK4315">
        <v>67.450339407152597</v>
      </c>
      <c r="AL4315">
        <v>82.033684124433194</v>
      </c>
      <c r="AM4315">
        <v>94.104934054797994</v>
      </c>
      <c r="AN4315">
        <v>1.0000000039166299</v>
      </c>
    </row>
    <row r="4316" spans="1:40" x14ac:dyDescent="0.3">
      <c r="A4316" t="str">
        <f>"20200111150115369"</f>
        <v>20200111150115369</v>
      </c>
      <c r="B4316" t="str">
        <f>"1578726075362125"</f>
        <v>1578726075362125</v>
      </c>
      <c r="C4316" t="s">
        <v>40</v>
      </c>
      <c r="D4316">
        <v>4.4913489999999996</v>
      </c>
      <c r="E4316">
        <v>0.64031990000000005</v>
      </c>
      <c r="F4316" t="s">
        <v>43</v>
      </c>
      <c r="G4316">
        <v>-272.9948</v>
      </c>
      <c r="H4316">
        <v>-0.05</v>
      </c>
      <c r="I4316">
        <v>-2.1987920000000001</v>
      </c>
      <c r="J4316">
        <v>-343.77749999999997</v>
      </c>
      <c r="K4316">
        <v>1.104249</v>
      </c>
      <c r="L4316">
        <v>18.03003</v>
      </c>
      <c r="M4316">
        <v>0.99987760000000003</v>
      </c>
      <c r="N4316">
        <v>0</v>
      </c>
      <c r="O4316">
        <v>6.2601970000000003E-3</v>
      </c>
      <c r="P4316">
        <v>0.98942640000000004</v>
      </c>
      <c r="Q4316">
        <v>0.1231766</v>
      </c>
      <c r="R4316">
        <v>7.6571699999999895E-2</v>
      </c>
      <c r="S4316">
        <v>3.1089169999999999</v>
      </c>
      <c r="T4316">
        <v>-5.0587529999999999E-2</v>
      </c>
      <c r="U4316">
        <v>-0.88656619999999997</v>
      </c>
      <c r="V4316">
        <v>-7.008267E-2</v>
      </c>
      <c r="W4316">
        <v>0.13750889999999999</v>
      </c>
      <c r="X4316">
        <v>0.98801810000000001</v>
      </c>
      <c r="Y4316">
        <v>0.28021649999999998</v>
      </c>
      <c r="Z4316">
        <v>-2.3350110000000001E-3</v>
      </c>
      <c r="AA4316">
        <v>0.95993399999999995</v>
      </c>
      <c r="AB4316">
        <v>31</v>
      </c>
      <c r="AC4316">
        <v>70.782699999999906</v>
      </c>
      <c r="AD4316">
        <v>-1.1542490000000001</v>
      </c>
      <c r="AE4316">
        <v>-20.228822000000001</v>
      </c>
      <c r="AF4316">
        <v>20.6665041325417</v>
      </c>
      <c r="AG4316">
        <v>-1.1542490000000001</v>
      </c>
      <c r="AH4316">
        <v>70.637297984056801</v>
      </c>
      <c r="AI4316">
        <v>90.898499525781702</v>
      </c>
      <c r="AJ4316">
        <v>73.691995486133294</v>
      </c>
      <c r="AK4316">
        <v>73.607503355994893</v>
      </c>
      <c r="AL4316">
        <v>82.096277619408596</v>
      </c>
      <c r="AM4316">
        <v>94.057341656532898</v>
      </c>
      <c r="AN4316">
        <v>1.00000002207057</v>
      </c>
    </row>
    <row r="4317" spans="1:40" x14ac:dyDescent="0.3">
      <c r="A4317" t="str">
        <f>"20200111150115381"</f>
        <v>20200111150115381</v>
      </c>
      <c r="B4317" t="str">
        <f>"1578726075371886"</f>
        <v>1578726075371886</v>
      </c>
      <c r="C4317" t="s">
        <v>40</v>
      </c>
      <c r="D4317">
        <v>4.7679460000000002</v>
      </c>
      <c r="E4317">
        <v>0.65101880000000001</v>
      </c>
      <c r="F4317" t="s">
        <v>43</v>
      </c>
      <c r="G4317">
        <v>-277.57249999999999</v>
      </c>
      <c r="H4317">
        <v>-0.05</v>
      </c>
      <c r="I4317">
        <v>-0.9406738</v>
      </c>
      <c r="J4317">
        <v>-343.61040000000003</v>
      </c>
      <c r="K4317">
        <v>1.104271</v>
      </c>
      <c r="L4317">
        <v>18.030550000000002</v>
      </c>
      <c r="M4317">
        <v>0.99988069999999896</v>
      </c>
      <c r="N4317">
        <v>0</v>
      </c>
      <c r="O4317">
        <v>5.7386900000000003E-3</v>
      </c>
      <c r="P4317">
        <v>0.98962169999999905</v>
      </c>
      <c r="Q4317">
        <v>0.1223731</v>
      </c>
      <c r="R4317">
        <v>7.5324740000000001E-2</v>
      </c>
      <c r="S4317">
        <v>3.1077270000000001</v>
      </c>
      <c r="T4317">
        <v>-5.418158E-2</v>
      </c>
      <c r="U4317">
        <v>-0.89050289999999999</v>
      </c>
      <c r="V4317">
        <v>-6.9360229999999995E-2</v>
      </c>
      <c r="W4317">
        <v>0.1367003</v>
      </c>
      <c r="X4317">
        <v>0.98818119999999998</v>
      </c>
      <c r="Y4317">
        <v>0.2809316</v>
      </c>
      <c r="Z4317">
        <v>-2.498569E-3</v>
      </c>
      <c r="AA4317">
        <v>0.95972449999999998</v>
      </c>
      <c r="AB4317">
        <v>31</v>
      </c>
      <c r="AC4317">
        <v>66.037899999999993</v>
      </c>
      <c r="AD4317">
        <v>-1.1542709999999901</v>
      </c>
      <c r="AE4317">
        <v>-18.971223800000001</v>
      </c>
      <c r="AF4317">
        <v>19.344461940190001</v>
      </c>
      <c r="AG4317">
        <v>-1.1542709999999901</v>
      </c>
      <c r="AH4317">
        <v>65.909330186721505</v>
      </c>
      <c r="AI4317">
        <v>90.962718151622994</v>
      </c>
      <c r="AJ4317">
        <v>73.642977266314801</v>
      </c>
      <c r="AK4317">
        <v>68.699201996523797</v>
      </c>
      <c r="AL4317">
        <v>82.143048086421203</v>
      </c>
      <c r="AM4317">
        <v>94.014993887416395</v>
      </c>
      <c r="AN4317">
        <v>0.99999994877958998</v>
      </c>
    </row>
    <row r="4318" spans="1:40" x14ac:dyDescent="0.3">
      <c r="A4318" t="str">
        <f>"20200111150115392"</f>
        <v>20200111150115392</v>
      </c>
      <c r="B4318" t="str">
        <f>"1578726075382621"</f>
        <v>1578726075382621</v>
      </c>
      <c r="C4318" t="s">
        <v>40</v>
      </c>
      <c r="D4318">
        <v>4.543425</v>
      </c>
      <c r="E4318">
        <v>0.64936930000000004</v>
      </c>
      <c r="F4318" t="s">
        <v>42</v>
      </c>
      <c r="G4318">
        <v>-327.33530000000002</v>
      </c>
      <c r="H4318" s="1">
        <v>-2.7859369999999998E-6</v>
      </c>
      <c r="I4318">
        <v>12.932359999999999</v>
      </c>
      <c r="J4318">
        <v>-343.45310000000001</v>
      </c>
      <c r="K4318">
        <v>1.104282</v>
      </c>
      <c r="L4318">
        <v>18.030940000000001</v>
      </c>
      <c r="M4318">
        <v>0.99988339999999998</v>
      </c>
      <c r="N4318">
        <v>0</v>
      </c>
      <c r="O4318">
        <v>5.258736E-3</v>
      </c>
      <c r="P4318">
        <v>0.98979059999999996</v>
      </c>
      <c r="Q4318">
        <v>0.121589</v>
      </c>
      <c r="R4318">
        <v>7.4370640000000002E-2</v>
      </c>
      <c r="S4318">
        <v>3.1324160000000001</v>
      </c>
      <c r="T4318">
        <v>-0.212536</v>
      </c>
      <c r="U4318">
        <v>-0.98123170000000004</v>
      </c>
      <c r="V4318">
        <v>-6.8887130000000005E-2</v>
      </c>
      <c r="W4318">
        <v>0.1359128</v>
      </c>
      <c r="X4318">
        <v>0.98832299999999995</v>
      </c>
      <c r="Y4318">
        <v>0.30329600000000001</v>
      </c>
      <c r="Z4318">
        <v>-1.0386090000000001E-2</v>
      </c>
      <c r="AA4318">
        <v>0.95283980000000001</v>
      </c>
      <c r="AB4318">
        <v>31</v>
      </c>
      <c r="AC4318">
        <v>16.1177999999999</v>
      </c>
      <c r="AD4318">
        <v>-1.104284785937</v>
      </c>
      <c r="AE4318">
        <v>-5.0985800000000001</v>
      </c>
      <c r="AF4318">
        <v>5.1612539144667604</v>
      </c>
      <c r="AG4318">
        <v>-1.104284785937</v>
      </c>
      <c r="AH4318">
        <v>16.0223932423369</v>
      </c>
      <c r="AI4318">
        <v>93.7533230977958</v>
      </c>
      <c r="AJ4318">
        <v>72.144821351874398</v>
      </c>
      <c r="AK4318">
        <v>16.8693530424298</v>
      </c>
      <c r="AL4318">
        <v>82.188594316058598</v>
      </c>
      <c r="AM4318">
        <v>93.987126331461297</v>
      </c>
      <c r="AN4318">
        <v>1.00000003910623</v>
      </c>
    </row>
    <row r="4319" spans="1:40" x14ac:dyDescent="0.3">
      <c r="A4319" t="str">
        <f>"20200111150115404"</f>
        <v>20200111150115404</v>
      </c>
      <c r="B4319" t="str">
        <f>"1578726075402141"</f>
        <v>1578726075402141</v>
      </c>
      <c r="C4319" t="s">
        <v>40</v>
      </c>
      <c r="D4319">
        <v>4.5460339999999997</v>
      </c>
      <c r="E4319">
        <v>0.6480998</v>
      </c>
      <c r="F4319" t="s">
        <v>42</v>
      </c>
      <c r="G4319">
        <v>-324.3014</v>
      </c>
      <c r="H4319" s="1">
        <v>-4.1765370000000001E-6</v>
      </c>
      <c r="I4319">
        <v>12.084680000000001</v>
      </c>
      <c r="J4319">
        <v>-343.29700000000003</v>
      </c>
      <c r="K4319">
        <v>1.1042920000000001</v>
      </c>
      <c r="L4319">
        <v>18.031310000000001</v>
      </c>
      <c r="M4319">
        <v>0.99988589999999999</v>
      </c>
      <c r="N4319">
        <v>0</v>
      </c>
      <c r="O4319">
        <v>4.7834339999999996E-3</v>
      </c>
      <c r="P4319">
        <v>0.98991419999999997</v>
      </c>
      <c r="Q4319">
        <v>0.12126290000000001</v>
      </c>
      <c r="R4319">
        <v>7.3251140000000006E-2</v>
      </c>
      <c r="S4319">
        <v>3.1260379999999999</v>
      </c>
      <c r="T4319">
        <v>-0.1802474</v>
      </c>
      <c r="U4319">
        <v>-0.97058109999999997</v>
      </c>
      <c r="V4319">
        <v>-6.8242720000000007E-2</v>
      </c>
      <c r="W4319">
        <v>0.1355826</v>
      </c>
      <c r="X4319">
        <v>0.98841299999999999</v>
      </c>
      <c r="Y4319">
        <v>0.300622</v>
      </c>
      <c r="Z4319">
        <v>-8.7303420000000003E-3</v>
      </c>
      <c r="AA4319">
        <v>0.95370339999999998</v>
      </c>
      <c r="AB4319">
        <v>31</v>
      </c>
      <c r="AC4319">
        <v>18.9955999999999</v>
      </c>
      <c r="AD4319">
        <v>-1.1042961765369901</v>
      </c>
      <c r="AE4319">
        <v>-5.9466299999999999</v>
      </c>
      <c r="AF4319">
        <v>6.0189095632645104</v>
      </c>
      <c r="AG4319">
        <v>-1.1042961765369901</v>
      </c>
      <c r="AH4319">
        <v>18.908734216558202</v>
      </c>
      <c r="AI4319">
        <v>93.185228109678803</v>
      </c>
      <c r="AJ4319">
        <v>72.343013301731204</v>
      </c>
      <c r="AK4319">
        <v>19.8742791579647</v>
      </c>
      <c r="AL4319">
        <v>82.207689714644999</v>
      </c>
      <c r="AM4319">
        <v>93.949588543222006</v>
      </c>
      <c r="AN4319">
        <v>0.99999998441237903</v>
      </c>
    </row>
    <row r="4320" spans="1:40" x14ac:dyDescent="0.3">
      <c r="A4320" t="str">
        <f>"20200111150115414"</f>
        <v>20200111150115414</v>
      </c>
      <c r="B4320" t="str">
        <f>"1578726075411901"</f>
        <v>1578726075411901</v>
      </c>
      <c r="C4320" t="s">
        <v>40</v>
      </c>
      <c r="D4320">
        <v>4.4281699999999997</v>
      </c>
      <c r="E4320">
        <v>0.6480998</v>
      </c>
      <c r="F4320" t="s">
        <v>42</v>
      </c>
      <c r="G4320">
        <v>-320.25599999999997</v>
      </c>
      <c r="H4320" s="1">
        <v>-6.1297970000000003E-6</v>
      </c>
      <c r="I4320">
        <v>10.916040000000001</v>
      </c>
      <c r="J4320">
        <v>-343.1413</v>
      </c>
      <c r="K4320">
        <v>1.1042920000000001</v>
      </c>
      <c r="L4320">
        <v>18.031559999999999</v>
      </c>
      <c r="M4320">
        <v>0.999888</v>
      </c>
      <c r="N4320">
        <v>0</v>
      </c>
      <c r="O4320">
        <v>4.3124829999999998E-3</v>
      </c>
      <c r="P4320">
        <v>0.98999400000000004</v>
      </c>
      <c r="Q4320">
        <v>0.1210373</v>
      </c>
      <c r="R4320">
        <v>7.2539049999999994E-2</v>
      </c>
      <c r="S4320">
        <v>3.1201479999999999</v>
      </c>
      <c r="T4320">
        <v>-0.14954129999999999</v>
      </c>
      <c r="U4320">
        <v>-0.96353149999999999</v>
      </c>
      <c r="V4320">
        <v>-6.7998820000000001E-2</v>
      </c>
      <c r="W4320">
        <v>0.13535440000000001</v>
      </c>
      <c r="X4320">
        <v>0.98846109999999998</v>
      </c>
      <c r="Y4320">
        <v>0.2988613</v>
      </c>
      <c r="Z4320">
        <v>-7.1969750000000004E-3</v>
      </c>
      <c r="AA4320">
        <v>0.95426940000000005</v>
      </c>
      <c r="AB4320">
        <v>31</v>
      </c>
      <c r="AC4320">
        <v>22.885300000000001</v>
      </c>
      <c r="AD4320">
        <v>-1.104298129797</v>
      </c>
      <c r="AE4320">
        <v>-7.1155200000000001</v>
      </c>
      <c r="AF4320">
        <v>7.1988720663078603</v>
      </c>
      <c r="AG4320">
        <v>-1.104298129797</v>
      </c>
      <c r="AH4320">
        <v>22.805977696692999</v>
      </c>
      <c r="AI4320">
        <v>92.643788615904697</v>
      </c>
      <c r="AJ4320">
        <v>72.481321080189304</v>
      </c>
      <c r="AK4320">
        <v>23.940673593042401</v>
      </c>
      <c r="AL4320">
        <v>82.220886381513097</v>
      </c>
      <c r="AM4320">
        <v>93.935326213724807</v>
      </c>
      <c r="AN4320">
        <v>0.99999999966698105</v>
      </c>
    </row>
    <row r="4321" spans="1:40" x14ac:dyDescent="0.3">
      <c r="A4321" t="str">
        <f>"20200111150115427"</f>
        <v>20200111150115427</v>
      </c>
      <c r="B4321" t="str">
        <f>"1578726075422637"</f>
        <v>1578726075422637</v>
      </c>
      <c r="C4321" t="s">
        <v>40</v>
      </c>
      <c r="D4321">
        <v>4.5528089999999999</v>
      </c>
      <c r="E4321">
        <v>0.58632269999999997</v>
      </c>
      <c r="F4321" t="s">
        <v>42</v>
      </c>
      <c r="G4321">
        <v>-320.32049999999998</v>
      </c>
      <c r="H4321" s="1">
        <v>-6.0900890000000003E-6</v>
      </c>
      <c r="I4321">
        <v>10.96815</v>
      </c>
      <c r="J4321">
        <v>-342.98419999999999</v>
      </c>
      <c r="K4321">
        <v>1.1042940000000001</v>
      </c>
      <c r="L4321">
        <v>18.03171</v>
      </c>
      <c r="M4321">
        <v>0.9998901</v>
      </c>
      <c r="N4321">
        <v>0</v>
      </c>
      <c r="O4321">
        <v>3.8332700000000002E-3</v>
      </c>
      <c r="P4321">
        <v>0.99005500000000002</v>
      </c>
      <c r="Q4321">
        <v>0.1208721</v>
      </c>
      <c r="R4321">
        <v>7.1984069999999997E-2</v>
      </c>
      <c r="S4321">
        <v>3.1195369999999998</v>
      </c>
      <c r="T4321">
        <v>-0.15095410000000001</v>
      </c>
      <c r="U4321">
        <v>-0.96554569999999995</v>
      </c>
      <c r="V4321">
        <v>-6.7919320000000005E-2</v>
      </c>
      <c r="W4321">
        <v>0.1351871</v>
      </c>
      <c r="X4321">
        <v>0.98848939999999996</v>
      </c>
      <c r="Y4321">
        <v>0.29901319999999998</v>
      </c>
      <c r="Z4321">
        <v>-7.2465130000000004E-3</v>
      </c>
      <c r="AA4321">
        <v>0.9542214</v>
      </c>
      <c r="AB4321">
        <v>31</v>
      </c>
      <c r="AC4321">
        <v>22.663699999999999</v>
      </c>
      <c r="AD4321">
        <v>-1.1043000900890001</v>
      </c>
      <c r="AE4321">
        <v>-7.0635599999999998</v>
      </c>
      <c r="AF4321">
        <v>7.1349532456384797</v>
      </c>
      <c r="AG4321">
        <v>-1.1043000900890001</v>
      </c>
      <c r="AH4321">
        <v>22.587575264755099</v>
      </c>
      <c r="AI4321">
        <v>92.669149571435895</v>
      </c>
      <c r="AJ4321">
        <v>72.469738441950298</v>
      </c>
      <c r="AK4321">
        <v>23.713405340595699</v>
      </c>
      <c r="AL4321">
        <v>82.230560420350997</v>
      </c>
      <c r="AM4321">
        <v>93.930627523237803</v>
      </c>
      <c r="AN4321">
        <v>0.99999993997401404</v>
      </c>
    </row>
    <row r="4322" spans="1:40" x14ac:dyDescent="0.3">
      <c r="A4322" t="str">
        <f>"20200111150115438"</f>
        <v>20200111150115438</v>
      </c>
      <c r="B4322" t="str">
        <f>"1578726075432397"</f>
        <v>1578726075432397</v>
      </c>
      <c r="C4322" t="s">
        <v>40</v>
      </c>
      <c r="D4322">
        <v>4.574624</v>
      </c>
      <c r="E4322">
        <v>0.57343049999999995</v>
      </c>
      <c r="F4322" t="s">
        <v>42</v>
      </c>
      <c r="G4322">
        <v>-327.0127</v>
      </c>
      <c r="H4322" s="1">
        <v>-2.207613E-6</v>
      </c>
      <c r="I4322">
        <v>15.57151</v>
      </c>
      <c r="J4322">
        <v>-342.81659999999999</v>
      </c>
      <c r="K4322">
        <v>1.1042890000000001</v>
      </c>
      <c r="L4322">
        <v>18.031890000000001</v>
      </c>
      <c r="M4322">
        <v>0.99989189999999994</v>
      </c>
      <c r="N4322">
        <v>0</v>
      </c>
      <c r="O4322">
        <v>3.3189880000000001E-3</v>
      </c>
      <c r="P4322">
        <v>0.99008359999999995</v>
      </c>
      <c r="Q4322">
        <v>0.12104959999999999</v>
      </c>
      <c r="R4322">
        <v>7.1288470000000007E-2</v>
      </c>
      <c r="S4322">
        <v>3.0908509999999998</v>
      </c>
      <c r="T4322">
        <v>-0.21370639999999999</v>
      </c>
      <c r="U4322">
        <v>-0.47610469999999999</v>
      </c>
      <c r="V4322">
        <v>-6.7731970000000002E-2</v>
      </c>
      <c r="W4322">
        <v>0.13536289999999901</v>
      </c>
      <c r="X4322">
        <v>0.98847819999999997</v>
      </c>
      <c r="Y4322">
        <v>0.15515139999999999</v>
      </c>
      <c r="Z4322">
        <v>-5.553924E-3</v>
      </c>
      <c r="AA4322">
        <v>0.98787510000000001</v>
      </c>
      <c r="AB4322">
        <v>31</v>
      </c>
      <c r="AC4322">
        <v>15.803900000000001</v>
      </c>
      <c r="AD4322">
        <v>-1.10429120761299</v>
      </c>
      <c r="AE4322">
        <v>-2.4603799999999998</v>
      </c>
      <c r="AF4322">
        <v>2.5009031649062199</v>
      </c>
      <c r="AG4322">
        <v>-1.10429120761299</v>
      </c>
      <c r="AH4322">
        <v>15.7207067015252</v>
      </c>
      <c r="AI4322">
        <v>93.968367466037293</v>
      </c>
      <c r="AJ4322">
        <v>80.960937909157295</v>
      </c>
      <c r="AK4322">
        <v>15.9566473579769</v>
      </c>
      <c r="AL4322">
        <v>82.220394401322395</v>
      </c>
      <c r="AM4322">
        <v>93.919863323611594</v>
      </c>
      <c r="AN4322">
        <v>0.99999994316586305</v>
      </c>
    </row>
    <row r="4323" spans="1:40" x14ac:dyDescent="0.3">
      <c r="A4323" t="str">
        <f>"20200111150115449"</f>
        <v>20200111150115449</v>
      </c>
      <c r="B4323" t="str">
        <f>"1578726075442157"</f>
        <v>1578726075442157</v>
      </c>
      <c r="C4323" t="s">
        <v>40</v>
      </c>
      <c r="D4323">
        <v>4.6012789999999999</v>
      </c>
      <c r="E4323">
        <v>0.56763739999999996</v>
      </c>
      <c r="F4323" t="s">
        <v>42</v>
      </c>
      <c r="G4323">
        <v>-324.05950000000001</v>
      </c>
      <c r="H4323" s="1">
        <v>-3.4750109999999999E-6</v>
      </c>
      <c r="I4323">
        <v>15.746650000000001</v>
      </c>
      <c r="J4323">
        <v>-342.66</v>
      </c>
      <c r="K4323">
        <v>1.1042780000000001</v>
      </c>
      <c r="L4323">
        <v>18.031860000000002</v>
      </c>
      <c r="M4323">
        <v>0.99989340000000004</v>
      </c>
      <c r="N4323">
        <v>0</v>
      </c>
      <c r="O4323">
        <v>2.8246619999999999E-3</v>
      </c>
      <c r="P4323">
        <v>0.99016859999999995</v>
      </c>
      <c r="Q4323">
        <v>0.1207268</v>
      </c>
      <c r="R4323">
        <v>7.0649799999999999E-2</v>
      </c>
      <c r="S4323">
        <v>3.079224</v>
      </c>
      <c r="T4323">
        <v>-0.18128420000000001</v>
      </c>
      <c r="U4323">
        <v>-0.3751526</v>
      </c>
      <c r="V4323">
        <v>-6.7580360000000006E-2</v>
      </c>
      <c r="W4323">
        <v>0.1350411</v>
      </c>
      <c r="X4323">
        <v>0.98853270000000004</v>
      </c>
      <c r="Y4323">
        <v>0.1235274</v>
      </c>
      <c r="Z4323">
        <v>-3.7853090000000002E-3</v>
      </c>
      <c r="AA4323">
        <v>0.99233389999999999</v>
      </c>
      <c r="AB4323">
        <v>31</v>
      </c>
      <c r="AC4323">
        <v>18.6005</v>
      </c>
      <c r="AD4323">
        <v>-1.1042814750109999</v>
      </c>
      <c r="AE4323">
        <v>-2.2852100000000002</v>
      </c>
      <c r="AF4323">
        <v>2.3296573743647402</v>
      </c>
      <c r="AG4323">
        <v>-1.1042814750109999</v>
      </c>
      <c r="AH4323">
        <v>18.5296316796159</v>
      </c>
      <c r="AI4323">
        <v>93.383955475277702</v>
      </c>
      <c r="AJ4323">
        <v>82.834027786128999</v>
      </c>
      <c r="AK4323">
        <v>18.70812634232</v>
      </c>
      <c r="AL4323">
        <v>82.2390038927349</v>
      </c>
      <c r="AM4323">
        <v>93.910901475544193</v>
      </c>
      <c r="AN4323">
        <v>1.00000005135811</v>
      </c>
    </row>
    <row r="4324" spans="1:40" x14ac:dyDescent="0.3">
      <c r="A4324" t="str">
        <f>"20200111150115461"</f>
        <v>20200111150115461</v>
      </c>
      <c r="B4324" t="str">
        <f>"1578726075451918"</f>
        <v>1578726075451918</v>
      </c>
      <c r="C4324" t="s">
        <v>40</v>
      </c>
      <c r="D4324">
        <v>4.5808949999999999</v>
      </c>
      <c r="E4324">
        <v>0.56440900000000005</v>
      </c>
      <c r="F4324" t="s">
        <v>42</v>
      </c>
      <c r="G4324">
        <v>-323.66309999999999</v>
      </c>
      <c r="H4324" s="1">
        <v>-3.6195299999999998E-6</v>
      </c>
      <c r="I4324">
        <v>15.988289999999999</v>
      </c>
      <c r="J4324">
        <v>-342.4975</v>
      </c>
      <c r="K4324">
        <v>1.104268</v>
      </c>
      <c r="L4324">
        <v>18.0318</v>
      </c>
      <c r="M4324">
        <v>0.99989470000000003</v>
      </c>
      <c r="N4324">
        <v>0</v>
      </c>
      <c r="O4324">
        <v>2.305854E-3</v>
      </c>
      <c r="P4324">
        <v>0.99021519999999996</v>
      </c>
      <c r="Q4324">
        <v>0.120502</v>
      </c>
      <c r="R4324">
        <v>7.0376880000000003E-2</v>
      </c>
      <c r="S4324">
        <v>3.0751949999999999</v>
      </c>
      <c r="T4324">
        <v>-0.1787598</v>
      </c>
      <c r="U4324">
        <v>-0.33081050000000001</v>
      </c>
      <c r="V4324">
        <v>-6.7817669999999997E-2</v>
      </c>
      <c r="W4324">
        <v>0.13481670000000001</v>
      </c>
      <c r="X4324">
        <v>0.98854699999999995</v>
      </c>
      <c r="Y4324">
        <v>0.10906349999999999</v>
      </c>
      <c r="Z4324">
        <v>-3.2917049999999998E-3</v>
      </c>
      <c r="AA4324">
        <v>0.9940293</v>
      </c>
      <c r="AB4324">
        <v>31</v>
      </c>
      <c r="AC4324">
        <v>18.834399999999999</v>
      </c>
      <c r="AD4324">
        <v>-1.10427161953</v>
      </c>
      <c r="AE4324">
        <v>-2.0435099999999999</v>
      </c>
      <c r="AF4324">
        <v>2.0798719363818101</v>
      </c>
      <c r="AG4324">
        <v>-1.10427161953</v>
      </c>
      <c r="AH4324">
        <v>18.765879424996601</v>
      </c>
      <c r="AI4324">
        <v>93.347218025015806</v>
      </c>
      <c r="AJ4324">
        <v>83.675569445946095</v>
      </c>
      <c r="AK4324">
        <v>18.9130514109955</v>
      </c>
      <c r="AL4324">
        <v>82.251979130744203</v>
      </c>
      <c r="AM4324">
        <v>93.924535261125897</v>
      </c>
      <c r="AN4324">
        <v>0.99999997508605898</v>
      </c>
    </row>
    <row r="4325" spans="1:40" x14ac:dyDescent="0.3">
      <c r="A4325" t="str">
        <f>"20200111150115474"</f>
        <v>20200111150115474</v>
      </c>
      <c r="B4325" t="str">
        <f>"1578726075461677"</f>
        <v>1578726075461677</v>
      </c>
      <c r="C4325" t="s">
        <v>40</v>
      </c>
      <c r="D4325">
        <v>4.5884320000000001</v>
      </c>
      <c r="E4325">
        <v>0.56335009999999996</v>
      </c>
      <c r="F4325" t="s">
        <v>41</v>
      </c>
      <c r="G4325">
        <v>-341.51900000000001</v>
      </c>
      <c r="H4325">
        <v>1.043129</v>
      </c>
      <c r="I4325">
        <v>17.93421</v>
      </c>
      <c r="J4325">
        <v>-342.3356</v>
      </c>
      <c r="K4325">
        <v>1.1042510000000001</v>
      </c>
      <c r="L4325">
        <v>18.03162</v>
      </c>
      <c r="M4325">
        <v>0.99989589999999995</v>
      </c>
      <c r="N4325">
        <v>0</v>
      </c>
      <c r="O4325">
        <v>1.7688949999999999E-3</v>
      </c>
      <c r="P4325">
        <v>0.99029500000000004</v>
      </c>
      <c r="Q4325">
        <v>0.1201552</v>
      </c>
      <c r="R4325">
        <v>6.9847350000000002E-2</v>
      </c>
      <c r="S4325">
        <v>3.0747990000000001</v>
      </c>
      <c r="T4325">
        <v>-0.19207869999999999</v>
      </c>
      <c r="U4325">
        <v>-0.30609130000000001</v>
      </c>
      <c r="V4325">
        <v>-6.7815210000000001E-2</v>
      </c>
      <c r="W4325">
        <v>0.13447219999999999</v>
      </c>
      <c r="X4325">
        <v>0.98859410000000003</v>
      </c>
      <c r="Y4325">
        <v>0.1006214</v>
      </c>
      <c r="Z4325">
        <v>-3.2422000000000002E-3</v>
      </c>
      <c r="AA4325">
        <v>0.99491949999999996</v>
      </c>
      <c r="AB4325">
        <v>31</v>
      </c>
      <c r="AC4325">
        <v>0.816599999999994</v>
      </c>
      <c r="AD4325">
        <v>-6.1121999999999899E-2</v>
      </c>
      <c r="AE4325">
        <v>-9.7409999999999997E-2</v>
      </c>
      <c r="AF4325">
        <v>9.8311419985729898E-2</v>
      </c>
      <c r="AG4325">
        <v>-6.1121999999999899E-2</v>
      </c>
      <c r="AH4325">
        <v>0.81194137200833005</v>
      </c>
      <c r="AI4325">
        <v>94.273940829114295</v>
      </c>
      <c r="AJ4325">
        <v>83.096124975811193</v>
      </c>
      <c r="AK4325">
        <v>0.82015231863500804</v>
      </c>
      <c r="AL4325">
        <v>82.271898993886296</v>
      </c>
      <c r="AM4325">
        <v>93.924206961083499</v>
      </c>
      <c r="AN4325">
        <v>0.99999998491749598</v>
      </c>
    </row>
    <row r="4326" spans="1:40" x14ac:dyDescent="0.3">
      <c r="A4326" t="str">
        <f>"20200111150115486"</f>
        <v>20200111150115486</v>
      </c>
      <c r="B4326" t="str">
        <f>"1578726075481868"</f>
        <v>1578726075481868</v>
      </c>
      <c r="C4326" t="s">
        <v>40</v>
      </c>
      <c r="D4326">
        <v>5.1856359999999997</v>
      </c>
      <c r="E4326">
        <v>0.56020789999999998</v>
      </c>
      <c r="F4326" t="s">
        <v>41</v>
      </c>
      <c r="G4326">
        <v>-341.50580000000002</v>
      </c>
      <c r="H4326">
        <v>1.052575</v>
      </c>
      <c r="I4326">
        <v>17.95055</v>
      </c>
      <c r="J4326">
        <v>-342.17239999999998</v>
      </c>
      <c r="K4326">
        <v>1.104233</v>
      </c>
      <c r="L4326">
        <v>18.031369999999999</v>
      </c>
      <c r="M4326">
        <v>0.99989680000000003</v>
      </c>
      <c r="N4326">
        <v>0</v>
      </c>
      <c r="O4326">
        <v>1.2155239999999999E-3</v>
      </c>
      <c r="P4326">
        <v>0.9903843</v>
      </c>
      <c r="Q4326">
        <v>0.11974890000000001</v>
      </c>
      <c r="R4326">
        <v>6.9279099999999996E-2</v>
      </c>
      <c r="S4326">
        <v>3.0737610000000002</v>
      </c>
      <c r="T4326">
        <v>-0.1913571</v>
      </c>
      <c r="U4326">
        <v>-0.29956050000000001</v>
      </c>
      <c r="V4326">
        <v>-6.7790199999999995E-2</v>
      </c>
      <c r="W4326">
        <v>0.13406779999999999</v>
      </c>
      <c r="X4326">
        <v>0.98865069999999999</v>
      </c>
      <c r="Y4326">
        <v>9.8017320000000005E-2</v>
      </c>
      <c r="Z4326">
        <v>-3.1163319999999999E-3</v>
      </c>
      <c r="AA4326">
        <v>0.99517979999999995</v>
      </c>
      <c r="AB4326">
        <v>31</v>
      </c>
      <c r="AC4326">
        <v>0.666599999999959</v>
      </c>
      <c r="AD4326">
        <v>-5.1657999999999898E-2</v>
      </c>
      <c r="AE4326">
        <v>-8.0820000000002695E-2</v>
      </c>
      <c r="AF4326">
        <v>8.1150010367840406E-2</v>
      </c>
      <c r="AG4326">
        <v>-5.1657999999999898E-2</v>
      </c>
      <c r="AH4326">
        <v>0.66257982165150597</v>
      </c>
      <c r="AI4326">
        <v>94.425111436483505</v>
      </c>
      <c r="AJ4326">
        <v>83.017427184080802</v>
      </c>
      <c r="AK4326">
        <v>0.66952661874375297</v>
      </c>
      <c r="AL4326">
        <v>82.295280839509005</v>
      </c>
      <c r="AM4326">
        <v>93.922540370995193</v>
      </c>
      <c r="AN4326">
        <v>0.99999994641168299</v>
      </c>
    </row>
    <row r="4327" spans="1:40" x14ac:dyDescent="0.3">
      <c r="A4327" t="str">
        <f>"20200111150115498"</f>
        <v>20200111150115498</v>
      </c>
      <c r="B4327" t="str">
        <f>"1578726075492604"</f>
        <v>1578726075492604</v>
      </c>
      <c r="C4327" t="s">
        <v>40</v>
      </c>
      <c r="D4327">
        <v>4.5621790000000004</v>
      </c>
      <c r="E4327">
        <v>0.55891820000000003</v>
      </c>
      <c r="F4327" t="s">
        <v>41</v>
      </c>
      <c r="G4327">
        <v>-341.22829999999999</v>
      </c>
      <c r="H4327">
        <v>1.052681</v>
      </c>
      <c r="I4327">
        <v>17.946279999999899</v>
      </c>
      <c r="J4327">
        <v>-341.9941</v>
      </c>
      <c r="K4327">
        <v>1.1042149999999999</v>
      </c>
      <c r="L4327">
        <v>18.030940000000001</v>
      </c>
      <c r="M4327">
        <v>0.99989729999999999</v>
      </c>
      <c r="N4327">
        <v>0</v>
      </c>
      <c r="O4327">
        <v>5.9629910000000004E-4</v>
      </c>
      <c r="P4327">
        <v>0.99048130000000001</v>
      </c>
      <c r="Q4327">
        <v>0.11933009999999999</v>
      </c>
      <c r="R4327">
        <v>6.8607269999999998E-2</v>
      </c>
      <c r="S4327">
        <v>3.0687259999999998</v>
      </c>
      <c r="T4327">
        <v>-0.1675479</v>
      </c>
      <c r="U4327">
        <v>-0.2764587</v>
      </c>
      <c r="V4327">
        <v>-6.7726170000000002E-2</v>
      </c>
      <c r="W4327">
        <v>0.133651399999999</v>
      </c>
      <c r="X4327">
        <v>0.98871149999999997</v>
      </c>
      <c r="Y4327">
        <v>9.0185559999999998E-2</v>
      </c>
      <c r="Z4327">
        <v>-2.4876770000000002E-3</v>
      </c>
      <c r="AA4327">
        <v>0.99592190000000003</v>
      </c>
      <c r="AB4327">
        <v>31</v>
      </c>
      <c r="AC4327">
        <v>0.76580000000001203</v>
      </c>
      <c r="AD4327">
        <v>-5.1533999999999899E-2</v>
      </c>
      <c r="AE4327">
        <v>-8.4660000000002997E-2</v>
      </c>
      <c r="AF4327">
        <v>8.4737574428764006E-2</v>
      </c>
      <c r="AG4327">
        <v>-5.1533999999999899E-2</v>
      </c>
      <c r="AH4327">
        <v>0.76233878666277699</v>
      </c>
      <c r="AI4327">
        <v>93.843702643782393</v>
      </c>
      <c r="AJ4327">
        <v>83.657338642736207</v>
      </c>
      <c r="AK4327">
        <v>0.76876305538608203</v>
      </c>
      <c r="AL4327">
        <v>82.319355731481807</v>
      </c>
      <c r="AM4327">
        <v>93.918606720859103</v>
      </c>
      <c r="AN4327">
        <v>0.999999980528539</v>
      </c>
    </row>
    <row r="4328" spans="1:40" x14ac:dyDescent="0.3">
      <c r="A4328" t="str">
        <f>"20200111150115514"</f>
        <v>20200111150115514</v>
      </c>
      <c r="B4328" t="str">
        <f>"1578726075502365"</f>
        <v>1578726075502365</v>
      </c>
      <c r="C4328" t="s">
        <v>40</v>
      </c>
      <c r="D4328">
        <v>4.6085129999999896</v>
      </c>
      <c r="E4328">
        <v>0.55762019999999901</v>
      </c>
      <c r="F4328" t="s">
        <v>43</v>
      </c>
      <c r="G4328">
        <v>-318.62060000000002</v>
      </c>
      <c r="H4328">
        <v>-0.05</v>
      </c>
      <c r="I4328">
        <v>15.98499</v>
      </c>
      <c r="J4328">
        <v>-341.7928</v>
      </c>
      <c r="K4328">
        <v>1.1042019999999999</v>
      </c>
      <c r="L4328">
        <v>18.0303</v>
      </c>
      <c r="M4328">
        <v>0.99989749999999999</v>
      </c>
      <c r="N4328">
        <v>0</v>
      </c>
      <c r="O4328">
        <v>-1.3234539999999999E-4</v>
      </c>
      <c r="P4328">
        <v>0.99063219999999996</v>
      </c>
      <c r="Q4328">
        <v>0.118646</v>
      </c>
      <c r="R4328">
        <v>6.76094E-2</v>
      </c>
      <c r="S4328">
        <v>3.0656129999999999</v>
      </c>
      <c r="T4328">
        <v>-0.15138360000000001</v>
      </c>
      <c r="U4328">
        <v>-0.268341099999999</v>
      </c>
      <c r="V4328">
        <v>-6.7444329999999997E-2</v>
      </c>
      <c r="W4328">
        <v>0.13297</v>
      </c>
      <c r="X4328">
        <v>0.9888226</v>
      </c>
      <c r="Y4328">
        <v>8.6962319999999996E-2</v>
      </c>
      <c r="Z4328">
        <v>-2.1352379999999998E-3</v>
      </c>
      <c r="AA4328">
        <v>0.99620929999999996</v>
      </c>
      <c r="AB4328">
        <v>31</v>
      </c>
      <c r="AC4328">
        <v>23.172199999999901</v>
      </c>
      <c r="AD4328">
        <v>-1.154202</v>
      </c>
      <c r="AE4328">
        <v>-2.0453100000000002</v>
      </c>
      <c r="AF4328">
        <v>2.0372276181297702</v>
      </c>
      <c r="AG4328">
        <v>-1.154202</v>
      </c>
      <c r="AH4328">
        <v>23.115563838925901</v>
      </c>
      <c r="AI4328">
        <v>92.847489110235699</v>
      </c>
      <c r="AJ4328">
        <v>84.963404988096798</v>
      </c>
      <c r="AK4328">
        <v>23.233849664150199</v>
      </c>
      <c r="AL4328">
        <v>82.358748424881298</v>
      </c>
      <c r="AM4328">
        <v>93.901912972258202</v>
      </c>
      <c r="AN4328">
        <v>0.99999994640995304</v>
      </c>
    </row>
    <row r="4329" spans="1:40" x14ac:dyDescent="0.3">
      <c r="A4329" t="str">
        <f>"20200111150115525"</f>
        <v>20200111150115525</v>
      </c>
      <c r="B4329" t="str">
        <f>"1578726075521884"</f>
        <v>1578726075521884</v>
      </c>
      <c r="C4329" t="s">
        <v>40</v>
      </c>
      <c r="D4329">
        <v>4.5219310000000004</v>
      </c>
      <c r="E4329">
        <v>0.5564538</v>
      </c>
      <c r="F4329" t="s">
        <v>43</v>
      </c>
      <c r="G4329">
        <v>-315.91460000000001</v>
      </c>
      <c r="H4329">
        <v>-0.05</v>
      </c>
      <c r="I4329">
        <v>15.81654</v>
      </c>
      <c r="J4329">
        <v>-341.63569999999999</v>
      </c>
      <c r="K4329">
        <v>1.1041879999999999</v>
      </c>
      <c r="L4329">
        <v>18.029689999999999</v>
      </c>
      <c r="M4329">
        <v>0.99989720000000004</v>
      </c>
      <c r="N4329">
        <v>0</v>
      </c>
      <c r="O4329">
        <v>-7.1367339999999998E-4</v>
      </c>
      <c r="P4329">
        <v>0.9906874</v>
      </c>
      <c r="Q4329">
        <v>0.11869589999999899</v>
      </c>
      <c r="R4329">
        <v>6.6709009999999999E-2</v>
      </c>
      <c r="S4329">
        <v>3.0626220000000002</v>
      </c>
      <c r="T4329">
        <v>-0.13659689999999999</v>
      </c>
      <c r="U4329">
        <v>-0.26199339999999999</v>
      </c>
      <c r="V4329">
        <v>-6.7114759999999996E-2</v>
      </c>
      <c r="W4329">
        <v>0.13302059999999999</v>
      </c>
      <c r="X4329">
        <v>0.98883829999999995</v>
      </c>
      <c r="Y4329">
        <v>8.4440360000000006E-2</v>
      </c>
      <c r="Z4329">
        <v>-1.8469529999999999E-3</v>
      </c>
      <c r="AA4329">
        <v>0.99642679999999995</v>
      </c>
      <c r="AB4329">
        <v>31</v>
      </c>
      <c r="AC4329">
        <v>25.7210999999999</v>
      </c>
      <c r="AD4329">
        <v>-1.154188</v>
      </c>
      <c r="AE4329">
        <v>-2.2131500000000002</v>
      </c>
      <c r="AF4329">
        <v>2.19041287949406</v>
      </c>
      <c r="AG4329">
        <v>-1.154188</v>
      </c>
      <c r="AH4329">
        <v>25.6713610188704</v>
      </c>
      <c r="AI4329">
        <v>92.564985076403005</v>
      </c>
      <c r="AJ4329">
        <v>85.123041168605397</v>
      </c>
      <c r="AK4329">
        <v>25.790479543490001</v>
      </c>
      <c r="AL4329">
        <v>82.355823895146997</v>
      </c>
      <c r="AM4329">
        <v>93.882843091447896</v>
      </c>
      <c r="AN4329">
        <v>1.00000002729055</v>
      </c>
    </row>
    <row r="4330" spans="1:40" x14ac:dyDescent="0.3">
      <c r="A4330" t="str">
        <f>"20200111150115536"</f>
        <v>20200111150115536</v>
      </c>
      <c r="B4330" t="str">
        <f>"1578726075532622"</f>
        <v>1578726075532622</v>
      </c>
      <c r="C4330" t="s">
        <v>40</v>
      </c>
      <c r="D4330">
        <v>4.5427350000000004</v>
      </c>
      <c r="E4330">
        <v>0.55613690000000005</v>
      </c>
      <c r="F4330" t="s">
        <v>43</v>
      </c>
      <c r="G4330">
        <v>-309.80619999999999</v>
      </c>
      <c r="H4330">
        <v>-0.05</v>
      </c>
      <c r="I4330">
        <v>15.370010000000001</v>
      </c>
      <c r="J4330">
        <v>-341.4812</v>
      </c>
      <c r="K4330">
        <v>1.1041749999999999</v>
      </c>
      <c r="L4330">
        <v>18.02899</v>
      </c>
      <c r="M4330">
        <v>0.99989660000000002</v>
      </c>
      <c r="N4330">
        <v>0</v>
      </c>
      <c r="O4330">
        <v>-1.300112E-3</v>
      </c>
      <c r="P4330">
        <v>0.99073250000000002</v>
      </c>
      <c r="Q4330">
        <v>0.118808399999999</v>
      </c>
      <c r="R4330">
        <v>6.5833699999999995E-2</v>
      </c>
      <c r="S4330">
        <v>3.0586850000000001</v>
      </c>
      <c r="T4330">
        <v>-0.11091289999999999</v>
      </c>
      <c r="U4330">
        <v>-0.2555847</v>
      </c>
      <c r="V4330">
        <v>-6.6814789999999999E-2</v>
      </c>
      <c r="W4330">
        <v>0.133134</v>
      </c>
      <c r="X4330">
        <v>0.98884329999999998</v>
      </c>
      <c r="Y4330">
        <v>8.19217E-2</v>
      </c>
      <c r="Z4330">
        <v>-1.4351870000000001E-3</v>
      </c>
      <c r="AA4330">
        <v>0.99663780000000002</v>
      </c>
      <c r="AB4330">
        <v>31</v>
      </c>
      <c r="AC4330">
        <v>31.675000000000001</v>
      </c>
      <c r="AD4330">
        <v>-1.154175</v>
      </c>
      <c r="AE4330">
        <v>-2.6589800000000001</v>
      </c>
      <c r="AF4330">
        <v>2.6143456229649802</v>
      </c>
      <c r="AG4330">
        <v>-1.154175</v>
      </c>
      <c r="AH4330">
        <v>31.636719432591399</v>
      </c>
      <c r="AI4330">
        <v>92.082254378458501</v>
      </c>
      <c r="AJ4330">
        <v>85.276014703392406</v>
      </c>
      <c r="AK4330">
        <v>31.765530680652098</v>
      </c>
      <c r="AL4330">
        <v>82.349267843589601</v>
      </c>
      <c r="AM4330">
        <v>93.865521935345498</v>
      </c>
      <c r="AN4330">
        <v>0.99999997503681604</v>
      </c>
    </row>
    <row r="4331" spans="1:40" x14ac:dyDescent="0.3">
      <c r="A4331" t="str">
        <f>"20200111150115548"</f>
        <v>20200111150115548</v>
      </c>
      <c r="B4331" t="str">
        <f>"1578726075542380"</f>
        <v>1578726075542380</v>
      </c>
      <c r="C4331" t="s">
        <v>40</v>
      </c>
      <c r="D4331">
        <v>4.4112299999999998</v>
      </c>
      <c r="E4331">
        <v>0.555732</v>
      </c>
      <c r="F4331" t="s">
        <v>43</v>
      </c>
      <c r="G4331">
        <v>-306.59840000000003</v>
      </c>
      <c r="H4331">
        <v>-0.05</v>
      </c>
      <c r="I4331">
        <v>15.10994</v>
      </c>
      <c r="J4331">
        <v>-341.3263</v>
      </c>
      <c r="K4331">
        <v>1.104163</v>
      </c>
      <c r="L4331">
        <v>18.028169999999999</v>
      </c>
      <c r="M4331">
        <v>0.9998958</v>
      </c>
      <c r="N4331">
        <v>0</v>
      </c>
      <c r="O4331">
        <v>-1.9009560000000001E-3</v>
      </c>
      <c r="P4331">
        <v>0.99076319999999996</v>
      </c>
      <c r="Q4331">
        <v>0.119238</v>
      </c>
      <c r="R4331">
        <v>6.4580730000000003E-2</v>
      </c>
      <c r="S4331">
        <v>3.057159</v>
      </c>
      <c r="T4331">
        <v>-0.1011531</v>
      </c>
      <c r="U4331">
        <v>-0.25582890000000003</v>
      </c>
      <c r="V4331">
        <v>-6.6151280000000007E-2</v>
      </c>
      <c r="W4331">
        <v>0.13356309999999999</v>
      </c>
      <c r="X4331">
        <v>0.98883010000000005</v>
      </c>
      <c r="Y4331">
        <v>8.1452510000000006E-2</v>
      </c>
      <c r="Z4331">
        <v>-1.2820290000000001E-3</v>
      </c>
      <c r="AA4331">
        <v>0.99667640000000002</v>
      </c>
      <c r="AB4331">
        <v>31</v>
      </c>
      <c r="AC4331">
        <v>34.727899999999899</v>
      </c>
      <c r="AD4331">
        <v>-1.1541629999999901</v>
      </c>
      <c r="AE4331">
        <v>-2.9182299999999999</v>
      </c>
      <c r="AF4331">
        <v>2.8490769322082201</v>
      </c>
      <c r="AG4331">
        <v>-1.1541629999999901</v>
      </c>
      <c r="AH4331">
        <v>34.6953319276545</v>
      </c>
      <c r="AI4331">
        <v>91.898892291985902</v>
      </c>
      <c r="AJ4331">
        <v>85.305574792622707</v>
      </c>
      <c r="AK4331">
        <v>34.8312415679708</v>
      </c>
      <c r="AL4331">
        <v>82.324461101143797</v>
      </c>
      <c r="AM4331">
        <v>93.827300632355602</v>
      </c>
      <c r="AN4331">
        <v>1.0000000300966201</v>
      </c>
    </row>
    <row r="4332" spans="1:40" x14ac:dyDescent="0.3">
      <c r="A4332" t="str">
        <f>"20200111150115559"</f>
        <v>20200111150115559</v>
      </c>
      <c r="B4332" t="str">
        <f>"1578726075552140"</f>
        <v>1578726075552140</v>
      </c>
      <c r="C4332" t="s">
        <v>40</v>
      </c>
      <c r="D4332">
        <v>4.4807739999999896</v>
      </c>
      <c r="E4332">
        <v>0.55522229999999995</v>
      </c>
      <c r="F4332" t="s">
        <v>43</v>
      </c>
      <c r="G4332">
        <v>-303.90589999999997</v>
      </c>
      <c r="H4332">
        <v>-0.05</v>
      </c>
      <c r="I4332">
        <v>14.889620000000001</v>
      </c>
      <c r="J4332">
        <v>-341.15809999999999</v>
      </c>
      <c r="K4332">
        <v>1.1041510000000001</v>
      </c>
      <c r="L4332">
        <v>18.02722</v>
      </c>
      <c r="M4332">
        <v>0.99989430000000001</v>
      </c>
      <c r="N4332">
        <v>0</v>
      </c>
      <c r="O4332">
        <v>-2.5620130000000001E-3</v>
      </c>
      <c r="P4332">
        <v>0.99080800000000002</v>
      </c>
      <c r="Q4332">
        <v>0.1196371</v>
      </c>
      <c r="R4332">
        <v>6.3141409999999995E-2</v>
      </c>
      <c r="S4332">
        <v>3.0560299999999998</v>
      </c>
      <c r="T4332">
        <v>-9.4257590000000002E-2</v>
      </c>
      <c r="U4332">
        <v>-0.25631710000000002</v>
      </c>
      <c r="V4332">
        <v>-6.5360760000000004E-2</v>
      </c>
      <c r="W4332">
        <v>0.133961</v>
      </c>
      <c r="X4332">
        <v>0.98882879999999995</v>
      </c>
      <c r="Y4332">
        <v>8.0988500000000005E-2</v>
      </c>
      <c r="Z4332">
        <v>-1.1676169999999999E-3</v>
      </c>
      <c r="AA4332">
        <v>0.9967144</v>
      </c>
      <c r="AB4332">
        <v>31</v>
      </c>
      <c r="AC4332">
        <v>37.252200000000002</v>
      </c>
      <c r="AD4332">
        <v>-1.1541509999999999</v>
      </c>
      <c r="AE4332">
        <v>-3.1375999999999902</v>
      </c>
      <c r="AF4332">
        <v>3.03924251561281</v>
      </c>
      <c r="AG4332">
        <v>-1.1541509999999999</v>
      </c>
      <c r="AH4332">
        <v>37.224637251698198</v>
      </c>
      <c r="AI4332">
        <v>91.770002540835094</v>
      </c>
      <c r="AJ4332">
        <v>85.332382300883296</v>
      </c>
      <c r="AK4332">
        <v>37.366330808898297</v>
      </c>
      <c r="AL4332">
        <v>82.301456045469607</v>
      </c>
      <c r="AM4332">
        <v>93.781702156611004</v>
      </c>
      <c r="AN4332">
        <v>0.99999998708910798</v>
      </c>
    </row>
    <row r="4333" spans="1:40" x14ac:dyDescent="0.3">
      <c r="A4333" t="str">
        <f>"20200111150115571"</f>
        <v>20200111150115571</v>
      </c>
      <c r="B4333" t="str">
        <f>"1578726075561900"</f>
        <v>1578726075561900</v>
      </c>
      <c r="C4333" t="s">
        <v>40</v>
      </c>
      <c r="D4333">
        <v>4.5023679999999997</v>
      </c>
      <c r="E4333">
        <v>0.55515619999999999</v>
      </c>
      <c r="F4333" t="s">
        <v>43</v>
      </c>
      <c r="G4333">
        <v>-301.28550000000001</v>
      </c>
      <c r="H4333">
        <v>-0.05</v>
      </c>
      <c r="I4333">
        <v>14.677759999999999</v>
      </c>
      <c r="J4333">
        <v>-341.00599999999997</v>
      </c>
      <c r="K4333">
        <v>1.1041399999999999</v>
      </c>
      <c r="L4333">
        <v>18.02618</v>
      </c>
      <c r="M4333">
        <v>0.99989249999999996</v>
      </c>
      <c r="N4333">
        <v>0</v>
      </c>
      <c r="O4333">
        <v>-3.177133E-3</v>
      </c>
      <c r="P4333">
        <v>0.99081900000000001</v>
      </c>
      <c r="Q4333">
        <v>0.1202761</v>
      </c>
      <c r="R4333">
        <v>6.1739210000000003E-2</v>
      </c>
      <c r="S4333">
        <v>3.0548709999999999</v>
      </c>
      <c r="T4333">
        <v>-8.8426229999999995E-2</v>
      </c>
      <c r="U4333">
        <v>-0.25662230000000003</v>
      </c>
      <c r="V4333">
        <v>-6.4562040000000001E-2</v>
      </c>
      <c r="W4333">
        <v>0.13459889999999999</v>
      </c>
      <c r="X4333">
        <v>0.98879470000000003</v>
      </c>
      <c r="Y4333">
        <v>8.0510609999999996E-2</v>
      </c>
      <c r="Z4333">
        <v>-1.0711480000000001E-3</v>
      </c>
      <c r="AA4333">
        <v>0.99675320000000001</v>
      </c>
      <c r="AB4333">
        <v>31</v>
      </c>
      <c r="AC4333">
        <v>39.720499999999902</v>
      </c>
      <c r="AD4333">
        <v>-1.1541399999999999</v>
      </c>
      <c r="AE4333">
        <v>-3.3484199999999902</v>
      </c>
      <c r="AF4333">
        <v>3.2194938739418202</v>
      </c>
      <c r="AG4333">
        <v>-1.1541399999999999</v>
      </c>
      <c r="AH4333">
        <v>39.697659426794203</v>
      </c>
      <c r="AI4333">
        <v>91.65985880241</v>
      </c>
      <c r="AJ4333">
        <v>85.363440044119997</v>
      </c>
      <c r="AK4333">
        <v>39.844715382465601</v>
      </c>
      <c r="AL4333">
        <v>82.264573443627896</v>
      </c>
      <c r="AM4333">
        <v>93.735749212545301</v>
      </c>
      <c r="AN4333">
        <v>1.00000003981913</v>
      </c>
    </row>
    <row r="4334" spans="1:40" x14ac:dyDescent="0.3">
      <c r="A4334" t="str">
        <f>"20200111150115582"</f>
        <v>20200111150115582</v>
      </c>
      <c r="B4334" t="str">
        <f>"1578726075572334"</f>
        <v>1578726075572334</v>
      </c>
      <c r="C4334" t="s">
        <v>40</v>
      </c>
      <c r="D4334">
        <v>4.3397480000000002</v>
      </c>
      <c r="E4334">
        <v>0.55484730000000004</v>
      </c>
      <c r="F4334" t="s">
        <v>43</v>
      </c>
      <c r="G4334">
        <v>-298.36369999999999</v>
      </c>
      <c r="H4334">
        <v>-0.05</v>
      </c>
      <c r="I4334">
        <v>14.39026</v>
      </c>
      <c r="J4334">
        <v>-340.85180000000003</v>
      </c>
      <c r="K4334">
        <v>1.104128</v>
      </c>
      <c r="L4334">
        <v>18.025089999999999</v>
      </c>
      <c r="M4334">
        <v>0.99989030000000001</v>
      </c>
      <c r="N4334">
        <v>0</v>
      </c>
      <c r="O4334">
        <v>-3.8053729999999999E-3</v>
      </c>
      <c r="P4334">
        <v>0.99083270000000001</v>
      </c>
      <c r="Q4334">
        <v>0.12086669999999999</v>
      </c>
      <c r="R4334">
        <v>6.0347129999999999E-2</v>
      </c>
      <c r="S4334">
        <v>3.0540470000000002</v>
      </c>
      <c r="T4334">
        <v>-8.26596E-2</v>
      </c>
      <c r="U4334">
        <v>-0.26040649999999999</v>
      </c>
      <c r="V4334">
        <v>-6.3786419999999996E-2</v>
      </c>
      <c r="W4334">
        <v>0.135188</v>
      </c>
      <c r="X4334">
        <v>0.98876459999999999</v>
      </c>
      <c r="Y4334">
        <v>8.1137059999999997E-2</v>
      </c>
      <c r="Z4334">
        <v>-9.930281E-4</v>
      </c>
      <c r="AA4334">
        <v>0.99670239999999999</v>
      </c>
      <c r="AB4334">
        <v>31</v>
      </c>
      <c r="AC4334">
        <v>42.488100000000003</v>
      </c>
      <c r="AD4334">
        <v>-1.154128</v>
      </c>
      <c r="AE4334">
        <v>-3.6348299999999898</v>
      </c>
      <c r="AF4334">
        <v>3.4705618610565199</v>
      </c>
      <c r="AG4334">
        <v>-1.154128</v>
      </c>
      <c r="AH4334">
        <v>42.470516037101198</v>
      </c>
      <c r="AI4334">
        <v>91.5514496801907</v>
      </c>
      <c r="AJ4334">
        <v>85.328342668761294</v>
      </c>
      <c r="AK4334">
        <v>42.627708635692301</v>
      </c>
      <c r="AL4334">
        <v>82.2305085991254</v>
      </c>
      <c r="AM4334">
        <v>93.691106425608893</v>
      </c>
      <c r="AN4334">
        <v>0.99999996846678696</v>
      </c>
    </row>
    <row r="4335" spans="1:40" x14ac:dyDescent="0.3">
      <c r="A4335" t="str">
        <f>"20200111150115594"</f>
        <v>20200111150115594</v>
      </c>
      <c r="B4335" t="str">
        <f>"1578726075582094"</f>
        <v>1578726075582094</v>
      </c>
      <c r="C4335" t="s">
        <v>40</v>
      </c>
      <c r="D4335">
        <v>4.500769</v>
      </c>
      <c r="E4335">
        <v>0.55525309999999894</v>
      </c>
      <c r="F4335" t="s">
        <v>43</v>
      </c>
      <c r="G4335">
        <v>-301.7876</v>
      </c>
      <c r="H4335">
        <v>-0.05</v>
      </c>
      <c r="I4335">
        <v>14.669280000000001</v>
      </c>
      <c r="J4335">
        <v>-340.68740000000003</v>
      </c>
      <c r="K4335">
        <v>1.1041129999999999</v>
      </c>
      <c r="L4335">
        <v>18.02374</v>
      </c>
      <c r="M4335">
        <v>0.99988759999999999</v>
      </c>
      <c r="N4335">
        <v>0</v>
      </c>
      <c r="O4335">
        <v>-4.4930170000000002E-3</v>
      </c>
      <c r="P4335">
        <v>0.99082210000000004</v>
      </c>
      <c r="Q4335">
        <v>0.1216493</v>
      </c>
      <c r="R4335">
        <v>5.8934689999999998E-2</v>
      </c>
      <c r="S4335">
        <v>3.0547789999999999</v>
      </c>
      <c r="T4335">
        <v>-9.0251559999999995E-2</v>
      </c>
      <c r="U4335">
        <v>-0.26242070000000001</v>
      </c>
      <c r="V4335">
        <v>-6.3047859999999997E-2</v>
      </c>
      <c r="W4335">
        <v>0.13596949999999999</v>
      </c>
      <c r="X4335">
        <v>0.9887049</v>
      </c>
      <c r="Y4335">
        <v>8.1078699999999906E-2</v>
      </c>
      <c r="Z4335">
        <v>-1.062772E-3</v>
      </c>
      <c r="AA4335">
        <v>0.99670709999999996</v>
      </c>
      <c r="AB4335">
        <v>30</v>
      </c>
      <c r="AC4335">
        <v>38.899799999999999</v>
      </c>
      <c r="AD4335">
        <v>-1.1541129999999999</v>
      </c>
      <c r="AE4335">
        <v>-3.35446</v>
      </c>
      <c r="AF4335">
        <v>3.17685502999334</v>
      </c>
      <c r="AG4335">
        <v>-1.1541129999999999</v>
      </c>
      <c r="AH4335">
        <v>38.880508841514498</v>
      </c>
      <c r="AI4335">
        <v>91.694601002652902</v>
      </c>
      <c r="AJ4335">
        <v>85.328843782564903</v>
      </c>
      <c r="AK4335">
        <v>39.027148915510701</v>
      </c>
      <c r="AL4335">
        <v>82.185315357192906</v>
      </c>
      <c r="AM4335">
        <v>93.648704252138302</v>
      </c>
      <c r="AN4335">
        <v>1.00000005843241</v>
      </c>
    </row>
    <row r="4336" spans="1:40" x14ac:dyDescent="0.3">
      <c r="A4336" t="str">
        <f>"20200111150115607"</f>
        <v>20200111150115607</v>
      </c>
      <c r="B4336" t="str">
        <f>"1578726075602590"</f>
        <v>1578726075602590</v>
      </c>
      <c r="C4336" t="s">
        <v>40</v>
      </c>
      <c r="D4336">
        <v>4.4707610000000004</v>
      </c>
      <c r="E4336">
        <v>0.55502039999999997</v>
      </c>
      <c r="F4336" t="s">
        <v>43</v>
      </c>
      <c r="G4336">
        <v>-305.75889999999998</v>
      </c>
      <c r="H4336">
        <v>-0.05</v>
      </c>
      <c r="I4336">
        <v>14.935359999999999</v>
      </c>
      <c r="J4336">
        <v>-340.51920000000001</v>
      </c>
      <c r="K4336">
        <v>1.104095</v>
      </c>
      <c r="L4336">
        <v>18.022279999999999</v>
      </c>
      <c r="M4336">
        <v>0.99988410000000005</v>
      </c>
      <c r="N4336">
        <v>0</v>
      </c>
      <c r="O4336">
        <v>-5.206787E-3</v>
      </c>
      <c r="P4336">
        <v>0.99085120000000004</v>
      </c>
      <c r="Q4336">
        <v>0.1221362</v>
      </c>
      <c r="R4336">
        <v>5.7416599999999901E-2</v>
      </c>
      <c r="S4336">
        <v>3.056244</v>
      </c>
      <c r="T4336">
        <v>-0.10098509999999999</v>
      </c>
      <c r="U4336">
        <v>-0.27023320000000001</v>
      </c>
      <c r="V4336">
        <v>-6.2230399999999998E-2</v>
      </c>
      <c r="W4336">
        <v>0.1364551</v>
      </c>
      <c r="X4336">
        <v>0.9886897</v>
      </c>
      <c r="Y4336">
        <v>8.2846080000000002E-2</v>
      </c>
      <c r="Z4336">
        <v>-1.194004E-3</v>
      </c>
      <c r="AA4336">
        <v>0.99656160000000005</v>
      </c>
      <c r="AB4336">
        <v>30</v>
      </c>
      <c r="AC4336">
        <v>34.760300000000001</v>
      </c>
      <c r="AD4336">
        <v>-1.1540950000000001</v>
      </c>
      <c r="AE4336">
        <v>-3.0869199999999899</v>
      </c>
      <c r="AF4336">
        <v>2.90269542020163</v>
      </c>
      <c r="AG4336">
        <v>-1.1540950000000001</v>
      </c>
      <c r="AH4336">
        <v>34.737909894626497</v>
      </c>
      <c r="AI4336">
        <v>91.896229927135494</v>
      </c>
      <c r="AJ4336">
        <v>85.223468167123897</v>
      </c>
      <c r="AK4336">
        <v>34.878072765258601</v>
      </c>
      <c r="AL4336">
        <v>82.1572300720496</v>
      </c>
      <c r="AM4336">
        <v>93.601576781029706</v>
      </c>
      <c r="AN4336">
        <v>0.99999996994312901</v>
      </c>
    </row>
    <row r="4337" spans="1:40" x14ac:dyDescent="0.3">
      <c r="A4337" t="str">
        <f>"20200111150115618"</f>
        <v>20200111150115618</v>
      </c>
      <c r="B4337" t="str">
        <f>"1578726075612349"</f>
        <v>1578726075612349</v>
      </c>
      <c r="C4337" t="s">
        <v>40</v>
      </c>
      <c r="D4337">
        <v>4.4939119999999999</v>
      </c>
      <c r="E4337">
        <v>0.55490949999999994</v>
      </c>
      <c r="F4337" t="s">
        <v>43</v>
      </c>
      <c r="G4337">
        <v>-307.17860000000002</v>
      </c>
      <c r="H4337">
        <v>-0.05</v>
      </c>
      <c r="I4337">
        <v>15.042949999999999</v>
      </c>
      <c r="J4337">
        <v>-340.35660000000001</v>
      </c>
      <c r="K4337">
        <v>1.1040749999999999</v>
      </c>
      <c r="L4337">
        <v>18.02075</v>
      </c>
      <c r="M4337">
        <v>0.9998802</v>
      </c>
      <c r="N4337">
        <v>0</v>
      </c>
      <c r="O4337">
        <v>-5.9068489999999996E-3</v>
      </c>
      <c r="P4337">
        <v>0.99089289999999997</v>
      </c>
      <c r="Q4337">
        <v>0.1223513</v>
      </c>
      <c r="R4337">
        <v>5.6226390000000001E-2</v>
      </c>
      <c r="S4337">
        <v>3.056549</v>
      </c>
      <c r="T4337">
        <v>-0.10580340000000001</v>
      </c>
      <c r="U4337">
        <v>-0.27313229999999999</v>
      </c>
      <c r="V4337">
        <v>-6.1726919999999998E-2</v>
      </c>
      <c r="W4337">
        <v>0.13667000000000001</v>
      </c>
      <c r="X4337">
        <v>0.9886916</v>
      </c>
      <c r="Y4337">
        <v>8.3073659999999994E-2</v>
      </c>
      <c r="Z4337">
        <v>-1.2305180000000001E-3</v>
      </c>
      <c r="AA4337">
        <v>0.99654259999999995</v>
      </c>
      <c r="AB4337">
        <v>30</v>
      </c>
      <c r="AC4337">
        <v>33.177999999999997</v>
      </c>
      <c r="AD4337">
        <v>-1.154075</v>
      </c>
      <c r="AE4337">
        <v>-2.9777999999999998</v>
      </c>
      <c r="AF4337">
        <v>2.7784156610823398</v>
      </c>
      <c r="AG4337">
        <v>-1.154075</v>
      </c>
      <c r="AH4337">
        <v>33.155216683142001</v>
      </c>
      <c r="AI4337">
        <v>91.986603180893695</v>
      </c>
      <c r="AJ4337">
        <v>85.209791114735793</v>
      </c>
      <c r="AK4337">
        <v>33.291438478946397</v>
      </c>
      <c r="AL4337">
        <v>82.144800928365996</v>
      </c>
      <c r="AM4337">
        <v>93.572506861578006</v>
      </c>
      <c r="AN4337">
        <v>0.99999999073162305</v>
      </c>
    </row>
    <row r="4338" spans="1:40" x14ac:dyDescent="0.3">
      <c r="A4338" t="str">
        <f>"20200111150115630"</f>
        <v>20200111150115630</v>
      </c>
      <c r="B4338" t="str">
        <f>"1578726075622109"</f>
        <v>1578726075622109</v>
      </c>
      <c r="C4338" t="s">
        <v>40</v>
      </c>
      <c r="D4338">
        <v>4.4398010000000001</v>
      </c>
      <c r="E4338">
        <v>0.55502280000000004</v>
      </c>
      <c r="F4338" t="s">
        <v>43</v>
      </c>
      <c r="G4338">
        <v>-307.37779999999998</v>
      </c>
      <c r="H4338">
        <v>-0.05</v>
      </c>
      <c r="I4338">
        <v>15.041410000000001</v>
      </c>
      <c r="J4338">
        <v>-340.19639999999998</v>
      </c>
      <c r="K4338">
        <v>1.104053</v>
      </c>
      <c r="L4338">
        <v>18.01904</v>
      </c>
      <c r="M4338">
        <v>0.99987579999999998</v>
      </c>
      <c r="N4338">
        <v>0</v>
      </c>
      <c r="O4338">
        <v>-6.618054E-3</v>
      </c>
      <c r="P4338">
        <v>0.99099610000000005</v>
      </c>
      <c r="Q4338">
        <v>0.1220603</v>
      </c>
      <c r="R4338">
        <v>5.5029080000000001E-2</v>
      </c>
      <c r="S4338">
        <v>3.0564580000000001</v>
      </c>
      <c r="T4338">
        <v>-0.1069591</v>
      </c>
      <c r="U4338">
        <v>-0.27612300000000001</v>
      </c>
      <c r="V4338">
        <v>-6.1229649999999997E-2</v>
      </c>
      <c r="W4338">
        <v>0.13638039999999901</v>
      </c>
      <c r="X4338">
        <v>0.98876249999999999</v>
      </c>
      <c r="Y4338">
        <v>8.3334039999999998E-2</v>
      </c>
      <c r="Z4338">
        <v>-1.22365E-3</v>
      </c>
      <c r="AA4338">
        <v>0.99652090000000004</v>
      </c>
      <c r="AB4338">
        <v>30</v>
      </c>
      <c r="AC4338">
        <v>32.818600000000004</v>
      </c>
      <c r="AD4338">
        <v>-1.154053</v>
      </c>
      <c r="AE4338">
        <v>-2.97763</v>
      </c>
      <c r="AF4338">
        <v>2.7569660002765501</v>
      </c>
      <c r="AG4338">
        <v>-1.154053</v>
      </c>
      <c r="AH4338">
        <v>32.797364840905402</v>
      </c>
      <c r="AI4338">
        <v>92.008179553333505</v>
      </c>
      <c r="AJ4338">
        <v>85.194979160093496</v>
      </c>
      <c r="AK4338">
        <v>32.933263433206101</v>
      </c>
      <c r="AL4338">
        <v>82.161550555300593</v>
      </c>
      <c r="AM4338">
        <v>93.543547042343405</v>
      </c>
      <c r="AN4338">
        <v>0.99999998247476596</v>
      </c>
    </row>
    <row r="4339" spans="1:40" x14ac:dyDescent="0.3">
      <c r="A4339" t="str">
        <f>"20200111150115642"</f>
        <v>20200111150115642</v>
      </c>
      <c r="B4339" t="str">
        <f>"1578726075631870"</f>
        <v>1578726075631870</v>
      </c>
      <c r="C4339" t="s">
        <v>40</v>
      </c>
      <c r="D4339">
        <v>4.4460519999999999</v>
      </c>
      <c r="E4339">
        <v>0.55485739999999995</v>
      </c>
      <c r="F4339" t="s">
        <v>43</v>
      </c>
      <c r="G4339">
        <v>-310.23570000000001</v>
      </c>
      <c r="H4339">
        <v>-0.05</v>
      </c>
      <c r="I4339">
        <v>15.265639999999999</v>
      </c>
      <c r="J4339">
        <v>-340.0403</v>
      </c>
      <c r="K4339">
        <v>1.104028</v>
      </c>
      <c r="L4339">
        <v>18.017330000000001</v>
      </c>
      <c r="M4339">
        <v>0.99987099999999995</v>
      </c>
      <c r="N4339">
        <v>0</v>
      </c>
      <c r="O4339">
        <v>-7.3187869999999898E-3</v>
      </c>
      <c r="P4339">
        <v>0.99115120000000001</v>
      </c>
      <c r="Q4339">
        <v>0.1215784</v>
      </c>
      <c r="R4339">
        <v>5.3274429999999998E-2</v>
      </c>
      <c r="S4339">
        <v>3.0573730000000001</v>
      </c>
      <c r="T4339">
        <v>-0.11776689999999999</v>
      </c>
      <c r="U4339">
        <v>-0.28097529999999998</v>
      </c>
      <c r="V4339">
        <v>-6.0164790000000003E-2</v>
      </c>
      <c r="W4339">
        <v>0.13589899999999999</v>
      </c>
      <c r="X4339">
        <v>0.98889419999999995</v>
      </c>
      <c r="Y4339">
        <v>8.4167499999999895E-2</v>
      </c>
      <c r="Z4339">
        <v>-1.3357999999999901E-3</v>
      </c>
      <c r="AA4339">
        <v>0.99645070000000002</v>
      </c>
      <c r="AB4339">
        <v>30</v>
      </c>
      <c r="AC4339">
        <v>29.804599999999901</v>
      </c>
      <c r="AD4339">
        <v>-1.1540280000000001</v>
      </c>
      <c r="AE4339">
        <v>-2.7516899999999902</v>
      </c>
      <c r="AF4339">
        <v>2.5296999403910698</v>
      </c>
      <c r="AG4339">
        <v>-1.1540280000000001</v>
      </c>
      <c r="AH4339">
        <v>29.779673663578802</v>
      </c>
      <c r="AI4339">
        <v>92.211271299077794</v>
      </c>
      <c r="AJ4339">
        <v>85.144540523691902</v>
      </c>
      <c r="AK4339">
        <v>29.909198015367199</v>
      </c>
      <c r="AL4339">
        <v>82.189392405530697</v>
      </c>
      <c r="AM4339">
        <v>93.481610707383993</v>
      </c>
      <c r="AN4339">
        <v>1.00000003947519</v>
      </c>
    </row>
    <row r="4340" spans="1:40" x14ac:dyDescent="0.3">
      <c r="A4340" t="str">
        <f>"20200111150115653"</f>
        <v>20200111150115653</v>
      </c>
      <c r="B4340" t="str">
        <f>"1578726075642606"</f>
        <v>1578726075642606</v>
      </c>
      <c r="C4340" t="s">
        <v>40</v>
      </c>
      <c r="D4340">
        <v>4.4076190000000004</v>
      </c>
      <c r="E4340">
        <v>0.55471130000000002</v>
      </c>
      <c r="F4340" t="s">
        <v>43</v>
      </c>
      <c r="G4340">
        <v>-311.21530000000001</v>
      </c>
      <c r="H4340">
        <v>-0.05</v>
      </c>
      <c r="I4340">
        <v>15.326930000000001</v>
      </c>
      <c r="J4340">
        <v>-339.8811</v>
      </c>
      <c r="K4340">
        <v>1.1039939999999999</v>
      </c>
      <c r="L4340">
        <v>18.015409999999999</v>
      </c>
      <c r="M4340">
        <v>0.99986520000000001</v>
      </c>
      <c r="N4340">
        <v>0</v>
      </c>
      <c r="O4340">
        <v>-8.0639919999999903E-3</v>
      </c>
      <c r="P4340">
        <v>0.99134060000000002</v>
      </c>
      <c r="Q4340">
        <v>0.1206501</v>
      </c>
      <c r="R4340">
        <v>5.1841619999999998E-2</v>
      </c>
      <c r="S4340">
        <v>3.0571290000000002</v>
      </c>
      <c r="T4340">
        <v>-0.12239419999999999</v>
      </c>
      <c r="U4340">
        <v>-0.28533940000000002</v>
      </c>
      <c r="V4340">
        <v>-5.9465990000000003E-2</v>
      </c>
      <c r="W4340">
        <v>0.13497400000000001</v>
      </c>
      <c r="X4340">
        <v>0.98906309999999997</v>
      </c>
      <c r="Y4340">
        <v>8.4837930000000006E-2</v>
      </c>
      <c r="Z4340">
        <v>-1.3718960000000001E-3</v>
      </c>
      <c r="AA4340">
        <v>0.9963938</v>
      </c>
      <c r="AB4340">
        <v>30</v>
      </c>
      <c r="AC4340">
        <v>28.665799999999901</v>
      </c>
      <c r="AD4340">
        <v>-1.153994</v>
      </c>
      <c r="AE4340">
        <v>-2.68847999999999</v>
      </c>
      <c r="AF4340">
        <v>2.4532670125465499</v>
      </c>
      <c r="AG4340">
        <v>-1.153994</v>
      </c>
      <c r="AH4340">
        <v>28.640539369129002</v>
      </c>
      <c r="AI4340">
        <v>92.298922965908602</v>
      </c>
      <c r="AJ4340">
        <v>85.104157250565706</v>
      </c>
      <c r="AK4340">
        <v>28.7685716805947</v>
      </c>
      <c r="AL4340">
        <v>82.242883563865803</v>
      </c>
      <c r="AM4340">
        <v>93.440684114534903</v>
      </c>
      <c r="AN4340">
        <v>1.0000000002121401</v>
      </c>
    </row>
    <row r="4341" spans="1:40" x14ac:dyDescent="0.3">
      <c r="A4341" t="str">
        <f>"20200111150115671"</f>
        <v>20200111150115671</v>
      </c>
      <c r="B4341" t="str">
        <f>"1578726075662125"</f>
        <v>1578726075662125</v>
      </c>
      <c r="C4341" t="s">
        <v>40</v>
      </c>
      <c r="D4341">
        <v>4.4437819999999997</v>
      </c>
      <c r="E4341">
        <v>0.55462500000000003</v>
      </c>
      <c r="F4341" t="s">
        <v>43</v>
      </c>
      <c r="G4341">
        <v>-313.221</v>
      </c>
      <c r="H4341">
        <v>-0.05</v>
      </c>
      <c r="I4341">
        <v>15.496370000000001</v>
      </c>
      <c r="J4341">
        <v>-339.64800000000002</v>
      </c>
      <c r="K4341">
        <v>1.1039399999999999</v>
      </c>
      <c r="L4341">
        <v>18.01239</v>
      </c>
      <c r="M4341">
        <v>0.99985550000000001</v>
      </c>
      <c r="N4341">
        <v>0</v>
      </c>
      <c r="O4341">
        <v>-9.1901810000000004E-3</v>
      </c>
      <c r="P4341">
        <v>0.99162220000000001</v>
      </c>
      <c r="Q4341">
        <v>0.1193623</v>
      </c>
      <c r="R4341">
        <v>4.9376259999999998E-2</v>
      </c>
      <c r="S4341">
        <v>3.0573429999999999</v>
      </c>
      <c r="T4341">
        <v>-0.13233829999999999</v>
      </c>
      <c r="U4341">
        <v>-0.28887940000000001</v>
      </c>
      <c r="V4341">
        <v>-5.810796E-2</v>
      </c>
      <c r="W4341">
        <v>0.13369020000000001</v>
      </c>
      <c r="X4341">
        <v>0.98931809999999998</v>
      </c>
      <c r="Y4341">
        <v>8.4843580000000002E-2</v>
      </c>
      <c r="Z4341">
        <v>-1.434587E-3</v>
      </c>
      <c r="AA4341">
        <v>0.99639330000000004</v>
      </c>
      <c r="AB4341">
        <v>30</v>
      </c>
      <c r="AC4341">
        <v>26.427</v>
      </c>
      <c r="AD4341">
        <v>-1.15394</v>
      </c>
      <c r="AE4341">
        <v>-2.5160200000000001</v>
      </c>
      <c r="AF4341">
        <v>2.2687331516875799</v>
      </c>
      <c r="AG4341">
        <v>-1.15394</v>
      </c>
      <c r="AH4341">
        <v>26.399127062123501</v>
      </c>
      <c r="AI4341">
        <v>92.493699235382394</v>
      </c>
      <c r="AJ4341">
        <v>85.088086503316305</v>
      </c>
      <c r="AK4341">
        <v>26.521550431287199</v>
      </c>
      <c r="AL4341">
        <v>82.317112317506798</v>
      </c>
      <c r="AM4341">
        <v>93.361426624565397</v>
      </c>
      <c r="AN4341">
        <v>0.99999995378950401</v>
      </c>
    </row>
    <row r="4342" spans="1:40" x14ac:dyDescent="0.3">
      <c r="A4342" t="str">
        <f>"20200111150115682"</f>
        <v>20200111150115682</v>
      </c>
      <c r="B4342" t="str">
        <f>"1578726075672136"</f>
        <v>1578726075672136</v>
      </c>
      <c r="C4342" t="s">
        <v>40</v>
      </c>
      <c r="D4342">
        <v>4.4227030000000003</v>
      </c>
      <c r="E4342">
        <v>0.55450449999999996</v>
      </c>
      <c r="F4342" t="s">
        <v>43</v>
      </c>
      <c r="G4342">
        <v>-316.01179999999999</v>
      </c>
      <c r="H4342">
        <v>-0.05</v>
      </c>
      <c r="I4342">
        <v>15.72437</v>
      </c>
      <c r="J4342">
        <v>-339.49279999999999</v>
      </c>
      <c r="K4342">
        <v>1.103898</v>
      </c>
      <c r="L4342">
        <v>18.01022</v>
      </c>
      <c r="M4342">
        <v>0.99984819999999996</v>
      </c>
      <c r="N4342">
        <v>0</v>
      </c>
      <c r="O4342">
        <v>-9.9634240000000002E-3</v>
      </c>
      <c r="P4342">
        <v>0.99170570000000002</v>
      </c>
      <c r="Q4342">
        <v>0.11907280000000001</v>
      </c>
      <c r="R4342">
        <v>4.8390420000000003E-2</v>
      </c>
      <c r="S4342">
        <v>3.058014</v>
      </c>
      <c r="T4342">
        <v>-0.14929500000000001</v>
      </c>
      <c r="U4342">
        <v>-0.29602050000000002</v>
      </c>
      <c r="V4342">
        <v>-5.7880000000000001E-2</v>
      </c>
      <c r="W4342">
        <v>0.13340479999999999</v>
      </c>
      <c r="X4342">
        <v>0.98936999999999997</v>
      </c>
      <c r="Y4342">
        <v>8.6338219999999993E-2</v>
      </c>
      <c r="Z4342">
        <v>-1.61641E-3</v>
      </c>
      <c r="AA4342">
        <v>0.99626459999999994</v>
      </c>
      <c r="AB4342">
        <v>30</v>
      </c>
      <c r="AC4342">
        <v>23.480999999999899</v>
      </c>
      <c r="AD4342">
        <v>-1.1538979999999901</v>
      </c>
      <c r="AE4342">
        <v>-2.2858499999999999</v>
      </c>
      <c r="AF4342">
        <v>2.0468648560938401</v>
      </c>
      <c r="AG4342">
        <v>-1.1538979999999901</v>
      </c>
      <c r="AH4342">
        <v>23.446521694742898</v>
      </c>
      <c r="AI4342">
        <v>92.806825272722406</v>
      </c>
      <c r="AJ4342">
        <v>85.010767674436806</v>
      </c>
      <c r="AK4342">
        <v>23.563966472467399</v>
      </c>
      <c r="AL4342">
        <v>82.333612428166504</v>
      </c>
      <c r="AM4342">
        <v>93.348094423322607</v>
      </c>
      <c r="AN4342">
        <v>0.99999996598151897</v>
      </c>
    </row>
    <row r="4343" spans="1:40" x14ac:dyDescent="0.3">
      <c r="A4343" t="str">
        <f>"20200111150115694"</f>
        <v>20200111150115694</v>
      </c>
      <c r="B4343" t="str">
        <f>"1578726075692632"</f>
        <v>1578726075692632</v>
      </c>
      <c r="C4343" t="s">
        <v>40</v>
      </c>
      <c r="D4343">
        <v>4.4251870000000002</v>
      </c>
      <c r="E4343">
        <v>0.55444169999999904</v>
      </c>
      <c r="F4343" t="s">
        <v>43</v>
      </c>
      <c r="G4343">
        <v>-316.30369999999999</v>
      </c>
      <c r="H4343">
        <v>-0.05</v>
      </c>
      <c r="I4343">
        <v>15.748089999999999</v>
      </c>
      <c r="J4343">
        <v>-339.3252</v>
      </c>
      <c r="K4343">
        <v>1.103853</v>
      </c>
      <c r="L4343">
        <v>18.007660000000001</v>
      </c>
      <c r="M4343">
        <v>0.99983900000000003</v>
      </c>
      <c r="N4343">
        <v>0</v>
      </c>
      <c r="O4343">
        <v>-1.0843210000000001E-2</v>
      </c>
      <c r="P4343">
        <v>0.99177420000000005</v>
      </c>
      <c r="Q4343">
        <v>0.1189035</v>
      </c>
      <c r="R4343">
        <v>4.7394539999999999E-2</v>
      </c>
      <c r="S4343">
        <v>3.0579529999999999</v>
      </c>
      <c r="T4343">
        <v>-0.15216540000000001</v>
      </c>
      <c r="U4343">
        <v>-0.2983093</v>
      </c>
      <c r="V4343">
        <v>-5.7743530000000001E-2</v>
      </c>
      <c r="W4343">
        <v>0.13324079999999999</v>
      </c>
      <c r="X4343">
        <v>0.9894001</v>
      </c>
      <c r="Y4343">
        <v>8.6199949999999997E-2</v>
      </c>
      <c r="Z4343">
        <v>-1.600354E-3</v>
      </c>
      <c r="AA4343">
        <v>0.99627659999999996</v>
      </c>
      <c r="AB4343">
        <v>30</v>
      </c>
      <c r="AC4343">
        <v>23.0215</v>
      </c>
      <c r="AD4343">
        <v>-1.153853</v>
      </c>
      <c r="AE4343">
        <v>-2.2595700000000001</v>
      </c>
      <c r="AF4343">
        <v>2.00479650074662</v>
      </c>
      <c r="AG4343">
        <v>-1.153853</v>
      </c>
      <c r="AH4343">
        <v>22.987454433069299</v>
      </c>
      <c r="AI4343">
        <v>92.862696180323297</v>
      </c>
      <c r="AJ4343">
        <v>85.015695442073607</v>
      </c>
      <c r="AK4343">
        <v>23.1035418727833</v>
      </c>
      <c r="AL4343">
        <v>82.343093777837296</v>
      </c>
      <c r="AM4343">
        <v>93.340116762806105</v>
      </c>
      <c r="AN4343">
        <v>0.99999999196075495</v>
      </c>
    </row>
    <row r="4344" spans="1:40" x14ac:dyDescent="0.3">
      <c r="A4344" t="str">
        <f>"20200111150115706"</f>
        <v>20200111150115706</v>
      </c>
      <c r="B4344" t="str">
        <f>"1578726075702392"</f>
        <v>1578726075702392</v>
      </c>
      <c r="C4344" t="s">
        <v>40</v>
      </c>
      <c r="D4344">
        <v>4.4150499999999999</v>
      </c>
      <c r="E4344">
        <v>0.55442400000000003</v>
      </c>
      <c r="F4344" t="s">
        <v>43</v>
      </c>
      <c r="G4344">
        <v>-316.77449999999999</v>
      </c>
      <c r="H4344">
        <v>-0.05</v>
      </c>
      <c r="I4344">
        <v>15.786960000000001</v>
      </c>
      <c r="J4344">
        <v>-339.17239999999998</v>
      </c>
      <c r="K4344">
        <v>1.1038079999999999</v>
      </c>
      <c r="L4344">
        <v>18.005189999999999</v>
      </c>
      <c r="M4344">
        <v>0.99982959999999999</v>
      </c>
      <c r="N4344">
        <v>0</v>
      </c>
      <c r="O4344">
        <v>-1.1673279999999999E-2</v>
      </c>
      <c r="P4344">
        <v>0.991811</v>
      </c>
      <c r="Q4344">
        <v>0.1187951</v>
      </c>
      <c r="R4344">
        <v>4.6889309999999997E-2</v>
      </c>
      <c r="S4344">
        <v>3.0580750000000001</v>
      </c>
      <c r="T4344">
        <v>-0.15647259999999999</v>
      </c>
      <c r="U4344">
        <v>-0.30114750000000001</v>
      </c>
      <c r="V4344">
        <v>-5.8048160000000001E-2</v>
      </c>
      <c r="W4344">
        <v>0.13313829999999999</v>
      </c>
      <c r="X4344">
        <v>0.9893961</v>
      </c>
      <c r="Y4344">
        <v>8.6280519999999999E-2</v>
      </c>
      <c r="Z4344">
        <v>-1.605179E-3</v>
      </c>
      <c r="AA4344">
        <v>0.99626959999999998</v>
      </c>
      <c r="AB4344">
        <v>30</v>
      </c>
      <c r="AC4344">
        <v>22.3979</v>
      </c>
      <c r="AD4344">
        <v>-1.1538079999999999</v>
      </c>
      <c r="AE4344">
        <v>-2.2182299999999899</v>
      </c>
      <c r="AF4344">
        <v>1.95146681814325</v>
      </c>
      <c r="AG4344">
        <v>-1.1538079999999999</v>
      </c>
      <c r="AH4344">
        <v>22.363500598368301</v>
      </c>
      <c r="AI4344">
        <v>92.942301591772505</v>
      </c>
      <c r="AJ4344">
        <v>85.0129316186881</v>
      </c>
      <c r="AK4344">
        <v>22.478115015641301</v>
      </c>
      <c r="AL4344">
        <v>82.349019599074197</v>
      </c>
      <c r="AM4344">
        <v>93.357711113502006</v>
      </c>
      <c r="AN4344">
        <v>1.0000000192507399</v>
      </c>
    </row>
    <row r="4345" spans="1:40" x14ac:dyDescent="0.3">
      <c r="A4345" t="str">
        <f>"20200111150115733"</f>
        <v>20200111150115733</v>
      </c>
      <c r="B4345" t="str">
        <f>"1578726075721912"</f>
        <v>1578726075721912</v>
      </c>
      <c r="C4345" t="s">
        <v>40</v>
      </c>
      <c r="D4345">
        <v>4.4253519999999904</v>
      </c>
      <c r="E4345">
        <v>0.55428040000000001</v>
      </c>
      <c r="F4345" t="s">
        <v>43</v>
      </c>
      <c r="G4345">
        <v>-316.95659999999998</v>
      </c>
      <c r="H4345">
        <v>-0.05</v>
      </c>
      <c r="I4345">
        <v>15.805300000000001</v>
      </c>
      <c r="J4345">
        <v>-338.79680000000002</v>
      </c>
      <c r="K4345">
        <v>1.1036779999999999</v>
      </c>
      <c r="L4345">
        <v>17.998379999999901</v>
      </c>
      <c r="M4345">
        <v>0.99980170000000002</v>
      </c>
      <c r="N4345">
        <v>0</v>
      </c>
      <c r="O4345">
        <v>-1.38694E-2</v>
      </c>
      <c r="P4345">
        <v>0.99193909999999996</v>
      </c>
      <c r="Q4345">
        <v>0.1184883</v>
      </c>
      <c r="R4345">
        <v>4.4915879999999998E-2</v>
      </c>
      <c r="S4345">
        <v>3.0581049999999999</v>
      </c>
      <c r="T4345">
        <v>-0.1588271</v>
      </c>
      <c r="U4345">
        <v>-0.30282589999999998</v>
      </c>
      <c r="V4345">
        <v>-5.8214149999999999E-2</v>
      </c>
      <c r="W4345">
        <v>0.13284899999999999</v>
      </c>
      <c r="X4345">
        <v>0.9894252</v>
      </c>
      <c r="Y4345">
        <v>8.4634890000000004E-2</v>
      </c>
      <c r="Z4345">
        <v>-1.4729669999999999E-3</v>
      </c>
      <c r="AA4345">
        <v>0.99641100000000005</v>
      </c>
      <c r="AB4345">
        <v>30</v>
      </c>
      <c r="AC4345">
        <v>21.840199999999999</v>
      </c>
      <c r="AD4345">
        <v>-1.153678</v>
      </c>
      <c r="AE4345">
        <v>-2.1930799999999899</v>
      </c>
      <c r="AF4345">
        <v>1.8847211130000601</v>
      </c>
      <c r="AG4345">
        <v>-1.153678</v>
      </c>
      <c r="AH4345">
        <v>21.808273802859802</v>
      </c>
      <c r="AI4345">
        <v>93.016952743701495</v>
      </c>
      <c r="AJ4345">
        <v>85.060639789786293</v>
      </c>
      <c r="AK4345">
        <v>21.919944180174699</v>
      </c>
      <c r="AL4345">
        <v>82.365743569736097</v>
      </c>
      <c r="AM4345">
        <v>93.367191693326703</v>
      </c>
      <c r="AN4345">
        <v>0.99999998522813105</v>
      </c>
    </row>
    <row r="4346" spans="1:40" x14ac:dyDescent="0.3">
      <c r="A4346" t="str">
        <f>"20200111150115749"</f>
        <v>20200111150115749</v>
      </c>
      <c r="B4346" t="str">
        <f>"1578726075742412"</f>
        <v>1578726075742412</v>
      </c>
      <c r="C4346" t="s">
        <v>40</v>
      </c>
      <c r="D4346">
        <v>4.5137299999999998</v>
      </c>
      <c r="E4346">
        <v>0.55465500000000001</v>
      </c>
      <c r="F4346" t="s">
        <v>43</v>
      </c>
      <c r="G4346">
        <v>-317.44490000000002</v>
      </c>
      <c r="H4346">
        <v>-0.05</v>
      </c>
      <c r="I4346">
        <v>15.8461</v>
      </c>
      <c r="J4346">
        <v>-338.58710000000002</v>
      </c>
      <c r="K4346">
        <v>1.103588</v>
      </c>
      <c r="L4346">
        <v>17.994139999999899</v>
      </c>
      <c r="M4346">
        <v>0.99978219999999995</v>
      </c>
      <c r="N4346">
        <v>0</v>
      </c>
      <c r="O4346">
        <v>-1.520144E-2</v>
      </c>
      <c r="P4346">
        <v>0.99218459999999997</v>
      </c>
      <c r="Q4346">
        <v>0.117023</v>
      </c>
      <c r="R4346">
        <v>4.3305910000000003E-2</v>
      </c>
      <c r="S4346">
        <v>3.0580750000000001</v>
      </c>
      <c r="T4346">
        <v>-0.1652332</v>
      </c>
      <c r="U4346">
        <v>-0.30825809999999998</v>
      </c>
      <c r="V4346">
        <v>-5.7908880000000003E-2</v>
      </c>
      <c r="W4346">
        <v>0.1313965</v>
      </c>
      <c r="X4346">
        <v>0.98963710000000005</v>
      </c>
      <c r="Y4346">
        <v>8.5054340000000006E-2</v>
      </c>
      <c r="Z4346">
        <v>-1.471757E-3</v>
      </c>
      <c r="AA4346">
        <v>0.99637520000000002</v>
      </c>
      <c r="AB4346">
        <v>30</v>
      </c>
      <c r="AC4346">
        <v>21.142199999999999</v>
      </c>
      <c r="AD4346">
        <v>-1.1535879999999901</v>
      </c>
      <c r="AE4346">
        <v>-2.1480399999999902</v>
      </c>
      <c r="AF4346">
        <v>1.82100099177063</v>
      </c>
      <c r="AG4346">
        <v>-1.1535879999999901</v>
      </c>
      <c r="AH4346">
        <v>21.110207002969702</v>
      </c>
      <c r="AI4346">
        <v>93.116323202584994</v>
      </c>
      <c r="AJ4346">
        <v>85.069776865376298</v>
      </c>
      <c r="AK4346">
        <v>21.219982318418801</v>
      </c>
      <c r="AL4346">
        <v>82.449702100818399</v>
      </c>
      <c r="AM4346">
        <v>93.348859164294694</v>
      </c>
      <c r="AN4346">
        <v>1.00000003414575</v>
      </c>
    </row>
    <row r="4347" spans="1:40" x14ac:dyDescent="0.3">
      <c r="A4347" t="str">
        <f>"20200111150115760"</f>
        <v>20200111150115760</v>
      </c>
      <c r="B4347" t="str">
        <f>"1578726075752168"</f>
        <v>1578726075752168</v>
      </c>
      <c r="C4347" t="s">
        <v>40</v>
      </c>
      <c r="D4347">
        <v>4.448372</v>
      </c>
      <c r="E4347">
        <v>0.61551849999999997</v>
      </c>
      <c r="F4347" t="s">
        <v>43</v>
      </c>
      <c r="G4347">
        <v>-317.3261</v>
      </c>
      <c r="H4347">
        <v>-0.05</v>
      </c>
      <c r="I4347">
        <v>15.795489999999999</v>
      </c>
      <c r="J4347">
        <v>-338.43380000000002</v>
      </c>
      <c r="K4347">
        <v>1.1035239999999999</v>
      </c>
      <c r="L4347">
        <v>17.990879999999901</v>
      </c>
      <c r="M4347">
        <v>0.9997665</v>
      </c>
      <c r="N4347">
        <v>0</v>
      </c>
      <c r="O4347">
        <v>-1.6207180000000002E-2</v>
      </c>
      <c r="P4347">
        <v>0.99231230000000004</v>
      </c>
      <c r="Q4347">
        <v>0.1164014</v>
      </c>
      <c r="R4347">
        <v>4.2036579999999997E-2</v>
      </c>
      <c r="S4347">
        <v>3.0569760000000001</v>
      </c>
      <c r="T4347">
        <v>-0.16586699999999999</v>
      </c>
      <c r="U4347">
        <v>-0.31613160000000001</v>
      </c>
      <c r="V4347">
        <v>-5.7621480000000003E-2</v>
      </c>
      <c r="W4347">
        <v>0.13078389999999901</v>
      </c>
      <c r="X4347">
        <v>0.98973500000000003</v>
      </c>
      <c r="Y4347">
        <v>8.6625779999999999E-2</v>
      </c>
      <c r="Z4347">
        <v>-1.46585799999999E-3</v>
      </c>
      <c r="AA4347">
        <v>0.99623980000000001</v>
      </c>
      <c r="AB4347">
        <v>30</v>
      </c>
      <c r="AC4347">
        <v>21.107700000000001</v>
      </c>
      <c r="AD4347">
        <v>-1.153524</v>
      </c>
      <c r="AE4347">
        <v>-2.19538999999999</v>
      </c>
      <c r="AF4347">
        <v>1.84751169247745</v>
      </c>
      <c r="AG4347">
        <v>-1.153524</v>
      </c>
      <c r="AH4347">
        <v>21.078234031410499</v>
      </c>
      <c r="AI4347">
        <v>93.120494876396407</v>
      </c>
      <c r="AJ4347">
        <v>84.990814363456806</v>
      </c>
      <c r="AK4347">
        <v>21.190466416653699</v>
      </c>
      <c r="AL4347">
        <v>82.485106892643302</v>
      </c>
      <c r="AM4347">
        <v>93.331947554399306</v>
      </c>
      <c r="AN4347">
        <v>1.0000000168408001</v>
      </c>
    </row>
    <row r="4348" spans="1:40" x14ac:dyDescent="0.3">
      <c r="A4348" t="str">
        <f>"20200111150115771"</f>
        <v>20200111150115771</v>
      </c>
      <c r="B4348" t="str">
        <f>"1578726075761928"</f>
        <v>1578726075761928</v>
      </c>
      <c r="C4348" t="s">
        <v>40</v>
      </c>
      <c r="D4348">
        <v>4.4468199999999998</v>
      </c>
      <c r="E4348">
        <v>0.62471149999999998</v>
      </c>
      <c r="F4348" t="s">
        <v>43</v>
      </c>
      <c r="G4348">
        <v>-316.10329999999999</v>
      </c>
      <c r="H4348">
        <v>-0.05</v>
      </c>
      <c r="I4348">
        <v>12.146039999999999</v>
      </c>
      <c r="J4348">
        <v>-338.27760000000001</v>
      </c>
      <c r="K4348">
        <v>1.103453</v>
      </c>
      <c r="L4348">
        <v>17.987179999999999</v>
      </c>
      <c r="M4348">
        <v>0.99974779999999996</v>
      </c>
      <c r="N4348">
        <v>0</v>
      </c>
      <c r="O4348">
        <v>-1.7316930000000001E-2</v>
      </c>
      <c r="P4348">
        <v>0.99242280000000005</v>
      </c>
      <c r="Q4348">
        <v>0.11598559999999999</v>
      </c>
      <c r="R4348">
        <v>4.0547519999999997E-2</v>
      </c>
      <c r="S4348">
        <v>3.0759889999999999</v>
      </c>
      <c r="T4348">
        <v>-0.15889539999999999</v>
      </c>
      <c r="U4348">
        <v>-0.80511469999999996</v>
      </c>
      <c r="V4348">
        <v>-5.7215389999999998E-2</v>
      </c>
      <c r="W4348">
        <v>0.13037779999999999</v>
      </c>
      <c r="X4348">
        <v>0.98981209999999997</v>
      </c>
      <c r="Y4348">
        <v>0.23614679999999999</v>
      </c>
      <c r="Z4348">
        <v>-5.115718E-3</v>
      </c>
      <c r="AA4348">
        <v>0.97170389999999995</v>
      </c>
      <c r="AB4348">
        <v>30</v>
      </c>
      <c r="AC4348">
        <v>22.174299999999999</v>
      </c>
      <c r="AD4348">
        <v>-1.1534530000000001</v>
      </c>
      <c r="AE4348">
        <v>-5.8411399999999896</v>
      </c>
      <c r="AF4348">
        <v>5.4424630753401297</v>
      </c>
      <c r="AG4348">
        <v>-1.1534530000000001</v>
      </c>
      <c r="AH4348">
        <v>22.215923348068099</v>
      </c>
      <c r="AI4348">
        <v>92.886917346933899</v>
      </c>
      <c r="AJ4348">
        <v>76.234765326139495</v>
      </c>
      <c r="AK4348">
        <v>22.901923682452701</v>
      </c>
      <c r="AL4348">
        <v>82.508575396768407</v>
      </c>
      <c r="AM4348">
        <v>93.308260711862602</v>
      </c>
      <c r="AN4348">
        <v>0.99999998244605004</v>
      </c>
    </row>
    <row r="4349" spans="1:40" x14ac:dyDescent="0.3">
      <c r="A4349" t="str">
        <f>"20200111150115783"</f>
        <v>20200111150115783</v>
      </c>
      <c r="B4349" t="str">
        <f>"1578726075771688"</f>
        <v>1578726075771688</v>
      </c>
      <c r="C4349" t="s">
        <v>40</v>
      </c>
      <c r="D4349">
        <v>4.4301870000000001</v>
      </c>
      <c r="E4349">
        <v>0.63028119999999999</v>
      </c>
      <c r="F4349" t="s">
        <v>43</v>
      </c>
      <c r="G4349">
        <v>-311.89710000000002</v>
      </c>
      <c r="H4349">
        <v>-0.05</v>
      </c>
      <c r="I4349">
        <v>10.41541</v>
      </c>
      <c r="J4349">
        <v>-338.13299999999998</v>
      </c>
      <c r="K4349">
        <v>1.1033869999999999</v>
      </c>
      <c r="L4349">
        <v>17.983699999999999</v>
      </c>
      <c r="M4349">
        <v>0.99972919999999998</v>
      </c>
      <c r="N4349">
        <v>0</v>
      </c>
      <c r="O4349">
        <v>-1.8362340000000001E-2</v>
      </c>
      <c r="P4349">
        <v>0.99252240000000003</v>
      </c>
      <c r="Q4349">
        <v>0.1155746</v>
      </c>
      <c r="R4349">
        <v>3.9268230000000001E-2</v>
      </c>
      <c r="S4349">
        <v>3.0747070000000001</v>
      </c>
      <c r="T4349">
        <v>-0.13443759999999999</v>
      </c>
      <c r="U4349">
        <v>-0.88250729999999999</v>
      </c>
      <c r="V4349">
        <v>-5.6956470000000002E-2</v>
      </c>
      <c r="W4349">
        <v>0.12997590000000001</v>
      </c>
      <c r="X4349">
        <v>0.98987990000000003</v>
      </c>
      <c r="Y4349">
        <v>0.25797340000000002</v>
      </c>
      <c r="Z4349">
        <v>-4.739521E-3</v>
      </c>
      <c r="AA4349">
        <v>0.96614040000000001</v>
      </c>
      <c r="AB4349">
        <v>30</v>
      </c>
      <c r="AC4349">
        <v>26.235900000000001</v>
      </c>
      <c r="AD4349">
        <v>-1.1533869999999999</v>
      </c>
      <c r="AE4349">
        <v>-7.5682899999999904</v>
      </c>
      <c r="AF4349">
        <v>7.0725930483804103</v>
      </c>
      <c r="AG4349">
        <v>-1.1533869999999999</v>
      </c>
      <c r="AH4349">
        <v>26.323495026878899</v>
      </c>
      <c r="AI4349">
        <v>92.423033817635499</v>
      </c>
      <c r="AJ4349">
        <v>74.960947156853706</v>
      </c>
      <c r="AK4349">
        <v>27.281463751600398</v>
      </c>
      <c r="AL4349">
        <v>82.531800291902798</v>
      </c>
      <c r="AM4349">
        <v>93.293097609108003</v>
      </c>
      <c r="AN4349">
        <v>0.99999999523983996</v>
      </c>
    </row>
    <row r="4350" spans="1:40" x14ac:dyDescent="0.3">
      <c r="A4350" t="str">
        <f>"20200111150115794"</f>
        <v>20200111150115794</v>
      </c>
      <c r="B4350" t="str">
        <f>"1578726075792184"</f>
        <v>1578726075792184</v>
      </c>
      <c r="C4350" t="s">
        <v>40</v>
      </c>
      <c r="D4350">
        <v>4.4623039999999996</v>
      </c>
      <c r="E4350">
        <v>0.63523830000000003</v>
      </c>
      <c r="F4350" t="s">
        <v>43</v>
      </c>
      <c r="G4350">
        <v>-309.70249999999999</v>
      </c>
      <c r="H4350">
        <v>-0.05</v>
      </c>
      <c r="I4350">
        <v>9.3747100000000003</v>
      </c>
      <c r="J4350">
        <v>-337.97789999999998</v>
      </c>
      <c r="K4350">
        <v>1.103315</v>
      </c>
      <c r="L4350">
        <v>17.979679999999998</v>
      </c>
      <c r="M4350">
        <v>0.99970669999999995</v>
      </c>
      <c r="N4350">
        <v>0</v>
      </c>
      <c r="O4350">
        <v>-1.954823E-2</v>
      </c>
      <c r="P4350">
        <v>0.99265329999999996</v>
      </c>
      <c r="Q4350">
        <v>0.1149189</v>
      </c>
      <c r="R4350">
        <v>3.7862939999999998E-2</v>
      </c>
      <c r="S4350">
        <v>3.073944</v>
      </c>
      <c r="T4350">
        <v>-0.1247057</v>
      </c>
      <c r="U4350">
        <v>-0.93081670000000005</v>
      </c>
      <c r="V4350">
        <v>-5.6710650000000001E-2</v>
      </c>
      <c r="W4350">
        <v>0.129331</v>
      </c>
      <c r="X4350">
        <v>0.98997849999999998</v>
      </c>
      <c r="Y4350">
        <v>0.27085740000000003</v>
      </c>
      <c r="Z4350">
        <v>-4.5967689999999997E-3</v>
      </c>
      <c r="AA4350">
        <v>0.96260849999999998</v>
      </c>
      <c r="AB4350">
        <v>30</v>
      </c>
      <c r="AC4350">
        <v>28.275399999999902</v>
      </c>
      <c r="AD4350">
        <v>-1.1533149999999901</v>
      </c>
      <c r="AE4350">
        <v>-8.6049699999999891</v>
      </c>
      <c r="AF4350">
        <v>8.0382950450213997</v>
      </c>
      <c r="AG4350">
        <v>-1.1533149999999901</v>
      </c>
      <c r="AH4350">
        <v>28.394988281158</v>
      </c>
      <c r="AI4350">
        <v>92.238041197063595</v>
      </c>
      <c r="AJ4350">
        <v>74.193791601480498</v>
      </c>
      <c r="AK4350">
        <v>29.533365575347801</v>
      </c>
      <c r="AL4350">
        <v>82.569065047090305</v>
      </c>
      <c r="AM4350">
        <v>93.278590055038904</v>
      </c>
      <c r="AN4350">
        <v>1.0000000179233299</v>
      </c>
    </row>
    <row r="4351" spans="1:40" x14ac:dyDescent="0.3">
      <c r="A4351" t="str">
        <f>"20200111150115831"</f>
        <v>20200111150115831</v>
      </c>
      <c r="B4351" t="str">
        <f>"1578726075822440"</f>
        <v>1578726075822440</v>
      </c>
      <c r="C4351" t="s">
        <v>40</v>
      </c>
      <c r="D4351">
        <v>4.5116139999999998</v>
      </c>
      <c r="E4351">
        <v>0.63606399999999996</v>
      </c>
      <c r="F4351" t="s">
        <v>43</v>
      </c>
      <c r="G4351">
        <v>-307.40190000000001</v>
      </c>
      <c r="H4351">
        <v>-0.05</v>
      </c>
      <c r="I4351">
        <v>8.2806239999999995</v>
      </c>
      <c r="J4351">
        <v>-337.48180000000002</v>
      </c>
      <c r="K4351">
        <v>1.103081</v>
      </c>
      <c r="L4351">
        <v>17.965239999999898</v>
      </c>
      <c r="M4351">
        <v>0.99961829999999996</v>
      </c>
      <c r="N4351">
        <v>0</v>
      </c>
      <c r="O4351">
        <v>-2.3637769999999999E-2</v>
      </c>
      <c r="P4351">
        <v>0.99297329999999995</v>
      </c>
      <c r="Q4351">
        <v>0.1136361</v>
      </c>
      <c r="R4351">
        <v>3.3031249999999998E-2</v>
      </c>
      <c r="S4351">
        <v>3.0728149999999999</v>
      </c>
      <c r="T4351">
        <v>-0.11590540000000001</v>
      </c>
      <c r="U4351">
        <v>-0.97473140000000003</v>
      </c>
      <c r="V4351">
        <v>-5.5880920000000001E-2</v>
      </c>
      <c r="W4351">
        <v>0.12808119999999901</v>
      </c>
      <c r="X4351">
        <v>0.99018810000000002</v>
      </c>
      <c r="Y4351">
        <v>0.2795802</v>
      </c>
      <c r="Z4351">
        <v>-4.2755800000000002E-3</v>
      </c>
      <c r="AA4351">
        <v>0.96011279999999999</v>
      </c>
      <c r="AB4351">
        <v>30</v>
      </c>
      <c r="AC4351">
        <v>30.079899999999999</v>
      </c>
      <c r="AD4351">
        <v>-1.153081</v>
      </c>
      <c r="AE4351">
        <v>-9.6846159999999895</v>
      </c>
      <c r="AF4351">
        <v>8.9588864913842396</v>
      </c>
      <c r="AG4351">
        <v>-1.153081</v>
      </c>
      <c r="AH4351">
        <v>30.2601492703823</v>
      </c>
      <c r="AI4351">
        <v>92.092536700102002</v>
      </c>
      <c r="AJ4351">
        <v>73.507969424472805</v>
      </c>
      <c r="AK4351">
        <v>31.5795483948692</v>
      </c>
      <c r="AL4351">
        <v>82.641273554374393</v>
      </c>
      <c r="AM4351">
        <v>93.230041149975904</v>
      </c>
      <c r="AN4351">
        <v>0.99999997219754699</v>
      </c>
    </row>
    <row r="4352" spans="1:40" x14ac:dyDescent="0.3">
      <c r="A4352" t="str">
        <f>"20200111150115843"</f>
        <v>20200111150115843</v>
      </c>
      <c r="B4352" t="str">
        <f>"1578726075832201"</f>
        <v>1578726075832201</v>
      </c>
      <c r="C4352" t="s">
        <v>40</v>
      </c>
      <c r="D4352">
        <v>4.4982509999999998</v>
      </c>
      <c r="E4352">
        <v>0.63682079999999996</v>
      </c>
      <c r="F4352" t="s">
        <v>43</v>
      </c>
      <c r="G4352">
        <v>-305.57350000000002</v>
      </c>
      <c r="H4352">
        <v>-0.05</v>
      </c>
      <c r="I4352">
        <v>7.6035919999999999</v>
      </c>
      <c r="J4352">
        <v>-337.31799999999998</v>
      </c>
      <c r="K4352">
        <v>1.103008</v>
      </c>
      <c r="L4352">
        <v>17.959989999999902</v>
      </c>
      <c r="M4352">
        <v>0.99958309999999995</v>
      </c>
      <c r="N4352">
        <v>0</v>
      </c>
      <c r="O4352">
        <v>-2.5079520000000001E-2</v>
      </c>
      <c r="P4352">
        <v>0.9931027</v>
      </c>
      <c r="Q4352">
        <v>0.11303729999999999</v>
      </c>
      <c r="R4352">
        <v>3.1137379999999999E-2</v>
      </c>
      <c r="S4352">
        <v>3.0670470000000001</v>
      </c>
      <c r="T4352">
        <v>-0.11083510000000001</v>
      </c>
      <c r="U4352">
        <v>-0.99597170000000002</v>
      </c>
      <c r="V4352">
        <v>-5.5402600000000003E-2</v>
      </c>
      <c r="W4352">
        <v>0.12749240000000001</v>
      </c>
      <c r="X4352">
        <v>0.99029100000000003</v>
      </c>
      <c r="Y4352">
        <v>0.28475050000000002</v>
      </c>
      <c r="Z4352">
        <v>-4.132152E-3</v>
      </c>
      <c r="AA4352">
        <v>0.95859280000000002</v>
      </c>
      <c r="AB4352">
        <v>30</v>
      </c>
      <c r="AC4352">
        <v>31.744499999999999</v>
      </c>
      <c r="AD4352">
        <v>-1.153008</v>
      </c>
      <c r="AE4352">
        <v>-10.356398</v>
      </c>
      <c r="AF4352">
        <v>9.5455399456559196</v>
      </c>
      <c r="AG4352">
        <v>-1.153008</v>
      </c>
      <c r="AH4352">
        <v>31.956170294577099</v>
      </c>
      <c r="AI4352">
        <v>91.980014129607099</v>
      </c>
      <c r="AJ4352">
        <v>73.368732917506193</v>
      </c>
      <c r="AK4352">
        <v>33.371298749047597</v>
      </c>
      <c r="AL4352">
        <v>82.675288470407395</v>
      </c>
      <c r="AM4352">
        <v>93.202118916554895</v>
      </c>
      <c r="AN4352">
        <v>1.0000000124127599</v>
      </c>
    </row>
    <row r="4353" spans="1:40" x14ac:dyDescent="0.3">
      <c r="A4353" t="str">
        <f>"20200111150115855"</f>
        <v>20200111150115855</v>
      </c>
      <c r="B4353" t="str">
        <f>"1578726075851720"</f>
        <v>1578726075851720</v>
      </c>
      <c r="C4353" t="s">
        <v>40</v>
      </c>
      <c r="D4353">
        <v>4.4921730000000002</v>
      </c>
      <c r="E4353">
        <v>0.63788630000000002</v>
      </c>
      <c r="F4353" t="s">
        <v>43</v>
      </c>
      <c r="G4353">
        <v>-303.96769999999998</v>
      </c>
      <c r="H4353">
        <v>-0.05</v>
      </c>
      <c r="I4353">
        <v>6.9923250000000001</v>
      </c>
      <c r="J4353">
        <v>-337.15120000000002</v>
      </c>
      <c r="K4353">
        <v>1.1029389999999999</v>
      </c>
      <c r="L4353">
        <v>17.954279999999901</v>
      </c>
      <c r="M4353">
        <v>0.99954350000000003</v>
      </c>
      <c r="N4353">
        <v>0</v>
      </c>
      <c r="O4353">
        <v>-2.6605380000000001E-2</v>
      </c>
      <c r="P4353">
        <v>0.99321130000000002</v>
      </c>
      <c r="Q4353">
        <v>0.11261889999999899</v>
      </c>
      <c r="R4353">
        <v>2.9121210000000002E-2</v>
      </c>
      <c r="S4353">
        <v>3.0644529999999999</v>
      </c>
      <c r="T4353">
        <v>-0.1059461</v>
      </c>
      <c r="U4353">
        <v>-1.007782</v>
      </c>
      <c r="V4353">
        <v>-5.48856E-2</v>
      </c>
      <c r="W4353">
        <v>0.1270828</v>
      </c>
      <c r="X4353">
        <v>0.99037240000000004</v>
      </c>
      <c r="Y4353">
        <v>0.2868754</v>
      </c>
      <c r="Z4353">
        <v>-3.9353740000000002E-3</v>
      </c>
      <c r="AA4353">
        <v>0.95795980000000003</v>
      </c>
      <c r="AB4353">
        <v>30</v>
      </c>
      <c r="AC4353">
        <v>33.183500000000002</v>
      </c>
      <c r="AD4353">
        <v>-1.1529389999999999</v>
      </c>
      <c r="AE4353">
        <v>-10.9619549999999</v>
      </c>
      <c r="AF4353">
        <v>10.0641699128641</v>
      </c>
      <c r="AG4353">
        <v>-1.1529389999999999</v>
      </c>
      <c r="AH4353">
        <v>33.427046100182402</v>
      </c>
      <c r="AI4353">
        <v>91.891606327694603</v>
      </c>
      <c r="AJ4353">
        <v>73.244073445368898</v>
      </c>
      <c r="AK4353">
        <v>34.928272149598897</v>
      </c>
      <c r="AL4353">
        <v>82.698949036217101</v>
      </c>
      <c r="AM4353">
        <v>93.172038842581003</v>
      </c>
      <c r="AN4353">
        <v>0.99999997891247905</v>
      </c>
    </row>
    <row r="4354" spans="1:40" x14ac:dyDescent="0.3">
      <c r="A4354" t="str">
        <f>"20200111150115872"</f>
        <v>20200111150115872</v>
      </c>
      <c r="B4354" t="str">
        <f>"1578726075862456"</f>
        <v>1578726075862456</v>
      </c>
      <c r="C4354" t="s">
        <v>40</v>
      </c>
      <c r="D4354">
        <v>4.5145269999999904</v>
      </c>
      <c r="E4354">
        <v>0.63804550000000004</v>
      </c>
      <c r="F4354" t="s">
        <v>43</v>
      </c>
      <c r="G4354">
        <v>-300.74459999999999</v>
      </c>
      <c r="H4354">
        <v>-0.05</v>
      </c>
      <c r="I4354">
        <v>5.7981569999999998</v>
      </c>
      <c r="J4354">
        <v>-336.93770000000001</v>
      </c>
      <c r="K4354">
        <v>1.1028579999999999</v>
      </c>
      <c r="L4354">
        <v>17.946560000000002</v>
      </c>
      <c r="M4354">
        <v>0.99948809999999999</v>
      </c>
      <c r="N4354">
        <v>0</v>
      </c>
      <c r="O4354">
        <v>-2.8615089999999999E-2</v>
      </c>
      <c r="P4354">
        <v>0.99335600000000002</v>
      </c>
      <c r="Q4354">
        <v>0.1119016</v>
      </c>
      <c r="R4354">
        <v>2.6871269999999999E-2</v>
      </c>
      <c r="S4354">
        <v>3.0614620000000001</v>
      </c>
      <c r="T4354">
        <v>-9.6951480000000007E-2</v>
      </c>
      <c r="U4354">
        <v>-1.0222169999999999</v>
      </c>
      <c r="V4354">
        <v>-5.461572E-2</v>
      </c>
      <c r="W4354">
        <v>0.12637709999999999</v>
      </c>
      <c r="X4354">
        <v>0.99047759999999996</v>
      </c>
      <c r="Y4354">
        <v>0.28931810000000002</v>
      </c>
      <c r="Z4354">
        <v>-3.5780299999999998E-3</v>
      </c>
      <c r="AA4354">
        <v>0.95722629999999997</v>
      </c>
      <c r="AB4354">
        <v>30</v>
      </c>
      <c r="AC4354">
        <v>36.193100000000001</v>
      </c>
      <c r="AD4354">
        <v>-1.1528579999999999</v>
      </c>
      <c r="AE4354">
        <v>-12.148403</v>
      </c>
      <c r="AF4354">
        <v>11.097532850294201</v>
      </c>
      <c r="AG4354">
        <v>-1.1528579999999999</v>
      </c>
      <c r="AH4354">
        <v>36.492662495610801</v>
      </c>
      <c r="AI4354">
        <v>91.731227776968495</v>
      </c>
      <c r="AJ4354">
        <v>73.085319364798707</v>
      </c>
      <c r="AK4354">
        <v>38.160172077050198</v>
      </c>
      <c r="AL4354">
        <v>82.739711203411105</v>
      </c>
      <c r="AM4354">
        <v>93.156138535457998</v>
      </c>
      <c r="AN4354">
        <v>0.99999996218864295</v>
      </c>
    </row>
    <row r="4355" spans="1:40" x14ac:dyDescent="0.3">
      <c r="A4355" t="str">
        <f>"20200111150115883"</f>
        <v>20200111150115883</v>
      </c>
      <c r="B4355" t="str">
        <f>"1578726075872216"</f>
        <v>1578726075872216</v>
      </c>
      <c r="C4355" t="s">
        <v>40</v>
      </c>
      <c r="D4355">
        <v>4.4520460000000002</v>
      </c>
      <c r="E4355">
        <v>0.63854500000000003</v>
      </c>
      <c r="F4355" t="s">
        <v>43</v>
      </c>
      <c r="G4355">
        <v>-299.49759999999998</v>
      </c>
      <c r="H4355">
        <v>-0.05</v>
      </c>
      <c r="I4355">
        <v>5.3326570000000002</v>
      </c>
      <c r="J4355">
        <v>-336.77569999999997</v>
      </c>
      <c r="K4355">
        <v>1.102805</v>
      </c>
      <c r="L4355">
        <v>17.9404</v>
      </c>
      <c r="M4355">
        <v>0.99944250000000001</v>
      </c>
      <c r="N4355">
        <v>0</v>
      </c>
      <c r="O4355">
        <v>-3.016982E-2</v>
      </c>
      <c r="P4355">
        <v>0.99343749999999997</v>
      </c>
      <c r="Q4355">
        <v>0.1115361</v>
      </c>
      <c r="R4355">
        <v>2.5334619999999999E-2</v>
      </c>
      <c r="S4355">
        <v>3.0585629999999999</v>
      </c>
      <c r="T4355">
        <v>-9.4179509999999994E-2</v>
      </c>
      <c r="U4355">
        <v>-1.030457</v>
      </c>
      <c r="V4355">
        <v>-5.4611140000000002E-2</v>
      </c>
      <c r="W4355">
        <v>0.12601999999999999</v>
      </c>
      <c r="X4355">
        <v>0.99052340000000005</v>
      </c>
      <c r="Y4355">
        <v>0.29042600000000002</v>
      </c>
      <c r="Z4355">
        <v>-3.4475970000000002E-3</v>
      </c>
      <c r="AA4355">
        <v>0.95689120000000005</v>
      </c>
      <c r="AB4355">
        <v>30</v>
      </c>
      <c r="AC4355">
        <v>37.278100000000002</v>
      </c>
      <c r="AD4355">
        <v>-1.1528049999999901</v>
      </c>
      <c r="AE4355">
        <v>-12.607742999999999</v>
      </c>
      <c r="AF4355">
        <v>11.46737319599</v>
      </c>
      <c r="AG4355">
        <v>-1.1528049999999901</v>
      </c>
      <c r="AH4355">
        <v>37.609264468840401</v>
      </c>
      <c r="AI4355">
        <v>91.679404532511398</v>
      </c>
      <c r="AJ4355">
        <v>73.043106254619801</v>
      </c>
      <c r="AK4355">
        <v>39.3355612807459</v>
      </c>
      <c r="AL4355">
        <v>82.760336784531106</v>
      </c>
      <c r="AM4355">
        <v>93.155728774028603</v>
      </c>
      <c r="AN4355">
        <v>1.00000001147982</v>
      </c>
    </row>
    <row r="4356" spans="1:40" x14ac:dyDescent="0.3">
      <c r="A4356" t="str">
        <f>"20200111150115896"</f>
        <v>20200111150115896</v>
      </c>
      <c r="B4356" t="str">
        <f>"1578726075891737"</f>
        <v>1578726075891737</v>
      </c>
      <c r="C4356" t="s">
        <v>40</v>
      </c>
      <c r="D4356">
        <v>4.4391949999999998</v>
      </c>
      <c r="E4356">
        <v>0.6398315</v>
      </c>
      <c r="F4356" t="s">
        <v>43</v>
      </c>
      <c r="G4356">
        <v>-300.09269999999998</v>
      </c>
      <c r="H4356">
        <v>-0.05</v>
      </c>
      <c r="I4356">
        <v>5.4699710000000001</v>
      </c>
      <c r="J4356">
        <v>-336.60610000000003</v>
      </c>
      <c r="K4356">
        <v>1.1027559999999901</v>
      </c>
      <c r="L4356">
        <v>17.933620000000001</v>
      </c>
      <c r="M4356">
        <v>0.99939080000000002</v>
      </c>
      <c r="N4356">
        <v>0</v>
      </c>
      <c r="O4356">
        <v>-3.1832060000000002E-2</v>
      </c>
      <c r="P4356">
        <v>0.99350519999999998</v>
      </c>
      <c r="Q4356">
        <v>0.1111965</v>
      </c>
      <c r="R4356">
        <v>2.4143439999999999E-2</v>
      </c>
      <c r="S4356">
        <v>3.0571290000000002</v>
      </c>
      <c r="T4356">
        <v>-9.6073870000000006E-2</v>
      </c>
      <c r="U4356">
        <v>-1.0392760000000001</v>
      </c>
      <c r="V4356">
        <v>-5.5060739999999997E-2</v>
      </c>
      <c r="W4356">
        <v>0.1256903</v>
      </c>
      <c r="X4356">
        <v>0.99054039999999999</v>
      </c>
      <c r="Y4356">
        <v>0.2914428</v>
      </c>
      <c r="Z4356">
        <v>-3.481783E-3</v>
      </c>
      <c r="AA4356">
        <v>0.95658200000000004</v>
      </c>
      <c r="AB4356">
        <v>30</v>
      </c>
      <c r="AC4356">
        <v>36.513399999999997</v>
      </c>
      <c r="AD4356">
        <v>-1.1527559999999999</v>
      </c>
      <c r="AE4356">
        <v>-12.463649</v>
      </c>
      <c r="AF4356">
        <v>11.2848418033411</v>
      </c>
      <c r="AG4356">
        <v>-1.1527559999999999</v>
      </c>
      <c r="AH4356">
        <v>36.858772811743499</v>
      </c>
      <c r="AI4356">
        <v>91.712905354404</v>
      </c>
      <c r="AJ4356">
        <v>72.977279954701501</v>
      </c>
      <c r="AK4356">
        <v>38.564823792021798</v>
      </c>
      <c r="AL4356">
        <v>82.779378603113599</v>
      </c>
      <c r="AM4356">
        <v>93.1816014566284</v>
      </c>
      <c r="AN4356">
        <v>1.00000001031779</v>
      </c>
    </row>
    <row r="4357" spans="1:40" x14ac:dyDescent="0.3">
      <c r="A4357" t="str">
        <f>"20200111150115908"</f>
        <v>20200111150115908</v>
      </c>
      <c r="B4357" t="str">
        <f>"1578726075902472"</f>
        <v>1578726075902472</v>
      </c>
      <c r="C4357" t="s">
        <v>40</v>
      </c>
      <c r="D4357">
        <v>4.5808</v>
      </c>
      <c r="E4357">
        <v>0.6396326</v>
      </c>
      <c r="F4357" t="s">
        <v>43</v>
      </c>
      <c r="G4357">
        <v>-301.00130000000001</v>
      </c>
      <c r="H4357">
        <v>-0.05</v>
      </c>
      <c r="I4357">
        <v>5.6626589999999997</v>
      </c>
      <c r="J4357">
        <v>-336.44310000000002</v>
      </c>
      <c r="K4357">
        <v>1.102716</v>
      </c>
      <c r="L4357">
        <v>17.92679</v>
      </c>
      <c r="M4357">
        <v>0.99933799999999995</v>
      </c>
      <c r="N4357">
        <v>0</v>
      </c>
      <c r="O4357">
        <v>-3.3452099999999999E-2</v>
      </c>
      <c r="P4357">
        <v>0.99358489999999999</v>
      </c>
      <c r="Q4357">
        <v>0.1107139</v>
      </c>
      <c r="R4357">
        <v>2.305989E-2</v>
      </c>
      <c r="S4357">
        <v>3.056244</v>
      </c>
      <c r="T4357">
        <v>-9.8950270000000007E-2</v>
      </c>
      <c r="U4357">
        <v>-1.0533140000000001</v>
      </c>
      <c r="V4357">
        <v>-5.5580820000000003E-2</v>
      </c>
      <c r="W4357">
        <v>0.1252163</v>
      </c>
      <c r="X4357">
        <v>0.99057139999999999</v>
      </c>
      <c r="Y4357">
        <v>0.29390139999999998</v>
      </c>
      <c r="Z4357">
        <v>-3.5722470000000002E-3</v>
      </c>
      <c r="AA4357">
        <v>0.95582909999999999</v>
      </c>
      <c r="AB4357">
        <v>30</v>
      </c>
      <c r="AC4357">
        <v>35.441800000000001</v>
      </c>
      <c r="AD4357">
        <v>-1.1527160000000001</v>
      </c>
      <c r="AE4357">
        <v>-12.2641309999999</v>
      </c>
      <c r="AF4357">
        <v>11.061092279666401</v>
      </c>
      <c r="AG4357">
        <v>-1.1527160000000001</v>
      </c>
      <c r="AH4357">
        <v>35.7984439152264</v>
      </c>
      <c r="AI4357">
        <v>91.762152793498601</v>
      </c>
      <c r="AJ4357">
        <v>72.829766882197006</v>
      </c>
      <c r="AK4357">
        <v>37.486065455680503</v>
      </c>
      <c r="AL4357">
        <v>82.806753172227999</v>
      </c>
      <c r="AM4357">
        <v>93.211490580539603</v>
      </c>
      <c r="AN4357">
        <v>1.00000002391776</v>
      </c>
    </row>
    <row r="4358" spans="1:40" x14ac:dyDescent="0.3">
      <c r="A4358" t="str">
        <f>"20200111150115920"</f>
        <v>20200111150115920</v>
      </c>
      <c r="B4358" t="str">
        <f>"1578726075912233"</f>
        <v>1578726075912233</v>
      </c>
      <c r="C4358" t="s">
        <v>40</v>
      </c>
      <c r="D4358">
        <v>4.4404450000000004</v>
      </c>
      <c r="E4358">
        <v>0.64020840000000001</v>
      </c>
      <c r="F4358" t="s">
        <v>43</v>
      </c>
      <c r="G4358">
        <v>-302.38990000000001</v>
      </c>
      <c r="H4358">
        <v>-0.05</v>
      </c>
      <c r="I4358">
        <v>6.1645200000000004</v>
      </c>
      <c r="J4358">
        <v>-336.2867</v>
      </c>
      <c r="K4358">
        <v>1.1026800000000001</v>
      </c>
      <c r="L4358">
        <v>17.920069999999999</v>
      </c>
      <c r="M4358">
        <v>0.99928439999999996</v>
      </c>
      <c r="N4358">
        <v>0</v>
      </c>
      <c r="O4358">
        <v>-3.5016350000000002E-2</v>
      </c>
      <c r="P4358">
        <v>0.99368630000000002</v>
      </c>
      <c r="Q4358">
        <v>0.1100643</v>
      </c>
      <c r="R4358">
        <v>2.176115E-2</v>
      </c>
      <c r="S4358">
        <v>3.0553889999999999</v>
      </c>
      <c r="T4358">
        <v>-0.1034263</v>
      </c>
      <c r="U4358">
        <v>-1.0553589999999999</v>
      </c>
      <c r="V4358">
        <v>-5.5833349999999997E-2</v>
      </c>
      <c r="W4358">
        <v>0.1245738</v>
      </c>
      <c r="X4358">
        <v>0.99063820000000002</v>
      </c>
      <c r="Y4358">
        <v>0.2930489</v>
      </c>
      <c r="Z4358">
        <v>-3.6690500000000001E-3</v>
      </c>
      <c r="AA4358">
        <v>0.95609040000000001</v>
      </c>
      <c r="AB4358">
        <v>30</v>
      </c>
      <c r="AC4358">
        <v>33.896799999999899</v>
      </c>
      <c r="AD4358">
        <v>-1.1526799999999999</v>
      </c>
      <c r="AE4358">
        <v>-11.755549999999999</v>
      </c>
      <c r="AF4358">
        <v>10.550385271875999</v>
      </c>
      <c r="AG4358">
        <v>-1.1526799999999999</v>
      </c>
      <c r="AH4358">
        <v>34.252330477171803</v>
      </c>
      <c r="AI4358">
        <v>91.842082699155</v>
      </c>
      <c r="AJ4358">
        <v>72.880147872919594</v>
      </c>
      <c r="AK4358">
        <v>35.858910241177298</v>
      </c>
      <c r="AL4358">
        <v>82.843856193147005</v>
      </c>
      <c r="AM4358">
        <v>93.225834076544601</v>
      </c>
      <c r="AN4358">
        <v>1.00000001895895</v>
      </c>
    </row>
    <row r="4359" spans="1:40" x14ac:dyDescent="0.3">
      <c r="A4359" t="str">
        <f>"20200111150115931"</f>
        <v>20200111150115931</v>
      </c>
      <c r="B4359" t="str">
        <f>"1578726075921992"</f>
        <v>1578726075921992</v>
      </c>
      <c r="C4359" t="s">
        <v>40</v>
      </c>
      <c r="D4359">
        <v>4.4403280000000001</v>
      </c>
      <c r="E4359">
        <v>0.64075760000000004</v>
      </c>
      <c r="F4359" t="s">
        <v>43</v>
      </c>
      <c r="G4359">
        <v>-303.11239999999998</v>
      </c>
      <c r="H4359">
        <v>-0.05</v>
      </c>
      <c r="I4359">
        <v>6.35907</v>
      </c>
      <c r="J4359">
        <v>-336.13119999999998</v>
      </c>
      <c r="K4359">
        <v>1.1026579999999999</v>
      </c>
      <c r="L4359">
        <v>17.912960000000002</v>
      </c>
      <c r="M4359">
        <v>0.99922789999999995</v>
      </c>
      <c r="N4359">
        <v>0</v>
      </c>
      <c r="O4359">
        <v>-3.6592859999999998E-2</v>
      </c>
      <c r="P4359">
        <v>0.9937764</v>
      </c>
      <c r="Q4359">
        <v>0.1094658</v>
      </c>
      <c r="R4359">
        <v>2.0635110000000002E-2</v>
      </c>
      <c r="S4359">
        <v>3.0541079999999998</v>
      </c>
      <c r="T4359">
        <v>-0.1061183</v>
      </c>
      <c r="U4359">
        <v>-1.0643309999999999</v>
      </c>
      <c r="V4359">
        <v>-5.6274020000000001E-2</v>
      </c>
      <c r="W4359">
        <v>0.1239809</v>
      </c>
      <c r="X4359">
        <v>0.9906876</v>
      </c>
      <c r="Y4359">
        <v>0.29416439999999999</v>
      </c>
      <c r="Z4359">
        <v>-3.730049E-3</v>
      </c>
      <c r="AA4359">
        <v>0.95574749999999997</v>
      </c>
      <c r="AB4359">
        <v>30</v>
      </c>
      <c r="AC4359">
        <v>33.018799999999999</v>
      </c>
      <c r="AD4359">
        <v>-1.152658</v>
      </c>
      <c r="AE4359">
        <v>-11.553890000000001</v>
      </c>
      <c r="AF4359">
        <v>10.3265626921915</v>
      </c>
      <c r="AG4359">
        <v>-1.152658</v>
      </c>
      <c r="AH4359">
        <v>33.383269924354799</v>
      </c>
      <c r="AI4359">
        <v>91.889267676004707</v>
      </c>
      <c r="AJ4359">
        <v>72.811411549978899</v>
      </c>
      <c r="AK4359">
        <v>34.962969386810698</v>
      </c>
      <c r="AL4359">
        <v>82.878091959429</v>
      </c>
      <c r="AM4359">
        <v>93.251078098270199</v>
      </c>
      <c r="AN4359">
        <v>0.99999997484276404</v>
      </c>
    </row>
    <row r="4360" spans="1:40" x14ac:dyDescent="0.3">
      <c r="A4360" t="str">
        <f>"20200111150115943"</f>
        <v>20200111150115943</v>
      </c>
      <c r="B4360" t="str">
        <f>"1578726075931753"</f>
        <v>1578726075931753</v>
      </c>
      <c r="C4360" t="s">
        <v>40</v>
      </c>
      <c r="D4360">
        <v>4.4596739999999997</v>
      </c>
      <c r="E4360">
        <v>0.64126359999999905</v>
      </c>
      <c r="F4360" t="s">
        <v>43</v>
      </c>
      <c r="G4360">
        <v>-303.78800000000001</v>
      </c>
      <c r="H4360">
        <v>-0.05</v>
      </c>
      <c r="I4360">
        <v>6.5555570000000003</v>
      </c>
      <c r="J4360">
        <v>-335.97770000000003</v>
      </c>
      <c r="K4360">
        <v>1.1026370000000001</v>
      </c>
      <c r="L4360">
        <v>17.905850000000001</v>
      </c>
      <c r="M4360">
        <v>0.99916959999999999</v>
      </c>
      <c r="N4360">
        <v>0</v>
      </c>
      <c r="O4360">
        <v>-3.8151089999999999E-2</v>
      </c>
      <c r="P4360">
        <v>0.99388129999999997</v>
      </c>
      <c r="Q4360">
        <v>0.1087569</v>
      </c>
      <c r="R4360">
        <v>1.9291200000000001E-2</v>
      </c>
      <c r="S4360">
        <v>3.0530400000000002</v>
      </c>
      <c r="T4360">
        <v>-0.1088052</v>
      </c>
      <c r="U4360">
        <v>-1.0720829999999999</v>
      </c>
      <c r="V4360">
        <v>-5.6481209999999997E-2</v>
      </c>
      <c r="W4360">
        <v>0.12327639999999999</v>
      </c>
      <c r="X4360">
        <v>0.99076370000000002</v>
      </c>
      <c r="Y4360">
        <v>0.29493320000000001</v>
      </c>
      <c r="Z4360">
        <v>-3.7837489999999999E-3</v>
      </c>
      <c r="AA4360">
        <v>0.95551039999999998</v>
      </c>
      <c r="AB4360">
        <v>30</v>
      </c>
      <c r="AC4360">
        <v>32.189700000000002</v>
      </c>
      <c r="AD4360">
        <v>-1.1526369999999999</v>
      </c>
      <c r="AE4360">
        <v>-11.350292999999899</v>
      </c>
      <c r="AF4360">
        <v>10.102309629116</v>
      </c>
      <c r="AG4360">
        <v>-1.1526369999999999</v>
      </c>
      <c r="AH4360">
        <v>32.562196973370597</v>
      </c>
      <c r="AI4360">
        <v>91.936336009213306</v>
      </c>
      <c r="AJ4360">
        <v>72.763676372888099</v>
      </c>
      <c r="AK4360">
        <v>34.112782115050102</v>
      </c>
      <c r="AL4360">
        <v>82.918768737438896</v>
      </c>
      <c r="AM4360">
        <v>93.2627720287513</v>
      </c>
      <c r="AN4360">
        <v>0.99999995355885596</v>
      </c>
    </row>
    <row r="4361" spans="1:40" x14ac:dyDescent="0.3">
      <c r="A4361" t="str">
        <f>"20200111150115961"</f>
        <v>20200111150115961</v>
      </c>
      <c r="B4361" t="str">
        <f>"1578726075952248"</f>
        <v>1578726075952248</v>
      </c>
      <c r="C4361" t="s">
        <v>40</v>
      </c>
      <c r="D4361">
        <v>4.5146040000000003</v>
      </c>
      <c r="E4361">
        <v>0.64148380000000005</v>
      </c>
      <c r="F4361" t="s">
        <v>43</v>
      </c>
      <c r="G4361">
        <v>-304.63029999999998</v>
      </c>
      <c r="H4361">
        <v>-0.05</v>
      </c>
      <c r="I4361">
        <v>6.8116000000000003</v>
      </c>
      <c r="J4361">
        <v>-335.74639999999999</v>
      </c>
      <c r="K4361">
        <v>1.102614</v>
      </c>
      <c r="L4361">
        <v>17.89462</v>
      </c>
      <c r="M4361">
        <v>0.99907679999999999</v>
      </c>
      <c r="N4361">
        <v>0</v>
      </c>
      <c r="O4361">
        <v>-4.0510959999999999E-2</v>
      </c>
      <c r="P4361">
        <v>0.99405379999999999</v>
      </c>
      <c r="Q4361">
        <v>0.10763349999999999</v>
      </c>
      <c r="R4361">
        <v>1.6504660000000001E-2</v>
      </c>
      <c r="S4361">
        <v>3.0517270000000001</v>
      </c>
      <c r="T4361">
        <v>-0.11221150000000001</v>
      </c>
      <c r="U4361">
        <v>-1.0800479999999999</v>
      </c>
      <c r="V4361">
        <v>-5.6048720000000003E-2</v>
      </c>
      <c r="W4361">
        <v>0.12215479999999999</v>
      </c>
      <c r="X4361">
        <v>0.99092720000000001</v>
      </c>
      <c r="Y4361">
        <v>0.29501509999999997</v>
      </c>
      <c r="Z4361">
        <v>-3.8196829999999999E-3</v>
      </c>
      <c r="AA4361">
        <v>0.95548489999999997</v>
      </c>
      <c r="AB4361">
        <v>30</v>
      </c>
      <c r="AC4361">
        <v>31.116099999999999</v>
      </c>
      <c r="AD4361">
        <v>-1.152614</v>
      </c>
      <c r="AE4361">
        <v>-11.083019999999999</v>
      </c>
      <c r="AF4361">
        <v>9.8013134450298303</v>
      </c>
      <c r="AG4361">
        <v>-1.152614</v>
      </c>
      <c r="AH4361">
        <v>31.501223363428799</v>
      </c>
      <c r="AI4361">
        <v>92.000953880736404</v>
      </c>
      <c r="AJ4361">
        <v>72.716954676944198</v>
      </c>
      <c r="AK4361">
        <v>33.010927549424402</v>
      </c>
      <c r="AL4361">
        <v>82.983521317847803</v>
      </c>
      <c r="AM4361">
        <v>93.237308473812902</v>
      </c>
      <c r="AN4361">
        <v>0.99999998493825903</v>
      </c>
    </row>
    <row r="4362" spans="1:40" x14ac:dyDescent="0.3">
      <c r="A4362" t="str">
        <f>"20200111150115971"</f>
        <v>20200111150115971</v>
      </c>
      <c r="B4362" t="str">
        <f>"1578726075962008"</f>
        <v>1578726075962008</v>
      </c>
      <c r="C4362" t="s">
        <v>40</v>
      </c>
      <c r="D4362">
        <v>4.5399770000000004</v>
      </c>
      <c r="E4362">
        <v>0.64125730000000003</v>
      </c>
      <c r="F4362" t="s">
        <v>43</v>
      </c>
      <c r="G4362">
        <v>-306.39060000000001</v>
      </c>
      <c r="H4362">
        <v>-0.05</v>
      </c>
      <c r="I4362">
        <v>7.4010769999999999</v>
      </c>
      <c r="J4362">
        <v>-335.59629999999999</v>
      </c>
      <c r="K4362">
        <v>1.1026039999999999</v>
      </c>
      <c r="L4362">
        <v>17.886959999999998</v>
      </c>
      <c r="M4362">
        <v>0.99901340000000005</v>
      </c>
      <c r="N4362">
        <v>0</v>
      </c>
      <c r="O4362">
        <v>-4.2045890000000002E-2</v>
      </c>
      <c r="P4362">
        <v>0.99411340000000004</v>
      </c>
      <c r="Q4362">
        <v>0.1073419</v>
      </c>
      <c r="R4362">
        <v>1.4705630000000001E-2</v>
      </c>
      <c r="S4362">
        <v>3.0490110000000001</v>
      </c>
      <c r="T4362">
        <v>-0.1197153</v>
      </c>
      <c r="U4362">
        <v>-1.0899049999999999</v>
      </c>
      <c r="V4362">
        <v>-5.577762E-2</v>
      </c>
      <c r="W4362">
        <v>0.12186329999999999</v>
      </c>
      <c r="X4362">
        <v>0.99097840000000004</v>
      </c>
      <c r="Y4362">
        <v>0.2965353</v>
      </c>
      <c r="Z4362">
        <v>-4.0469820000000002E-3</v>
      </c>
      <c r="AA4362">
        <v>0.95501329999999995</v>
      </c>
      <c r="AB4362">
        <v>30</v>
      </c>
      <c r="AC4362">
        <v>29.205699999999901</v>
      </c>
      <c r="AD4362">
        <v>-1.152604</v>
      </c>
      <c r="AE4362">
        <v>-10.485882999999999</v>
      </c>
      <c r="AF4362">
        <v>9.2357610214318804</v>
      </c>
      <c r="AG4362">
        <v>-1.152604</v>
      </c>
      <c r="AH4362">
        <v>29.579991034992901</v>
      </c>
      <c r="AI4362">
        <v>92.130123354355206</v>
      </c>
      <c r="AJ4362">
        <v>72.660069242964198</v>
      </c>
      <c r="AK4362">
        <v>31.009734717602399</v>
      </c>
      <c r="AL4362">
        <v>83.000348847936195</v>
      </c>
      <c r="AM4362">
        <v>93.221517017655103</v>
      </c>
      <c r="AN4362">
        <v>0.99999999802315698</v>
      </c>
    </row>
    <row r="4363" spans="1:40" x14ac:dyDescent="0.3">
      <c r="A4363" t="str">
        <f>"20200111150115983"</f>
        <v>20200111150115983</v>
      </c>
      <c r="B4363" t="str">
        <f>"1578726075971770"</f>
        <v>1578726075971770</v>
      </c>
      <c r="C4363" t="s">
        <v>40</v>
      </c>
      <c r="D4363">
        <v>4.5485189999999998</v>
      </c>
      <c r="E4363">
        <v>0.64108109999999996</v>
      </c>
      <c r="F4363" t="s">
        <v>43</v>
      </c>
      <c r="G4363">
        <v>-306.72570000000002</v>
      </c>
      <c r="H4363">
        <v>-0.05</v>
      </c>
      <c r="I4363">
        <v>7.5211030000000001</v>
      </c>
      <c r="J4363">
        <v>-335.44639999999998</v>
      </c>
      <c r="K4363">
        <v>1.102595</v>
      </c>
      <c r="L4363">
        <v>17.879149999999999</v>
      </c>
      <c r="M4363">
        <v>0.99894760000000005</v>
      </c>
      <c r="N4363">
        <v>0</v>
      </c>
      <c r="O4363">
        <v>-4.357805E-2</v>
      </c>
      <c r="P4363">
        <v>0.99416199999999999</v>
      </c>
      <c r="Q4363">
        <v>0.1070752</v>
      </c>
      <c r="R4363">
        <v>1.3287820000000001E-2</v>
      </c>
      <c r="S4363">
        <v>3.0471189999999999</v>
      </c>
      <c r="T4363">
        <v>-0.12165049999999999</v>
      </c>
      <c r="U4363">
        <v>-1.094055</v>
      </c>
      <c r="V4363">
        <v>-5.5885770000000001E-2</v>
      </c>
      <c r="W4363">
        <v>0.12159780000000001</v>
      </c>
      <c r="X4363">
        <v>0.99100489999999997</v>
      </c>
      <c r="Y4363">
        <v>0.29640680000000003</v>
      </c>
      <c r="Z4363">
        <v>-4.0523299999999998E-3</v>
      </c>
      <c r="AA4363">
        <v>0.95505320000000005</v>
      </c>
      <c r="AB4363">
        <v>30</v>
      </c>
      <c r="AC4363">
        <v>28.720699999999901</v>
      </c>
      <c r="AD4363">
        <v>-1.152595</v>
      </c>
      <c r="AE4363">
        <v>-10.358046999999999</v>
      </c>
      <c r="AF4363">
        <v>9.0835395469913305</v>
      </c>
      <c r="AG4363">
        <v>-1.152595</v>
      </c>
      <c r="AH4363">
        <v>29.103363620288999</v>
      </c>
      <c r="AI4363">
        <v>92.165030648850205</v>
      </c>
      <c r="AJ4363">
        <v>72.666175784456996</v>
      </c>
      <c r="AK4363">
        <v>30.509751555044499</v>
      </c>
      <c r="AL4363">
        <v>83.015674713897596</v>
      </c>
      <c r="AM4363">
        <v>93.2276640532816</v>
      </c>
      <c r="AN4363">
        <v>0.99999997803867102</v>
      </c>
    </row>
    <row r="4364" spans="1:40" x14ac:dyDescent="0.3">
      <c r="A4364" t="str">
        <f>"20200111150115994"</f>
        <v>20200111150115994</v>
      </c>
      <c r="B4364" t="str">
        <f>"1578726075982504"</f>
        <v>1578726075982504</v>
      </c>
      <c r="C4364" t="s">
        <v>40</v>
      </c>
      <c r="D4364">
        <v>4.5170830000000004</v>
      </c>
      <c r="E4364">
        <v>0.64098759999999999</v>
      </c>
      <c r="F4364" t="s">
        <v>43</v>
      </c>
      <c r="G4364">
        <v>-306.87049999999999</v>
      </c>
      <c r="H4364">
        <v>-0.05</v>
      </c>
      <c r="I4364">
        <v>7.5771639999999998</v>
      </c>
      <c r="J4364">
        <v>-335.29500000000002</v>
      </c>
      <c r="K4364">
        <v>1.1025910000000001</v>
      </c>
      <c r="L4364">
        <v>17.87097</v>
      </c>
      <c r="M4364">
        <v>0.99887899999999996</v>
      </c>
      <c r="N4364">
        <v>0</v>
      </c>
      <c r="O4364">
        <v>-4.5125749999999999E-2</v>
      </c>
      <c r="P4364">
        <v>0.99423609999999896</v>
      </c>
      <c r="Q4364">
        <v>0.1065556</v>
      </c>
      <c r="R4364">
        <v>1.1852700000000001E-2</v>
      </c>
      <c r="S4364">
        <v>3.045471</v>
      </c>
      <c r="T4364">
        <v>-0.1228374</v>
      </c>
      <c r="U4364">
        <v>-1.097931</v>
      </c>
      <c r="V4364">
        <v>-5.5995679999999999E-2</v>
      </c>
      <c r="W4364">
        <v>0.12107900000000001</v>
      </c>
      <c r="X4364">
        <v>0.9910622</v>
      </c>
      <c r="Y4364">
        <v>0.29616530000000002</v>
      </c>
      <c r="Z4364">
        <v>-4.0281320000000002E-3</v>
      </c>
      <c r="AA4364">
        <v>0.95512819999999998</v>
      </c>
      <c r="AB4364">
        <v>30</v>
      </c>
      <c r="AC4364">
        <v>28.424499999999998</v>
      </c>
      <c r="AD4364">
        <v>-1.1525909999999999</v>
      </c>
      <c r="AE4364">
        <v>-10.293806</v>
      </c>
      <c r="AF4364">
        <v>8.9874455591043496</v>
      </c>
      <c r="AG4364">
        <v>-1.1525909999999999</v>
      </c>
      <c r="AH4364">
        <v>28.818211507254802</v>
      </c>
      <c r="AI4364">
        <v>92.186577936661607</v>
      </c>
      <c r="AJ4364">
        <v>72.679029372764006</v>
      </c>
      <c r="AK4364">
        <v>30.209136998067599</v>
      </c>
      <c r="AL4364">
        <v>83.045620923026704</v>
      </c>
      <c r="AM4364">
        <v>93.233811825680405</v>
      </c>
      <c r="AN4364">
        <v>0.99999996234425004</v>
      </c>
    </row>
    <row r="4365" spans="1:40" x14ac:dyDescent="0.3">
      <c r="A4365" t="str">
        <f>"20200111150116006"</f>
        <v>20200111150116006</v>
      </c>
      <c r="B4365" t="str">
        <f>"1578726076002025"</f>
        <v>1578726076002025</v>
      </c>
      <c r="C4365" t="s">
        <v>40</v>
      </c>
      <c r="D4365">
        <v>4.5284909999999998</v>
      </c>
      <c r="E4365">
        <v>0.6410593</v>
      </c>
      <c r="F4365" t="s">
        <v>43</v>
      </c>
      <c r="G4365">
        <v>-307.22000000000003</v>
      </c>
      <c r="H4365">
        <v>-0.05</v>
      </c>
      <c r="I4365">
        <v>7.7068019999999997</v>
      </c>
      <c r="J4365">
        <v>-335.13499999999999</v>
      </c>
      <c r="K4365">
        <v>1.1025849999999999</v>
      </c>
      <c r="L4365">
        <v>17.862089999999998</v>
      </c>
      <c r="M4365">
        <v>0.99880369999999996</v>
      </c>
      <c r="N4365">
        <v>0</v>
      </c>
      <c r="O4365">
        <v>-4.6760089999999997E-2</v>
      </c>
      <c r="P4365">
        <v>0.99434350000000005</v>
      </c>
      <c r="Q4365">
        <v>0.10573589999999999</v>
      </c>
      <c r="R4365">
        <v>1.005377E-2</v>
      </c>
      <c r="S4365">
        <v>3.0439449999999999</v>
      </c>
      <c r="T4365">
        <v>-0.1249661</v>
      </c>
      <c r="U4365">
        <v>-1.10202</v>
      </c>
      <c r="V4365">
        <v>-5.5831619999999998E-2</v>
      </c>
      <c r="W4365">
        <v>0.120259199999999</v>
      </c>
      <c r="X4365">
        <v>0.99117129999999998</v>
      </c>
      <c r="Y4365">
        <v>0.29588530000000002</v>
      </c>
      <c r="Z4365">
        <v>-4.0286569999999997E-3</v>
      </c>
      <c r="AA4365">
        <v>0.95521500000000004</v>
      </c>
      <c r="AB4365">
        <v>30</v>
      </c>
      <c r="AC4365">
        <v>27.9149999999999</v>
      </c>
      <c r="AD4365">
        <v>-1.152585</v>
      </c>
      <c r="AE4365">
        <v>-10.155288000000001</v>
      </c>
      <c r="AF4365">
        <v>8.8254487955139496</v>
      </c>
      <c r="AG4365">
        <v>-1.152585</v>
      </c>
      <c r="AH4365">
        <v>28.3167377471305</v>
      </c>
      <c r="AI4365">
        <v>92.225375866372104</v>
      </c>
      <c r="AJ4365">
        <v>72.689363397760303</v>
      </c>
      <c r="AK4365">
        <v>29.682564499453701</v>
      </c>
      <c r="AL4365">
        <v>83.092937990342904</v>
      </c>
      <c r="AM4365">
        <v>93.224003039431494</v>
      </c>
      <c r="AN4365">
        <v>0.99999999546007701</v>
      </c>
    </row>
    <row r="4366" spans="1:40" x14ac:dyDescent="0.3">
      <c r="A4366" t="str">
        <f>"20200111150116017"</f>
        <v>20200111150116017</v>
      </c>
      <c r="B4366" t="str">
        <f>"1578726076011784"</f>
        <v>1578726076011784</v>
      </c>
      <c r="C4366" t="s">
        <v>40</v>
      </c>
      <c r="D4366">
        <v>4.4961779999999996</v>
      </c>
      <c r="E4366">
        <v>0.64101719999999995</v>
      </c>
      <c r="F4366" t="s">
        <v>43</v>
      </c>
      <c r="G4366">
        <v>-307.904</v>
      </c>
      <c r="H4366">
        <v>-0.05</v>
      </c>
      <c r="I4366">
        <v>7.9372100000000003</v>
      </c>
      <c r="J4366">
        <v>-334.99059999999997</v>
      </c>
      <c r="K4366">
        <v>1.1025769999999999</v>
      </c>
      <c r="L4366">
        <v>17.85388</v>
      </c>
      <c r="M4366">
        <v>0.9987336</v>
      </c>
      <c r="N4366">
        <v>0</v>
      </c>
      <c r="O4366">
        <v>-4.8232999999999998E-2</v>
      </c>
      <c r="P4366">
        <v>0.99441590000000002</v>
      </c>
      <c r="Q4366">
        <v>0.1052024</v>
      </c>
      <c r="R4366">
        <v>8.3315030000000005E-3</v>
      </c>
      <c r="S4366">
        <v>3.0419619999999998</v>
      </c>
      <c r="T4366">
        <v>-0.1287547</v>
      </c>
      <c r="U4366">
        <v>-1.1087039999999999</v>
      </c>
      <c r="V4366">
        <v>-5.5581909999999998E-2</v>
      </c>
      <c r="W4366">
        <v>0.1197242</v>
      </c>
      <c r="X4366">
        <v>0.99125010000000002</v>
      </c>
      <c r="Y4366">
        <v>0.29651909999999998</v>
      </c>
      <c r="Z4366">
        <v>-4.1046659999999999E-3</v>
      </c>
      <c r="AA4366">
        <v>0.95501809999999998</v>
      </c>
      <c r="AB4366">
        <v>30</v>
      </c>
      <c r="AC4366">
        <v>27.086599999999901</v>
      </c>
      <c r="AD4366">
        <v>-1.152577</v>
      </c>
      <c r="AE4366">
        <v>-9.9166699999999999</v>
      </c>
      <c r="AF4366">
        <v>8.5848172081392295</v>
      </c>
      <c r="AG4366">
        <v>-1.152577</v>
      </c>
      <c r="AH4366">
        <v>27.489536900374599</v>
      </c>
      <c r="AI4366">
        <v>92.291847579649598</v>
      </c>
      <c r="AJ4366">
        <v>72.656729276243198</v>
      </c>
      <c r="AK4366">
        <v>28.821904156997501</v>
      </c>
      <c r="AL4366">
        <v>83.1238143266538</v>
      </c>
      <c r="AM4366">
        <v>93.209359106029197</v>
      </c>
      <c r="AN4366">
        <v>0.999999996767449</v>
      </c>
    </row>
    <row r="4367" spans="1:40" x14ac:dyDescent="0.3">
      <c r="A4367" t="str">
        <f>"20200111150116028"</f>
        <v>20200111150116028</v>
      </c>
      <c r="B4367" t="str">
        <f>"1578726076022521"</f>
        <v>1578726076022521</v>
      </c>
      <c r="C4367" t="s">
        <v>40</v>
      </c>
      <c r="D4367">
        <v>4.5314290000000002</v>
      </c>
      <c r="E4367">
        <v>0.64107389999999997</v>
      </c>
      <c r="F4367" t="s">
        <v>43</v>
      </c>
      <c r="G4367">
        <v>-308.37670000000003</v>
      </c>
      <c r="H4367">
        <v>-0.05</v>
      </c>
      <c r="I4367">
        <v>8.1063080000000003</v>
      </c>
      <c r="J4367">
        <v>-334.84989999999999</v>
      </c>
      <c r="K4367">
        <v>1.1025750000000001</v>
      </c>
      <c r="L4367">
        <v>17.84564</v>
      </c>
      <c r="M4367">
        <v>0.99866339999999998</v>
      </c>
      <c r="N4367">
        <v>0</v>
      </c>
      <c r="O4367">
        <v>-4.9667629999999997E-2</v>
      </c>
      <c r="P4367">
        <v>0.99449880000000002</v>
      </c>
      <c r="Q4367">
        <v>0.1045325</v>
      </c>
      <c r="R4367">
        <v>6.7282260000000003E-3</v>
      </c>
      <c r="S4367">
        <v>3.0400999999999998</v>
      </c>
      <c r="T4367">
        <v>-0.13165869999999999</v>
      </c>
      <c r="U4367">
        <v>-1.113464</v>
      </c>
      <c r="V4367">
        <v>-5.541484E-2</v>
      </c>
      <c r="W4367">
        <v>0.1190539</v>
      </c>
      <c r="X4367">
        <v>0.9913402</v>
      </c>
      <c r="Y4367">
        <v>0.29664679999999999</v>
      </c>
      <c r="Z4367">
        <v>-4.1413420000000001E-3</v>
      </c>
      <c r="AA4367">
        <v>0.95497829999999995</v>
      </c>
      <c r="AB4367">
        <v>30</v>
      </c>
      <c r="AC4367">
        <v>26.473199999999899</v>
      </c>
      <c r="AD4367">
        <v>-1.1525749999999999</v>
      </c>
      <c r="AE4367">
        <v>-9.7393319999999992</v>
      </c>
      <c r="AF4367">
        <v>8.3982923784450101</v>
      </c>
      <c r="AG4367">
        <v>-1.1525749999999999</v>
      </c>
      <c r="AH4367">
        <v>26.8794228311206</v>
      </c>
      <c r="AI4367">
        <v>92.343707518425205</v>
      </c>
      <c r="AJ4367">
        <v>72.648941255401894</v>
      </c>
      <c r="AK4367">
        <v>28.184448118397501</v>
      </c>
      <c r="AL4367">
        <v>83.162496477386398</v>
      </c>
      <c r="AM4367">
        <v>93.199442169911194</v>
      </c>
      <c r="AN4367">
        <v>1.00000001386673</v>
      </c>
    </row>
    <row r="4368" spans="1:40" x14ac:dyDescent="0.3">
      <c r="A4368" t="str">
        <f>"20200111150116041"</f>
        <v>20200111150116041</v>
      </c>
      <c r="B4368" t="str">
        <f>"1578726076032280"</f>
        <v>1578726076032280</v>
      </c>
      <c r="C4368" t="s">
        <v>40</v>
      </c>
      <c r="D4368">
        <v>4.5374619999999997</v>
      </c>
      <c r="E4368">
        <v>0.64107219999999998</v>
      </c>
      <c r="F4368" t="s">
        <v>43</v>
      </c>
      <c r="G4368">
        <v>-308.83460000000002</v>
      </c>
      <c r="H4368">
        <v>-0.05</v>
      </c>
      <c r="I4368">
        <v>8.263992</v>
      </c>
      <c r="J4368">
        <v>-334.68099999999998</v>
      </c>
      <c r="K4368">
        <v>1.1025720000000001</v>
      </c>
      <c r="L4368">
        <v>17.835570000000001</v>
      </c>
      <c r="M4368">
        <v>0.99857629999999997</v>
      </c>
      <c r="N4368">
        <v>0</v>
      </c>
      <c r="O4368">
        <v>-5.1389549999999999E-2</v>
      </c>
      <c r="P4368">
        <v>0.99452890000000005</v>
      </c>
      <c r="Q4368">
        <v>0.1043418</v>
      </c>
      <c r="R4368">
        <v>5.011466E-3</v>
      </c>
      <c r="S4368">
        <v>3.0382690000000001</v>
      </c>
      <c r="T4368">
        <v>-0.13460649999999999</v>
      </c>
      <c r="U4368">
        <v>-1.119019</v>
      </c>
      <c r="V4368">
        <v>-5.5415159999999998E-2</v>
      </c>
      <c r="W4368">
        <v>0.1188621</v>
      </c>
      <c r="X4368">
        <v>0.9913632</v>
      </c>
      <c r="Y4368">
        <v>0.29671649999999999</v>
      </c>
      <c r="Z4368">
        <v>-4.1631669999999997E-3</v>
      </c>
      <c r="AA4368">
        <v>0.95495649999999999</v>
      </c>
      <c r="AB4368">
        <v>30</v>
      </c>
      <c r="AC4368">
        <v>25.8463999999999</v>
      </c>
      <c r="AD4368">
        <v>-1.1525719999999999</v>
      </c>
      <c r="AE4368">
        <v>-9.5715780000000006</v>
      </c>
      <c r="AF4368">
        <v>8.2161897807787394</v>
      </c>
      <c r="AG4368">
        <v>-1.1525719999999999</v>
      </c>
      <c r="AH4368">
        <v>26.2582526522752</v>
      </c>
      <c r="AI4368">
        <v>92.398769119818098</v>
      </c>
      <c r="AJ4368">
        <v>72.625133154579601</v>
      </c>
      <c r="AK4368">
        <v>27.537792741606498</v>
      </c>
      <c r="AL4368">
        <v>83.173564416251395</v>
      </c>
      <c r="AM4368">
        <v>93.199386532625397</v>
      </c>
      <c r="AN4368">
        <v>1.00000001654423</v>
      </c>
    </row>
    <row r="4369" spans="1:40" x14ac:dyDescent="0.3">
      <c r="A4369" t="str">
        <f>"20200111150116051"</f>
        <v>20200111150116051</v>
      </c>
      <c r="B4369" t="str">
        <f>"1578726076042041"</f>
        <v>1578726076042041</v>
      </c>
      <c r="C4369" t="s">
        <v>40</v>
      </c>
      <c r="D4369">
        <v>4.5144149999999996</v>
      </c>
      <c r="E4369">
        <v>0.64113769999999903</v>
      </c>
      <c r="F4369" t="s">
        <v>43</v>
      </c>
      <c r="G4369">
        <v>-308.87950000000001</v>
      </c>
      <c r="H4369">
        <v>-0.05</v>
      </c>
      <c r="I4369">
        <v>8.2814639999999997</v>
      </c>
      <c r="J4369">
        <v>-334.53500000000003</v>
      </c>
      <c r="K4369">
        <v>1.1025689999999999</v>
      </c>
      <c r="L4369">
        <v>17.82648</v>
      </c>
      <c r="M4369">
        <v>0.99849840000000001</v>
      </c>
      <c r="N4369">
        <v>0</v>
      </c>
      <c r="O4369">
        <v>-5.2881310000000001E-2</v>
      </c>
      <c r="P4369">
        <v>0.99455360000000004</v>
      </c>
      <c r="Q4369">
        <v>0.10416499999999999</v>
      </c>
      <c r="R4369">
        <v>3.6207079999999998E-3</v>
      </c>
      <c r="S4369">
        <v>3.0364070000000001</v>
      </c>
      <c r="T4369">
        <v>-0.13563839999999999</v>
      </c>
      <c r="U4369">
        <v>-1.1243590000000001</v>
      </c>
      <c r="V4369">
        <v>-5.5511369999999997E-2</v>
      </c>
      <c r="W4369">
        <v>0.1186865</v>
      </c>
      <c r="X4369">
        <v>0.9913788</v>
      </c>
      <c r="Y4369">
        <v>0.29695549999999998</v>
      </c>
      <c r="Z4369">
        <v>-4.1373080000000001E-3</v>
      </c>
      <c r="AA4369">
        <v>0.95488240000000002</v>
      </c>
      <c r="AB4369">
        <v>30</v>
      </c>
      <c r="AC4369">
        <v>25.6555</v>
      </c>
      <c r="AD4369">
        <v>-1.152569</v>
      </c>
      <c r="AE4369">
        <v>-9.5450160000000004</v>
      </c>
      <c r="AF4369">
        <v>8.1603556643768709</v>
      </c>
      <c r="AG4369">
        <v>-1.152569</v>
      </c>
      <c r="AH4369">
        <v>26.078167575343201</v>
      </c>
      <c r="AI4369">
        <v>92.415294639104701</v>
      </c>
      <c r="AJ4369">
        <v>72.624103798362</v>
      </c>
      <c r="AK4369">
        <v>27.349417616405798</v>
      </c>
      <c r="AL4369">
        <v>83.183696904269098</v>
      </c>
      <c r="AM4369">
        <v>93.204879307574899</v>
      </c>
      <c r="AN4369">
        <v>0.99999996128548196</v>
      </c>
    </row>
    <row r="4370" spans="1:40" x14ac:dyDescent="0.3">
      <c r="A4370" t="str">
        <f>"20200111150116064"</f>
        <v>20200111150116064</v>
      </c>
      <c r="B4370" t="str">
        <f>"1578726076051801"</f>
        <v>1578726076051801</v>
      </c>
      <c r="C4370" t="s">
        <v>40</v>
      </c>
      <c r="D4370">
        <v>4.5335109999999998</v>
      </c>
      <c r="E4370">
        <v>0.64117769999999996</v>
      </c>
      <c r="F4370" t="s">
        <v>43</v>
      </c>
      <c r="G4370">
        <v>-308.76729999999998</v>
      </c>
      <c r="H4370">
        <v>-0.05</v>
      </c>
      <c r="I4370">
        <v>8.2353360000000002</v>
      </c>
      <c r="J4370">
        <v>-334.37959999999998</v>
      </c>
      <c r="K4370">
        <v>1.102565</v>
      </c>
      <c r="L4370">
        <v>17.816679999999899</v>
      </c>
      <c r="M4370">
        <v>0.99841310000000005</v>
      </c>
      <c r="N4370">
        <v>0</v>
      </c>
      <c r="O4370">
        <v>-5.4470240000000003E-2</v>
      </c>
      <c r="P4370">
        <v>0.99459359999999997</v>
      </c>
      <c r="Q4370">
        <v>0.1038192</v>
      </c>
      <c r="R4370">
        <v>2.3883329999999999E-3</v>
      </c>
      <c r="S4370">
        <v>3.034729</v>
      </c>
      <c r="T4370">
        <v>-0.13574149999999999</v>
      </c>
      <c r="U4370">
        <v>-1.129578</v>
      </c>
      <c r="V4370">
        <v>-5.5863969999999999E-2</v>
      </c>
      <c r="W4370">
        <v>0.1183418</v>
      </c>
      <c r="X4370">
        <v>0.99140019999999995</v>
      </c>
      <c r="Y4370">
        <v>0.29705189999999998</v>
      </c>
      <c r="Z4370">
        <v>-4.0751700000000004E-3</v>
      </c>
      <c r="AA4370">
        <v>0.95485260000000005</v>
      </c>
      <c r="AB4370">
        <v>30</v>
      </c>
      <c r="AC4370">
        <v>25.612300000000001</v>
      </c>
      <c r="AD4370">
        <v>-1.1525650000000001</v>
      </c>
      <c r="AE4370">
        <v>-9.5813439999999908</v>
      </c>
      <c r="AF4370">
        <v>8.1573748636784291</v>
      </c>
      <c r="AG4370">
        <v>-1.1525650000000001</v>
      </c>
      <c r="AH4370">
        <v>26.0499433794464</v>
      </c>
      <c r="AI4370">
        <v>92.417745397809696</v>
      </c>
      <c r="AJ4370">
        <v>72.612383068883801</v>
      </c>
      <c r="AK4370">
        <v>27.321616365401201</v>
      </c>
      <c r="AL4370">
        <v>83.203586933841606</v>
      </c>
      <c r="AM4370">
        <v>93.225123915930993</v>
      </c>
      <c r="AN4370">
        <v>0.99999996066571895</v>
      </c>
    </row>
    <row r="4371" spans="1:40" x14ac:dyDescent="0.3">
      <c r="A4371" t="str">
        <f>"20200111150116077"</f>
        <v>20200111150116077</v>
      </c>
      <c r="B4371" t="str">
        <f>"1578726076072298"</f>
        <v>1578726076072298</v>
      </c>
      <c r="C4371" t="s">
        <v>40</v>
      </c>
      <c r="D4371">
        <v>4.5331359999999998</v>
      </c>
      <c r="E4371">
        <v>0.64112019999999903</v>
      </c>
      <c r="F4371" t="s">
        <v>43</v>
      </c>
      <c r="G4371">
        <v>-308.68189999999998</v>
      </c>
      <c r="H4371">
        <v>-0.05</v>
      </c>
      <c r="I4371">
        <v>8.2083440000000003</v>
      </c>
      <c r="J4371">
        <v>-334.19479999999999</v>
      </c>
      <c r="K4371">
        <v>1.102557</v>
      </c>
      <c r="L4371">
        <v>17.804659999999998</v>
      </c>
      <c r="M4371">
        <v>0.99830779999999997</v>
      </c>
      <c r="N4371">
        <v>0</v>
      </c>
      <c r="O4371">
        <v>-5.6366310000000003E-2</v>
      </c>
      <c r="P4371">
        <v>0.99462010000000001</v>
      </c>
      <c r="Q4371">
        <v>0.1035846</v>
      </c>
      <c r="R4371">
        <v>1.094301E-3</v>
      </c>
      <c r="S4371">
        <v>3.0332340000000002</v>
      </c>
      <c r="T4371">
        <v>-0.13604349999999901</v>
      </c>
      <c r="U4371">
        <v>-1.134125</v>
      </c>
      <c r="V4371">
        <v>-5.6459269999999999E-2</v>
      </c>
      <c r="W4371">
        <v>0.118110199999999</v>
      </c>
      <c r="X4371">
        <v>0.99139409999999994</v>
      </c>
      <c r="Y4371">
        <v>0.29665000000000002</v>
      </c>
      <c r="Z4371">
        <v>-3.9946640000000002E-3</v>
      </c>
      <c r="AA4371">
        <v>0.95497790000000005</v>
      </c>
      <c r="AB4371">
        <v>30</v>
      </c>
      <c r="AC4371">
        <v>25.512899999999998</v>
      </c>
      <c r="AD4371">
        <v>-1.1525570000000001</v>
      </c>
      <c r="AE4371">
        <v>-9.5963159999999998</v>
      </c>
      <c r="AF4371">
        <v>8.1283088111792896</v>
      </c>
      <c r="AG4371">
        <v>-1.1525570000000001</v>
      </c>
      <c r="AH4371">
        <v>25.9668688102443</v>
      </c>
      <c r="AI4371">
        <v>92.425535520762807</v>
      </c>
      <c r="AJ4371">
        <v>72.618515670397301</v>
      </c>
      <c r="AK4371">
        <v>27.233730327969798</v>
      </c>
      <c r="AL4371">
        <v>83.216950388097302</v>
      </c>
      <c r="AM4371">
        <v>93.259437919825601</v>
      </c>
      <c r="AN4371">
        <v>0.99999996501388999</v>
      </c>
    </row>
    <row r="4372" spans="1:40" x14ac:dyDescent="0.3">
      <c r="A4372" t="str">
        <f>"20200111150116090"</f>
        <v>20200111150116090</v>
      </c>
      <c r="B4372" t="str">
        <f>"1578726076082057"</f>
        <v>1578726076082057</v>
      </c>
      <c r="C4372" t="s">
        <v>40</v>
      </c>
      <c r="D4372">
        <v>4.52766</v>
      </c>
      <c r="E4372">
        <v>0.64119559999999998</v>
      </c>
      <c r="F4372" t="s">
        <v>43</v>
      </c>
      <c r="G4372">
        <v>-308.82560000000001</v>
      </c>
      <c r="H4372">
        <v>-0.05</v>
      </c>
      <c r="I4372">
        <v>8.2820590000000003</v>
      </c>
      <c r="J4372">
        <v>-334.02190000000002</v>
      </c>
      <c r="K4372">
        <v>1.1025450000000001</v>
      </c>
      <c r="L4372">
        <v>17.793060000000001</v>
      </c>
      <c r="M4372">
        <v>0.99820540000000002</v>
      </c>
      <c r="N4372">
        <v>0</v>
      </c>
      <c r="O4372">
        <v>-5.8153879999999998E-2</v>
      </c>
      <c r="P4372">
        <v>0.99465300000000001</v>
      </c>
      <c r="Q4372">
        <v>0.10327409999999999</v>
      </c>
      <c r="R4372">
        <v>-3.2242240000000003E-4</v>
      </c>
      <c r="S4372">
        <v>3.0318299999999998</v>
      </c>
      <c r="T4372">
        <v>-0.13774029999999901</v>
      </c>
      <c r="U4372">
        <v>-1.138031</v>
      </c>
      <c r="V4372">
        <v>-5.6823480000000003E-2</v>
      </c>
      <c r="W4372">
        <v>0.1178024</v>
      </c>
      <c r="X4372">
        <v>0.99141000000000001</v>
      </c>
      <c r="Y4372">
        <v>0.2961607</v>
      </c>
      <c r="Z4372">
        <v>-3.9565829999999996E-3</v>
      </c>
      <c r="AA4372">
        <v>0.95512989999999998</v>
      </c>
      <c r="AB4372">
        <v>30</v>
      </c>
      <c r="AC4372">
        <v>25.196300000000001</v>
      </c>
      <c r="AD4372">
        <v>-1.1525449999999999</v>
      </c>
      <c r="AE4372">
        <v>-9.5110010000000003</v>
      </c>
      <c r="AF4372">
        <v>8.0148108533369697</v>
      </c>
      <c r="AG4372">
        <v>-1.1525449999999999</v>
      </c>
      <c r="AH4372">
        <v>25.659813743674</v>
      </c>
      <c r="AI4372">
        <v>92.454972638427193</v>
      </c>
      <c r="AJ4372">
        <v>72.653870480904999</v>
      </c>
      <c r="AK4372">
        <v>26.907091896967099</v>
      </c>
      <c r="AL4372">
        <v>83.234710595944193</v>
      </c>
      <c r="AM4372">
        <v>93.280365780193904</v>
      </c>
      <c r="AN4372">
        <v>1.00000005071253</v>
      </c>
    </row>
    <row r="4373" spans="1:40" x14ac:dyDescent="0.3">
      <c r="A4373" t="str">
        <f>"20200111150116107"</f>
        <v>20200111150116107</v>
      </c>
      <c r="B4373" t="str">
        <f>"1578726076101576"</f>
        <v>1578726076101576</v>
      </c>
      <c r="C4373" t="s">
        <v>40</v>
      </c>
      <c r="D4373">
        <v>4.5197240000000001</v>
      </c>
      <c r="E4373">
        <v>0.64124340000000002</v>
      </c>
      <c r="F4373" t="s">
        <v>43</v>
      </c>
      <c r="G4373">
        <v>-308.84309999999999</v>
      </c>
      <c r="H4373">
        <v>-0.05</v>
      </c>
      <c r="I4373">
        <v>8.2925719999999998</v>
      </c>
      <c r="J4373">
        <v>-333.80759999999998</v>
      </c>
      <c r="K4373">
        <v>1.1025199999999999</v>
      </c>
      <c r="L4373">
        <v>17.778229999999901</v>
      </c>
      <c r="M4373">
        <v>0.99807250000000003</v>
      </c>
      <c r="N4373">
        <v>0</v>
      </c>
      <c r="O4373">
        <v>-6.0389020000000002E-2</v>
      </c>
      <c r="P4373">
        <v>0.99470700000000001</v>
      </c>
      <c r="Q4373">
        <v>0.1027347</v>
      </c>
      <c r="R4373">
        <v>-1.8664199999999999E-3</v>
      </c>
      <c r="S4373">
        <v>3.030151</v>
      </c>
      <c r="T4373">
        <v>-0.13870350000000001</v>
      </c>
      <c r="U4373">
        <v>-1.1433409999999999</v>
      </c>
      <c r="V4373">
        <v>-5.75074E-2</v>
      </c>
      <c r="W4373">
        <v>0.11726930000000001</v>
      </c>
      <c r="X4373">
        <v>0.99143369999999997</v>
      </c>
      <c r="Y4373">
        <v>0.29566140000000002</v>
      </c>
      <c r="Z4373">
        <v>-3.875879E-3</v>
      </c>
      <c r="AA4373">
        <v>0.95528500000000005</v>
      </c>
      <c r="AB4373">
        <v>30</v>
      </c>
      <c r="AC4373">
        <v>24.964499999999902</v>
      </c>
      <c r="AD4373">
        <v>-1.15252</v>
      </c>
      <c r="AE4373">
        <v>-9.4856579999999902</v>
      </c>
      <c r="AF4373">
        <v>7.9458079018916896</v>
      </c>
      <c r="AG4373">
        <v>-1.15252</v>
      </c>
      <c r="AH4373">
        <v>25.444427745715899</v>
      </c>
      <c r="AI4373">
        <v>92.475722261323</v>
      </c>
      <c r="AJ4373">
        <v>72.657414557721793</v>
      </c>
      <c r="AK4373">
        <v>26.681136948622001</v>
      </c>
      <c r="AL4373">
        <v>83.2654677263195</v>
      </c>
      <c r="AM4373">
        <v>93.3196808728853</v>
      </c>
      <c r="AN4373">
        <v>0.99999998563646997</v>
      </c>
    </row>
    <row r="4374" spans="1:40" x14ac:dyDescent="0.3">
      <c r="A4374" t="str">
        <f>"20200111150116122"</f>
        <v>20200111150116122</v>
      </c>
      <c r="B4374" t="str">
        <f>"1578726076112313"</f>
        <v>1578726076112313</v>
      </c>
      <c r="C4374" t="s">
        <v>40</v>
      </c>
      <c r="D4374">
        <v>4.4935890000000001</v>
      </c>
      <c r="E4374">
        <v>0.64134369999999996</v>
      </c>
      <c r="F4374" t="s">
        <v>43</v>
      </c>
      <c r="G4374">
        <v>-308.85120000000001</v>
      </c>
      <c r="H4374">
        <v>-0.05</v>
      </c>
      <c r="I4374">
        <v>8.3100279999999902</v>
      </c>
      <c r="J4374">
        <v>-333.61840000000001</v>
      </c>
      <c r="K4374">
        <v>1.1024969999999901</v>
      </c>
      <c r="L4374">
        <v>17.76483</v>
      </c>
      <c r="M4374">
        <v>0.99794970000000005</v>
      </c>
      <c r="N4374">
        <v>0</v>
      </c>
      <c r="O4374">
        <v>-6.2385969999999999E-2</v>
      </c>
      <c r="P4374">
        <v>0.99473469999999997</v>
      </c>
      <c r="Q4374">
        <v>0.1024269</v>
      </c>
      <c r="R4374">
        <v>-3.4272999999999999E-3</v>
      </c>
      <c r="S4374">
        <v>3.0281980000000002</v>
      </c>
      <c r="T4374">
        <v>-0.139846</v>
      </c>
      <c r="U4374">
        <v>-1.148865</v>
      </c>
      <c r="V4374">
        <v>-5.7934010000000001E-2</v>
      </c>
      <c r="W4374">
        <v>0.11696620000000001</v>
      </c>
      <c r="X4374">
        <v>0.99144469999999996</v>
      </c>
      <c r="Y4374">
        <v>0.29547620000000002</v>
      </c>
      <c r="Z4374">
        <v>-3.8163530000000002E-3</v>
      </c>
      <c r="AA4374">
        <v>0.95534249999999998</v>
      </c>
      <c r="AB4374">
        <v>30</v>
      </c>
      <c r="AC4374">
        <v>24.767199999999999</v>
      </c>
      <c r="AD4374">
        <v>-1.1524970000000001</v>
      </c>
      <c r="AE4374">
        <v>-9.4548020000000008</v>
      </c>
      <c r="AF4374">
        <v>7.8762120790935404</v>
      </c>
      <c r="AG4374">
        <v>-1.1524970000000001</v>
      </c>
      <c r="AH4374">
        <v>25.261111876436299</v>
      </c>
      <c r="AI4374">
        <v>92.493962120273494</v>
      </c>
      <c r="AJ4374">
        <v>72.682940263515505</v>
      </c>
      <c r="AK4374">
        <v>26.485594939206099</v>
      </c>
      <c r="AL4374">
        <v>83.282954633934395</v>
      </c>
      <c r="AM4374">
        <v>93.344214716844803</v>
      </c>
      <c r="AN4374">
        <v>1.0000000173076</v>
      </c>
    </row>
    <row r="4375" spans="1:40" x14ac:dyDescent="0.3">
      <c r="A4375" t="str">
        <f>"20200111150116135"</f>
        <v>20200111150116135</v>
      </c>
      <c r="B4375" t="str">
        <f>"1578726076131834"</f>
        <v>1578726076131834</v>
      </c>
      <c r="C4375" t="s">
        <v>40</v>
      </c>
      <c r="D4375">
        <v>4.5311159999999999</v>
      </c>
      <c r="E4375">
        <v>0.6414434</v>
      </c>
      <c r="F4375" t="s">
        <v>43</v>
      </c>
      <c r="G4375">
        <v>-308.90350000000001</v>
      </c>
      <c r="H4375">
        <v>-0.05</v>
      </c>
      <c r="I4375">
        <v>8.3349609999999998</v>
      </c>
      <c r="J4375">
        <v>-333.42320000000001</v>
      </c>
      <c r="K4375">
        <v>1.1024620000000001</v>
      </c>
      <c r="L4375">
        <v>17.750399999999999</v>
      </c>
      <c r="M4375">
        <v>0.99781629999999999</v>
      </c>
      <c r="N4375">
        <v>0</v>
      </c>
      <c r="O4375">
        <v>-6.4484470000000002E-2</v>
      </c>
      <c r="P4375">
        <v>0.99474289999999999</v>
      </c>
      <c r="Q4375">
        <v>0.1022734</v>
      </c>
      <c r="R4375">
        <v>-5.2218389999999998E-3</v>
      </c>
      <c r="S4375">
        <v>3.0264280000000001</v>
      </c>
      <c r="T4375">
        <v>-0.14112759999999999</v>
      </c>
      <c r="U4375">
        <v>-1.1547240000000001</v>
      </c>
      <c r="V4375">
        <v>-5.8224360000000003E-2</v>
      </c>
      <c r="W4375">
        <v>0.1168184</v>
      </c>
      <c r="X4375">
        <v>0.99144509999999997</v>
      </c>
      <c r="Y4375">
        <v>0.29526639999999998</v>
      </c>
      <c r="Z4375">
        <v>-3.7536309999999999E-3</v>
      </c>
      <c r="AA4375">
        <v>0.95540760000000002</v>
      </c>
      <c r="AB4375">
        <v>29</v>
      </c>
      <c r="AC4375">
        <v>24.5197</v>
      </c>
      <c r="AD4375">
        <v>-1.1524620000000001</v>
      </c>
      <c r="AE4375">
        <v>-9.4154389999999992</v>
      </c>
      <c r="AF4375">
        <v>7.7995212019312596</v>
      </c>
      <c r="AG4375">
        <v>-1.1524620000000001</v>
      </c>
      <c r="AH4375">
        <v>25.027683929956801</v>
      </c>
      <c r="AI4375">
        <v>92.517228233015004</v>
      </c>
      <c r="AJ4375">
        <v>72.691098517086203</v>
      </c>
      <c r="AK4375">
        <v>26.240153630240801</v>
      </c>
      <c r="AL4375">
        <v>83.291481291149694</v>
      </c>
      <c r="AM4375">
        <v>93.360935361908005</v>
      </c>
      <c r="AN4375">
        <v>1.0000000004949801</v>
      </c>
    </row>
    <row r="4376" spans="1:40" x14ac:dyDescent="0.3">
      <c r="A4376" t="str">
        <f>"20200111150116151"</f>
        <v>20200111150116151</v>
      </c>
      <c r="B4376" t="str">
        <f>"1578726076141592"</f>
        <v>1578726076141592</v>
      </c>
      <c r="C4376" t="s">
        <v>40</v>
      </c>
      <c r="D4376">
        <v>4.5654120000000002</v>
      </c>
      <c r="E4376">
        <v>0.6414936</v>
      </c>
      <c r="F4376" t="s">
        <v>43</v>
      </c>
      <c r="G4376">
        <v>-308.81950000000001</v>
      </c>
      <c r="H4376">
        <v>-0.05</v>
      </c>
      <c r="I4376">
        <v>8.3031769999999998</v>
      </c>
      <c r="J4376">
        <v>-333.22669999999999</v>
      </c>
      <c r="K4376">
        <v>1.1024130000000001</v>
      </c>
      <c r="L4376">
        <v>17.735440000000001</v>
      </c>
      <c r="M4376">
        <v>0.99767539999999999</v>
      </c>
      <c r="N4376">
        <v>0</v>
      </c>
      <c r="O4376">
        <v>-6.6630529999999993E-2</v>
      </c>
      <c r="P4376">
        <v>0.99483869999999996</v>
      </c>
      <c r="Q4376">
        <v>0.1012643</v>
      </c>
      <c r="R4376">
        <v>-6.4555669999999997E-3</v>
      </c>
      <c r="S4376">
        <v>3.024292</v>
      </c>
      <c r="T4376">
        <v>-0.14166099999999901</v>
      </c>
      <c r="U4376">
        <v>-1.1612549999999999</v>
      </c>
      <c r="V4376">
        <v>-5.9132360000000002E-2</v>
      </c>
      <c r="W4376">
        <v>0.11582099999999999</v>
      </c>
      <c r="X4376">
        <v>0.99150839999999996</v>
      </c>
      <c r="Y4376">
        <v>0.295236</v>
      </c>
      <c r="Z4376">
        <v>-3.6719579999999999E-3</v>
      </c>
      <c r="AA4376">
        <v>0.95541730000000002</v>
      </c>
      <c r="AB4376">
        <v>29</v>
      </c>
      <c r="AC4376">
        <v>24.4071999999999</v>
      </c>
      <c r="AD4376">
        <v>-1.1524129999999999</v>
      </c>
      <c r="AE4376">
        <v>-9.4322630000000007</v>
      </c>
      <c r="AF4376">
        <v>7.7697959530938796</v>
      </c>
      <c r="AG4376">
        <v>-1.1524129999999999</v>
      </c>
      <c r="AH4376">
        <v>24.933127854331701</v>
      </c>
      <c r="AI4376">
        <v>92.526662317561303</v>
      </c>
      <c r="AJ4376">
        <v>72.691639323249305</v>
      </c>
      <c r="AK4376">
        <v>26.141129460597799</v>
      </c>
      <c r="AL4376">
        <v>83.349018832749195</v>
      </c>
      <c r="AM4376">
        <v>93.413008275123403</v>
      </c>
      <c r="AN4376">
        <v>1.0000000236553599</v>
      </c>
    </row>
    <row r="4377" spans="1:40" x14ac:dyDescent="0.3">
      <c r="A4377" t="str">
        <f>"20200111150116163"</f>
        <v>20200111150116163</v>
      </c>
      <c r="B4377" t="str">
        <f>"1578726076152329"</f>
        <v>1578726076152329</v>
      </c>
      <c r="C4377" t="s">
        <v>40</v>
      </c>
      <c r="D4377">
        <v>4.5774589999999904</v>
      </c>
      <c r="E4377">
        <v>0.64147929999999997</v>
      </c>
      <c r="F4377" t="s">
        <v>43</v>
      </c>
      <c r="G4377">
        <v>-309.08109999999999</v>
      </c>
      <c r="H4377">
        <v>-0.05</v>
      </c>
      <c r="I4377">
        <v>8.4227139999999991</v>
      </c>
      <c r="J4377">
        <v>-333.07100000000003</v>
      </c>
      <c r="K4377">
        <v>1.1023810000000001</v>
      </c>
      <c r="L4377">
        <v>17.72336</v>
      </c>
      <c r="M4377">
        <v>0.99755899999999997</v>
      </c>
      <c r="N4377">
        <v>0</v>
      </c>
      <c r="O4377">
        <v>-6.8350079999999994E-2</v>
      </c>
      <c r="P4377">
        <v>0.99491320000000005</v>
      </c>
      <c r="Q4377">
        <v>0.10045</v>
      </c>
      <c r="R4377">
        <v>-7.57829199999999E-3</v>
      </c>
      <c r="S4377">
        <v>3.0227050000000002</v>
      </c>
      <c r="T4377">
        <v>-0.14426710000000001</v>
      </c>
      <c r="U4377">
        <v>-1.1658329999999999</v>
      </c>
      <c r="V4377">
        <v>-5.9725649999999998E-2</v>
      </c>
      <c r="W4377">
        <v>0.1150158</v>
      </c>
      <c r="X4377">
        <v>0.99156650000000002</v>
      </c>
      <c r="Y4377">
        <v>0.29501110000000003</v>
      </c>
      <c r="Z4377">
        <v>-3.6565880000000001E-3</v>
      </c>
      <c r="AA4377">
        <v>0.95548679999999997</v>
      </c>
      <c r="AB4377">
        <v>29</v>
      </c>
      <c r="AC4377">
        <v>23.989899999999899</v>
      </c>
      <c r="AD4377">
        <v>-1.1523809999999901</v>
      </c>
      <c r="AE4377">
        <v>-9.3006460000000004</v>
      </c>
      <c r="AF4377">
        <v>7.62371903959093</v>
      </c>
      <c r="AG4377">
        <v>-1.1523809999999901</v>
      </c>
      <c r="AH4377">
        <v>24.520363627394801</v>
      </c>
      <c r="AI4377">
        <v>92.569585348665598</v>
      </c>
      <c r="AJ4377">
        <v>72.728810478672898</v>
      </c>
      <c r="AK4377">
        <v>25.704032881698701</v>
      </c>
      <c r="AL4377">
        <v>83.395463337202301</v>
      </c>
      <c r="AM4377">
        <v>93.446968190438298</v>
      </c>
      <c r="AN4377">
        <v>0.99999995571990496</v>
      </c>
    </row>
    <row r="4378" spans="1:40" x14ac:dyDescent="0.3">
      <c r="A4378" t="str">
        <f>"20200111150116174"</f>
        <v>20200111150116174</v>
      </c>
      <c r="B4378" t="str">
        <f>"1578726076171848"</f>
        <v>1578726076171848</v>
      </c>
      <c r="C4378" t="s">
        <v>40</v>
      </c>
      <c r="D4378">
        <v>4.5484090000000004</v>
      </c>
      <c r="E4378">
        <v>0.641509</v>
      </c>
      <c r="F4378" t="s">
        <v>43</v>
      </c>
      <c r="G4378">
        <v>-309.35129999999998</v>
      </c>
      <c r="H4378">
        <v>-0.05</v>
      </c>
      <c r="I4378">
        <v>8.5406339999999901</v>
      </c>
      <c r="J4378">
        <v>-332.90480000000002</v>
      </c>
      <c r="K4378">
        <v>1.1023400000000001</v>
      </c>
      <c r="L4378">
        <v>17.710049999999999</v>
      </c>
      <c r="M4378">
        <v>0.99742869999999995</v>
      </c>
      <c r="N4378">
        <v>0</v>
      </c>
      <c r="O4378">
        <v>-7.0227269999999994E-2</v>
      </c>
      <c r="P4378">
        <v>0.99496189999999995</v>
      </c>
      <c r="Q4378">
        <v>9.9841589999999994E-2</v>
      </c>
      <c r="R4378">
        <v>-9.0900000000000009E-3</v>
      </c>
      <c r="S4378">
        <v>3.02121</v>
      </c>
      <c r="T4378">
        <v>-0.146780299999999</v>
      </c>
      <c r="U4378">
        <v>-1.1696169999999999</v>
      </c>
      <c r="V4378">
        <v>-6.0083499999999998E-2</v>
      </c>
      <c r="W4378">
        <v>0.11441560000000001</v>
      </c>
      <c r="X4378">
        <v>0.99161429999999995</v>
      </c>
      <c r="Y4378">
        <v>0.29440769999999999</v>
      </c>
      <c r="Z4378">
        <v>-3.619766E-3</v>
      </c>
      <c r="AA4378">
        <v>0.95567299999999999</v>
      </c>
      <c r="AB4378">
        <v>29</v>
      </c>
      <c r="AC4378">
        <v>23.5535</v>
      </c>
      <c r="AD4378">
        <v>-1.1523399999999999</v>
      </c>
      <c r="AE4378">
        <v>-9.169416</v>
      </c>
      <c r="AF4378">
        <v>7.4769639772835204</v>
      </c>
      <c r="AG4378">
        <v>-1.1523399999999999</v>
      </c>
      <c r="AH4378">
        <v>24.089272388529299</v>
      </c>
      <c r="AI4378">
        <v>92.615804151112997</v>
      </c>
      <c r="AJ4378">
        <v>72.756408221799603</v>
      </c>
      <c r="AK4378">
        <v>25.249275672817902</v>
      </c>
      <c r="AL4378">
        <v>83.430080682640494</v>
      </c>
      <c r="AM4378">
        <v>93.467403930200206</v>
      </c>
      <c r="AN4378">
        <v>0.99999993823004796</v>
      </c>
    </row>
    <row r="4379" spans="1:40" x14ac:dyDescent="0.3">
      <c r="A4379" t="str">
        <f>"20200111150116187"</f>
        <v>20200111150116187</v>
      </c>
      <c r="B4379" t="str">
        <f>"1578726076181608"</f>
        <v>1578726076181608</v>
      </c>
      <c r="C4379" t="s">
        <v>40</v>
      </c>
      <c r="D4379">
        <v>4.5745969999999998</v>
      </c>
      <c r="E4379">
        <v>0.64153930000000003</v>
      </c>
      <c r="F4379" t="s">
        <v>43</v>
      </c>
      <c r="G4379">
        <v>-309.57859999999999</v>
      </c>
      <c r="H4379">
        <v>-0.05</v>
      </c>
      <c r="I4379">
        <v>8.6352539999999998</v>
      </c>
      <c r="J4379">
        <v>-332.7473</v>
      </c>
      <c r="K4379">
        <v>1.102304</v>
      </c>
      <c r="L4379">
        <v>17.697109999999999</v>
      </c>
      <c r="M4379">
        <v>0.99729970000000001</v>
      </c>
      <c r="N4379">
        <v>0</v>
      </c>
      <c r="O4379">
        <v>-7.2033760000000002E-2</v>
      </c>
      <c r="P4379">
        <v>0.99499550000000003</v>
      </c>
      <c r="Q4379">
        <v>9.9351179999999997E-2</v>
      </c>
      <c r="R4379">
        <v>-1.0661220000000001E-2</v>
      </c>
      <c r="S4379">
        <v>3.0194399999999999</v>
      </c>
      <c r="T4379">
        <v>-0.14916380000000001</v>
      </c>
      <c r="U4379">
        <v>-1.1746829999999999</v>
      </c>
      <c r="V4379">
        <v>-6.0310990000000002E-2</v>
      </c>
      <c r="W4379">
        <v>0.1139329</v>
      </c>
      <c r="X4379">
        <v>0.99165610000000004</v>
      </c>
      <c r="Y4379">
        <v>0.2942534</v>
      </c>
      <c r="Z4379">
        <v>-3.5904600000000002E-3</v>
      </c>
      <c r="AA4379">
        <v>0.95572069999999998</v>
      </c>
      <c r="AB4379">
        <v>29</v>
      </c>
      <c r="AC4379">
        <v>23.168700000000001</v>
      </c>
      <c r="AD4379">
        <v>-1.152304</v>
      </c>
      <c r="AE4379">
        <v>-9.0618560000000006</v>
      </c>
      <c r="AF4379">
        <v>7.3534349310662401</v>
      </c>
      <c r="AG4379">
        <v>-1.152304</v>
      </c>
      <c r="AH4379">
        <v>23.710457633951801</v>
      </c>
      <c r="AI4379">
        <v>92.657642192802797</v>
      </c>
      <c r="AJ4379">
        <v>72.7695246029092</v>
      </c>
      <c r="AK4379">
        <v>24.851289926385402</v>
      </c>
      <c r="AL4379">
        <v>83.457919617008002</v>
      </c>
      <c r="AM4379">
        <v>93.480353761194607</v>
      </c>
      <c r="AN4379">
        <v>0.99999997094219895</v>
      </c>
    </row>
    <row r="4380" spans="1:40" x14ac:dyDescent="0.3">
      <c r="A4380" t="str">
        <f>"20200111150116199"</f>
        <v>20200111150116199</v>
      </c>
      <c r="B4380" t="str">
        <f>"1578726076192344"</f>
        <v>1578726076192344</v>
      </c>
      <c r="C4380" t="s">
        <v>40</v>
      </c>
      <c r="D4380">
        <v>4.5543170000000002</v>
      </c>
      <c r="E4380">
        <v>0.64159080000000002</v>
      </c>
      <c r="F4380" t="s">
        <v>43</v>
      </c>
      <c r="G4380">
        <v>-309.80939999999998</v>
      </c>
      <c r="H4380">
        <v>-0.05</v>
      </c>
      <c r="I4380">
        <v>8.7304530000000007</v>
      </c>
      <c r="J4380">
        <v>-332.58420000000001</v>
      </c>
      <c r="K4380">
        <v>1.102266</v>
      </c>
      <c r="L4380">
        <v>17.68347</v>
      </c>
      <c r="M4380">
        <v>0.99716130000000003</v>
      </c>
      <c r="N4380">
        <v>0</v>
      </c>
      <c r="O4380">
        <v>-7.3925790000000005E-2</v>
      </c>
      <c r="P4380">
        <v>0.99504159999999997</v>
      </c>
      <c r="Q4380">
        <v>9.8696510000000001E-2</v>
      </c>
      <c r="R4380">
        <v>-1.230347E-2</v>
      </c>
      <c r="S4380">
        <v>3.0175779999999999</v>
      </c>
      <c r="T4380">
        <v>-0.1515898</v>
      </c>
      <c r="U4380">
        <v>-1.1795960000000001</v>
      </c>
      <c r="V4380">
        <v>-6.0554749999999997E-2</v>
      </c>
      <c r="W4380">
        <v>0.1132867</v>
      </c>
      <c r="X4380">
        <v>0.99171529999999997</v>
      </c>
      <c r="Y4380">
        <v>0.29398469999999999</v>
      </c>
      <c r="Z4380">
        <v>-3.552571E-3</v>
      </c>
      <c r="AA4380">
        <v>0.95580350000000003</v>
      </c>
      <c r="AB4380">
        <v>29</v>
      </c>
      <c r="AC4380">
        <v>22.774799999999999</v>
      </c>
      <c r="AD4380">
        <v>-1.152266</v>
      </c>
      <c r="AE4380">
        <v>-8.9530169999999991</v>
      </c>
      <c r="AF4380">
        <v>7.2286703248767399</v>
      </c>
      <c r="AG4380">
        <v>-1.152266</v>
      </c>
      <c r="AH4380">
        <v>23.322686916168699</v>
      </c>
      <c r="AI4380">
        <v>92.701822470090605</v>
      </c>
      <c r="AJ4380">
        <v>72.779617854569906</v>
      </c>
      <c r="AK4380">
        <v>24.444408697903398</v>
      </c>
      <c r="AL4380">
        <v>83.495185589463603</v>
      </c>
      <c r="AM4380">
        <v>93.494177504257806</v>
      </c>
      <c r="AN4380">
        <v>0.99999999519927096</v>
      </c>
    </row>
    <row r="4381" spans="1:40" x14ac:dyDescent="0.3">
      <c r="A4381" t="str">
        <f>"20200111150116212"</f>
        <v>20200111150116212</v>
      </c>
      <c r="B4381" t="str">
        <f>"1578726076202104"</f>
        <v>1578726076202104</v>
      </c>
      <c r="C4381" t="s">
        <v>40</v>
      </c>
      <c r="D4381">
        <v>4.5955389999999996</v>
      </c>
      <c r="E4381">
        <v>0.64163130000000002</v>
      </c>
      <c r="F4381" t="s">
        <v>43</v>
      </c>
      <c r="G4381">
        <v>-310.08789999999999</v>
      </c>
      <c r="H4381">
        <v>-0.05</v>
      </c>
      <c r="I4381">
        <v>8.8457489999999996</v>
      </c>
      <c r="J4381">
        <v>-332.4239</v>
      </c>
      <c r="K4381">
        <v>1.1022289999999999</v>
      </c>
      <c r="L4381">
        <v>17.669589999999999</v>
      </c>
      <c r="M4381">
        <v>0.99701830000000002</v>
      </c>
      <c r="N4381">
        <v>0</v>
      </c>
      <c r="O4381">
        <v>-7.5831629999999997E-2</v>
      </c>
      <c r="P4381">
        <v>0.99505109999999997</v>
      </c>
      <c r="Q4381">
        <v>9.8343860000000005E-2</v>
      </c>
      <c r="R4381">
        <v>-1.420977E-2</v>
      </c>
      <c r="S4381">
        <v>3.015625</v>
      </c>
      <c r="T4381">
        <v>-0.15446079999999901</v>
      </c>
      <c r="U4381">
        <v>-1.1846920000000001</v>
      </c>
      <c r="V4381">
        <v>-6.0545349999999998E-2</v>
      </c>
      <c r="W4381">
        <v>0.112940899999999</v>
      </c>
      <c r="X4381">
        <v>0.99175530000000001</v>
      </c>
      <c r="Y4381">
        <v>0.2937611</v>
      </c>
      <c r="Z4381">
        <v>-3.52221E-3</v>
      </c>
      <c r="AA4381">
        <v>0.95587239999999996</v>
      </c>
      <c r="AB4381">
        <v>29</v>
      </c>
      <c r="AC4381">
        <v>22.335999999999999</v>
      </c>
      <c r="AD4381">
        <v>-1.1522289999999999</v>
      </c>
      <c r="AE4381">
        <v>-8.8238409999999998</v>
      </c>
      <c r="AF4381">
        <v>7.0881644411067501</v>
      </c>
      <c r="AG4381">
        <v>-1.1522289999999999</v>
      </c>
      <c r="AH4381">
        <v>22.888181833484499</v>
      </c>
      <c r="AI4381">
        <v>92.753145018613296</v>
      </c>
      <c r="AJ4381">
        <v>72.792944624188394</v>
      </c>
      <c r="AK4381">
        <v>23.988300782991299</v>
      </c>
      <c r="AL4381">
        <v>83.515126355381</v>
      </c>
      <c r="AM4381">
        <v>93.493495883449896</v>
      </c>
      <c r="AN4381">
        <v>0.99999998068876095</v>
      </c>
    </row>
    <row r="4382" spans="1:40" x14ac:dyDescent="0.3">
      <c r="A4382" t="str">
        <f>"20200111150116224"</f>
        <v>20200111150116224</v>
      </c>
      <c r="B4382" t="str">
        <f>"1578726076221624"</f>
        <v>1578726076221624</v>
      </c>
      <c r="C4382" t="s">
        <v>40</v>
      </c>
      <c r="D4382">
        <v>4.6296179999999998</v>
      </c>
      <c r="E4382">
        <v>0.6416501</v>
      </c>
      <c r="F4382" t="s">
        <v>43</v>
      </c>
      <c r="G4382">
        <v>-310.25349999999997</v>
      </c>
      <c r="H4382">
        <v>-0.05</v>
      </c>
      <c r="I4382">
        <v>8.9101560000000006</v>
      </c>
      <c r="J4382">
        <v>-332.25670000000002</v>
      </c>
      <c r="K4382">
        <v>1.1021920000000001</v>
      </c>
      <c r="L4382">
        <v>17.65485</v>
      </c>
      <c r="M4382">
        <v>0.99686359999999996</v>
      </c>
      <c r="N4382">
        <v>0</v>
      </c>
      <c r="O4382">
        <v>-7.783619E-2</v>
      </c>
      <c r="P4382">
        <v>0.99502520000000005</v>
      </c>
      <c r="Q4382">
        <v>9.8354200000000003E-2</v>
      </c>
      <c r="R4382">
        <v>-1.5850799999999901E-2</v>
      </c>
      <c r="S4382">
        <v>3.0133969999999999</v>
      </c>
      <c r="T4382">
        <v>-0.1566109</v>
      </c>
      <c r="U4382">
        <v>-1.190582</v>
      </c>
      <c r="V4382">
        <v>-6.0893740000000002E-2</v>
      </c>
      <c r="W4382">
        <v>0.1129593</v>
      </c>
      <c r="X4382">
        <v>0.9917319</v>
      </c>
      <c r="Y4382">
        <v>0.29369230000000002</v>
      </c>
      <c r="Z4382">
        <v>-3.471348E-3</v>
      </c>
      <c r="AA4382">
        <v>0.95589369999999996</v>
      </c>
      <c r="AB4382">
        <v>29</v>
      </c>
      <c r="AC4382">
        <v>22.0032</v>
      </c>
      <c r="AD4382">
        <v>-1.1521920000000001</v>
      </c>
      <c r="AE4382">
        <v>-8.7446939999999902</v>
      </c>
      <c r="AF4382">
        <v>6.9887884750173797</v>
      </c>
      <c r="AG4382">
        <v>-1.1521920000000001</v>
      </c>
      <c r="AH4382">
        <v>22.563723708270199</v>
      </c>
      <c r="AI4382">
        <v>92.792543910638003</v>
      </c>
      <c r="AJ4382">
        <v>72.790385725418204</v>
      </c>
      <c r="AK4382">
        <v>23.649362324099901</v>
      </c>
      <c r="AL4382">
        <v>83.514065489630497</v>
      </c>
      <c r="AM4382">
        <v>93.513630634060604</v>
      </c>
      <c r="AN4382">
        <v>1.00000000625264</v>
      </c>
    </row>
    <row r="4383" spans="1:40" x14ac:dyDescent="0.3">
      <c r="A4383" t="str">
        <f>"20200111150116241"</f>
        <v>20200111150116241</v>
      </c>
      <c r="B4383" t="str">
        <f>"1578726076232360"</f>
        <v>1578726076232360</v>
      </c>
      <c r="C4383" t="s">
        <v>40</v>
      </c>
      <c r="D4383">
        <v>4.5991689999999998</v>
      </c>
      <c r="E4383">
        <v>0.6416579</v>
      </c>
      <c r="F4383" t="s">
        <v>43</v>
      </c>
      <c r="G4383">
        <v>-310.31229999999999</v>
      </c>
      <c r="H4383">
        <v>-0.05</v>
      </c>
      <c r="I4383">
        <v>8.9428249999999991</v>
      </c>
      <c r="J4383">
        <v>-332.04500000000002</v>
      </c>
      <c r="K4383">
        <v>1.102149</v>
      </c>
      <c r="L4383">
        <v>17.635679999999901</v>
      </c>
      <c r="M4383">
        <v>0.99665899999999996</v>
      </c>
      <c r="N4383">
        <v>0</v>
      </c>
      <c r="O4383">
        <v>-8.0413949999999998E-2</v>
      </c>
      <c r="P4383">
        <v>0.99500809999999995</v>
      </c>
      <c r="Q4383">
        <v>9.8269179999999998E-2</v>
      </c>
      <c r="R4383">
        <v>-1.7382169999999999E-2</v>
      </c>
      <c r="S4383">
        <v>3.0115970000000001</v>
      </c>
      <c r="T4383">
        <v>-0.15812390000000001</v>
      </c>
      <c r="U4383">
        <v>-1.1956180000000001</v>
      </c>
      <c r="V4383">
        <v>-6.192276E-2</v>
      </c>
      <c r="W4383">
        <v>0.1128883</v>
      </c>
      <c r="X4383">
        <v>0.99167629999999996</v>
      </c>
      <c r="Y4383">
        <v>0.29279629999999901</v>
      </c>
      <c r="Z4383">
        <v>-3.354119E-3</v>
      </c>
      <c r="AA4383">
        <v>0.95616889999999999</v>
      </c>
      <c r="AB4383">
        <v>29</v>
      </c>
      <c r="AC4383">
        <v>21.732700000000001</v>
      </c>
      <c r="AD4383">
        <v>-1.1521489999999901</v>
      </c>
      <c r="AE4383">
        <v>-8.6928549999999891</v>
      </c>
      <c r="AF4383">
        <v>6.9001885338337896</v>
      </c>
      <c r="AG4383">
        <v>-1.1521489999999901</v>
      </c>
      <c r="AH4383">
        <v>22.307355258564002</v>
      </c>
      <c r="AI4383">
        <v>92.824808738097403</v>
      </c>
      <c r="AJ4383">
        <v>72.811934422977203</v>
      </c>
      <c r="AK4383">
        <v>23.378583099761101</v>
      </c>
      <c r="AL4383">
        <v>83.518159899002399</v>
      </c>
      <c r="AM4383">
        <v>93.573053402328597</v>
      </c>
      <c r="AN4383">
        <v>1.0000000402322899</v>
      </c>
    </row>
    <row r="4384" spans="1:40" x14ac:dyDescent="0.3">
      <c r="A4384" t="str">
        <f>"20200111150116252"</f>
        <v>20200111150116252</v>
      </c>
      <c r="B4384" t="str">
        <f>"1578726076242120"</f>
        <v>1578726076242120</v>
      </c>
      <c r="C4384" t="s">
        <v>40</v>
      </c>
      <c r="D4384">
        <v>4.6075679999999997</v>
      </c>
      <c r="E4384">
        <v>0.64163009999999998</v>
      </c>
      <c r="F4384" t="s">
        <v>43</v>
      </c>
      <c r="G4384">
        <v>-310.12270000000001</v>
      </c>
      <c r="H4384">
        <v>-0.05</v>
      </c>
      <c r="I4384">
        <v>8.8898469999999996</v>
      </c>
      <c r="J4384">
        <v>-331.88299999999998</v>
      </c>
      <c r="K4384">
        <v>1.102125</v>
      </c>
      <c r="L4384">
        <v>17.620450000000002</v>
      </c>
      <c r="M4384">
        <v>0.99649509999999997</v>
      </c>
      <c r="N4384">
        <v>0</v>
      </c>
      <c r="O4384">
        <v>-8.2420899999999894E-2</v>
      </c>
      <c r="P4384">
        <v>0.99497619999999998</v>
      </c>
      <c r="Q4384">
        <v>9.8324209999999995E-2</v>
      </c>
      <c r="R4384">
        <v>-1.8836519999999999E-2</v>
      </c>
      <c r="S4384">
        <v>3.0097049999999999</v>
      </c>
      <c r="T4384">
        <v>-0.15817829999999999</v>
      </c>
      <c r="U4384">
        <v>-1.2007139999999901</v>
      </c>
      <c r="V4384">
        <v>-6.2462780000000002E-2</v>
      </c>
      <c r="W4384">
        <v>0.1129508</v>
      </c>
      <c r="X4384">
        <v>0.9916353</v>
      </c>
      <c r="Y4384">
        <v>0.29247709999999999</v>
      </c>
      <c r="Z4384">
        <v>-3.247724E-3</v>
      </c>
      <c r="AA4384">
        <v>0.95626699999999998</v>
      </c>
      <c r="AB4384">
        <v>29</v>
      </c>
      <c r="AC4384">
        <v>21.760300000000001</v>
      </c>
      <c r="AD4384">
        <v>-1.1521250000000001</v>
      </c>
      <c r="AE4384">
        <v>-8.7306030000000003</v>
      </c>
      <c r="AF4384">
        <v>6.8905672290941604</v>
      </c>
      <c r="AG4384">
        <v>-1.1521250000000001</v>
      </c>
      <c r="AH4384">
        <v>22.351934336702701</v>
      </c>
      <c r="AI4384">
        <v>92.819956541671104</v>
      </c>
      <c r="AJ4384">
        <v>72.866719886560304</v>
      </c>
      <c r="AK4384">
        <v>23.418289377035201</v>
      </c>
      <c r="AL4384">
        <v>83.514555763794505</v>
      </c>
      <c r="AM4384">
        <v>93.604280360095004</v>
      </c>
      <c r="AN4384">
        <v>1.0000000251560199</v>
      </c>
    </row>
    <row r="4385" spans="1:40" x14ac:dyDescent="0.3">
      <c r="A4385" t="str">
        <f>"20200111150116264"</f>
        <v>20200111150116264</v>
      </c>
      <c r="B4385" t="str">
        <f>"1578726076261641"</f>
        <v>1578726076261641</v>
      </c>
      <c r="C4385" t="s">
        <v>40</v>
      </c>
      <c r="D4385">
        <v>4.6682309999999996</v>
      </c>
      <c r="E4385">
        <v>0.64159739999999998</v>
      </c>
      <c r="F4385" t="s">
        <v>43</v>
      </c>
      <c r="G4385">
        <v>-310.00529999999998</v>
      </c>
      <c r="H4385">
        <v>-0.05</v>
      </c>
      <c r="I4385">
        <v>8.8554839999999899</v>
      </c>
      <c r="J4385">
        <v>-331.73140000000001</v>
      </c>
      <c r="K4385">
        <v>1.1021030000000001</v>
      </c>
      <c r="L4385">
        <v>17.60605</v>
      </c>
      <c r="M4385">
        <v>0.99633720000000003</v>
      </c>
      <c r="N4385">
        <v>0</v>
      </c>
      <c r="O4385">
        <v>-8.4308649999999999E-2</v>
      </c>
      <c r="P4385">
        <v>0.99493480000000001</v>
      </c>
      <c r="Q4385">
        <v>9.8475599999999996E-2</v>
      </c>
      <c r="R4385">
        <v>-2.0196639999999998E-2</v>
      </c>
      <c r="S4385">
        <v>3.0079959999999999</v>
      </c>
      <c r="T4385">
        <v>-0.15840760000000001</v>
      </c>
      <c r="U4385">
        <v>-1.205109</v>
      </c>
      <c r="V4385">
        <v>-6.2977989999999998E-2</v>
      </c>
      <c r="W4385">
        <v>0.1131091</v>
      </c>
      <c r="X4385">
        <v>0.99158469999999999</v>
      </c>
      <c r="Y4385">
        <v>0.29205890000000001</v>
      </c>
      <c r="Z4385">
        <v>-3.1481040000000001E-3</v>
      </c>
      <c r="AA4385">
        <v>0.95639510000000005</v>
      </c>
      <c r="AB4385">
        <v>29</v>
      </c>
      <c r="AC4385">
        <v>21.726099999999999</v>
      </c>
      <c r="AD4385">
        <v>-1.1521030000000001</v>
      </c>
      <c r="AE4385">
        <v>-8.7505659999999992</v>
      </c>
      <c r="AF4385">
        <v>6.8708953366703396</v>
      </c>
      <c r="AG4385">
        <v>-1.1521030000000001</v>
      </c>
      <c r="AH4385">
        <v>22.332522132003099</v>
      </c>
      <c r="AI4385">
        <v>92.822835812580607</v>
      </c>
      <c r="AJ4385">
        <v>72.898794287738099</v>
      </c>
      <c r="AK4385">
        <v>23.393975481445999</v>
      </c>
      <c r="AL4385">
        <v>83.505427547824894</v>
      </c>
      <c r="AM4385">
        <v>93.634115048263695</v>
      </c>
      <c r="AN4385">
        <v>1.0000000565006599</v>
      </c>
    </row>
    <row r="4386" spans="1:40" x14ac:dyDescent="0.3">
      <c r="A4386" t="str">
        <f>"20200111150116276"</f>
        <v>20200111150116276</v>
      </c>
      <c r="B4386" t="str">
        <f>"1578726076272377"</f>
        <v>1578726076272377</v>
      </c>
      <c r="C4386" t="s">
        <v>40</v>
      </c>
      <c r="D4386">
        <v>4.6271849999999999</v>
      </c>
      <c r="E4386">
        <v>0.64160989999999996</v>
      </c>
      <c r="F4386" t="s">
        <v>43</v>
      </c>
      <c r="G4386">
        <v>-310.024</v>
      </c>
      <c r="H4386">
        <v>-0.05</v>
      </c>
      <c r="I4386">
        <v>8.8777010000000001</v>
      </c>
      <c r="J4386">
        <v>-331.58109999999999</v>
      </c>
      <c r="K4386">
        <v>1.102087</v>
      </c>
      <c r="L4386">
        <v>17.5914</v>
      </c>
      <c r="M4386">
        <v>0.99617579999999994</v>
      </c>
      <c r="N4386">
        <v>0</v>
      </c>
      <c r="O4386">
        <v>-8.6194019999999996E-2</v>
      </c>
      <c r="P4386">
        <v>0.99489669999999997</v>
      </c>
      <c r="Q4386">
        <v>9.8532330000000001E-2</v>
      </c>
      <c r="R4386">
        <v>-2.1727639999999999E-2</v>
      </c>
      <c r="S4386">
        <v>3.0065919999999999</v>
      </c>
      <c r="T4386">
        <v>-0.15957249999999901</v>
      </c>
      <c r="U4386">
        <v>-1.208923</v>
      </c>
      <c r="V4386">
        <v>-6.3323169999999998E-2</v>
      </c>
      <c r="W4386">
        <v>0.1131712</v>
      </c>
      <c r="X4386">
        <v>0.99155559999999998</v>
      </c>
      <c r="Y4386">
        <v>0.29144750000000003</v>
      </c>
      <c r="Z4386">
        <v>-3.0611119999999999E-3</v>
      </c>
      <c r="AA4386">
        <v>0.95658200000000004</v>
      </c>
      <c r="AB4386">
        <v>29</v>
      </c>
      <c r="AC4386">
        <v>21.557099999999899</v>
      </c>
      <c r="AD4386">
        <v>-1.1520870000000001</v>
      </c>
      <c r="AE4386">
        <v>-8.7136990000000001</v>
      </c>
      <c r="AF4386">
        <v>6.8062702918199802</v>
      </c>
      <c r="AG4386">
        <v>-1.1520870000000001</v>
      </c>
      <c r="AH4386">
        <v>22.1735637746355</v>
      </c>
      <c r="AI4386">
        <v>92.843564777160097</v>
      </c>
      <c r="AJ4386">
        <v>72.935907783081603</v>
      </c>
      <c r="AK4386">
        <v>23.2232545137133</v>
      </c>
      <c r="AL4386">
        <v>83.501846288058104</v>
      </c>
      <c r="AM4386">
        <v>93.654086625505997</v>
      </c>
      <c r="AN4386">
        <v>1.0000000261298201</v>
      </c>
    </row>
    <row r="4387" spans="1:40" x14ac:dyDescent="0.3">
      <c r="A4387" t="str">
        <f>"20200111150116287"</f>
        <v>20200111150116287</v>
      </c>
      <c r="B4387" t="str">
        <f>"1578726076282136"</f>
        <v>1578726076282136</v>
      </c>
      <c r="C4387" t="s">
        <v>40</v>
      </c>
      <c r="D4387">
        <v>4.639812</v>
      </c>
      <c r="E4387">
        <v>0.64159200000000005</v>
      </c>
      <c r="F4387" t="s">
        <v>43</v>
      </c>
      <c r="G4387">
        <v>-309.9658</v>
      </c>
      <c r="H4387">
        <v>-0.05</v>
      </c>
      <c r="I4387">
        <v>8.8606409999999993</v>
      </c>
      <c r="J4387">
        <v>-331.42750000000001</v>
      </c>
      <c r="K4387">
        <v>1.1020730000000001</v>
      </c>
      <c r="L4387">
        <v>17.57611</v>
      </c>
      <c r="M4387">
        <v>0.99600610000000001</v>
      </c>
      <c r="N4387">
        <v>0</v>
      </c>
      <c r="O4387">
        <v>-8.8133980000000001E-2</v>
      </c>
      <c r="P4387">
        <v>0.99484669999999997</v>
      </c>
      <c r="Q4387">
        <v>9.8641599999999996E-2</v>
      </c>
      <c r="R4387">
        <v>-2.3454050000000001E-2</v>
      </c>
      <c r="S4387">
        <v>3.0047299999999999</v>
      </c>
      <c r="T4387">
        <v>-0.1601503</v>
      </c>
      <c r="U4387">
        <v>-1.213654</v>
      </c>
      <c r="V4387">
        <v>-6.3528490000000007E-2</v>
      </c>
      <c r="W4387">
        <v>0.11328390000000001</v>
      </c>
      <c r="X4387">
        <v>0.99152960000000001</v>
      </c>
      <c r="Y4387">
        <v>0.29108610000000001</v>
      </c>
      <c r="Z4387">
        <v>-2.9655660000000002E-3</v>
      </c>
      <c r="AA4387">
        <v>0.95669230000000005</v>
      </c>
      <c r="AB4387">
        <v>29</v>
      </c>
      <c r="AC4387">
        <v>21.4617</v>
      </c>
      <c r="AD4387">
        <v>-1.1520729999999999</v>
      </c>
      <c r="AE4387">
        <v>-8.7154689999999899</v>
      </c>
      <c r="AF4387">
        <v>6.7730944252545902</v>
      </c>
      <c r="AG4387">
        <v>-1.1520729999999999</v>
      </c>
      <c r="AH4387">
        <v>22.091727671961099</v>
      </c>
      <c r="AI4387">
        <v>92.8543377490344</v>
      </c>
      <c r="AJ4387">
        <v>72.955004017659107</v>
      </c>
      <c r="AK4387">
        <v>23.135395216482401</v>
      </c>
      <c r="AL4387">
        <v>83.495347280248595</v>
      </c>
      <c r="AM4387">
        <v>93.665998300026601</v>
      </c>
      <c r="AN4387">
        <v>1.0000000293585201</v>
      </c>
    </row>
    <row r="4388" spans="1:40" x14ac:dyDescent="0.3">
      <c r="A4388" t="str">
        <f>"20200111150116299"</f>
        <v>20200111150116299</v>
      </c>
      <c r="B4388" t="str">
        <f>"1578726076291896"</f>
        <v>1578726076291896</v>
      </c>
      <c r="C4388" t="s">
        <v>40</v>
      </c>
      <c r="D4388">
        <v>4.6414530000000003</v>
      </c>
      <c r="E4388">
        <v>0.64156349999999995</v>
      </c>
      <c r="F4388" t="s">
        <v>43</v>
      </c>
      <c r="G4388">
        <v>-309.92759999999998</v>
      </c>
      <c r="H4388">
        <v>-0.05</v>
      </c>
      <c r="I4388">
        <v>8.8511959999999998</v>
      </c>
      <c r="J4388">
        <v>-331.27859999999998</v>
      </c>
      <c r="K4388">
        <v>1.102063</v>
      </c>
      <c r="L4388">
        <v>17.5611</v>
      </c>
      <c r="M4388">
        <v>0.99583750000000004</v>
      </c>
      <c r="N4388">
        <v>0</v>
      </c>
      <c r="O4388">
        <v>-9.0017840000000002E-2</v>
      </c>
      <c r="P4388">
        <v>0.99478860000000002</v>
      </c>
      <c r="Q4388">
        <v>9.8889779999999997E-2</v>
      </c>
      <c r="R4388">
        <v>-2.4828570000000001E-2</v>
      </c>
      <c r="S4388">
        <v>3.002777</v>
      </c>
      <c r="T4388">
        <v>-0.16090450000000001</v>
      </c>
      <c r="U4388">
        <v>-1.218567</v>
      </c>
      <c r="V4388">
        <v>-6.4027319999999999E-2</v>
      </c>
      <c r="W4388">
        <v>0.1135359</v>
      </c>
      <c r="X4388">
        <v>0.99146869999999998</v>
      </c>
      <c r="Y4388">
        <v>0.29083759999999997</v>
      </c>
      <c r="Z4388">
        <v>-2.878186E-3</v>
      </c>
      <c r="AA4388">
        <v>0.95676810000000001</v>
      </c>
      <c r="AB4388">
        <v>29</v>
      </c>
      <c r="AC4388">
        <v>21.350999999999999</v>
      </c>
      <c r="AD4388">
        <v>-1.1520629999999901</v>
      </c>
      <c r="AE4388">
        <v>-8.7099039999999999</v>
      </c>
      <c r="AF4388">
        <v>6.7355557904605998</v>
      </c>
      <c r="AG4388">
        <v>-1.1520629999999901</v>
      </c>
      <c r="AH4388">
        <v>21.9935291498265</v>
      </c>
      <c r="AI4388">
        <v>92.867306915699601</v>
      </c>
      <c r="AJ4388">
        <v>72.972703377593206</v>
      </c>
      <c r="AK4388">
        <v>23.030637972636502</v>
      </c>
      <c r="AL4388">
        <v>83.480815060154896</v>
      </c>
      <c r="AM4388">
        <v>93.694930857829505</v>
      </c>
      <c r="AN4388">
        <v>1.0000000406874401</v>
      </c>
    </row>
    <row r="4389" spans="1:40" x14ac:dyDescent="0.3">
      <c r="A4389" t="str">
        <f>"20200111150116311"</f>
        <v>20200111150116311</v>
      </c>
      <c r="B4389" t="str">
        <f>"1578726076301656"</f>
        <v>1578726076301656</v>
      </c>
      <c r="C4389" t="s">
        <v>40</v>
      </c>
      <c r="D4389">
        <v>4.6687479999999999</v>
      </c>
      <c r="E4389">
        <v>0.64153090000000002</v>
      </c>
      <c r="F4389" t="s">
        <v>43</v>
      </c>
      <c r="G4389">
        <v>-309.7491</v>
      </c>
      <c r="H4389">
        <v>-0.05</v>
      </c>
      <c r="I4389">
        <v>8.7900700000000001</v>
      </c>
      <c r="J4389">
        <v>-331.12619999999998</v>
      </c>
      <c r="K4389">
        <v>1.1020570000000001</v>
      </c>
      <c r="L4389">
        <v>17.545259999999999</v>
      </c>
      <c r="M4389">
        <v>0.99566049999999995</v>
      </c>
      <c r="N4389">
        <v>0</v>
      </c>
      <c r="O4389">
        <v>-9.1956640000000006E-2</v>
      </c>
      <c r="P4389">
        <v>0.99472470000000002</v>
      </c>
      <c r="Q4389">
        <v>9.9205199999999993E-2</v>
      </c>
      <c r="R4389">
        <v>-2.6103379999999999E-2</v>
      </c>
      <c r="S4389">
        <v>3.00116</v>
      </c>
      <c r="T4389">
        <v>-0.16059419999999999</v>
      </c>
      <c r="U4389">
        <v>-1.222656</v>
      </c>
      <c r="V4389">
        <v>-6.4681139999999998E-2</v>
      </c>
      <c r="W4389">
        <v>0.1138557</v>
      </c>
      <c r="X4389">
        <v>0.99138959999999998</v>
      </c>
      <c r="Y4389">
        <v>0.29027709999999901</v>
      </c>
      <c r="Z4389">
        <v>-2.7605020000000002E-3</v>
      </c>
      <c r="AA4389">
        <v>0.95693870000000003</v>
      </c>
      <c r="AB4389">
        <v>29</v>
      </c>
      <c r="AC4389">
        <v>21.377099999999899</v>
      </c>
      <c r="AD4389">
        <v>-1.1520569999999899</v>
      </c>
      <c r="AE4389">
        <v>-8.75518999999999</v>
      </c>
      <c r="AF4389">
        <v>6.7353678325428001</v>
      </c>
      <c r="AG4389">
        <v>-1.1520569999999899</v>
      </c>
      <c r="AH4389">
        <v>22.0368776432923</v>
      </c>
      <c r="AI4389">
        <v>92.862149518509</v>
      </c>
      <c r="AJ4389">
        <v>73.004712300765902</v>
      </c>
      <c r="AK4389">
        <v>23.071982824116699</v>
      </c>
      <c r="AL4389">
        <v>83.462372371964094</v>
      </c>
      <c r="AM4389">
        <v>93.732852776962503</v>
      </c>
      <c r="AN4389">
        <v>1.00000005464117</v>
      </c>
    </row>
    <row r="4390" spans="1:40" x14ac:dyDescent="0.3">
      <c r="A4390" t="str">
        <f>"20200111150116323"</f>
        <v>20200111150116323</v>
      </c>
      <c r="B4390" t="str">
        <f>"1578726076312392"</f>
        <v>1578726076312392</v>
      </c>
      <c r="C4390" t="s">
        <v>40</v>
      </c>
      <c r="D4390">
        <v>4.6673119999999999</v>
      </c>
      <c r="E4390">
        <v>0.64158389999999998</v>
      </c>
      <c r="F4390" t="s">
        <v>43</v>
      </c>
      <c r="G4390">
        <v>-309.48259999999999</v>
      </c>
      <c r="H4390">
        <v>-0.05</v>
      </c>
      <c r="I4390">
        <v>8.6959689999999998</v>
      </c>
      <c r="J4390">
        <v>-330.97489999999999</v>
      </c>
      <c r="K4390">
        <v>1.102055</v>
      </c>
      <c r="L4390">
        <v>17.529389999999999</v>
      </c>
      <c r="M4390">
        <v>0.9954807</v>
      </c>
      <c r="N4390">
        <v>0</v>
      </c>
      <c r="O4390">
        <v>-9.3883599999999998E-2</v>
      </c>
      <c r="P4390">
        <v>0.99465329999999996</v>
      </c>
      <c r="Q4390">
        <v>9.9506239999999996E-2</v>
      </c>
      <c r="R4390">
        <v>-2.7632440000000001E-2</v>
      </c>
      <c r="S4390">
        <v>2.9996339999999999</v>
      </c>
      <c r="T4390">
        <v>-0.15966610000000001</v>
      </c>
      <c r="U4390">
        <v>-1.22644</v>
      </c>
      <c r="V4390">
        <v>-6.5070269999999999E-2</v>
      </c>
      <c r="W4390">
        <v>0.11415889999999999</v>
      </c>
      <c r="X4390">
        <v>0.99132920000000002</v>
      </c>
      <c r="Y4390">
        <v>0.28963559999999999</v>
      </c>
      <c r="Z4390">
        <v>-2.631553E-3</v>
      </c>
      <c r="AA4390">
        <v>0.95713340000000002</v>
      </c>
      <c r="AB4390">
        <v>29</v>
      </c>
      <c r="AC4390">
        <v>21.4923</v>
      </c>
      <c r="AD4390">
        <v>-1.1520549999999901</v>
      </c>
      <c r="AE4390">
        <v>-8.8334209999999995</v>
      </c>
      <c r="AF4390">
        <v>6.7598009440219897</v>
      </c>
      <c r="AG4390">
        <v>-1.1520549999999901</v>
      </c>
      <c r="AH4390">
        <v>22.172250018974999</v>
      </c>
      <c r="AI4390">
        <v>92.845304607444902</v>
      </c>
      <c r="AJ4390">
        <v>73.0447611386505</v>
      </c>
      <c r="AK4390">
        <v>23.2084211102298</v>
      </c>
      <c r="AL4390">
        <v>83.444885847050301</v>
      </c>
      <c r="AM4390">
        <v>93.755474175661007</v>
      </c>
      <c r="AN4390">
        <v>0.99999998862986095</v>
      </c>
    </row>
    <row r="4391" spans="1:40" x14ac:dyDescent="0.3">
      <c r="A4391" t="str">
        <f>"20200111150116333"</f>
        <v>20200111150116333</v>
      </c>
      <c r="B4391" t="str">
        <f>"1578726076322152"</f>
        <v>1578726076322152</v>
      </c>
      <c r="C4391" t="s">
        <v>40</v>
      </c>
      <c r="D4391">
        <v>4.6435060000000004</v>
      </c>
      <c r="E4391">
        <v>0.64164080000000001</v>
      </c>
      <c r="F4391" t="s">
        <v>43</v>
      </c>
      <c r="G4391">
        <v>-309.23009999999999</v>
      </c>
      <c r="H4391">
        <v>-0.05</v>
      </c>
      <c r="I4391">
        <v>8.5958249999999996</v>
      </c>
      <c r="J4391">
        <v>-330.82929999999999</v>
      </c>
      <c r="K4391">
        <v>1.1020529999999999</v>
      </c>
      <c r="L4391">
        <v>17.5137</v>
      </c>
      <c r="M4391">
        <v>0.99530379999999996</v>
      </c>
      <c r="N4391">
        <v>0</v>
      </c>
      <c r="O4391">
        <v>-9.5739069999999996E-2</v>
      </c>
      <c r="P4391">
        <v>0.99459549999999997</v>
      </c>
      <c r="Q4391">
        <v>9.9625320000000003E-2</v>
      </c>
      <c r="R4391">
        <v>-2.924034E-2</v>
      </c>
      <c r="S4391">
        <v>2.9977719999999999</v>
      </c>
      <c r="T4391">
        <v>-0.1588243</v>
      </c>
      <c r="U4391">
        <v>-1.231598</v>
      </c>
      <c r="V4391">
        <v>-6.5313280000000001E-2</v>
      </c>
      <c r="W4391">
        <v>0.1142792</v>
      </c>
      <c r="X4391">
        <v>0.99129940000000005</v>
      </c>
      <c r="Y4391">
        <v>0.28947430000000002</v>
      </c>
      <c r="Z4391">
        <v>-2.5211399999999998E-3</v>
      </c>
      <c r="AA4391">
        <v>0.95718250000000005</v>
      </c>
      <c r="AB4391">
        <v>29</v>
      </c>
      <c r="AC4391">
        <v>21.5992</v>
      </c>
      <c r="AD4391">
        <v>-1.152053</v>
      </c>
      <c r="AE4391">
        <v>-8.9178750000000004</v>
      </c>
      <c r="AF4391">
        <v>6.7922941751086796</v>
      </c>
      <c r="AG4391">
        <v>-1.152053</v>
      </c>
      <c r="AH4391">
        <v>22.299638321551701</v>
      </c>
      <c r="AI4391">
        <v>92.829296259805005</v>
      </c>
      <c r="AJ4391">
        <v>73.059677245955697</v>
      </c>
      <c r="AK4391">
        <v>23.339587733035099</v>
      </c>
      <c r="AL4391">
        <v>83.437948033432903</v>
      </c>
      <c r="AM4391">
        <v>93.769571916448996</v>
      </c>
      <c r="AN4391">
        <v>1.00000003026867</v>
      </c>
    </row>
    <row r="4392" spans="1:40" x14ac:dyDescent="0.3">
      <c r="A4392" t="str">
        <f>"20200111150116344"</f>
        <v>20200111150116344</v>
      </c>
      <c r="B4392" t="str">
        <f>"1578726076341672"</f>
        <v>1578726076341672</v>
      </c>
      <c r="C4392" t="s">
        <v>40</v>
      </c>
      <c r="D4392">
        <v>4.6673839999999904</v>
      </c>
      <c r="E4392">
        <v>0.64168599999999998</v>
      </c>
      <c r="F4392" t="s">
        <v>43</v>
      </c>
      <c r="G4392">
        <v>-309.09309999999999</v>
      </c>
      <c r="H4392">
        <v>-0.05</v>
      </c>
      <c r="I4392">
        <v>8.5388789999999997</v>
      </c>
      <c r="J4392">
        <v>-330.69150000000002</v>
      </c>
      <c r="K4392">
        <v>1.102052</v>
      </c>
      <c r="L4392">
        <v>17.49869</v>
      </c>
      <c r="M4392">
        <v>0.9951333</v>
      </c>
      <c r="N4392">
        <v>0</v>
      </c>
      <c r="O4392">
        <v>-9.7496050000000001E-2</v>
      </c>
      <c r="P4392">
        <v>0.99452390000000002</v>
      </c>
      <c r="Q4392">
        <v>9.9849560000000004E-2</v>
      </c>
      <c r="R4392">
        <v>-3.0868679999999999E-2</v>
      </c>
      <c r="S4392">
        <v>2.995819</v>
      </c>
      <c r="T4392">
        <v>-0.15878339999999999</v>
      </c>
      <c r="U4392">
        <v>-1.236969</v>
      </c>
      <c r="V4392">
        <v>-6.5435889999999997E-2</v>
      </c>
      <c r="W4392">
        <v>0.1145033</v>
      </c>
      <c r="X4392">
        <v>0.99126539999999996</v>
      </c>
      <c r="Y4392">
        <v>0.28947319999999999</v>
      </c>
      <c r="Z4392">
        <v>-2.433008E-3</v>
      </c>
      <c r="AA4392">
        <v>0.95718300000000001</v>
      </c>
      <c r="AB4392">
        <v>29</v>
      </c>
      <c r="AC4392">
        <v>21.598400000000002</v>
      </c>
      <c r="AD4392">
        <v>-1.1520520000000001</v>
      </c>
      <c r="AE4392">
        <v>-8.9598110000000002</v>
      </c>
      <c r="AF4392">
        <v>6.7946498857668702</v>
      </c>
      <c r="AG4392">
        <v>-1.1520520000000001</v>
      </c>
      <c r="AH4392">
        <v>22.3149504799208</v>
      </c>
      <c r="AI4392">
        <v>92.827436919190802</v>
      </c>
      <c r="AJ4392">
        <v>73.065100890077801</v>
      </c>
      <c r="AK4392">
        <v>23.354903249685599</v>
      </c>
      <c r="AL4392">
        <v>83.425022858521302</v>
      </c>
      <c r="AM4392">
        <v>93.776757084463895</v>
      </c>
      <c r="AN4392">
        <v>0.99999997732406998</v>
      </c>
    </row>
    <row r="4393" spans="1:40" x14ac:dyDescent="0.3">
      <c r="A4393" t="str">
        <f>"20200111150116356"</f>
        <v>20200111150116356</v>
      </c>
      <c r="B4393" t="str">
        <f>"1578726076352409"</f>
        <v>1578726076352409</v>
      </c>
      <c r="C4393" t="s">
        <v>40</v>
      </c>
      <c r="D4393">
        <v>4.6770209999999999</v>
      </c>
      <c r="E4393">
        <v>0.64166899999999905</v>
      </c>
      <c r="F4393" t="s">
        <v>43</v>
      </c>
      <c r="G4393">
        <v>-309.08190000000002</v>
      </c>
      <c r="H4393">
        <v>-0.05</v>
      </c>
      <c r="I4393">
        <v>8.5338589999999996</v>
      </c>
      <c r="J4393">
        <v>-330.5367</v>
      </c>
      <c r="K4393">
        <v>1.102047</v>
      </c>
      <c r="L4393">
        <v>17.48151</v>
      </c>
      <c r="M4393">
        <v>0.99493779999999998</v>
      </c>
      <c r="N4393">
        <v>0</v>
      </c>
      <c r="O4393">
        <v>-9.9471009999999999E-2</v>
      </c>
      <c r="P4393">
        <v>0.99444100000000002</v>
      </c>
      <c r="Q4393">
        <v>9.9902299999999999E-2</v>
      </c>
      <c r="R4393">
        <v>-3.3268150000000003E-2</v>
      </c>
      <c r="S4393">
        <v>2.9939879999999999</v>
      </c>
      <c r="T4393">
        <v>-0.15961549999999999</v>
      </c>
      <c r="U4393">
        <v>-1.242065</v>
      </c>
      <c r="V4393">
        <v>-6.5010579999999998E-2</v>
      </c>
      <c r="W4393">
        <v>0.1145526</v>
      </c>
      <c r="X4393">
        <v>0.99128769999999999</v>
      </c>
      <c r="Y4393">
        <v>0.28917120000000002</v>
      </c>
      <c r="Z4393">
        <v>-2.339023E-3</v>
      </c>
      <c r="AA4393">
        <v>0.95727459999999998</v>
      </c>
      <c r="AB4393">
        <v>29</v>
      </c>
      <c r="AC4393">
        <v>21.454799999999899</v>
      </c>
      <c r="AD4393">
        <v>-1.152047</v>
      </c>
      <c r="AE4393">
        <v>-8.9476509999999898</v>
      </c>
      <c r="AF4393">
        <v>6.75233247326533</v>
      </c>
      <c r="AG4393">
        <v>-1.152047</v>
      </c>
      <c r="AH4393">
        <v>22.184008440958301</v>
      </c>
      <c r="AI4393">
        <v>92.844173603967306</v>
      </c>
      <c r="AJ4393">
        <v>73.070884931497204</v>
      </c>
      <c r="AK4393">
        <v>23.217481272270501</v>
      </c>
      <c r="AL4393">
        <v>83.422179543731104</v>
      </c>
      <c r="AM4393">
        <v>93.752195693342102</v>
      </c>
      <c r="AN4393">
        <v>0.99999998892499298</v>
      </c>
    </row>
    <row r="4394" spans="1:40" x14ac:dyDescent="0.3">
      <c r="A4394" t="str">
        <f>"20200111150116368"</f>
        <v>20200111150116368</v>
      </c>
      <c r="B4394" t="str">
        <f>"1578726076362169"</f>
        <v>1578726076362169</v>
      </c>
      <c r="C4394" t="s">
        <v>40</v>
      </c>
      <c r="D4394">
        <v>4.6441319999999999</v>
      </c>
      <c r="E4394">
        <v>0.64167949999999996</v>
      </c>
      <c r="F4394" t="s">
        <v>43</v>
      </c>
      <c r="G4394">
        <v>-309.01569999999998</v>
      </c>
      <c r="H4394">
        <v>-0.05</v>
      </c>
      <c r="I4394">
        <v>8.4922489999999993</v>
      </c>
      <c r="J4394">
        <v>-330.392</v>
      </c>
      <c r="K4394">
        <v>1.1020490000000001</v>
      </c>
      <c r="L4394">
        <v>17.465119999999999</v>
      </c>
      <c r="M4394">
        <v>0.99475179999999996</v>
      </c>
      <c r="N4394">
        <v>0</v>
      </c>
      <c r="O4394">
        <v>-0.1013143</v>
      </c>
      <c r="P4394">
        <v>0.9943767</v>
      </c>
      <c r="Q4394">
        <v>9.9788970000000005E-2</v>
      </c>
      <c r="R4394">
        <v>-3.5456179999999997E-2</v>
      </c>
      <c r="S4394">
        <v>2.9910580000000002</v>
      </c>
      <c r="T4394">
        <v>-0.16011549999999999</v>
      </c>
      <c r="U4394">
        <v>-1.2493590000000001</v>
      </c>
      <c r="V4394">
        <v>-6.4667799999999998E-2</v>
      </c>
      <c r="W4394">
        <v>0.114436</v>
      </c>
      <c r="X4394">
        <v>0.99132359999999997</v>
      </c>
      <c r="Y4394">
        <v>0.2897187</v>
      </c>
      <c r="Z4394">
        <v>-2.268258E-3</v>
      </c>
      <c r="AA4394">
        <v>0.95710919999999999</v>
      </c>
      <c r="AB4394">
        <v>29</v>
      </c>
      <c r="AC4394">
        <v>21.376300000000001</v>
      </c>
      <c r="AD4394">
        <v>-1.1520489999999901</v>
      </c>
      <c r="AE4394">
        <v>-8.9728709999999996</v>
      </c>
      <c r="AF4394">
        <v>6.7440911809991997</v>
      </c>
      <c r="AG4394">
        <v>-1.1520489999999901</v>
      </c>
      <c r="AH4394">
        <v>22.120832175916199</v>
      </c>
      <c r="AI4394">
        <v>92.851893731125202</v>
      </c>
      <c r="AJ4394">
        <v>73.044840917635696</v>
      </c>
      <c r="AK4394">
        <v>23.1547230368035</v>
      </c>
      <c r="AL4394">
        <v>83.428904536274302</v>
      </c>
      <c r="AM4394">
        <v>93.732332851261106</v>
      </c>
      <c r="AN4394">
        <v>1.0000000011849</v>
      </c>
    </row>
    <row r="4395" spans="1:40" x14ac:dyDescent="0.3">
      <c r="A4395" t="str">
        <f>"20200111150116379"</f>
        <v>20200111150116379</v>
      </c>
      <c r="B4395" t="str">
        <f>"1578726076371929"</f>
        <v>1578726076371929</v>
      </c>
      <c r="C4395" t="s">
        <v>40</v>
      </c>
      <c r="D4395">
        <v>4.6862719999999998</v>
      </c>
      <c r="E4395">
        <v>0.64168389999999997</v>
      </c>
      <c r="F4395" t="s">
        <v>43</v>
      </c>
      <c r="G4395">
        <v>-309.05220000000003</v>
      </c>
      <c r="H4395">
        <v>-0.05</v>
      </c>
      <c r="I4395">
        <v>8.4967799999999993</v>
      </c>
      <c r="J4395">
        <v>-330.23050000000001</v>
      </c>
      <c r="K4395">
        <v>1.1020490000000001</v>
      </c>
      <c r="L4395">
        <v>17.44659</v>
      </c>
      <c r="M4395">
        <v>0.99453999999999998</v>
      </c>
      <c r="N4395">
        <v>0</v>
      </c>
      <c r="O4395">
        <v>-0.1033722</v>
      </c>
      <c r="P4395">
        <v>0.9942976</v>
      </c>
      <c r="Q4395">
        <v>9.9601529999999994E-2</v>
      </c>
      <c r="R4395">
        <v>-3.8102110000000002E-2</v>
      </c>
      <c r="S4395">
        <v>2.9883419999999998</v>
      </c>
      <c r="T4395">
        <v>-0.1613281</v>
      </c>
      <c r="U4395">
        <v>-1.25589</v>
      </c>
      <c r="V4395">
        <v>-6.4083559999999998E-2</v>
      </c>
      <c r="W4395">
        <v>0.1142437</v>
      </c>
      <c r="X4395">
        <v>0.99138369999999998</v>
      </c>
      <c r="Y4395">
        <v>0.28982580000000002</v>
      </c>
      <c r="Z4395">
        <v>-2.1843040000000002E-3</v>
      </c>
      <c r="AA4395">
        <v>0.95707690000000001</v>
      </c>
      <c r="AB4395">
        <v>29</v>
      </c>
      <c r="AC4395">
        <v>21.178299999999901</v>
      </c>
      <c r="AD4395">
        <v>-1.1520489999999901</v>
      </c>
      <c r="AE4395">
        <v>-8.9498099999999994</v>
      </c>
      <c r="AF4395">
        <v>6.6955718129278097</v>
      </c>
      <c r="AG4395">
        <v>-1.1520489999999901</v>
      </c>
      <c r="AH4395">
        <v>21.935002568649299</v>
      </c>
      <c r="AI4395">
        <v>92.875716912315696</v>
      </c>
      <c r="AJ4395">
        <v>73.025399766755697</v>
      </c>
      <c r="AK4395">
        <v>22.9630624370341</v>
      </c>
      <c r="AL4395">
        <v>83.439995132081606</v>
      </c>
      <c r="AM4395">
        <v>93.698483586443203</v>
      </c>
      <c r="AN4395">
        <v>0.99999998313882599</v>
      </c>
    </row>
    <row r="4396" spans="1:40" x14ac:dyDescent="0.3">
      <c r="A4396" t="str">
        <f>"20200111150116391"</f>
        <v>20200111150116391</v>
      </c>
      <c r="B4396" t="str">
        <f>"1578726076381689"</f>
        <v>1578726076381689</v>
      </c>
      <c r="C4396" t="s">
        <v>40</v>
      </c>
      <c r="D4396">
        <v>4.6382459999999996</v>
      </c>
      <c r="E4396">
        <v>0.64168719999999901</v>
      </c>
      <c r="F4396" t="s">
        <v>43</v>
      </c>
      <c r="G4396">
        <v>-309.1712</v>
      </c>
      <c r="H4396">
        <v>-0.05</v>
      </c>
      <c r="I4396">
        <v>8.5315250000000002</v>
      </c>
      <c r="J4396">
        <v>-330.0804</v>
      </c>
      <c r="K4396">
        <v>1.1020559999999999</v>
      </c>
      <c r="L4396">
        <v>17.42896</v>
      </c>
      <c r="M4396">
        <v>0.9943398</v>
      </c>
      <c r="N4396">
        <v>0</v>
      </c>
      <c r="O4396">
        <v>-0.1052823</v>
      </c>
      <c r="P4396">
        <v>0.99421530000000002</v>
      </c>
      <c r="Q4396">
        <v>9.930688E-2</v>
      </c>
      <c r="R4396">
        <v>-4.0921590000000001E-2</v>
      </c>
      <c r="S4396">
        <v>2.9851380000000001</v>
      </c>
      <c r="T4396">
        <v>-0.163301799999999</v>
      </c>
      <c r="U4396">
        <v>-1.2637020000000001</v>
      </c>
      <c r="V4396">
        <v>-6.3180920000000002E-2</v>
      </c>
      <c r="W4396">
        <v>0.1139424</v>
      </c>
      <c r="X4396">
        <v>0.99147629999999998</v>
      </c>
      <c r="Y4396">
        <v>0.29047640000000002</v>
      </c>
      <c r="Z4396">
        <v>-2.1306630000000001E-3</v>
      </c>
      <c r="AA4396">
        <v>0.95687979999999995</v>
      </c>
      <c r="AB4396">
        <v>29</v>
      </c>
      <c r="AC4396">
        <v>20.909199999999998</v>
      </c>
      <c r="AD4396">
        <v>-1.152056</v>
      </c>
      <c r="AE4396">
        <v>-8.8974349999999998</v>
      </c>
      <c r="AF4396">
        <v>6.6293431784501404</v>
      </c>
      <c r="AG4396">
        <v>-1.152056</v>
      </c>
      <c r="AH4396">
        <v>21.674098289422201</v>
      </c>
      <c r="AI4396">
        <v>92.909789805286394</v>
      </c>
      <c r="AJ4396">
        <v>72.992974065053303</v>
      </c>
      <c r="AK4396">
        <v>22.6945359208848</v>
      </c>
      <c r="AL4396">
        <v>83.457371774563796</v>
      </c>
      <c r="AM4396">
        <v>93.646191021615707</v>
      </c>
      <c r="AN4396">
        <v>0.999999976315747</v>
      </c>
    </row>
    <row r="4397" spans="1:40" x14ac:dyDescent="0.3">
      <c r="A4397" t="str">
        <f>"20200111150116407"</f>
        <v>20200111150116407</v>
      </c>
      <c r="B4397" t="str">
        <f>"1578726076402184"</f>
        <v>1578726076402184</v>
      </c>
      <c r="C4397" t="s">
        <v>40</v>
      </c>
      <c r="D4397">
        <v>4.6572500000000003</v>
      </c>
      <c r="E4397">
        <v>0.64174889999999996</v>
      </c>
      <c r="F4397" t="s">
        <v>43</v>
      </c>
      <c r="G4397">
        <v>-309.28019999999998</v>
      </c>
      <c r="H4397">
        <v>-0.05</v>
      </c>
      <c r="I4397">
        <v>8.5552060000000001</v>
      </c>
      <c r="J4397">
        <v>-329.88479999999998</v>
      </c>
      <c r="K4397">
        <v>1.1020589999999999</v>
      </c>
      <c r="L4397">
        <v>17.405609999999999</v>
      </c>
      <c r="M4397">
        <v>0.99407330000000005</v>
      </c>
      <c r="N4397">
        <v>0</v>
      </c>
      <c r="O4397">
        <v>-0.1077688</v>
      </c>
      <c r="P4397">
        <v>0.99410100000000001</v>
      </c>
      <c r="Q4397">
        <v>9.8742510000000006E-2</v>
      </c>
      <c r="R4397">
        <v>-4.4874009999999999E-2</v>
      </c>
      <c r="S4397">
        <v>2.981598</v>
      </c>
      <c r="T4397">
        <v>-0.16514079999999901</v>
      </c>
      <c r="U4397">
        <v>-1.272003</v>
      </c>
      <c r="V4397">
        <v>-6.172739E-2</v>
      </c>
      <c r="W4397">
        <v>0.1133678</v>
      </c>
      <c r="X4397">
        <v>0.99163380000000001</v>
      </c>
      <c r="Y4397">
        <v>0.29074470000000002</v>
      </c>
      <c r="Z4397">
        <v>-2.0332649999999998E-3</v>
      </c>
      <c r="AA4397">
        <v>0.9567985</v>
      </c>
      <c r="AB4397">
        <v>29</v>
      </c>
      <c r="AC4397">
        <v>20.604600000000001</v>
      </c>
      <c r="AD4397">
        <v>-1.1520589999999999</v>
      </c>
      <c r="AE4397">
        <v>-8.8504039999999993</v>
      </c>
      <c r="AF4397">
        <v>6.5607730900957799</v>
      </c>
      <c r="AG4397">
        <v>-1.1520589999999999</v>
      </c>
      <c r="AH4397">
        <v>21.3820354673243</v>
      </c>
      <c r="AI4397">
        <v>92.948672790697501</v>
      </c>
      <c r="AJ4397">
        <v>72.942113957463306</v>
      </c>
      <c r="AK4397">
        <v>22.395589391778</v>
      </c>
      <c r="AL4397">
        <v>83.490509202698703</v>
      </c>
      <c r="AM4397">
        <v>93.561961533807406</v>
      </c>
      <c r="AN4397">
        <v>1.00000006102774</v>
      </c>
    </row>
    <row r="4398" spans="1:40" x14ac:dyDescent="0.3">
      <c r="A4398" t="str">
        <f>"20200111150116418"</f>
        <v>20200111150116418</v>
      </c>
      <c r="B4398" t="str">
        <f>"1578726076411945"</f>
        <v>1578726076411945</v>
      </c>
      <c r="C4398" t="s">
        <v>40</v>
      </c>
      <c r="D4398">
        <v>4.7155870000000002</v>
      </c>
      <c r="E4398">
        <v>0.64177419999999996</v>
      </c>
      <c r="F4398" t="s">
        <v>43</v>
      </c>
      <c r="G4398">
        <v>-309.46730000000002</v>
      </c>
      <c r="H4398">
        <v>-0.05</v>
      </c>
      <c r="I4398">
        <v>8.5956270000000004</v>
      </c>
      <c r="J4398">
        <v>-329.73</v>
      </c>
      <c r="K4398">
        <v>1.1020669999999999</v>
      </c>
      <c r="L4398">
        <v>17.386839999999999</v>
      </c>
      <c r="M4398">
        <v>0.99385809999999997</v>
      </c>
      <c r="N4398">
        <v>0</v>
      </c>
      <c r="O4398">
        <v>-0.10973579999999999</v>
      </c>
      <c r="P4398">
        <v>0.99397530000000001</v>
      </c>
      <c r="Q4398">
        <v>9.8671120000000001E-2</v>
      </c>
      <c r="R4398">
        <v>-4.7721109999999997E-2</v>
      </c>
      <c r="S4398">
        <v>2.9765009999999998</v>
      </c>
      <c r="T4398">
        <v>-0.16794890000000001</v>
      </c>
      <c r="U4398">
        <v>-1.284332</v>
      </c>
      <c r="V4398">
        <v>-6.0849819999999999E-2</v>
      </c>
      <c r="W4398">
        <v>0.1132896</v>
      </c>
      <c r="X4398">
        <v>0.99169689999999999</v>
      </c>
      <c r="Y4398">
        <v>0.29277959999999997</v>
      </c>
      <c r="Z4398">
        <v>-2.0201329999999999E-3</v>
      </c>
      <c r="AA4398">
        <v>0.95617779999999997</v>
      </c>
      <c r="AB4398">
        <v>29</v>
      </c>
      <c r="AC4398">
        <v>20.262699999999899</v>
      </c>
      <c r="AD4398">
        <v>-1.152067</v>
      </c>
      <c r="AE4398">
        <v>-8.7912129999999902</v>
      </c>
      <c r="AF4398">
        <v>6.4966650201329497</v>
      </c>
      <c r="AG4398">
        <v>-1.152067</v>
      </c>
      <c r="AH4398">
        <v>21.047851616352698</v>
      </c>
      <c r="AI4398">
        <v>92.993891653254195</v>
      </c>
      <c r="AJ4398">
        <v>72.8465480110724</v>
      </c>
      <c r="AK4398">
        <v>22.057787115218702</v>
      </c>
      <c r="AL4398">
        <v>83.4950183065137</v>
      </c>
      <c r="AM4398">
        <v>93.511226354943403</v>
      </c>
      <c r="AN4398">
        <v>0.99999998776590104</v>
      </c>
    </row>
    <row r="4399" spans="1:40" x14ac:dyDescent="0.3">
      <c r="A4399" t="str">
        <f>"20200111150116430"</f>
        <v>20200111150116430</v>
      </c>
      <c r="B4399" t="str">
        <f>"1578726076421704"</f>
        <v>1578726076421704</v>
      </c>
      <c r="C4399" t="s">
        <v>40</v>
      </c>
      <c r="D4399">
        <v>4.6550349999999998</v>
      </c>
      <c r="E4399">
        <v>0.64179090000000005</v>
      </c>
      <c r="F4399" t="s">
        <v>43</v>
      </c>
      <c r="G4399">
        <v>-309.41390000000001</v>
      </c>
      <c r="H4399">
        <v>-0.05</v>
      </c>
      <c r="I4399">
        <v>8.5494380000000003</v>
      </c>
      <c r="J4399">
        <v>-329.58319999999998</v>
      </c>
      <c r="K4399">
        <v>1.1020700000000001</v>
      </c>
      <c r="L4399">
        <v>17.36862</v>
      </c>
      <c r="M4399">
        <v>0.99365060000000005</v>
      </c>
      <c r="N4399">
        <v>0</v>
      </c>
      <c r="O4399">
        <v>-0.1115998</v>
      </c>
      <c r="P4399">
        <v>0.99381450000000005</v>
      </c>
      <c r="Q4399">
        <v>9.8897020000000002E-2</v>
      </c>
      <c r="R4399">
        <v>-5.052048E-2</v>
      </c>
      <c r="S4399">
        <v>2.9728699999999999</v>
      </c>
      <c r="T4399">
        <v>-0.1685827</v>
      </c>
      <c r="U4399">
        <v>-1.2931820000000001</v>
      </c>
      <c r="V4399">
        <v>-5.9912470000000002E-2</v>
      </c>
      <c r="W4399">
        <v>0.1135075</v>
      </c>
      <c r="X4399">
        <v>0.99172910000000003</v>
      </c>
      <c r="Y4399">
        <v>0.29380630000000002</v>
      </c>
      <c r="Z4399">
        <v>-1.9574900000000001E-3</v>
      </c>
      <c r="AA4399">
        <v>0.95586300000000002</v>
      </c>
      <c r="AB4399">
        <v>29</v>
      </c>
      <c r="AC4399">
        <v>20.1692999999999</v>
      </c>
      <c r="AD4399">
        <v>-1.1520699999999999</v>
      </c>
      <c r="AE4399">
        <v>-8.8191819999999996</v>
      </c>
      <c r="AF4399">
        <v>6.4951695684521003</v>
      </c>
      <c r="AG4399">
        <v>-1.1520699999999999</v>
      </c>
      <c r="AH4399">
        <v>20.9701631330772</v>
      </c>
      <c r="AI4399">
        <v>93.004063217884806</v>
      </c>
      <c r="AJ4399">
        <v>72.7904766417427</v>
      </c>
      <c r="AK4399">
        <v>21.983226215360599</v>
      </c>
      <c r="AL4399">
        <v>83.482452792133401</v>
      </c>
      <c r="AM4399">
        <v>93.4571585426621</v>
      </c>
      <c r="AN4399">
        <v>1.00000003220228</v>
      </c>
    </row>
    <row r="4400" spans="1:40" x14ac:dyDescent="0.3">
      <c r="A4400" t="str">
        <f>"20200111150116442"</f>
        <v>20200111150116442</v>
      </c>
      <c r="B4400" t="str">
        <f>"1578726076432441"</f>
        <v>1578726076432441</v>
      </c>
      <c r="C4400" t="s">
        <v>40</v>
      </c>
      <c r="D4400">
        <v>4.686045</v>
      </c>
      <c r="E4400">
        <v>0.64179160000000002</v>
      </c>
      <c r="F4400" t="s">
        <v>43</v>
      </c>
      <c r="G4400">
        <v>-309.26029999999997</v>
      </c>
      <c r="H4400">
        <v>-0.05</v>
      </c>
      <c r="I4400">
        <v>8.4598849999999999</v>
      </c>
      <c r="J4400">
        <v>-329.43639999999999</v>
      </c>
      <c r="K4400">
        <v>1.102077</v>
      </c>
      <c r="L4400">
        <v>17.350279999999898</v>
      </c>
      <c r="M4400">
        <v>0.99343959999999998</v>
      </c>
      <c r="N4400">
        <v>0</v>
      </c>
      <c r="O4400">
        <v>-0.1134628</v>
      </c>
      <c r="P4400">
        <v>0.99367810000000001</v>
      </c>
      <c r="Q4400">
        <v>9.8901260000000005E-2</v>
      </c>
      <c r="R4400">
        <v>-5.3130990000000003E-2</v>
      </c>
      <c r="S4400">
        <v>2.9692690000000002</v>
      </c>
      <c r="T4400">
        <v>-0.16832259999999999</v>
      </c>
      <c r="U4400">
        <v>-1.3016049999999999</v>
      </c>
      <c r="V4400">
        <v>-5.9166709999999997E-2</v>
      </c>
      <c r="W4400">
        <v>0.1135056</v>
      </c>
      <c r="X4400">
        <v>0.99177409999999999</v>
      </c>
      <c r="Y4400">
        <v>0.2947166</v>
      </c>
      <c r="Z4400">
        <v>-1.8812259999999999E-3</v>
      </c>
      <c r="AA4400">
        <v>0.95558290000000001</v>
      </c>
      <c r="AB4400">
        <v>29</v>
      </c>
      <c r="AC4400">
        <v>20.176100000000002</v>
      </c>
      <c r="AD4400">
        <v>-1.152077</v>
      </c>
      <c r="AE4400">
        <v>-8.8903949999999892</v>
      </c>
      <c r="AF4400">
        <v>6.5256833110294101</v>
      </c>
      <c r="AG4400">
        <v>-1.152077</v>
      </c>
      <c r="AH4400">
        <v>20.9972822409697</v>
      </c>
      <c r="AI4400">
        <v>92.999316095472196</v>
      </c>
      <c r="AJ4400">
        <v>72.7354322134249</v>
      </c>
      <c r="AK4400">
        <v>22.018121754516599</v>
      </c>
      <c r="AL4400">
        <v>83.482562433680997</v>
      </c>
      <c r="AM4400">
        <v>93.414073478273906</v>
      </c>
      <c r="AN4400">
        <v>1.00000004311719</v>
      </c>
    </row>
    <row r="4401" spans="1:40" x14ac:dyDescent="0.3">
      <c r="A4401" t="str">
        <f>"20200111150116453"</f>
        <v>20200111150116453</v>
      </c>
      <c r="B4401" t="str">
        <f>"1578726076442200"</f>
        <v>1578726076442200</v>
      </c>
      <c r="C4401" t="s">
        <v>40</v>
      </c>
      <c r="D4401">
        <v>4.7036059999999997</v>
      </c>
      <c r="E4401">
        <v>0.64176769999999905</v>
      </c>
      <c r="F4401" t="s">
        <v>43</v>
      </c>
      <c r="G4401">
        <v>-309.21660000000003</v>
      </c>
      <c r="H4401">
        <v>-0.05</v>
      </c>
      <c r="I4401">
        <v>8.4234770000000001</v>
      </c>
      <c r="J4401">
        <v>-329.28230000000002</v>
      </c>
      <c r="K4401">
        <v>1.1020829999999999</v>
      </c>
      <c r="L4401">
        <v>17.330570000000002</v>
      </c>
      <c r="M4401">
        <v>0.99321420000000005</v>
      </c>
      <c r="N4401">
        <v>0</v>
      </c>
      <c r="O4401">
        <v>-0.1154189</v>
      </c>
      <c r="P4401">
        <v>0.99348990000000004</v>
      </c>
      <c r="Q4401">
        <v>9.9420510000000004E-2</v>
      </c>
      <c r="R4401">
        <v>-5.5618899999999999E-2</v>
      </c>
      <c r="S4401">
        <v>2.9659119999999999</v>
      </c>
      <c r="T4401">
        <v>-0.168991</v>
      </c>
      <c r="U4401">
        <v>-1.309418</v>
      </c>
      <c r="V4401">
        <v>-5.8626480000000002E-2</v>
      </c>
      <c r="W4401">
        <v>0.1140187</v>
      </c>
      <c r="X4401">
        <v>0.9917473</v>
      </c>
      <c r="Y4401">
        <v>0.29534070000000001</v>
      </c>
      <c r="Z4401">
        <v>-1.80225E-3</v>
      </c>
      <c r="AA4401">
        <v>0.95539030000000003</v>
      </c>
      <c r="AB4401">
        <v>29</v>
      </c>
      <c r="AC4401">
        <v>20.0657</v>
      </c>
      <c r="AD4401">
        <v>-1.152083</v>
      </c>
      <c r="AE4401">
        <v>-8.9070929999999997</v>
      </c>
      <c r="AF4401">
        <v>6.5134192281437802</v>
      </c>
      <c r="AG4401">
        <v>-1.152083</v>
      </c>
      <c r="AH4401">
        <v>20.9021608281314</v>
      </c>
      <c r="AI4401">
        <v>93.012249857602995</v>
      </c>
      <c r="AJ4401">
        <v>72.692201517350497</v>
      </c>
      <c r="AK4401">
        <v>21.923782806931701</v>
      </c>
      <c r="AL4401">
        <v>83.452971700703003</v>
      </c>
      <c r="AM4401">
        <v>93.383064735347602</v>
      </c>
      <c r="AN4401">
        <v>1.00000001758208</v>
      </c>
    </row>
    <row r="4402" spans="1:40" x14ac:dyDescent="0.3">
      <c r="A4402" t="str">
        <f>"20200111150116464"</f>
        <v>20200111150116464</v>
      </c>
      <c r="B4402" t="str">
        <f>"1578726076451960"</f>
        <v>1578726076451960</v>
      </c>
      <c r="C4402" t="s">
        <v>40</v>
      </c>
      <c r="D4402">
        <v>4.6659550000000003</v>
      </c>
      <c r="E4402">
        <v>0.64183500000000004</v>
      </c>
      <c r="F4402" t="s">
        <v>43</v>
      </c>
      <c r="G4402">
        <v>-308.98169999999999</v>
      </c>
      <c r="H4402">
        <v>-0.05</v>
      </c>
      <c r="I4402">
        <v>8.3092190000000006</v>
      </c>
      <c r="J4402">
        <v>-329.13850000000002</v>
      </c>
      <c r="K4402">
        <v>1.102087</v>
      </c>
      <c r="L4402">
        <v>17.312010000000001</v>
      </c>
      <c r="M4402">
        <v>0.99300060000000001</v>
      </c>
      <c r="N4402">
        <v>0</v>
      </c>
      <c r="O4402">
        <v>-0.117243</v>
      </c>
      <c r="P4402">
        <v>0.99331970000000003</v>
      </c>
      <c r="Q4402">
        <v>9.9717330000000007E-2</v>
      </c>
      <c r="R4402">
        <v>-5.8074460000000001E-2</v>
      </c>
      <c r="S4402">
        <v>2.9627690000000002</v>
      </c>
      <c r="T4402">
        <v>-0.1681406</v>
      </c>
      <c r="U4402">
        <v>-1.3166199999999999</v>
      </c>
      <c r="V4402">
        <v>-5.7991300000000003E-2</v>
      </c>
      <c r="W4402">
        <v>0.1143091</v>
      </c>
      <c r="X4402">
        <v>0.99175119999999894</v>
      </c>
      <c r="Y4402">
        <v>0.29590559999999899</v>
      </c>
      <c r="Z4402">
        <v>-1.712515E-3</v>
      </c>
      <c r="AA4402">
        <v>0.95521560000000005</v>
      </c>
      <c r="AB4402">
        <v>29</v>
      </c>
      <c r="AC4402">
        <v>20.1568</v>
      </c>
      <c r="AD4402">
        <v>-1.1520870000000001</v>
      </c>
      <c r="AE4402">
        <v>-9.0027910000000002</v>
      </c>
      <c r="AF4402">
        <v>6.5593391339273603</v>
      </c>
      <c r="AG4402">
        <v>-1.1520870000000001</v>
      </c>
      <c r="AH4402">
        <v>21.016139009415301</v>
      </c>
      <c r="AI4402">
        <v>92.995532868849395</v>
      </c>
      <c r="AJ4402">
        <v>72.6663548614044</v>
      </c>
      <c r="AK4402">
        <v>22.046095645091199</v>
      </c>
      <c r="AL4402">
        <v>83.436223402684405</v>
      </c>
      <c r="AM4402">
        <v>93.346482044199803</v>
      </c>
      <c r="AN4402">
        <v>1.00000000195996</v>
      </c>
    </row>
    <row r="4403" spans="1:40" x14ac:dyDescent="0.3">
      <c r="A4403" t="str">
        <f>"20200111150116476"</f>
        <v>20200111150116476</v>
      </c>
      <c r="B4403" t="str">
        <f>"1578726076472456"</f>
        <v>1578726076472456</v>
      </c>
      <c r="C4403" t="s">
        <v>40</v>
      </c>
      <c r="D4403">
        <v>4.6546580000000004</v>
      </c>
      <c r="E4403">
        <v>0.64202300000000001</v>
      </c>
      <c r="F4403" t="s">
        <v>43</v>
      </c>
      <c r="G4403">
        <v>-308.81540000000001</v>
      </c>
      <c r="H4403">
        <v>-0.05</v>
      </c>
      <c r="I4403">
        <v>8.2177579999999999</v>
      </c>
      <c r="J4403">
        <v>-328.9932</v>
      </c>
      <c r="K4403">
        <v>1.1020920000000001</v>
      </c>
      <c r="L4403">
        <v>17.292909999999999</v>
      </c>
      <c r="M4403">
        <v>0.99278100000000002</v>
      </c>
      <c r="N4403">
        <v>0</v>
      </c>
      <c r="O4403">
        <v>-0.1190879</v>
      </c>
      <c r="P4403">
        <v>0.99314219999999998</v>
      </c>
      <c r="Q4403">
        <v>0.1001645</v>
      </c>
      <c r="R4403">
        <v>-6.0296990000000002E-2</v>
      </c>
      <c r="S4403">
        <v>2.9595950000000002</v>
      </c>
      <c r="T4403">
        <v>-0.1677749</v>
      </c>
      <c r="U4403">
        <v>-1.324371</v>
      </c>
      <c r="V4403">
        <v>-5.7606709999999998E-2</v>
      </c>
      <c r="W4403">
        <v>0.11475150000000001</v>
      </c>
      <c r="X4403">
        <v>0.99172249999999995</v>
      </c>
      <c r="Y4403">
        <v>0.29659970000000002</v>
      </c>
      <c r="Z4403">
        <v>-1.630612E-3</v>
      </c>
      <c r="AA4403">
        <v>0.95500050000000003</v>
      </c>
      <c r="AB4403">
        <v>29</v>
      </c>
      <c r="AC4403">
        <v>20.177799999999898</v>
      </c>
      <c r="AD4403">
        <v>-1.1520919999999999</v>
      </c>
      <c r="AE4403">
        <v>-9.0751519999999992</v>
      </c>
      <c r="AF4403">
        <v>6.5895126129122303</v>
      </c>
      <c r="AG4403">
        <v>-1.1520919999999999</v>
      </c>
      <c r="AH4403">
        <v>21.057930730156599</v>
      </c>
      <c r="AI4403">
        <v>92.988920596971795</v>
      </c>
      <c r="AJ4403">
        <v>72.623893797422696</v>
      </c>
      <c r="AK4403">
        <v>22.094918852267099</v>
      </c>
      <c r="AL4403">
        <v>83.410707695142804</v>
      </c>
      <c r="AM4403">
        <v>93.324434583276499</v>
      </c>
      <c r="AN4403">
        <v>0.999999978397761</v>
      </c>
    </row>
    <row r="4404" spans="1:40" x14ac:dyDescent="0.3">
      <c r="A4404" t="str">
        <f>"20200111150116486"</f>
        <v>20200111150116486</v>
      </c>
      <c r="B4404" t="str">
        <f>"1578726076482216"</f>
        <v>1578726076482216</v>
      </c>
      <c r="C4404" t="s">
        <v>40</v>
      </c>
      <c r="D4404">
        <v>4.6156949999999997</v>
      </c>
      <c r="E4404">
        <v>0.64212769999999997</v>
      </c>
      <c r="F4404" t="s">
        <v>43</v>
      </c>
      <c r="G4404">
        <v>-308.6148</v>
      </c>
      <c r="H4404">
        <v>-0.05</v>
      </c>
      <c r="I4404">
        <v>8.1097559999999902</v>
      </c>
      <c r="J4404">
        <v>-328.86599999999999</v>
      </c>
      <c r="K4404">
        <v>1.1020939999999999</v>
      </c>
      <c r="L4404">
        <v>17.275970000000001</v>
      </c>
      <c r="M4404">
        <v>0.99258610000000003</v>
      </c>
      <c r="N4404">
        <v>0</v>
      </c>
      <c r="O4404">
        <v>-0.12070160000000001</v>
      </c>
      <c r="P4404">
        <v>0.99298549999999997</v>
      </c>
      <c r="Q4404">
        <v>0.1004897</v>
      </c>
      <c r="R4404">
        <v>-6.2302919999999998E-2</v>
      </c>
      <c r="S4404">
        <v>2.9567260000000002</v>
      </c>
      <c r="T4404">
        <v>-0.1671588</v>
      </c>
      <c r="U4404">
        <v>-1.3323969999999901</v>
      </c>
      <c r="V4404">
        <v>-5.7209700000000002E-2</v>
      </c>
      <c r="W4404">
        <v>0.1150722</v>
      </c>
      <c r="X4404">
        <v>0.99170829999999999</v>
      </c>
      <c r="Y4404">
        <v>0.29755209999999999</v>
      </c>
      <c r="Z4404">
        <v>-1.5657329999999999E-3</v>
      </c>
      <c r="AA4404">
        <v>0.95470429999999995</v>
      </c>
      <c r="AB4404">
        <v>29</v>
      </c>
      <c r="AC4404">
        <v>20.251199999999901</v>
      </c>
      <c r="AD4404">
        <v>-1.152094</v>
      </c>
      <c r="AE4404">
        <v>-9.1662140000000001</v>
      </c>
      <c r="AF4404">
        <v>6.6367555475088098</v>
      </c>
      <c r="AG4404">
        <v>-1.152094</v>
      </c>
      <c r="AH4404">
        <v>21.152779326290201</v>
      </c>
      <c r="AI4404">
        <v>92.974844086274899</v>
      </c>
      <c r="AJ4404">
        <v>72.580575576935004</v>
      </c>
      <c r="AK4404">
        <v>22.199412559997</v>
      </c>
      <c r="AL4404">
        <v>83.392210262016704</v>
      </c>
      <c r="AM4404">
        <v>93.301621499581998</v>
      </c>
      <c r="AN4404">
        <v>0.99999995663790897</v>
      </c>
    </row>
    <row r="4405" spans="1:40" x14ac:dyDescent="0.3">
      <c r="A4405" t="str">
        <f>"20200111150116497"</f>
        <v>20200111150116497</v>
      </c>
      <c r="B4405" t="str">
        <f>"1578726076491977"</f>
        <v>1578726076491977</v>
      </c>
      <c r="C4405" t="s">
        <v>40</v>
      </c>
      <c r="D4405">
        <v>4.6581159999999997</v>
      </c>
      <c r="E4405">
        <v>0.64207159999999996</v>
      </c>
      <c r="F4405" t="s">
        <v>43</v>
      </c>
      <c r="G4405">
        <v>-308.48180000000002</v>
      </c>
      <c r="H4405">
        <v>-0.05</v>
      </c>
      <c r="I4405">
        <v>8.0374909999999993</v>
      </c>
      <c r="J4405">
        <v>-328.7115</v>
      </c>
      <c r="K4405">
        <v>1.1021000000000001</v>
      </c>
      <c r="L4405">
        <v>17.25516</v>
      </c>
      <c r="M4405">
        <v>0.9923459</v>
      </c>
      <c r="N4405">
        <v>0</v>
      </c>
      <c r="O4405">
        <v>-0.1226618</v>
      </c>
      <c r="P4405">
        <v>0.9928245</v>
      </c>
      <c r="Q4405">
        <v>0.1005683</v>
      </c>
      <c r="R4405">
        <v>-6.4695050000000004E-2</v>
      </c>
      <c r="S4405">
        <v>2.9540709999999999</v>
      </c>
      <c r="T4405">
        <v>-0.1669612</v>
      </c>
      <c r="U4405">
        <v>-1.3388370000000001</v>
      </c>
      <c r="V4405">
        <v>-5.6777950000000001E-2</v>
      </c>
      <c r="W4405">
        <v>0.1151456</v>
      </c>
      <c r="X4405">
        <v>0.99172459999999996</v>
      </c>
      <c r="Y4405">
        <v>0.2977187</v>
      </c>
      <c r="Z4405">
        <v>-1.4655929999999901E-3</v>
      </c>
      <c r="AA4405">
        <v>0.95465250000000001</v>
      </c>
      <c r="AB4405">
        <v>29</v>
      </c>
      <c r="AC4405">
        <v>20.229699999999902</v>
      </c>
      <c r="AD4405">
        <v>-1.1520999999999999</v>
      </c>
      <c r="AE4405">
        <v>-9.2176690000000008</v>
      </c>
      <c r="AF4405">
        <v>6.6485270692368301</v>
      </c>
      <c r="AG4405">
        <v>-1.1520999999999999</v>
      </c>
      <c r="AH4405">
        <v>21.1508690017723</v>
      </c>
      <c r="AI4405">
        <v>92.9746312710285</v>
      </c>
      <c r="AJ4405">
        <v>72.550072330989593</v>
      </c>
      <c r="AK4405">
        <v>22.201114974940101</v>
      </c>
      <c r="AL4405">
        <v>83.387976655758393</v>
      </c>
      <c r="AM4405">
        <v>93.276705592934505</v>
      </c>
      <c r="AN4405">
        <v>0.99999996352536002</v>
      </c>
    </row>
    <row r="4406" spans="1:40" x14ac:dyDescent="0.3">
      <c r="A4406" t="str">
        <f>"20200111150116510"</f>
        <v>20200111150116510</v>
      </c>
      <c r="B4406" t="str">
        <f>"1578726076501736"</f>
        <v>1578726076501736</v>
      </c>
      <c r="C4406" t="s">
        <v>40</v>
      </c>
      <c r="D4406">
        <v>4.6570210000000003</v>
      </c>
      <c r="E4406">
        <v>0.6420285</v>
      </c>
      <c r="F4406" t="s">
        <v>43</v>
      </c>
      <c r="G4406">
        <v>-308.42579999999998</v>
      </c>
      <c r="H4406">
        <v>-0.05</v>
      </c>
      <c r="I4406">
        <v>8.0065159999999995</v>
      </c>
      <c r="J4406">
        <v>-328.5564</v>
      </c>
      <c r="K4406">
        <v>1.1021049999999999</v>
      </c>
      <c r="L4406">
        <v>17.23386</v>
      </c>
      <c r="M4406">
        <v>0.99210039999999999</v>
      </c>
      <c r="N4406">
        <v>0</v>
      </c>
      <c r="O4406">
        <v>-0.12463200000000001</v>
      </c>
      <c r="P4406">
        <v>0.99265389999999998</v>
      </c>
      <c r="Q4406">
        <v>0.10060429999999999</v>
      </c>
      <c r="R4406">
        <v>-6.7211220000000002E-2</v>
      </c>
      <c r="S4406">
        <v>2.950958</v>
      </c>
      <c r="T4406">
        <v>-0.16759549999999901</v>
      </c>
      <c r="U4406">
        <v>-1.3453980000000001</v>
      </c>
      <c r="V4406">
        <v>-5.6232959999999999E-2</v>
      </c>
      <c r="W4406">
        <v>0.115176399999999</v>
      </c>
      <c r="X4406">
        <v>0.99175210000000003</v>
      </c>
      <c r="Y4406">
        <v>0.29796099999999998</v>
      </c>
      <c r="Z4406">
        <v>-1.3741700000000001E-3</v>
      </c>
      <c r="AA4406">
        <v>0.95457709999999996</v>
      </c>
      <c r="AB4406">
        <v>29</v>
      </c>
      <c r="AC4406">
        <v>20.130600000000001</v>
      </c>
      <c r="AD4406">
        <v>-1.1521049999999999</v>
      </c>
      <c r="AE4406">
        <v>-9.2273440000000004</v>
      </c>
      <c r="AF4406">
        <v>6.6282705311865797</v>
      </c>
      <c r="AG4406">
        <v>-1.1521049999999999</v>
      </c>
      <c r="AH4406">
        <v>21.066727585042099</v>
      </c>
      <c r="AI4406">
        <v>92.986252789888695</v>
      </c>
      <c r="AJ4406">
        <v>72.534746610278106</v>
      </c>
      <c r="AK4406">
        <v>22.114889267369101</v>
      </c>
      <c r="AL4406">
        <v>83.386200291271393</v>
      </c>
      <c r="AM4406">
        <v>93.245231495015503</v>
      </c>
      <c r="AN4406">
        <v>0.99999998838086501</v>
      </c>
    </row>
    <row r="4407" spans="1:40" x14ac:dyDescent="0.3">
      <c r="A4407" t="str">
        <f>"20200111150116523"</f>
        <v>20200111150116523</v>
      </c>
      <c r="B4407" t="str">
        <f>"1578726076512472"</f>
        <v>1578726076512472</v>
      </c>
      <c r="C4407" t="s">
        <v>40</v>
      </c>
      <c r="D4407">
        <v>4.6564439999999996</v>
      </c>
      <c r="E4407">
        <v>0.64199240000000002</v>
      </c>
      <c r="F4407" t="s">
        <v>43</v>
      </c>
      <c r="G4407">
        <v>-308.39800000000002</v>
      </c>
      <c r="H4407">
        <v>-0.05</v>
      </c>
      <c r="I4407">
        <v>7.9871829999999999</v>
      </c>
      <c r="J4407">
        <v>-328.39280000000002</v>
      </c>
      <c r="K4407">
        <v>1.1021080000000001</v>
      </c>
      <c r="L4407">
        <v>17.211179999999999</v>
      </c>
      <c r="M4407">
        <v>0.99183699999999997</v>
      </c>
      <c r="N4407">
        <v>0</v>
      </c>
      <c r="O4407">
        <v>-0.1267102</v>
      </c>
      <c r="P4407">
        <v>0.99247739999999995</v>
      </c>
      <c r="Q4407">
        <v>0.10070949999999999</v>
      </c>
      <c r="R4407">
        <v>-6.9617090000000006E-2</v>
      </c>
      <c r="S4407">
        <v>2.9476930000000001</v>
      </c>
      <c r="T4407">
        <v>-0.16846849999999999</v>
      </c>
      <c r="U4407">
        <v>-1.352112</v>
      </c>
      <c r="V4407">
        <v>-5.5905530000000002E-2</v>
      </c>
      <c r="W4407">
        <v>0.1152773</v>
      </c>
      <c r="X4407">
        <v>0.9917589</v>
      </c>
      <c r="Y4407">
        <v>0.29815809999999998</v>
      </c>
      <c r="Z4407">
        <v>-1.2768499999999999E-3</v>
      </c>
      <c r="AA4407">
        <v>0.95451560000000002</v>
      </c>
      <c r="AB4407">
        <v>29</v>
      </c>
      <c r="AC4407">
        <v>19.994800000000001</v>
      </c>
      <c r="AD4407">
        <v>-1.1521079999999999</v>
      </c>
      <c r="AE4407">
        <v>-9.2239970000000007</v>
      </c>
      <c r="AF4407">
        <v>6.5977693650688298</v>
      </c>
      <c r="AG4407">
        <v>-1.1521079999999999</v>
      </c>
      <c r="AH4407">
        <v>20.945160365276902</v>
      </c>
      <c r="AI4407">
        <v>93.003243742340302</v>
      </c>
      <c r="AJ4407">
        <v>72.515463552409599</v>
      </c>
      <c r="AK4407">
        <v>21.989944432978199</v>
      </c>
      <c r="AL4407">
        <v>83.380380458770802</v>
      </c>
      <c r="AM4407">
        <v>93.226353311954298</v>
      </c>
      <c r="AN4407">
        <v>0.99999999995454003</v>
      </c>
    </row>
    <row r="4408" spans="1:40" x14ac:dyDescent="0.3">
      <c r="A4408" t="str">
        <f>"20200111150116533"</f>
        <v>20200111150116533</v>
      </c>
      <c r="B4408" t="str">
        <f>"1578726076531994"</f>
        <v>1578726076531994</v>
      </c>
      <c r="C4408" t="s">
        <v>40</v>
      </c>
      <c r="D4408">
        <v>4.6477050000000002</v>
      </c>
      <c r="E4408">
        <v>0.64191069999999995</v>
      </c>
      <c r="F4408" t="s">
        <v>43</v>
      </c>
      <c r="G4408">
        <v>-308.23660000000001</v>
      </c>
      <c r="H4408">
        <v>-0.05</v>
      </c>
      <c r="I4408">
        <v>7.9087829999999997</v>
      </c>
      <c r="J4408">
        <v>-328.245</v>
      </c>
      <c r="K4408">
        <v>1.102114</v>
      </c>
      <c r="L4408">
        <v>17.19031</v>
      </c>
      <c r="M4408">
        <v>0.99159509999999995</v>
      </c>
      <c r="N4408">
        <v>0</v>
      </c>
      <c r="O4408">
        <v>-0.12858989999999901</v>
      </c>
      <c r="P4408">
        <v>0.99230689999999999</v>
      </c>
      <c r="Q4408">
        <v>0.1007117</v>
      </c>
      <c r="R4408">
        <v>-7.2001999999999997E-2</v>
      </c>
      <c r="S4408">
        <v>2.944458</v>
      </c>
      <c r="T4408">
        <v>-0.16830300000000001</v>
      </c>
      <c r="U4408">
        <v>-1.3589169999999999</v>
      </c>
      <c r="V4408">
        <v>-5.5401409999999998E-2</v>
      </c>
      <c r="W4408">
        <v>0.1152754</v>
      </c>
      <c r="X4408">
        <v>0.99178739999999999</v>
      </c>
      <c r="Y4408">
        <v>0.29856899999999997</v>
      </c>
      <c r="Z4408">
        <v>-1.187549E-3</v>
      </c>
      <c r="AA4408">
        <v>0.95438730000000005</v>
      </c>
      <c r="AB4408">
        <v>29</v>
      </c>
      <c r="AC4408">
        <v>20.008399999999899</v>
      </c>
      <c r="AD4408">
        <v>-1.1521139999999901</v>
      </c>
      <c r="AE4408">
        <v>-9.2815270000000005</v>
      </c>
      <c r="AF4408">
        <v>6.6132700039991201</v>
      </c>
      <c r="AG4408">
        <v>-1.1521139999999901</v>
      </c>
      <c r="AH4408">
        <v>20.978645482514001</v>
      </c>
      <c r="AI4408">
        <v>92.998271903818605</v>
      </c>
      <c r="AJ4408">
        <v>72.503158720251704</v>
      </c>
      <c r="AK4408">
        <v>22.0264902582276</v>
      </c>
      <c r="AL4408">
        <v>83.380489988071602</v>
      </c>
      <c r="AM4408">
        <v>93.197229086518504</v>
      </c>
      <c r="AN4408">
        <v>0.99999999043695398</v>
      </c>
    </row>
    <row r="4409" spans="1:40" x14ac:dyDescent="0.3">
      <c r="A4409" t="str">
        <f>"20200111150116545"</f>
        <v>20200111150116545</v>
      </c>
      <c r="B4409" t="str">
        <f>"1578726076541753"</f>
        <v>1578726076541753</v>
      </c>
      <c r="C4409" t="s">
        <v>40</v>
      </c>
      <c r="D4409">
        <v>4.6351550000000001</v>
      </c>
      <c r="E4409">
        <v>0.64187150000000004</v>
      </c>
      <c r="F4409" t="s">
        <v>43</v>
      </c>
      <c r="G4409">
        <v>-308.09519999999998</v>
      </c>
      <c r="H4409">
        <v>-0.05</v>
      </c>
      <c r="I4409">
        <v>7.8383479999999999</v>
      </c>
      <c r="J4409">
        <v>-328.10129999999998</v>
      </c>
      <c r="K4409">
        <v>1.1021190000000001</v>
      </c>
      <c r="L4409">
        <v>17.16977</v>
      </c>
      <c r="M4409">
        <v>0.99135600000000001</v>
      </c>
      <c r="N4409">
        <v>0</v>
      </c>
      <c r="O4409">
        <v>-0.13042089999999901</v>
      </c>
      <c r="P4409">
        <v>0.99213700000000005</v>
      </c>
      <c r="Q4409">
        <v>0.10077709999999999</v>
      </c>
      <c r="R4409">
        <v>-7.4218709999999993E-2</v>
      </c>
      <c r="S4409">
        <v>2.941284</v>
      </c>
      <c r="T4409">
        <v>-0.16817470000000001</v>
      </c>
      <c r="U4409">
        <v>-1.3651120000000001</v>
      </c>
      <c r="V4409">
        <v>-5.5016049999999997E-2</v>
      </c>
      <c r="W4409">
        <v>0.115337</v>
      </c>
      <c r="X4409">
        <v>0.99180170000000001</v>
      </c>
      <c r="Y4409">
        <v>0.2988558</v>
      </c>
      <c r="Z4409">
        <v>-1.0978419999999999E-3</v>
      </c>
      <c r="AA4409">
        <v>0.95429770000000003</v>
      </c>
      <c r="AB4409">
        <v>29</v>
      </c>
      <c r="AC4409">
        <v>20.0061</v>
      </c>
      <c r="AD4409">
        <v>-1.1521189999999999</v>
      </c>
      <c r="AE4409">
        <v>-9.3314219999999999</v>
      </c>
      <c r="AF4409">
        <v>6.6241808859108504</v>
      </c>
      <c r="AG4409">
        <v>-1.1521189999999999</v>
      </c>
      <c r="AH4409">
        <v>20.9951363983138</v>
      </c>
      <c r="AI4409">
        <v>92.995700760550406</v>
      </c>
      <c r="AJ4409">
        <v>72.488980022682497</v>
      </c>
      <c r="AK4409">
        <v>22.045473525946999</v>
      </c>
      <c r="AL4409">
        <v>83.376936937138893</v>
      </c>
      <c r="AM4409">
        <v>93.174989839910495</v>
      </c>
      <c r="AN4409">
        <v>1.00000000072474</v>
      </c>
    </row>
    <row r="4410" spans="1:40" x14ac:dyDescent="0.3">
      <c r="A4410" t="str">
        <f>"20200111150116557"</f>
        <v>20200111150116557</v>
      </c>
      <c r="B4410" t="str">
        <f>"1578726076552490"</f>
        <v>1578726076552490</v>
      </c>
      <c r="C4410" t="s">
        <v>40</v>
      </c>
      <c r="D4410">
        <v>4.639418</v>
      </c>
      <c r="E4410">
        <v>0.64185939999999997</v>
      </c>
      <c r="F4410" t="s">
        <v>43</v>
      </c>
      <c r="G4410">
        <v>-307.94189999999998</v>
      </c>
      <c r="H4410">
        <v>-0.05</v>
      </c>
      <c r="I4410">
        <v>7.7609409999999999</v>
      </c>
      <c r="J4410">
        <v>-327.94850000000002</v>
      </c>
      <c r="K4410">
        <v>1.1021190000000001</v>
      </c>
      <c r="L4410">
        <v>17.147639999999999</v>
      </c>
      <c r="M4410">
        <v>0.99109760000000002</v>
      </c>
      <c r="N4410">
        <v>0</v>
      </c>
      <c r="O4410">
        <v>-0.1323693</v>
      </c>
      <c r="P4410">
        <v>0.99194629999999995</v>
      </c>
      <c r="Q4410">
        <v>0.1008452</v>
      </c>
      <c r="R4410">
        <v>-7.6634179999999996E-2</v>
      </c>
      <c r="S4410">
        <v>2.9382929999999998</v>
      </c>
      <c r="T4410">
        <v>-0.16792509999999999</v>
      </c>
      <c r="U4410">
        <v>-1.3713679999999999</v>
      </c>
      <c r="V4410">
        <v>-5.4548859999999998E-2</v>
      </c>
      <c r="W4410">
        <v>0.1154004</v>
      </c>
      <c r="X4410">
        <v>0.99182009999999998</v>
      </c>
      <c r="Y4410">
        <v>0.2990237</v>
      </c>
      <c r="Z4410">
        <v>-9.9796759999999998E-4</v>
      </c>
      <c r="AA4410">
        <v>0.95424520000000002</v>
      </c>
      <c r="AB4410">
        <v>29</v>
      </c>
      <c r="AC4410">
        <v>20.006599999999999</v>
      </c>
      <c r="AD4410">
        <v>-1.1521189999999999</v>
      </c>
      <c r="AE4410">
        <v>-9.3866989999999895</v>
      </c>
      <c r="AF4410">
        <v>6.6375133822199004</v>
      </c>
      <c r="AG4410">
        <v>-1.1521189999999999</v>
      </c>
      <c r="AH4410">
        <v>21.0160321079683</v>
      </c>
      <c r="AI4410">
        <v>92.992452632191899</v>
      </c>
      <c r="AJ4410">
        <v>72.472270737078205</v>
      </c>
      <c r="AK4410">
        <v>22.069380771840098</v>
      </c>
      <c r="AL4410">
        <v>83.373279765683804</v>
      </c>
      <c r="AM4410">
        <v>93.148024366110704</v>
      </c>
      <c r="AN4410">
        <v>0.99999997060573398</v>
      </c>
    </row>
    <row r="4411" spans="1:40" x14ac:dyDescent="0.3">
      <c r="A4411" t="str">
        <f>"20200111150116569"</f>
        <v>20200111150116569</v>
      </c>
      <c r="B4411" t="str">
        <f>"1578726076562248"</f>
        <v>1578726076562248</v>
      </c>
      <c r="C4411" t="s">
        <v>40</v>
      </c>
      <c r="D4411">
        <v>4.6610519999999998</v>
      </c>
      <c r="E4411">
        <v>0.64187079999999996</v>
      </c>
      <c r="F4411" t="s">
        <v>43</v>
      </c>
      <c r="G4411">
        <v>-307.80829999999997</v>
      </c>
      <c r="H4411">
        <v>-0.05</v>
      </c>
      <c r="I4411">
        <v>7.6890559999999999</v>
      </c>
      <c r="J4411">
        <v>-327.79910000000001</v>
      </c>
      <c r="K4411">
        <v>1.1021209999999999</v>
      </c>
      <c r="L4411">
        <v>17.125610000000002</v>
      </c>
      <c r="M4411">
        <v>0.9908401</v>
      </c>
      <c r="N4411">
        <v>0</v>
      </c>
      <c r="O4411">
        <v>-0.13428399999999999</v>
      </c>
      <c r="P4411">
        <v>0.99168860000000003</v>
      </c>
      <c r="Q4411">
        <v>0.1014972</v>
      </c>
      <c r="R4411">
        <v>-7.9071039999999995E-2</v>
      </c>
      <c r="S4411">
        <v>2.9349370000000001</v>
      </c>
      <c r="T4411">
        <v>-0.16789289999999901</v>
      </c>
      <c r="U4411">
        <v>-1.3783570000000001</v>
      </c>
      <c r="V4411">
        <v>-5.4013180000000001E-2</v>
      </c>
      <c r="W4411">
        <v>0.1160465</v>
      </c>
      <c r="X4411">
        <v>0.99177409999999999</v>
      </c>
      <c r="Y4411">
        <v>0.29946349999999999</v>
      </c>
      <c r="Z4411">
        <v>-9.0876780000000005E-4</v>
      </c>
      <c r="AA4411">
        <v>0.95410729999999999</v>
      </c>
      <c r="AB4411">
        <v>29</v>
      </c>
      <c r="AC4411">
        <v>19.9908</v>
      </c>
      <c r="AD4411">
        <v>-1.152121</v>
      </c>
      <c r="AE4411">
        <v>-9.4365539999999992</v>
      </c>
      <c r="AF4411">
        <v>6.64829205811108</v>
      </c>
      <c r="AG4411">
        <v>-1.152121</v>
      </c>
      <c r="AH4411">
        <v>21.019915809764299</v>
      </c>
      <c r="AI4411">
        <v>92.991515972418696</v>
      </c>
      <c r="AJ4411">
        <v>72.448598495549007</v>
      </c>
      <c r="AK4411">
        <v>22.076322853640399</v>
      </c>
      <c r="AL4411">
        <v>83.336011028494397</v>
      </c>
      <c r="AM4411">
        <v>93.117315739586203</v>
      </c>
      <c r="AN4411">
        <v>1.0000000396033799</v>
      </c>
    </row>
    <row r="4412" spans="1:40" x14ac:dyDescent="0.3">
      <c r="A4412" t="str">
        <f>"20200111150116580"</f>
        <v>20200111150116580</v>
      </c>
      <c r="B4412" t="str">
        <f>"1578726076572008"</f>
        <v>1578726076572008</v>
      </c>
      <c r="C4412" t="s">
        <v>40</v>
      </c>
      <c r="D4412">
        <v>4.6505029999999996</v>
      </c>
      <c r="E4412">
        <v>0.64185429999999999</v>
      </c>
      <c r="F4412" t="s">
        <v>43</v>
      </c>
      <c r="G4412">
        <v>-307.52359999999999</v>
      </c>
      <c r="H4412">
        <v>-0.05</v>
      </c>
      <c r="I4412">
        <v>7.544327</v>
      </c>
      <c r="J4412">
        <v>-327.65260000000001</v>
      </c>
      <c r="K4412">
        <v>1.1021209999999999</v>
      </c>
      <c r="L4412">
        <v>17.103909999999999</v>
      </c>
      <c r="M4412">
        <v>0.99058369999999996</v>
      </c>
      <c r="N4412">
        <v>0</v>
      </c>
      <c r="O4412">
        <v>-0.13616300000000001</v>
      </c>
      <c r="P4412">
        <v>0.99145479999999997</v>
      </c>
      <c r="Q4412">
        <v>0.1019055</v>
      </c>
      <c r="R4412">
        <v>-8.1444030000000001E-2</v>
      </c>
      <c r="S4412">
        <v>2.9317319999999998</v>
      </c>
      <c r="T4412">
        <v>-0.16659099999999999</v>
      </c>
      <c r="U4412">
        <v>-1.3854059999999999</v>
      </c>
      <c r="V4412">
        <v>-5.3511240000000002E-2</v>
      </c>
      <c r="W4412">
        <v>0.116449</v>
      </c>
      <c r="X4412">
        <v>0.99175409999999997</v>
      </c>
      <c r="Y4412">
        <v>0.29993730000000002</v>
      </c>
      <c r="Z4412">
        <v>-8.1612449999999995E-4</v>
      </c>
      <c r="AA4412">
        <v>0.95395859999999999</v>
      </c>
      <c r="AB4412">
        <v>29</v>
      </c>
      <c r="AC4412">
        <v>20.129000000000001</v>
      </c>
      <c r="AD4412">
        <v>-1.152121</v>
      </c>
      <c r="AE4412">
        <v>-9.5595829999999999</v>
      </c>
      <c r="AF4412">
        <v>6.7114862895845597</v>
      </c>
      <c r="AG4412">
        <v>-1.152121</v>
      </c>
      <c r="AH4412">
        <v>21.1866481862108</v>
      </c>
      <c r="AI4412">
        <v>92.967595155757394</v>
      </c>
      <c r="AJ4412">
        <v>72.422889159019903</v>
      </c>
      <c r="AK4412">
        <v>22.254111808387002</v>
      </c>
      <c r="AL4412">
        <v>83.312791851119599</v>
      </c>
      <c r="AM4412">
        <v>93.088465286838101</v>
      </c>
      <c r="AN4412">
        <v>1.0000000086370699</v>
      </c>
    </row>
    <row r="4413" spans="1:40" x14ac:dyDescent="0.3">
      <c r="A4413" t="str">
        <f>"20200111150116592"</f>
        <v>20200111150116592</v>
      </c>
      <c r="B4413" t="str">
        <f>"1578726076581768"</f>
        <v>1578726076581768</v>
      </c>
      <c r="C4413" t="s">
        <v>40</v>
      </c>
      <c r="D4413">
        <v>4.6493019999999996</v>
      </c>
      <c r="E4413">
        <v>0.64184589999999997</v>
      </c>
      <c r="F4413" t="s">
        <v>43</v>
      </c>
      <c r="G4413">
        <v>-307.29629999999997</v>
      </c>
      <c r="H4413">
        <v>-0.05</v>
      </c>
      <c r="I4413">
        <v>7.4281619999999897</v>
      </c>
      <c r="J4413">
        <v>-327.50040000000001</v>
      </c>
      <c r="K4413">
        <v>1.1021190000000001</v>
      </c>
      <c r="L4413">
        <v>17.08081</v>
      </c>
      <c r="M4413">
        <v>0.99031130000000001</v>
      </c>
      <c r="N4413">
        <v>0</v>
      </c>
      <c r="O4413">
        <v>-0.1381319</v>
      </c>
      <c r="P4413">
        <v>0.99117219999999995</v>
      </c>
      <c r="Q4413">
        <v>0.10277749999999999</v>
      </c>
      <c r="R4413">
        <v>-8.375349E-2</v>
      </c>
      <c r="S4413">
        <v>2.9285580000000002</v>
      </c>
      <c r="T4413">
        <v>-0.1657497</v>
      </c>
      <c r="U4413">
        <v>-1.3919979999999901</v>
      </c>
      <c r="V4413">
        <v>-5.3151120000000003E-2</v>
      </c>
      <c r="W4413">
        <v>0.11731279999999999</v>
      </c>
      <c r="X4413">
        <v>0.99167159999999999</v>
      </c>
      <c r="Y4413">
        <v>0.30019770000000001</v>
      </c>
      <c r="Z4413">
        <v>-7.1635799999999995E-4</v>
      </c>
      <c r="AA4413">
        <v>0.95387670000000002</v>
      </c>
      <c r="AB4413">
        <v>29</v>
      </c>
      <c r="AC4413">
        <v>20.2041</v>
      </c>
      <c r="AD4413">
        <v>-1.1521189999999999</v>
      </c>
      <c r="AE4413">
        <v>-9.6526479999999992</v>
      </c>
      <c r="AF4413">
        <v>6.7511098704396604</v>
      </c>
      <c r="AG4413">
        <v>-1.1521189999999999</v>
      </c>
      <c r="AH4413">
        <v>21.2874971469729</v>
      </c>
      <c r="AI4413">
        <v>92.953249865261498</v>
      </c>
      <c r="AJ4413">
        <v>72.404113314447301</v>
      </c>
      <c r="AK4413">
        <v>22.362074980987099</v>
      </c>
      <c r="AL4413">
        <v>83.262957785086897</v>
      </c>
      <c r="AM4413">
        <v>93.067975088888602</v>
      </c>
      <c r="AN4413">
        <v>0.999999948423825</v>
      </c>
    </row>
    <row r="4414" spans="1:40" x14ac:dyDescent="0.3">
      <c r="A4414" t="str">
        <f>"20200111150116608"</f>
        <v>20200111150116608</v>
      </c>
      <c r="B4414" t="str">
        <f>"1578726076602264"</f>
        <v>1578726076602264</v>
      </c>
      <c r="C4414" t="s">
        <v>40</v>
      </c>
      <c r="D4414">
        <v>4.6700489999999997</v>
      </c>
      <c r="E4414">
        <v>0.64187810000000001</v>
      </c>
      <c r="F4414" t="s">
        <v>43</v>
      </c>
      <c r="G4414">
        <v>-306.84809999999999</v>
      </c>
      <c r="H4414">
        <v>-0.05</v>
      </c>
      <c r="I4414">
        <v>7.2069700000000001</v>
      </c>
      <c r="J4414">
        <v>-327.3023</v>
      </c>
      <c r="K4414">
        <v>1.1021099999999999</v>
      </c>
      <c r="L4414">
        <v>17.050419999999999</v>
      </c>
      <c r="M4414">
        <v>0.98994870000000001</v>
      </c>
      <c r="N4414">
        <v>0</v>
      </c>
      <c r="O4414">
        <v>-0.14070750000000001</v>
      </c>
      <c r="P4414">
        <v>0.99082899999999996</v>
      </c>
      <c r="Q4414">
        <v>0.1035707</v>
      </c>
      <c r="R4414">
        <v>-8.6783269999999996E-2</v>
      </c>
      <c r="S4414">
        <v>2.925446</v>
      </c>
      <c r="T4414">
        <v>-0.16320000000000001</v>
      </c>
      <c r="U4414">
        <v>-1.3986510000000001</v>
      </c>
      <c r="V4414">
        <v>-5.2677580000000002E-2</v>
      </c>
      <c r="W4414">
        <v>0.11809459999999999</v>
      </c>
      <c r="X4414">
        <v>0.99160409999999999</v>
      </c>
      <c r="Y4414">
        <v>0.29988710000000002</v>
      </c>
      <c r="Z4414">
        <v>-5.6468000000000002E-4</v>
      </c>
      <c r="AA4414">
        <v>0.95397449999999995</v>
      </c>
      <c r="AB4414">
        <v>29</v>
      </c>
      <c r="AC4414">
        <v>20.4542</v>
      </c>
      <c r="AD4414">
        <v>-1.15211</v>
      </c>
      <c r="AE4414">
        <v>-9.8434500000000007</v>
      </c>
      <c r="AF4414">
        <v>6.8495034476273302</v>
      </c>
      <c r="AG4414">
        <v>-1.15211</v>
      </c>
      <c r="AH4414">
        <v>21.580259870313501</v>
      </c>
      <c r="AI4414">
        <v>92.913016710851593</v>
      </c>
      <c r="AJ4414">
        <v>72.3907330805866</v>
      </c>
      <c r="AK4414">
        <v>22.6704801669798</v>
      </c>
      <c r="AL4414">
        <v>83.217850580483201</v>
      </c>
      <c r="AM4414">
        <v>93.040899655716998</v>
      </c>
      <c r="AN4414">
        <v>0.99999997656031203</v>
      </c>
    </row>
    <row r="4415" spans="1:40" x14ac:dyDescent="0.3">
      <c r="A4415" t="str">
        <f>"20200111150116618"</f>
        <v>20200111150116618</v>
      </c>
      <c r="B4415" t="str">
        <f>"1578726076612025"</f>
        <v>1578726076612025</v>
      </c>
      <c r="C4415" t="s">
        <v>40</v>
      </c>
      <c r="D4415">
        <v>4.6459330000000003</v>
      </c>
      <c r="E4415">
        <v>0.64189719999999995</v>
      </c>
      <c r="F4415" t="s">
        <v>43</v>
      </c>
      <c r="G4415">
        <v>-306.40859999999998</v>
      </c>
      <c r="H4415">
        <v>-0.05</v>
      </c>
      <c r="I4415">
        <v>6.982361</v>
      </c>
      <c r="J4415">
        <v>-327.16090000000003</v>
      </c>
      <c r="K4415">
        <v>1.102101</v>
      </c>
      <c r="L4415">
        <v>17.028469999999999</v>
      </c>
      <c r="M4415">
        <v>0.98968420000000001</v>
      </c>
      <c r="N4415">
        <v>0</v>
      </c>
      <c r="O4415">
        <v>-0.14255609999999999</v>
      </c>
      <c r="P4415">
        <v>0.99060559999999998</v>
      </c>
      <c r="Q4415">
        <v>0.1037931</v>
      </c>
      <c r="R4415">
        <v>-8.9036989999999996E-2</v>
      </c>
      <c r="S4415">
        <v>2.9213559999999998</v>
      </c>
      <c r="T4415">
        <v>-0.16108819999999999</v>
      </c>
      <c r="U4415">
        <v>-1.407715</v>
      </c>
      <c r="V4415">
        <v>-5.2264869999999998E-2</v>
      </c>
      <c r="W4415">
        <v>0.1183081</v>
      </c>
      <c r="X4415">
        <v>0.9916005</v>
      </c>
      <c r="Y4415">
        <v>0.30103560000000001</v>
      </c>
      <c r="Z4415">
        <v>-4.9382629999999896E-4</v>
      </c>
      <c r="AA4415">
        <v>0.95361269999999998</v>
      </c>
      <c r="AB4415">
        <v>29</v>
      </c>
      <c r="AC4415">
        <v>20.752300000000002</v>
      </c>
      <c r="AD4415">
        <v>-1.152101</v>
      </c>
      <c r="AE4415">
        <v>-10.046109</v>
      </c>
      <c r="AF4415">
        <v>6.9674198589719003</v>
      </c>
      <c r="AG4415">
        <v>-1.152101</v>
      </c>
      <c r="AH4415">
        <v>21.917859345948401</v>
      </c>
      <c r="AI4415">
        <v>92.867795134741101</v>
      </c>
      <c r="AJ4415">
        <v>72.365174930201405</v>
      </c>
      <c r="AK4415">
        <v>23.0274799861856</v>
      </c>
      <c r="AL4415">
        <v>83.205531644512803</v>
      </c>
      <c r="AM4415">
        <v>93.0171304189751</v>
      </c>
      <c r="AN4415">
        <v>0.99999998738098805</v>
      </c>
    </row>
    <row r="4416" spans="1:40" x14ac:dyDescent="0.3">
      <c r="A4416" t="str">
        <f>"20200111150116630"</f>
        <v>20200111150116630</v>
      </c>
      <c r="B4416" t="str">
        <f>"1578726076621785"</f>
        <v>1578726076621785</v>
      </c>
      <c r="C4416" t="s">
        <v>40</v>
      </c>
      <c r="D4416">
        <v>4.6969269999999996</v>
      </c>
      <c r="E4416">
        <v>0.6419011</v>
      </c>
      <c r="F4416" t="s">
        <v>43</v>
      </c>
      <c r="G4416">
        <v>-306.32389999999998</v>
      </c>
      <c r="H4416">
        <v>-0.05</v>
      </c>
      <c r="I4416">
        <v>6.9295649999999904</v>
      </c>
      <c r="J4416">
        <v>-327.02249999999998</v>
      </c>
      <c r="K4416">
        <v>1.1020859999999999</v>
      </c>
      <c r="L4416">
        <v>17.00656</v>
      </c>
      <c r="M4416">
        <v>0.98941889999999999</v>
      </c>
      <c r="N4416">
        <v>0</v>
      </c>
      <c r="O4416">
        <v>-0.1443866</v>
      </c>
      <c r="P4416">
        <v>0.99040989999999995</v>
      </c>
      <c r="Q4416">
        <v>0.1036808</v>
      </c>
      <c r="R4416">
        <v>-9.1317780000000001E-2</v>
      </c>
      <c r="S4416">
        <v>2.918304</v>
      </c>
      <c r="T4416">
        <v>-0.16135679999999999</v>
      </c>
      <c r="U4416">
        <v>-1.414398</v>
      </c>
      <c r="V4416">
        <v>-5.1812660000000003E-2</v>
      </c>
      <c r="W4416">
        <v>0.118186</v>
      </c>
      <c r="X4416">
        <v>0.99163880000000004</v>
      </c>
      <c r="Y4416">
        <v>0.3014328</v>
      </c>
      <c r="Z4416">
        <v>-4.1205019999999997E-4</v>
      </c>
      <c r="AA4416">
        <v>0.95348730000000004</v>
      </c>
      <c r="AB4416">
        <v>29</v>
      </c>
      <c r="AC4416">
        <v>20.698599999999999</v>
      </c>
      <c r="AD4416">
        <v>-1.1520859999999999</v>
      </c>
      <c r="AE4416">
        <v>-10.076995</v>
      </c>
      <c r="AF4416">
        <v>6.9650331490201802</v>
      </c>
      <c r="AG4416">
        <v>-1.1520859999999999</v>
      </c>
      <c r="AH4416">
        <v>21.881990732155501</v>
      </c>
      <c r="AI4416">
        <v>92.872109507649199</v>
      </c>
      <c r="AJ4416">
        <v>72.343737875963697</v>
      </c>
      <c r="AK4416">
        <v>22.9926185398812</v>
      </c>
      <c r="AL4416">
        <v>83.212576946019098</v>
      </c>
      <c r="AM4416">
        <v>92.990957673429605</v>
      </c>
      <c r="AN4416">
        <v>0.99999999599885703</v>
      </c>
    </row>
    <row r="4417" spans="1:40" x14ac:dyDescent="0.3">
      <c r="A4417" t="str">
        <f>"20200111150116642"</f>
        <v>20200111150116642</v>
      </c>
      <c r="B4417" t="str">
        <f>"1578726076632522"</f>
        <v>1578726076632522</v>
      </c>
      <c r="C4417" t="s">
        <v>40</v>
      </c>
      <c r="D4417">
        <v>4.8984990000000002</v>
      </c>
      <c r="E4417">
        <v>0.6419011</v>
      </c>
      <c r="F4417" t="s">
        <v>43</v>
      </c>
      <c r="G4417">
        <v>-306.50029999999998</v>
      </c>
      <c r="H4417">
        <v>-0.05</v>
      </c>
      <c r="I4417">
        <v>7.0100249999999997</v>
      </c>
      <c r="J4417">
        <v>-326.87939999999998</v>
      </c>
      <c r="K4417">
        <v>1.102068</v>
      </c>
      <c r="L4417">
        <v>16.983799999999999</v>
      </c>
      <c r="M4417">
        <v>0.98914020000000002</v>
      </c>
      <c r="N4417">
        <v>0</v>
      </c>
      <c r="O4417">
        <v>-0.14628569999999999</v>
      </c>
      <c r="P4417">
        <v>0.99020129999999995</v>
      </c>
      <c r="Q4417">
        <v>0.1035191</v>
      </c>
      <c r="R4417">
        <v>-9.3730450000000007E-2</v>
      </c>
      <c r="S4417">
        <v>2.9152529999999999</v>
      </c>
      <c r="T4417">
        <v>-0.1636579</v>
      </c>
      <c r="U4417">
        <v>-1.4200440000000001</v>
      </c>
      <c r="V4417">
        <v>-5.1298299999999998E-2</v>
      </c>
      <c r="W4417">
        <v>0.1180122</v>
      </c>
      <c r="X4417">
        <v>0.99168619999999996</v>
      </c>
      <c r="Y4417">
        <v>0.30148429999999998</v>
      </c>
      <c r="Z4417">
        <v>-3.2136779999999998E-4</v>
      </c>
      <c r="AA4417">
        <v>0.95347110000000002</v>
      </c>
      <c r="AB4417">
        <v>29</v>
      </c>
      <c r="AC4417">
        <v>20.379099999999902</v>
      </c>
      <c r="AD4417">
        <v>-1.1520680000000001</v>
      </c>
      <c r="AE4417">
        <v>-9.9737749999999998</v>
      </c>
      <c r="AF4417">
        <v>6.86728103284202</v>
      </c>
      <c r="AG4417">
        <v>-1.1520680000000001</v>
      </c>
      <c r="AH4417">
        <v>21.5633964259249</v>
      </c>
      <c r="AI4417">
        <v>92.914283580416594</v>
      </c>
      <c r="AJ4417">
        <v>72.334916735202398</v>
      </c>
      <c r="AK4417">
        <v>22.659807476725099</v>
      </c>
      <c r="AL4417">
        <v>83.222604866798605</v>
      </c>
      <c r="AM4417">
        <v>92.961177351547505</v>
      </c>
      <c r="AN4417">
        <v>0.99999995710108303</v>
      </c>
    </row>
    <row r="4418" spans="1:40" x14ac:dyDescent="0.3">
      <c r="A4418" t="str">
        <f>"20200111150116653"</f>
        <v>20200111150116653</v>
      </c>
      <c r="B4418" t="str">
        <f>"1578726076642281"</f>
        <v>1578726076642281</v>
      </c>
      <c r="C4418" t="s">
        <v>40</v>
      </c>
      <c r="D4418">
        <v>4.6724249999999996</v>
      </c>
      <c r="E4418">
        <v>0.64188990000000001</v>
      </c>
      <c r="F4418" t="s">
        <v>43</v>
      </c>
      <c r="G4418">
        <v>-306.642</v>
      </c>
      <c r="H4418">
        <v>-0.05</v>
      </c>
      <c r="I4418">
        <v>7.0704039999999901</v>
      </c>
      <c r="J4418">
        <v>-326.73610000000002</v>
      </c>
      <c r="K4418">
        <v>1.102041</v>
      </c>
      <c r="L4418">
        <v>16.96048</v>
      </c>
      <c r="M4418">
        <v>0.98885210000000001</v>
      </c>
      <c r="N4418">
        <v>0</v>
      </c>
      <c r="O4418">
        <v>-0.1482212</v>
      </c>
      <c r="P4418">
        <v>0.98997179999999996</v>
      </c>
      <c r="Q4418">
        <v>0.10341839999999999</v>
      </c>
      <c r="R4418">
        <v>-9.6230679999999999E-2</v>
      </c>
      <c r="S4418">
        <v>2.9119869999999999</v>
      </c>
      <c r="T4418">
        <v>-0.165773</v>
      </c>
      <c r="U4418">
        <v>-1.426453</v>
      </c>
      <c r="V4418">
        <v>-5.0729679999999999E-2</v>
      </c>
      <c r="W4418">
        <v>0.11789429999999999</v>
      </c>
      <c r="X4418">
        <v>0.99172950000000004</v>
      </c>
      <c r="Y4418">
        <v>0.3017302</v>
      </c>
      <c r="Z4418">
        <v>-2.310271E-4</v>
      </c>
      <c r="AA4418">
        <v>0.9533933</v>
      </c>
      <c r="AB4418">
        <v>29</v>
      </c>
      <c r="AC4418">
        <v>20.094100000000001</v>
      </c>
      <c r="AD4418">
        <v>-1.1520410000000001</v>
      </c>
      <c r="AE4418">
        <v>-9.8900759999999899</v>
      </c>
      <c r="AF4418">
        <v>6.7841868901820197</v>
      </c>
      <c r="AG4418">
        <v>-1.1520410000000001</v>
      </c>
      <c r="AH4418">
        <v>21.281855362360101</v>
      </c>
      <c r="AI4418">
        <v>92.952437127743806</v>
      </c>
      <c r="AJ4418">
        <v>72.318863690624994</v>
      </c>
      <c r="AK4418">
        <v>22.366710931449301</v>
      </c>
      <c r="AL4418">
        <v>83.229407709393399</v>
      </c>
      <c r="AM4418">
        <v>92.928283767475406</v>
      </c>
      <c r="AN4418">
        <v>0.99999998378782096</v>
      </c>
    </row>
    <row r="4419" spans="1:40" x14ac:dyDescent="0.3">
      <c r="A4419" t="str">
        <f>"20200111150116664"</f>
        <v>20200111150116664</v>
      </c>
      <c r="B4419" t="str">
        <f>"1578726076652040"</f>
        <v>1578726076652040</v>
      </c>
      <c r="C4419" t="s">
        <v>40</v>
      </c>
      <c r="D4419">
        <v>4.6890369999999999</v>
      </c>
      <c r="E4419">
        <v>0.64190179999999997</v>
      </c>
      <c r="F4419" t="s">
        <v>43</v>
      </c>
      <c r="G4419">
        <v>-306.63560000000001</v>
      </c>
      <c r="H4419">
        <v>-0.05</v>
      </c>
      <c r="I4419">
        <v>7.0544890000000002</v>
      </c>
      <c r="J4419">
        <v>-326.59679999999997</v>
      </c>
      <c r="K4419">
        <v>1.102014</v>
      </c>
      <c r="L4419">
        <v>16.93768</v>
      </c>
      <c r="M4419">
        <v>0.98856679999999997</v>
      </c>
      <c r="N4419">
        <v>0</v>
      </c>
      <c r="O4419">
        <v>-0.15011379999999999</v>
      </c>
      <c r="P4419">
        <v>0.98970630000000004</v>
      </c>
      <c r="Q4419">
        <v>0.1036536</v>
      </c>
      <c r="R4419">
        <v>-9.8679840000000005E-2</v>
      </c>
      <c r="S4419">
        <v>2.9084469999999998</v>
      </c>
      <c r="T4419">
        <v>-0.16669489999999901</v>
      </c>
      <c r="U4419">
        <v>-1.4333499999999999</v>
      </c>
      <c r="V4419">
        <v>-5.0161839999999999E-2</v>
      </c>
      <c r="W4419">
        <v>0.1181112</v>
      </c>
      <c r="X4419">
        <v>0.99173259999999996</v>
      </c>
      <c r="Y4419">
        <v>0.3021837</v>
      </c>
      <c r="Z4419">
        <v>-1.4518340000000001E-4</v>
      </c>
      <c r="AA4419">
        <v>0.95324969999999998</v>
      </c>
      <c r="AB4419">
        <v>29</v>
      </c>
      <c r="AC4419">
        <v>19.961199999999899</v>
      </c>
      <c r="AD4419">
        <v>-1.1520139999999901</v>
      </c>
      <c r="AE4419">
        <v>-9.8831910000000001</v>
      </c>
      <c r="AF4419">
        <v>6.7563523755902297</v>
      </c>
      <c r="AG4419">
        <v>-1.1520139999999901</v>
      </c>
      <c r="AH4419">
        <v>21.162112659870601</v>
      </c>
      <c r="AI4419">
        <v>92.968624644369001</v>
      </c>
      <c r="AJ4419">
        <v>72.293462289187104</v>
      </c>
      <c r="AK4419">
        <v>22.244335141972499</v>
      </c>
      <c r="AL4419">
        <v>83.216892980235301</v>
      </c>
      <c r="AM4419">
        <v>92.895553237374799</v>
      </c>
      <c r="AN4419">
        <v>1.0000000078301901</v>
      </c>
    </row>
    <row r="4420" spans="1:40" x14ac:dyDescent="0.3">
      <c r="A4420" t="str">
        <f>"20200111150116676"</f>
        <v>20200111150116676</v>
      </c>
      <c r="B4420" t="str">
        <f>"1578726076672536"</f>
        <v>1578726076672536</v>
      </c>
      <c r="C4420" t="s">
        <v>40</v>
      </c>
      <c r="D4420">
        <v>4.6436570000000001</v>
      </c>
      <c r="E4420">
        <v>0.64208809999999905</v>
      </c>
      <c r="F4420" t="s">
        <v>43</v>
      </c>
      <c r="G4420">
        <v>-306.46839999999997</v>
      </c>
      <c r="H4420">
        <v>-0.05</v>
      </c>
      <c r="I4420">
        <v>6.9570009999999902</v>
      </c>
      <c r="J4420">
        <v>-326.44260000000003</v>
      </c>
      <c r="K4420">
        <v>1.1019810000000001</v>
      </c>
      <c r="L4420">
        <v>16.912019999999998</v>
      </c>
      <c r="M4420">
        <v>0.98824250000000002</v>
      </c>
      <c r="N4420">
        <v>0</v>
      </c>
      <c r="O4420">
        <v>-0.15223689999999901</v>
      </c>
      <c r="P4420">
        <v>0.98944719999999997</v>
      </c>
      <c r="Q4420">
        <v>0.10360179999999999</v>
      </c>
      <c r="R4420">
        <v>-0.10129639999999999</v>
      </c>
      <c r="S4420">
        <v>2.9049680000000002</v>
      </c>
      <c r="T4420">
        <v>-0.1662604</v>
      </c>
      <c r="U4420">
        <v>-1.4404300000000001</v>
      </c>
      <c r="V4420">
        <v>-4.9661469999999999E-2</v>
      </c>
      <c r="W4420">
        <v>0.1180378</v>
      </c>
      <c r="X4420">
        <v>0.9917665</v>
      </c>
      <c r="Y4420">
        <v>0.30245889999999997</v>
      </c>
      <c r="Z4420" s="1">
        <v>-4.0915789999999998E-5</v>
      </c>
      <c r="AA4420">
        <v>0.95316239999999997</v>
      </c>
      <c r="AB4420">
        <v>29</v>
      </c>
      <c r="AC4420">
        <v>19.9742</v>
      </c>
      <c r="AD4420">
        <v>-1.1519809999999999</v>
      </c>
      <c r="AE4420">
        <v>-9.9550190000000001</v>
      </c>
      <c r="AF4420">
        <v>6.7797806883408702</v>
      </c>
      <c r="AG4420">
        <v>-1.1519809999999999</v>
      </c>
      <c r="AH4420">
        <v>21.200521035968599</v>
      </c>
      <c r="AI4420">
        <v>92.962719702988807</v>
      </c>
      <c r="AJ4420">
        <v>72.266081529095203</v>
      </c>
      <c r="AK4420">
        <v>22.287991802827602</v>
      </c>
      <c r="AL4420">
        <v>83.221127975636094</v>
      </c>
      <c r="AM4420">
        <v>92.866620364741493</v>
      </c>
      <c r="AN4420">
        <v>0.99999998717682503</v>
      </c>
    </row>
    <row r="4421" spans="1:40" x14ac:dyDescent="0.3">
      <c r="A4421" t="str">
        <f>"20200111150116688"</f>
        <v>20200111150116688</v>
      </c>
      <c r="B4421" t="str">
        <f>"1578726076682297"</f>
        <v>1578726076682297</v>
      </c>
      <c r="C4421" t="s">
        <v>40</v>
      </c>
      <c r="D4421">
        <v>4.5882560000000003</v>
      </c>
      <c r="E4421">
        <v>0.64208809999999905</v>
      </c>
      <c r="F4421" t="s">
        <v>43</v>
      </c>
      <c r="G4421">
        <v>-306.35410000000002</v>
      </c>
      <c r="H4421">
        <v>-0.05</v>
      </c>
      <c r="I4421">
        <v>6.8725589999999999</v>
      </c>
      <c r="J4421">
        <v>-326.29570000000001</v>
      </c>
      <c r="K4421">
        <v>1.1019460000000001</v>
      </c>
      <c r="L4421">
        <v>16.88721</v>
      </c>
      <c r="M4421">
        <v>0.98792489999999999</v>
      </c>
      <c r="N4421">
        <v>0</v>
      </c>
      <c r="O4421">
        <v>-0.15428649999999999</v>
      </c>
      <c r="P4421">
        <v>0.98921689999999995</v>
      </c>
      <c r="Q4421">
        <v>0.1034694</v>
      </c>
      <c r="R4421">
        <v>-0.10365439999999999</v>
      </c>
      <c r="S4421">
        <v>2.9010310000000001</v>
      </c>
      <c r="T4421">
        <v>-0.16636110000000001</v>
      </c>
      <c r="U4421">
        <v>-1.449829</v>
      </c>
      <c r="V4421">
        <v>-4.9348839999999998E-2</v>
      </c>
      <c r="W4421">
        <v>0.117883</v>
      </c>
      <c r="X4421">
        <v>0.99180049999999997</v>
      </c>
      <c r="Y4421">
        <v>0.30347170000000001</v>
      </c>
      <c r="Z4421" s="1">
        <v>3.9106229999999997E-5</v>
      </c>
      <c r="AA4421">
        <v>0.95284040000000003</v>
      </c>
      <c r="AB4421">
        <v>29</v>
      </c>
      <c r="AC4421">
        <v>19.941599999999902</v>
      </c>
      <c r="AD4421">
        <v>-1.1519459999999999</v>
      </c>
      <c r="AE4421">
        <v>-10.014650999999899</v>
      </c>
      <c r="AF4421">
        <v>6.7995657784874597</v>
      </c>
      <c r="AG4421">
        <v>-1.1519459999999999</v>
      </c>
      <c r="AH4421">
        <v>21.191582343279201</v>
      </c>
      <c r="AI4421">
        <v>92.962958994789005</v>
      </c>
      <c r="AJ4421">
        <v>72.210557196222993</v>
      </c>
      <c r="AK4421">
        <v>22.2855162959012</v>
      </c>
      <c r="AL4421">
        <v>83.230059609464007</v>
      </c>
      <c r="AM4421">
        <v>92.848506676508407</v>
      </c>
      <c r="AN4421">
        <v>0.99999997074929703</v>
      </c>
    </row>
    <row r="4422" spans="1:40" x14ac:dyDescent="0.3">
      <c r="A4422" t="str">
        <f>"20200111150116699"</f>
        <v>20200111150116699</v>
      </c>
      <c r="B4422" t="str">
        <f>"1578726076692056"</f>
        <v>1578726076692056</v>
      </c>
      <c r="C4422" t="s">
        <v>40</v>
      </c>
      <c r="D4422">
        <v>4.6560739999999896</v>
      </c>
      <c r="E4422">
        <v>0.66082439999999998</v>
      </c>
      <c r="F4422" t="s">
        <v>43</v>
      </c>
      <c r="G4422">
        <v>-306.32170000000002</v>
      </c>
      <c r="H4422">
        <v>-0.05</v>
      </c>
      <c r="I4422">
        <v>6.8470760000000004</v>
      </c>
      <c r="J4422">
        <v>-326.1395</v>
      </c>
      <c r="K4422">
        <v>1.1019060000000001</v>
      </c>
      <c r="L4422">
        <v>16.860600000000002</v>
      </c>
      <c r="M4422">
        <v>0.98757969999999895</v>
      </c>
      <c r="N4422">
        <v>0</v>
      </c>
      <c r="O4422">
        <v>-0.1564836</v>
      </c>
      <c r="P4422">
        <v>0.98893549999999997</v>
      </c>
      <c r="Q4422">
        <v>0.1034066</v>
      </c>
      <c r="R4422">
        <v>-0.1063672</v>
      </c>
      <c r="S4422">
        <v>2.8975520000000001</v>
      </c>
      <c r="T4422">
        <v>-0.16710810000000001</v>
      </c>
      <c r="U4422">
        <v>-1.4564820000000001</v>
      </c>
      <c r="V4422">
        <v>-4.8825830000000001E-2</v>
      </c>
      <c r="W4422">
        <v>0.11779249999999999</v>
      </c>
      <c r="X4422">
        <v>0.99183710000000003</v>
      </c>
      <c r="Y4422">
        <v>0.30355880000000002</v>
      </c>
      <c r="Z4422">
        <v>1.5282070000000001E-4</v>
      </c>
      <c r="AA4422">
        <v>0.95281269999999996</v>
      </c>
      <c r="AB4422">
        <v>29</v>
      </c>
      <c r="AC4422">
        <v>19.817799999999899</v>
      </c>
      <c r="AD4422">
        <v>-1.1519059999999901</v>
      </c>
      <c r="AE4422">
        <v>-10.013524</v>
      </c>
      <c r="AF4422">
        <v>6.7704468212409301</v>
      </c>
      <c r="AG4422">
        <v>-1.1519059999999901</v>
      </c>
      <c r="AH4422">
        <v>21.083970447410199</v>
      </c>
      <c r="AI4422">
        <v>92.977729525598406</v>
      </c>
      <c r="AJ4422">
        <v>72.197229839996993</v>
      </c>
      <c r="AK4422">
        <v>22.174301509164899</v>
      </c>
      <c r="AL4422">
        <v>83.235281006720797</v>
      </c>
      <c r="AM4422">
        <v>92.818262668863298</v>
      </c>
      <c r="AN4422">
        <v>0.99999993383392205</v>
      </c>
    </row>
    <row r="4423" spans="1:40" x14ac:dyDescent="0.3">
      <c r="A4423" t="str">
        <f>"20200111150116711"</f>
        <v>20200111150116711</v>
      </c>
      <c r="B4423" t="str">
        <f>"1578726076701817"</f>
        <v>1578726076701817</v>
      </c>
      <c r="C4423" t="s">
        <v>40</v>
      </c>
      <c r="D4423">
        <v>4.7038669999999998</v>
      </c>
      <c r="E4423">
        <v>0.66378559999999998</v>
      </c>
      <c r="F4423" t="s">
        <v>43</v>
      </c>
      <c r="G4423">
        <v>-312.96230000000003</v>
      </c>
      <c r="H4423">
        <v>-0.05</v>
      </c>
      <c r="I4423">
        <v>9.4826200000000007</v>
      </c>
      <c r="J4423">
        <v>-326.00170000000003</v>
      </c>
      <c r="K4423">
        <v>1.1018680000000001</v>
      </c>
      <c r="L4423">
        <v>16.83661</v>
      </c>
      <c r="M4423">
        <v>0.98726360000000002</v>
      </c>
      <c r="N4423">
        <v>0</v>
      </c>
      <c r="O4423">
        <v>-0.1584692</v>
      </c>
      <c r="P4423">
        <v>0.98868909999999999</v>
      </c>
      <c r="Q4423">
        <v>0.10290970000000001</v>
      </c>
      <c r="R4423">
        <v>-0.1091046</v>
      </c>
      <c r="S4423">
        <v>2.886139</v>
      </c>
      <c r="T4423">
        <v>-0.25229699999999999</v>
      </c>
      <c r="U4423">
        <v>-1.6159669999999999</v>
      </c>
      <c r="V4423">
        <v>-4.8075430000000002E-2</v>
      </c>
      <c r="W4423">
        <v>0.11726590000000001</v>
      </c>
      <c r="X4423">
        <v>0.99193620000000005</v>
      </c>
      <c r="Y4423">
        <v>0.34355279999999999</v>
      </c>
      <c r="Z4423">
        <v>-1.2525240000000001E-3</v>
      </c>
      <c r="AA4423">
        <v>0.93913250000000004</v>
      </c>
      <c r="AB4423">
        <v>29</v>
      </c>
      <c r="AC4423">
        <v>13.039400000000001</v>
      </c>
      <c r="AD4423">
        <v>-1.1518679999999999</v>
      </c>
      <c r="AE4423">
        <v>-7.3539899999999996</v>
      </c>
      <c r="AF4423">
        <v>5.16392547314054</v>
      </c>
      <c r="AG4423">
        <v>-1.1518679999999999</v>
      </c>
      <c r="AH4423">
        <v>13.957463094792301</v>
      </c>
      <c r="AI4423">
        <v>94.425844254365899</v>
      </c>
      <c r="AJ4423">
        <v>69.696739039226301</v>
      </c>
      <c r="AK4423">
        <v>14.926610540376</v>
      </c>
      <c r="AL4423">
        <v>83.265663857899398</v>
      </c>
      <c r="AM4423">
        <v>92.774740456000004</v>
      </c>
      <c r="AN4423">
        <v>0.99999998157146697</v>
      </c>
    </row>
    <row r="4424" spans="1:40" x14ac:dyDescent="0.3">
      <c r="A4424" t="str">
        <f>"20200111150116723"</f>
        <v>20200111150116723</v>
      </c>
      <c r="B4424" t="str">
        <f>"1578726076712553"</f>
        <v>1578726076712553</v>
      </c>
      <c r="C4424" t="s">
        <v>40</v>
      </c>
      <c r="D4424">
        <v>4.6485459999999996</v>
      </c>
      <c r="E4424">
        <v>0.66780839999999997</v>
      </c>
      <c r="F4424" t="s">
        <v>43</v>
      </c>
      <c r="G4424">
        <v>-312.05700000000002</v>
      </c>
      <c r="H4424">
        <v>-0.05</v>
      </c>
      <c r="I4424">
        <v>8.8554839999999899</v>
      </c>
      <c r="J4424">
        <v>-325.84620000000001</v>
      </c>
      <c r="K4424">
        <v>1.1018209999999999</v>
      </c>
      <c r="L4424">
        <v>16.809360000000002</v>
      </c>
      <c r="M4424">
        <v>0.98689870000000002</v>
      </c>
      <c r="N4424">
        <v>0</v>
      </c>
      <c r="O4424">
        <v>-0.16072739999999999</v>
      </c>
      <c r="P4424">
        <v>0.98839379999999999</v>
      </c>
      <c r="Q4424">
        <v>0.10272390000000001</v>
      </c>
      <c r="R4424">
        <v>-0.1119182</v>
      </c>
      <c r="S4424">
        <v>2.8772890000000002</v>
      </c>
      <c r="T4424">
        <v>-0.2376714</v>
      </c>
      <c r="U4424">
        <v>-1.64679</v>
      </c>
      <c r="V4424">
        <v>-4.7514279999999999E-2</v>
      </c>
      <c r="W4424">
        <v>0.1170472</v>
      </c>
      <c r="X4424">
        <v>0.99198909999999996</v>
      </c>
      <c r="Y4424">
        <v>0.3502884</v>
      </c>
      <c r="Z4424">
        <v>-1.2730160000000001E-3</v>
      </c>
      <c r="AA4424">
        <v>0.93664099999999995</v>
      </c>
      <c r="AB4424">
        <v>29</v>
      </c>
      <c r="AC4424">
        <v>13.7891999999999</v>
      </c>
      <c r="AD4424">
        <v>-1.151821</v>
      </c>
      <c r="AE4424">
        <v>-7.9538760000000002</v>
      </c>
      <c r="AF4424">
        <v>5.6045820196802998</v>
      </c>
      <c r="AG4424">
        <v>-1.151821</v>
      </c>
      <c r="AH4424">
        <v>14.8108794515482</v>
      </c>
      <c r="AI4424">
        <v>94.160089742397005</v>
      </c>
      <c r="AJ4424">
        <v>69.272865996887901</v>
      </c>
      <c r="AK4424">
        <v>15.8776629690789</v>
      </c>
      <c r="AL4424">
        <v>83.278281556081495</v>
      </c>
      <c r="AM4424">
        <v>92.742256614411104</v>
      </c>
      <c r="AN4424">
        <v>1.0000000141752801</v>
      </c>
    </row>
    <row r="4425" spans="1:40" x14ac:dyDescent="0.3">
      <c r="A4425" t="str">
        <f>"20200111150116735"</f>
        <v>20200111150116735</v>
      </c>
      <c r="B4425" t="str">
        <f>"1578726076732072"</f>
        <v>1578726076732072</v>
      </c>
      <c r="C4425" t="s">
        <v>40</v>
      </c>
      <c r="D4425">
        <v>4.8276199999999996</v>
      </c>
      <c r="E4425">
        <v>0.67003069999999998</v>
      </c>
      <c r="F4425" t="s">
        <v>43</v>
      </c>
      <c r="G4425">
        <v>-311.5403</v>
      </c>
      <c r="H4425">
        <v>-0.05</v>
      </c>
      <c r="I4425">
        <v>8.3984220000000001</v>
      </c>
      <c r="J4425">
        <v>-325.69639999999998</v>
      </c>
      <c r="K4425">
        <v>1.101774</v>
      </c>
      <c r="L4425">
        <v>16.782620000000001</v>
      </c>
      <c r="M4425">
        <v>0.98653489999999999</v>
      </c>
      <c r="N4425">
        <v>0</v>
      </c>
      <c r="O4425">
        <v>-0.16294939999999999</v>
      </c>
      <c r="P4425">
        <v>0.98803700000000005</v>
      </c>
      <c r="Q4425">
        <v>0.1028109</v>
      </c>
      <c r="R4425">
        <v>-0.114946699999999</v>
      </c>
      <c r="S4425">
        <v>2.8682859999999999</v>
      </c>
      <c r="T4425">
        <v>-0.23093710000000001</v>
      </c>
      <c r="U4425">
        <v>-1.6863709999999901</v>
      </c>
      <c r="V4425">
        <v>-4.6691879999999998E-2</v>
      </c>
      <c r="W4425">
        <v>0.1170969</v>
      </c>
      <c r="X4425">
        <v>0.99202230000000002</v>
      </c>
      <c r="Y4425">
        <v>0.35910609999999998</v>
      </c>
      <c r="Z4425">
        <v>-1.4073130000000001E-3</v>
      </c>
      <c r="AA4425">
        <v>0.93329569999999995</v>
      </c>
      <c r="AB4425">
        <v>28</v>
      </c>
      <c r="AC4425">
        <v>14.156099999999901</v>
      </c>
      <c r="AD4425">
        <v>-1.1517740000000001</v>
      </c>
      <c r="AE4425">
        <v>-8.3841979999999996</v>
      </c>
      <c r="AF4425">
        <v>5.9360705055298597</v>
      </c>
      <c r="AG4425">
        <v>-1.1517740000000001</v>
      </c>
      <c r="AH4425">
        <v>15.258414749207301</v>
      </c>
      <c r="AI4425">
        <v>94.024038406854501</v>
      </c>
      <c r="AJ4425">
        <v>68.742180248201805</v>
      </c>
      <c r="AK4425">
        <v>16.4128832644518</v>
      </c>
      <c r="AL4425">
        <v>83.275414343246098</v>
      </c>
      <c r="AM4425">
        <v>92.694772847327499</v>
      </c>
      <c r="AN4425">
        <v>1.0000000296724101</v>
      </c>
    </row>
    <row r="4426" spans="1:40" x14ac:dyDescent="0.3">
      <c r="A4426" t="str">
        <f>"20200111150116746"</f>
        <v>20200111150116746</v>
      </c>
      <c r="B4426" t="str">
        <f>"1578726076741833"</f>
        <v>1578726076741833</v>
      </c>
      <c r="C4426" t="s">
        <v>40</v>
      </c>
      <c r="D4426">
        <v>4.849475</v>
      </c>
      <c r="E4426">
        <v>0.66995260000000001</v>
      </c>
      <c r="F4426" t="s">
        <v>43</v>
      </c>
      <c r="G4426">
        <v>-310.20580000000001</v>
      </c>
      <c r="H4426">
        <v>-0.05</v>
      </c>
      <c r="I4426">
        <v>7.5031429999999997</v>
      </c>
      <c r="J4426">
        <v>-325.55520000000001</v>
      </c>
      <c r="K4426">
        <v>1.101728</v>
      </c>
      <c r="L4426">
        <v>16.757079999999998</v>
      </c>
      <c r="M4426">
        <v>0.98618209999999995</v>
      </c>
      <c r="N4426">
        <v>0</v>
      </c>
      <c r="O4426">
        <v>-0.16507450000000001</v>
      </c>
      <c r="P4426">
        <v>0.98765780000000003</v>
      </c>
      <c r="Q4426">
        <v>0.10321710000000001</v>
      </c>
      <c r="R4426">
        <v>-0.1178076</v>
      </c>
      <c r="S4426">
        <v>2.8591920000000002</v>
      </c>
      <c r="T4426">
        <v>-0.21258959999999999</v>
      </c>
      <c r="U4426">
        <v>-1.71276899999999</v>
      </c>
      <c r="V4426">
        <v>-4.593299E-2</v>
      </c>
      <c r="W4426">
        <v>0.11746620000000001</v>
      </c>
      <c r="X4426">
        <v>0.99201410000000001</v>
      </c>
      <c r="Y4426">
        <v>0.36481560000000002</v>
      </c>
      <c r="Z4426">
        <v>-1.353152E-3</v>
      </c>
      <c r="AA4426">
        <v>0.93107879999999998</v>
      </c>
      <c r="AB4426">
        <v>28</v>
      </c>
      <c r="AC4426">
        <v>15.349399999999999</v>
      </c>
      <c r="AD4426">
        <v>-1.1517280000000001</v>
      </c>
      <c r="AE4426">
        <v>-9.2539370000000005</v>
      </c>
      <c r="AF4426">
        <v>6.5658044042440302</v>
      </c>
      <c r="AG4426">
        <v>-1.1517280000000001</v>
      </c>
      <c r="AH4426">
        <v>16.597982713935199</v>
      </c>
      <c r="AI4426">
        <v>93.691867613802799</v>
      </c>
      <c r="AJ4426">
        <v>68.417315788394006</v>
      </c>
      <c r="AK4426">
        <v>17.886567446910099</v>
      </c>
      <c r="AL4426">
        <v>83.254108184192006</v>
      </c>
      <c r="AM4426">
        <v>92.651059188709993</v>
      </c>
      <c r="AN4426">
        <v>1.00000006115579</v>
      </c>
    </row>
    <row r="4427" spans="1:40" x14ac:dyDescent="0.3">
      <c r="A4427" t="str">
        <f>"20200111150116758"</f>
        <v>20200111150116758</v>
      </c>
      <c r="B4427" t="str">
        <f>"1578726076752568"</f>
        <v>1578726076752568</v>
      </c>
      <c r="C4427" t="s">
        <v>40</v>
      </c>
      <c r="D4427">
        <v>4.7496150000000004</v>
      </c>
      <c r="E4427">
        <v>0.6710507</v>
      </c>
      <c r="F4427" t="s">
        <v>43</v>
      </c>
      <c r="G4427">
        <v>-309.84379999999999</v>
      </c>
      <c r="H4427">
        <v>-0.05</v>
      </c>
      <c r="I4427">
        <v>7.2833249999999996</v>
      </c>
      <c r="J4427">
        <v>-325.3974</v>
      </c>
      <c r="K4427">
        <v>1.1016779999999999</v>
      </c>
      <c r="L4427">
        <v>16.728210000000001</v>
      </c>
      <c r="M4427">
        <v>0.98577740000000003</v>
      </c>
      <c r="N4427">
        <v>0</v>
      </c>
      <c r="O4427">
        <v>-0.16747790000000001</v>
      </c>
      <c r="P4427">
        <v>0.98722960000000004</v>
      </c>
      <c r="Q4427">
        <v>0.10368579999999999</v>
      </c>
      <c r="R4427">
        <v>-0.1209428</v>
      </c>
      <c r="S4427">
        <v>2.854095</v>
      </c>
      <c r="T4427">
        <v>-0.2092202</v>
      </c>
      <c r="U4427">
        <v>-1.7209779999999999</v>
      </c>
      <c r="V4427">
        <v>-4.5174779999999998E-2</v>
      </c>
      <c r="W4427">
        <v>0.117892899999999</v>
      </c>
      <c r="X4427">
        <v>0.9919983</v>
      </c>
      <c r="Y4427">
        <v>0.36526140000000001</v>
      </c>
      <c r="Z4427">
        <v>-1.1915840000000001E-3</v>
      </c>
      <c r="AA4427">
        <v>0.93090419999999996</v>
      </c>
      <c r="AB4427">
        <v>28</v>
      </c>
      <c r="AC4427">
        <v>15.553599999999999</v>
      </c>
      <c r="AD4427">
        <v>-1.151678</v>
      </c>
      <c r="AE4427">
        <v>-9.4448849999999993</v>
      </c>
      <c r="AF4427">
        <v>6.67956449385699</v>
      </c>
      <c r="AG4427">
        <v>-1.151678</v>
      </c>
      <c r="AH4427">
        <v>16.848349284414098</v>
      </c>
      <c r="AI4427">
        <v>93.635912612318094</v>
      </c>
      <c r="AJ4427">
        <v>68.374042685600799</v>
      </c>
      <c r="AK4427">
        <v>18.1606667733565</v>
      </c>
      <c r="AL4427">
        <v>83.229489018216299</v>
      </c>
      <c r="AM4427">
        <v>92.607400860799899</v>
      </c>
      <c r="AN4427">
        <v>1.0000000619106699</v>
      </c>
    </row>
    <row r="4428" spans="1:40" x14ac:dyDescent="0.3">
      <c r="A4428" t="str">
        <f>"20200111150116770"</f>
        <v>20200111150116770</v>
      </c>
      <c r="B4428" t="str">
        <f>"1578726076762330"</f>
        <v>1578726076762330</v>
      </c>
      <c r="C4428" t="s">
        <v>40</v>
      </c>
      <c r="D4428">
        <v>4.2751919999999997</v>
      </c>
      <c r="E4428">
        <v>0.67489119999999903</v>
      </c>
      <c r="F4428" t="s">
        <v>43</v>
      </c>
      <c r="G4428">
        <v>-309.41399999999999</v>
      </c>
      <c r="H4428">
        <v>-0.05</v>
      </c>
      <c r="I4428">
        <v>6.9710390000000002</v>
      </c>
      <c r="J4428">
        <v>-325.26190000000003</v>
      </c>
      <c r="K4428">
        <v>1.101629</v>
      </c>
      <c r="L4428">
        <v>16.70288</v>
      </c>
      <c r="M4428">
        <v>0.98541619999999996</v>
      </c>
      <c r="N4428">
        <v>0</v>
      </c>
      <c r="O4428">
        <v>-0.16959299999999999</v>
      </c>
      <c r="P4428">
        <v>0.986815</v>
      </c>
      <c r="Q4428">
        <v>0.1042028</v>
      </c>
      <c r="R4428">
        <v>-0.12384530000000001</v>
      </c>
      <c r="S4428">
        <v>2.8474119999999998</v>
      </c>
      <c r="T4428">
        <v>-0.20516899999999999</v>
      </c>
      <c r="U4428">
        <v>-1.7382200000000001</v>
      </c>
      <c r="V4428">
        <v>-4.4359139999999998E-2</v>
      </c>
      <c r="W4428">
        <v>0.118364</v>
      </c>
      <c r="X4428">
        <v>0.9919789</v>
      </c>
      <c r="Y4428">
        <v>0.36835839999999997</v>
      </c>
      <c r="Z4428">
        <v>-1.1376890000000001E-3</v>
      </c>
      <c r="AA4428">
        <v>0.92968309999999998</v>
      </c>
      <c r="AB4428">
        <v>28</v>
      </c>
      <c r="AC4428">
        <v>15.847899999999999</v>
      </c>
      <c r="AD4428">
        <v>-1.151629</v>
      </c>
      <c r="AE4428">
        <v>-9.7318409999999993</v>
      </c>
      <c r="AF4428">
        <v>6.8765188383162803</v>
      </c>
      <c r="AG4428">
        <v>-1.151629</v>
      </c>
      <c r="AH4428">
        <v>17.2029309379202</v>
      </c>
      <c r="AI4428">
        <v>93.5570161765162</v>
      </c>
      <c r="AJ4428">
        <v>68.211952956451995</v>
      </c>
      <c r="AK4428">
        <v>18.562154873349499</v>
      </c>
      <c r="AL4428">
        <v>83.202305918252407</v>
      </c>
      <c r="AM4428">
        <v>92.560436928607899</v>
      </c>
      <c r="AN4428">
        <v>0.99999995392137297</v>
      </c>
    </row>
    <row r="4429" spans="1:40" x14ac:dyDescent="0.3">
      <c r="A4429" t="str">
        <f>"20200111150116781"</f>
        <v>20200111150116781</v>
      </c>
      <c r="B4429" t="str">
        <f>"1578726076762330"</f>
        <v>1578726076762330</v>
      </c>
      <c r="C4429" t="s">
        <v>40</v>
      </c>
      <c r="D4429">
        <v>4.2751919999999997</v>
      </c>
      <c r="E4429">
        <v>0.67489119999999903</v>
      </c>
      <c r="F4429" t="s">
        <v>43</v>
      </c>
      <c r="G4429">
        <v>-308.3664</v>
      </c>
      <c r="H4429">
        <v>-0.05</v>
      </c>
      <c r="I4429">
        <v>6.1257020000000004</v>
      </c>
      <c r="J4429">
        <v>-325.10809999999998</v>
      </c>
      <c r="K4429">
        <v>1.101569</v>
      </c>
      <c r="L4429">
        <v>16.67398</v>
      </c>
      <c r="M4429">
        <v>0.98499740000000002</v>
      </c>
      <c r="N4429">
        <v>0</v>
      </c>
      <c r="O4429">
        <v>-0.1720131</v>
      </c>
      <c r="P4429">
        <v>0.98638579999999998</v>
      </c>
      <c r="Q4429">
        <v>0.10463210000000001</v>
      </c>
      <c r="R4429">
        <v>-0.12686800000000001</v>
      </c>
      <c r="S4429">
        <v>2.8375240000000002</v>
      </c>
      <c r="T4429">
        <v>-0.19341169999999999</v>
      </c>
      <c r="U4429">
        <v>-1.7763979999999999</v>
      </c>
      <c r="V4429">
        <v>-4.3729940000000002E-2</v>
      </c>
      <c r="W4429">
        <v>0.11874</v>
      </c>
      <c r="X4429">
        <v>0.99196200000000001</v>
      </c>
      <c r="Y4429">
        <v>0.3765734</v>
      </c>
      <c r="Z4429">
        <v>-1.185623E-3</v>
      </c>
      <c r="AA4429">
        <v>0.92638609999999999</v>
      </c>
      <c r="AB4429">
        <v>28</v>
      </c>
      <c r="AC4429">
        <v>16.741699999999899</v>
      </c>
      <c r="AD4429">
        <v>-1.1515690000000001</v>
      </c>
      <c r="AE4429">
        <v>-10.548278</v>
      </c>
      <c r="AF4429">
        <v>7.4856019539026297</v>
      </c>
      <c r="AG4429">
        <v>-1.1515690000000001</v>
      </c>
      <c r="AH4429">
        <v>18.244934695008698</v>
      </c>
      <c r="AI4429">
        <v>93.341905018846006</v>
      </c>
      <c r="AJ4429">
        <v>67.692449527191698</v>
      </c>
      <c r="AK4429">
        <v>19.754442280134501</v>
      </c>
      <c r="AL4429">
        <v>83.180610373315602</v>
      </c>
      <c r="AM4429">
        <v>92.524209375340305</v>
      </c>
      <c r="AN4429">
        <v>1.0000000523482</v>
      </c>
    </row>
    <row r="4430" spans="1:40" x14ac:dyDescent="0.3">
      <c r="A4430" t="str">
        <f>"20200111150116830"</f>
        <v>20200111150116830</v>
      </c>
      <c r="B4430" t="str">
        <f>"1578726076821865"</f>
        <v>1578726076821865</v>
      </c>
      <c r="C4430" t="s">
        <v>40</v>
      </c>
      <c r="D4430">
        <v>4.5120570000000004</v>
      </c>
      <c r="E4430">
        <v>0.67690569999999906</v>
      </c>
      <c r="F4430" t="s">
        <v>43</v>
      </c>
      <c r="G4430">
        <v>-308.21120000000002</v>
      </c>
      <c r="H4430">
        <v>-0.05</v>
      </c>
      <c r="I4430">
        <v>6.0251769999999896</v>
      </c>
      <c r="J4430">
        <v>-324.48759999999999</v>
      </c>
      <c r="K4430">
        <v>1.1012759999999999</v>
      </c>
      <c r="L4430">
        <v>16.552399999999999</v>
      </c>
      <c r="M4430">
        <v>0.98314919999999995</v>
      </c>
      <c r="N4430">
        <v>0</v>
      </c>
      <c r="O4430">
        <v>-0.1823032</v>
      </c>
      <c r="P4430">
        <v>0.98462870000000002</v>
      </c>
      <c r="Q4430">
        <v>0.1040519</v>
      </c>
      <c r="R4430">
        <v>-0.14028499999999999</v>
      </c>
      <c r="S4430">
        <v>2.8322750000000001</v>
      </c>
      <c r="T4430">
        <v>-0.19302820000000001</v>
      </c>
      <c r="U4430">
        <v>-1.7849729999999999</v>
      </c>
      <c r="V4430">
        <v>-4.0540729999999997E-2</v>
      </c>
      <c r="W4430">
        <v>0.1178631</v>
      </c>
      <c r="X4430">
        <v>0.99220200000000003</v>
      </c>
      <c r="Y4430">
        <v>0.36968899999999999</v>
      </c>
      <c r="Z4430">
        <v>-3.5147370000000001E-4</v>
      </c>
      <c r="AA4430">
        <v>0.92915550000000002</v>
      </c>
      <c r="AB4430">
        <v>28</v>
      </c>
      <c r="AC4430">
        <v>16.276399999999899</v>
      </c>
      <c r="AD4430">
        <v>-1.151276</v>
      </c>
      <c r="AE4430">
        <v>-10.527222999999999</v>
      </c>
      <c r="AF4430">
        <v>7.3573144391599801</v>
      </c>
      <c r="AG4430">
        <v>-1.151276</v>
      </c>
      <c r="AH4430">
        <v>17.8599169426072</v>
      </c>
      <c r="AI4430">
        <v>93.410924269584697</v>
      </c>
      <c r="AJ4430">
        <v>67.611002930886201</v>
      </c>
      <c r="AK4430">
        <v>19.350249233063501</v>
      </c>
      <c r="AL4430">
        <v>83.231208236633805</v>
      </c>
      <c r="AM4430">
        <v>92.339766887957794</v>
      </c>
      <c r="AN4430">
        <v>1.00000003496727</v>
      </c>
    </row>
    <row r="4431" spans="1:40" x14ac:dyDescent="0.3">
      <c r="A4431" t="str">
        <f>"20200111150116843"</f>
        <v>20200111150116843</v>
      </c>
      <c r="B4431" t="str">
        <f>"1578726076832601"</f>
        <v>1578726076832601</v>
      </c>
      <c r="C4431" t="s">
        <v>40</v>
      </c>
      <c r="D4431">
        <v>4.5260109999999996</v>
      </c>
      <c r="E4431">
        <v>0.67853140000000001</v>
      </c>
      <c r="F4431" t="s">
        <v>43</v>
      </c>
      <c r="G4431">
        <v>-307.5659</v>
      </c>
      <c r="H4431">
        <v>-0.05</v>
      </c>
      <c r="I4431">
        <v>5.4576719999999996</v>
      </c>
      <c r="J4431">
        <v>-324.34609999999998</v>
      </c>
      <c r="K4431">
        <v>1.101205</v>
      </c>
      <c r="L4431">
        <v>16.52374</v>
      </c>
      <c r="M4431">
        <v>0.98269410000000001</v>
      </c>
      <c r="N4431">
        <v>0</v>
      </c>
      <c r="O4431">
        <v>-0.1847454</v>
      </c>
      <c r="P4431">
        <v>0.98421099999999995</v>
      </c>
      <c r="Q4431">
        <v>0.1038577</v>
      </c>
      <c r="R4431">
        <v>-0.143325799999999</v>
      </c>
      <c r="S4431">
        <v>2.8049620000000002</v>
      </c>
      <c r="T4431">
        <v>-0.19083749999999999</v>
      </c>
      <c r="U4431">
        <v>-1.839081</v>
      </c>
      <c r="V4431">
        <v>-3.9928829999999998E-2</v>
      </c>
      <c r="W4431">
        <v>0.11759600000000001</v>
      </c>
      <c r="X4431">
        <v>0.99225850000000004</v>
      </c>
      <c r="Y4431">
        <v>0.38403910000000002</v>
      </c>
      <c r="Z4431">
        <v>-6.5241289999999998E-4</v>
      </c>
      <c r="AA4431">
        <v>0.92331660000000004</v>
      </c>
      <c r="AB4431">
        <v>28</v>
      </c>
      <c r="AC4431">
        <v>16.780199999999901</v>
      </c>
      <c r="AD4431">
        <v>-1.151205</v>
      </c>
      <c r="AE4431">
        <v>-11.066068</v>
      </c>
      <c r="AF4431">
        <v>7.7497802440534898</v>
      </c>
      <c r="AG4431">
        <v>-1.151205</v>
      </c>
      <c r="AH4431">
        <v>18.475289378246899</v>
      </c>
      <c r="AI4431">
        <v>93.288605777292204</v>
      </c>
      <c r="AJ4431">
        <v>67.243542705094995</v>
      </c>
      <c r="AK4431">
        <v>20.0679018433196</v>
      </c>
      <c r="AL4431">
        <v>83.246619082158801</v>
      </c>
      <c r="AM4431">
        <v>92.304358991140006</v>
      </c>
      <c r="AN4431">
        <v>1.0000000307517001</v>
      </c>
    </row>
    <row r="4432" spans="1:40" x14ac:dyDescent="0.3">
      <c r="A4432" t="str">
        <f>"20200111150116857"</f>
        <v>20200111150116857</v>
      </c>
      <c r="B4432" t="str">
        <f>"1578726076852121"</f>
        <v>1578726076852121</v>
      </c>
      <c r="C4432" t="s">
        <v>40</v>
      </c>
      <c r="D4432">
        <v>4.5474370000000004</v>
      </c>
      <c r="E4432">
        <v>0.68080430000000003</v>
      </c>
      <c r="F4432" t="s">
        <v>43</v>
      </c>
      <c r="G4432">
        <v>-307.30829999999997</v>
      </c>
      <c r="H4432">
        <v>-0.05</v>
      </c>
      <c r="I4432">
        <v>5.1870729999999998</v>
      </c>
      <c r="J4432">
        <v>-324.17320000000001</v>
      </c>
      <c r="K4432">
        <v>1.101118</v>
      </c>
      <c r="L4432">
        <v>16.488009999999999</v>
      </c>
      <c r="M4432">
        <v>0.98211519999999997</v>
      </c>
      <c r="N4432">
        <v>0</v>
      </c>
      <c r="O4432">
        <v>-0.18780559999999999</v>
      </c>
      <c r="P4432">
        <v>0.98366019999999998</v>
      </c>
      <c r="Q4432">
        <v>0.10412100000000001</v>
      </c>
      <c r="R4432">
        <v>-0.14687220000000001</v>
      </c>
      <c r="S4432">
        <v>2.7970579999999998</v>
      </c>
      <c r="T4432">
        <v>-0.18899060000000001</v>
      </c>
      <c r="U4432">
        <v>-1.8611150000000001</v>
      </c>
      <c r="V4432">
        <v>-3.9414159999999997E-2</v>
      </c>
      <c r="W4432">
        <v>0.11777170000000001</v>
      </c>
      <c r="X4432">
        <v>0.99225819999999998</v>
      </c>
      <c r="Y4432">
        <v>0.38742189999999999</v>
      </c>
      <c r="Z4432">
        <v>-5.7180230000000005E-4</v>
      </c>
      <c r="AA4432">
        <v>0.92190240000000001</v>
      </c>
      <c r="AB4432">
        <v>28</v>
      </c>
      <c r="AC4432">
        <v>16.864899999999999</v>
      </c>
      <c r="AD4432">
        <v>-1.1511180000000001</v>
      </c>
      <c r="AE4432">
        <v>-11.3009369999999</v>
      </c>
      <c r="AF4432">
        <v>7.90678709037386</v>
      </c>
      <c r="AG4432">
        <v>-1.1511180000000001</v>
      </c>
      <c r="AH4432">
        <v>18.627434820303399</v>
      </c>
      <c r="AI4432">
        <v>93.255730746276896</v>
      </c>
      <c r="AJ4432">
        <v>67.000234256945703</v>
      </c>
      <c r="AK4432">
        <v>20.268785921388599</v>
      </c>
      <c r="AL4432">
        <v>83.236481510345001</v>
      </c>
      <c r="AM4432">
        <v>92.274688622937504</v>
      </c>
      <c r="AN4432">
        <v>0.99999999239831705</v>
      </c>
    </row>
    <row r="4433" spans="1:40" x14ac:dyDescent="0.3">
      <c r="A4433" t="str">
        <f>"20200111150116869"</f>
        <v>20200111150116869</v>
      </c>
      <c r="B4433" t="str">
        <f>"1578726076861880"</f>
        <v>1578726076861880</v>
      </c>
      <c r="C4433" t="s">
        <v>40</v>
      </c>
      <c r="D4433">
        <v>4.4929100000000002</v>
      </c>
      <c r="E4433">
        <v>0.68143609999999999</v>
      </c>
      <c r="F4433" t="s">
        <v>43</v>
      </c>
      <c r="G4433">
        <v>-306.30939999999998</v>
      </c>
      <c r="H4433">
        <v>-0.05</v>
      </c>
      <c r="I4433">
        <v>4.3803409999999996</v>
      </c>
      <c r="J4433">
        <v>-324.01639999999998</v>
      </c>
      <c r="K4433">
        <v>1.101038</v>
      </c>
      <c r="L4433">
        <v>16.455020000000001</v>
      </c>
      <c r="M4433">
        <v>0.98156940000000004</v>
      </c>
      <c r="N4433">
        <v>0</v>
      </c>
      <c r="O4433">
        <v>-0.1906429</v>
      </c>
      <c r="P4433">
        <v>0.98310819999999999</v>
      </c>
      <c r="Q4433">
        <v>0.10441250000000001</v>
      </c>
      <c r="R4433">
        <v>-0.15032019999999999</v>
      </c>
      <c r="S4433">
        <v>2.7868040000000001</v>
      </c>
      <c r="T4433">
        <v>-0.17957690000000001</v>
      </c>
      <c r="U4433">
        <v>-1.8888240000000001</v>
      </c>
      <c r="V4433">
        <v>-3.8773009999999997E-2</v>
      </c>
      <c r="W4433">
        <v>0.1179843</v>
      </c>
      <c r="X4433">
        <v>0.99225819999999998</v>
      </c>
      <c r="Y4433">
        <v>0.3926521</v>
      </c>
      <c r="Z4433">
        <v>-5.3986069999999999E-4</v>
      </c>
      <c r="AA4433">
        <v>0.91968689999999997</v>
      </c>
      <c r="AB4433">
        <v>28</v>
      </c>
      <c r="AC4433">
        <v>17.706999999999901</v>
      </c>
      <c r="AD4433">
        <v>-1.151038</v>
      </c>
      <c r="AE4433">
        <v>-12.074679</v>
      </c>
      <c r="AF4433">
        <v>8.45279012667317</v>
      </c>
      <c r="AG4433">
        <v>-1.151038</v>
      </c>
      <c r="AH4433">
        <v>19.627727950470099</v>
      </c>
      <c r="AI4433">
        <v>93.083036043492299</v>
      </c>
      <c r="AJ4433">
        <v>66.7006032738866</v>
      </c>
      <c r="AK4433">
        <v>21.401454480962101</v>
      </c>
      <c r="AL4433">
        <v>83.224214878618199</v>
      </c>
      <c r="AM4433">
        <v>92.237724197795501</v>
      </c>
      <c r="AN4433">
        <v>0.99999998840909499</v>
      </c>
    </row>
    <row r="4434" spans="1:40" x14ac:dyDescent="0.3">
      <c r="A4434" t="str">
        <f>"20200111150116881"</f>
        <v>20200111150116881</v>
      </c>
      <c r="B4434" t="str">
        <f>"1578726076872616"</f>
        <v>1578726076872616</v>
      </c>
      <c r="C4434" t="s">
        <v>40</v>
      </c>
      <c r="D4434">
        <v>4.4619390000000001</v>
      </c>
      <c r="E4434">
        <v>0.68162480000000003</v>
      </c>
      <c r="F4434" t="s">
        <v>43</v>
      </c>
      <c r="G4434">
        <v>-305.8929</v>
      </c>
      <c r="H4434">
        <v>-0.05</v>
      </c>
      <c r="I4434">
        <v>4.0378109999999996</v>
      </c>
      <c r="J4434">
        <v>-323.86259999999999</v>
      </c>
      <c r="K4434">
        <v>1.100959</v>
      </c>
      <c r="L4434">
        <v>16.422360000000001</v>
      </c>
      <c r="M4434">
        <v>0.98101930000000004</v>
      </c>
      <c r="N4434">
        <v>0</v>
      </c>
      <c r="O4434">
        <v>-0.19345960000000001</v>
      </c>
      <c r="P4434">
        <v>0.9826028</v>
      </c>
      <c r="Q4434">
        <v>0.10468180000000001</v>
      </c>
      <c r="R4434">
        <v>-0.15340709999999999</v>
      </c>
      <c r="S4434">
        <v>2.7791440000000001</v>
      </c>
      <c r="T4434">
        <v>-0.17650539999999901</v>
      </c>
      <c r="U4434">
        <v>-1.9041140000000001</v>
      </c>
      <c r="V4434">
        <v>-3.8476389999999999E-2</v>
      </c>
      <c r="W4434">
        <v>0.1181808</v>
      </c>
      <c r="X4434">
        <v>0.99224639999999997</v>
      </c>
      <c r="Y4434">
        <v>0.39465060000000002</v>
      </c>
      <c r="Z4434">
        <v>-4.3508879999999998E-4</v>
      </c>
      <c r="AA4434">
        <v>0.91883119999999996</v>
      </c>
      <c r="AB4434">
        <v>28</v>
      </c>
      <c r="AC4434">
        <v>17.9696999999999</v>
      </c>
      <c r="AD4434">
        <v>-1.1509590000000001</v>
      </c>
      <c r="AE4434">
        <v>-12.384549</v>
      </c>
      <c r="AF4434">
        <v>8.6497697413949695</v>
      </c>
      <c r="AG4434">
        <v>-1.1509590000000001</v>
      </c>
      <c r="AH4434">
        <v>19.9707349552328</v>
      </c>
      <c r="AI4434">
        <v>93.027261153903694</v>
      </c>
      <c r="AJ4434">
        <v>66.581489968081101</v>
      </c>
      <c r="AK4434">
        <v>21.793886249381799</v>
      </c>
      <c r="AL4434">
        <v>83.212877192730105</v>
      </c>
      <c r="AM4434">
        <v>92.220648819683603</v>
      </c>
      <c r="AN4434">
        <v>1.0000000261945099</v>
      </c>
    </row>
    <row r="4435" spans="1:40" x14ac:dyDescent="0.3">
      <c r="A4435" t="str">
        <f>"20200111150116893"</f>
        <v>20200111150116893</v>
      </c>
      <c r="B4435" t="str">
        <f>"1578726076882376"</f>
        <v>1578726076882376</v>
      </c>
      <c r="C4435" t="s">
        <v>40</v>
      </c>
      <c r="D4435">
        <v>4.4988939999999999</v>
      </c>
      <c r="E4435">
        <v>0.6818592</v>
      </c>
      <c r="F4435" t="s">
        <v>43</v>
      </c>
      <c r="G4435">
        <v>-305.53750000000002</v>
      </c>
      <c r="H4435">
        <v>-0.05</v>
      </c>
      <c r="I4435">
        <v>3.7703859999999998</v>
      </c>
      <c r="J4435">
        <v>-323.71190000000001</v>
      </c>
      <c r="K4435">
        <v>1.1008770000000001</v>
      </c>
      <c r="L4435">
        <v>16.389559999999999</v>
      </c>
      <c r="M4435">
        <v>0.98045289999999996</v>
      </c>
      <c r="N4435">
        <v>0</v>
      </c>
      <c r="O4435">
        <v>-0.19631460000000001</v>
      </c>
      <c r="P4435">
        <v>0.98205770000000003</v>
      </c>
      <c r="Q4435">
        <v>0.10494050000000001</v>
      </c>
      <c r="R4435">
        <v>-0.1566862</v>
      </c>
      <c r="S4435">
        <v>2.7727659999999998</v>
      </c>
      <c r="T4435">
        <v>-0.17415129999999901</v>
      </c>
      <c r="U4435">
        <v>-1.9143680000000001</v>
      </c>
      <c r="V4435">
        <v>-3.8021760000000002E-2</v>
      </c>
      <c r="W4435">
        <v>0.11837250000000001</v>
      </c>
      <c r="X4435">
        <v>0.99224100000000004</v>
      </c>
      <c r="Y4435">
        <v>0.39527580000000001</v>
      </c>
      <c r="Z4435">
        <v>-2.9368329999999998E-4</v>
      </c>
      <c r="AA4435">
        <v>0.9185624</v>
      </c>
      <c r="AB4435">
        <v>28</v>
      </c>
      <c r="AC4435">
        <v>18.174399999999899</v>
      </c>
      <c r="AD4435">
        <v>-1.1508769999999999</v>
      </c>
      <c r="AE4435">
        <v>-12.619173999999999</v>
      </c>
      <c r="AF4435">
        <v>8.7816067582660295</v>
      </c>
      <c r="AG4435">
        <v>-1.1508769999999999</v>
      </c>
      <c r="AH4435">
        <v>20.243453926645898</v>
      </c>
      <c r="AI4435">
        <v>92.985603028500606</v>
      </c>
      <c r="AJ4435">
        <v>66.548808522410795</v>
      </c>
      <c r="AK4435">
        <v>22.096120971930599</v>
      </c>
      <c r="AL4435">
        <v>83.201815446573207</v>
      </c>
      <c r="AM4435">
        <v>92.194447774944194</v>
      </c>
      <c r="AN4435">
        <v>0.99999995253537199</v>
      </c>
    </row>
    <row r="4436" spans="1:40" x14ac:dyDescent="0.3">
      <c r="A4436" t="str">
        <f>"20200111150116904"</f>
        <v>20200111150116904</v>
      </c>
      <c r="B4436" t="str">
        <f>"1578726076901897"</f>
        <v>1578726076901897</v>
      </c>
      <c r="C4436" t="s">
        <v>40</v>
      </c>
      <c r="D4436">
        <v>4.566643</v>
      </c>
      <c r="E4436">
        <v>0.68111029999999995</v>
      </c>
      <c r="F4436" t="s">
        <v>43</v>
      </c>
      <c r="G4436">
        <v>-305.23540000000003</v>
      </c>
      <c r="H4436">
        <v>-0.05</v>
      </c>
      <c r="I4436">
        <v>3.526993</v>
      </c>
      <c r="J4436">
        <v>-323.5702</v>
      </c>
      <c r="K4436">
        <v>1.1008</v>
      </c>
      <c r="L4436">
        <v>16.358460000000001</v>
      </c>
      <c r="M4436">
        <v>0.97990670000000002</v>
      </c>
      <c r="N4436">
        <v>0</v>
      </c>
      <c r="O4436">
        <v>-0.1990276</v>
      </c>
      <c r="P4436">
        <v>0.98158000000000001</v>
      </c>
      <c r="Q4436">
        <v>0.1051936</v>
      </c>
      <c r="R4436">
        <v>-0.1594854</v>
      </c>
      <c r="S4436">
        <v>2.7659910000000001</v>
      </c>
      <c r="T4436">
        <v>-0.1722899</v>
      </c>
      <c r="U4436">
        <v>-1.9255679999999999</v>
      </c>
      <c r="V4436">
        <v>-3.7911109999999998E-2</v>
      </c>
      <c r="W4436">
        <v>0.1185676</v>
      </c>
      <c r="X4436">
        <v>0.99222200000000005</v>
      </c>
      <c r="Y4436">
        <v>0.39630209999999999</v>
      </c>
      <c r="Z4436">
        <v>-1.7527959999999999E-4</v>
      </c>
      <c r="AA4436">
        <v>0.91812009999999999</v>
      </c>
      <c r="AB4436">
        <v>28</v>
      </c>
      <c r="AC4436">
        <v>18.334799999999898</v>
      </c>
      <c r="AD4436">
        <v>-1.1508</v>
      </c>
      <c r="AE4436">
        <v>-12.831467</v>
      </c>
      <c r="AF4436">
        <v>8.9017321739740307</v>
      </c>
      <c r="AG4436">
        <v>-1.1508</v>
      </c>
      <c r="AH4436">
        <v>20.4678379105397</v>
      </c>
      <c r="AI4436">
        <v>92.951534714293999</v>
      </c>
      <c r="AJ4436">
        <v>66.495143522179802</v>
      </c>
      <c r="AK4436">
        <v>22.349442164610998</v>
      </c>
      <c r="AL4436">
        <v>83.190558169922596</v>
      </c>
      <c r="AM4436">
        <v>92.188109621269405</v>
      </c>
      <c r="AN4436">
        <v>1.0000000126575901</v>
      </c>
    </row>
    <row r="4437" spans="1:40" x14ac:dyDescent="0.3">
      <c r="A4437" t="str">
        <f>"20200111150116915"</f>
        <v>20200111150116915</v>
      </c>
      <c r="B4437" t="str">
        <f>"1578726076912634"</f>
        <v>1578726076912634</v>
      </c>
      <c r="C4437" t="s">
        <v>40</v>
      </c>
      <c r="D4437">
        <v>4.5751600000000003</v>
      </c>
      <c r="E4437">
        <v>0.68091499999999905</v>
      </c>
      <c r="F4437" t="s">
        <v>43</v>
      </c>
      <c r="G4437">
        <v>-305.44529999999997</v>
      </c>
      <c r="H4437">
        <v>-0.05</v>
      </c>
      <c r="I4437">
        <v>3.7058719999999998</v>
      </c>
      <c r="J4437">
        <v>-323.42860000000002</v>
      </c>
      <c r="K4437">
        <v>1.1007209999999901</v>
      </c>
      <c r="L4437">
        <v>16.32687</v>
      </c>
      <c r="M4437">
        <v>0.97934140000000003</v>
      </c>
      <c r="N4437">
        <v>0</v>
      </c>
      <c r="O4437">
        <v>-0.20179420000000001</v>
      </c>
      <c r="P4437">
        <v>0.98118839999999996</v>
      </c>
      <c r="Q4437">
        <v>0.10544679999999999</v>
      </c>
      <c r="R4437">
        <v>-0.1617122</v>
      </c>
      <c r="S4437">
        <v>2.7618710000000002</v>
      </c>
      <c r="T4437">
        <v>-0.1753596</v>
      </c>
      <c r="U4437">
        <v>-1.9280090000000001</v>
      </c>
      <c r="V4437">
        <v>-3.8432960000000002E-2</v>
      </c>
      <c r="W4437">
        <v>0.11877310000000001</v>
      </c>
      <c r="X4437">
        <v>0.99217730000000004</v>
      </c>
      <c r="Y4437">
        <v>0.3948931</v>
      </c>
      <c r="Z4437" s="1">
        <v>1.228042E-5</v>
      </c>
      <c r="AA4437">
        <v>0.91872710000000002</v>
      </c>
      <c r="AB4437">
        <v>28</v>
      </c>
      <c r="AC4437">
        <v>17.9833</v>
      </c>
      <c r="AD4437">
        <v>-1.1507210000000001</v>
      </c>
      <c r="AE4437">
        <v>-12.620998</v>
      </c>
      <c r="AF4437">
        <v>8.7081912270362292</v>
      </c>
      <c r="AG4437">
        <v>-1.1507210000000001</v>
      </c>
      <c r="AH4437">
        <v>20.105188765130102</v>
      </c>
      <c r="AI4437">
        <v>93.006422745778494</v>
      </c>
      <c r="AJ4437">
        <v>66.581042320487896</v>
      </c>
      <c r="AK4437">
        <v>21.940268196810798</v>
      </c>
      <c r="AL4437">
        <v>83.178699789809201</v>
      </c>
      <c r="AM4437">
        <v>92.218299108421903</v>
      </c>
      <c r="AN4437">
        <v>0.99999996816662995</v>
      </c>
    </row>
    <row r="4438" spans="1:40" x14ac:dyDescent="0.3">
      <c r="A4438" t="str">
        <f>"20200111150116932"</f>
        <v>20200111150116932</v>
      </c>
      <c r="B4438" t="str">
        <f>"1578726076922392"</f>
        <v>1578726076922392</v>
      </c>
      <c r="C4438" t="s">
        <v>40</v>
      </c>
      <c r="D4438">
        <v>4.5947529999999999</v>
      </c>
      <c r="E4438">
        <v>0.68080109999999905</v>
      </c>
      <c r="F4438" t="s">
        <v>43</v>
      </c>
      <c r="G4438">
        <v>-305.3974</v>
      </c>
      <c r="H4438">
        <v>-0.05</v>
      </c>
      <c r="I4438">
        <v>3.6852420000000001</v>
      </c>
      <c r="J4438">
        <v>-323.23379999999997</v>
      </c>
      <c r="K4438">
        <v>1.1006129999999901</v>
      </c>
      <c r="L4438">
        <v>16.28256</v>
      </c>
      <c r="M4438">
        <v>0.97853060000000003</v>
      </c>
      <c r="N4438">
        <v>0</v>
      </c>
      <c r="O4438">
        <v>-0.20569390000000001</v>
      </c>
      <c r="P4438">
        <v>0.98071339999999996</v>
      </c>
      <c r="Q4438">
        <v>0.1059076</v>
      </c>
      <c r="R4438">
        <v>-0.164271</v>
      </c>
      <c r="S4438">
        <v>2.7577820000000002</v>
      </c>
      <c r="T4438">
        <v>-0.17599679999999901</v>
      </c>
      <c r="U4438">
        <v>-1.9334720000000001</v>
      </c>
      <c r="V4438">
        <v>-3.9753299999999998E-2</v>
      </c>
      <c r="W4438">
        <v>0.1191812</v>
      </c>
      <c r="X4438">
        <v>0.99207630000000002</v>
      </c>
      <c r="Y4438">
        <v>0.39309870000000002</v>
      </c>
      <c r="Z4438">
        <v>2.7669309999999998E-4</v>
      </c>
      <c r="AA4438">
        <v>0.91949619999999999</v>
      </c>
      <c r="AB4438">
        <v>28</v>
      </c>
      <c r="AC4438">
        <v>17.836399999999902</v>
      </c>
      <c r="AD4438">
        <v>-1.1506130000000001</v>
      </c>
      <c r="AE4438">
        <v>-12.597318</v>
      </c>
      <c r="AF4438">
        <v>8.6347750030179196</v>
      </c>
      <c r="AG4438">
        <v>-1.1506130000000001</v>
      </c>
      <c r="AH4438">
        <v>19.990833214711301</v>
      </c>
      <c r="AI4438">
        <v>93.024619647018</v>
      </c>
      <c r="AJ4438">
        <v>66.638710870715201</v>
      </c>
      <c r="AK4438">
        <v>21.806344541140199</v>
      </c>
      <c r="AL4438">
        <v>83.155149873797498</v>
      </c>
      <c r="AM4438">
        <v>92.294660611101804</v>
      </c>
      <c r="AN4438">
        <v>0.99999993415800703</v>
      </c>
    </row>
    <row r="4439" spans="1:40" x14ac:dyDescent="0.3">
      <c r="A4439" t="str">
        <f>"20200111150116943"</f>
        <v>20200111150116943</v>
      </c>
      <c r="B4439" t="str">
        <f>"1578726076932153"</f>
        <v>1578726076932153</v>
      </c>
      <c r="C4439" t="s">
        <v>40</v>
      </c>
      <c r="D4439">
        <v>4.5893889999999997</v>
      </c>
      <c r="E4439">
        <v>0.68056419999999995</v>
      </c>
      <c r="F4439" t="s">
        <v>43</v>
      </c>
      <c r="G4439">
        <v>-305.21809999999999</v>
      </c>
      <c r="H4439">
        <v>-0.05</v>
      </c>
      <c r="I4439">
        <v>3.5857700000000001</v>
      </c>
      <c r="J4439">
        <v>-323.08139999999997</v>
      </c>
      <c r="K4439">
        <v>1.1005240000000001</v>
      </c>
      <c r="L4439">
        <v>16.247440000000001</v>
      </c>
      <c r="M4439">
        <v>0.97787310000000005</v>
      </c>
      <c r="N4439">
        <v>0</v>
      </c>
      <c r="O4439">
        <v>-0.20880209999999999</v>
      </c>
      <c r="P4439">
        <v>0.98029319999999998</v>
      </c>
      <c r="Q4439">
        <v>0.10658910000000001</v>
      </c>
      <c r="R4439">
        <v>-0.1663261</v>
      </c>
      <c r="S4439">
        <v>2.7529599999999999</v>
      </c>
      <c r="T4439">
        <v>-0.17582420000000001</v>
      </c>
      <c r="U4439">
        <v>-1.940186</v>
      </c>
      <c r="V4439">
        <v>-4.077948E-2</v>
      </c>
      <c r="W4439">
        <v>0.1198236</v>
      </c>
      <c r="X4439">
        <v>0.99195730000000004</v>
      </c>
      <c r="Y4439">
        <v>0.39243919999999999</v>
      </c>
      <c r="Z4439">
        <v>4.6468429999999998E-4</v>
      </c>
      <c r="AA4439">
        <v>0.91977779999999998</v>
      </c>
      <c r="AB4439">
        <v>28</v>
      </c>
      <c r="AC4439">
        <v>17.863299999999899</v>
      </c>
      <c r="AD4439">
        <v>-1.1505239999999901</v>
      </c>
      <c r="AE4439">
        <v>-12.6616699999999</v>
      </c>
      <c r="AF4439">
        <v>8.6285055924013001</v>
      </c>
      <c r="AG4439">
        <v>-1.1505239999999901</v>
      </c>
      <c r="AH4439">
        <v>20.058110048698499</v>
      </c>
      <c r="AI4439">
        <v>93.016187749737696</v>
      </c>
      <c r="AJ4439">
        <v>66.7238140813934</v>
      </c>
      <c r="AK4439">
        <v>21.865557229541999</v>
      </c>
      <c r="AL4439">
        <v>83.118077666320403</v>
      </c>
      <c r="AM4439">
        <v>92.354110576650697</v>
      </c>
      <c r="AN4439">
        <v>0.99999997306466004</v>
      </c>
    </row>
    <row r="4440" spans="1:40" x14ac:dyDescent="0.3">
      <c r="A4440" t="str">
        <f>"20200111150116954"</f>
        <v>20200111150116954</v>
      </c>
      <c r="B4440" t="str">
        <f>"1578726076952648"</f>
        <v>1578726076952648</v>
      </c>
      <c r="C4440" t="s">
        <v>40</v>
      </c>
      <c r="D4440">
        <v>4.6272149999999996</v>
      </c>
      <c r="E4440">
        <v>0.67970339999999996</v>
      </c>
      <c r="F4440" t="s">
        <v>43</v>
      </c>
      <c r="G4440">
        <v>-304.9418</v>
      </c>
      <c r="H4440">
        <v>-0.05</v>
      </c>
      <c r="I4440">
        <v>3.416229</v>
      </c>
      <c r="J4440">
        <v>-322.94330000000002</v>
      </c>
      <c r="K4440">
        <v>1.1004370000000001</v>
      </c>
      <c r="L4440">
        <v>16.214939999999999</v>
      </c>
      <c r="M4440">
        <v>0.97725139999999999</v>
      </c>
      <c r="N4440">
        <v>0</v>
      </c>
      <c r="O4440">
        <v>-0.2116961</v>
      </c>
      <c r="P4440">
        <v>0.97986660000000003</v>
      </c>
      <c r="Q4440">
        <v>0.1073342</v>
      </c>
      <c r="R4440">
        <v>-0.16834830000000001</v>
      </c>
      <c r="S4440">
        <v>2.7492369999999999</v>
      </c>
      <c r="T4440">
        <v>-0.1743738</v>
      </c>
      <c r="U4440">
        <v>-1.9447019999999999</v>
      </c>
      <c r="V4440">
        <v>-4.1620629999999999E-2</v>
      </c>
      <c r="W4440">
        <v>0.12053419999999899</v>
      </c>
      <c r="X4440">
        <v>0.9918363</v>
      </c>
      <c r="Y4440">
        <v>0.39131959999999999</v>
      </c>
      <c r="Z4440">
        <v>6.4931530000000002E-4</v>
      </c>
      <c r="AA4440">
        <v>0.92025460000000003</v>
      </c>
      <c r="AB4440">
        <v>28</v>
      </c>
      <c r="AC4440">
        <v>18.0015</v>
      </c>
      <c r="AD4440">
        <v>-1.1504369999999999</v>
      </c>
      <c r="AE4440">
        <v>-12.798711000000001</v>
      </c>
      <c r="AF4440">
        <v>8.6738949467023794</v>
      </c>
      <c r="AG4440">
        <v>-1.1504369999999999</v>
      </c>
      <c r="AH4440">
        <v>20.248167177811801</v>
      </c>
      <c r="AI4440">
        <v>92.9896449483754</v>
      </c>
      <c r="AJ4440">
        <v>66.810711885179003</v>
      </c>
      <c r="AK4440">
        <v>22.0578383550613</v>
      </c>
      <c r="AL4440">
        <v>83.077066285183307</v>
      </c>
      <c r="AM4440">
        <v>92.402904770526305</v>
      </c>
      <c r="AN4440">
        <v>1.00000000810446</v>
      </c>
    </row>
    <row r="4441" spans="1:40" x14ac:dyDescent="0.3">
      <c r="A4441" t="str">
        <f>"20200111150116966"</f>
        <v>20200111150116966</v>
      </c>
      <c r="B4441" t="str">
        <f>"1578726076962408"</f>
        <v>1578726076962408</v>
      </c>
      <c r="C4441" t="s">
        <v>40</v>
      </c>
      <c r="D4441">
        <v>4.602017</v>
      </c>
      <c r="E4441">
        <v>0.67950239999999995</v>
      </c>
      <c r="F4441" t="s">
        <v>43</v>
      </c>
      <c r="G4441">
        <v>-304.67880000000002</v>
      </c>
      <c r="H4441">
        <v>-0.05</v>
      </c>
      <c r="I4441">
        <v>3.2885589999999998</v>
      </c>
      <c r="J4441">
        <v>-322.79950000000002</v>
      </c>
      <c r="K4441">
        <v>1.1003430000000001</v>
      </c>
      <c r="L4441">
        <v>16.180599999999998</v>
      </c>
      <c r="M4441">
        <v>0.97658250000000002</v>
      </c>
      <c r="N4441">
        <v>0</v>
      </c>
      <c r="O4441">
        <v>-0.2147628</v>
      </c>
      <c r="P4441">
        <v>0.97936650000000003</v>
      </c>
      <c r="Q4441">
        <v>0.10813440000000001</v>
      </c>
      <c r="R4441">
        <v>-0.1707283</v>
      </c>
      <c r="S4441">
        <v>2.7466740000000001</v>
      </c>
      <c r="T4441">
        <v>-0.17300639999999901</v>
      </c>
      <c r="U4441">
        <v>-1.9439090000000001</v>
      </c>
      <c r="V4441">
        <v>-4.227123E-2</v>
      </c>
      <c r="W4441">
        <v>0.12129529999999999</v>
      </c>
      <c r="X4441">
        <v>0.99171600000000004</v>
      </c>
      <c r="Y4441">
        <v>0.38866780000000001</v>
      </c>
      <c r="Z4441">
        <v>8.8454319999999996E-4</v>
      </c>
      <c r="AA4441">
        <v>0.92137749999999996</v>
      </c>
      <c r="AB4441">
        <v>28</v>
      </c>
      <c r="AC4441">
        <v>18.120699999999999</v>
      </c>
      <c r="AD4441">
        <v>-1.1503429999999999</v>
      </c>
      <c r="AE4441">
        <v>-12.892041000000001</v>
      </c>
      <c r="AF4441">
        <v>8.6759867752236293</v>
      </c>
      <c r="AG4441">
        <v>-1.1503429999999999</v>
      </c>
      <c r="AH4441">
        <v>20.412147102730099</v>
      </c>
      <c r="AI4441">
        <v>92.9689988651742</v>
      </c>
      <c r="AJ4441">
        <v>66.972548343472198</v>
      </c>
      <c r="AK4441">
        <v>22.209272497877901</v>
      </c>
      <c r="AL4441">
        <v>83.033136199584803</v>
      </c>
      <c r="AM4441">
        <v>92.440716800770403</v>
      </c>
      <c r="AN4441">
        <v>1.0000000156719</v>
      </c>
    </row>
    <row r="4442" spans="1:40" x14ac:dyDescent="0.3">
      <c r="A4442" t="str">
        <f>"20200111150116978"</f>
        <v>20200111150116978</v>
      </c>
      <c r="B4442" t="str">
        <f>"1578726076972168"</f>
        <v>1578726076972168</v>
      </c>
      <c r="C4442" t="s">
        <v>40</v>
      </c>
      <c r="D4442">
        <v>4.622293</v>
      </c>
      <c r="E4442">
        <v>0.67931490000000005</v>
      </c>
      <c r="F4442" t="s">
        <v>43</v>
      </c>
      <c r="G4442">
        <v>-304.41739999999999</v>
      </c>
      <c r="H4442">
        <v>-0.05</v>
      </c>
      <c r="I4442">
        <v>3.117416</v>
      </c>
      <c r="J4442">
        <v>-322.64150000000001</v>
      </c>
      <c r="K4442">
        <v>1.1002350000000001</v>
      </c>
      <c r="L4442">
        <v>16.142399999999999</v>
      </c>
      <c r="M4442">
        <v>0.97582360000000001</v>
      </c>
      <c r="N4442">
        <v>0</v>
      </c>
      <c r="O4442">
        <v>-0.21818969999999999</v>
      </c>
      <c r="P4442">
        <v>0.97880040000000001</v>
      </c>
      <c r="Q4442">
        <v>0.1088021</v>
      </c>
      <c r="R4442">
        <v>-0.17352979999999901</v>
      </c>
      <c r="S4442">
        <v>2.7424010000000001</v>
      </c>
      <c r="T4442">
        <v>-0.17161860000000001</v>
      </c>
      <c r="U4442">
        <v>-1.9488829999999999</v>
      </c>
      <c r="V4442">
        <v>-4.286235E-2</v>
      </c>
      <c r="W4442">
        <v>0.1219182</v>
      </c>
      <c r="X4442">
        <v>0.9916142</v>
      </c>
      <c r="Y4442">
        <v>0.38723069999999998</v>
      </c>
      <c r="Z4442">
        <v>1.100515E-3</v>
      </c>
      <c r="AA4442">
        <v>0.92198219999999997</v>
      </c>
      <c r="AB4442">
        <v>28</v>
      </c>
      <c r="AC4442">
        <v>18.2241</v>
      </c>
      <c r="AD4442">
        <v>-1.1502349999999999</v>
      </c>
      <c r="AE4442">
        <v>-13.0249839999999</v>
      </c>
      <c r="AF4442">
        <v>8.7115113079030202</v>
      </c>
      <c r="AG4442">
        <v>-1.1502349999999999</v>
      </c>
      <c r="AH4442">
        <v>20.5728449070644</v>
      </c>
      <c r="AI4442">
        <v>92.947257317364006</v>
      </c>
      <c r="AJ4442">
        <v>67.049912888585894</v>
      </c>
      <c r="AK4442">
        <v>22.3708608996854</v>
      </c>
      <c r="AL4442">
        <v>82.997179517397598</v>
      </c>
      <c r="AM4442">
        <v>92.475059339809107</v>
      </c>
      <c r="AN4442">
        <v>0.999999975090201</v>
      </c>
    </row>
    <row r="4443" spans="1:40" x14ac:dyDescent="0.3">
      <c r="A4443" t="str">
        <f>"20200111150116990"</f>
        <v>20200111150116990</v>
      </c>
      <c r="B4443" t="str">
        <f>"1578726076982436"</f>
        <v>1578726076982436</v>
      </c>
      <c r="C4443" t="s">
        <v>40</v>
      </c>
      <c r="D4443">
        <v>4.6429419999999997</v>
      </c>
      <c r="E4443">
        <v>0.67894929999999998</v>
      </c>
      <c r="F4443" t="s">
        <v>43</v>
      </c>
      <c r="G4443">
        <v>-304.25319999999999</v>
      </c>
      <c r="H4443">
        <v>-0.05</v>
      </c>
      <c r="I4443">
        <v>3.0104829999999998</v>
      </c>
      <c r="J4443">
        <v>-322.50369999999998</v>
      </c>
      <c r="K4443">
        <v>1.100139</v>
      </c>
      <c r="L4443">
        <v>16.108280000000001</v>
      </c>
      <c r="M4443">
        <v>0.97513030000000001</v>
      </c>
      <c r="N4443">
        <v>0</v>
      </c>
      <c r="O4443">
        <v>-0.22127060000000001</v>
      </c>
      <c r="P4443">
        <v>0.97826219999999997</v>
      </c>
      <c r="Q4443">
        <v>0.1095584</v>
      </c>
      <c r="R4443">
        <v>-0.17606830000000001</v>
      </c>
      <c r="S4443">
        <v>2.7373959999999999</v>
      </c>
      <c r="T4443">
        <v>-0.17123099999999999</v>
      </c>
      <c r="U4443">
        <v>-1.954895</v>
      </c>
      <c r="V4443">
        <v>-4.3368719999999999E-2</v>
      </c>
      <c r="W4443">
        <v>0.1226276</v>
      </c>
      <c r="X4443">
        <v>0.99150470000000002</v>
      </c>
      <c r="Y4443">
        <v>0.38646239999999998</v>
      </c>
      <c r="Z4443">
        <v>1.2835800000000001E-3</v>
      </c>
      <c r="AA4443">
        <v>0.92230429999999997</v>
      </c>
      <c r="AB4443">
        <v>28</v>
      </c>
      <c r="AC4443">
        <v>18.250499999999899</v>
      </c>
      <c r="AD4443">
        <v>-1.150139</v>
      </c>
      <c r="AE4443">
        <v>-13.097797</v>
      </c>
      <c r="AF4443">
        <v>8.7116231646483193</v>
      </c>
      <c r="AG4443">
        <v>-1.150139</v>
      </c>
      <c r="AH4443">
        <v>20.642320251883</v>
      </c>
      <c r="AI4443">
        <v>92.938603793849694</v>
      </c>
      <c r="AJ4443">
        <v>67.118926345089704</v>
      </c>
      <c r="AK4443">
        <v>22.434807404198001</v>
      </c>
      <c r="AL4443">
        <v>82.956226579101497</v>
      </c>
      <c r="AM4443">
        <v>92.504538561727799</v>
      </c>
      <c r="AN4443">
        <v>0.99999997213914305</v>
      </c>
    </row>
    <row r="4444" spans="1:40" x14ac:dyDescent="0.3">
      <c r="A4444" t="str">
        <f>"20200111150117002"</f>
        <v>20200111150117002</v>
      </c>
      <c r="B4444" t="str">
        <f>"1578726076992198"</f>
        <v>1578726076992198</v>
      </c>
      <c r="C4444" t="s">
        <v>40</v>
      </c>
      <c r="D4444">
        <v>4.6423389999999998</v>
      </c>
      <c r="E4444">
        <v>0.67891509999999999</v>
      </c>
      <c r="F4444" t="s">
        <v>43</v>
      </c>
      <c r="G4444">
        <v>-304.00220000000002</v>
      </c>
      <c r="H4444">
        <v>-0.05</v>
      </c>
      <c r="I4444">
        <v>2.8451080000000002</v>
      </c>
      <c r="J4444">
        <v>-322.3458</v>
      </c>
      <c r="K4444">
        <v>1.1000259999999999</v>
      </c>
      <c r="L4444">
        <v>16.06888</v>
      </c>
      <c r="M4444">
        <v>0.97431619999999997</v>
      </c>
      <c r="N4444">
        <v>0</v>
      </c>
      <c r="O4444">
        <v>-0.22483249999999999</v>
      </c>
      <c r="P4444">
        <v>0.97755049999999999</v>
      </c>
      <c r="Q4444">
        <v>0.1103763</v>
      </c>
      <c r="R4444">
        <v>-0.17947779999999999</v>
      </c>
      <c r="S4444">
        <v>2.733063</v>
      </c>
      <c r="T4444">
        <v>-0.16990039999999901</v>
      </c>
      <c r="U4444">
        <v>-1.9592590000000001</v>
      </c>
      <c r="V4444">
        <v>-4.3474779999999998E-2</v>
      </c>
      <c r="W4444">
        <v>0.1233833</v>
      </c>
      <c r="X4444">
        <v>0.99140629999999996</v>
      </c>
      <c r="Y4444">
        <v>0.3847662</v>
      </c>
      <c r="Z4444">
        <v>1.509154E-3</v>
      </c>
      <c r="AA4444">
        <v>0.92301290000000003</v>
      </c>
      <c r="AB4444">
        <v>28</v>
      </c>
      <c r="AC4444">
        <v>18.343599999999899</v>
      </c>
      <c r="AD4444">
        <v>-1.150026</v>
      </c>
      <c r="AE4444">
        <v>-13.223772</v>
      </c>
      <c r="AF4444">
        <v>8.7379914637625902</v>
      </c>
      <c r="AG4444">
        <v>-1.150026</v>
      </c>
      <c r="AH4444">
        <v>20.793470587984199</v>
      </c>
      <c r="AI4444">
        <v>92.918868722055507</v>
      </c>
      <c r="AJ4444">
        <v>67.206507199798196</v>
      </c>
      <c r="AK4444">
        <v>22.5841420849858</v>
      </c>
      <c r="AL4444">
        <v>82.912596841011194</v>
      </c>
      <c r="AM4444">
        <v>92.510904557639506</v>
      </c>
      <c r="AN4444">
        <v>0.99999997344731295</v>
      </c>
    </row>
    <row r="4445" spans="1:40" x14ac:dyDescent="0.3">
      <c r="A4445" t="str">
        <f>"20200111150117013"</f>
        <v>20200111150117013</v>
      </c>
      <c r="B4445" t="str">
        <f>"1578726077001957"</f>
        <v>1578726077001957</v>
      </c>
      <c r="C4445" t="s">
        <v>40</v>
      </c>
      <c r="D4445">
        <v>4.6225829999999997</v>
      </c>
      <c r="E4445">
        <v>0.67885209999999996</v>
      </c>
      <c r="F4445" t="s">
        <v>43</v>
      </c>
      <c r="G4445">
        <v>-303.70830000000001</v>
      </c>
      <c r="H4445">
        <v>-0.05</v>
      </c>
      <c r="I4445">
        <v>2.611847</v>
      </c>
      <c r="J4445">
        <v>-322.19819999999999</v>
      </c>
      <c r="K4445">
        <v>1.0999139999999901</v>
      </c>
      <c r="L4445">
        <v>16.03116</v>
      </c>
      <c r="M4445">
        <v>0.97352019999999995</v>
      </c>
      <c r="N4445">
        <v>0</v>
      </c>
      <c r="O4445">
        <v>-0.22825870000000001</v>
      </c>
      <c r="P4445">
        <v>0.97685010000000005</v>
      </c>
      <c r="Q4445">
        <v>0.1112756</v>
      </c>
      <c r="R4445">
        <v>-0.18270620000000001</v>
      </c>
      <c r="S4445">
        <v>2.7264400000000002</v>
      </c>
      <c r="T4445">
        <v>-0.16823460000000001</v>
      </c>
      <c r="U4445">
        <v>-1.9685969999999999</v>
      </c>
      <c r="V4445">
        <v>-4.3624799999999998E-2</v>
      </c>
      <c r="W4445">
        <v>0.1242156</v>
      </c>
      <c r="X4445">
        <v>0.99129579999999995</v>
      </c>
      <c r="Y4445">
        <v>0.3846695</v>
      </c>
      <c r="Z4445">
        <v>1.6762630000000001E-3</v>
      </c>
      <c r="AA4445">
        <v>0.92305280000000001</v>
      </c>
      <c r="AB4445">
        <v>28</v>
      </c>
      <c r="AC4445">
        <v>18.489899999999899</v>
      </c>
      <c r="AD4445">
        <v>-1.1499140000000001</v>
      </c>
      <c r="AE4445">
        <v>-13.419313000000001</v>
      </c>
      <c r="AF4445">
        <v>8.8218343707913096</v>
      </c>
      <c r="AG4445">
        <v>-1.1499140000000001</v>
      </c>
      <c r="AH4445">
        <v>21.0117827210115</v>
      </c>
      <c r="AI4445">
        <v>92.888699504019698</v>
      </c>
      <c r="AJ4445">
        <v>67.224813621000607</v>
      </c>
      <c r="AK4445">
        <v>22.817582628054002</v>
      </c>
      <c r="AL4445">
        <v>82.864540067180698</v>
      </c>
      <c r="AM4445">
        <v>92.519838374288497</v>
      </c>
      <c r="AN4445">
        <v>1.0000000007780101</v>
      </c>
    </row>
    <row r="4446" spans="1:40" x14ac:dyDescent="0.3">
      <c r="A4446" t="str">
        <f>"20200111150117026"</f>
        <v>20200111150117026</v>
      </c>
      <c r="B4446" t="str">
        <f>"1578726077022452"</f>
        <v>1578726077022452</v>
      </c>
      <c r="C4446" t="s">
        <v>40</v>
      </c>
      <c r="D4446">
        <v>4.6447419999999999</v>
      </c>
      <c r="E4446">
        <v>0.67864360000000001</v>
      </c>
      <c r="F4446" t="s">
        <v>43</v>
      </c>
      <c r="G4446">
        <v>-303.40260000000001</v>
      </c>
      <c r="H4446">
        <v>-0.05</v>
      </c>
      <c r="I4446">
        <v>2.3706969999999998</v>
      </c>
      <c r="J4446">
        <v>-322.05290000000002</v>
      </c>
      <c r="K4446">
        <v>1.0998129999999999</v>
      </c>
      <c r="L4446">
        <v>15.993589999999999</v>
      </c>
      <c r="M4446">
        <v>0.97271379999999996</v>
      </c>
      <c r="N4446">
        <v>0</v>
      </c>
      <c r="O4446">
        <v>-0.2316753</v>
      </c>
      <c r="P4446">
        <v>0.97608249999999996</v>
      </c>
      <c r="Q4446">
        <v>0.112358399999999</v>
      </c>
      <c r="R4446">
        <v>-0.18611539999999999</v>
      </c>
      <c r="S4446">
        <v>2.7202449999999998</v>
      </c>
      <c r="T4446">
        <v>-0.16642460000000001</v>
      </c>
      <c r="U4446">
        <v>-1.9770509999999999</v>
      </c>
      <c r="V4446">
        <v>-4.3575259999999998E-2</v>
      </c>
      <c r="W4446">
        <v>0.12522710000000001</v>
      </c>
      <c r="X4446">
        <v>0.99117069999999996</v>
      </c>
      <c r="Y4446">
        <v>0.38431409999999999</v>
      </c>
      <c r="Z4446">
        <v>1.8448850000000001E-3</v>
      </c>
      <c r="AA4446">
        <v>0.92320049999999998</v>
      </c>
      <c r="AB4446">
        <v>28</v>
      </c>
      <c r="AC4446">
        <v>18.650300000000001</v>
      </c>
      <c r="AD4446">
        <v>-1.149813</v>
      </c>
      <c r="AE4446">
        <v>-13.622892999999999</v>
      </c>
      <c r="AF4446">
        <v>8.9089709365953897</v>
      </c>
      <c r="AG4446">
        <v>-1.149813</v>
      </c>
      <c r="AH4446">
        <v>21.246477322076998</v>
      </c>
      <c r="AI4446">
        <v>92.857138761689399</v>
      </c>
      <c r="AJ4446">
        <v>67.250955038231595</v>
      </c>
      <c r="AK4446">
        <v>23.067393257184602</v>
      </c>
      <c r="AL4446">
        <v>82.806129246359106</v>
      </c>
      <c r="AM4446">
        <v>92.517297817118205</v>
      </c>
      <c r="AN4446">
        <v>0.99999999319848298</v>
      </c>
    </row>
    <row r="4447" spans="1:40" x14ac:dyDescent="0.3">
      <c r="A4447" t="str">
        <f>"20200111150117039"</f>
        <v>20200111150117039</v>
      </c>
      <c r="B4447" t="str">
        <f>"1578726077032212"</f>
        <v>1578726077032212</v>
      </c>
      <c r="C4447" t="s">
        <v>40</v>
      </c>
      <c r="D4447">
        <v>4.6388429999999996</v>
      </c>
      <c r="E4447">
        <v>0.67851700000000004</v>
      </c>
      <c r="F4447" t="s">
        <v>43</v>
      </c>
      <c r="G4447">
        <v>-303.13959999999997</v>
      </c>
      <c r="H4447">
        <v>-0.05</v>
      </c>
      <c r="I4447">
        <v>2.1613769999999999</v>
      </c>
      <c r="J4447">
        <v>-321.88499999999999</v>
      </c>
      <c r="K4447">
        <v>1.099696</v>
      </c>
      <c r="L4447">
        <v>15.94952</v>
      </c>
      <c r="M4447">
        <v>0.97175319999999998</v>
      </c>
      <c r="N4447">
        <v>0</v>
      </c>
      <c r="O4447">
        <v>-0.23567769999999999</v>
      </c>
      <c r="P4447">
        <v>0.97511910000000002</v>
      </c>
      <c r="Q4447">
        <v>0.1132876</v>
      </c>
      <c r="R4447">
        <v>-0.19054950000000001</v>
      </c>
      <c r="S4447">
        <v>2.7140200000000001</v>
      </c>
      <c r="T4447">
        <v>-0.1649958</v>
      </c>
      <c r="U4447">
        <v>-1.9848939999999999</v>
      </c>
      <c r="V4447">
        <v>-4.3082889999999999E-2</v>
      </c>
      <c r="W4447">
        <v>0.12606589999999901</v>
      </c>
      <c r="X4447">
        <v>0.99108589999999996</v>
      </c>
      <c r="Y4447">
        <v>0.38326949999999999</v>
      </c>
      <c r="Z4447">
        <v>2.0630240000000001E-3</v>
      </c>
      <c r="AA4447">
        <v>0.92363419999999896</v>
      </c>
      <c r="AB4447">
        <v>29</v>
      </c>
      <c r="AC4447">
        <v>18.7454</v>
      </c>
      <c r="AD4447">
        <v>-1.1496959999999901</v>
      </c>
      <c r="AE4447">
        <v>-13.788143</v>
      </c>
      <c r="AF4447">
        <v>8.95961049389072</v>
      </c>
      <c r="AG4447">
        <v>-1.1496959999999901</v>
      </c>
      <c r="AH4447">
        <v>21.414815774257399</v>
      </c>
      <c r="AI4447">
        <v>92.835367464634103</v>
      </c>
      <c r="AJ4447">
        <v>67.296359041816302</v>
      </c>
      <c r="AK4447">
        <v>23.2420041248606</v>
      </c>
      <c r="AL4447">
        <v>82.757685710402797</v>
      </c>
      <c r="AM4447">
        <v>92.489102770701095</v>
      </c>
      <c r="AN4447">
        <v>1.00000000386618</v>
      </c>
    </row>
    <row r="4448" spans="1:40" x14ac:dyDescent="0.3">
      <c r="A4448" t="str">
        <f>"20200111150117050"</f>
        <v>20200111150117050</v>
      </c>
      <c r="B4448" t="str">
        <f>"1578726077041972"</f>
        <v>1578726077041972</v>
      </c>
      <c r="C4448" t="s">
        <v>40</v>
      </c>
      <c r="D4448">
        <v>4.627389</v>
      </c>
      <c r="E4448">
        <v>0.67846649999999997</v>
      </c>
      <c r="F4448" t="s">
        <v>43</v>
      </c>
      <c r="G4448">
        <v>-302.86700000000002</v>
      </c>
      <c r="H4448">
        <v>-0.05</v>
      </c>
      <c r="I4448">
        <v>1.91658</v>
      </c>
      <c r="J4448">
        <v>-321.74090000000001</v>
      </c>
      <c r="K4448">
        <v>1.0996060000000001</v>
      </c>
      <c r="L4448">
        <v>15.910740000000001</v>
      </c>
      <c r="M4448">
        <v>0.97089389999999998</v>
      </c>
      <c r="N4448">
        <v>0</v>
      </c>
      <c r="O4448">
        <v>-0.23919679999999999</v>
      </c>
      <c r="P4448">
        <v>0.97422260000000005</v>
      </c>
      <c r="Q4448">
        <v>0.11374040000000001</v>
      </c>
      <c r="R4448">
        <v>-0.19481709999999999</v>
      </c>
      <c r="S4448">
        <v>2.7054749999999999</v>
      </c>
      <c r="T4448">
        <v>-0.16355410000000001</v>
      </c>
      <c r="U4448">
        <v>-1.9963070000000001</v>
      </c>
      <c r="V4448">
        <v>-4.2290710000000002E-2</v>
      </c>
      <c r="W4448">
        <v>0.1264344</v>
      </c>
      <c r="X4448">
        <v>0.99107310000000004</v>
      </c>
      <c r="Y4448">
        <v>0.38384610000000002</v>
      </c>
      <c r="Z4448">
        <v>2.209192E-3</v>
      </c>
      <c r="AA4448">
        <v>0.92339439999999995</v>
      </c>
      <c r="AB4448">
        <v>29</v>
      </c>
      <c r="AC4448">
        <v>18.8738999999999</v>
      </c>
      <c r="AD4448">
        <v>-1.1496059999999999</v>
      </c>
      <c r="AE4448">
        <v>-13.994160000000001</v>
      </c>
      <c r="AF4448">
        <v>9.0512801335384996</v>
      </c>
      <c r="AG4448">
        <v>-1.1496059999999999</v>
      </c>
      <c r="AH4448">
        <v>21.621776442989699</v>
      </c>
      <c r="AI4448">
        <v>92.807817288632194</v>
      </c>
      <c r="AJ4448">
        <v>67.284902307426094</v>
      </c>
      <c r="AK4448">
        <v>23.468031075521701</v>
      </c>
      <c r="AL4448">
        <v>82.7364020706746</v>
      </c>
      <c r="AM4448">
        <v>92.443422283848804</v>
      </c>
      <c r="AN4448">
        <v>1.00000002559963</v>
      </c>
    </row>
    <row r="4449" spans="1:40" x14ac:dyDescent="0.3">
      <c r="A4449" t="str">
        <f>"20200111150117066"</f>
        <v>20200111150117066</v>
      </c>
      <c r="B4449" t="str">
        <f>"1578726077062469"</f>
        <v>1578726077062469</v>
      </c>
      <c r="C4449" t="s">
        <v>40</v>
      </c>
      <c r="D4449">
        <v>4.6236189999999997</v>
      </c>
      <c r="E4449">
        <v>0.67853680000000005</v>
      </c>
      <c r="F4449" t="s">
        <v>43</v>
      </c>
      <c r="G4449">
        <v>-302.80939999999998</v>
      </c>
      <c r="H4449">
        <v>-0.05</v>
      </c>
      <c r="I4449">
        <v>1.8183290000000001</v>
      </c>
      <c r="J4449">
        <v>-321.5496</v>
      </c>
      <c r="K4449">
        <v>1.0994919999999999</v>
      </c>
      <c r="L4449">
        <v>15.858610000000001</v>
      </c>
      <c r="M4449">
        <v>0.96971949999999996</v>
      </c>
      <c r="N4449">
        <v>0</v>
      </c>
      <c r="O4449">
        <v>-0.24391969999999999</v>
      </c>
      <c r="P4449">
        <v>0.97276439999999997</v>
      </c>
      <c r="Q4449">
        <v>0.1145905</v>
      </c>
      <c r="R4449">
        <v>-0.20149059999999999</v>
      </c>
      <c r="S4449">
        <v>2.6970209999999999</v>
      </c>
      <c r="T4449">
        <v>-0.163775</v>
      </c>
      <c r="U4449">
        <v>-2.0076290000000001</v>
      </c>
      <c r="V4449">
        <v>-4.0251929999999998E-2</v>
      </c>
      <c r="W4449">
        <v>0.12715850000000001</v>
      </c>
      <c r="X4449">
        <v>0.99106530000000004</v>
      </c>
      <c r="Y4449">
        <v>0.38323790000000002</v>
      </c>
      <c r="Z4449">
        <v>2.4697040000000001E-3</v>
      </c>
      <c r="AA4449">
        <v>0.92364639999999998</v>
      </c>
      <c r="AB4449">
        <v>29</v>
      </c>
      <c r="AC4449">
        <v>18.740200000000002</v>
      </c>
      <c r="AD4449">
        <v>-1.149492</v>
      </c>
      <c r="AE4449">
        <v>-14.040281</v>
      </c>
      <c r="AF4449">
        <v>9.0229531743036002</v>
      </c>
      <c r="AG4449">
        <v>-1.149492</v>
      </c>
      <c r="AH4449">
        <v>21.547105619650001</v>
      </c>
      <c r="AI4449">
        <v>92.817116765159</v>
      </c>
      <c r="AJ4449">
        <v>67.278269509441401</v>
      </c>
      <c r="AK4449">
        <v>23.388304265766902</v>
      </c>
      <c r="AL4449">
        <v>82.694576171460398</v>
      </c>
      <c r="AM4449">
        <v>92.325778987289198</v>
      </c>
      <c r="AN4449">
        <v>0.999999965427531</v>
      </c>
    </row>
    <row r="4450" spans="1:40" x14ac:dyDescent="0.3">
      <c r="A4450" t="str">
        <f>"20200111150117079"</f>
        <v>20200111150117079</v>
      </c>
      <c r="B4450" t="str">
        <f>"1578726077072229"</f>
        <v>1578726077072229</v>
      </c>
      <c r="C4450" t="s">
        <v>40</v>
      </c>
      <c r="D4450">
        <v>4.6573140000000004</v>
      </c>
      <c r="E4450">
        <v>0.70095669999999899</v>
      </c>
      <c r="F4450" t="s">
        <v>43</v>
      </c>
      <c r="G4450">
        <v>-302.66129999999998</v>
      </c>
      <c r="H4450">
        <v>-0.05</v>
      </c>
      <c r="I4450">
        <v>1.5963130000000001</v>
      </c>
      <c r="J4450">
        <v>-321.38639999999998</v>
      </c>
      <c r="K4450">
        <v>1.09939599999999</v>
      </c>
      <c r="L4450">
        <v>15.813420000000001</v>
      </c>
      <c r="M4450">
        <v>0.96868350000000003</v>
      </c>
      <c r="N4450">
        <v>0</v>
      </c>
      <c r="O4450">
        <v>-0.24800639999999999</v>
      </c>
      <c r="P4450">
        <v>0.9716072</v>
      </c>
      <c r="Q4450">
        <v>0.1149076</v>
      </c>
      <c r="R4450">
        <v>-0.2068228</v>
      </c>
      <c r="S4450">
        <v>2.6835330000000002</v>
      </c>
      <c r="T4450">
        <v>-0.16331319999999999</v>
      </c>
      <c r="U4450">
        <v>-2.0263059999999999</v>
      </c>
      <c r="V4450">
        <v>-3.8954999999999997E-2</v>
      </c>
      <c r="W4450">
        <v>0.12737419999999999</v>
      </c>
      <c r="X4450">
        <v>0.99108949999999996</v>
      </c>
      <c r="Y4450">
        <v>0.38567230000000002</v>
      </c>
      <c r="Z4450">
        <v>2.6063589999999999E-3</v>
      </c>
      <c r="AA4450">
        <v>0.92263220000000001</v>
      </c>
      <c r="AB4450">
        <v>29</v>
      </c>
      <c r="AC4450">
        <v>18.725100000000001</v>
      </c>
      <c r="AD4450">
        <v>-1.1493960000000001</v>
      </c>
      <c r="AE4450">
        <v>-14.217107</v>
      </c>
      <c r="AF4450">
        <v>9.1068289009932695</v>
      </c>
      <c r="AG4450">
        <v>-1.1493960000000001</v>
      </c>
      <c r="AH4450">
        <v>21.6145411459818</v>
      </c>
      <c r="AI4450">
        <v>92.805532042032596</v>
      </c>
      <c r="AJ4450">
        <v>67.152906175904207</v>
      </c>
      <c r="AK4450">
        <v>23.4828412409598</v>
      </c>
      <c r="AL4450">
        <v>82.682116687169597</v>
      </c>
      <c r="AM4450">
        <v>92.250865104400106</v>
      </c>
      <c r="AN4450">
        <v>1.0000000379304399</v>
      </c>
    </row>
    <row r="4451" spans="1:40" x14ac:dyDescent="0.3">
      <c r="A4451" t="str">
        <f>"20200111150117092"</f>
        <v>20200111150117092</v>
      </c>
      <c r="B4451" t="str">
        <f>"1578726077082498"</f>
        <v>1578726077082498</v>
      </c>
      <c r="C4451" t="s">
        <v>40</v>
      </c>
      <c r="D4451">
        <v>4.6260329999999996</v>
      </c>
      <c r="E4451">
        <v>0.70268739999999996</v>
      </c>
      <c r="F4451" t="s">
        <v>42</v>
      </c>
      <c r="G4451">
        <v>-289.23009999999999</v>
      </c>
      <c r="H4451">
        <v>7.9986600000000005E-2</v>
      </c>
      <c r="I4451">
        <v>-11.26155</v>
      </c>
      <c r="J4451">
        <v>-321.2346</v>
      </c>
      <c r="K4451">
        <v>1.0993120000000001</v>
      </c>
      <c r="L4451">
        <v>15.770479999999999</v>
      </c>
      <c r="M4451">
        <v>0.96756540000000002</v>
      </c>
      <c r="N4451">
        <v>0</v>
      </c>
      <c r="O4451">
        <v>-0.25234800000000002</v>
      </c>
      <c r="P4451">
        <v>0.97041290000000002</v>
      </c>
      <c r="Q4451">
        <v>0.1152677</v>
      </c>
      <c r="R4451">
        <v>-0.2121603</v>
      </c>
      <c r="S4451">
        <v>2.626709</v>
      </c>
      <c r="T4451">
        <v>-8.3271269999999994E-2</v>
      </c>
      <c r="U4451">
        <v>-2.2116389999999999</v>
      </c>
      <c r="V4451">
        <v>-3.793212E-2</v>
      </c>
      <c r="W4451">
        <v>0.12741150000000001</v>
      </c>
      <c r="X4451">
        <v>0.99112429999999996</v>
      </c>
      <c r="Y4451">
        <v>0.43013269999999998</v>
      </c>
      <c r="Z4451">
        <v>8.1532729999999904E-4</v>
      </c>
      <c r="AA4451">
        <v>0.90276529999999999</v>
      </c>
      <c r="AB4451">
        <v>29</v>
      </c>
      <c r="AC4451">
        <v>32.0045</v>
      </c>
      <c r="AD4451">
        <v>-1.0193254</v>
      </c>
      <c r="AE4451">
        <v>-27.032029999999999</v>
      </c>
      <c r="AF4451">
        <v>18.069532361246601</v>
      </c>
      <c r="AG4451">
        <v>-1.0193254</v>
      </c>
      <c r="AH4451">
        <v>37.7681673082052</v>
      </c>
      <c r="AI4451">
        <v>91.394652030646995</v>
      </c>
      <c r="AJ4451">
        <v>64.432015386876103</v>
      </c>
      <c r="AK4451">
        <v>41.880562148159001</v>
      </c>
      <c r="AL4451">
        <v>82.679961403754803</v>
      </c>
      <c r="AM4451">
        <v>92.191743448059299</v>
      </c>
      <c r="AN4451">
        <v>0.99999995705521605</v>
      </c>
    </row>
    <row r="4452" spans="1:40" x14ac:dyDescent="0.3">
      <c r="A4452" t="str">
        <f>"20200111150117105"</f>
        <v>20200111150117105</v>
      </c>
      <c r="B4452" t="str">
        <f>"1578726077102015"</f>
        <v>1578726077102015</v>
      </c>
      <c r="C4452" t="s">
        <v>40</v>
      </c>
      <c r="D4452">
        <v>4.347645</v>
      </c>
      <c r="E4452">
        <v>0.70384760000000002</v>
      </c>
      <c r="F4452" t="s">
        <v>42</v>
      </c>
      <c r="G4452">
        <v>-288.91039999999998</v>
      </c>
      <c r="H4452">
        <v>7.9986409999999994E-2</v>
      </c>
      <c r="I4452">
        <v>-11.948980000000001</v>
      </c>
      <c r="J4452">
        <v>-321.06349999999998</v>
      </c>
      <c r="K4452">
        <v>1.0991759999999999</v>
      </c>
      <c r="L4452">
        <v>15.72165</v>
      </c>
      <c r="M4452">
        <v>0.96623610000000004</v>
      </c>
      <c r="N4452">
        <v>0</v>
      </c>
      <c r="O4452">
        <v>-0.257407</v>
      </c>
      <c r="P4452">
        <v>0.96904729999999994</v>
      </c>
      <c r="Q4452">
        <v>0.1159081</v>
      </c>
      <c r="R4452">
        <v>-0.2179738</v>
      </c>
      <c r="S4452">
        <v>2.6116030000000001</v>
      </c>
      <c r="T4452">
        <v>-8.235526E-2</v>
      </c>
      <c r="U4452">
        <v>-2.239563</v>
      </c>
      <c r="V4452">
        <v>-3.7136719999999998E-2</v>
      </c>
      <c r="W4452">
        <v>0.12770380000000001</v>
      </c>
      <c r="X4452">
        <v>0.99111680000000002</v>
      </c>
      <c r="Y4452">
        <v>0.43356709999999898</v>
      </c>
      <c r="Z4452">
        <v>8.867988E-4</v>
      </c>
      <c r="AA4452">
        <v>0.90112080000000006</v>
      </c>
      <c r="AB4452">
        <v>29</v>
      </c>
      <c r="AC4452">
        <v>32.153099999999903</v>
      </c>
      <c r="AD4452">
        <v>-1.0191895900000001</v>
      </c>
      <c r="AE4452">
        <v>-27.670629999999999</v>
      </c>
      <c r="AF4452">
        <v>18.450472926603599</v>
      </c>
      <c r="AG4452">
        <v>-1.0191895900000001</v>
      </c>
      <c r="AH4452">
        <v>38.1705377956403</v>
      </c>
      <c r="AI4452">
        <v>91.377115623421304</v>
      </c>
      <c r="AJ4452">
        <v>64.202294772614806</v>
      </c>
      <c r="AK4452">
        <v>42.408120145133701</v>
      </c>
      <c r="AL4452">
        <v>82.663075888226203</v>
      </c>
      <c r="AM4452">
        <v>92.145844345884001</v>
      </c>
      <c r="AN4452">
        <v>0.99999995387451801</v>
      </c>
    </row>
    <row r="4453" spans="1:40" x14ac:dyDescent="0.3">
      <c r="A4453" t="str">
        <f>"20200111150117119"</f>
        <v>20200111150117119</v>
      </c>
      <c r="B4453" t="str">
        <f>"1578726077112753"</f>
        <v>1578726077112753</v>
      </c>
      <c r="C4453" t="s">
        <v>40</v>
      </c>
      <c r="D4453">
        <v>4.5668100000000003</v>
      </c>
      <c r="E4453">
        <v>0.70594749999999995</v>
      </c>
      <c r="F4453" t="s">
        <v>42</v>
      </c>
      <c r="G4453">
        <v>-287.2552</v>
      </c>
      <c r="H4453">
        <v>7.998595E-2</v>
      </c>
      <c r="I4453">
        <v>-13.757020000000001</v>
      </c>
      <c r="J4453">
        <v>-320.88080000000002</v>
      </c>
      <c r="K4453">
        <v>1.098965</v>
      </c>
      <c r="L4453">
        <v>15.668729999999901</v>
      </c>
      <c r="M4453">
        <v>0.96472329999999995</v>
      </c>
      <c r="N4453">
        <v>0</v>
      </c>
      <c r="O4453">
        <v>-0.26303259999999901</v>
      </c>
      <c r="P4453">
        <v>0.96749090000000004</v>
      </c>
      <c r="Q4453">
        <v>0.1164728</v>
      </c>
      <c r="R4453">
        <v>-0.22448979999999999</v>
      </c>
      <c r="S4453">
        <v>2.5960079999999999</v>
      </c>
      <c r="T4453">
        <v>-7.8259590000000004E-2</v>
      </c>
      <c r="U4453">
        <v>-2.26355</v>
      </c>
      <c r="V4453">
        <v>-3.6186040000000003E-2</v>
      </c>
      <c r="W4453">
        <v>0.12796160000000001</v>
      </c>
      <c r="X4453">
        <v>0.99111879999999997</v>
      </c>
      <c r="Y4453">
        <v>0.43574160000000001</v>
      </c>
      <c r="Z4453">
        <v>9.4955970000000002E-4</v>
      </c>
      <c r="AA4453">
        <v>0.90007130000000002</v>
      </c>
      <c r="AB4453">
        <v>29</v>
      </c>
      <c r="AC4453">
        <v>33.625599999999999</v>
      </c>
      <c r="AD4453">
        <v>-1.01897905</v>
      </c>
      <c r="AE4453">
        <v>-29.425750000000001</v>
      </c>
      <c r="AF4453">
        <v>19.534118950908699</v>
      </c>
      <c r="AG4453">
        <v>-1.01897905</v>
      </c>
      <c r="AH4453">
        <v>40.160912806485499</v>
      </c>
      <c r="AI4453">
        <v>91.307066305447606</v>
      </c>
      <c r="AJ4453">
        <v>64.061883574772494</v>
      </c>
      <c r="AK4453">
        <v>44.671232789601</v>
      </c>
      <c r="AL4453">
        <v>82.648183472172306</v>
      </c>
      <c r="AM4453">
        <v>92.090957072633103</v>
      </c>
      <c r="AN4453">
        <v>1.0000000381394401</v>
      </c>
    </row>
    <row r="4454" spans="1:40" x14ac:dyDescent="0.3">
      <c r="A4454" t="str">
        <f>"20200111150117135"</f>
        <v>20200111150117135</v>
      </c>
      <c r="B4454" t="str">
        <f>"1578726077122511"</f>
        <v>1578726077122511</v>
      </c>
      <c r="C4454" t="s">
        <v>40</v>
      </c>
      <c r="D4454">
        <v>4.5717549999999996</v>
      </c>
      <c r="E4454">
        <v>0.70681319999999903</v>
      </c>
      <c r="F4454" t="s">
        <v>43</v>
      </c>
      <c r="G4454">
        <v>-278.94670000000002</v>
      </c>
      <c r="H4454">
        <v>-0.05</v>
      </c>
      <c r="I4454">
        <v>-21.717939999999999</v>
      </c>
      <c r="J4454">
        <v>-320.69979999999998</v>
      </c>
      <c r="K4454">
        <v>1.098533</v>
      </c>
      <c r="L4454">
        <v>15.615019999999999</v>
      </c>
      <c r="M4454">
        <v>0.96331020000000001</v>
      </c>
      <c r="N4454">
        <v>0</v>
      </c>
      <c r="O4454">
        <v>-0.26817099999999999</v>
      </c>
      <c r="P4454">
        <v>0.96614770000000005</v>
      </c>
      <c r="Q4454">
        <v>0.11724759999999999</v>
      </c>
      <c r="R4454">
        <v>-0.22980800000000001</v>
      </c>
      <c r="S4454">
        <v>2.576355</v>
      </c>
      <c r="T4454">
        <v>-7.0590260000000002E-2</v>
      </c>
      <c r="U4454">
        <v>-2.296967</v>
      </c>
      <c r="V4454">
        <v>-3.5894599999999999E-2</v>
      </c>
      <c r="W4454">
        <v>0.12853139999999999</v>
      </c>
      <c r="X4454">
        <v>0.99105560000000004</v>
      </c>
      <c r="Y4454">
        <v>0.44088189999999999</v>
      </c>
      <c r="Z4454">
        <v>9.0707280000000003E-4</v>
      </c>
      <c r="AA4454">
        <v>0.89756460000000005</v>
      </c>
      <c r="AB4454">
        <v>29</v>
      </c>
      <c r="AC4454">
        <v>41.753099999999897</v>
      </c>
      <c r="AD4454">
        <v>-1.148533</v>
      </c>
      <c r="AE4454">
        <v>-37.33296</v>
      </c>
      <c r="AF4454">
        <v>24.757298752944799</v>
      </c>
      <c r="AG4454">
        <v>-1.148533</v>
      </c>
      <c r="AH4454">
        <v>50.214647538932901</v>
      </c>
      <c r="AI4454">
        <v>91.175237352176893</v>
      </c>
      <c r="AJ4454">
        <v>63.755346503126802</v>
      </c>
      <c r="AK4454">
        <v>55.997801716263098</v>
      </c>
      <c r="AL4454">
        <v>82.615264017593503</v>
      </c>
      <c r="AM4454">
        <v>92.0742635620893</v>
      </c>
      <c r="AN4454">
        <v>0.99999997269323904</v>
      </c>
    </row>
    <row r="4455" spans="1:40" x14ac:dyDescent="0.3">
      <c r="A4455" t="str">
        <f>"20200111150117148"</f>
        <v>20200111150117148</v>
      </c>
      <c r="B4455" t="str">
        <f>"1578726077142032"</f>
        <v>1578726077142032</v>
      </c>
      <c r="C4455" t="s">
        <v>40</v>
      </c>
      <c r="D4455">
        <v>4.6124179999999999</v>
      </c>
      <c r="E4455">
        <v>0.7079955</v>
      </c>
      <c r="F4455" t="s">
        <v>43</v>
      </c>
      <c r="G4455">
        <v>-273.69499999999999</v>
      </c>
      <c r="H4455">
        <v>-0.05</v>
      </c>
      <c r="I4455">
        <v>-26.915700000000001</v>
      </c>
      <c r="J4455">
        <v>-320.52140000000003</v>
      </c>
      <c r="K4455">
        <v>1.097998</v>
      </c>
      <c r="L4455">
        <v>15.561249999999999</v>
      </c>
      <c r="M4455">
        <v>0.96197129999999997</v>
      </c>
      <c r="N4455">
        <v>0</v>
      </c>
      <c r="O4455">
        <v>-0.2729394</v>
      </c>
      <c r="P4455">
        <v>0.965028</v>
      </c>
      <c r="Q4455">
        <v>0.1177988</v>
      </c>
      <c r="R4455">
        <v>-0.2341888</v>
      </c>
      <c r="S4455">
        <v>2.5614319999999999</v>
      </c>
      <c r="T4455">
        <v>-6.2587019999999993E-2</v>
      </c>
      <c r="U4455">
        <v>-2.3176269999999999</v>
      </c>
      <c r="V4455">
        <v>-3.617393E-2</v>
      </c>
      <c r="W4455">
        <v>0.1290232</v>
      </c>
      <c r="X4455">
        <v>0.99098160000000002</v>
      </c>
      <c r="Y4455">
        <v>0.44303049999999999</v>
      </c>
      <c r="Z4455">
        <v>8.7364669999999997E-4</v>
      </c>
      <c r="AA4455">
        <v>0.89650609999999997</v>
      </c>
      <c r="AB4455">
        <v>29</v>
      </c>
      <c r="AC4455">
        <v>46.8264</v>
      </c>
      <c r="AD4455">
        <v>-1.1479979999999901</v>
      </c>
      <c r="AE4455">
        <v>-42.476950000000002</v>
      </c>
      <c r="AF4455">
        <v>28.0731999697039</v>
      </c>
      <c r="AG4455">
        <v>-1.1479979999999901</v>
      </c>
      <c r="AH4455">
        <v>56.623881586796102</v>
      </c>
      <c r="AI4455">
        <v>91.040619456761206</v>
      </c>
      <c r="AJ4455">
        <v>63.6285335429856</v>
      </c>
      <c r="AK4455">
        <v>63.211442175467603</v>
      </c>
      <c r="AL4455">
        <v>82.5868498263752</v>
      </c>
      <c r="AM4455">
        <v>92.090547071420701</v>
      </c>
      <c r="AN4455">
        <v>1.00000003544422</v>
      </c>
    </row>
    <row r="4456" spans="1:40" x14ac:dyDescent="0.3">
      <c r="A4456" t="str">
        <f>"20200111150117159"</f>
        <v>20200111150117159</v>
      </c>
      <c r="B4456" t="str">
        <f>"1578726077152768"</f>
        <v>1578726077152768</v>
      </c>
      <c r="C4456" t="s">
        <v>40</v>
      </c>
      <c r="D4456">
        <v>4.643478</v>
      </c>
      <c r="E4456">
        <v>0.70734160000000001</v>
      </c>
      <c r="F4456" t="s">
        <v>91</v>
      </c>
      <c r="G4456">
        <v>-279.02</v>
      </c>
      <c r="H4456">
        <v>0.24347740000000001</v>
      </c>
      <c r="I4456">
        <v>-22.523949999999999</v>
      </c>
      <c r="J4456">
        <v>-320.37430000000001</v>
      </c>
      <c r="K4456">
        <v>1.097494</v>
      </c>
      <c r="L4456">
        <v>15.516389999999999</v>
      </c>
      <c r="M4456">
        <v>0.96089809999999998</v>
      </c>
      <c r="N4456">
        <v>0</v>
      </c>
      <c r="O4456">
        <v>-0.27669349999999998</v>
      </c>
      <c r="P4456">
        <v>0.96415059999999997</v>
      </c>
      <c r="Q4456">
        <v>0.11811389999999999</v>
      </c>
      <c r="R4456">
        <v>-0.23761850000000001</v>
      </c>
      <c r="S4456">
        <v>2.5477289999999999</v>
      </c>
      <c r="T4456">
        <v>-5.2458169999999998E-2</v>
      </c>
      <c r="U4456">
        <v>-2.3380130000000001</v>
      </c>
      <c r="V4456">
        <v>-3.640285E-2</v>
      </c>
      <c r="W4456">
        <v>0.1293726</v>
      </c>
      <c r="X4456">
        <v>0.99092760000000002</v>
      </c>
      <c r="Y4456">
        <v>0.44583850000000003</v>
      </c>
      <c r="Z4456">
        <v>7.6816459999999999E-4</v>
      </c>
      <c r="AA4456">
        <v>0.89511309999999999</v>
      </c>
      <c r="AB4456">
        <v>29</v>
      </c>
      <c r="AC4456">
        <v>41.354300000000002</v>
      </c>
      <c r="AD4456">
        <v>-0.85401659999999902</v>
      </c>
      <c r="AE4456">
        <v>-38.04034</v>
      </c>
      <c r="AF4456">
        <v>25.106075616213399</v>
      </c>
      <c r="AG4456">
        <v>-0.85401659999999902</v>
      </c>
      <c r="AH4456">
        <v>50.254078237957103</v>
      </c>
      <c r="AI4456">
        <v>90.870966841441501</v>
      </c>
      <c r="AJ4456">
        <v>63.454072773570601</v>
      </c>
      <c r="AK4456">
        <v>56.182886689336399</v>
      </c>
      <c r="AL4456">
        <v>82.5666610112131</v>
      </c>
      <c r="AM4456">
        <v>92.103879400678494</v>
      </c>
      <c r="AN4456">
        <v>0.99999997278032005</v>
      </c>
    </row>
    <row r="4457" spans="1:40" x14ac:dyDescent="0.3">
      <c r="A4457" t="str">
        <f>"20200111150117171"</f>
        <v>20200111150117171</v>
      </c>
      <c r="B4457" t="str">
        <f>"1578726077162527"</f>
        <v>1578726077162527</v>
      </c>
      <c r="C4457" t="s">
        <v>40</v>
      </c>
      <c r="D4457">
        <v>4.6436149999999996</v>
      </c>
      <c r="E4457">
        <v>0.70707549999999997</v>
      </c>
      <c r="F4457" t="s">
        <v>91</v>
      </c>
      <c r="G4457">
        <v>-279.02</v>
      </c>
      <c r="H4457">
        <v>0.22776859999999999</v>
      </c>
      <c r="I4457">
        <v>-22.6098</v>
      </c>
      <c r="J4457">
        <v>-320.2346</v>
      </c>
      <c r="K4457">
        <v>1.096951</v>
      </c>
      <c r="L4457">
        <v>15.472720000000001</v>
      </c>
      <c r="M4457">
        <v>0.95990549999999997</v>
      </c>
      <c r="N4457">
        <v>0</v>
      </c>
      <c r="O4457">
        <v>-0.28011019999999998</v>
      </c>
      <c r="P4457">
        <v>0.96337169999999905</v>
      </c>
      <c r="Q4457">
        <v>0.11804969999999999</v>
      </c>
      <c r="R4457">
        <v>-0.24078920000000001</v>
      </c>
      <c r="S4457">
        <v>2.5408019999999998</v>
      </c>
      <c r="T4457">
        <v>-5.3435799999999999E-2</v>
      </c>
      <c r="U4457">
        <v>-2.3424680000000002</v>
      </c>
      <c r="V4457">
        <v>-3.6575980000000001E-2</v>
      </c>
      <c r="W4457">
        <v>0.12952959999999999</v>
      </c>
      <c r="X4457">
        <v>0.99090080000000003</v>
      </c>
      <c r="Y4457">
        <v>0.44471640000000001</v>
      </c>
      <c r="Z4457">
        <v>8.4920690000000001E-4</v>
      </c>
      <c r="AA4457">
        <v>0.895670999999999</v>
      </c>
      <c r="AB4457">
        <v>29</v>
      </c>
      <c r="AC4457">
        <v>41.214599999999997</v>
      </c>
      <c r="AD4457">
        <v>-0.86918240000000002</v>
      </c>
      <c r="AE4457">
        <v>-38.082520000000002</v>
      </c>
      <c r="AF4457">
        <v>25.006488214209799</v>
      </c>
      <c r="AG4457">
        <v>-0.86918240000000002</v>
      </c>
      <c r="AH4457">
        <v>50.220381493920897</v>
      </c>
      <c r="AI4457">
        <v>90.887609763529397</v>
      </c>
      <c r="AJ4457">
        <v>63.5296772762063</v>
      </c>
      <c r="AK4457">
        <v>56.108525628881402</v>
      </c>
      <c r="AL4457">
        <v>82.557589876153699</v>
      </c>
      <c r="AM4457">
        <v>92.113933402417501</v>
      </c>
      <c r="AN4457">
        <v>1.00000005751487</v>
      </c>
    </row>
    <row r="4458" spans="1:40" x14ac:dyDescent="0.3">
      <c r="A4458" t="str">
        <f>"20200111150117182"</f>
        <v>20200111150117182</v>
      </c>
      <c r="B4458" t="str">
        <f>"1578726077172288"</f>
        <v>1578726077172288</v>
      </c>
      <c r="C4458" t="s">
        <v>40</v>
      </c>
      <c r="D4458">
        <v>4.6690079999999998</v>
      </c>
      <c r="E4458">
        <v>0.70690330000000001</v>
      </c>
      <c r="F4458" t="s">
        <v>91</v>
      </c>
      <c r="G4458">
        <v>-279.02</v>
      </c>
      <c r="H4458">
        <v>0.17676229999999901</v>
      </c>
      <c r="I4458">
        <v>-22.740220000000001</v>
      </c>
      <c r="J4458">
        <v>-320.09289999999999</v>
      </c>
      <c r="K4458">
        <v>1.0963879999999999</v>
      </c>
      <c r="L4458">
        <v>15.428129999999999</v>
      </c>
      <c r="M4458">
        <v>0.95889590000000002</v>
      </c>
      <c r="N4458">
        <v>0</v>
      </c>
      <c r="O4458">
        <v>-0.28353729999999999</v>
      </c>
      <c r="P4458">
        <v>0.96254289999999998</v>
      </c>
      <c r="Q4458">
        <v>0.1179178</v>
      </c>
      <c r="R4458">
        <v>-0.24414449999999999</v>
      </c>
      <c r="S4458">
        <v>2.5338440000000002</v>
      </c>
      <c r="T4458">
        <v>-5.6572440000000002E-2</v>
      </c>
      <c r="U4458">
        <v>-2.3493040000000001</v>
      </c>
      <c r="V4458">
        <v>-3.6574839999999997E-2</v>
      </c>
      <c r="W4458">
        <v>0.12966910000000001</v>
      </c>
      <c r="X4458">
        <v>0.9908825</v>
      </c>
      <c r="Y4458">
        <v>0.44403969999999998</v>
      </c>
      <c r="Z4458">
        <v>9.654148E-4</v>
      </c>
      <c r="AA4458">
        <v>0.89600659999999899</v>
      </c>
      <c r="AB4458">
        <v>29</v>
      </c>
      <c r="AC4458">
        <v>41.072899999999997</v>
      </c>
      <c r="AD4458">
        <v>-0.91962569999999999</v>
      </c>
      <c r="AE4458">
        <v>-38.168349999999997</v>
      </c>
      <c r="AF4458">
        <v>24.948626663833</v>
      </c>
      <c r="AG4458">
        <v>-0.91962569999999999</v>
      </c>
      <c r="AH4458">
        <v>50.196427593322298</v>
      </c>
      <c r="AI4458">
        <v>90.939904465226704</v>
      </c>
      <c r="AJ4458">
        <v>63.571706342903198</v>
      </c>
      <c r="AK4458">
        <v>56.062117574803302</v>
      </c>
      <c r="AL4458">
        <v>82.549528416055907</v>
      </c>
      <c r="AM4458">
        <v>92.113906579426597</v>
      </c>
      <c r="AN4458">
        <v>0.99999996161104199</v>
      </c>
    </row>
    <row r="4459" spans="1:40" x14ac:dyDescent="0.3">
      <c r="A4459" t="str">
        <f>"20200111150117194"</f>
        <v>20200111150117194</v>
      </c>
      <c r="B4459" t="str">
        <f>"1578726077182341"</f>
        <v>1578726077182341</v>
      </c>
      <c r="C4459" t="s">
        <v>40</v>
      </c>
      <c r="D4459">
        <v>4.6784140000000001</v>
      </c>
      <c r="E4459">
        <v>0.70642890000000003</v>
      </c>
      <c r="F4459" t="s">
        <v>43</v>
      </c>
      <c r="G4459">
        <v>-272.88240000000002</v>
      </c>
      <c r="H4459">
        <v>-0.05</v>
      </c>
      <c r="I4459">
        <v>-28.619579999999999</v>
      </c>
      <c r="J4459">
        <v>-319.94779999999997</v>
      </c>
      <c r="K4459">
        <v>1.0957870000000001</v>
      </c>
      <c r="L4459">
        <v>15.38156</v>
      </c>
      <c r="M4459">
        <v>0.95788680000000004</v>
      </c>
      <c r="N4459">
        <v>0</v>
      </c>
      <c r="O4459">
        <v>-0.28690959999999899</v>
      </c>
      <c r="P4459">
        <v>0.96166629999999997</v>
      </c>
      <c r="Q4459">
        <v>0.11742759999999999</v>
      </c>
      <c r="R4459">
        <v>-0.247807</v>
      </c>
      <c r="S4459">
        <v>2.526367</v>
      </c>
      <c r="T4459">
        <v>-6.1346409999999997E-2</v>
      </c>
      <c r="U4459">
        <v>-2.3571170000000001</v>
      </c>
      <c r="V4459">
        <v>-3.6227660000000002E-2</v>
      </c>
      <c r="W4459">
        <v>0.12964780000000001</v>
      </c>
      <c r="X4459">
        <v>0.9908981</v>
      </c>
      <c r="Y4459">
        <v>0.44368610000000003</v>
      </c>
      <c r="Z4459">
        <v>1.1145300000000001E-3</v>
      </c>
      <c r="AA4459">
        <v>0.89618149999999996</v>
      </c>
      <c r="AB4459">
        <v>29</v>
      </c>
      <c r="AC4459">
        <v>47.065399999999897</v>
      </c>
      <c r="AD4459">
        <v>-1.1457870000000001</v>
      </c>
      <c r="AE4459">
        <v>-44.001139999999999</v>
      </c>
      <c r="AF4459">
        <v>28.637484128304902</v>
      </c>
      <c r="AG4459">
        <v>-1.1457870000000001</v>
      </c>
      <c r="AH4459">
        <v>57.693347021792697</v>
      </c>
      <c r="AI4459">
        <v>91.019127410485495</v>
      </c>
      <c r="AJ4459">
        <v>63.601388030280098</v>
      </c>
      <c r="AK4459">
        <v>64.420032719840194</v>
      </c>
      <c r="AL4459">
        <v>82.550759642988993</v>
      </c>
      <c r="AM4459">
        <v>92.093825717991805</v>
      </c>
      <c r="AN4459">
        <v>1.00000001998876</v>
      </c>
    </row>
    <row r="4460" spans="1:40" x14ac:dyDescent="0.3">
      <c r="A4460" t="str">
        <f>"20200111150117205"</f>
        <v>20200111150117205</v>
      </c>
      <c r="B4460" t="str">
        <f>"1578726077201862"</f>
        <v>1578726077201862</v>
      </c>
      <c r="C4460" t="s">
        <v>40</v>
      </c>
      <c r="D4460">
        <v>4.6933220000000002</v>
      </c>
      <c r="E4460">
        <v>0.70530459999999995</v>
      </c>
      <c r="F4460" t="s">
        <v>43</v>
      </c>
      <c r="G4460">
        <v>-276.61020000000002</v>
      </c>
      <c r="H4460">
        <v>-0.05</v>
      </c>
      <c r="I4460">
        <v>-25.278700000000001</v>
      </c>
      <c r="J4460">
        <v>-319.80869999999999</v>
      </c>
      <c r="K4460">
        <v>1.0951949999999999</v>
      </c>
      <c r="L4460">
        <v>15.336460000000001</v>
      </c>
      <c r="M4460">
        <v>0.95691820000000005</v>
      </c>
      <c r="N4460">
        <v>0</v>
      </c>
      <c r="O4460">
        <v>-0.29010340000000001</v>
      </c>
      <c r="P4460">
        <v>0.96079270000000006</v>
      </c>
      <c r="Q4460">
        <v>0.11662</v>
      </c>
      <c r="R4460">
        <v>-0.2515501</v>
      </c>
      <c r="S4460">
        <v>2.5187680000000001</v>
      </c>
      <c r="T4460">
        <v>-6.6592689999999996E-2</v>
      </c>
      <c r="U4460">
        <v>-2.363159</v>
      </c>
      <c r="V4460">
        <v>-3.5640789999999999E-2</v>
      </c>
      <c r="W4460">
        <v>0.12934989999999999</v>
      </c>
      <c r="X4460">
        <v>0.99095829999999996</v>
      </c>
      <c r="Y4460">
        <v>0.44318279999999899</v>
      </c>
      <c r="Z4460">
        <v>1.2817449999999999E-3</v>
      </c>
      <c r="AA4460">
        <v>0.89643039999999996</v>
      </c>
      <c r="AB4460">
        <v>29</v>
      </c>
      <c r="AC4460">
        <v>43.198499999999903</v>
      </c>
      <c r="AD4460">
        <v>-1.145195</v>
      </c>
      <c r="AE4460">
        <v>-40.615159999999896</v>
      </c>
      <c r="AF4460">
        <v>26.325477110028999</v>
      </c>
      <c r="AG4460">
        <v>-1.145195</v>
      </c>
      <c r="AH4460">
        <v>53.104137341308103</v>
      </c>
      <c r="AI4460">
        <v>91.106888850921095</v>
      </c>
      <c r="AJ4460">
        <v>63.630864041847403</v>
      </c>
      <c r="AK4460">
        <v>59.282304437523301</v>
      </c>
      <c r="AL4460">
        <v>82.5679729054647</v>
      </c>
      <c r="AM4460">
        <v>92.059811216812605</v>
      </c>
      <c r="AN4460">
        <v>1.0000000074403601</v>
      </c>
    </row>
    <row r="4461" spans="1:40" x14ac:dyDescent="0.3">
      <c r="A4461" t="str">
        <f>"20200111150117217"</f>
        <v>20200111150117217</v>
      </c>
      <c r="B4461" t="str">
        <f>"1578726077212600"</f>
        <v>1578726077212600</v>
      </c>
      <c r="C4461" t="s">
        <v>40</v>
      </c>
      <c r="D4461">
        <v>4.6894819999999999</v>
      </c>
      <c r="E4461">
        <v>0.70472349999999995</v>
      </c>
      <c r="F4461" t="s">
        <v>42</v>
      </c>
      <c r="G4461">
        <v>-286.02190000000002</v>
      </c>
      <c r="H4461">
        <v>7.9986680000000004E-2</v>
      </c>
      <c r="I4461">
        <v>-16.458010000000002</v>
      </c>
      <c r="J4461">
        <v>-319.6574</v>
      </c>
      <c r="K4461">
        <v>1.0945290000000001</v>
      </c>
      <c r="L4461">
        <v>15.28668</v>
      </c>
      <c r="M4461">
        <v>0.95586579999999999</v>
      </c>
      <c r="N4461">
        <v>0</v>
      </c>
      <c r="O4461">
        <v>-0.2935256</v>
      </c>
      <c r="P4461">
        <v>0.95977789999999996</v>
      </c>
      <c r="Q4461">
        <v>0.11603819999999999</v>
      </c>
      <c r="R4461">
        <v>-0.25565979999999999</v>
      </c>
      <c r="S4461">
        <v>2.512543</v>
      </c>
      <c r="T4461">
        <v>-7.5495480000000004E-2</v>
      </c>
      <c r="U4461">
        <v>-2.3643800000000001</v>
      </c>
      <c r="V4461">
        <v>-3.4904789999999998E-2</v>
      </c>
      <c r="W4461">
        <v>0.12940850000000001</v>
      </c>
      <c r="X4461">
        <v>0.99097679999999999</v>
      </c>
      <c r="Y4461">
        <v>0.44130320000000001</v>
      </c>
      <c r="Z4461">
        <v>1.558001E-3</v>
      </c>
      <c r="AA4461">
        <v>0.89735669999999901</v>
      </c>
      <c r="AB4461">
        <v>29</v>
      </c>
      <c r="AC4461">
        <v>33.635499999999901</v>
      </c>
      <c r="AD4461">
        <v>-1.0145423200000001</v>
      </c>
      <c r="AE4461">
        <v>-31.744689999999999</v>
      </c>
      <c r="AF4461">
        <v>20.462608408090901</v>
      </c>
      <c r="AG4461">
        <v>-1.0145423200000001</v>
      </c>
      <c r="AH4461">
        <v>41.4523431575047</v>
      </c>
      <c r="AI4461">
        <v>91.257243194336795</v>
      </c>
      <c r="AJ4461">
        <v>63.727128790552797</v>
      </c>
      <c r="AK4461">
        <v>46.238992119524703</v>
      </c>
      <c r="AL4461">
        <v>82.564586568348702</v>
      </c>
      <c r="AM4461">
        <v>92.017272978754093</v>
      </c>
      <c r="AN4461">
        <v>0.99999996118771595</v>
      </c>
    </row>
    <row r="4462" spans="1:40" x14ac:dyDescent="0.3">
      <c r="A4462" t="str">
        <f>"20200111150117229"</f>
        <v>20200111150117229</v>
      </c>
      <c r="B4462" t="str">
        <f>"1578726077222358"</f>
        <v>1578726077222358</v>
      </c>
      <c r="C4462" t="s">
        <v>40</v>
      </c>
      <c r="D4462">
        <v>4.6944879999999998</v>
      </c>
      <c r="E4462">
        <v>0.70441569999999998</v>
      </c>
      <c r="F4462" t="s">
        <v>42</v>
      </c>
      <c r="G4462">
        <v>-287.44209999999998</v>
      </c>
      <c r="H4462">
        <v>7.9985520000000004E-2</v>
      </c>
      <c r="I4462">
        <v>-15.22246</v>
      </c>
      <c r="J4462">
        <v>-319.51069999999999</v>
      </c>
      <c r="K4462">
        <v>1.0938559999999999</v>
      </c>
      <c r="L4462">
        <v>15.237579999999999</v>
      </c>
      <c r="M4462">
        <v>0.95482990000000001</v>
      </c>
      <c r="N4462">
        <v>0</v>
      </c>
      <c r="O4462">
        <v>-0.29684759999999999</v>
      </c>
      <c r="P4462">
        <v>0.95873660000000005</v>
      </c>
      <c r="Q4462">
        <v>0.1155437</v>
      </c>
      <c r="R4462">
        <v>-0.25975749999999997</v>
      </c>
      <c r="S4462">
        <v>2.5036930000000002</v>
      </c>
      <c r="T4462">
        <v>-7.8847769999999998E-2</v>
      </c>
      <c r="U4462">
        <v>-2.3710939999999998</v>
      </c>
      <c r="V4462">
        <v>-3.4091730000000001E-2</v>
      </c>
      <c r="W4462">
        <v>0.12957969999999999</v>
      </c>
      <c r="X4462">
        <v>0.99098280000000005</v>
      </c>
      <c r="Y4462">
        <v>0.4410287</v>
      </c>
      <c r="Z4462">
        <v>1.713025E-3</v>
      </c>
      <c r="AA4462">
        <v>0.89749129999999999</v>
      </c>
      <c r="AB4462">
        <v>29</v>
      </c>
      <c r="AC4462">
        <v>32.068600000000004</v>
      </c>
      <c r="AD4462">
        <v>-1.01387048</v>
      </c>
      <c r="AE4462">
        <v>-30.460039999999999</v>
      </c>
      <c r="AF4462">
        <v>19.556168189906298</v>
      </c>
      <c r="AG4462">
        <v>-1.01387048</v>
      </c>
      <c r="AH4462">
        <v>39.6448127893877</v>
      </c>
      <c r="AI4462">
        <v>91.313861194398996</v>
      </c>
      <c r="AJ4462">
        <v>63.743594792461003</v>
      </c>
      <c r="AK4462">
        <v>44.217449369312497</v>
      </c>
      <c r="AL4462">
        <v>82.554694734010894</v>
      </c>
      <c r="AM4462">
        <v>91.970308883893694</v>
      </c>
      <c r="AN4462">
        <v>1.00000002730116</v>
      </c>
    </row>
    <row r="4463" spans="1:40" x14ac:dyDescent="0.3">
      <c r="A4463" t="str">
        <f>"20200111150117240"</f>
        <v>20200111150117240</v>
      </c>
      <c r="B4463" t="str">
        <f>"1578726077232118"</f>
        <v>1578726077232118</v>
      </c>
      <c r="C4463" t="s">
        <v>40</v>
      </c>
      <c r="D4463">
        <v>4.8417469999999998</v>
      </c>
      <c r="E4463">
        <v>0.7033893</v>
      </c>
      <c r="F4463" t="s">
        <v>42</v>
      </c>
      <c r="G4463">
        <v>-288.70859999999999</v>
      </c>
      <c r="H4463">
        <v>7.9985780000000006E-2</v>
      </c>
      <c r="I4463">
        <v>-14.14228</v>
      </c>
      <c r="J4463">
        <v>-319.36329999999998</v>
      </c>
      <c r="K4463">
        <v>1.0931679999999999</v>
      </c>
      <c r="L4463">
        <v>15.187900000000001</v>
      </c>
      <c r="M4463">
        <v>0.95377310000000004</v>
      </c>
      <c r="N4463">
        <v>0</v>
      </c>
      <c r="O4463">
        <v>-0.30019410000000002</v>
      </c>
      <c r="P4463">
        <v>0.95768260000000005</v>
      </c>
      <c r="Q4463">
        <v>0.11523029999999999</v>
      </c>
      <c r="R4463">
        <v>-0.26375369999999998</v>
      </c>
      <c r="S4463">
        <v>2.494415</v>
      </c>
      <c r="T4463">
        <v>-8.2105280000000003E-2</v>
      </c>
      <c r="U4463">
        <v>-2.3792420000000001</v>
      </c>
      <c r="V4463">
        <v>-3.340535E-2</v>
      </c>
      <c r="W4463">
        <v>0.1299556</v>
      </c>
      <c r="X4463">
        <v>0.99095690000000003</v>
      </c>
      <c r="Y4463">
        <v>0.44107760000000001</v>
      </c>
      <c r="Z4463">
        <v>1.8692730000000001E-3</v>
      </c>
      <c r="AA4463">
        <v>0.89746700000000001</v>
      </c>
      <c r="AB4463">
        <v>29</v>
      </c>
      <c r="AC4463">
        <v>30.654699999999899</v>
      </c>
      <c r="AD4463">
        <v>-1.01318222</v>
      </c>
      <c r="AE4463">
        <v>-29.330179999999999</v>
      </c>
      <c r="AF4463">
        <v>18.7631568472524</v>
      </c>
      <c r="AG4463">
        <v>-1.01318222</v>
      </c>
      <c r="AH4463">
        <v>38.0245015039214</v>
      </c>
      <c r="AI4463">
        <v>91.368807968553796</v>
      </c>
      <c r="AJ4463">
        <v>63.736005103434302</v>
      </c>
      <c r="AK4463">
        <v>42.413975382027502</v>
      </c>
      <c r="AL4463">
        <v>82.532973204918306</v>
      </c>
      <c r="AM4463">
        <v>91.930720759783199</v>
      </c>
      <c r="AN4463">
        <v>0.99999997651879602</v>
      </c>
    </row>
    <row r="4464" spans="1:40" x14ac:dyDescent="0.3">
      <c r="A4464" t="str">
        <f>"20200111150117255"</f>
        <v>20200111150117255</v>
      </c>
      <c r="B4464" t="str">
        <f>"1578726077252614"</f>
        <v>1578726077252614</v>
      </c>
      <c r="C4464" t="s">
        <v>40</v>
      </c>
      <c r="D4464">
        <v>4.7392010000000004</v>
      </c>
      <c r="E4464">
        <v>0.70116610000000001</v>
      </c>
      <c r="F4464" t="s">
        <v>42</v>
      </c>
      <c r="G4464">
        <v>-289.69990000000001</v>
      </c>
      <c r="H4464">
        <v>7.9985979999999998E-2</v>
      </c>
      <c r="I4464">
        <v>-13.22573</v>
      </c>
      <c r="J4464">
        <v>-319.18150000000003</v>
      </c>
      <c r="K4464">
        <v>1.0923149999999999</v>
      </c>
      <c r="L4464">
        <v>15.12527</v>
      </c>
      <c r="M4464">
        <v>0.95240130000000001</v>
      </c>
      <c r="N4464">
        <v>0</v>
      </c>
      <c r="O4464">
        <v>-0.30447370000000001</v>
      </c>
      <c r="P4464">
        <v>0.95612569999999997</v>
      </c>
      <c r="Q4464">
        <v>0.11501649999999999</v>
      </c>
      <c r="R4464">
        <v>-0.26943430000000002</v>
      </c>
      <c r="S4464">
        <v>2.4867249999999999</v>
      </c>
      <c r="T4464">
        <v>-8.4936620000000004E-2</v>
      </c>
      <c r="U4464">
        <v>-2.381958</v>
      </c>
      <c r="V4464">
        <v>-3.1959340000000003E-2</v>
      </c>
      <c r="W4464">
        <v>0.13063449999999999</v>
      </c>
      <c r="X4464">
        <v>0.9909154</v>
      </c>
      <c r="Y4464">
        <v>0.43893729999999997</v>
      </c>
      <c r="Z4464">
        <v>2.0787240000000001E-3</v>
      </c>
      <c r="AA4464">
        <v>0.89851530000000002</v>
      </c>
      <c r="AB4464">
        <v>29</v>
      </c>
      <c r="AC4464">
        <v>29.4816</v>
      </c>
      <c r="AD4464">
        <v>-1.0123290199999999</v>
      </c>
      <c r="AE4464">
        <v>-28.350999999999999</v>
      </c>
      <c r="AF4464">
        <v>18.016172076661199</v>
      </c>
      <c r="AG4464">
        <v>-1.0123290199999999</v>
      </c>
      <c r="AH4464">
        <v>36.692148274098201</v>
      </c>
      <c r="AI4464">
        <v>91.418668149079707</v>
      </c>
      <c r="AJ4464">
        <v>63.848549927395602</v>
      </c>
      <c r="AK4464">
        <v>40.889130723323198</v>
      </c>
      <c r="AL4464">
        <v>82.493741213480007</v>
      </c>
      <c r="AM4464">
        <v>91.847282593622396</v>
      </c>
      <c r="AN4464">
        <v>1.00000005098032</v>
      </c>
    </row>
    <row r="4465" spans="1:40" x14ac:dyDescent="0.3">
      <c r="A4465" t="str">
        <f>"20200111150117267"</f>
        <v>20200111150117267</v>
      </c>
      <c r="B4465" t="str">
        <f>"1578726077262373"</f>
        <v>1578726077262373</v>
      </c>
      <c r="C4465" t="s">
        <v>40</v>
      </c>
      <c r="D4465">
        <v>4.9361639999999998</v>
      </c>
      <c r="E4465">
        <v>0.70000649999999998</v>
      </c>
      <c r="F4465" t="s">
        <v>42</v>
      </c>
      <c r="G4465">
        <v>-289.95780000000002</v>
      </c>
      <c r="H4465">
        <v>3.0811180000000001E-2</v>
      </c>
      <c r="I4465">
        <v>-12.94061</v>
      </c>
      <c r="J4465">
        <v>-319.05180000000001</v>
      </c>
      <c r="K4465">
        <v>1.0917190000000001</v>
      </c>
      <c r="L4465">
        <v>15.08005</v>
      </c>
      <c r="M4465">
        <v>0.95136299999999996</v>
      </c>
      <c r="N4465">
        <v>0</v>
      </c>
      <c r="O4465">
        <v>-0.30766729999999998</v>
      </c>
      <c r="P4465">
        <v>0.95499469999999997</v>
      </c>
      <c r="Q4465">
        <v>0.1149365</v>
      </c>
      <c r="R4465">
        <v>-0.27344970000000002</v>
      </c>
      <c r="S4465">
        <v>2.477875</v>
      </c>
      <c r="T4465">
        <v>-9.0004680000000004E-2</v>
      </c>
      <c r="U4465">
        <v>-2.3797000000000001</v>
      </c>
      <c r="V4465">
        <v>-3.1120979999999999E-2</v>
      </c>
      <c r="W4465">
        <v>0.13123489999999999</v>
      </c>
      <c r="X4465">
        <v>0.99086269999999999</v>
      </c>
      <c r="Y4465">
        <v>0.43708970000000003</v>
      </c>
      <c r="Z4465">
        <v>2.3247609999999998E-3</v>
      </c>
      <c r="AA4465">
        <v>0.89941489999999902</v>
      </c>
      <c r="AB4465">
        <v>29</v>
      </c>
      <c r="AC4465">
        <v>29.093999999999902</v>
      </c>
      <c r="AD4465">
        <v>-1.0609078199999999</v>
      </c>
      <c r="AE4465">
        <v>-28.0206599999999</v>
      </c>
      <c r="AF4465">
        <v>17.696546584392799</v>
      </c>
      <c r="AG4465">
        <v>-1.0609078199999999</v>
      </c>
      <c r="AH4465">
        <v>36.279494733409003</v>
      </c>
      <c r="AI4465">
        <v>91.505533841586299</v>
      </c>
      <c r="AJ4465">
        <v>63.997633817961002</v>
      </c>
      <c r="AK4465">
        <v>40.379388610126099</v>
      </c>
      <c r="AL4465">
        <v>82.459041734738193</v>
      </c>
      <c r="AM4465">
        <v>91.7989524035643</v>
      </c>
      <c r="AN4465">
        <v>1.00000000231273</v>
      </c>
    </row>
    <row r="4466" spans="1:40" x14ac:dyDescent="0.3">
      <c r="A4466" t="str">
        <f>"20200111150117278"</f>
        <v>20200111150117278</v>
      </c>
      <c r="B4466" t="str">
        <f>"1578726077272134"</f>
        <v>1578726077272134</v>
      </c>
      <c r="C4466" t="s">
        <v>40</v>
      </c>
      <c r="D4466">
        <v>4.8951669999999998</v>
      </c>
      <c r="E4466">
        <v>0.69921029999999995</v>
      </c>
      <c r="F4466" t="s">
        <v>42</v>
      </c>
      <c r="G4466">
        <v>-289.95780000000002</v>
      </c>
      <c r="H4466">
        <v>2.7705429999999999E-3</v>
      </c>
      <c r="I4466">
        <v>-12.960319999999999</v>
      </c>
      <c r="J4466">
        <v>-318.90719999999999</v>
      </c>
      <c r="K4466">
        <v>1.091067</v>
      </c>
      <c r="L4466">
        <v>15.029109999999999</v>
      </c>
      <c r="M4466">
        <v>0.95015079999999996</v>
      </c>
      <c r="N4466">
        <v>0</v>
      </c>
      <c r="O4466">
        <v>-0.311347599999999</v>
      </c>
      <c r="P4466">
        <v>0.9538896</v>
      </c>
      <c r="Q4466">
        <v>0.11427379999999999</v>
      </c>
      <c r="R4466">
        <v>-0.27755419999999997</v>
      </c>
      <c r="S4466">
        <v>2.4706730000000001</v>
      </c>
      <c r="T4466">
        <v>-9.2473799999999995E-2</v>
      </c>
      <c r="U4466">
        <v>-2.381195</v>
      </c>
      <c r="V4466">
        <v>-3.074288E-2</v>
      </c>
      <c r="W4466">
        <v>0.13137760000000001</v>
      </c>
      <c r="X4466">
        <v>0.99085559999999995</v>
      </c>
      <c r="Y4466">
        <v>0.43519279999999999</v>
      </c>
      <c r="Z4466">
        <v>2.5265410000000002E-3</v>
      </c>
      <c r="AA4466">
        <v>0.90033379999999996</v>
      </c>
      <c r="AB4466">
        <v>29</v>
      </c>
      <c r="AC4466">
        <v>28.949399999999901</v>
      </c>
      <c r="AD4466">
        <v>-1.088296457</v>
      </c>
      <c r="AE4466">
        <v>-27.989429999999999</v>
      </c>
      <c r="AF4466">
        <v>17.570446752620299</v>
      </c>
      <c r="AG4466">
        <v>-1.088296457</v>
      </c>
      <c r="AH4466">
        <v>36.199297886673797</v>
      </c>
      <c r="AI4466">
        <v>91.549265459977804</v>
      </c>
      <c r="AJ4466">
        <v>64.108950736293707</v>
      </c>
      <c r="AK4466">
        <v>40.252877608354098</v>
      </c>
      <c r="AL4466">
        <v>82.450794271495397</v>
      </c>
      <c r="AM4466">
        <v>91.777123109077905</v>
      </c>
      <c r="AN4466">
        <v>1.0000000092518999</v>
      </c>
    </row>
    <row r="4467" spans="1:40" x14ac:dyDescent="0.3">
      <c r="A4467" t="str">
        <f>"20200111150117289"</f>
        <v>20200111150117289</v>
      </c>
      <c r="B4467" t="str">
        <f>"1578726077282176"</f>
        <v>1578726077282176</v>
      </c>
      <c r="C4467" t="s">
        <v>40</v>
      </c>
      <c r="D4467">
        <v>4.8450439999999997</v>
      </c>
      <c r="E4467">
        <v>0.69828579999999996</v>
      </c>
      <c r="F4467" t="s">
        <v>42</v>
      </c>
      <c r="G4467">
        <v>-290.9631</v>
      </c>
      <c r="H4467" s="1">
        <v>-5.2313850000000002E-6</v>
      </c>
      <c r="I4467">
        <v>-12.04499</v>
      </c>
      <c r="J4467">
        <v>-318.76029999999997</v>
      </c>
      <c r="K4467">
        <v>1.0904210000000001</v>
      </c>
      <c r="L4467">
        <v>14.97659</v>
      </c>
      <c r="M4467">
        <v>0.94872199999999995</v>
      </c>
      <c r="N4467">
        <v>0</v>
      </c>
      <c r="O4467">
        <v>-0.31563530000000001</v>
      </c>
      <c r="P4467">
        <v>0.9525325</v>
      </c>
      <c r="Q4467">
        <v>0.11337650000000001</v>
      </c>
      <c r="R4467">
        <v>-0.28253830000000002</v>
      </c>
      <c r="S4467">
        <v>2.4623110000000001</v>
      </c>
      <c r="T4467">
        <v>-9.6140500000000004E-2</v>
      </c>
      <c r="U4467">
        <v>-2.3856510000000002</v>
      </c>
      <c r="V4467">
        <v>-3.0123759999999999E-2</v>
      </c>
      <c r="W4467">
        <v>0.131184299999999</v>
      </c>
      <c r="X4467">
        <v>0.99090020000000001</v>
      </c>
      <c r="Y4467">
        <v>0.43348710000000001</v>
      </c>
      <c r="Z4467">
        <v>2.784852E-3</v>
      </c>
      <c r="AA4467">
        <v>0.9011555</v>
      </c>
      <c r="AB4467">
        <v>29</v>
      </c>
      <c r="AC4467">
        <v>27.797199999999901</v>
      </c>
      <c r="AD4467">
        <v>-1.0904262313849999</v>
      </c>
      <c r="AE4467">
        <v>-27.02158</v>
      </c>
      <c r="AF4467">
        <v>16.851395015896799</v>
      </c>
      <c r="AG4467">
        <v>-1.0904262313849999</v>
      </c>
      <c r="AH4467">
        <v>34.878436892547299</v>
      </c>
      <c r="AI4467">
        <v>91.612463459259104</v>
      </c>
      <c r="AJ4467">
        <v>64.2126513153503</v>
      </c>
      <c r="AK4467">
        <v>38.751308409075598</v>
      </c>
      <c r="AL4467">
        <v>82.461966044625896</v>
      </c>
      <c r="AM4467">
        <v>91.741278185977094</v>
      </c>
      <c r="AN4467">
        <v>0.999999983921533</v>
      </c>
    </row>
    <row r="4468" spans="1:40" x14ac:dyDescent="0.3">
      <c r="A4468" t="str">
        <f>"20200111150117301"</f>
        <v>20200111150117301</v>
      </c>
      <c r="B4468" t="str">
        <f>"1578726077291937"</f>
        <v>1578726077291937</v>
      </c>
      <c r="C4468" t="s">
        <v>40</v>
      </c>
      <c r="D4468">
        <v>4.6765470000000002</v>
      </c>
      <c r="E4468">
        <v>0.69828579999999996</v>
      </c>
      <c r="F4468" t="s">
        <v>42</v>
      </c>
      <c r="G4468">
        <v>-292.40019999999998</v>
      </c>
      <c r="H4468" s="1">
        <v>-5.4812850000000002E-6</v>
      </c>
      <c r="I4468">
        <v>-10.7326</v>
      </c>
      <c r="J4468">
        <v>-318.62110000000001</v>
      </c>
      <c r="K4468">
        <v>1.0898000000000001</v>
      </c>
      <c r="L4468">
        <v>14.926640000000001</v>
      </c>
      <c r="M4468">
        <v>0.94730130000000001</v>
      </c>
      <c r="N4468">
        <v>0</v>
      </c>
      <c r="O4468">
        <v>-0.31983719999999999</v>
      </c>
      <c r="P4468">
        <v>0.95121999999999995</v>
      </c>
      <c r="Q4468">
        <v>0.1126441</v>
      </c>
      <c r="R4468">
        <v>-0.28721419999999998</v>
      </c>
      <c r="S4468">
        <v>2.4521790000000001</v>
      </c>
      <c r="T4468">
        <v>-0.1014383</v>
      </c>
      <c r="U4468">
        <v>-2.391632</v>
      </c>
      <c r="V4468">
        <v>-2.972959E-2</v>
      </c>
      <c r="W4468">
        <v>0.1310935</v>
      </c>
      <c r="X4468">
        <v>0.99092409999999997</v>
      </c>
      <c r="Y4468">
        <v>0.43247079999999999</v>
      </c>
      <c r="Z4468">
        <v>3.0915830000000002E-3</v>
      </c>
      <c r="AA4468">
        <v>0.90164270000000002</v>
      </c>
      <c r="AB4468">
        <v>29</v>
      </c>
      <c r="AC4468">
        <v>26.2209</v>
      </c>
      <c r="AD4468">
        <v>-1.089805481285</v>
      </c>
      <c r="AE4468">
        <v>-25.65924</v>
      </c>
      <c r="AF4468">
        <v>15.9091566826303</v>
      </c>
      <c r="AG4468">
        <v>-1.089805481285</v>
      </c>
      <c r="AH4468">
        <v>33.022094364971501</v>
      </c>
      <c r="AI4468">
        <v>91.703002049038204</v>
      </c>
      <c r="AJ4468">
        <v>64.276483853708001</v>
      </c>
      <c r="AK4468">
        <v>36.670801171894198</v>
      </c>
      <c r="AL4468">
        <v>82.467213663608703</v>
      </c>
      <c r="AM4468">
        <v>91.718465855553404</v>
      </c>
      <c r="AN4468">
        <v>0.99999996311231298</v>
      </c>
    </row>
    <row r="4469" spans="1:40" x14ac:dyDescent="0.3">
      <c r="A4469" t="str">
        <f>"20200111150117313"</f>
        <v>20200111150117313</v>
      </c>
      <c r="B4469" t="str">
        <f>"1578726077302671"</f>
        <v>1578726077302671</v>
      </c>
      <c r="C4469" t="s">
        <v>40</v>
      </c>
      <c r="D4469">
        <v>4.6723939999999997</v>
      </c>
      <c r="E4469">
        <v>0.68371090000000001</v>
      </c>
      <c r="F4469" t="s">
        <v>42</v>
      </c>
      <c r="G4469">
        <v>-293.22859999999997</v>
      </c>
      <c r="H4469" s="1">
        <v>-1.4633539999999901E-6</v>
      </c>
      <c r="I4469">
        <v>-10.072509999999999</v>
      </c>
      <c r="J4469">
        <v>-318.4633</v>
      </c>
      <c r="K4469">
        <v>1.088954</v>
      </c>
      <c r="L4469">
        <v>14.8689</v>
      </c>
      <c r="M4469">
        <v>0.94556899999999999</v>
      </c>
      <c r="N4469">
        <v>0</v>
      </c>
      <c r="O4469">
        <v>-0.32488410000000001</v>
      </c>
      <c r="P4469">
        <v>0.94961010000000001</v>
      </c>
      <c r="Q4469">
        <v>0.1115244</v>
      </c>
      <c r="R4469">
        <v>-0.2929215</v>
      </c>
      <c r="S4469">
        <v>2.440674</v>
      </c>
      <c r="T4469">
        <v>-0.1047493</v>
      </c>
      <c r="U4469">
        <v>-2.402863</v>
      </c>
      <c r="V4469">
        <v>-2.9148279999999999E-2</v>
      </c>
      <c r="W4469">
        <v>0.13063540000000001</v>
      </c>
      <c r="X4469">
        <v>0.99100189999999999</v>
      </c>
      <c r="Y4469">
        <v>0.43188910000000003</v>
      </c>
      <c r="Z4469">
        <v>3.369014E-3</v>
      </c>
      <c r="AA4469">
        <v>0.90192039999999996</v>
      </c>
      <c r="AB4469">
        <v>29</v>
      </c>
      <c r="AC4469">
        <v>25.2347</v>
      </c>
      <c r="AD4469">
        <v>-1.088955463354</v>
      </c>
      <c r="AE4469">
        <v>-24.941410000000001</v>
      </c>
      <c r="AF4469">
        <v>15.373679616048401</v>
      </c>
      <c r="AG4469">
        <v>-1.088955463354</v>
      </c>
      <c r="AH4469">
        <v>31.939719641856399</v>
      </c>
      <c r="AI4469">
        <v>91.759606987023005</v>
      </c>
      <c r="AJ4469">
        <v>64.296896797078603</v>
      </c>
      <c r="AK4469">
        <v>35.463806052628698</v>
      </c>
      <c r="AL4469">
        <v>82.493688800697399</v>
      </c>
      <c r="AM4469">
        <v>91.684751632324193</v>
      </c>
      <c r="AN4469">
        <v>0.999999997881864</v>
      </c>
    </row>
    <row r="4470" spans="1:40" x14ac:dyDescent="0.3">
      <c r="A4470" t="str">
        <f>"20200111150117326"</f>
        <v>20200111150117326</v>
      </c>
      <c r="B4470" t="str">
        <f>"1578726077322193"</f>
        <v>1578726077322193</v>
      </c>
      <c r="C4470" t="s">
        <v>40</v>
      </c>
      <c r="D4470">
        <v>4.8560470000000002</v>
      </c>
      <c r="E4470">
        <v>0.68064859999999905</v>
      </c>
      <c r="F4470" t="s">
        <v>42</v>
      </c>
      <c r="G4470">
        <v>-301.70530000000002</v>
      </c>
      <c r="H4470" s="1">
        <v>-4.4210289999999998E-6</v>
      </c>
      <c r="I4470">
        <v>-0.82485869999999994</v>
      </c>
      <c r="J4470">
        <v>-318.31670000000003</v>
      </c>
      <c r="K4470">
        <v>1.0880570000000001</v>
      </c>
      <c r="L4470">
        <v>14.814730000000001</v>
      </c>
      <c r="M4470">
        <v>0.94398550000000003</v>
      </c>
      <c r="N4470">
        <v>0</v>
      </c>
      <c r="O4470">
        <v>-0.32942250000000001</v>
      </c>
      <c r="P4470">
        <v>0.94798340000000003</v>
      </c>
      <c r="Q4470">
        <v>0.1107867</v>
      </c>
      <c r="R4470">
        <v>-0.29841810000000002</v>
      </c>
      <c r="S4470">
        <v>2.4656980000000002</v>
      </c>
      <c r="T4470">
        <v>-0.160224799999999</v>
      </c>
      <c r="U4470">
        <v>-2.309113</v>
      </c>
      <c r="V4470">
        <v>-2.8204770000000001E-2</v>
      </c>
      <c r="W4470">
        <v>0.13046189999999999</v>
      </c>
      <c r="X4470">
        <v>0.99105200000000004</v>
      </c>
      <c r="Y4470">
        <v>0.40480070000000001</v>
      </c>
      <c r="Z4470">
        <v>6.1547340000000002E-3</v>
      </c>
      <c r="AA4470">
        <v>0.91438419999999998</v>
      </c>
      <c r="AB4470">
        <v>29</v>
      </c>
      <c r="AC4470">
        <v>16.6114</v>
      </c>
      <c r="AD4470">
        <v>-1.0880614210290001</v>
      </c>
      <c r="AE4470">
        <v>-15.639588699999999</v>
      </c>
      <c r="AF4470">
        <v>9.2720178344864408</v>
      </c>
      <c r="AG4470">
        <v>-1.0880614210290001</v>
      </c>
      <c r="AH4470">
        <v>20.789548524391101</v>
      </c>
      <c r="AI4470">
        <v>92.736573577269297</v>
      </c>
      <c r="AJ4470">
        <v>65.963406268855096</v>
      </c>
      <c r="AK4470">
        <v>22.789460726989098</v>
      </c>
      <c r="AL4470">
        <v>82.503715002624006</v>
      </c>
      <c r="AM4470">
        <v>91.630164919812302</v>
      </c>
      <c r="AN4470">
        <v>0.99999994155317895</v>
      </c>
    </row>
    <row r="4471" spans="1:40" x14ac:dyDescent="0.3">
      <c r="A4471" t="str">
        <f>"20200111150117339"</f>
        <v>20200111150117339</v>
      </c>
      <c r="B4471" t="str">
        <f>"1578726077331952"</f>
        <v>1578726077331952</v>
      </c>
      <c r="C4471" t="s">
        <v>40</v>
      </c>
      <c r="D4471">
        <v>4.8385410000000002</v>
      </c>
      <c r="E4471">
        <v>0.67947460000000004</v>
      </c>
      <c r="F4471" t="s">
        <v>42</v>
      </c>
      <c r="G4471">
        <v>-301.90620000000001</v>
      </c>
      <c r="H4471" s="1">
        <v>-4.5715360000000003E-6</v>
      </c>
      <c r="I4471">
        <v>-0.52572249999999998</v>
      </c>
      <c r="J4471">
        <v>-318.14139999999998</v>
      </c>
      <c r="K4471">
        <v>1.086808</v>
      </c>
      <c r="L4471">
        <v>14.749180000000001</v>
      </c>
      <c r="M4471">
        <v>0.94213999999999998</v>
      </c>
      <c r="N4471">
        <v>0</v>
      </c>
      <c r="O4471">
        <v>-0.33462829999999999</v>
      </c>
      <c r="P4471">
        <v>0.94622569999999995</v>
      </c>
      <c r="Q4471">
        <v>0.10984430000000001</v>
      </c>
      <c r="R4471">
        <v>-0.30428850000000002</v>
      </c>
      <c r="S4471">
        <v>2.4598390000000001</v>
      </c>
      <c r="T4471">
        <v>-0.16309360000000001</v>
      </c>
      <c r="U4471">
        <v>-2.2994379999999999</v>
      </c>
      <c r="V4471">
        <v>-2.75439E-2</v>
      </c>
      <c r="W4471">
        <v>0.1301329</v>
      </c>
      <c r="X4471">
        <v>0.99111389999999999</v>
      </c>
      <c r="Y4471">
        <v>0.39891900000000002</v>
      </c>
      <c r="Z4471">
        <v>6.7089519999999998E-3</v>
      </c>
      <c r="AA4471">
        <v>0.91696160000000004</v>
      </c>
      <c r="AB4471">
        <v>29</v>
      </c>
      <c r="AC4471">
        <v>16.235199999999899</v>
      </c>
      <c r="AD4471">
        <v>-1.086812571536</v>
      </c>
      <c r="AE4471">
        <v>-15.2749025</v>
      </c>
      <c r="AF4471">
        <v>8.9388660443424595</v>
      </c>
      <c r="AG4471">
        <v>-1.086812571536</v>
      </c>
      <c r="AH4471">
        <v>20.362885662960402</v>
      </c>
      <c r="AI4471">
        <v>92.797863983796503</v>
      </c>
      <c r="AJ4471">
        <v>66.299565498584599</v>
      </c>
      <c r="AK4471">
        <v>22.265030883588398</v>
      </c>
      <c r="AL4471">
        <v>82.522727839565306</v>
      </c>
      <c r="AM4471">
        <v>91.591888807864095</v>
      </c>
      <c r="AN4471">
        <v>1.00000000043141</v>
      </c>
    </row>
    <row r="4472" spans="1:40" x14ac:dyDescent="0.3">
      <c r="A4472" t="str">
        <f>"20200111150117352"</f>
        <v>20200111150117352</v>
      </c>
      <c r="B4472" t="str">
        <f>"1578726077342688"</f>
        <v>1578726077342688</v>
      </c>
      <c r="C4472" t="s">
        <v>40</v>
      </c>
      <c r="D4472">
        <v>4.67286</v>
      </c>
      <c r="E4472">
        <v>0.67952119999999905</v>
      </c>
      <c r="F4472" t="s">
        <v>43</v>
      </c>
      <c r="G4472">
        <v>-301.7638</v>
      </c>
      <c r="H4472">
        <v>-0.05</v>
      </c>
      <c r="I4472">
        <v>-0.6698151</v>
      </c>
      <c r="J4472">
        <v>-317.99119999999999</v>
      </c>
      <c r="K4472">
        <v>1.0855349999999999</v>
      </c>
      <c r="L4472">
        <v>14.69177</v>
      </c>
      <c r="M4472">
        <v>0.94066839999999996</v>
      </c>
      <c r="N4472">
        <v>0</v>
      </c>
      <c r="O4472">
        <v>-0.33871780000000001</v>
      </c>
      <c r="P4472">
        <v>0.94483099999999998</v>
      </c>
      <c r="Q4472">
        <v>0.1088623</v>
      </c>
      <c r="R4472">
        <v>-0.30893989999999999</v>
      </c>
      <c r="S4472">
        <v>2.4488219999999998</v>
      </c>
      <c r="T4472">
        <v>-0.16997799999999999</v>
      </c>
      <c r="U4472">
        <v>-2.3054809999999999</v>
      </c>
      <c r="V4472">
        <v>-2.695606E-2</v>
      </c>
      <c r="W4472">
        <v>0.12957830000000001</v>
      </c>
      <c r="X4472">
        <v>0.99120269999999999</v>
      </c>
      <c r="Y4472">
        <v>0.39818550000000003</v>
      </c>
      <c r="Z4472">
        <v>7.2417810000000001E-3</v>
      </c>
      <c r="AA4472">
        <v>0.91727630000000004</v>
      </c>
      <c r="AB4472">
        <v>29</v>
      </c>
      <c r="AC4472">
        <v>16.2273999999999</v>
      </c>
      <c r="AD4472">
        <v>-1.135535</v>
      </c>
      <c r="AE4472">
        <v>-15.361585099999999</v>
      </c>
      <c r="AF4472">
        <v>8.9324312618854709</v>
      </c>
      <c r="AG4472">
        <v>-1.135535</v>
      </c>
      <c r="AH4472">
        <v>20.419342675893201</v>
      </c>
      <c r="AI4472">
        <v>92.916648915967698</v>
      </c>
      <c r="AJ4472">
        <v>66.373050861645595</v>
      </c>
      <c r="AK4472">
        <v>22.3165257892013</v>
      </c>
      <c r="AL4472">
        <v>82.5547752665627</v>
      </c>
      <c r="AM4472">
        <v>91.557792249886006</v>
      </c>
      <c r="AN4472">
        <v>0.99999997874445101</v>
      </c>
    </row>
    <row r="4473" spans="1:40" x14ac:dyDescent="0.3">
      <c r="A4473" t="str">
        <f>"20200111150117365"</f>
        <v>20200111150117365</v>
      </c>
      <c r="B4473" t="str">
        <f>"1578726077362208"</f>
        <v>1578726077362208</v>
      </c>
      <c r="C4473" t="s">
        <v>40</v>
      </c>
      <c r="D4473">
        <v>4.6488680000000002</v>
      </c>
      <c r="E4473">
        <v>0.67937049999999999</v>
      </c>
      <c r="F4473" t="s">
        <v>43</v>
      </c>
      <c r="G4473">
        <v>-301.74549999999999</v>
      </c>
      <c r="H4473">
        <v>-0.05</v>
      </c>
      <c r="I4473">
        <v>-0.75747679999999995</v>
      </c>
      <c r="J4473">
        <v>-317.8322</v>
      </c>
      <c r="K4473">
        <v>1.0841289999999999</v>
      </c>
      <c r="L4473">
        <v>14.630369999999999</v>
      </c>
      <c r="M4473">
        <v>0.9391273</v>
      </c>
      <c r="N4473">
        <v>0</v>
      </c>
      <c r="O4473">
        <v>-0.34294390000000002</v>
      </c>
      <c r="P4473">
        <v>0.94335729999999995</v>
      </c>
      <c r="Q4473">
        <v>0.1081319</v>
      </c>
      <c r="R4473">
        <v>-0.31366329999999998</v>
      </c>
      <c r="S4473">
        <v>2.4370120000000002</v>
      </c>
      <c r="T4473">
        <v>-0.1703411</v>
      </c>
      <c r="U4473">
        <v>-2.3175349999999999</v>
      </c>
      <c r="V4473">
        <v>-2.6413180000000001E-2</v>
      </c>
      <c r="W4473">
        <v>0.12925059999999999</v>
      </c>
      <c r="X4473">
        <v>0.99126009999999998</v>
      </c>
      <c r="Y4473">
        <v>0.39866410000000002</v>
      </c>
      <c r="Z4473">
        <v>7.4751219999999998E-3</v>
      </c>
      <c r="AA4473">
        <v>0.91706659999999995</v>
      </c>
      <c r="AB4473">
        <v>29</v>
      </c>
      <c r="AC4473">
        <v>16.0867</v>
      </c>
      <c r="AD4473">
        <v>-1.1341289999999999</v>
      </c>
      <c r="AE4473">
        <v>-15.3878468</v>
      </c>
      <c r="AF4473">
        <v>8.9130961918372194</v>
      </c>
      <c r="AG4473">
        <v>-1.1341289999999999</v>
      </c>
      <c r="AH4473">
        <v>20.3362225099517</v>
      </c>
      <c r="AI4473">
        <v>92.924031591130401</v>
      </c>
      <c r="AJ4473">
        <v>66.332799305258902</v>
      </c>
      <c r="AK4473">
        <v>22.232666918025199</v>
      </c>
      <c r="AL4473">
        <v>82.573710334291903</v>
      </c>
      <c r="AM4473">
        <v>91.526345830781693</v>
      </c>
      <c r="AN4473">
        <v>0.99999997976504096</v>
      </c>
    </row>
    <row r="4474" spans="1:40" x14ac:dyDescent="0.3">
      <c r="A4474" t="str">
        <f>"20200111150117379"</f>
        <v>20200111150117379</v>
      </c>
      <c r="B4474" t="str">
        <f>"1578726077371968"</f>
        <v>1578726077371968</v>
      </c>
      <c r="C4474" t="s">
        <v>40</v>
      </c>
      <c r="D4474">
        <v>4.646217</v>
      </c>
      <c r="E4474">
        <v>0.67924379999999995</v>
      </c>
      <c r="F4474" t="s">
        <v>42</v>
      </c>
      <c r="G4474">
        <v>-302.16980000000001</v>
      </c>
      <c r="H4474" s="1">
        <v>-4.6644179999999998E-6</v>
      </c>
      <c r="I4474">
        <v>-0.40564630000000002</v>
      </c>
      <c r="J4474">
        <v>-317.65140000000002</v>
      </c>
      <c r="K4474">
        <v>1.082436</v>
      </c>
      <c r="L4474">
        <v>14.559480000000001</v>
      </c>
      <c r="M4474">
        <v>0.93741549999999996</v>
      </c>
      <c r="N4474">
        <v>0</v>
      </c>
      <c r="O4474">
        <v>-0.34757450000000001</v>
      </c>
      <c r="P4474">
        <v>0.94164879999999995</v>
      </c>
      <c r="Q4474">
        <v>0.1069375</v>
      </c>
      <c r="R4474">
        <v>-0.31915850000000001</v>
      </c>
      <c r="S4474">
        <v>2.425262</v>
      </c>
      <c r="T4474">
        <v>-0.16787460000000001</v>
      </c>
      <c r="U4474">
        <v>-2.3282780000000001</v>
      </c>
      <c r="V4474">
        <v>-2.5494739999999998E-2</v>
      </c>
      <c r="W4474">
        <v>0.1284122</v>
      </c>
      <c r="X4474">
        <v>0.99139310000000003</v>
      </c>
      <c r="Y4474">
        <v>0.39847500000000002</v>
      </c>
      <c r="Z4474">
        <v>7.6233269999999896E-3</v>
      </c>
      <c r="AA4474">
        <v>0.9171475</v>
      </c>
      <c r="AB4474">
        <v>29</v>
      </c>
      <c r="AC4474">
        <v>15.4816</v>
      </c>
      <c r="AD4474">
        <v>-1.082440664418</v>
      </c>
      <c r="AE4474">
        <v>-14.9651263</v>
      </c>
      <c r="AF4474">
        <v>8.6276495871311703</v>
      </c>
      <c r="AG4474">
        <v>-1.082440664418</v>
      </c>
      <c r="AH4474">
        <v>19.668861277475099</v>
      </c>
      <c r="AI4474">
        <v>92.885144078733703</v>
      </c>
      <c r="AJ4474">
        <v>66.315576646792906</v>
      </c>
      <c r="AK4474">
        <v>21.505164941075702</v>
      </c>
      <c r="AL4474">
        <v>82.622150774370297</v>
      </c>
      <c r="AM4474">
        <v>91.473097932016003</v>
      </c>
      <c r="AN4474">
        <v>0.99999997680205799</v>
      </c>
    </row>
    <row r="4475" spans="1:40" x14ac:dyDescent="0.3">
      <c r="A4475" t="str">
        <f>"20200111150117391"</f>
        <v>20200111150117391</v>
      </c>
      <c r="B4475" t="str">
        <f>"1578726077382235"</f>
        <v>1578726077382235</v>
      </c>
      <c r="C4475" t="s">
        <v>40</v>
      </c>
      <c r="D4475">
        <v>4.6656380000000004</v>
      </c>
      <c r="E4475">
        <v>0.67877730000000003</v>
      </c>
      <c r="F4475" t="s">
        <v>43</v>
      </c>
      <c r="G4475">
        <v>-301.90030000000002</v>
      </c>
      <c r="H4475">
        <v>-0.05</v>
      </c>
      <c r="I4475">
        <v>-0.72869869999999903</v>
      </c>
      <c r="J4475">
        <v>-317.49639999999999</v>
      </c>
      <c r="K4475">
        <v>1.080932</v>
      </c>
      <c r="L4475">
        <v>14.49738</v>
      </c>
      <c r="M4475">
        <v>0.93595430000000002</v>
      </c>
      <c r="N4475">
        <v>0</v>
      </c>
      <c r="O4475">
        <v>-0.35147810000000002</v>
      </c>
      <c r="P4475">
        <v>0.94015780000000004</v>
      </c>
      <c r="Q4475">
        <v>0.106617</v>
      </c>
      <c r="R4475">
        <v>-0.32363029999999998</v>
      </c>
      <c r="S4475">
        <v>2.4120789999999999</v>
      </c>
      <c r="T4475">
        <v>-0.17341779999999901</v>
      </c>
      <c r="U4475">
        <v>-2.3411870000000001</v>
      </c>
      <c r="V4475">
        <v>-2.4857879999999999E-2</v>
      </c>
      <c r="W4475">
        <v>0.12829209999999999</v>
      </c>
      <c r="X4475">
        <v>0.99142490000000005</v>
      </c>
      <c r="Y4475">
        <v>0.39968090000000001</v>
      </c>
      <c r="Z4475">
        <v>8.0597640000000005E-3</v>
      </c>
      <c r="AA4475">
        <v>0.91661890000000001</v>
      </c>
      <c r="AB4475">
        <v>29</v>
      </c>
      <c r="AC4475">
        <v>15.5960999999999</v>
      </c>
      <c r="AD4475">
        <v>-1.130932</v>
      </c>
      <c r="AE4475">
        <v>-15.226078699999899</v>
      </c>
      <c r="AF4475">
        <v>8.7476609958046403</v>
      </c>
      <c r="AG4475">
        <v>-1.130932</v>
      </c>
      <c r="AH4475">
        <v>19.899811902083201</v>
      </c>
      <c r="AI4475">
        <v>92.978213070650298</v>
      </c>
      <c r="AJ4475">
        <v>66.270424328088197</v>
      </c>
      <c r="AK4475">
        <v>21.767018487253502</v>
      </c>
      <c r="AL4475">
        <v>82.629089966924795</v>
      </c>
      <c r="AM4475">
        <v>91.436269426466595</v>
      </c>
      <c r="AN4475">
        <v>1.0000000547302501</v>
      </c>
    </row>
    <row r="4476" spans="1:40" x14ac:dyDescent="0.3">
      <c r="A4476" t="str">
        <f>"20200111150117406"</f>
        <v>20200111150117406</v>
      </c>
      <c r="B4476" t="str">
        <f>"1578726077402730"</f>
        <v>1578726077402730</v>
      </c>
      <c r="C4476" t="s">
        <v>40</v>
      </c>
      <c r="D4476">
        <v>4.649057</v>
      </c>
      <c r="E4476">
        <v>0.67831160000000001</v>
      </c>
      <c r="F4476" t="s">
        <v>43</v>
      </c>
      <c r="G4476">
        <v>-301.92540000000002</v>
      </c>
      <c r="H4476">
        <v>-0.05</v>
      </c>
      <c r="I4476">
        <v>-0.72946169999999899</v>
      </c>
      <c r="J4476">
        <v>-317.32350000000002</v>
      </c>
      <c r="K4476">
        <v>1.07925</v>
      </c>
      <c r="L4476">
        <v>14.42737</v>
      </c>
      <c r="M4476">
        <v>0.93431819999999999</v>
      </c>
      <c r="N4476">
        <v>0</v>
      </c>
      <c r="O4476">
        <v>-0.35579369999999999</v>
      </c>
      <c r="P4476">
        <v>0.93865209999999999</v>
      </c>
      <c r="Q4476">
        <v>0.1061681</v>
      </c>
      <c r="R4476">
        <v>-0.3281173</v>
      </c>
      <c r="S4476">
        <v>2.402161</v>
      </c>
      <c r="T4476">
        <v>-0.17446979999999901</v>
      </c>
      <c r="U4476">
        <v>-2.3490600000000001</v>
      </c>
      <c r="V4476">
        <v>-2.4653540000000002E-2</v>
      </c>
      <c r="W4476">
        <v>0.1280316</v>
      </c>
      <c r="X4476">
        <v>0.9914636</v>
      </c>
      <c r="Y4476">
        <v>0.39888010000000002</v>
      </c>
      <c r="Z4476">
        <v>8.3762690000000004E-3</v>
      </c>
      <c r="AA4476">
        <v>0.91696480000000002</v>
      </c>
      <c r="AB4476">
        <v>29</v>
      </c>
      <c r="AC4476">
        <v>15.398099999999999</v>
      </c>
      <c r="AD4476">
        <v>-1.1292500000000001</v>
      </c>
      <c r="AE4476">
        <v>-15.1568316999999</v>
      </c>
      <c r="AF4476">
        <v>8.6610971213355104</v>
      </c>
      <c r="AG4476">
        <v>-1.1292500000000001</v>
      </c>
      <c r="AH4476">
        <v>19.730089420126699</v>
      </c>
      <c r="AI4476">
        <v>92.999994444854906</v>
      </c>
      <c r="AJ4476">
        <v>66.299529145943296</v>
      </c>
      <c r="AK4476">
        <v>21.576983974455299</v>
      </c>
      <c r="AL4476">
        <v>82.644139066214294</v>
      </c>
      <c r="AM4476">
        <v>91.424412122505203</v>
      </c>
      <c r="AN4476">
        <v>0.99999997887902503</v>
      </c>
    </row>
    <row r="4477" spans="1:40" x14ac:dyDescent="0.3">
      <c r="A4477" t="str">
        <f>"20200111150117418"</f>
        <v>20200111150117418</v>
      </c>
      <c r="B4477" t="str">
        <f>"1578726077412491"</f>
        <v>1578726077412491</v>
      </c>
      <c r="C4477" t="s">
        <v>40</v>
      </c>
      <c r="D4477">
        <v>4.6350119999999997</v>
      </c>
      <c r="E4477">
        <v>0.67791159999999995</v>
      </c>
      <c r="F4477" t="s">
        <v>43</v>
      </c>
      <c r="G4477">
        <v>-301.98230000000001</v>
      </c>
      <c r="H4477">
        <v>-0.05</v>
      </c>
      <c r="I4477">
        <v>-0.68934629999999997</v>
      </c>
      <c r="J4477">
        <v>-317.17290000000003</v>
      </c>
      <c r="K4477">
        <v>1.0777829999999999</v>
      </c>
      <c r="L4477">
        <v>14.365600000000001</v>
      </c>
      <c r="M4477">
        <v>0.93289169999999999</v>
      </c>
      <c r="N4477">
        <v>0</v>
      </c>
      <c r="O4477">
        <v>-0.35951070000000002</v>
      </c>
      <c r="P4477">
        <v>0.93722969999999906</v>
      </c>
      <c r="Q4477">
        <v>0.1059874</v>
      </c>
      <c r="R4477">
        <v>-0.33221610000000001</v>
      </c>
      <c r="S4477">
        <v>2.392029</v>
      </c>
      <c r="T4477">
        <v>-0.176074799999999</v>
      </c>
      <c r="U4477">
        <v>-2.3570250000000001</v>
      </c>
      <c r="V4477">
        <v>-2.4229210000000001E-2</v>
      </c>
      <c r="W4477">
        <v>0.1279653</v>
      </c>
      <c r="X4477">
        <v>0.99148259999999999</v>
      </c>
      <c r="Y4477">
        <v>0.39872079999999999</v>
      </c>
      <c r="Z4477">
        <v>8.6721279999999994E-3</v>
      </c>
      <c r="AA4477">
        <v>0.91703129999999999</v>
      </c>
      <c r="AB4477">
        <v>29</v>
      </c>
      <c r="AC4477">
        <v>15.1906</v>
      </c>
      <c r="AD4477">
        <v>-1.127783</v>
      </c>
      <c r="AE4477">
        <v>-15.054946299999999</v>
      </c>
      <c r="AF4477">
        <v>8.5616410262180995</v>
      </c>
      <c r="AG4477">
        <v>-1.127783</v>
      </c>
      <c r="AH4477">
        <v>19.533837855364599</v>
      </c>
      <c r="AI4477">
        <v>93.026906675725698</v>
      </c>
      <c r="AJ4477">
        <v>66.332259546484707</v>
      </c>
      <c r="AK4477">
        <v>21.3575376136058</v>
      </c>
      <c r="AL4477">
        <v>82.647969138145498</v>
      </c>
      <c r="AM4477">
        <v>91.399878555212695</v>
      </c>
      <c r="AN4477">
        <v>0.99999995936203601</v>
      </c>
    </row>
    <row r="4478" spans="1:40" x14ac:dyDescent="0.3">
      <c r="A4478" t="str">
        <f>"20200111150117430"</f>
        <v>20200111150117430</v>
      </c>
      <c r="B4478" t="str">
        <f>"1578726077422251"</f>
        <v>1578726077422251</v>
      </c>
      <c r="C4478" t="s">
        <v>40</v>
      </c>
      <c r="D4478">
        <v>4.6290069999999996</v>
      </c>
      <c r="E4478">
        <v>0.67760399999999998</v>
      </c>
      <c r="F4478" t="s">
        <v>43</v>
      </c>
      <c r="G4478">
        <v>-301.96039999999999</v>
      </c>
      <c r="H4478">
        <v>-0.05</v>
      </c>
      <c r="I4478">
        <v>-0.72810359999999996</v>
      </c>
      <c r="J4478">
        <v>-317.02690000000001</v>
      </c>
      <c r="K4478">
        <v>1.0763799999999999</v>
      </c>
      <c r="L4478">
        <v>14.304690000000001</v>
      </c>
      <c r="M4478">
        <v>0.93149800000000005</v>
      </c>
      <c r="N4478">
        <v>0</v>
      </c>
      <c r="O4478">
        <v>-0.3631045</v>
      </c>
      <c r="P4478">
        <v>0.93584250000000002</v>
      </c>
      <c r="Q4478">
        <v>0.10593320000000001</v>
      </c>
      <c r="R4478">
        <v>-0.33612110000000001</v>
      </c>
      <c r="S4478">
        <v>2.3828740000000002</v>
      </c>
      <c r="T4478">
        <v>-0.17665449999999999</v>
      </c>
      <c r="U4478">
        <v>-2.364258</v>
      </c>
      <c r="V4478">
        <v>-2.3892179999999999E-2</v>
      </c>
      <c r="W4478">
        <v>0.12794459999999999</v>
      </c>
      <c r="X4478">
        <v>0.99149350000000003</v>
      </c>
      <c r="Y4478">
        <v>0.39835229999999999</v>
      </c>
      <c r="Z4478">
        <v>8.9188529999999992E-3</v>
      </c>
      <c r="AA4478">
        <v>0.91718909999999998</v>
      </c>
      <c r="AB4478">
        <v>29</v>
      </c>
      <c r="AC4478">
        <v>15.0665</v>
      </c>
      <c r="AD4478">
        <v>-1.1263799999999999</v>
      </c>
      <c r="AE4478">
        <v>-15.0327935999999</v>
      </c>
      <c r="AF4478">
        <v>8.5104581544671092</v>
      </c>
      <c r="AG4478">
        <v>-1.1263799999999999</v>
      </c>
      <c r="AH4478">
        <v>19.442982402306999</v>
      </c>
      <c r="AI4478">
        <v>93.037899696813795</v>
      </c>
      <c r="AJ4478">
        <v>66.360350040250793</v>
      </c>
      <c r="AK4478">
        <v>21.253851288643101</v>
      </c>
      <c r="AL4478">
        <v>82.6491653557229</v>
      </c>
      <c r="AM4478">
        <v>91.380398564754998</v>
      </c>
      <c r="AN4478">
        <v>1.0000000087382801</v>
      </c>
    </row>
    <row r="4479" spans="1:40" x14ac:dyDescent="0.3">
      <c r="A4479" t="str">
        <f>"20200111150117442"</f>
        <v>20200111150117442</v>
      </c>
      <c r="B4479" t="str">
        <f>"1578726077432011"</f>
        <v>1578726077432011</v>
      </c>
      <c r="C4479" t="s">
        <v>40</v>
      </c>
      <c r="D4479">
        <v>4.6214240000000002</v>
      </c>
      <c r="E4479">
        <v>0.67720290000000005</v>
      </c>
      <c r="F4479" t="s">
        <v>43</v>
      </c>
      <c r="G4479">
        <v>-301.92439999999999</v>
      </c>
      <c r="H4479">
        <v>-0.05</v>
      </c>
      <c r="I4479">
        <v>-0.78482059999999998</v>
      </c>
      <c r="J4479">
        <v>-316.88049999999998</v>
      </c>
      <c r="K4479">
        <v>1.074981</v>
      </c>
      <c r="L4479">
        <v>14.24316</v>
      </c>
      <c r="M4479">
        <v>0.93008630000000003</v>
      </c>
      <c r="N4479">
        <v>0</v>
      </c>
      <c r="O4479">
        <v>-0.36670510000000001</v>
      </c>
      <c r="P4479">
        <v>0.93430849999999999</v>
      </c>
      <c r="Q4479">
        <v>0.1062181</v>
      </c>
      <c r="R4479">
        <v>-0.34027249999999998</v>
      </c>
      <c r="S4479">
        <v>2.3738100000000002</v>
      </c>
      <c r="T4479">
        <v>-0.17704420000000001</v>
      </c>
      <c r="U4479">
        <v>-2.3717649999999999</v>
      </c>
      <c r="V4479">
        <v>-2.3287599999999999E-2</v>
      </c>
      <c r="W4479">
        <v>0.12822069999999999</v>
      </c>
      <c r="X4479">
        <v>0.99147220000000003</v>
      </c>
      <c r="Y4479">
        <v>0.39800990000000003</v>
      </c>
      <c r="Z4479">
        <v>9.1563540000000002E-3</v>
      </c>
      <c r="AA4479">
        <v>0.91733549999999997</v>
      </c>
      <c r="AB4479">
        <v>29</v>
      </c>
      <c r="AC4479">
        <v>14.9560999999999</v>
      </c>
      <c r="AD4479">
        <v>-1.124981</v>
      </c>
      <c r="AE4479">
        <v>-15.0279805999999</v>
      </c>
      <c r="AF4479">
        <v>8.4709748584690701</v>
      </c>
      <c r="AG4479">
        <v>-1.124981</v>
      </c>
      <c r="AH4479">
        <v>19.371298300708901</v>
      </c>
      <c r="AI4479">
        <v>93.045807515912003</v>
      </c>
      <c r="AJ4479">
        <v>66.380474273053196</v>
      </c>
      <c r="AK4479">
        <v>21.172392287085099</v>
      </c>
      <c r="AL4479">
        <v>82.633214487259195</v>
      </c>
      <c r="AM4479">
        <v>91.345510151583596</v>
      </c>
      <c r="AN4479">
        <v>0.99999999179754495</v>
      </c>
    </row>
    <row r="4480" spans="1:40" x14ac:dyDescent="0.3">
      <c r="A4480" t="str">
        <f>"20200111150117456"</f>
        <v>20200111150117456</v>
      </c>
      <c r="B4480" t="str">
        <f>"1578726077452507"</f>
        <v>1578726077452507</v>
      </c>
      <c r="C4480" t="s">
        <v>40</v>
      </c>
      <c r="D4480">
        <v>4.6545540000000001</v>
      </c>
      <c r="E4480">
        <v>0.67642419999999903</v>
      </c>
      <c r="F4480" t="s">
        <v>43</v>
      </c>
      <c r="G4480">
        <v>-301.71190000000001</v>
      </c>
      <c r="H4480">
        <v>-0.05</v>
      </c>
      <c r="I4480">
        <v>-1.0202180000000001</v>
      </c>
      <c r="J4480">
        <v>-316.70859999999999</v>
      </c>
      <c r="K4480">
        <v>1.0733820000000001</v>
      </c>
      <c r="L4480">
        <v>14.16977</v>
      </c>
      <c r="M4480">
        <v>0.92840210000000001</v>
      </c>
      <c r="N4480">
        <v>0</v>
      </c>
      <c r="O4480">
        <v>-0.37095440000000002</v>
      </c>
      <c r="P4480">
        <v>0.93230409999999997</v>
      </c>
      <c r="Q4480">
        <v>0.1062138</v>
      </c>
      <c r="R4480">
        <v>-0.34572760000000002</v>
      </c>
      <c r="S4480">
        <v>2.3643800000000001</v>
      </c>
      <c r="T4480">
        <v>-0.17535419999999999</v>
      </c>
      <c r="U4480">
        <v>-2.3791500000000001</v>
      </c>
      <c r="V4480">
        <v>-2.2029460000000001E-2</v>
      </c>
      <c r="W4480">
        <v>0.12808259999999999</v>
      </c>
      <c r="X4480">
        <v>0.99151880000000003</v>
      </c>
      <c r="Y4480">
        <v>0.39707439999999999</v>
      </c>
      <c r="Z4480">
        <v>9.3389849999999993E-3</v>
      </c>
      <c r="AA4480">
        <v>0.91773890000000002</v>
      </c>
      <c r="AB4480">
        <v>29</v>
      </c>
      <c r="AC4480">
        <v>14.996699999999899</v>
      </c>
      <c r="AD4480">
        <v>-1.1233819999999901</v>
      </c>
      <c r="AE4480">
        <v>-15.189988</v>
      </c>
      <c r="AF4480">
        <v>8.5177080893340094</v>
      </c>
      <c r="AG4480">
        <v>-1.1233819999999901</v>
      </c>
      <c r="AH4480">
        <v>19.508251291917901</v>
      </c>
      <c r="AI4480">
        <v>93.020920093103499</v>
      </c>
      <c r="AJ4480">
        <v>66.412917906170506</v>
      </c>
      <c r="AK4480">
        <v>21.316313158744101</v>
      </c>
      <c r="AL4480">
        <v>82.641192806899198</v>
      </c>
      <c r="AM4480">
        <v>91.272782176822602</v>
      </c>
      <c r="AN4480">
        <v>0.99999999014204499</v>
      </c>
    </row>
    <row r="4481" spans="1:40" x14ac:dyDescent="0.3">
      <c r="A4481" t="str">
        <f>"20200111150117470"</f>
        <v>20200111150117470</v>
      </c>
      <c r="B4481" t="str">
        <f>"1578726077462267"</f>
        <v>1578726077462267</v>
      </c>
      <c r="C4481" t="s">
        <v>40</v>
      </c>
      <c r="D4481">
        <v>4.6545300000000003</v>
      </c>
      <c r="E4481">
        <v>0.67604449999999905</v>
      </c>
      <c r="F4481" t="s">
        <v>42</v>
      </c>
      <c r="G4481">
        <v>-302.26740000000001</v>
      </c>
      <c r="H4481" s="1">
        <v>-4.6516770000000003E-6</v>
      </c>
      <c r="I4481">
        <v>-0.48387809999999998</v>
      </c>
      <c r="J4481">
        <v>-316.553</v>
      </c>
      <c r="K4481">
        <v>1.07199</v>
      </c>
      <c r="L4481">
        <v>14.1024799999999</v>
      </c>
      <c r="M4481">
        <v>0.92684690000000003</v>
      </c>
      <c r="N4481">
        <v>0</v>
      </c>
      <c r="O4481">
        <v>-0.3748339</v>
      </c>
      <c r="P4481">
        <v>0.93056369999999999</v>
      </c>
      <c r="Q4481">
        <v>0.10616539999999999</v>
      </c>
      <c r="R4481">
        <v>-0.35040090000000002</v>
      </c>
      <c r="S4481">
        <v>2.3525390000000002</v>
      </c>
      <c r="T4481">
        <v>-0.1748596</v>
      </c>
      <c r="U4481">
        <v>-2.387146</v>
      </c>
      <c r="V4481">
        <v>-2.1226849999999998E-2</v>
      </c>
      <c r="W4481">
        <v>0.12783949999999999</v>
      </c>
      <c r="X4481">
        <v>0.99156770000000005</v>
      </c>
      <c r="Y4481">
        <v>0.39708529999999997</v>
      </c>
      <c r="Z4481">
        <v>9.5387479999999997E-3</v>
      </c>
      <c r="AA4481">
        <v>0.91773210000000005</v>
      </c>
      <c r="AB4481">
        <v>29</v>
      </c>
      <c r="AC4481">
        <v>14.285599999999899</v>
      </c>
      <c r="AD4481">
        <v>-1.071994651677</v>
      </c>
      <c r="AE4481">
        <v>-14.586358099999901</v>
      </c>
      <c r="AF4481">
        <v>8.1439972288633697</v>
      </c>
      <c r="AG4481">
        <v>-1.071994651677</v>
      </c>
      <c r="AH4481">
        <v>18.660831802962701</v>
      </c>
      <c r="AI4481">
        <v>93.013875254752705</v>
      </c>
      <c r="AJ4481">
        <v>66.422485552990295</v>
      </c>
      <c r="AK4481">
        <v>20.3887348056573</v>
      </c>
      <c r="AL4481">
        <v>82.655237013436505</v>
      </c>
      <c r="AM4481">
        <v>91.226364253590901</v>
      </c>
      <c r="AN4481">
        <v>1.00000001030223</v>
      </c>
    </row>
    <row r="4482" spans="1:40" x14ac:dyDescent="0.3">
      <c r="A4482" t="str">
        <f>"20200111150117483"</f>
        <v>20200111150117483</v>
      </c>
      <c r="B4482" t="str">
        <f>"1578726077472027"</f>
        <v>1578726077472027</v>
      </c>
      <c r="C4482" t="s">
        <v>40</v>
      </c>
      <c r="D4482">
        <v>4.6458949999999897</v>
      </c>
      <c r="E4482">
        <v>0.67555559999999903</v>
      </c>
      <c r="F4482" t="s">
        <v>42</v>
      </c>
      <c r="G4482">
        <v>-302.23700000000002</v>
      </c>
      <c r="H4482" s="1">
        <v>-4.6227819999999999E-6</v>
      </c>
      <c r="I4482">
        <v>-0.54509259999999904</v>
      </c>
      <c r="J4482">
        <v>-316.39550000000003</v>
      </c>
      <c r="K4482">
        <v>1.070616</v>
      </c>
      <c r="L4482">
        <v>14.033779999999901</v>
      </c>
      <c r="M4482">
        <v>0.92524390000000001</v>
      </c>
      <c r="N4482">
        <v>0</v>
      </c>
      <c r="O4482">
        <v>-0.37878590000000001</v>
      </c>
      <c r="P4482">
        <v>0.92876210000000003</v>
      </c>
      <c r="Q4482">
        <v>0.1063617</v>
      </c>
      <c r="R4482">
        <v>-0.35508970000000001</v>
      </c>
      <c r="S4482">
        <v>2.3417050000000001</v>
      </c>
      <c r="T4482">
        <v>-0.17534849999999999</v>
      </c>
      <c r="U4482">
        <v>-2.3959350000000001</v>
      </c>
      <c r="V4482">
        <v>-2.047945E-2</v>
      </c>
      <c r="W4482">
        <v>0.1277904</v>
      </c>
      <c r="X4482">
        <v>0.99158970000000002</v>
      </c>
      <c r="Y4482">
        <v>0.39697830000000001</v>
      </c>
      <c r="Z4482">
        <v>9.7961000000000003E-3</v>
      </c>
      <c r="AA4482">
        <v>0.91777569999999997</v>
      </c>
      <c r="AB4482">
        <v>29</v>
      </c>
      <c r="AC4482">
        <v>14.1585</v>
      </c>
      <c r="AD4482">
        <v>-1.0706206227820001</v>
      </c>
      <c r="AE4482">
        <v>-14.5788726</v>
      </c>
      <c r="AF4482">
        <v>8.1052864565911698</v>
      </c>
      <c r="AG4482">
        <v>-1.0706206227820001</v>
      </c>
      <c r="AH4482">
        <v>18.574930181345099</v>
      </c>
      <c r="AI4482">
        <v>93.0239864456627</v>
      </c>
      <c r="AJ4482">
        <v>66.425650403928401</v>
      </c>
      <c r="AK4482">
        <v>20.2945787909769</v>
      </c>
      <c r="AL4482">
        <v>82.658073156740201</v>
      </c>
      <c r="AM4482">
        <v>91.183170072752105</v>
      </c>
      <c r="AN4482">
        <v>0.99999996367527499</v>
      </c>
    </row>
    <row r="4483" spans="1:40" x14ac:dyDescent="0.3">
      <c r="A4483" t="str">
        <f>"20200111150117503"</f>
        <v>20200111150117503</v>
      </c>
      <c r="B4483" t="str">
        <f>"1578726077492053"</f>
        <v>1578726077492053</v>
      </c>
      <c r="C4483" t="s">
        <v>40</v>
      </c>
      <c r="D4483">
        <v>4.6706849999999998</v>
      </c>
      <c r="E4483">
        <v>0.66448229999999997</v>
      </c>
      <c r="F4483" t="s">
        <v>42</v>
      </c>
      <c r="G4483">
        <v>-302.21390000000002</v>
      </c>
      <c r="H4483" s="1">
        <v>-4.6010480000000001E-6</v>
      </c>
      <c r="I4483">
        <v>-0.59100719999999995</v>
      </c>
      <c r="J4483">
        <v>-316.14830000000001</v>
      </c>
      <c r="K4483">
        <v>1.0685819999999999</v>
      </c>
      <c r="L4483">
        <v>13.92404</v>
      </c>
      <c r="M4483">
        <v>0.92263790000000001</v>
      </c>
      <c r="N4483">
        <v>0</v>
      </c>
      <c r="O4483">
        <v>-0.38511519999999999</v>
      </c>
      <c r="P4483">
        <v>0.92590450000000002</v>
      </c>
      <c r="Q4483">
        <v>0.106865</v>
      </c>
      <c r="R4483">
        <v>-0.3623265</v>
      </c>
      <c r="S4483">
        <v>2.3311459999999999</v>
      </c>
      <c r="T4483">
        <v>-0.17598629999999901</v>
      </c>
      <c r="U4483">
        <v>-2.4039920000000001</v>
      </c>
      <c r="V4483">
        <v>-1.959195E-2</v>
      </c>
      <c r="W4483">
        <v>0.12779090000000001</v>
      </c>
      <c r="X4483">
        <v>0.99160760000000003</v>
      </c>
      <c r="Y4483">
        <v>0.39431630000000001</v>
      </c>
      <c r="Z4483">
        <v>1.02702E-2</v>
      </c>
      <c r="AA4483">
        <v>0.9189174</v>
      </c>
      <c r="AB4483">
        <v>29</v>
      </c>
      <c r="AC4483">
        <v>13.934399999999901</v>
      </c>
      <c r="AD4483">
        <v>-1.0685866010480001</v>
      </c>
      <c r="AE4483">
        <v>-14.5150471999999</v>
      </c>
      <c r="AF4483">
        <v>8.0049142184193407</v>
      </c>
      <c r="AG4483">
        <v>-1.0685866010480001</v>
      </c>
      <c r="AH4483">
        <v>18.3984053102022</v>
      </c>
      <c r="AI4483">
        <v>93.048569977518994</v>
      </c>
      <c r="AJ4483">
        <v>66.486749351519506</v>
      </c>
      <c r="AK4483">
        <v>20.0928307345348</v>
      </c>
      <c r="AL4483">
        <v>82.658044506991303</v>
      </c>
      <c r="AM4483">
        <v>91.131889281376004</v>
      </c>
      <c r="AN4483">
        <v>0.99999999550268603</v>
      </c>
    </row>
    <row r="4484" spans="1:40" x14ac:dyDescent="0.3">
      <c r="A4484" t="str">
        <f>"20200111150117516"</f>
        <v>20200111150117516</v>
      </c>
      <c r="B4484" t="str">
        <f>"1578726077512551"</f>
        <v>1578726077512551</v>
      </c>
      <c r="C4484" t="s">
        <v>40</v>
      </c>
      <c r="D4484">
        <v>4.7729210000000002</v>
      </c>
      <c r="E4484">
        <v>0.6649178</v>
      </c>
      <c r="F4484" t="s">
        <v>42</v>
      </c>
      <c r="G4484">
        <v>-301.1576</v>
      </c>
      <c r="H4484" s="1">
        <v>-4.2429319999999997E-6</v>
      </c>
      <c r="I4484">
        <v>-1.035639</v>
      </c>
      <c r="J4484">
        <v>-315.98719999999997</v>
      </c>
      <c r="K4484">
        <v>1.0673429999999999</v>
      </c>
      <c r="L4484">
        <v>13.85144</v>
      </c>
      <c r="M4484">
        <v>0.92085430000000001</v>
      </c>
      <c r="N4484">
        <v>0</v>
      </c>
      <c r="O4484">
        <v>-0.389378</v>
      </c>
      <c r="P4484">
        <v>0.92358180000000001</v>
      </c>
      <c r="Q4484">
        <v>0.1074295</v>
      </c>
      <c r="R4484">
        <v>-0.3680428</v>
      </c>
      <c r="S4484">
        <v>2.3440249999999998</v>
      </c>
      <c r="T4484">
        <v>-0.1670896</v>
      </c>
      <c r="U4484">
        <v>-2.339172</v>
      </c>
      <c r="V4484">
        <v>-1.8087389999999998E-2</v>
      </c>
      <c r="W4484">
        <v>0.12797999999999901</v>
      </c>
      <c r="X4484">
        <v>0.99161180000000004</v>
      </c>
      <c r="Y4484">
        <v>0.37492429999999999</v>
      </c>
      <c r="Z4484">
        <v>1.0601569999999999E-2</v>
      </c>
      <c r="AA4484">
        <v>0.92699480000000001</v>
      </c>
      <c r="AB4484">
        <v>29</v>
      </c>
      <c r="AC4484">
        <v>14.8295999999999</v>
      </c>
      <c r="AD4484">
        <v>-1.0673472429319999</v>
      </c>
      <c r="AE4484">
        <v>-14.887079</v>
      </c>
      <c r="AF4484">
        <v>7.9157227727019297</v>
      </c>
      <c r="AG4484">
        <v>-1.0673472429319999</v>
      </c>
      <c r="AH4484">
        <v>19.406540593959001</v>
      </c>
      <c r="AI4484">
        <v>92.915320764379899</v>
      </c>
      <c r="AJ4484">
        <v>67.809971812761802</v>
      </c>
      <c r="AK4484">
        <v>20.985988539409998</v>
      </c>
      <c r="AL4484">
        <v>82.647120193103106</v>
      </c>
      <c r="AM4484">
        <v>91.044981714707703</v>
      </c>
      <c r="AN4484">
        <v>0.999999997988126</v>
      </c>
    </row>
    <row r="4485" spans="1:40" x14ac:dyDescent="0.3">
      <c r="A4485" t="str">
        <f>"20200111150117530"</f>
        <v>20200111150117530</v>
      </c>
      <c r="B4485" t="str">
        <f>"1578726077522309"</f>
        <v>1578726077522309</v>
      </c>
      <c r="C4485" t="s">
        <v>40</v>
      </c>
      <c r="D4485">
        <v>4.3623799999999999</v>
      </c>
      <c r="E4485">
        <v>0.7233638</v>
      </c>
      <c r="F4485" t="s">
        <v>42</v>
      </c>
      <c r="G4485">
        <v>-301.43799999999999</v>
      </c>
      <c r="H4485" s="1">
        <v>-4.3551129999999998E-6</v>
      </c>
      <c r="I4485">
        <v>-0.87307639999999997</v>
      </c>
      <c r="J4485">
        <v>-315.82850000000002</v>
      </c>
      <c r="K4485">
        <v>1.066173</v>
      </c>
      <c r="L4485">
        <v>13.77905</v>
      </c>
      <c r="M4485">
        <v>0.91903699999999999</v>
      </c>
      <c r="N4485">
        <v>0</v>
      </c>
      <c r="O4485">
        <v>-0.39366580000000001</v>
      </c>
      <c r="P4485">
        <v>0.92157210000000001</v>
      </c>
      <c r="Q4485">
        <v>0.1075811</v>
      </c>
      <c r="R4485">
        <v>-0.37300270000000002</v>
      </c>
      <c r="S4485">
        <v>2.3288570000000002</v>
      </c>
      <c r="T4485">
        <v>-0.1708488</v>
      </c>
      <c r="U4485">
        <v>-2.3569339999999999</v>
      </c>
      <c r="V4485">
        <v>-1.744718E-2</v>
      </c>
      <c r="W4485">
        <v>0.12776669999999901</v>
      </c>
      <c r="X4485">
        <v>0.99165080000000005</v>
      </c>
      <c r="Y4485">
        <v>0.37712180000000001</v>
      </c>
      <c r="Z4485">
        <v>1.1014339999999999E-2</v>
      </c>
      <c r="AA4485">
        <v>0.92609819999999998</v>
      </c>
      <c r="AB4485">
        <v>29</v>
      </c>
      <c r="AC4485">
        <v>14.390499999999999</v>
      </c>
      <c r="AD4485">
        <v>-1.066177355113</v>
      </c>
      <c r="AE4485">
        <v>-14.6521264</v>
      </c>
      <c r="AF4485">
        <v>7.7813803811939497</v>
      </c>
      <c r="AG4485">
        <v>-1.066177355113</v>
      </c>
      <c r="AH4485">
        <v>18.946163395720401</v>
      </c>
      <c r="AI4485">
        <v>92.979824445995405</v>
      </c>
      <c r="AJ4485">
        <v>67.671549559167303</v>
      </c>
      <c r="AK4485">
        <v>20.509600732503799</v>
      </c>
      <c r="AL4485">
        <v>82.659442716213206</v>
      </c>
      <c r="AM4485">
        <v>91.007962328930205</v>
      </c>
      <c r="AN4485">
        <v>1.00000002142974</v>
      </c>
    </row>
    <row r="4486" spans="1:40" x14ac:dyDescent="0.3">
      <c r="A4486" t="str">
        <f>"20200111150117616"</f>
        <v>20200111150117616</v>
      </c>
      <c r="B4486" t="str">
        <f>"1578726077612608"</f>
        <v>1578726077612608</v>
      </c>
      <c r="C4486" t="s">
        <v>40</v>
      </c>
      <c r="D4486">
        <v>5.067348</v>
      </c>
      <c r="E4486">
        <v>0.72847499999999998</v>
      </c>
      <c r="F4486" t="s">
        <v>42</v>
      </c>
      <c r="G4486">
        <v>-291.34219999999999</v>
      </c>
      <c r="H4486" s="1">
        <v>-3.0007220000000001E-6</v>
      </c>
      <c r="I4486">
        <v>-18.303470000000001</v>
      </c>
      <c r="J4486">
        <v>-314.7944</v>
      </c>
      <c r="K4486">
        <v>1.059156</v>
      </c>
      <c r="L4486">
        <v>13.287050000000001</v>
      </c>
      <c r="M4486">
        <v>0.9066881</v>
      </c>
      <c r="N4486">
        <v>0</v>
      </c>
      <c r="O4486">
        <v>-0.4214388</v>
      </c>
      <c r="P4486">
        <v>0.90851630000000005</v>
      </c>
      <c r="Q4486">
        <v>0.1098529</v>
      </c>
      <c r="R4486">
        <v>-0.40315099999999998</v>
      </c>
      <c r="S4486">
        <v>2.1343079999999999</v>
      </c>
      <c r="T4486">
        <v>-9.2931330000000006E-2</v>
      </c>
      <c r="U4486">
        <v>-2.7964169999999999</v>
      </c>
      <c r="V4486">
        <v>-1.5145779999999999E-2</v>
      </c>
      <c r="W4486">
        <v>0.1275056</v>
      </c>
      <c r="X4486">
        <v>0.9917222</v>
      </c>
      <c r="Y4486">
        <v>0.46510750000000001</v>
      </c>
      <c r="Z4486">
        <v>5.2237990000000003E-3</v>
      </c>
      <c r="AA4486">
        <v>0.88523879999999999</v>
      </c>
      <c r="AB4486">
        <v>29</v>
      </c>
      <c r="AC4486">
        <v>23.452200000000001</v>
      </c>
      <c r="AD4486">
        <v>-1.059159000722</v>
      </c>
      <c r="AE4486">
        <v>-31.590520000000001</v>
      </c>
      <c r="AF4486">
        <v>18.748365567152302</v>
      </c>
      <c r="AG4486">
        <v>-1.059159000722</v>
      </c>
      <c r="AH4486">
        <v>34.557549512321103</v>
      </c>
      <c r="AI4486">
        <v>91.543165784781806</v>
      </c>
      <c r="AJ4486">
        <v>61.519022447912697</v>
      </c>
      <c r="AK4486">
        <v>39.329979119304397</v>
      </c>
      <c r="AL4486">
        <v>82.674525831801901</v>
      </c>
      <c r="AM4486">
        <v>90.874964595046606</v>
      </c>
      <c r="AN4486">
        <v>0.99999999732800404</v>
      </c>
    </row>
    <row r="4487" spans="1:40" x14ac:dyDescent="0.3">
      <c r="A4487" t="str">
        <f>"20200111150117629"</f>
        <v>20200111150117629</v>
      </c>
      <c r="B4487" t="str">
        <f>"1578726077622368"</f>
        <v>1578726077622368</v>
      </c>
      <c r="C4487" t="s">
        <v>40</v>
      </c>
      <c r="D4487">
        <v>5.0556519999999896</v>
      </c>
      <c r="E4487">
        <v>0.72890959999999905</v>
      </c>
      <c r="F4487" t="s">
        <v>42</v>
      </c>
      <c r="G4487">
        <v>-294.94099999999997</v>
      </c>
      <c r="H4487" s="1">
        <v>-3.1299759999999999E-6</v>
      </c>
      <c r="I4487">
        <v>-15.16297</v>
      </c>
      <c r="J4487">
        <v>-314.64049999999997</v>
      </c>
      <c r="K4487">
        <v>1.058273</v>
      </c>
      <c r="L4487">
        <v>13.21048</v>
      </c>
      <c r="M4487">
        <v>0.90483119999999995</v>
      </c>
      <c r="N4487">
        <v>0</v>
      </c>
      <c r="O4487">
        <v>-0.42542600000000003</v>
      </c>
      <c r="P4487">
        <v>0.90652390000000005</v>
      </c>
      <c r="Q4487">
        <v>0.110166</v>
      </c>
      <c r="R4487">
        <v>-0.40752680000000002</v>
      </c>
      <c r="S4487">
        <v>2.0265200000000001</v>
      </c>
      <c r="T4487">
        <v>-0.10811320000000001</v>
      </c>
      <c r="U4487">
        <v>-2.9040219999999999</v>
      </c>
      <c r="V4487">
        <v>-1.473874E-2</v>
      </c>
      <c r="W4487">
        <v>0.12743989999999999</v>
      </c>
      <c r="X4487">
        <v>0.99173679999999997</v>
      </c>
      <c r="Y4487">
        <v>0.4985966</v>
      </c>
      <c r="Z4487">
        <v>5.6096439999999996E-3</v>
      </c>
      <c r="AA4487">
        <v>0.86681600000000003</v>
      </c>
      <c r="AB4487">
        <v>29</v>
      </c>
      <c r="AC4487">
        <v>19.6995</v>
      </c>
      <c r="AD4487">
        <v>-1.058276129976</v>
      </c>
      <c r="AE4487">
        <v>-28.373449999999998</v>
      </c>
      <c r="AF4487">
        <v>17.2788200145167</v>
      </c>
      <c r="AG4487">
        <v>-1.058276129976</v>
      </c>
      <c r="AH4487">
        <v>29.871869663047899</v>
      </c>
      <c r="AI4487">
        <v>91.756509132304302</v>
      </c>
      <c r="AJ4487">
        <v>59.953574174391903</v>
      </c>
      <c r="AK4487">
        <v>34.525442308933101</v>
      </c>
      <c r="AL4487">
        <v>82.678321289645595</v>
      </c>
      <c r="AM4487">
        <v>90.851441062113494</v>
      </c>
      <c r="AN4487">
        <v>1.00000001952151</v>
      </c>
    </row>
    <row r="4488" spans="1:40" x14ac:dyDescent="0.3">
      <c r="A4488" t="str">
        <f>"20200111150117641"</f>
        <v>20200111150117641</v>
      </c>
      <c r="B4488" t="str">
        <f>"1578726077632127"</f>
        <v>1578726077632127</v>
      </c>
      <c r="C4488" t="s">
        <v>40</v>
      </c>
      <c r="D4488">
        <v>5.1383609999999997</v>
      </c>
      <c r="E4488">
        <v>0.73236780000000001</v>
      </c>
      <c r="F4488" t="s">
        <v>42</v>
      </c>
      <c r="G4488">
        <v>-296.05270000000002</v>
      </c>
      <c r="H4488" s="1">
        <v>-3.5433180000000001E-6</v>
      </c>
      <c r="I4488">
        <v>-13.73981</v>
      </c>
      <c r="J4488">
        <v>-314.49200000000002</v>
      </c>
      <c r="K4488">
        <v>1.0574589999999999</v>
      </c>
      <c r="L4488">
        <v>13.13602</v>
      </c>
      <c r="M4488">
        <v>0.90302459999999996</v>
      </c>
      <c r="N4488">
        <v>0</v>
      </c>
      <c r="O4488">
        <v>-0.42926170000000002</v>
      </c>
      <c r="P4488">
        <v>0.90452619999999895</v>
      </c>
      <c r="Q4488">
        <v>0.1104547</v>
      </c>
      <c r="R4488">
        <v>-0.41186509999999998</v>
      </c>
      <c r="S4488">
        <v>2.0119319999999998</v>
      </c>
      <c r="T4488">
        <v>-0.1145473</v>
      </c>
      <c r="U4488">
        <v>-2.917084</v>
      </c>
      <c r="V4488">
        <v>-1.4204980000000001E-2</v>
      </c>
      <c r="W4488">
        <v>0.1273666</v>
      </c>
      <c r="X4488">
        <v>0.99175400000000002</v>
      </c>
      <c r="Y4488">
        <v>0.49967139999999999</v>
      </c>
      <c r="Z4488">
        <v>6.059376E-3</v>
      </c>
      <c r="AA4488">
        <v>0.86619380000000001</v>
      </c>
      <c r="AB4488">
        <v>29</v>
      </c>
      <c r="AC4488">
        <v>18.439299999999999</v>
      </c>
      <c r="AD4488">
        <v>-1.0574625433179901</v>
      </c>
      <c r="AE4488">
        <v>-26.875830000000001</v>
      </c>
      <c r="AF4488">
        <v>16.339349061588202</v>
      </c>
      <c r="AG4488">
        <v>-1.0574625433179901</v>
      </c>
      <c r="AH4488">
        <v>28.162222340349899</v>
      </c>
      <c r="AI4488">
        <v>91.860221358146902</v>
      </c>
      <c r="AJ4488">
        <v>59.878259691309701</v>
      </c>
      <c r="AK4488">
        <v>32.576115820248503</v>
      </c>
      <c r="AL4488">
        <v>82.682555537585998</v>
      </c>
      <c r="AM4488">
        <v>90.820596390323303</v>
      </c>
      <c r="AN4488">
        <v>1.0000000143841801</v>
      </c>
    </row>
    <row r="4489" spans="1:40" x14ac:dyDescent="0.3">
      <c r="A4489" t="str">
        <f>"20200111150117654"</f>
        <v>20200111150117654</v>
      </c>
      <c r="B4489" t="str">
        <f>"1578726077641888"</f>
        <v>1578726077641888</v>
      </c>
      <c r="C4489" t="s">
        <v>40</v>
      </c>
      <c r="D4489">
        <v>4.9926339999999998</v>
      </c>
      <c r="E4489">
        <v>0.73263269999999903</v>
      </c>
      <c r="F4489" t="s">
        <v>42</v>
      </c>
      <c r="G4489">
        <v>-297.68049999999999</v>
      </c>
      <c r="H4489" s="1">
        <v>-4.072208E-6</v>
      </c>
      <c r="I4489">
        <v>-11.83386</v>
      </c>
      <c r="J4489">
        <v>-314.346</v>
      </c>
      <c r="K4489">
        <v>1.056745</v>
      </c>
      <c r="L4489">
        <v>13.061769999999999</v>
      </c>
      <c r="M4489">
        <v>0.90122919999999995</v>
      </c>
      <c r="N4489">
        <v>0</v>
      </c>
      <c r="O4489">
        <v>-0.43303049999999998</v>
      </c>
      <c r="P4489">
        <v>0.90255269999999999</v>
      </c>
      <c r="Q4489">
        <v>0.11054990000000001</v>
      </c>
      <c r="R4489">
        <v>-0.4161454</v>
      </c>
      <c r="S4489">
        <v>1.987671</v>
      </c>
      <c r="T4489">
        <v>-0.12502739999999901</v>
      </c>
      <c r="U4489">
        <v>-2.9522710000000001</v>
      </c>
      <c r="V4489">
        <v>-1.3671020000000001E-2</v>
      </c>
      <c r="W4489">
        <v>0.12712209999999999</v>
      </c>
      <c r="X4489">
        <v>0.99179289999999998</v>
      </c>
      <c r="Y4489">
        <v>0.50575599999999998</v>
      </c>
      <c r="Z4489">
        <v>6.6144849999999998E-3</v>
      </c>
      <c r="AA4489">
        <v>0.86265119999999895</v>
      </c>
      <c r="AB4489">
        <v>29</v>
      </c>
      <c r="AC4489">
        <v>16.665500000000002</v>
      </c>
      <c r="AD4489">
        <v>-1.056749072208</v>
      </c>
      <c r="AE4489">
        <v>-24.895630000000001</v>
      </c>
      <c r="AF4489">
        <v>15.2031420267241</v>
      </c>
      <c r="AG4489">
        <v>-1.056749072208</v>
      </c>
      <c r="AH4489">
        <v>25.7714275905801</v>
      </c>
      <c r="AI4489">
        <v>92.022689683734001</v>
      </c>
      <c r="AJ4489">
        <v>59.462693991832403</v>
      </c>
      <c r="AK4489">
        <v>29.940252606530802</v>
      </c>
      <c r="AL4489">
        <v>82.6966793547099</v>
      </c>
      <c r="AM4489">
        <v>90.789723483705899</v>
      </c>
      <c r="AN4489">
        <v>1.0000000407933201</v>
      </c>
    </row>
    <row r="4490" spans="1:40" x14ac:dyDescent="0.3">
      <c r="A4490" t="str">
        <f>"20200111150117669"</f>
        <v>20200111150117669</v>
      </c>
      <c r="B4490" t="str">
        <f>"1578726077662383"</f>
        <v>1578726077662383</v>
      </c>
      <c r="C4490" t="s">
        <v>40</v>
      </c>
      <c r="D4490">
        <v>4.9443289999999998</v>
      </c>
      <c r="E4490">
        <v>0.7314136</v>
      </c>
      <c r="F4490" t="s">
        <v>42</v>
      </c>
      <c r="G4490">
        <v>-297.94409999999999</v>
      </c>
      <c r="H4490" s="1">
        <v>-4.1352809999999997E-6</v>
      </c>
      <c r="I4490">
        <v>-11.577870000000001</v>
      </c>
      <c r="J4490">
        <v>-314.17439999999999</v>
      </c>
      <c r="K4490">
        <v>1.055958</v>
      </c>
      <c r="L4490">
        <v>12.97357</v>
      </c>
      <c r="M4490">
        <v>0.89909089999999903</v>
      </c>
      <c r="N4490">
        <v>0</v>
      </c>
      <c r="O4490">
        <v>-0.4374672</v>
      </c>
      <c r="P4490">
        <v>0.9000378</v>
      </c>
      <c r="Q4490">
        <v>0.1108701</v>
      </c>
      <c r="R4490">
        <v>-0.42147370000000001</v>
      </c>
      <c r="S4490">
        <v>1.972931</v>
      </c>
      <c r="T4490">
        <v>-0.12711220000000001</v>
      </c>
      <c r="U4490">
        <v>-2.9638059999999999</v>
      </c>
      <c r="V4490">
        <v>-1.270637E-2</v>
      </c>
      <c r="W4490">
        <v>0.1270511</v>
      </c>
      <c r="X4490">
        <v>0.9918148</v>
      </c>
      <c r="Y4490">
        <v>0.50603039999999999</v>
      </c>
      <c r="Z4490">
        <v>6.8956349999999998E-3</v>
      </c>
      <c r="AA4490">
        <v>0.86248809999999998</v>
      </c>
      <c r="AB4490">
        <v>29</v>
      </c>
      <c r="AC4490">
        <v>16.2303</v>
      </c>
      <c r="AD4490">
        <v>-1.055962135281</v>
      </c>
      <c r="AE4490">
        <v>-24.551439999999999</v>
      </c>
      <c r="AF4490">
        <v>14.9564309458981</v>
      </c>
      <c r="AG4490">
        <v>-1.055962135281</v>
      </c>
      <c r="AH4490">
        <v>25.303659899816601</v>
      </c>
      <c r="AI4490">
        <v>92.057476611666203</v>
      </c>
      <c r="AJ4490">
        <v>59.413610175116297</v>
      </c>
      <c r="AK4490">
        <v>29.412328826465799</v>
      </c>
      <c r="AL4490">
        <v>82.700780425050993</v>
      </c>
      <c r="AM4490">
        <v>90.733989398391202</v>
      </c>
      <c r="AN4490">
        <v>1.00000001567441</v>
      </c>
    </row>
    <row r="4491" spans="1:40" x14ac:dyDescent="0.3">
      <c r="A4491" t="str">
        <f>"20200111150117682"</f>
        <v>20200111150117682</v>
      </c>
      <c r="B4491" t="str">
        <f>"1578726077672144"</f>
        <v>1578726077672144</v>
      </c>
      <c r="C4491" t="s">
        <v>40</v>
      </c>
      <c r="D4491">
        <v>5.0705819999999999</v>
      </c>
      <c r="E4491">
        <v>0.73047980000000001</v>
      </c>
      <c r="F4491" t="s">
        <v>42</v>
      </c>
      <c r="G4491">
        <v>-298.35070000000002</v>
      </c>
      <c r="H4491" s="1">
        <v>-4.3189789999999997E-6</v>
      </c>
      <c r="I4491">
        <v>-10.98151</v>
      </c>
      <c r="J4491">
        <v>-314.02069999999998</v>
      </c>
      <c r="K4491">
        <v>1.055304</v>
      </c>
      <c r="L4491">
        <v>12.89392</v>
      </c>
      <c r="M4491">
        <v>0.89715109999999998</v>
      </c>
      <c r="N4491">
        <v>0</v>
      </c>
      <c r="O4491">
        <v>-0.44144319999999998</v>
      </c>
      <c r="P4491">
        <v>0.89776739999999999</v>
      </c>
      <c r="Q4491">
        <v>0.111356399999999</v>
      </c>
      <c r="R4491">
        <v>-0.42616169999999998</v>
      </c>
      <c r="S4491">
        <v>1.9599</v>
      </c>
      <c r="T4491">
        <v>-0.13078999999999999</v>
      </c>
      <c r="U4491">
        <v>-2.967041</v>
      </c>
      <c r="V4491">
        <v>-1.191823E-2</v>
      </c>
      <c r="W4491">
        <v>0.1272006</v>
      </c>
      <c r="X4491">
        <v>0.99180539999999995</v>
      </c>
      <c r="Y4491">
        <v>0.50527909999999998</v>
      </c>
      <c r="Z4491">
        <v>7.2849359999999997E-3</v>
      </c>
      <c r="AA4491">
        <v>0.86292519999999995</v>
      </c>
      <c r="AB4491">
        <v>29</v>
      </c>
      <c r="AC4491">
        <v>15.6699999999999</v>
      </c>
      <c r="AD4491">
        <v>-1.055308318979</v>
      </c>
      <c r="AE4491">
        <v>-23.875429999999898</v>
      </c>
      <c r="AF4491">
        <v>14.484472122710899</v>
      </c>
      <c r="AG4491">
        <v>-1.055308318979</v>
      </c>
      <c r="AH4491">
        <v>24.567505521967099</v>
      </c>
      <c r="AI4491">
        <v>92.119150921390002</v>
      </c>
      <c r="AJ4491">
        <v>59.4773142955788</v>
      </c>
      <c r="AK4491">
        <v>28.539024788762099</v>
      </c>
      <c r="AL4491">
        <v>82.692144482430805</v>
      </c>
      <c r="AM4491">
        <v>90.688473174599395</v>
      </c>
      <c r="AN4491">
        <v>0.99999999415792595</v>
      </c>
    </row>
    <row r="4492" spans="1:40" x14ac:dyDescent="0.3">
      <c r="A4492" t="str">
        <f>"20200111150117696"</f>
        <v>20200111150117696</v>
      </c>
      <c r="B4492" t="str">
        <f>"1578726077692171"</f>
        <v>1578726077692171</v>
      </c>
      <c r="C4492" t="s">
        <v>40</v>
      </c>
      <c r="D4492">
        <v>5.0046569999999999</v>
      </c>
      <c r="E4492">
        <v>0.72828190000000004</v>
      </c>
      <c r="F4492" t="s">
        <v>42</v>
      </c>
      <c r="G4492">
        <v>-298.4042</v>
      </c>
      <c r="H4492" s="1">
        <v>-4.3331970000000004E-6</v>
      </c>
      <c r="I4492">
        <v>-10.92625</v>
      </c>
      <c r="J4492">
        <v>-313.8587</v>
      </c>
      <c r="K4492">
        <v>1.054689</v>
      </c>
      <c r="L4492">
        <v>12.808809999999999</v>
      </c>
      <c r="M4492">
        <v>0.8950785</v>
      </c>
      <c r="N4492">
        <v>0</v>
      </c>
      <c r="O4492">
        <v>-0.44564189999999998</v>
      </c>
      <c r="P4492">
        <v>0.89527659999999998</v>
      </c>
      <c r="Q4492">
        <v>0.1119405</v>
      </c>
      <c r="R4492">
        <v>-0.4312185</v>
      </c>
      <c r="S4492">
        <v>1.9477230000000001</v>
      </c>
      <c r="T4492">
        <v>-0.13162099999999999</v>
      </c>
      <c r="U4492">
        <v>-2.970917</v>
      </c>
      <c r="V4492">
        <v>-1.0955929999999999E-2</v>
      </c>
      <c r="W4492">
        <v>0.12745129999999999</v>
      </c>
      <c r="X4492">
        <v>0.99178429999999995</v>
      </c>
      <c r="Y4492">
        <v>0.50422639999999996</v>
      </c>
      <c r="Z4492">
        <v>7.5363019999999999E-3</v>
      </c>
      <c r="AA4492">
        <v>0.86353860000000005</v>
      </c>
      <c r="AB4492">
        <v>29</v>
      </c>
      <c r="AC4492">
        <v>15.4544999999999</v>
      </c>
      <c r="AD4492">
        <v>-1.0546933331970001</v>
      </c>
      <c r="AE4492">
        <v>-23.735060000000001</v>
      </c>
      <c r="AF4492">
        <v>14.3393924208883</v>
      </c>
      <c r="AG4492">
        <v>-1.0546933331970001</v>
      </c>
      <c r="AH4492">
        <v>24.379424344247699</v>
      </c>
      <c r="AI4492">
        <v>92.135549207531497</v>
      </c>
      <c r="AJ4492">
        <v>59.536978882911797</v>
      </c>
      <c r="AK4492">
        <v>28.303478308932601</v>
      </c>
      <c r="AL4492">
        <v>82.677662471483501</v>
      </c>
      <c r="AM4492">
        <v>90.632902756936502</v>
      </c>
      <c r="AN4492">
        <v>0.99999998200017204</v>
      </c>
    </row>
    <row r="4493" spans="1:40" x14ac:dyDescent="0.3">
      <c r="A4493" t="str">
        <f>"20200111150117708"</f>
        <v>20200111150117708</v>
      </c>
      <c r="B4493" t="str">
        <f>"1578726077701930"</f>
        <v>1578726077701930</v>
      </c>
      <c r="C4493" t="s">
        <v>40</v>
      </c>
      <c r="D4493">
        <v>4.9262569999999997</v>
      </c>
      <c r="E4493">
        <v>0.72807939999999904</v>
      </c>
      <c r="F4493" t="s">
        <v>42</v>
      </c>
      <c r="G4493">
        <v>-298.26249999999999</v>
      </c>
      <c r="H4493" s="1">
        <v>-4.3034390000000002E-6</v>
      </c>
      <c r="I4493">
        <v>-11.054209999999999</v>
      </c>
      <c r="J4493">
        <v>-313.71879999999999</v>
      </c>
      <c r="K4493">
        <v>1.0541929999999999</v>
      </c>
      <c r="L4493">
        <v>12.734590000000001</v>
      </c>
      <c r="M4493">
        <v>0.89326640000000002</v>
      </c>
      <c r="N4493">
        <v>0</v>
      </c>
      <c r="O4493">
        <v>-0.44927159999999999</v>
      </c>
      <c r="P4493">
        <v>0.89272609999999997</v>
      </c>
      <c r="Q4493">
        <v>0.1128432</v>
      </c>
      <c r="R4493">
        <v>-0.43624200000000002</v>
      </c>
      <c r="S4493">
        <v>1.938599</v>
      </c>
      <c r="T4493">
        <v>-0.13109760000000001</v>
      </c>
      <c r="U4493">
        <v>-2.9661559999999998</v>
      </c>
      <c r="V4493">
        <v>-9.3637919999999993E-3</v>
      </c>
      <c r="W4493">
        <v>0.12806699999999999</v>
      </c>
      <c r="X4493">
        <v>0.99172130000000003</v>
      </c>
      <c r="Y4493">
        <v>0.50194780000000006</v>
      </c>
      <c r="Z4493">
        <v>7.7244330000000002E-3</v>
      </c>
      <c r="AA4493">
        <v>0.86486350000000001</v>
      </c>
      <c r="AB4493">
        <v>29</v>
      </c>
      <c r="AC4493">
        <v>15.456300000000001</v>
      </c>
      <c r="AD4493">
        <v>-1.054197303439</v>
      </c>
      <c r="AE4493">
        <v>-23.788799999999998</v>
      </c>
      <c r="AF4493">
        <v>14.287576422017001</v>
      </c>
      <c r="AG4493">
        <v>-1.054197303439</v>
      </c>
      <c r="AH4493">
        <v>24.463264429896899</v>
      </c>
      <c r="AI4493">
        <v>92.131073211245194</v>
      </c>
      <c r="AJ4493">
        <v>59.713272827545097</v>
      </c>
      <c r="AK4493">
        <v>28.349558700914798</v>
      </c>
      <c r="AL4493">
        <v>82.642094019807502</v>
      </c>
      <c r="AM4493">
        <v>90.540968333968607</v>
      </c>
      <c r="AN4493">
        <v>0.99999998698165404</v>
      </c>
    </row>
    <row r="4494" spans="1:40" x14ac:dyDescent="0.3">
      <c r="A4494" t="str">
        <f>"20200111150117721"</f>
        <v>20200111150117721</v>
      </c>
      <c r="B4494" t="str">
        <f>"1578726077712667"</f>
        <v>1578726077712667</v>
      </c>
      <c r="C4494" t="s">
        <v>40</v>
      </c>
      <c r="D4494">
        <v>4.8212679999999999</v>
      </c>
      <c r="E4494">
        <v>0.72708090000000003</v>
      </c>
      <c r="F4494" t="s">
        <v>42</v>
      </c>
      <c r="G4494">
        <v>-297.91300000000001</v>
      </c>
      <c r="H4494" s="1">
        <v>-4.0775630000000002E-6</v>
      </c>
      <c r="I4494">
        <v>-11.725250000000001</v>
      </c>
      <c r="J4494">
        <v>-313.55930000000001</v>
      </c>
      <c r="K4494">
        <v>1.0536639999999999</v>
      </c>
      <c r="L4494">
        <v>12.649290000000001</v>
      </c>
      <c r="M4494">
        <v>0.891177199999999</v>
      </c>
      <c r="N4494">
        <v>0</v>
      </c>
      <c r="O4494">
        <v>-0.45341120000000001</v>
      </c>
      <c r="P4494">
        <v>0.88987269999999896</v>
      </c>
      <c r="Q4494">
        <v>0.11393540000000001</v>
      </c>
      <c r="R4494">
        <v>-0.44175300000000001</v>
      </c>
      <c r="S4494">
        <v>1.9227289999999999</v>
      </c>
      <c r="T4494">
        <v>-0.12823979999999999</v>
      </c>
      <c r="U4494">
        <v>-2.9754640000000001</v>
      </c>
      <c r="V4494">
        <v>-7.7740789999999997E-3</v>
      </c>
      <c r="W4494">
        <v>0.12884780000000001</v>
      </c>
      <c r="X4494">
        <v>0.99163389999999996</v>
      </c>
      <c r="Y4494">
        <v>0.5024267</v>
      </c>
      <c r="Z4494">
        <v>7.718506E-3</v>
      </c>
      <c r="AA4494">
        <v>0.8645853</v>
      </c>
      <c r="AB4494">
        <v>29</v>
      </c>
      <c r="AC4494">
        <v>15.646299999999901</v>
      </c>
      <c r="AD4494">
        <v>-1.0536680775629901</v>
      </c>
      <c r="AE4494">
        <v>-24.37454</v>
      </c>
      <c r="AF4494">
        <v>14.6101120888297</v>
      </c>
      <c r="AG4494">
        <v>-1.0536680775629901</v>
      </c>
      <c r="AH4494">
        <v>24.9650454789893</v>
      </c>
      <c r="AI4494">
        <v>92.086158455166498</v>
      </c>
      <c r="AJ4494">
        <v>59.662859059104001</v>
      </c>
      <c r="AK4494">
        <v>28.945104723145299</v>
      </c>
      <c r="AL4494">
        <v>82.596983771402094</v>
      </c>
      <c r="AM4494">
        <v>90.449170597508299</v>
      </c>
      <c r="AN4494">
        <v>0.99999999174917398</v>
      </c>
    </row>
    <row r="4495" spans="1:40" x14ac:dyDescent="0.3">
      <c r="A4495" t="str">
        <f>"20200111150117736"</f>
        <v>20200111150117736</v>
      </c>
      <c r="B4495" t="str">
        <f>"1578726077732186"</f>
        <v>1578726077732186</v>
      </c>
      <c r="C4495" t="s">
        <v>40</v>
      </c>
      <c r="D4495">
        <v>4.9418620000000004</v>
      </c>
      <c r="E4495">
        <v>0.72631950000000001</v>
      </c>
      <c r="F4495" t="s">
        <v>42</v>
      </c>
      <c r="G4495">
        <v>-297.41019999999997</v>
      </c>
      <c r="H4495" s="1">
        <v>-3.7993389999999998E-6</v>
      </c>
      <c r="I4495">
        <v>-12.581709999999999</v>
      </c>
      <c r="J4495">
        <v>-313.3947</v>
      </c>
      <c r="K4495">
        <v>1.0531779999999999</v>
      </c>
      <c r="L4495">
        <v>12.559939999999999</v>
      </c>
      <c r="M4495">
        <v>0.88898840000000001</v>
      </c>
      <c r="N4495">
        <v>0</v>
      </c>
      <c r="O4495">
        <v>-0.45769670000000001</v>
      </c>
      <c r="P4495">
        <v>0.8859494</v>
      </c>
      <c r="Q4495">
        <v>0.11521339999999999</v>
      </c>
      <c r="R4495">
        <v>-0.44924360000000002</v>
      </c>
      <c r="S4495">
        <v>1.907654</v>
      </c>
      <c r="T4495">
        <v>-0.1244668</v>
      </c>
      <c r="U4495">
        <v>-2.9804689999999998</v>
      </c>
      <c r="V4495">
        <v>-4.099966E-3</v>
      </c>
      <c r="W4495">
        <v>0.12979669999999999</v>
      </c>
      <c r="X4495">
        <v>0.99153210000000003</v>
      </c>
      <c r="Y4495">
        <v>0.50202769999999997</v>
      </c>
      <c r="Z4495">
        <v>7.6790579999999999E-3</v>
      </c>
      <c r="AA4495">
        <v>0.86481739999999996</v>
      </c>
      <c r="AB4495">
        <v>29</v>
      </c>
      <c r="AC4495">
        <v>15.984500000000001</v>
      </c>
      <c r="AD4495">
        <v>-1.053181799339</v>
      </c>
      <c r="AE4495">
        <v>-25.141649999999998</v>
      </c>
      <c r="AF4495">
        <v>15.017419999240399</v>
      </c>
      <c r="AG4495">
        <v>-1.053181799339</v>
      </c>
      <c r="AH4495">
        <v>25.687928470373301</v>
      </c>
      <c r="AI4495">
        <v>92.027107506979902</v>
      </c>
      <c r="AJ4495">
        <v>59.689016478515597</v>
      </c>
      <c r="AK4495">
        <v>29.7741794922221</v>
      </c>
      <c r="AL4495">
        <v>82.542155069617806</v>
      </c>
      <c r="AM4495">
        <v>90.236915586617002</v>
      </c>
      <c r="AN4495">
        <v>0.99999994919124902</v>
      </c>
    </row>
    <row r="4496" spans="1:40" x14ac:dyDescent="0.3">
      <c r="A4496" t="str">
        <f>"20200111150117748"</f>
        <v>20200111150117748</v>
      </c>
      <c r="B4496" t="str">
        <f>"1578726077741946"</f>
        <v>1578726077741946</v>
      </c>
      <c r="C4496" t="s">
        <v>40</v>
      </c>
      <c r="D4496">
        <v>4.7472159999999999</v>
      </c>
      <c r="E4496">
        <v>0.72538849999999999</v>
      </c>
      <c r="F4496" t="s">
        <v>42</v>
      </c>
      <c r="G4496">
        <v>-297.19260000000003</v>
      </c>
      <c r="H4496" s="1">
        <v>-3.5986679999999999E-6</v>
      </c>
      <c r="I4496">
        <v>-13.13945</v>
      </c>
      <c r="J4496">
        <v>-313.25080000000003</v>
      </c>
      <c r="K4496">
        <v>1.0527690000000001</v>
      </c>
      <c r="L4496">
        <v>12.48108</v>
      </c>
      <c r="M4496">
        <v>0.88705000000000001</v>
      </c>
      <c r="N4496">
        <v>0</v>
      </c>
      <c r="O4496">
        <v>-0.4614489</v>
      </c>
      <c r="P4496">
        <v>0.88299479999999997</v>
      </c>
      <c r="Q4496">
        <v>0.1159366</v>
      </c>
      <c r="R4496">
        <v>-0.4548391</v>
      </c>
      <c r="S4496">
        <v>1.8855900000000001</v>
      </c>
      <c r="T4496">
        <v>-0.1225685</v>
      </c>
      <c r="U4496">
        <v>-2.990875</v>
      </c>
      <c r="V4496">
        <v>-1.9708210000000002E-3</v>
      </c>
      <c r="W4496">
        <v>0.13026389999999999</v>
      </c>
      <c r="X4496">
        <v>0.99147739999999995</v>
      </c>
      <c r="Y4496">
        <v>0.50429269999999904</v>
      </c>
      <c r="Z4496">
        <v>7.6734059999999998E-3</v>
      </c>
      <c r="AA4496">
        <v>0.86349869999999995</v>
      </c>
      <c r="AB4496">
        <v>29</v>
      </c>
      <c r="AC4496">
        <v>16.058199999999999</v>
      </c>
      <c r="AD4496">
        <v>-1.0527725986679899</v>
      </c>
      <c r="AE4496">
        <v>-25.620529999999999</v>
      </c>
      <c r="AF4496">
        <v>15.2996925310748</v>
      </c>
      <c r="AG4496">
        <v>-1.0527725986679899</v>
      </c>
      <c r="AH4496">
        <v>26.038128141087199</v>
      </c>
      <c r="AI4496">
        <v>91.996496510353694</v>
      </c>
      <c r="AJ4496">
        <v>59.5620146453712</v>
      </c>
      <c r="AK4496">
        <v>30.218753097730701</v>
      </c>
      <c r="AL4496">
        <v>82.5151576608596</v>
      </c>
      <c r="AM4496">
        <v>90.113890217521202</v>
      </c>
      <c r="AN4496">
        <v>1.0000000012446899</v>
      </c>
    </row>
    <row r="4497" spans="1:40" x14ac:dyDescent="0.3">
      <c r="A4497" t="str">
        <f>"20200111150117760"</f>
        <v>20200111150117760</v>
      </c>
      <c r="B4497" t="str">
        <f>"1578726077752682"</f>
        <v>1578726077752682</v>
      </c>
      <c r="C4497" t="s">
        <v>40</v>
      </c>
      <c r="D4497">
        <v>4.7057599999999997</v>
      </c>
      <c r="E4497">
        <v>0.72458979999999995</v>
      </c>
      <c r="F4497" t="s">
        <v>42</v>
      </c>
      <c r="G4497">
        <v>-296.80470000000003</v>
      </c>
      <c r="H4497" s="1">
        <v>-3.3528139999999999E-6</v>
      </c>
      <c r="I4497">
        <v>-13.872949999999999</v>
      </c>
      <c r="J4497">
        <v>-313.10610000000003</v>
      </c>
      <c r="K4497">
        <v>1.052376</v>
      </c>
      <c r="L4497">
        <v>12.40131</v>
      </c>
      <c r="M4497">
        <v>0.88508019999999998</v>
      </c>
      <c r="N4497">
        <v>0</v>
      </c>
      <c r="O4497">
        <v>-0.4652231</v>
      </c>
      <c r="P4497">
        <v>0.88018969999999896</v>
      </c>
      <c r="Q4497">
        <v>0.1165385</v>
      </c>
      <c r="R4497">
        <v>-0.46009309999999998</v>
      </c>
      <c r="S4497">
        <v>1.869812</v>
      </c>
      <c r="T4497">
        <v>-0.1196932</v>
      </c>
      <c r="U4497">
        <v>-2.9962770000000001</v>
      </c>
      <c r="V4497">
        <v>-2.4707579999999998E-4</v>
      </c>
      <c r="W4497">
        <v>0.13062360000000001</v>
      </c>
      <c r="X4497">
        <v>0.99143199999999998</v>
      </c>
      <c r="Y4497">
        <v>0.5045866</v>
      </c>
      <c r="Z4497">
        <v>7.6420180000000004E-3</v>
      </c>
      <c r="AA4497">
        <v>0.86332730000000002</v>
      </c>
      <c r="AB4497">
        <v>29</v>
      </c>
      <c r="AC4497">
        <v>16.301400000000001</v>
      </c>
      <c r="AD4497">
        <v>-1.052379352814</v>
      </c>
      <c r="AE4497">
        <v>-26.274260000000002</v>
      </c>
      <c r="AF4497">
        <v>15.654476814168</v>
      </c>
      <c r="AG4497">
        <v>-1.052379352814</v>
      </c>
      <c r="AH4497">
        <v>26.623271293972198</v>
      </c>
      <c r="AI4497">
        <v>91.9515710059611</v>
      </c>
      <c r="AJ4497">
        <v>59.544482550344902</v>
      </c>
      <c r="AK4497">
        <v>30.902568194569199</v>
      </c>
      <c r="AL4497">
        <v>82.494370737169305</v>
      </c>
      <c r="AM4497">
        <v>90.014278740515394</v>
      </c>
      <c r="AN4497">
        <v>0.999999998273705</v>
      </c>
    </row>
    <row r="4498" spans="1:40" x14ac:dyDescent="0.3">
      <c r="A4498" t="str">
        <f>"20200111150117772"</f>
        <v>20200111150117772</v>
      </c>
      <c r="B4498" t="str">
        <f>"1578726077762442"</f>
        <v>1578726077762442</v>
      </c>
      <c r="C4498" t="s">
        <v>40</v>
      </c>
      <c r="D4498">
        <v>4.667859</v>
      </c>
      <c r="E4498">
        <v>0.7234391</v>
      </c>
      <c r="F4498" t="s">
        <v>42</v>
      </c>
      <c r="G4498">
        <v>-296.20859999999999</v>
      </c>
      <c r="H4498" s="1">
        <v>-2.9973199999999998E-6</v>
      </c>
      <c r="I4498">
        <v>-14.94806</v>
      </c>
      <c r="J4498">
        <v>-312.9674</v>
      </c>
      <c r="K4498">
        <v>1.0520320000000001</v>
      </c>
      <c r="L4498">
        <v>12.323639999999999</v>
      </c>
      <c r="M4498">
        <v>0.88315699999999997</v>
      </c>
      <c r="N4498">
        <v>0</v>
      </c>
      <c r="O4498">
        <v>-0.46886939999999999</v>
      </c>
      <c r="P4498">
        <v>0.87736419999999904</v>
      </c>
      <c r="Q4498">
        <v>0.1169558</v>
      </c>
      <c r="R4498">
        <v>-0.46535320000000002</v>
      </c>
      <c r="S4498">
        <v>1.854584</v>
      </c>
      <c r="T4498">
        <v>-0.1155043</v>
      </c>
      <c r="U4498">
        <v>-3.0017399999999999</v>
      </c>
      <c r="V4498">
        <v>1.6299419999999999E-3</v>
      </c>
      <c r="W4498">
        <v>0.130825</v>
      </c>
      <c r="X4498">
        <v>0.99140410000000001</v>
      </c>
      <c r="Y4498">
        <v>0.5048994</v>
      </c>
      <c r="Z4498">
        <v>7.5125529999999999E-3</v>
      </c>
      <c r="AA4498">
        <v>0.86314550000000001</v>
      </c>
      <c r="AB4498">
        <v>29</v>
      </c>
      <c r="AC4498">
        <v>16.758800000000001</v>
      </c>
      <c r="AD4498">
        <v>-1.0520349973200001</v>
      </c>
      <c r="AE4498">
        <v>-27.271699999999999</v>
      </c>
      <c r="AF4498">
        <v>16.211576516834299</v>
      </c>
      <c r="AG4498">
        <v>-1.0520349973200001</v>
      </c>
      <c r="AH4498">
        <v>27.5604392448179</v>
      </c>
      <c r="AI4498">
        <v>91.884461378919795</v>
      </c>
      <c r="AJ4498">
        <v>59.535144805204503</v>
      </c>
      <c r="AK4498">
        <v>31.9921834541511</v>
      </c>
      <c r="AL4498">
        <v>82.482731224395593</v>
      </c>
      <c r="AM4498">
        <v>89.9058015663758</v>
      </c>
      <c r="AN4498">
        <v>0.99999996341636599</v>
      </c>
    </row>
    <row r="4499" spans="1:40" x14ac:dyDescent="0.3">
      <c r="A4499" t="str">
        <f>"20200111150117785"</f>
        <v>20200111150117785</v>
      </c>
      <c r="B4499" t="str">
        <f>"1578726077782469"</f>
        <v>1578726077782469</v>
      </c>
      <c r="C4499" t="s">
        <v>40</v>
      </c>
      <c r="D4499">
        <v>4.8803729999999996</v>
      </c>
      <c r="E4499">
        <v>0.72272209999999903</v>
      </c>
      <c r="F4499" t="s">
        <v>42</v>
      </c>
      <c r="G4499">
        <v>-295.48379999999997</v>
      </c>
      <c r="H4499" s="1">
        <v>-2.607684E-6</v>
      </c>
      <c r="I4499">
        <v>-16.220189999999999</v>
      </c>
      <c r="J4499">
        <v>-312.81779999999998</v>
      </c>
      <c r="K4499">
        <v>1.0516719999999999</v>
      </c>
      <c r="L4499">
        <v>12.23926</v>
      </c>
      <c r="M4499">
        <v>0.88105259999999996</v>
      </c>
      <c r="N4499">
        <v>0</v>
      </c>
      <c r="O4499">
        <v>-0.4728173</v>
      </c>
      <c r="P4499">
        <v>0.87417319999999998</v>
      </c>
      <c r="Q4499">
        <v>0.11765730000000001</v>
      </c>
      <c r="R4499">
        <v>-0.4711456</v>
      </c>
      <c r="S4499">
        <v>1.8403929999999999</v>
      </c>
      <c r="T4499">
        <v>-0.1107414</v>
      </c>
      <c r="U4499">
        <v>-3.0046390000000001</v>
      </c>
      <c r="V4499">
        <v>3.806383E-3</v>
      </c>
      <c r="W4499">
        <v>0.1312992</v>
      </c>
      <c r="X4499">
        <v>0.99133550000000004</v>
      </c>
      <c r="Y4499">
        <v>0.50437219999999905</v>
      </c>
      <c r="Z4499">
        <v>7.36412099999999E-3</v>
      </c>
      <c r="AA4499">
        <v>0.86345490000000003</v>
      </c>
      <c r="AB4499">
        <v>29</v>
      </c>
      <c r="AC4499">
        <v>17.334</v>
      </c>
      <c r="AD4499">
        <v>-1.051674607684</v>
      </c>
      <c r="AE4499">
        <v>-28.45945</v>
      </c>
      <c r="AF4499">
        <v>16.8632653861001</v>
      </c>
      <c r="AG4499">
        <v>-1.051674607684</v>
      </c>
      <c r="AH4499">
        <v>28.702428336661701</v>
      </c>
      <c r="AI4499">
        <v>91.809467153790607</v>
      </c>
      <c r="AJ4499">
        <v>59.564890572047702</v>
      </c>
      <c r="AK4499">
        <v>33.306232620692597</v>
      </c>
      <c r="AL4499">
        <v>82.455325601289005</v>
      </c>
      <c r="AM4499">
        <v>89.780005246094802</v>
      </c>
      <c r="AN4499">
        <v>1.0000000210162101</v>
      </c>
    </row>
    <row r="4500" spans="1:40" x14ac:dyDescent="0.3">
      <c r="A4500" t="str">
        <f>"20200111150117797"</f>
        <v>20200111150117797</v>
      </c>
      <c r="B4500" t="str">
        <f>"1578726077792229"</f>
        <v>1578726077792229</v>
      </c>
      <c r="C4500" t="s">
        <v>40</v>
      </c>
      <c r="D4500">
        <v>4.9827380000000003</v>
      </c>
      <c r="E4500">
        <v>0.722531699999999</v>
      </c>
      <c r="F4500" t="s">
        <v>42</v>
      </c>
      <c r="G4500">
        <v>-294.94990000000001</v>
      </c>
      <c r="H4500" s="1">
        <v>-2.3877609999999998E-6</v>
      </c>
      <c r="I4500">
        <v>-17.283899999999999</v>
      </c>
      <c r="J4500">
        <v>-312.6798</v>
      </c>
      <c r="K4500">
        <v>1.051358</v>
      </c>
      <c r="L4500">
        <v>12.16061</v>
      </c>
      <c r="M4500">
        <v>0.87907769999999996</v>
      </c>
      <c r="N4500">
        <v>0</v>
      </c>
      <c r="O4500">
        <v>-0.47648400000000002</v>
      </c>
      <c r="P4500">
        <v>0.87116519999999997</v>
      </c>
      <c r="Q4500">
        <v>0.117934</v>
      </c>
      <c r="R4500">
        <v>-0.47661629999999999</v>
      </c>
      <c r="S4500">
        <v>1.8229059999999999</v>
      </c>
      <c r="T4500">
        <v>-0.10729320000000001</v>
      </c>
      <c r="U4500">
        <v>-3.0119929999999999</v>
      </c>
      <c r="V4500">
        <v>5.9184939999999998E-3</v>
      </c>
      <c r="W4500">
        <v>0.1313772</v>
      </c>
      <c r="X4500">
        <v>0.99131480000000005</v>
      </c>
      <c r="Y4500">
        <v>0.50537719999999997</v>
      </c>
      <c r="Z4500">
        <v>7.251894E-3</v>
      </c>
      <c r="AA4500">
        <v>0.86286810000000003</v>
      </c>
      <c r="AB4500">
        <v>29</v>
      </c>
      <c r="AC4500">
        <v>17.729899999999901</v>
      </c>
      <c r="AD4500">
        <v>-1.051360387761</v>
      </c>
      <c r="AE4500">
        <v>-29.444509999999902</v>
      </c>
      <c r="AF4500">
        <v>17.4213139863738</v>
      </c>
      <c r="AG4500">
        <v>-1.051360387761</v>
      </c>
      <c r="AH4500">
        <v>29.590855407792201</v>
      </c>
      <c r="AI4500">
        <v>91.753716625611901</v>
      </c>
      <c r="AJ4500">
        <v>59.512985063910797</v>
      </c>
      <c r="AK4500">
        <v>34.354421308495901</v>
      </c>
      <c r="AL4500">
        <v>82.450817433646804</v>
      </c>
      <c r="AM4500">
        <v>89.657928341002702</v>
      </c>
      <c r="AN4500">
        <v>1.0000000149750501</v>
      </c>
    </row>
    <row r="4501" spans="1:40" x14ac:dyDescent="0.3">
      <c r="A4501" t="str">
        <f>"20200111150117809"</f>
        <v>20200111150117809</v>
      </c>
      <c r="B4501" t="str">
        <f>"1578726077801989"</f>
        <v>1578726077801989</v>
      </c>
      <c r="C4501" t="s">
        <v>40</v>
      </c>
      <c r="D4501">
        <v>4.9767229999999998</v>
      </c>
      <c r="E4501">
        <v>0.72209690000000004</v>
      </c>
      <c r="F4501" t="s">
        <v>42</v>
      </c>
      <c r="G4501">
        <v>-294.86130000000003</v>
      </c>
      <c r="H4501" s="1">
        <v>-2.2786550000000001E-6</v>
      </c>
      <c r="I4501">
        <v>-17.6738</v>
      </c>
      <c r="J4501">
        <v>-312.54050000000001</v>
      </c>
      <c r="K4501">
        <v>1.051058</v>
      </c>
      <c r="L4501">
        <v>12.080260000000001</v>
      </c>
      <c r="M4501">
        <v>0.87704300000000002</v>
      </c>
      <c r="N4501">
        <v>0</v>
      </c>
      <c r="O4501">
        <v>-0.48022300000000001</v>
      </c>
      <c r="P4501">
        <v>0.86797800000000003</v>
      </c>
      <c r="Q4501">
        <v>0.1182337</v>
      </c>
      <c r="R4501">
        <v>-0.48232249999999999</v>
      </c>
      <c r="S4501">
        <v>1.80481</v>
      </c>
      <c r="T4501">
        <v>-0.1064906</v>
      </c>
      <c r="U4501">
        <v>-3.021881</v>
      </c>
      <c r="V4501">
        <v>8.2360590000000004E-3</v>
      </c>
      <c r="W4501">
        <v>0.1314854</v>
      </c>
      <c r="X4501">
        <v>0.9912839</v>
      </c>
      <c r="Y4501">
        <v>0.50675459999999894</v>
      </c>
      <c r="Z4501">
        <v>7.3064419999999998E-3</v>
      </c>
      <c r="AA4501">
        <v>0.86205940000000003</v>
      </c>
      <c r="AB4501">
        <v>29</v>
      </c>
      <c r="AC4501">
        <v>17.679199999999899</v>
      </c>
      <c r="AD4501">
        <v>-1.0510602786550001</v>
      </c>
      <c r="AE4501">
        <v>-29.754059999999999</v>
      </c>
      <c r="AF4501">
        <v>17.591005690964099</v>
      </c>
      <c r="AG4501">
        <v>-1.0510602786550001</v>
      </c>
      <c r="AH4501">
        <v>29.769251170373899</v>
      </c>
      <c r="AI4501">
        <v>91.741061824972206</v>
      </c>
      <c r="AJ4501">
        <v>59.4206525202544</v>
      </c>
      <c r="AK4501">
        <v>34.594168933126603</v>
      </c>
      <c r="AL4501">
        <v>82.444563719141797</v>
      </c>
      <c r="AM4501">
        <v>89.523970315037005</v>
      </c>
      <c r="AN4501">
        <v>1.00000000674011</v>
      </c>
    </row>
    <row r="4502" spans="1:40" x14ac:dyDescent="0.3">
      <c r="A4502" t="str">
        <f>"20200111150117822"</f>
        <v>20200111150117822</v>
      </c>
      <c r="B4502" t="str">
        <f>"1578726077812725"</f>
        <v>1578726077812725</v>
      </c>
      <c r="C4502" t="s">
        <v>40</v>
      </c>
      <c r="D4502">
        <v>4.9292879999999997</v>
      </c>
      <c r="E4502">
        <v>0.72179309999999997</v>
      </c>
      <c r="F4502" t="s">
        <v>42</v>
      </c>
      <c r="G4502">
        <v>-294.90699999999998</v>
      </c>
      <c r="H4502" s="1">
        <v>-2.2115720000000002E-6</v>
      </c>
      <c r="I4502">
        <v>-17.835229999999999</v>
      </c>
      <c r="J4502">
        <v>-312.39370000000002</v>
      </c>
      <c r="K4502">
        <v>1.0507550000000001</v>
      </c>
      <c r="L4502">
        <v>11.995089999999999</v>
      </c>
      <c r="M4502">
        <v>0.87486869999999906</v>
      </c>
      <c r="N4502">
        <v>0</v>
      </c>
      <c r="O4502">
        <v>-0.48417759999999999</v>
      </c>
      <c r="P4502">
        <v>0.8647823</v>
      </c>
      <c r="Q4502">
        <v>0.1185557</v>
      </c>
      <c r="R4502">
        <v>-0.48795110000000003</v>
      </c>
      <c r="S4502">
        <v>1.786591</v>
      </c>
      <c r="T4502">
        <v>-0.10649119999999999</v>
      </c>
      <c r="U4502">
        <v>-3.0309750000000002</v>
      </c>
      <c r="V4502">
        <v>1.023872E-2</v>
      </c>
      <c r="W4502">
        <v>0.13161919999999999</v>
      </c>
      <c r="X4502">
        <v>0.99124749999999995</v>
      </c>
      <c r="Y4502">
        <v>0.50783940000000005</v>
      </c>
      <c r="Z4502">
        <v>7.4291959999999999E-3</v>
      </c>
      <c r="AA4502">
        <v>0.86141970000000001</v>
      </c>
      <c r="AB4502">
        <v>29</v>
      </c>
      <c r="AC4502">
        <v>17.486699999999999</v>
      </c>
      <c r="AD4502">
        <v>-1.0507572115720001</v>
      </c>
      <c r="AE4502">
        <v>-29.83032</v>
      </c>
      <c r="AF4502">
        <v>17.616236232703201</v>
      </c>
      <c r="AG4502">
        <v>-1.0507572115720001</v>
      </c>
      <c r="AH4502">
        <v>29.7169272075976</v>
      </c>
      <c r="AI4502">
        <v>91.742180342664696</v>
      </c>
      <c r="AJ4502">
        <v>59.340478182378199</v>
      </c>
      <c r="AK4502">
        <v>34.561996938627999</v>
      </c>
      <c r="AL4502">
        <v>82.436830479270199</v>
      </c>
      <c r="AM4502">
        <v>89.408205738651404</v>
      </c>
      <c r="AN4502">
        <v>1.0000000257260599</v>
      </c>
    </row>
    <row r="4503" spans="1:40" x14ac:dyDescent="0.3">
      <c r="A4503" t="str">
        <f>"20200111150117836"</f>
        <v>20200111150117836</v>
      </c>
      <c r="B4503" t="str">
        <f>"1578726077832245"</f>
        <v>1578726077832245</v>
      </c>
      <c r="C4503" t="s">
        <v>40</v>
      </c>
      <c r="D4503">
        <v>4.8631330000000004</v>
      </c>
      <c r="E4503">
        <v>0.72137489999999904</v>
      </c>
      <c r="F4503" t="s">
        <v>42</v>
      </c>
      <c r="G4503">
        <v>-294.89749999999998</v>
      </c>
      <c r="H4503" s="1">
        <v>-2.1245000000000002E-6</v>
      </c>
      <c r="I4503">
        <v>-18.098459999999999</v>
      </c>
      <c r="J4503">
        <v>-312.23430000000002</v>
      </c>
      <c r="K4503">
        <v>1.050446</v>
      </c>
      <c r="L4503">
        <v>11.90118</v>
      </c>
      <c r="M4503">
        <v>0.87244189999999999</v>
      </c>
      <c r="N4503">
        <v>0</v>
      </c>
      <c r="O4503">
        <v>-0.48854069999999999</v>
      </c>
      <c r="P4503">
        <v>0.86071779999999998</v>
      </c>
      <c r="Q4503">
        <v>0.1177734</v>
      </c>
      <c r="R4503">
        <v>-0.4952724</v>
      </c>
      <c r="S4503">
        <v>1.7678830000000001</v>
      </c>
      <c r="T4503">
        <v>-0.106172699999999</v>
      </c>
      <c r="U4503">
        <v>-3.0407709999999999</v>
      </c>
      <c r="V4503">
        <v>1.36554E-2</v>
      </c>
      <c r="W4503">
        <v>0.13063069999999999</v>
      </c>
      <c r="X4503">
        <v>0.99133709999999997</v>
      </c>
      <c r="Y4503">
        <v>0.50870420000000005</v>
      </c>
      <c r="Z4503">
        <v>7.5465159999999996E-3</v>
      </c>
      <c r="AA4503">
        <v>0.86090829999999996</v>
      </c>
      <c r="AB4503">
        <v>29</v>
      </c>
      <c r="AC4503">
        <v>17.3368</v>
      </c>
      <c r="AD4503">
        <v>-1.0504481244999999</v>
      </c>
      <c r="AE4503">
        <v>-29.999639999999999</v>
      </c>
      <c r="AF4503">
        <v>17.688485249527499</v>
      </c>
      <c r="AG4503">
        <v>-1.0504481244999999</v>
      </c>
      <c r="AH4503">
        <v>29.756624141149299</v>
      </c>
      <c r="AI4503">
        <v>91.738097414147802</v>
      </c>
      <c r="AJ4503">
        <v>59.271117099039401</v>
      </c>
      <c r="AK4503">
        <v>34.6329703023384</v>
      </c>
      <c r="AL4503">
        <v>82.4939607951369</v>
      </c>
      <c r="AM4503">
        <v>89.210816070151694</v>
      </c>
      <c r="AN4503">
        <v>1.0000000477840201</v>
      </c>
    </row>
    <row r="4504" spans="1:40" x14ac:dyDescent="0.3">
      <c r="A4504" t="str">
        <f>"20200111150117847"</f>
        <v>20200111150117847</v>
      </c>
      <c r="B4504" t="str">
        <f>"1578726077842005"</f>
        <v>1578726077842005</v>
      </c>
      <c r="C4504" t="s">
        <v>40</v>
      </c>
      <c r="D4504">
        <v>4.824986</v>
      </c>
      <c r="E4504">
        <v>0.72134759999999998</v>
      </c>
      <c r="F4504" t="s">
        <v>42</v>
      </c>
      <c r="G4504">
        <v>-295.11509999999998</v>
      </c>
      <c r="H4504" s="1">
        <v>-2.0713380000000002E-6</v>
      </c>
      <c r="I4504">
        <v>-18.084589999999999</v>
      </c>
      <c r="J4504">
        <v>-312.10700000000003</v>
      </c>
      <c r="K4504">
        <v>1.050208</v>
      </c>
      <c r="L4504">
        <v>11.825379999999999</v>
      </c>
      <c r="M4504">
        <v>0.87046049999999997</v>
      </c>
      <c r="N4504">
        <v>0</v>
      </c>
      <c r="O4504">
        <v>-0.49206529999999998</v>
      </c>
      <c r="P4504">
        <v>0.85800560000000003</v>
      </c>
      <c r="Q4504">
        <v>0.11738709999999999</v>
      </c>
      <c r="R4504">
        <v>-0.50004680000000001</v>
      </c>
      <c r="S4504">
        <v>1.7431950000000001</v>
      </c>
      <c r="T4504">
        <v>-0.1069634</v>
      </c>
      <c r="U4504">
        <v>-3.0533450000000002</v>
      </c>
      <c r="V4504">
        <v>1.513753E-2</v>
      </c>
      <c r="W4504">
        <v>0.13010639999999901</v>
      </c>
      <c r="X4504">
        <v>0.99138440000000005</v>
      </c>
      <c r="Y4504">
        <v>0.51199249999999996</v>
      </c>
      <c r="Z4504">
        <v>7.675014E-3</v>
      </c>
      <c r="AA4504">
        <v>0.85895569999999899</v>
      </c>
      <c r="AB4504">
        <v>29</v>
      </c>
      <c r="AC4504">
        <v>16.991900000000001</v>
      </c>
      <c r="AD4504">
        <v>-1.050210071338</v>
      </c>
      <c r="AE4504">
        <v>-29.909970000000001</v>
      </c>
      <c r="AF4504">
        <v>17.659368187711799</v>
      </c>
      <c r="AG4504">
        <v>-1.050210071338</v>
      </c>
      <c r="AH4504">
        <v>29.4834679785764</v>
      </c>
      <c r="AI4504">
        <v>91.750310791503196</v>
      </c>
      <c r="AJ4504">
        <v>59.080149206047899</v>
      </c>
      <c r="AK4504">
        <v>34.383587800385897</v>
      </c>
      <c r="AL4504">
        <v>82.524258624844705</v>
      </c>
      <c r="AM4504">
        <v>89.125214006587001</v>
      </c>
      <c r="AN4504">
        <v>0.99999992434940699</v>
      </c>
    </row>
    <row r="4505" spans="1:40" x14ac:dyDescent="0.3">
      <c r="A4505" t="str">
        <f>"20200111150117859"</f>
        <v>20200111150117859</v>
      </c>
      <c r="B4505" t="str">
        <f>"1578726077852742"</f>
        <v>1578726077852742</v>
      </c>
      <c r="C4505" t="s">
        <v>40</v>
      </c>
      <c r="D4505">
        <v>4.804767</v>
      </c>
      <c r="E4505">
        <v>0.72118009999999999</v>
      </c>
      <c r="F4505" t="s">
        <v>42</v>
      </c>
      <c r="G4505">
        <v>-295.22859999999997</v>
      </c>
      <c r="H4505" s="1">
        <v>-2.0257130000000001E-6</v>
      </c>
      <c r="I4505">
        <v>-18.129909999999999</v>
      </c>
      <c r="J4505">
        <v>-311.95929999999998</v>
      </c>
      <c r="K4505">
        <v>1.0499419999999999</v>
      </c>
      <c r="L4505">
        <v>11.73685</v>
      </c>
      <c r="M4505">
        <v>0.86812369999999905</v>
      </c>
      <c r="N4505">
        <v>0</v>
      </c>
      <c r="O4505">
        <v>-0.49617990000000001</v>
      </c>
      <c r="P4505">
        <v>0.85479660000000002</v>
      </c>
      <c r="Q4505">
        <v>0.1170534</v>
      </c>
      <c r="R4505">
        <v>-0.50559049999999905</v>
      </c>
      <c r="S4505">
        <v>1.7259519999999999</v>
      </c>
      <c r="T4505">
        <v>-0.1073925</v>
      </c>
      <c r="U4505">
        <v>-3.0631710000000001</v>
      </c>
      <c r="V4505">
        <v>1.6854580000000001E-2</v>
      </c>
      <c r="W4505">
        <v>0.1296185</v>
      </c>
      <c r="X4505">
        <v>0.99142070000000004</v>
      </c>
      <c r="Y4505">
        <v>0.51277659999999903</v>
      </c>
      <c r="Z4505">
        <v>7.8379590000000002E-3</v>
      </c>
      <c r="AA4505">
        <v>0.85848630000000004</v>
      </c>
      <c r="AB4505">
        <v>29</v>
      </c>
      <c r="AC4505">
        <v>16.730699999999999</v>
      </c>
      <c r="AD4505">
        <v>-1.0499440257129999</v>
      </c>
      <c r="AE4505">
        <v>-29.866759999999999</v>
      </c>
      <c r="AF4505">
        <v>17.611508706007001</v>
      </c>
      <c r="AG4505">
        <v>-1.0499440257129999</v>
      </c>
      <c r="AH4505">
        <v>29.318471626866302</v>
      </c>
      <c r="AI4505">
        <v>91.758361245423899</v>
      </c>
      <c r="AJ4505">
        <v>59.0069016863985</v>
      </c>
      <c r="AK4505">
        <v>34.217545205555901</v>
      </c>
      <c r="AL4505">
        <v>82.552452683321704</v>
      </c>
      <c r="AM4505">
        <v>89.026040829966902</v>
      </c>
      <c r="AN4505">
        <v>1.00000001839885</v>
      </c>
    </row>
    <row r="4506" spans="1:40" x14ac:dyDescent="0.3">
      <c r="A4506" t="str">
        <f>"20200111150117872"</f>
        <v>20200111150117872</v>
      </c>
      <c r="B4506" t="str">
        <f>"1578726077862501"</f>
        <v>1578726077862501</v>
      </c>
      <c r="C4506" t="s">
        <v>40</v>
      </c>
      <c r="D4506">
        <v>4.8200409999999998</v>
      </c>
      <c r="E4506">
        <v>0.72098709999999999</v>
      </c>
      <c r="F4506" t="s">
        <v>42</v>
      </c>
      <c r="G4506">
        <v>-295.4316</v>
      </c>
      <c r="H4506" s="1">
        <v>-2.0093310000000002E-6</v>
      </c>
      <c r="I4506">
        <v>-18.01933</v>
      </c>
      <c r="J4506">
        <v>-311.8202</v>
      </c>
      <c r="K4506">
        <v>1.0497000000000001</v>
      </c>
      <c r="L4506">
        <v>11.652010000000001</v>
      </c>
      <c r="M4506">
        <v>0.86584369999999999</v>
      </c>
      <c r="N4506">
        <v>0</v>
      </c>
      <c r="O4506">
        <v>-0.50015050000000005</v>
      </c>
      <c r="P4506">
        <v>0.85168809999999995</v>
      </c>
      <c r="Q4506">
        <v>0.11710139999999999</v>
      </c>
      <c r="R4506">
        <v>-0.51079819999999998</v>
      </c>
      <c r="S4506">
        <v>1.706879</v>
      </c>
      <c r="T4506">
        <v>-0.1084316</v>
      </c>
      <c r="U4506">
        <v>-3.073029</v>
      </c>
      <c r="V4506">
        <v>1.8393389999999999E-2</v>
      </c>
      <c r="W4506">
        <v>0.12953480000000001</v>
      </c>
      <c r="X4506">
        <v>0.99140430000000002</v>
      </c>
      <c r="Y4506">
        <v>0.51408520000000002</v>
      </c>
      <c r="Z4506">
        <v>8.0352689999999994E-3</v>
      </c>
      <c r="AA4506">
        <v>0.85770149999999901</v>
      </c>
      <c r="AB4506">
        <v>29</v>
      </c>
      <c r="AC4506">
        <v>16.388599999999901</v>
      </c>
      <c r="AD4506">
        <v>-1.0497020093310001</v>
      </c>
      <c r="AE4506">
        <v>-29.671340000000001</v>
      </c>
      <c r="AF4506">
        <v>17.478650305317299</v>
      </c>
      <c r="AG4506">
        <v>-1.0497020093310001</v>
      </c>
      <c r="AH4506">
        <v>29.004669077734999</v>
      </c>
      <c r="AI4506">
        <v>91.775459191210601</v>
      </c>
      <c r="AJ4506">
        <v>58.926200177466498</v>
      </c>
      <c r="AK4506">
        <v>33.880317576918898</v>
      </c>
      <c r="AL4506">
        <v>82.557289227972305</v>
      </c>
      <c r="AM4506">
        <v>88.937121085182795</v>
      </c>
      <c r="AN4506">
        <v>1.00000003363261</v>
      </c>
    </row>
    <row r="4507" spans="1:40" x14ac:dyDescent="0.3">
      <c r="A4507" t="str">
        <f>"20200111150117884"</f>
        <v>20200111150117884</v>
      </c>
      <c r="B4507" t="str">
        <f>"1578726077882021"</f>
        <v>1578726077882021</v>
      </c>
      <c r="C4507" t="s">
        <v>40</v>
      </c>
      <c r="D4507">
        <v>4.7012739999999997</v>
      </c>
      <c r="E4507">
        <v>0.72050789999999998</v>
      </c>
      <c r="F4507" t="s">
        <v>42</v>
      </c>
      <c r="G4507">
        <v>-295.5224</v>
      </c>
      <c r="H4507" s="1">
        <v>-1.9576199999999998E-6</v>
      </c>
      <c r="I4507">
        <v>-18.100249999999999</v>
      </c>
      <c r="J4507">
        <v>-311.67750000000001</v>
      </c>
      <c r="K4507">
        <v>1.049453</v>
      </c>
      <c r="L4507">
        <v>11.56439</v>
      </c>
      <c r="M4507">
        <v>0.863456</v>
      </c>
      <c r="N4507">
        <v>0</v>
      </c>
      <c r="O4507">
        <v>-0.50426419999999905</v>
      </c>
      <c r="P4507">
        <v>0.84849789999999903</v>
      </c>
      <c r="Q4507">
        <v>0.1172344</v>
      </c>
      <c r="R4507">
        <v>-0.51605000000000001</v>
      </c>
      <c r="S4507">
        <v>1.6885680000000001</v>
      </c>
      <c r="T4507">
        <v>-0.1087568</v>
      </c>
      <c r="U4507">
        <v>-3.0825499999999999</v>
      </c>
      <c r="V4507">
        <v>1.9839809999999999E-2</v>
      </c>
      <c r="W4507">
        <v>0.1295395</v>
      </c>
      <c r="X4507">
        <v>0.99137569999999997</v>
      </c>
      <c r="Y4507">
        <v>0.51503999999999905</v>
      </c>
      <c r="Z4507">
        <v>8.1921819999999992E-3</v>
      </c>
      <c r="AA4507">
        <v>0.85712699999999997</v>
      </c>
      <c r="AB4507">
        <v>30</v>
      </c>
      <c r="AC4507">
        <v>16.155100000000001</v>
      </c>
      <c r="AD4507">
        <v>-1.0494549576200001</v>
      </c>
      <c r="AE4507">
        <v>-29.664639999999999</v>
      </c>
      <c r="AF4507">
        <v>17.4522360394053</v>
      </c>
      <c r="AG4507">
        <v>-1.0494549576200001</v>
      </c>
      <c r="AH4507">
        <v>28.882486966607701</v>
      </c>
      <c r="AI4507">
        <v>91.781258046187702</v>
      </c>
      <c r="AJ4507">
        <v>58.8575395767337</v>
      </c>
      <c r="AK4507">
        <v>33.762108225930703</v>
      </c>
      <c r="AL4507">
        <v>82.557016943829097</v>
      </c>
      <c r="AM4507">
        <v>88.853526808485199</v>
      </c>
      <c r="AN4507">
        <v>0.99999993933578601</v>
      </c>
    </row>
    <row r="4508" spans="1:40" x14ac:dyDescent="0.3">
      <c r="A4508" t="str">
        <f>"20200111150117897"</f>
        <v>20200111150117897</v>
      </c>
      <c r="B4508" t="str">
        <f>"1578726077891781"</f>
        <v>1578726077891781</v>
      </c>
      <c r="C4508" t="s">
        <v>40</v>
      </c>
      <c r="D4508">
        <v>4.6991069999999997</v>
      </c>
      <c r="E4508">
        <v>0.72035340000000003</v>
      </c>
      <c r="F4508" t="s">
        <v>42</v>
      </c>
      <c r="G4508">
        <v>-295.6474</v>
      </c>
      <c r="H4508" s="1">
        <v>-1.9360670000000001E-6</v>
      </c>
      <c r="I4508">
        <v>-18.06587</v>
      </c>
      <c r="J4508">
        <v>-311.53199999999998</v>
      </c>
      <c r="K4508">
        <v>1.049204</v>
      </c>
      <c r="L4508">
        <v>11.47391</v>
      </c>
      <c r="M4508">
        <v>0.8609443</v>
      </c>
      <c r="N4508">
        <v>0</v>
      </c>
      <c r="O4508">
        <v>-0.50854270000000001</v>
      </c>
      <c r="P4508">
        <v>0.84513519999999898</v>
      </c>
      <c r="Q4508">
        <v>0.11765</v>
      </c>
      <c r="R4508">
        <v>-0.52144520000000005</v>
      </c>
      <c r="S4508">
        <v>1.67157</v>
      </c>
      <c r="T4508">
        <v>-0.1094339</v>
      </c>
      <c r="U4508">
        <v>-3.0897519999999998</v>
      </c>
      <c r="V4508">
        <v>2.1304759999999999E-2</v>
      </c>
      <c r="W4508">
        <v>0.1298327</v>
      </c>
      <c r="X4508">
        <v>0.99130700000000005</v>
      </c>
      <c r="Y4508">
        <v>0.51527000000000001</v>
      </c>
      <c r="Z4508">
        <v>8.3984319999999904E-3</v>
      </c>
      <c r="AA4508">
        <v>0.85698680000000005</v>
      </c>
      <c r="AB4508">
        <v>30</v>
      </c>
      <c r="AC4508">
        <v>15.884599999999899</v>
      </c>
      <c r="AD4508">
        <v>-1.0492059360670001</v>
      </c>
      <c r="AE4508">
        <v>-29.53978</v>
      </c>
      <c r="AF4508">
        <v>17.3385224124006</v>
      </c>
      <c r="AG4508">
        <v>-1.0492059360670001</v>
      </c>
      <c r="AH4508">
        <v>28.6722221243357</v>
      </c>
      <c r="AI4508">
        <v>91.793517537915406</v>
      </c>
      <c r="AJ4508">
        <v>58.8380177581708</v>
      </c>
      <c r="AK4508">
        <v>33.523447228601697</v>
      </c>
      <c r="AL4508">
        <v>82.540075166495797</v>
      </c>
      <c r="AM4508">
        <v>88.768812340227697</v>
      </c>
      <c r="AN4508">
        <v>0.99999999551847296</v>
      </c>
    </row>
    <row r="4509" spans="1:40" x14ac:dyDescent="0.3">
      <c r="A4509" t="str">
        <f>"20200111150117910"</f>
        <v>20200111150117910</v>
      </c>
      <c r="B4509" t="str">
        <f>"1578726077902517"</f>
        <v>1578726077902517</v>
      </c>
      <c r="C4509" t="s">
        <v>40</v>
      </c>
      <c r="D4509">
        <v>4.7216950000000004</v>
      </c>
      <c r="E4509">
        <v>0.72020799999999996</v>
      </c>
      <c r="F4509" t="s">
        <v>42</v>
      </c>
      <c r="G4509">
        <v>-295.34930000000003</v>
      </c>
      <c r="H4509" s="1">
        <v>-1.736851E-6</v>
      </c>
      <c r="I4509">
        <v>-18.884360000000001</v>
      </c>
      <c r="J4509">
        <v>-311.38589999999999</v>
      </c>
      <c r="K4509">
        <v>1.048962</v>
      </c>
      <c r="L4509">
        <v>11.381769999999999</v>
      </c>
      <c r="M4509">
        <v>0.85833630000000005</v>
      </c>
      <c r="N4509">
        <v>0</v>
      </c>
      <c r="O4509">
        <v>-0.51293440000000001</v>
      </c>
      <c r="P4509">
        <v>0.8418215</v>
      </c>
      <c r="Q4509">
        <v>0.1175307</v>
      </c>
      <c r="R4509">
        <v>-0.52680450000000001</v>
      </c>
      <c r="S4509">
        <v>1.6522220000000001</v>
      </c>
      <c r="T4509">
        <v>-0.1071218</v>
      </c>
      <c r="U4509">
        <v>-3.0995180000000002</v>
      </c>
      <c r="V4509">
        <v>2.2564440000000002E-2</v>
      </c>
      <c r="W4509">
        <v>0.12960479999999999</v>
      </c>
      <c r="X4509">
        <v>0.99130890000000005</v>
      </c>
      <c r="Y4509">
        <v>0.51617970000000002</v>
      </c>
      <c r="Z4509">
        <v>8.3633690000000007E-3</v>
      </c>
      <c r="AA4509">
        <v>0.85643950000000002</v>
      </c>
      <c r="AB4509">
        <v>30</v>
      </c>
      <c r="AC4509">
        <v>16.0365999999999</v>
      </c>
      <c r="AD4509">
        <v>-1.0489637368510001</v>
      </c>
      <c r="AE4509">
        <v>-30.26613</v>
      </c>
      <c r="AF4509">
        <v>17.737553263490401</v>
      </c>
      <c r="AG4509">
        <v>-1.0489637368510001</v>
      </c>
      <c r="AH4509">
        <v>29.264189911096</v>
      </c>
      <c r="AI4509">
        <v>91.755764103537999</v>
      </c>
      <c r="AJ4509">
        <v>58.779190823272501</v>
      </c>
      <c r="AK4509">
        <v>34.236149489232602</v>
      </c>
      <c r="AL4509">
        <v>82.553243775894003</v>
      </c>
      <c r="AM4509">
        <v>88.696043216448601</v>
      </c>
      <c r="AN4509">
        <v>0.99999994667738001</v>
      </c>
    </row>
    <row r="4510" spans="1:40" x14ac:dyDescent="0.3">
      <c r="A4510" t="str">
        <f>"20200111150117925"</f>
        <v>20200111150117925</v>
      </c>
      <c r="B4510" t="str">
        <f>"1578726077922037"</f>
        <v>1578726077922037</v>
      </c>
      <c r="C4510" t="s">
        <v>40</v>
      </c>
      <c r="D4510">
        <v>4.7718819999999997</v>
      </c>
      <c r="E4510">
        <v>0.72001610000000005</v>
      </c>
      <c r="F4510" t="s">
        <v>42</v>
      </c>
      <c r="G4510">
        <v>-295.25889999999998</v>
      </c>
      <c r="H4510" s="1">
        <v>-1.6076259999999999E-6</v>
      </c>
      <c r="I4510">
        <v>-19.334779999999999</v>
      </c>
      <c r="J4510">
        <v>-311.21800000000002</v>
      </c>
      <c r="K4510">
        <v>1.048683</v>
      </c>
      <c r="L4510">
        <v>11.27478</v>
      </c>
      <c r="M4510">
        <v>0.85525139999999999</v>
      </c>
      <c r="N4510">
        <v>0</v>
      </c>
      <c r="O4510">
        <v>-0.51806379999999996</v>
      </c>
      <c r="P4510">
        <v>0.83758349999999904</v>
      </c>
      <c r="Q4510">
        <v>0.1177406</v>
      </c>
      <c r="R4510">
        <v>-0.53347049999999996</v>
      </c>
      <c r="S4510">
        <v>1.6325989999999999</v>
      </c>
      <c r="T4510">
        <v>-0.1061907</v>
      </c>
      <c r="U4510">
        <v>-3.1095579999999998</v>
      </c>
      <c r="V4510">
        <v>2.456301E-2</v>
      </c>
      <c r="W4510">
        <v>0.12968660000000001</v>
      </c>
      <c r="X4510">
        <v>0.99125079999999999</v>
      </c>
      <c r="Y4510">
        <v>0.51642900000000003</v>
      </c>
      <c r="Z4510">
        <v>8.4683429999999997E-3</v>
      </c>
      <c r="AA4510">
        <v>0.856288099999999</v>
      </c>
      <c r="AB4510">
        <v>30</v>
      </c>
      <c r="AC4510">
        <v>15.959099999999999</v>
      </c>
      <c r="AD4510">
        <v>-1.0486846076259999</v>
      </c>
      <c r="AE4510">
        <v>-30.609559999999998</v>
      </c>
      <c r="AF4510">
        <v>17.8959090154219</v>
      </c>
      <c r="AG4510">
        <v>-1.0486846076259999</v>
      </c>
      <c r="AH4510">
        <v>29.4818255700756</v>
      </c>
      <c r="AI4510">
        <v>91.741655159667204</v>
      </c>
      <c r="AJ4510">
        <v>58.741623092152501</v>
      </c>
      <c r="AK4510">
        <v>34.504222029179203</v>
      </c>
      <c r="AL4510">
        <v>82.548517879390005</v>
      </c>
      <c r="AM4510">
        <v>88.580511759665896</v>
      </c>
      <c r="AN4510">
        <v>1.0000000520902199</v>
      </c>
    </row>
    <row r="4511" spans="1:40" x14ac:dyDescent="0.3">
      <c r="A4511" t="str">
        <f>"20200111150117939"</f>
        <v>20200111150117939</v>
      </c>
      <c r="B4511" t="str">
        <f>"1578726077931798"</f>
        <v>1578726077931798</v>
      </c>
      <c r="C4511" t="s">
        <v>40</v>
      </c>
      <c r="D4511">
        <v>4.6935460000000004</v>
      </c>
      <c r="E4511">
        <v>0.71995319999999996</v>
      </c>
      <c r="F4511" t="s">
        <v>42</v>
      </c>
      <c r="G4511">
        <v>-295.0822</v>
      </c>
      <c r="H4511" s="1">
        <v>-1.41154E-6</v>
      </c>
      <c r="I4511">
        <v>-20.049160000000001</v>
      </c>
      <c r="J4511">
        <v>-311.05810000000002</v>
      </c>
      <c r="K4511">
        <v>1.048422</v>
      </c>
      <c r="L4511">
        <v>11.171480000000001</v>
      </c>
      <c r="M4511">
        <v>0.85220940000000001</v>
      </c>
      <c r="N4511">
        <v>0</v>
      </c>
      <c r="O4511">
        <v>-0.52305469999999998</v>
      </c>
      <c r="P4511">
        <v>0.83387770000000005</v>
      </c>
      <c r="Q4511">
        <v>0.11788750000000001</v>
      </c>
      <c r="R4511">
        <v>-0.53921319999999995</v>
      </c>
      <c r="S4511">
        <v>1.6081240000000001</v>
      </c>
      <c r="T4511">
        <v>-0.1045136</v>
      </c>
      <c r="U4511">
        <v>-3.1217959999999998</v>
      </c>
      <c r="V4511">
        <v>2.5638459999999998E-2</v>
      </c>
      <c r="W4511">
        <v>0.12973289999999901</v>
      </c>
      <c r="X4511">
        <v>0.99121740000000003</v>
      </c>
      <c r="Y4511">
        <v>0.51809529999999904</v>
      </c>
      <c r="Z4511">
        <v>8.4827730000000007E-3</v>
      </c>
      <c r="AA4511">
        <v>0.85528090000000001</v>
      </c>
      <c r="AB4511">
        <v>30</v>
      </c>
      <c r="AC4511">
        <v>15.975899999999999</v>
      </c>
      <c r="AD4511">
        <v>-1.04842341154</v>
      </c>
      <c r="AE4511">
        <v>-31.22064</v>
      </c>
      <c r="AF4511">
        <v>18.235352254575901</v>
      </c>
      <c r="AG4511">
        <v>-1.04842341154</v>
      </c>
      <c r="AH4511">
        <v>29.920465089109499</v>
      </c>
      <c r="AI4511">
        <v>91.713849335526106</v>
      </c>
      <c r="AJ4511">
        <v>58.6393277836058</v>
      </c>
      <c r="AK4511">
        <v>35.055120804911702</v>
      </c>
      <c r="AL4511">
        <v>82.545841680542395</v>
      </c>
      <c r="AM4511">
        <v>88.518339078709701</v>
      </c>
      <c r="AN4511">
        <v>0.99999994501816902</v>
      </c>
    </row>
    <row r="4512" spans="1:40" x14ac:dyDescent="0.3">
      <c r="A4512" t="str">
        <f>"20200111150117953"</f>
        <v>20200111150117953</v>
      </c>
      <c r="B4512" t="str">
        <f>"1578726077942533"</f>
        <v>1578726077942533</v>
      </c>
      <c r="C4512" t="s">
        <v>40</v>
      </c>
      <c r="D4512">
        <v>4.7077019999999896</v>
      </c>
      <c r="E4512">
        <v>0.7198755</v>
      </c>
      <c r="F4512" t="s">
        <v>42</v>
      </c>
      <c r="G4512">
        <v>-295.03210000000001</v>
      </c>
      <c r="H4512" s="1">
        <v>-5.1243140000000002E-6</v>
      </c>
      <c r="I4512">
        <v>-20.476469999999999</v>
      </c>
      <c r="J4512">
        <v>-310.90640000000002</v>
      </c>
      <c r="K4512">
        <v>1.048184</v>
      </c>
      <c r="L4512">
        <v>11.071619999999999</v>
      </c>
      <c r="M4512">
        <v>0.84919739999999999</v>
      </c>
      <c r="N4512">
        <v>0</v>
      </c>
      <c r="O4512">
        <v>-0.52793190000000001</v>
      </c>
      <c r="P4512">
        <v>0.83009449999999996</v>
      </c>
      <c r="Q4512">
        <v>0.118113</v>
      </c>
      <c r="R4512">
        <v>-0.54497050000000002</v>
      </c>
      <c r="S4512">
        <v>1.5864560000000001</v>
      </c>
      <c r="T4512">
        <v>-0.1037862</v>
      </c>
      <c r="U4512">
        <v>-3.1329039999999999</v>
      </c>
      <c r="V4512">
        <v>2.6881370000000002E-2</v>
      </c>
      <c r="W4512">
        <v>0.1298686</v>
      </c>
      <c r="X4512">
        <v>0.99116680000000001</v>
      </c>
      <c r="Y4512">
        <v>0.51912309999999995</v>
      </c>
      <c r="Z4512">
        <v>8.5763709999999993E-3</v>
      </c>
      <c r="AA4512">
        <v>0.85465650000000004</v>
      </c>
      <c r="AB4512">
        <v>30</v>
      </c>
      <c r="AC4512">
        <v>15.8743</v>
      </c>
      <c r="AD4512">
        <v>-1.048189124314</v>
      </c>
      <c r="AE4512">
        <v>-31.548089999999998</v>
      </c>
      <c r="AF4512">
        <v>18.395199090345901</v>
      </c>
      <c r="AG4512">
        <v>-1.048189124314</v>
      </c>
      <c r="AH4512">
        <v>30.111418643907001</v>
      </c>
      <c r="AI4512">
        <v>91.701515081591793</v>
      </c>
      <c r="AJ4512">
        <v>58.579057120616802</v>
      </c>
      <c r="AK4512">
        <v>35.301268854850299</v>
      </c>
      <c r="AL4512">
        <v>82.538001043638602</v>
      </c>
      <c r="AM4512">
        <v>88.446465732173706</v>
      </c>
      <c r="AN4512">
        <v>1.00000004337063</v>
      </c>
    </row>
    <row r="4513" spans="1:40" x14ac:dyDescent="0.3">
      <c r="A4513" t="str">
        <f>"20200111150117965"</f>
        <v>20200111150117965</v>
      </c>
      <c r="B4513" t="str">
        <f>"1578726077962053"</f>
        <v>1578726077962053</v>
      </c>
      <c r="C4513" t="s">
        <v>40</v>
      </c>
      <c r="D4513">
        <v>4.7178129999999996</v>
      </c>
      <c r="E4513">
        <v>0.71969810000000001</v>
      </c>
      <c r="F4513" t="s">
        <v>42</v>
      </c>
      <c r="G4513">
        <v>-295.00979999999998</v>
      </c>
      <c r="H4513" s="1">
        <v>-4.9619639999999999E-6</v>
      </c>
      <c r="I4513">
        <v>-20.86411</v>
      </c>
      <c r="J4513">
        <v>-310.76119999999997</v>
      </c>
      <c r="K4513">
        <v>1.04796</v>
      </c>
      <c r="L4513">
        <v>10.97513</v>
      </c>
      <c r="M4513">
        <v>0.8462324</v>
      </c>
      <c r="N4513">
        <v>0</v>
      </c>
      <c r="O4513">
        <v>-0.53267279999999995</v>
      </c>
      <c r="P4513">
        <v>0.82631759999999999</v>
      </c>
      <c r="Q4513">
        <v>0.1185002</v>
      </c>
      <c r="R4513">
        <v>-0.550597</v>
      </c>
      <c r="S4513">
        <v>1.564819</v>
      </c>
      <c r="T4513">
        <v>-0.1031812</v>
      </c>
      <c r="U4513">
        <v>-3.1436769999999998</v>
      </c>
      <c r="V4513">
        <v>2.815403E-2</v>
      </c>
      <c r="W4513">
        <v>0.13017210000000001</v>
      </c>
      <c r="X4513">
        <v>0.99109159999999996</v>
      </c>
      <c r="Y4513">
        <v>0.52022679999999999</v>
      </c>
      <c r="Z4513">
        <v>8.6729149999999998E-3</v>
      </c>
      <c r="AA4513">
        <v>0.85398410000000002</v>
      </c>
      <c r="AB4513">
        <v>30</v>
      </c>
      <c r="AC4513">
        <v>15.751399999999901</v>
      </c>
      <c r="AD4513">
        <v>-1.0479649619639999</v>
      </c>
      <c r="AE4513">
        <v>-31.83924</v>
      </c>
      <c r="AF4513">
        <v>18.538315008977801</v>
      </c>
      <c r="AG4513">
        <v>-1.0479649619639999</v>
      </c>
      <c r="AH4513">
        <v>30.265179421469799</v>
      </c>
      <c r="AI4513">
        <v>91.691290647730199</v>
      </c>
      <c r="AJ4513">
        <v>58.511301825057501</v>
      </c>
      <c r="AK4513">
        <v>35.507019578491203</v>
      </c>
      <c r="AL4513">
        <v>82.520462515540402</v>
      </c>
      <c r="AM4513">
        <v>88.372831129420902</v>
      </c>
      <c r="AN4513">
        <v>0.99999999230710501</v>
      </c>
    </row>
    <row r="4514" spans="1:40" x14ac:dyDescent="0.3">
      <c r="A4514" t="str">
        <f>"20200111150117978"</f>
        <v>20200111150117978</v>
      </c>
      <c r="B4514" t="str">
        <f>"1578726077971813"</f>
        <v>1578726077971813</v>
      </c>
      <c r="C4514" t="s">
        <v>40</v>
      </c>
      <c r="D4514">
        <v>4.6969379999999896</v>
      </c>
      <c r="E4514">
        <v>0.7195994</v>
      </c>
      <c r="F4514" t="s">
        <v>42</v>
      </c>
      <c r="G4514">
        <v>-295.26130000000001</v>
      </c>
      <c r="H4514" s="1">
        <v>-4.9958329999999999E-6</v>
      </c>
      <c r="I4514">
        <v>-20.6812</v>
      </c>
      <c r="J4514">
        <v>-310.613</v>
      </c>
      <c r="K4514">
        <v>1.047731</v>
      </c>
      <c r="L4514">
        <v>10.87546</v>
      </c>
      <c r="M4514">
        <v>0.84311019999999903</v>
      </c>
      <c r="N4514">
        <v>0</v>
      </c>
      <c r="O4514">
        <v>-0.53760229999999998</v>
      </c>
      <c r="P4514">
        <v>0.82220329999999997</v>
      </c>
      <c r="Q4514">
        <v>0.1193674</v>
      </c>
      <c r="R4514">
        <v>-0.55653680000000005</v>
      </c>
      <c r="S4514">
        <v>1.5441590000000001</v>
      </c>
      <c r="T4514">
        <v>-0.1044021</v>
      </c>
      <c r="U4514">
        <v>-3.1537169999999999</v>
      </c>
      <c r="V4514">
        <v>2.9644279999999999E-2</v>
      </c>
      <c r="W4514">
        <v>0.1309536</v>
      </c>
      <c r="X4514">
        <v>0.99094519999999997</v>
      </c>
      <c r="Y4514">
        <v>0.52083029999999997</v>
      </c>
      <c r="Z4514">
        <v>8.9388339999999997E-3</v>
      </c>
      <c r="AA4514">
        <v>0.85361350000000003</v>
      </c>
      <c r="AB4514">
        <v>30</v>
      </c>
      <c r="AC4514">
        <v>15.3516999999999</v>
      </c>
      <c r="AD4514">
        <v>-1.0477359958329999</v>
      </c>
      <c r="AE4514">
        <v>-31.556659999999901</v>
      </c>
      <c r="AF4514">
        <v>18.337653637608</v>
      </c>
      <c r="AG4514">
        <v>-1.0477359958329999</v>
      </c>
      <c r="AH4514">
        <v>29.883697444964799</v>
      </c>
      <c r="AI4514">
        <v>91.711651974829707</v>
      </c>
      <c r="AJ4514">
        <v>58.465305306453203</v>
      </c>
      <c r="AK4514">
        <v>35.077096011956897</v>
      </c>
      <c r="AL4514">
        <v>82.475299393118107</v>
      </c>
      <c r="AM4514">
        <v>88.286498856831301</v>
      </c>
      <c r="AN4514">
        <v>1.0000000090463499</v>
      </c>
    </row>
    <row r="4515" spans="1:40" x14ac:dyDescent="0.3">
      <c r="A4515" t="str">
        <f>"20200111150117992"</f>
        <v>20200111150117992</v>
      </c>
      <c r="B4515" t="str">
        <f>"1578726077982549"</f>
        <v>1578726077982549</v>
      </c>
      <c r="C4515" t="s">
        <v>40</v>
      </c>
      <c r="D4515">
        <v>4.7257639999999999</v>
      </c>
      <c r="E4515">
        <v>0.71937629999999997</v>
      </c>
      <c r="F4515" t="s">
        <v>42</v>
      </c>
      <c r="G4515">
        <v>-295.10969999999998</v>
      </c>
      <c r="H4515" s="1">
        <v>-4.728565E-6</v>
      </c>
      <c r="I4515">
        <v>-21.366879999999998</v>
      </c>
      <c r="J4515">
        <v>-310.47239999999999</v>
      </c>
      <c r="K4515">
        <v>1.047525</v>
      </c>
      <c r="L4515">
        <v>10.779109999999999</v>
      </c>
      <c r="M4515">
        <v>0.84001930000000002</v>
      </c>
      <c r="N4515">
        <v>0</v>
      </c>
      <c r="O4515">
        <v>-0.54242000000000001</v>
      </c>
      <c r="P4515">
        <v>0.81733800000000001</v>
      </c>
      <c r="Q4515">
        <v>0.12073299999999999</v>
      </c>
      <c r="R4515">
        <v>-0.56336679999999995</v>
      </c>
      <c r="S4515">
        <v>1.5216369999999999</v>
      </c>
      <c r="T4515">
        <v>-0.1028341</v>
      </c>
      <c r="U4515">
        <v>-3.1645509999999999</v>
      </c>
      <c r="V4515">
        <v>3.2410469999999997E-2</v>
      </c>
      <c r="W4515">
        <v>0.13221849999999999</v>
      </c>
      <c r="X4515">
        <v>0.99069059999999998</v>
      </c>
      <c r="Y4515">
        <v>0.52201989999999998</v>
      </c>
      <c r="Z4515">
        <v>8.9528439999999997E-3</v>
      </c>
      <c r="AA4515">
        <v>0.85288639999999905</v>
      </c>
      <c r="AB4515">
        <v>30</v>
      </c>
      <c r="AC4515">
        <v>15.3627</v>
      </c>
      <c r="AD4515">
        <v>-1.047529728565</v>
      </c>
      <c r="AE4515">
        <v>-32.145989999999998</v>
      </c>
      <c r="AF4515">
        <v>18.6554723439457</v>
      </c>
      <c r="AG4515">
        <v>-1.047529728565</v>
      </c>
      <c r="AH4515">
        <v>30.317631526859699</v>
      </c>
      <c r="AI4515">
        <v>91.685557576277404</v>
      </c>
      <c r="AJ4515">
        <v>58.394597340763099</v>
      </c>
      <c r="AK4515">
        <v>35.612957589989399</v>
      </c>
      <c r="AL4515">
        <v>82.402190320530906</v>
      </c>
      <c r="AM4515">
        <v>88.126235299738994</v>
      </c>
      <c r="AN4515">
        <v>1.0000000176181101</v>
      </c>
    </row>
    <row r="4516" spans="1:40" x14ac:dyDescent="0.3">
      <c r="A4516" t="str">
        <f>"20200111150118004"</f>
        <v>20200111150118004</v>
      </c>
      <c r="B4516" t="str">
        <f>"1578726077992310"</f>
        <v>1578726077992310</v>
      </c>
      <c r="C4516" t="s">
        <v>40</v>
      </c>
      <c r="D4516">
        <v>4.7238550000000004</v>
      </c>
      <c r="E4516">
        <v>0.7190763</v>
      </c>
      <c r="F4516" t="s">
        <v>42</v>
      </c>
      <c r="G4516">
        <v>-294.7552</v>
      </c>
      <c r="H4516" s="1">
        <v>-4.2665980000000003E-6</v>
      </c>
      <c r="I4516">
        <v>-22.590299999999999</v>
      </c>
      <c r="J4516">
        <v>-310.33550000000002</v>
      </c>
      <c r="K4516">
        <v>1.0473239999999999</v>
      </c>
      <c r="L4516">
        <v>10.68439</v>
      </c>
      <c r="M4516">
        <v>0.8369337</v>
      </c>
      <c r="N4516">
        <v>0</v>
      </c>
      <c r="O4516">
        <v>-0.54716940000000003</v>
      </c>
      <c r="P4516">
        <v>0.81316829999999996</v>
      </c>
      <c r="Q4516">
        <v>0.1212491</v>
      </c>
      <c r="R4516">
        <v>-0.56925919999999997</v>
      </c>
      <c r="S4516">
        <v>1.4959720000000001</v>
      </c>
      <c r="T4516">
        <v>-9.9704379999999995E-2</v>
      </c>
      <c r="U4516">
        <v>-3.1761170000000001</v>
      </c>
      <c r="V4516">
        <v>3.4058539999999998E-2</v>
      </c>
      <c r="W4516">
        <v>0.132659</v>
      </c>
      <c r="X4516">
        <v>0.99057640000000002</v>
      </c>
      <c r="Y4516">
        <v>0.52402550000000003</v>
      </c>
      <c r="Z4516">
        <v>8.8112889999999999E-3</v>
      </c>
      <c r="AA4516">
        <v>0.851657</v>
      </c>
      <c r="AB4516">
        <v>30</v>
      </c>
      <c r="AC4516">
        <v>15.580299999999999</v>
      </c>
      <c r="AD4516">
        <v>-1.0473282665979999</v>
      </c>
      <c r="AE4516">
        <v>-33.27469</v>
      </c>
      <c r="AF4516">
        <v>19.309382789880999</v>
      </c>
      <c r="AG4516">
        <v>-1.0473282665979999</v>
      </c>
      <c r="AH4516">
        <v>31.2235064799778</v>
      </c>
      <c r="AI4516">
        <v>91.6341106459424</v>
      </c>
      <c r="AJ4516">
        <v>58.266336102431701</v>
      </c>
      <c r="AK4516">
        <v>36.7267820143473</v>
      </c>
      <c r="AL4516">
        <v>82.3767270901714</v>
      </c>
      <c r="AM4516">
        <v>88.030800871321105</v>
      </c>
      <c r="AN4516">
        <v>0.99999999933244499</v>
      </c>
    </row>
    <row r="4517" spans="1:40" x14ac:dyDescent="0.3">
      <c r="A4517" t="str">
        <f>"20200111150118026"</f>
        <v>20200111150118026</v>
      </c>
      <c r="B4517" t="str">
        <f>"1578726078022565"</f>
        <v>1578726078022565</v>
      </c>
      <c r="C4517" t="s">
        <v>40</v>
      </c>
      <c r="D4517">
        <v>4.7326319999999997</v>
      </c>
      <c r="E4517">
        <v>0.71783609999999998</v>
      </c>
      <c r="F4517" t="s">
        <v>42</v>
      </c>
      <c r="G4517">
        <v>-294.88720000000001</v>
      </c>
      <c r="H4517" s="1">
        <v>-4.1969719999999999E-6</v>
      </c>
      <c r="I4517">
        <v>-22.698029999999999</v>
      </c>
      <c r="J4517">
        <v>-310.10129999999998</v>
      </c>
      <c r="K4517">
        <v>1.046978</v>
      </c>
      <c r="L4517">
        <v>10.5191</v>
      </c>
      <c r="M4517">
        <v>0.83140700000000001</v>
      </c>
      <c r="N4517">
        <v>0</v>
      </c>
      <c r="O4517">
        <v>-0.55553209999999997</v>
      </c>
      <c r="P4517">
        <v>0.80509449999999905</v>
      </c>
      <c r="Q4517">
        <v>0.1216325</v>
      </c>
      <c r="R4517">
        <v>-0.58054110000000003</v>
      </c>
      <c r="S4517">
        <v>1.4741519999999999</v>
      </c>
      <c r="T4517">
        <v>-9.9941249999999995E-2</v>
      </c>
      <c r="U4517">
        <v>-3.1855159999999998</v>
      </c>
      <c r="V4517">
        <v>3.8064550000000003E-2</v>
      </c>
      <c r="W4517">
        <v>0.13289860000000001</v>
      </c>
      <c r="X4517">
        <v>0.99039840000000001</v>
      </c>
      <c r="Y4517">
        <v>0.52124899999999996</v>
      </c>
      <c r="Z4517">
        <v>9.1581749999999993E-3</v>
      </c>
      <c r="AA4517">
        <v>0.85335550000000004</v>
      </c>
      <c r="AB4517">
        <v>30</v>
      </c>
      <c r="AC4517">
        <v>15.214099999999901</v>
      </c>
      <c r="AD4517">
        <v>-1.0469821969719999</v>
      </c>
      <c r="AE4517">
        <v>-33.217129999999997</v>
      </c>
      <c r="AF4517">
        <v>19.150710837829799</v>
      </c>
      <c r="AG4517">
        <v>-1.0469821969719999</v>
      </c>
      <c r="AH4517">
        <v>31.0790474882266</v>
      </c>
      <c r="AI4517">
        <v>91.642796303290197</v>
      </c>
      <c r="AJ4517">
        <v>58.358889294421999</v>
      </c>
      <c r="AK4517">
        <v>36.520584470821198</v>
      </c>
      <c r="AL4517">
        <v>82.362876152140302</v>
      </c>
      <c r="AM4517">
        <v>87.799001730204907</v>
      </c>
      <c r="AN4517">
        <v>0.99999996928560997</v>
      </c>
    </row>
    <row r="4518" spans="1:40" x14ac:dyDescent="0.3">
      <c r="A4518" t="str">
        <f>"20200111150118037"</f>
        <v>20200111150118037</v>
      </c>
      <c r="B4518" t="str">
        <f>"1578726078032325"</f>
        <v>1578726078032325</v>
      </c>
      <c r="C4518" t="s">
        <v>40</v>
      </c>
      <c r="D4518">
        <v>4.7369839999999996</v>
      </c>
      <c r="E4518">
        <v>0.71752109999999902</v>
      </c>
      <c r="F4518" t="s">
        <v>42</v>
      </c>
      <c r="G4518">
        <v>-295.99930000000001</v>
      </c>
      <c r="H4518" s="1">
        <v>-4.7796419999999998E-6</v>
      </c>
      <c r="I4518">
        <v>-20.879960000000001</v>
      </c>
      <c r="J4518">
        <v>-309.96949999999998</v>
      </c>
      <c r="K4518">
        <v>1.046791</v>
      </c>
      <c r="L4518">
        <v>10.424620000000001</v>
      </c>
      <c r="M4518">
        <v>0.82817609999999997</v>
      </c>
      <c r="N4518">
        <v>0</v>
      </c>
      <c r="O4518">
        <v>-0.56033769999999905</v>
      </c>
      <c r="P4518">
        <v>0.80049199999999998</v>
      </c>
      <c r="Q4518">
        <v>0.1215116</v>
      </c>
      <c r="R4518">
        <v>-0.58689659999999999</v>
      </c>
      <c r="S4518">
        <v>1.43631</v>
      </c>
      <c r="T4518">
        <v>-0.1066373</v>
      </c>
      <c r="U4518">
        <v>-3.1980590000000002</v>
      </c>
      <c r="V4518">
        <v>4.0204450000000003E-2</v>
      </c>
      <c r="W4518">
        <v>0.13270199999999999</v>
      </c>
      <c r="X4518">
        <v>0.9903402</v>
      </c>
      <c r="Y4518">
        <v>0.5259393</v>
      </c>
      <c r="Z4518">
        <v>9.8822440000000001E-3</v>
      </c>
      <c r="AA4518">
        <v>0.85046469999999896</v>
      </c>
      <c r="AB4518">
        <v>30</v>
      </c>
      <c r="AC4518">
        <v>13.970199999999901</v>
      </c>
      <c r="AD4518">
        <v>-1.046795779642</v>
      </c>
      <c r="AE4518">
        <v>-31.304579999999898</v>
      </c>
      <c r="AF4518">
        <v>18.0821356181442</v>
      </c>
      <c r="AG4518">
        <v>-1.046795779642</v>
      </c>
      <c r="AH4518">
        <v>29.085925930349799</v>
      </c>
      <c r="AI4518">
        <v>91.750688130021899</v>
      </c>
      <c r="AJ4518">
        <v>58.131613786952002</v>
      </c>
      <c r="AK4518">
        <v>34.264420280270798</v>
      </c>
      <c r="AL4518">
        <v>82.3742411332084</v>
      </c>
      <c r="AM4518">
        <v>87.675262426426997</v>
      </c>
      <c r="AN4518">
        <v>0.99999996516991996</v>
      </c>
    </row>
    <row r="4519" spans="1:40" x14ac:dyDescent="0.3">
      <c r="A4519" t="str">
        <f>"20200111150118048"</f>
        <v>20200111150118048</v>
      </c>
      <c r="B4519" t="str">
        <f>"1578726078042085"</f>
        <v>1578726078042085</v>
      </c>
      <c r="C4519" t="s">
        <v>40</v>
      </c>
      <c r="D4519">
        <v>4.7401339999999896</v>
      </c>
      <c r="E4519">
        <v>0.71714469999999997</v>
      </c>
      <c r="F4519" t="s">
        <v>42</v>
      </c>
      <c r="G4519">
        <v>-296.62200000000001</v>
      </c>
      <c r="H4519" s="1">
        <v>-1.060949E-6</v>
      </c>
      <c r="I4519">
        <v>-19.875419999999998</v>
      </c>
      <c r="J4519">
        <v>-309.84820000000002</v>
      </c>
      <c r="K4519">
        <v>1.0466249999999999</v>
      </c>
      <c r="L4519">
        <v>10.33615</v>
      </c>
      <c r="M4519">
        <v>0.82510169999999905</v>
      </c>
      <c r="N4519">
        <v>0</v>
      </c>
      <c r="O4519">
        <v>-0.5648552</v>
      </c>
      <c r="P4519">
        <v>0.79598570000000002</v>
      </c>
      <c r="Q4519">
        <v>0.1213549</v>
      </c>
      <c r="R4519">
        <v>-0.59302600000000005</v>
      </c>
      <c r="S4519">
        <v>1.412903</v>
      </c>
      <c r="T4519">
        <v>-0.1108087</v>
      </c>
      <c r="U4519">
        <v>-3.2074280000000002</v>
      </c>
      <c r="V4519">
        <v>4.2423259999999997E-2</v>
      </c>
      <c r="W4519">
        <v>0.13247419999999999</v>
      </c>
      <c r="X4519">
        <v>0.9902782</v>
      </c>
      <c r="Y4519">
        <v>0.52740310000000001</v>
      </c>
      <c r="Z4519">
        <v>1.041748E-2</v>
      </c>
      <c r="AA4519">
        <v>0.84955130000000001</v>
      </c>
      <c r="AB4519">
        <v>30</v>
      </c>
      <c r="AC4519">
        <v>13.2262</v>
      </c>
      <c r="AD4519">
        <v>-1.0466260609489999</v>
      </c>
      <c r="AE4519">
        <v>-30.211569999999998</v>
      </c>
      <c r="AF4519">
        <v>17.4404377646859</v>
      </c>
      <c r="AG4519">
        <v>-1.0466260609489999</v>
      </c>
      <c r="AH4519">
        <v>27.952010874494</v>
      </c>
      <c r="AI4519">
        <v>91.819518520319605</v>
      </c>
      <c r="AJ4519">
        <v>58.0382224749873</v>
      </c>
      <c r="AK4519">
        <v>32.963300918797103</v>
      </c>
      <c r="AL4519">
        <v>82.3874098683401</v>
      </c>
      <c r="AM4519">
        <v>87.546963643966393</v>
      </c>
      <c r="AN4519">
        <v>1.0000000300249501</v>
      </c>
    </row>
    <row r="4520" spans="1:40" x14ac:dyDescent="0.3">
      <c r="A4520" t="str">
        <f>"20200111150118071"</f>
        <v>20200111150118071</v>
      </c>
      <c r="B4520" t="str">
        <f>"1578726078062581"</f>
        <v>1578726078062581</v>
      </c>
      <c r="C4520" t="s">
        <v>40</v>
      </c>
      <c r="D4520">
        <v>4.7329150000000002</v>
      </c>
      <c r="E4520">
        <v>0.71678059999999999</v>
      </c>
      <c r="F4520" t="s">
        <v>42</v>
      </c>
      <c r="G4520">
        <v>-297.13839999999999</v>
      </c>
      <c r="H4520" s="1">
        <v>-1.2014649999999999E-6</v>
      </c>
      <c r="I4520">
        <v>-19.058800000000002</v>
      </c>
      <c r="J4520">
        <v>-309.60969999999998</v>
      </c>
      <c r="K4520">
        <v>1.0463089999999999</v>
      </c>
      <c r="L4520">
        <v>10.159520000000001</v>
      </c>
      <c r="M4520">
        <v>0.81883600000000001</v>
      </c>
      <c r="N4520">
        <v>0</v>
      </c>
      <c r="O4520">
        <v>-0.5739012</v>
      </c>
      <c r="P4520">
        <v>0.78690899999999997</v>
      </c>
      <c r="Q4520">
        <v>0.12144000000000001</v>
      </c>
      <c r="R4520">
        <v>-0.60500169999999998</v>
      </c>
      <c r="S4520">
        <v>1.3904719999999999</v>
      </c>
      <c r="T4520">
        <v>-0.1145024</v>
      </c>
      <c r="U4520">
        <v>-3.2158509999999998</v>
      </c>
      <c r="V4520">
        <v>4.6602329999999997E-2</v>
      </c>
      <c r="W4520">
        <v>0.13242319999999999</v>
      </c>
      <c r="X4520">
        <v>0.99009709999999995</v>
      </c>
      <c r="Y4520">
        <v>0.52385289999999995</v>
      </c>
      <c r="Z4520">
        <v>1.1182539999999999E-2</v>
      </c>
      <c r="AA4520">
        <v>0.85173529999999997</v>
      </c>
      <c r="AB4520">
        <v>30</v>
      </c>
      <c r="AC4520">
        <v>12.4712999999999</v>
      </c>
      <c r="AD4520">
        <v>-1.0463102014650001</v>
      </c>
      <c r="AE4520">
        <v>-29.218319999999999</v>
      </c>
      <c r="AF4520">
        <v>16.7507639868128</v>
      </c>
      <c r="AG4520">
        <v>-1.0463102014650001</v>
      </c>
      <c r="AH4520">
        <v>26.953097791345499</v>
      </c>
      <c r="AI4520">
        <v>91.8884202254185</v>
      </c>
      <c r="AJ4520">
        <v>58.139947844586501</v>
      </c>
      <c r="AK4520">
        <v>31.751414767367901</v>
      </c>
      <c r="AL4520">
        <v>82.390357498813998</v>
      </c>
      <c r="AM4520">
        <v>87.305165710578606</v>
      </c>
      <c r="AN4520">
        <v>0.99999997424403897</v>
      </c>
    </row>
    <row r="4521" spans="1:40" x14ac:dyDescent="0.3">
      <c r="A4521" t="str">
        <f>"20200111150118086"</f>
        <v>20200111150118086</v>
      </c>
      <c r="B4521" t="str">
        <f>"1578726078082101"</f>
        <v>1578726078082101</v>
      </c>
      <c r="C4521" t="s">
        <v>40</v>
      </c>
      <c r="D4521">
        <v>4.7550109999999997</v>
      </c>
      <c r="E4521">
        <v>0.69676879999999997</v>
      </c>
      <c r="F4521" t="s">
        <v>42</v>
      </c>
      <c r="G4521">
        <v>-297.30810000000002</v>
      </c>
      <c r="H4521" s="1">
        <v>-1.016273E-6</v>
      </c>
      <c r="I4521">
        <v>-19.470269999999999</v>
      </c>
      <c r="J4521">
        <v>-309.44819999999999</v>
      </c>
      <c r="K4521">
        <v>1.0461009999999999</v>
      </c>
      <c r="L4521">
        <v>10.03745</v>
      </c>
      <c r="M4521">
        <v>0.81440290000000004</v>
      </c>
      <c r="N4521">
        <v>0</v>
      </c>
      <c r="O4521">
        <v>-0.58017479999999999</v>
      </c>
      <c r="P4521">
        <v>0.78101399999999999</v>
      </c>
      <c r="Q4521">
        <v>0.1214903</v>
      </c>
      <c r="R4521">
        <v>-0.61258230000000002</v>
      </c>
      <c r="S4521">
        <v>1.343018</v>
      </c>
      <c r="T4521">
        <v>-0.11422980000000001</v>
      </c>
      <c r="U4521">
        <v>-3.2348020000000002</v>
      </c>
      <c r="V4521">
        <v>4.8632769999999999E-2</v>
      </c>
      <c r="W4521">
        <v>0.13240189999999999</v>
      </c>
      <c r="X4521">
        <v>0.9900023</v>
      </c>
      <c r="Y4521">
        <v>0.52971800000000002</v>
      </c>
      <c r="Z4521">
        <v>1.13057E-2</v>
      </c>
      <c r="AA4521">
        <v>0.84809849999999998</v>
      </c>
      <c r="AB4521">
        <v>30</v>
      </c>
      <c r="AC4521">
        <v>12.140099999999901</v>
      </c>
      <c r="AD4521">
        <v>-1.0461020162729999</v>
      </c>
      <c r="AE4521">
        <v>-29.507719999999999</v>
      </c>
      <c r="AF4521">
        <v>16.970783721196401</v>
      </c>
      <c r="AG4521">
        <v>-1.0461020162729999</v>
      </c>
      <c r="AH4521">
        <v>26.979528024628198</v>
      </c>
      <c r="AI4521">
        <v>91.879813670686602</v>
      </c>
      <c r="AJ4521">
        <v>57.829101973919997</v>
      </c>
      <c r="AK4521">
        <v>31.8903866701514</v>
      </c>
      <c r="AL4521">
        <v>82.391588797654506</v>
      </c>
      <c r="AM4521">
        <v>87.187668832524807</v>
      </c>
      <c r="AN4521">
        <v>0.999999981723386</v>
      </c>
    </row>
    <row r="4522" spans="1:40" x14ac:dyDescent="0.3">
      <c r="A4522" t="str">
        <f>"20200111150118100"</f>
        <v>20200111150118100</v>
      </c>
      <c r="B4522" t="str">
        <f>"1578726078091861"</f>
        <v>1578726078091861</v>
      </c>
      <c r="C4522" t="s">
        <v>40</v>
      </c>
      <c r="D4522">
        <v>4.7454210000000003</v>
      </c>
      <c r="E4522">
        <v>0.69601820000000003</v>
      </c>
      <c r="F4522" t="s">
        <v>42</v>
      </c>
      <c r="G4522">
        <v>-302.22109999999998</v>
      </c>
      <c r="H4522" s="1">
        <v>-2.257371E-6</v>
      </c>
      <c r="I4522">
        <v>-5.9374640000000003</v>
      </c>
      <c r="J4522">
        <v>-309.28980000000001</v>
      </c>
      <c r="K4522">
        <v>1.0459000000000001</v>
      </c>
      <c r="L4522">
        <v>9.9158939999999998</v>
      </c>
      <c r="M4522">
        <v>0.80991029999999997</v>
      </c>
      <c r="N4522">
        <v>0</v>
      </c>
      <c r="O4522">
        <v>-0.58643049999999997</v>
      </c>
      <c r="P4522">
        <v>0.77502599999999999</v>
      </c>
      <c r="Q4522">
        <v>0.1213224</v>
      </c>
      <c r="R4522">
        <v>-0.620174</v>
      </c>
      <c r="S4522">
        <v>1.416779</v>
      </c>
      <c r="T4522">
        <v>-0.20507359999999999</v>
      </c>
      <c r="U4522">
        <v>-3.131653</v>
      </c>
      <c r="V4522">
        <v>5.0704430000000002E-2</v>
      </c>
      <c r="W4522">
        <v>0.1321637</v>
      </c>
      <c r="X4522">
        <v>0.98993019999999998</v>
      </c>
      <c r="Y4522">
        <v>0.49624740000000001</v>
      </c>
      <c r="Z4522">
        <v>2.2127399999999998E-2</v>
      </c>
      <c r="AA4522">
        <v>0.86789910000000003</v>
      </c>
      <c r="AB4522">
        <v>30</v>
      </c>
      <c r="AC4522">
        <v>7.06870000000003</v>
      </c>
      <c r="AD4522">
        <v>-1.045902257371</v>
      </c>
      <c r="AE4522">
        <v>-15.853357999999901</v>
      </c>
      <c r="AF4522">
        <v>8.6636700978842107</v>
      </c>
      <c r="AG4522">
        <v>-1.045902257371</v>
      </c>
      <c r="AH4522">
        <v>14.968645045253099</v>
      </c>
      <c r="AI4522">
        <v>93.460690624297996</v>
      </c>
      <c r="AJ4522">
        <v>59.9382623541062</v>
      </c>
      <c r="AK4522">
        <v>17.326668046330401</v>
      </c>
      <c r="AL4522">
        <v>82.405357730431803</v>
      </c>
      <c r="AM4522">
        <v>87.067860673014707</v>
      </c>
      <c r="AN4522">
        <v>0.99999999184567701</v>
      </c>
    </row>
    <row r="4523" spans="1:40" x14ac:dyDescent="0.3">
      <c r="A4523" t="str">
        <f>"20200111150118115"</f>
        <v>20200111150118115</v>
      </c>
      <c r="B4523" t="str">
        <f>"1578726078112358"</f>
        <v>1578726078112358</v>
      </c>
      <c r="C4523" t="s">
        <v>40</v>
      </c>
      <c r="D4523">
        <v>5.0329569999999997</v>
      </c>
      <c r="E4523">
        <v>0.6780368</v>
      </c>
      <c r="F4523" t="s">
        <v>42</v>
      </c>
      <c r="G4523">
        <v>-302.18549999999999</v>
      </c>
      <c r="H4523" s="1">
        <v>-2.1519940000000002E-6</v>
      </c>
      <c r="I4523">
        <v>-6.1403679999999996</v>
      </c>
      <c r="J4523">
        <v>-309.13200000000001</v>
      </c>
      <c r="K4523">
        <v>1.0457019999999999</v>
      </c>
      <c r="L4523">
        <v>9.7920230000000004</v>
      </c>
      <c r="M4523">
        <v>0.80524079999999998</v>
      </c>
      <c r="N4523">
        <v>0</v>
      </c>
      <c r="O4523">
        <v>-0.59282550000000001</v>
      </c>
      <c r="P4523">
        <v>0.7686423</v>
      </c>
      <c r="Q4523">
        <v>0.1212744</v>
      </c>
      <c r="R4523">
        <v>-0.62807769999999996</v>
      </c>
      <c r="S4523">
        <v>1.389648</v>
      </c>
      <c r="T4523">
        <v>-0.20458570000000001</v>
      </c>
      <c r="U4523">
        <v>-3.140717</v>
      </c>
      <c r="V4523">
        <v>5.3053820000000002E-2</v>
      </c>
      <c r="W4523">
        <v>0.132047</v>
      </c>
      <c r="X4523">
        <v>0.98982270000000006</v>
      </c>
      <c r="Y4523">
        <v>0.49656939999999999</v>
      </c>
      <c r="Z4523">
        <v>2.253749E-2</v>
      </c>
      <c r="AA4523">
        <v>0.86770440000000004</v>
      </c>
      <c r="AB4523">
        <v>30</v>
      </c>
      <c r="AC4523">
        <v>6.9465000000000101</v>
      </c>
      <c r="AD4523">
        <v>-1.045704151994</v>
      </c>
      <c r="AE4523">
        <v>-15.932391000000001</v>
      </c>
      <c r="AF4523">
        <v>8.6805602254794891</v>
      </c>
      <c r="AG4523">
        <v>-1.045704151994</v>
      </c>
      <c r="AH4523">
        <v>14.9855811512315</v>
      </c>
      <c r="AI4523">
        <v>93.455428757656307</v>
      </c>
      <c r="AJ4523">
        <v>59.917967475522801</v>
      </c>
      <c r="AK4523">
        <v>17.349733872363</v>
      </c>
      <c r="AL4523">
        <v>82.412103694543902</v>
      </c>
      <c r="AM4523">
        <v>86.931921223384805</v>
      </c>
      <c r="AN4523">
        <v>1.00000004773044</v>
      </c>
    </row>
    <row r="4524" spans="1:40" x14ac:dyDescent="0.3">
      <c r="A4524" t="str">
        <f>"20200111150118132"</f>
        <v>20200111150118132</v>
      </c>
      <c r="B4524" t="str">
        <f>"1578726078122118"</f>
        <v>1578726078122118</v>
      </c>
      <c r="C4524" t="s">
        <v>40</v>
      </c>
      <c r="D4524">
        <v>4.765282</v>
      </c>
      <c r="E4524">
        <v>0.68329640000000003</v>
      </c>
      <c r="F4524" t="s">
        <v>42</v>
      </c>
      <c r="G4524">
        <v>-303.9622</v>
      </c>
      <c r="H4524" s="1">
        <v>-4.7324459999999998E-6</v>
      </c>
      <c r="I4524">
        <v>-1.0564420000000001</v>
      </c>
      <c r="J4524">
        <v>-308.9631</v>
      </c>
      <c r="K4524">
        <v>1.0454950000000001</v>
      </c>
      <c r="L4524">
        <v>9.6572270000000007</v>
      </c>
      <c r="M4524">
        <v>0.80007229999999996</v>
      </c>
      <c r="N4524">
        <v>0</v>
      </c>
      <c r="O4524">
        <v>-0.59978279999999995</v>
      </c>
      <c r="P4524">
        <v>0.76077059999999996</v>
      </c>
      <c r="Q4524">
        <v>0.1213699</v>
      </c>
      <c r="R4524">
        <v>-0.63757180000000002</v>
      </c>
      <c r="S4524">
        <v>1.454834</v>
      </c>
      <c r="T4524">
        <v>-0.29427429999999999</v>
      </c>
      <c r="U4524">
        <v>-3.0528870000000001</v>
      </c>
      <c r="V4524">
        <v>5.6836869999999998E-2</v>
      </c>
      <c r="W4524">
        <v>0.1320422</v>
      </c>
      <c r="X4524">
        <v>0.98961330000000003</v>
      </c>
      <c r="Y4524">
        <v>0.46443400000000001</v>
      </c>
      <c r="Z4524">
        <v>3.4955239999999999E-2</v>
      </c>
      <c r="AA4524">
        <v>0.88491759999999997</v>
      </c>
      <c r="AB4524">
        <v>30</v>
      </c>
      <c r="AC4524">
        <v>5.0008999999999997</v>
      </c>
      <c r="AD4524">
        <v>-1.045499732446</v>
      </c>
      <c r="AE4524">
        <v>-10.713668999999999</v>
      </c>
      <c r="AF4524">
        <v>5.52942368780751</v>
      </c>
      <c r="AG4524">
        <v>-1.045499732446</v>
      </c>
      <c r="AH4524">
        <v>10.3468069881239</v>
      </c>
      <c r="AI4524">
        <v>95.092637093087006</v>
      </c>
      <c r="AJ4524">
        <v>61.879565060598999</v>
      </c>
      <c r="AK4524">
        <v>11.778115760142599</v>
      </c>
      <c r="AL4524">
        <v>82.412380992743806</v>
      </c>
      <c r="AM4524">
        <v>86.712918873820897</v>
      </c>
      <c r="AN4524">
        <v>1.00000002795456</v>
      </c>
    </row>
    <row r="4525" spans="1:40" x14ac:dyDescent="0.3">
      <c r="A4525" t="str">
        <f>"20200111150118312"</f>
        <v>20200111150118312</v>
      </c>
      <c r="B4525" t="str">
        <f>"1578726078302282"</f>
        <v>1578726078302282</v>
      </c>
      <c r="C4525" t="s">
        <v>40</v>
      </c>
      <c r="D4525">
        <v>5.3784749999999999</v>
      </c>
      <c r="E4525">
        <v>0.75572839999999997</v>
      </c>
      <c r="F4525" t="s">
        <v>42</v>
      </c>
      <c r="G4525">
        <v>-303.44690000000003</v>
      </c>
      <c r="H4525" s="1">
        <v>-4.0221279999999999E-6</v>
      </c>
      <c r="I4525">
        <v>-2.6681050000000002</v>
      </c>
      <c r="J4525">
        <v>-307.14550000000003</v>
      </c>
      <c r="K4525">
        <v>1.043283</v>
      </c>
      <c r="L4525">
        <v>8.0174869999999991</v>
      </c>
      <c r="M4525">
        <v>0.72959680000000005</v>
      </c>
      <c r="N4525">
        <v>0</v>
      </c>
      <c r="O4525">
        <v>-0.68376459999999994</v>
      </c>
      <c r="P4525">
        <v>0.67249440000000005</v>
      </c>
      <c r="Q4525">
        <v>0.13318459999999999</v>
      </c>
      <c r="R4525">
        <v>-0.72802040000000001</v>
      </c>
      <c r="S4525">
        <v>1.3873599999999999</v>
      </c>
      <c r="T4525">
        <v>-0.26295089999999999</v>
      </c>
      <c r="U4525">
        <v>-3.0999150000000002</v>
      </c>
      <c r="V4525">
        <v>7.5383640000000002E-2</v>
      </c>
      <c r="W4525">
        <v>0.1434135</v>
      </c>
      <c r="X4525">
        <v>0.98678770000000005</v>
      </c>
      <c r="Y4525">
        <v>0.38705040000000002</v>
      </c>
      <c r="Z4525">
        <v>4.1474379999999998E-2</v>
      </c>
      <c r="AA4525">
        <v>0.92112539999999998</v>
      </c>
      <c r="AB4525">
        <v>30</v>
      </c>
      <c r="AC4525">
        <v>3.6985999999999901</v>
      </c>
      <c r="AD4525">
        <v>-1.043287022128</v>
      </c>
      <c r="AE4525">
        <v>-10.685592</v>
      </c>
      <c r="AF4525">
        <v>5.2231457524914999</v>
      </c>
      <c r="AG4525">
        <v>-1.043287022128</v>
      </c>
      <c r="AH4525">
        <v>9.92123258039787</v>
      </c>
      <c r="AI4525">
        <v>95.316051145799193</v>
      </c>
      <c r="AJ4525">
        <v>62.234927747355798</v>
      </c>
      <c r="AK4525">
        <v>11.2605752640199</v>
      </c>
      <c r="AL4525">
        <v>81.754581107900904</v>
      </c>
      <c r="AM4525">
        <v>85.631490274144198</v>
      </c>
      <c r="AN4525">
        <v>1.00000004501659</v>
      </c>
    </row>
    <row r="4526" spans="1:40" x14ac:dyDescent="0.3">
      <c r="A4526" t="str">
        <f>"20200111150118326"</f>
        <v>20200111150118326</v>
      </c>
      <c r="B4526" t="str">
        <f>"1578726078321802"</f>
        <v>1578726078321802</v>
      </c>
      <c r="C4526" t="s">
        <v>40</v>
      </c>
      <c r="D4526">
        <v>5.0953200000000001</v>
      </c>
      <c r="E4526">
        <v>0.76095389999999996</v>
      </c>
      <c r="F4526" t="s">
        <v>42</v>
      </c>
      <c r="G4526">
        <v>-301.9151</v>
      </c>
      <c r="H4526" s="1">
        <v>-2.1031790000000001E-6</v>
      </c>
      <c r="I4526">
        <v>-26.696110000000001</v>
      </c>
      <c r="J4526">
        <v>-307.01409999999998</v>
      </c>
      <c r="K4526">
        <v>1.043131</v>
      </c>
      <c r="L4526">
        <v>7.8827509999999998</v>
      </c>
      <c r="M4526">
        <v>0.72322030000000004</v>
      </c>
      <c r="N4526">
        <v>0</v>
      </c>
      <c r="O4526">
        <v>-0.69050509999999998</v>
      </c>
      <c r="P4526">
        <v>0.66559840000000003</v>
      </c>
      <c r="Q4526">
        <v>0.13353719999999999</v>
      </c>
      <c r="R4526">
        <v>-0.73426650000000004</v>
      </c>
      <c r="S4526">
        <v>0.5476685</v>
      </c>
      <c r="T4526">
        <v>-0.1092414</v>
      </c>
      <c r="U4526">
        <v>-3.634827</v>
      </c>
      <c r="V4526">
        <v>7.5552430000000004E-2</v>
      </c>
      <c r="W4526">
        <v>0.1437736</v>
      </c>
      <c r="X4526">
        <v>0.9867224</v>
      </c>
      <c r="Y4526">
        <v>0.61229270000000002</v>
      </c>
      <c r="Z4526">
        <v>1.316811E-2</v>
      </c>
      <c r="AA4526">
        <v>0.79052149999999999</v>
      </c>
      <c r="AB4526">
        <v>30</v>
      </c>
      <c r="AC4526">
        <v>5.0989999999999798</v>
      </c>
      <c r="AD4526">
        <v>-1.0431331031790001</v>
      </c>
      <c r="AE4526">
        <v>-34.578861000000003</v>
      </c>
      <c r="AF4526">
        <v>21.469792844901299</v>
      </c>
      <c r="AG4526">
        <v>-1.0431331031790001</v>
      </c>
      <c r="AH4526">
        <v>27.542187185151899</v>
      </c>
      <c r="AI4526">
        <v>91.710952894640002</v>
      </c>
      <c r="AJ4526">
        <v>52.062733495836497</v>
      </c>
      <c r="AK4526">
        <v>34.937261003345299</v>
      </c>
      <c r="AL4526">
        <v>81.733732935775095</v>
      </c>
      <c r="AM4526">
        <v>85.621458201886597</v>
      </c>
      <c r="AN4526">
        <v>1.0000000561988101</v>
      </c>
    </row>
    <row r="4527" spans="1:40" x14ac:dyDescent="0.3">
      <c r="A4527" t="str">
        <f>"20200111150118338"</f>
        <v>20200111150118338</v>
      </c>
      <c r="B4527" t="str">
        <f>"1578726078332538"</f>
        <v>1578726078332538</v>
      </c>
      <c r="C4527" t="s">
        <v>40</v>
      </c>
      <c r="D4527">
        <v>4.7137529999999996</v>
      </c>
      <c r="E4527">
        <v>0.76277099999999998</v>
      </c>
      <c r="F4527" t="s">
        <v>83</v>
      </c>
      <c r="G4527">
        <v>-299.69470000000001</v>
      </c>
      <c r="H4527" s="1">
        <v>-4.5116109999999901E-6</v>
      </c>
      <c r="I4527">
        <v>-47.889330000000001</v>
      </c>
      <c r="J4527">
        <v>-306.89409999999998</v>
      </c>
      <c r="K4527">
        <v>1.042999</v>
      </c>
      <c r="L4527">
        <v>7.7575989999999999</v>
      </c>
      <c r="M4527">
        <v>0.71722469999999905</v>
      </c>
      <c r="N4527">
        <v>0</v>
      </c>
      <c r="O4527">
        <v>-0.69672970000000001</v>
      </c>
      <c r="P4527">
        <v>0.65892620000000002</v>
      </c>
      <c r="Q4527">
        <v>0.1340519</v>
      </c>
      <c r="R4527">
        <v>-0.74016649999999995</v>
      </c>
      <c r="S4527">
        <v>0.48065190000000002</v>
      </c>
      <c r="T4527">
        <v>-6.8501290000000006E-2</v>
      </c>
      <c r="U4527">
        <v>-3.6624759999999998</v>
      </c>
      <c r="V4527">
        <v>7.5952389999999995E-2</v>
      </c>
      <c r="W4527">
        <v>0.1442879</v>
      </c>
      <c r="X4527">
        <v>0.98661659999999995</v>
      </c>
      <c r="Y4527">
        <v>0.62050590000000005</v>
      </c>
      <c r="Z4527">
        <v>8.2944439999999998E-3</v>
      </c>
      <c r="AA4527">
        <v>0.78415789999999996</v>
      </c>
      <c r="AB4527">
        <v>30</v>
      </c>
      <c r="AC4527">
        <v>7.1993999999999598</v>
      </c>
      <c r="AD4527">
        <v>-1.0430035116109999</v>
      </c>
      <c r="AE4527">
        <v>-55.646929</v>
      </c>
      <c r="AF4527">
        <v>34.885992250537399</v>
      </c>
      <c r="AG4527">
        <v>-1.0430035116109999</v>
      </c>
      <c r="AH4527">
        <v>43.922716521894301</v>
      </c>
      <c r="AI4527">
        <v>91.065277135626403</v>
      </c>
      <c r="AJ4527">
        <v>51.541340874683598</v>
      </c>
      <c r="AK4527">
        <v>56.101027961103199</v>
      </c>
      <c r="AL4527">
        <v>81.703955092531402</v>
      </c>
      <c r="AM4527">
        <v>85.597899744019699</v>
      </c>
      <c r="AN4527">
        <v>1.00000003951434</v>
      </c>
    </row>
    <row r="4528" spans="1:40" x14ac:dyDescent="0.3">
      <c r="A4528" t="str">
        <f>"20200111150118354"</f>
        <v>20200111150118354</v>
      </c>
      <c r="B4528" t="str">
        <f>"1578726078352058"</f>
        <v>1578726078352058</v>
      </c>
      <c r="C4528" t="s">
        <v>40</v>
      </c>
      <c r="D4528">
        <v>5.2649509999999999</v>
      </c>
      <c r="E4528">
        <v>0.76442779999999999</v>
      </c>
      <c r="F4528" t="s">
        <v>83</v>
      </c>
      <c r="G4528">
        <v>-298.30040000000002</v>
      </c>
      <c r="H4528" s="1">
        <v>-1.331678E-5</v>
      </c>
      <c r="I4528">
        <v>-64.691410000000005</v>
      </c>
      <c r="J4528">
        <v>-306.7457</v>
      </c>
      <c r="K4528">
        <v>1.0428280000000001</v>
      </c>
      <c r="L4528">
        <v>7.5987850000000003</v>
      </c>
      <c r="M4528">
        <v>0.70951640000000005</v>
      </c>
      <c r="N4528">
        <v>0</v>
      </c>
      <c r="O4528">
        <v>-0.70457700000000001</v>
      </c>
      <c r="P4528">
        <v>0.65071190000000001</v>
      </c>
      <c r="Q4528">
        <v>0.13401859999999999</v>
      </c>
      <c r="R4528">
        <v>-0.74740450000000003</v>
      </c>
      <c r="S4528">
        <v>0.43588260000000001</v>
      </c>
      <c r="T4528">
        <v>-5.2902579999999998E-2</v>
      </c>
      <c r="U4528">
        <v>-3.6746829999999999</v>
      </c>
      <c r="V4528">
        <v>7.6059730000000006E-2</v>
      </c>
      <c r="W4528">
        <v>0.1442705</v>
      </c>
      <c r="X4528">
        <v>0.98661080000000001</v>
      </c>
      <c r="Y4528">
        <v>0.62162629999999996</v>
      </c>
      <c r="Z4528">
        <v>6.5370389999999997E-3</v>
      </c>
      <c r="AA4528">
        <v>0.78328659999999894</v>
      </c>
      <c r="AB4528">
        <v>30</v>
      </c>
      <c r="AC4528">
        <v>8.4452999999999694</v>
      </c>
      <c r="AD4528">
        <v>-1.0428413167799999</v>
      </c>
      <c r="AE4528">
        <v>-72.290194999999997</v>
      </c>
      <c r="AF4528">
        <v>45.334983669373898</v>
      </c>
      <c r="AG4528">
        <v>-1.0428413167799999</v>
      </c>
      <c r="AH4528">
        <v>56.9188920704105</v>
      </c>
      <c r="AI4528">
        <v>90.821064523683802</v>
      </c>
      <c r="AJ4528">
        <v>51.463241107578</v>
      </c>
      <c r="AK4528">
        <v>72.774367306335407</v>
      </c>
      <c r="AL4528">
        <v>81.704961959490902</v>
      </c>
      <c r="AM4528">
        <v>85.591677152033</v>
      </c>
      <c r="AN4528">
        <v>0.99999996518728096</v>
      </c>
    </row>
    <row r="4529" spans="1:40" x14ac:dyDescent="0.3">
      <c r="A4529" t="str">
        <f>"20200111150118372"</f>
        <v>20200111150118372</v>
      </c>
      <c r="B4529" t="str">
        <f>"1578726078361818"</f>
        <v>1578726078361818</v>
      </c>
      <c r="C4529" t="s">
        <v>40</v>
      </c>
      <c r="D4529">
        <v>5.1747820000000004</v>
      </c>
      <c r="E4529">
        <v>0.7644415</v>
      </c>
      <c r="F4529" t="s">
        <v>83</v>
      </c>
      <c r="G4529">
        <v>-300.31869999999998</v>
      </c>
      <c r="H4529" s="1">
        <v>-7.1952390000000002E-6</v>
      </c>
      <c r="I4529">
        <v>-53.943820000000002</v>
      </c>
      <c r="J4529">
        <v>-306.58800000000002</v>
      </c>
      <c r="K4529">
        <v>1.0426569999999999</v>
      </c>
      <c r="L4529">
        <v>7.4260859999999997</v>
      </c>
      <c r="M4529">
        <v>0.70102379999999997</v>
      </c>
      <c r="N4529">
        <v>0</v>
      </c>
      <c r="O4529">
        <v>-0.71302639999999995</v>
      </c>
      <c r="P4529">
        <v>0.64118739999999996</v>
      </c>
      <c r="Q4529">
        <v>0.13413810000000001</v>
      </c>
      <c r="R4529">
        <v>-0.75557010000000002</v>
      </c>
      <c r="S4529">
        <v>0.38531490000000002</v>
      </c>
      <c r="T4529">
        <v>-6.2520619999999999E-2</v>
      </c>
      <c r="U4529">
        <v>-3.6896360000000001</v>
      </c>
      <c r="V4529">
        <v>7.6796439999999994E-2</v>
      </c>
      <c r="W4529">
        <v>0.1443894</v>
      </c>
      <c r="X4529">
        <v>0.98653639999999998</v>
      </c>
      <c r="Y4529">
        <v>0.62321300000000002</v>
      </c>
      <c r="Z4529">
        <v>7.8848540000000002E-3</v>
      </c>
      <c r="AA4529">
        <v>0.7820125</v>
      </c>
      <c r="AB4529">
        <v>30</v>
      </c>
      <c r="AC4529">
        <v>6.2692999999999799</v>
      </c>
      <c r="AD4529">
        <v>-1.0426641952389999</v>
      </c>
      <c r="AE4529">
        <v>-61.369905999999901</v>
      </c>
      <c r="AF4529">
        <v>38.543642343073401</v>
      </c>
      <c r="AG4529">
        <v>-1.0426641952389999</v>
      </c>
      <c r="AH4529">
        <v>48.1433666663686</v>
      </c>
      <c r="AI4529">
        <v>90.9685899069935</v>
      </c>
      <c r="AJ4529">
        <v>51.319190326187801</v>
      </c>
      <c r="AK4529">
        <v>61.680493412968197</v>
      </c>
      <c r="AL4529">
        <v>81.698077951353199</v>
      </c>
      <c r="AM4529">
        <v>85.548814838691001</v>
      </c>
      <c r="AN4529">
        <v>1.00000003027699</v>
      </c>
    </row>
    <row r="4530" spans="1:40" x14ac:dyDescent="0.3">
      <c r="A4530" t="str">
        <f>"20200111150118386"</f>
        <v>20200111150118386</v>
      </c>
      <c r="B4530" t="str">
        <f>"1578726078381928"</f>
        <v>1578726078381928</v>
      </c>
      <c r="C4530" t="s">
        <v>40</v>
      </c>
      <c r="D4530">
        <v>5.1239039999999996</v>
      </c>
      <c r="E4530">
        <v>0.76519429999999999</v>
      </c>
      <c r="F4530" t="s">
        <v>83</v>
      </c>
      <c r="G4530">
        <v>-299.50319999999999</v>
      </c>
      <c r="H4530">
        <v>4.2300440000000002E-2</v>
      </c>
      <c r="I4530">
        <v>-70.383709999999994</v>
      </c>
      <c r="J4530">
        <v>-306.45299999999997</v>
      </c>
      <c r="K4530">
        <v>1.042505</v>
      </c>
      <c r="L4530">
        <v>7.2750849999999998</v>
      </c>
      <c r="M4530">
        <v>0.69351219999999902</v>
      </c>
      <c r="N4530">
        <v>0</v>
      </c>
      <c r="O4530">
        <v>-0.72033380000000002</v>
      </c>
      <c r="P4530">
        <v>0.63294130000000004</v>
      </c>
      <c r="Q4530">
        <v>0.1346347</v>
      </c>
      <c r="R4530">
        <v>-0.76240319999999995</v>
      </c>
      <c r="S4530">
        <v>0.33630369999999998</v>
      </c>
      <c r="T4530">
        <v>-4.7485409999999999E-2</v>
      </c>
      <c r="U4530">
        <v>-3.6935120000000001</v>
      </c>
      <c r="V4530">
        <v>7.7181600000000003E-2</v>
      </c>
      <c r="W4530">
        <v>0.1448914</v>
      </c>
      <c r="X4530">
        <v>0.98643270000000005</v>
      </c>
      <c r="Y4530">
        <v>0.62538199999999999</v>
      </c>
      <c r="Z4530">
        <v>6.1037729999999998E-3</v>
      </c>
      <c r="AA4530">
        <v>0.78029490000000001</v>
      </c>
      <c r="AB4530">
        <v>30</v>
      </c>
      <c r="AC4530">
        <v>6.9497999999999802</v>
      </c>
      <c r="AD4530">
        <v>-1.00020456</v>
      </c>
      <c r="AE4530">
        <v>-77.658794999999998</v>
      </c>
      <c r="AF4530">
        <v>48.8470171779407</v>
      </c>
      <c r="AG4530">
        <v>-1.00020456</v>
      </c>
      <c r="AH4530">
        <v>60.754890742793698</v>
      </c>
      <c r="AI4530">
        <v>90.735082872179007</v>
      </c>
      <c r="AJ4530">
        <v>51.200669661728803</v>
      </c>
      <c r="AK4530">
        <v>77.962736262349694</v>
      </c>
      <c r="AL4530">
        <v>81.669009497242598</v>
      </c>
      <c r="AM4530">
        <v>85.526112669871594</v>
      </c>
      <c r="AN4530">
        <v>0.99999999440090503</v>
      </c>
    </row>
    <row r="4531" spans="1:40" x14ac:dyDescent="0.3">
      <c r="A4531" t="str">
        <f>"20200111150118400"</f>
        <v>20200111150118400</v>
      </c>
      <c r="B4531" t="str">
        <f>"1578726078392664"</f>
        <v>1578726078392664</v>
      </c>
      <c r="C4531" t="s">
        <v>40</v>
      </c>
      <c r="D4531">
        <v>5.1905109999999999</v>
      </c>
      <c r="E4531">
        <v>0.76501790000000003</v>
      </c>
      <c r="F4531" t="s">
        <v>92</v>
      </c>
      <c r="G4531">
        <v>-298.68889999999999</v>
      </c>
      <c r="H4531">
        <v>0.1912365</v>
      </c>
      <c r="I4531">
        <v>-91.564989999999995</v>
      </c>
      <c r="J4531">
        <v>-306.33120000000002</v>
      </c>
      <c r="K4531">
        <v>1.042376</v>
      </c>
      <c r="L4531">
        <v>7.1365660000000002</v>
      </c>
      <c r="M4531">
        <v>0.68655059999999901</v>
      </c>
      <c r="N4531">
        <v>0</v>
      </c>
      <c r="O4531">
        <v>-0.72697109999999998</v>
      </c>
      <c r="P4531">
        <v>0.62490029999999996</v>
      </c>
      <c r="Q4531">
        <v>0.1357256</v>
      </c>
      <c r="R4531">
        <v>-0.76881630000000001</v>
      </c>
      <c r="S4531">
        <v>0.29058840000000002</v>
      </c>
      <c r="T4531">
        <v>-3.1860109999999997E-2</v>
      </c>
      <c r="U4531">
        <v>-3.6993100000000001</v>
      </c>
      <c r="V4531">
        <v>7.7999669999999993E-2</v>
      </c>
      <c r="W4531">
        <v>0.14597179999999901</v>
      </c>
      <c r="X4531">
        <v>0.986209</v>
      </c>
      <c r="Y4531">
        <v>0.62756069999999997</v>
      </c>
      <c r="Z4531">
        <v>4.1620590000000001E-3</v>
      </c>
      <c r="AA4531">
        <v>0.77855649999999998</v>
      </c>
      <c r="AB4531">
        <v>30</v>
      </c>
      <c r="AC4531">
        <v>7.6423000000000298</v>
      </c>
      <c r="AD4531">
        <v>-0.85113949999999905</v>
      </c>
      <c r="AE4531">
        <v>-98.701555999999997</v>
      </c>
      <c r="AF4531">
        <v>62.208300331175302</v>
      </c>
      <c r="AG4531">
        <v>-0.85113949999999905</v>
      </c>
      <c r="AH4531">
        <v>77.000523113512202</v>
      </c>
      <c r="AI4531">
        <v>90.492632244624701</v>
      </c>
      <c r="AJ4531">
        <v>51.065445541833199</v>
      </c>
      <c r="AK4531">
        <v>98.993321129744402</v>
      </c>
      <c r="AL4531">
        <v>81.606441586909298</v>
      </c>
      <c r="AM4531">
        <v>85.477866959324899</v>
      </c>
      <c r="AN4531">
        <v>0.99999995329817304</v>
      </c>
    </row>
    <row r="4532" spans="1:40" x14ac:dyDescent="0.3">
      <c r="A4532" t="str">
        <f>"20200111150118414"</f>
        <v>20200111150118414</v>
      </c>
      <c r="B4532" t="str">
        <f>"1578726078412185"</f>
        <v>1578726078412185</v>
      </c>
      <c r="C4532" t="s">
        <v>40</v>
      </c>
      <c r="D4532">
        <v>5.0943139999999998</v>
      </c>
      <c r="E4532">
        <v>0.76474439999999999</v>
      </c>
      <c r="F4532" t="s">
        <v>92</v>
      </c>
      <c r="G4532">
        <v>-299.62599999999998</v>
      </c>
      <c r="H4532">
        <v>0.3724422</v>
      </c>
      <c r="I4532">
        <v>-90.976820000000004</v>
      </c>
      <c r="J4532">
        <v>-306.2056</v>
      </c>
      <c r="K4532">
        <v>1.042252</v>
      </c>
      <c r="L4532">
        <v>6.9893489999999998</v>
      </c>
      <c r="M4532">
        <v>0.67909359999999996</v>
      </c>
      <c r="N4532">
        <v>0</v>
      </c>
      <c r="O4532">
        <v>-0.73394119999999996</v>
      </c>
      <c r="P4532">
        <v>0.61624259999999997</v>
      </c>
      <c r="Q4532">
        <v>0.13695950000000001</v>
      </c>
      <c r="R4532">
        <v>-0.77555629999999998</v>
      </c>
      <c r="S4532">
        <v>0.25292969999999998</v>
      </c>
      <c r="T4532">
        <v>-2.5270219999999999E-2</v>
      </c>
      <c r="U4532">
        <v>-3.700958</v>
      </c>
      <c r="V4532">
        <v>7.8923240000000006E-2</v>
      </c>
      <c r="W4532">
        <v>0.14719579999999999</v>
      </c>
      <c r="X4532">
        <v>0.98595359999999999</v>
      </c>
      <c r="Y4532">
        <v>0.62752059999999998</v>
      </c>
      <c r="Z4532">
        <v>3.3677569999999999E-3</v>
      </c>
      <c r="AA4532">
        <v>0.77859269999999903</v>
      </c>
      <c r="AB4532">
        <v>30</v>
      </c>
      <c r="AC4532">
        <v>6.5796000000000197</v>
      </c>
      <c r="AD4532">
        <v>-0.66980979999999901</v>
      </c>
      <c r="AE4532">
        <v>-97.966168999999994</v>
      </c>
      <c r="AF4532">
        <v>61.701291816330198</v>
      </c>
      <c r="AG4532">
        <v>-0.66980979999999901</v>
      </c>
      <c r="AH4532">
        <v>76.372211996169497</v>
      </c>
      <c r="AI4532">
        <v>90.390871663972305</v>
      </c>
      <c r="AJ4532">
        <v>51.065172912803</v>
      </c>
      <c r="AK4532">
        <v>98.184585461058802</v>
      </c>
      <c r="AL4532">
        <v>81.535546070404493</v>
      </c>
      <c r="AM4532">
        <v>85.423367624852204</v>
      </c>
      <c r="AN4532">
        <v>0.99999999135134798</v>
      </c>
    </row>
    <row r="4533" spans="1:40" x14ac:dyDescent="0.3">
      <c r="A4533" t="str">
        <f>"20200111150118427"</f>
        <v>20200111150118427</v>
      </c>
      <c r="B4533" t="str">
        <f>"1578726078421944"</f>
        <v>1578726078421944</v>
      </c>
      <c r="C4533" t="s">
        <v>40</v>
      </c>
      <c r="D4533">
        <v>5.0334529999999997</v>
      </c>
      <c r="E4533">
        <v>0.76457909999999996</v>
      </c>
      <c r="F4533" t="s">
        <v>92</v>
      </c>
      <c r="G4533">
        <v>-300.55079999999998</v>
      </c>
      <c r="H4533">
        <v>0.58901599999999998</v>
      </c>
      <c r="I4533">
        <v>-90.976820000000004</v>
      </c>
      <c r="J4533">
        <v>-306.08870000000002</v>
      </c>
      <c r="K4533">
        <v>1.042149</v>
      </c>
      <c r="L4533">
        <v>6.8499149999999904</v>
      </c>
      <c r="M4533">
        <v>0.67197719999999905</v>
      </c>
      <c r="N4533">
        <v>0</v>
      </c>
      <c r="O4533">
        <v>-0.74046160000000005</v>
      </c>
      <c r="P4533">
        <v>0.60760639999999999</v>
      </c>
      <c r="Q4533">
        <v>0.13925290000000001</v>
      </c>
      <c r="R4533">
        <v>-0.78193559999999995</v>
      </c>
      <c r="S4533">
        <v>0.2136536</v>
      </c>
      <c r="T4533">
        <v>-1.712406E-2</v>
      </c>
      <c r="U4533">
        <v>-3.7014469999999999</v>
      </c>
      <c r="V4533">
        <v>8.0175940000000001E-2</v>
      </c>
      <c r="W4533">
        <v>0.1494654</v>
      </c>
      <c r="X4533">
        <v>0.98551100000000003</v>
      </c>
      <c r="Y4533">
        <v>0.62824139999999995</v>
      </c>
      <c r="Z4533">
        <v>2.3234620000000001E-3</v>
      </c>
      <c r="AA4533">
        <v>0.77801509999999996</v>
      </c>
      <c r="AB4533">
        <v>30</v>
      </c>
      <c r="AC4533">
        <v>5.5379000000000298</v>
      </c>
      <c r="AD4533">
        <v>-0.45313300000000001</v>
      </c>
      <c r="AE4533">
        <v>-97.826734999999999</v>
      </c>
      <c r="AF4533">
        <v>61.640446953222401</v>
      </c>
      <c r="AG4533">
        <v>-0.45313300000000001</v>
      </c>
      <c r="AH4533">
        <v>76.162871996265196</v>
      </c>
      <c r="AI4533">
        <v>90.264973350457893</v>
      </c>
      <c r="AJ4533">
        <v>51.015919563730897</v>
      </c>
      <c r="AK4533">
        <v>97.982310142332295</v>
      </c>
      <c r="AL4533">
        <v>81.404053092364407</v>
      </c>
      <c r="AM4533">
        <v>85.348962777291504</v>
      </c>
      <c r="AN4533">
        <v>1.00000000913652</v>
      </c>
    </row>
    <row r="4534" spans="1:40" x14ac:dyDescent="0.3">
      <c r="A4534" t="str">
        <f>"20200111150118450"</f>
        <v>20200111150118450</v>
      </c>
      <c r="B4534" t="str">
        <f>"1578726078442444"</f>
        <v>1578726078442444</v>
      </c>
      <c r="C4534" t="s">
        <v>40</v>
      </c>
      <c r="D4534">
        <v>5.0696459999999997</v>
      </c>
      <c r="E4534">
        <v>0.76335629999999999</v>
      </c>
      <c r="F4534" t="s">
        <v>92</v>
      </c>
      <c r="G4534">
        <v>-301.49459999999999</v>
      </c>
      <c r="H4534">
        <v>0.84313579999999999</v>
      </c>
      <c r="I4534">
        <v>-90.976820000000004</v>
      </c>
      <c r="J4534">
        <v>-305.89580000000001</v>
      </c>
      <c r="K4534">
        <v>1.0419849999999999</v>
      </c>
      <c r="L4534">
        <v>6.613861</v>
      </c>
      <c r="M4534">
        <v>0.65982790000000002</v>
      </c>
      <c r="N4534">
        <v>0</v>
      </c>
      <c r="O4534">
        <v>-0.75130719999999995</v>
      </c>
      <c r="P4534">
        <v>0.59520620000000002</v>
      </c>
      <c r="Q4534">
        <v>0.139867299999999</v>
      </c>
      <c r="R4534">
        <v>-0.79130739999999999</v>
      </c>
      <c r="S4534">
        <v>0.17388919999999999</v>
      </c>
      <c r="T4534">
        <v>-7.5323580000000003E-3</v>
      </c>
      <c r="U4534">
        <v>-3.7028500000000002</v>
      </c>
      <c r="V4534">
        <v>7.9663339999999999E-2</v>
      </c>
      <c r="W4534">
        <v>0.15012829999999999</v>
      </c>
      <c r="X4534">
        <v>0.98545179999999999</v>
      </c>
      <c r="Y4534">
        <v>0.62390950000000001</v>
      </c>
      <c r="Z4534">
        <v>1.057164E-3</v>
      </c>
      <c r="AA4534">
        <v>0.78149590000000002</v>
      </c>
      <c r="AB4534">
        <v>30</v>
      </c>
      <c r="AC4534">
        <v>4.40120000000001</v>
      </c>
      <c r="AD4534">
        <v>-0.198849199999999</v>
      </c>
      <c r="AE4534">
        <v>-97.590681000000004</v>
      </c>
      <c r="AF4534">
        <v>61.091176793109597</v>
      </c>
      <c r="AG4534">
        <v>-0.198849199999999</v>
      </c>
      <c r="AH4534">
        <v>76.230575335619704</v>
      </c>
      <c r="AI4534">
        <v>90.116626737913407</v>
      </c>
      <c r="AJ4534">
        <v>51.291316980919397</v>
      </c>
      <c r="AK4534">
        <v>97.689672120295796</v>
      </c>
      <c r="AL4534">
        <v>81.365638216867495</v>
      </c>
      <c r="AM4534">
        <v>85.378293258802401</v>
      </c>
      <c r="AN4534">
        <v>1.0000000021620401</v>
      </c>
    </row>
    <row r="4535" spans="1:40" x14ac:dyDescent="0.3">
      <c r="A4535" t="str">
        <f>"20200111150118465"</f>
        <v>20200111150118465</v>
      </c>
      <c r="B4535" t="str">
        <f>"1578726078461962"</f>
        <v>1578726078461962</v>
      </c>
      <c r="C4535" t="s">
        <v>40</v>
      </c>
      <c r="D4535">
        <v>5.0458939999999997</v>
      </c>
      <c r="E4535">
        <v>0.76275179999999998</v>
      </c>
      <c r="F4535" t="s">
        <v>92</v>
      </c>
      <c r="G4535">
        <v>-302.63319999999999</v>
      </c>
      <c r="H4535">
        <v>0.98364689999999999</v>
      </c>
      <c r="I4535">
        <v>-91.564989999999995</v>
      </c>
      <c r="J4535">
        <v>-305.76429999999999</v>
      </c>
      <c r="K4535">
        <v>1.041885</v>
      </c>
      <c r="L4535">
        <v>6.4484560000000002</v>
      </c>
      <c r="M4535">
        <v>0.65124579999999999</v>
      </c>
      <c r="N4535">
        <v>0</v>
      </c>
      <c r="O4535">
        <v>-0.75875749999999997</v>
      </c>
      <c r="P4535">
        <v>0.58701729999999996</v>
      </c>
      <c r="Q4535">
        <v>0.1391336</v>
      </c>
      <c r="R4535">
        <v>-0.79752919999999905</v>
      </c>
      <c r="S4535">
        <v>0.1229248</v>
      </c>
      <c r="T4535">
        <v>-2.1975039999999999E-3</v>
      </c>
      <c r="U4535">
        <v>-3.6991269999999998</v>
      </c>
      <c r="V4535">
        <v>7.8715450000000006E-2</v>
      </c>
      <c r="W4535">
        <v>0.1494499</v>
      </c>
      <c r="X4535">
        <v>0.98563100000000003</v>
      </c>
      <c r="Y4535">
        <v>0.62573829999999997</v>
      </c>
      <c r="Z4535">
        <v>3.1459959999999998E-4</v>
      </c>
      <c r="AA4535">
        <v>0.78003299999999998</v>
      </c>
      <c r="AB4535">
        <v>30</v>
      </c>
      <c r="AC4535">
        <v>3.1311</v>
      </c>
      <c r="AD4535">
        <v>-5.82380999999998E-2</v>
      </c>
      <c r="AE4535">
        <v>-98.013446000000002</v>
      </c>
      <c r="AF4535">
        <v>61.460178073373001</v>
      </c>
      <c r="AG4535">
        <v>-5.82380999999998E-2</v>
      </c>
      <c r="AH4535">
        <v>76.413867274501897</v>
      </c>
      <c r="AI4535">
        <v>90.0340269312114</v>
      </c>
      <c r="AJ4535">
        <v>51.190050051833602</v>
      </c>
      <c r="AK4535">
        <v>98.063428414124999</v>
      </c>
      <c r="AL4535">
        <v>81.404950592065006</v>
      </c>
      <c r="AM4535">
        <v>85.433878345734897</v>
      </c>
      <c r="AN4535">
        <v>0.99999993141985299</v>
      </c>
    </row>
    <row r="4536" spans="1:40" x14ac:dyDescent="0.3">
      <c r="A4536" t="str">
        <f>"20200111150118483"</f>
        <v>20200111150118483</v>
      </c>
      <c r="B4536" t="str">
        <f>"1578726078471720"</f>
        <v>1578726078471720</v>
      </c>
      <c r="C4536" t="s">
        <v>40</v>
      </c>
      <c r="D4536">
        <v>5.082014</v>
      </c>
      <c r="E4536">
        <v>0.74773650000000003</v>
      </c>
      <c r="F4536" t="s">
        <v>92</v>
      </c>
      <c r="G4536">
        <v>-303.43709999999999</v>
      </c>
      <c r="H4536">
        <v>0.91079759999999998</v>
      </c>
      <c r="I4536">
        <v>-91.564989999999995</v>
      </c>
      <c r="J4536">
        <v>-305.61810000000003</v>
      </c>
      <c r="K4536">
        <v>1.0417860000000001</v>
      </c>
      <c r="L4536">
        <v>6.2599489999999998</v>
      </c>
      <c r="M4536">
        <v>0.64140779999999997</v>
      </c>
      <c r="N4536">
        <v>0</v>
      </c>
      <c r="O4536">
        <v>-0.76709130000000003</v>
      </c>
      <c r="P4536">
        <v>0.57793329999999998</v>
      </c>
      <c r="Q4536">
        <v>0.13761029999999999</v>
      </c>
      <c r="R4536">
        <v>-0.80439850000000002</v>
      </c>
      <c r="S4536">
        <v>8.7799070000000007E-2</v>
      </c>
      <c r="T4536">
        <v>-4.9451590000000002E-3</v>
      </c>
      <c r="U4536">
        <v>-3.6978759999999999</v>
      </c>
      <c r="V4536">
        <v>7.7338030000000002E-2</v>
      </c>
      <c r="W4536">
        <v>0.14799799999999999</v>
      </c>
      <c r="X4536">
        <v>0.98595909999999998</v>
      </c>
      <c r="Y4536">
        <v>0.62307109999999899</v>
      </c>
      <c r="Z4536">
        <v>7.2580159999999997E-4</v>
      </c>
      <c r="AA4536">
        <v>0.78216490000000005</v>
      </c>
      <c r="AB4536">
        <v>30</v>
      </c>
      <c r="AC4536">
        <v>2.18100000000004</v>
      </c>
      <c r="AD4536">
        <v>-0.1309884</v>
      </c>
      <c r="AE4536">
        <v>-97.824939000000001</v>
      </c>
      <c r="AF4536">
        <v>61.077642666245303</v>
      </c>
      <c r="AG4536">
        <v>-0.1309884</v>
      </c>
      <c r="AH4536">
        <v>76.445815463362905</v>
      </c>
      <c r="AI4536">
        <v>90.076700552727303</v>
      </c>
      <c r="AJ4536">
        <v>51.376318126897502</v>
      </c>
      <c r="AK4536">
        <v>97.849160923765794</v>
      </c>
      <c r="AL4536">
        <v>81.489074174095194</v>
      </c>
      <c r="AM4536">
        <v>85.5149374544512</v>
      </c>
      <c r="AN4536">
        <v>0.99999996288054405</v>
      </c>
    </row>
    <row r="4537" spans="1:40" x14ac:dyDescent="0.3">
      <c r="A4537" t="str">
        <f>"20200111150118506"</f>
        <v>20200111150118506</v>
      </c>
      <c r="B4537" t="str">
        <f>"1578726078502573"</f>
        <v>1578726078502573</v>
      </c>
      <c r="C4537" t="s">
        <v>40</v>
      </c>
      <c r="D4537">
        <v>5.035952</v>
      </c>
      <c r="E4537">
        <v>0.74487669999999995</v>
      </c>
      <c r="F4537" t="s">
        <v>42</v>
      </c>
      <c r="G4537">
        <v>-304.58760000000001</v>
      </c>
      <c r="H4537" s="1">
        <v>-1.7134570000000001E-6</v>
      </c>
      <c r="I4537">
        <v>-19.262149999999998</v>
      </c>
      <c r="J4537">
        <v>-305.4314</v>
      </c>
      <c r="K4537">
        <v>1.0416799999999999</v>
      </c>
      <c r="L4537">
        <v>6.0108639999999998</v>
      </c>
      <c r="M4537">
        <v>0.62834319999999999</v>
      </c>
      <c r="N4537">
        <v>0</v>
      </c>
      <c r="O4537">
        <v>-0.77782819999999997</v>
      </c>
      <c r="P4537">
        <v>0.56498999999999999</v>
      </c>
      <c r="Q4537">
        <v>0.1362546</v>
      </c>
      <c r="R4537">
        <v>-0.81376959999999998</v>
      </c>
      <c r="S4537">
        <v>0.14733889999999999</v>
      </c>
      <c r="T4537">
        <v>-0.14895320000000001</v>
      </c>
      <c r="U4537">
        <v>-3.6491090000000002</v>
      </c>
      <c r="V4537">
        <v>7.6573219999999997E-2</v>
      </c>
      <c r="W4537">
        <v>0.146701</v>
      </c>
      <c r="X4537">
        <v>0.98621259999999999</v>
      </c>
      <c r="Y4537">
        <v>0.59645630000000005</v>
      </c>
      <c r="Z4537">
        <v>2.3230540000000001E-2</v>
      </c>
      <c r="AA4537">
        <v>0.8023093</v>
      </c>
      <c r="AB4537">
        <v>30</v>
      </c>
      <c r="AC4537">
        <v>0.843799999999987</v>
      </c>
      <c r="AD4537">
        <v>-1.041681713457</v>
      </c>
      <c r="AE4537">
        <v>-25.273014</v>
      </c>
      <c r="AF4537">
        <v>15.1992822785305</v>
      </c>
      <c r="AG4537">
        <v>-1.041681713457</v>
      </c>
      <c r="AH4537">
        <v>20.155752612340699</v>
      </c>
      <c r="AI4537">
        <v>92.362918568463698</v>
      </c>
      <c r="AJ4537">
        <v>52.980363322612298</v>
      </c>
      <c r="AK4537">
        <v>25.2657405580062</v>
      </c>
      <c r="AL4537">
        <v>81.564206955249006</v>
      </c>
      <c r="AM4537">
        <v>85.560249698094196</v>
      </c>
      <c r="AN4537">
        <v>0.999999966910463</v>
      </c>
    </row>
    <row r="4538" spans="1:40" x14ac:dyDescent="0.3">
      <c r="A4538" t="str">
        <f>"20200111150118527"</f>
        <v>20200111150118527</v>
      </c>
      <c r="B4538" t="str">
        <f>"1578726078522096"</f>
        <v>1578726078522096</v>
      </c>
      <c r="C4538" t="s">
        <v>40</v>
      </c>
      <c r="D4538">
        <v>4.9049639999999997</v>
      </c>
      <c r="E4538">
        <v>0.74141669999999904</v>
      </c>
      <c r="F4538" t="s">
        <v>42</v>
      </c>
      <c r="G4538">
        <v>-304.3913</v>
      </c>
      <c r="H4538" s="1">
        <v>-1.4595669999999999E-6</v>
      </c>
      <c r="I4538">
        <v>-29.732199999999999</v>
      </c>
      <c r="J4538">
        <v>-305.25439999999998</v>
      </c>
      <c r="K4538">
        <v>1.0416030000000001</v>
      </c>
      <c r="L4538">
        <v>5.7664489999999997</v>
      </c>
      <c r="M4538">
        <v>0.61545729999999998</v>
      </c>
      <c r="N4538">
        <v>0</v>
      </c>
      <c r="O4538">
        <v>-0.78806279999999995</v>
      </c>
      <c r="P4538">
        <v>0.55200950000000004</v>
      </c>
      <c r="Q4538">
        <v>0.13763989999999901</v>
      </c>
      <c r="R4538">
        <v>-0.82239930000000006</v>
      </c>
      <c r="S4538">
        <v>0.10565190000000001</v>
      </c>
      <c r="T4538">
        <v>-0.105818</v>
      </c>
      <c r="U4538">
        <v>-3.6309200000000001</v>
      </c>
      <c r="V4538">
        <v>7.5918230000000003E-2</v>
      </c>
      <c r="W4538">
        <v>0.14813380000000001</v>
      </c>
      <c r="X4538">
        <v>0.98604910000000001</v>
      </c>
      <c r="Y4538">
        <v>0.59230260000000001</v>
      </c>
      <c r="Z4538">
        <v>1.7071550000000001E-2</v>
      </c>
      <c r="AA4538">
        <v>0.80553469999999905</v>
      </c>
      <c r="AB4538">
        <v>30</v>
      </c>
      <c r="AC4538">
        <v>0.863099999999974</v>
      </c>
      <c r="AD4538">
        <v>-1.041604459567</v>
      </c>
      <c r="AE4538">
        <v>-35.498649</v>
      </c>
      <c r="AF4538">
        <v>21.151318471965499</v>
      </c>
      <c r="AG4538">
        <v>-1.041604459567</v>
      </c>
      <c r="AH4538">
        <v>28.484270519540399</v>
      </c>
      <c r="AI4538">
        <v>91.681644170443505</v>
      </c>
      <c r="AJ4538">
        <v>53.403847649878699</v>
      </c>
      <c r="AK4538">
        <v>35.4938991938482</v>
      </c>
      <c r="AL4538">
        <v>81.481207126080307</v>
      </c>
      <c r="AM4538">
        <v>85.597349387215004</v>
      </c>
      <c r="AN4538">
        <v>1.00000001397979</v>
      </c>
    </row>
    <row r="4539" spans="1:40" x14ac:dyDescent="0.3">
      <c r="A4539" t="str">
        <f>"20200111150118550"</f>
        <v>20200111150118550</v>
      </c>
      <c r="B4539" t="str">
        <f>"1578726078542597"</f>
        <v>1578726078542597</v>
      </c>
      <c r="C4539" t="s">
        <v>40</v>
      </c>
      <c r="D4539">
        <v>4.9410699999999999</v>
      </c>
      <c r="E4539">
        <v>0.74073169999999899</v>
      </c>
      <c r="F4539" t="s">
        <v>42</v>
      </c>
      <c r="G4539">
        <v>-304.57940000000002</v>
      </c>
      <c r="H4539" s="1">
        <v>-2.1603240000000001E-6</v>
      </c>
      <c r="I4539">
        <v>-28.21536</v>
      </c>
      <c r="J4539">
        <v>-305.0795</v>
      </c>
      <c r="K4539">
        <v>1.0415570000000001</v>
      </c>
      <c r="L4539">
        <v>5.5164179999999998</v>
      </c>
      <c r="M4539">
        <v>0.60222390000000003</v>
      </c>
      <c r="N4539">
        <v>0</v>
      </c>
      <c r="O4539">
        <v>-0.79822059999999995</v>
      </c>
      <c r="P4539">
        <v>0.53812329999999997</v>
      </c>
      <c r="Q4539">
        <v>0.1411741</v>
      </c>
      <c r="R4539">
        <v>-0.83095929999999996</v>
      </c>
      <c r="S4539">
        <v>7.1868899999999999E-2</v>
      </c>
      <c r="T4539">
        <v>-0.1109052</v>
      </c>
      <c r="U4539">
        <v>-3.6182249999999998</v>
      </c>
      <c r="V4539">
        <v>7.5805109999999995E-2</v>
      </c>
      <c r="W4539">
        <v>0.1516951</v>
      </c>
      <c r="X4539">
        <v>0.98551619999999995</v>
      </c>
      <c r="Y4539">
        <v>0.58627719999999905</v>
      </c>
      <c r="Z4539">
        <v>1.8478620000000001E-2</v>
      </c>
      <c r="AA4539">
        <v>0.809899699999999</v>
      </c>
      <c r="AB4539">
        <v>30</v>
      </c>
      <c r="AC4539">
        <v>0.50009999999997401</v>
      </c>
      <c r="AD4539">
        <v>-1.041559160324</v>
      </c>
      <c r="AE4539">
        <v>-33.731777999999998</v>
      </c>
      <c r="AF4539">
        <v>19.8976213842687</v>
      </c>
      <c r="AG4539">
        <v>-1.041559160324</v>
      </c>
      <c r="AH4539">
        <v>27.2029597229341</v>
      </c>
      <c r="AI4539">
        <v>91.770089394563698</v>
      </c>
      <c r="AJ4539">
        <v>53.8163734432827</v>
      </c>
      <c r="AK4539">
        <v>33.719448392933998</v>
      </c>
      <c r="AL4539">
        <v>81.274827117356097</v>
      </c>
      <c r="AM4539">
        <v>85.601515914255302</v>
      </c>
      <c r="AN4539">
        <v>0.99999999926428096</v>
      </c>
    </row>
    <row r="4540" spans="1:40" x14ac:dyDescent="0.3">
      <c r="A4540" t="str">
        <f>"20200111150118572"</f>
        <v>20200111150118572</v>
      </c>
      <c r="B4540" t="str">
        <f>"1578726078562110"</f>
        <v>1578726078562110</v>
      </c>
      <c r="C4540" t="s">
        <v>40</v>
      </c>
      <c r="D4540">
        <v>4.9718489999999997</v>
      </c>
      <c r="E4540">
        <v>0.74016479999999996</v>
      </c>
      <c r="F4540" t="s">
        <v>42</v>
      </c>
      <c r="G4540">
        <v>-304.90350000000001</v>
      </c>
      <c r="H4540" s="1">
        <v>-5.1253020000000003E-6</v>
      </c>
      <c r="I4540">
        <v>-30.508189999999999</v>
      </c>
      <c r="J4540">
        <v>-304.90730000000002</v>
      </c>
      <c r="K4540">
        <v>1.0415179999999999</v>
      </c>
      <c r="L4540">
        <v>5.2615049999999997</v>
      </c>
      <c r="M4540">
        <v>0.58869069999999901</v>
      </c>
      <c r="N4540">
        <v>0</v>
      </c>
      <c r="O4540">
        <v>-0.80825259999999999</v>
      </c>
      <c r="P4540">
        <v>0.52275280000000002</v>
      </c>
      <c r="Q4540">
        <v>0.14499609999999999</v>
      </c>
      <c r="R4540">
        <v>-0.84006340000000002</v>
      </c>
      <c r="S4540">
        <v>1.766968E-2</v>
      </c>
      <c r="T4540">
        <v>-0.1045661</v>
      </c>
      <c r="U4540">
        <v>-3.616638</v>
      </c>
      <c r="V4540">
        <v>7.7087619999999996E-2</v>
      </c>
      <c r="W4540">
        <v>0.155498</v>
      </c>
      <c r="X4540">
        <v>0.98482380000000003</v>
      </c>
      <c r="Y4540">
        <v>0.58476019999999995</v>
      </c>
      <c r="Z4540">
        <v>1.7868249999999999E-2</v>
      </c>
      <c r="AA4540">
        <v>0.81100939999999999</v>
      </c>
      <c r="AB4540">
        <v>30</v>
      </c>
      <c r="AC4540">
        <v>3.8000000000124601E-3</v>
      </c>
      <c r="AD4540">
        <v>-1.0415231253020001</v>
      </c>
      <c r="AE4540">
        <v>-35.769694999999999</v>
      </c>
      <c r="AF4540">
        <v>21.038178994241299</v>
      </c>
      <c r="AG4540">
        <v>-1.0415231253020001</v>
      </c>
      <c r="AH4540">
        <v>28.891163607168899</v>
      </c>
      <c r="AI4540">
        <v>91.669250297261001</v>
      </c>
      <c r="AJ4540">
        <v>53.938367590365203</v>
      </c>
      <c r="AK4540">
        <v>35.754567266161601</v>
      </c>
      <c r="AL4540">
        <v>81.054320455128604</v>
      </c>
      <c r="AM4540">
        <v>85.524267753978904</v>
      </c>
      <c r="AN4540">
        <v>1.0000000231038499</v>
      </c>
    </row>
    <row r="4541" spans="1:40" x14ac:dyDescent="0.3">
      <c r="A4541" t="str">
        <f>"20200111150118595"</f>
        <v>20200111150118595</v>
      </c>
      <c r="B4541" t="str">
        <f>"1578726078592386"</f>
        <v>1578726078592386</v>
      </c>
      <c r="C4541" t="s">
        <v>40</v>
      </c>
      <c r="D4541">
        <v>4.9368919999999896</v>
      </c>
      <c r="E4541">
        <v>0.74021340000000002</v>
      </c>
      <c r="F4541" t="s">
        <v>42</v>
      </c>
      <c r="G4541">
        <v>-305.39240000000001</v>
      </c>
      <c r="H4541" s="1">
        <v>-3.3639090000000001E-6</v>
      </c>
      <c r="I4541">
        <v>-35.914050000000003</v>
      </c>
      <c r="J4541">
        <v>-304.7439</v>
      </c>
      <c r="K4541">
        <v>1.04148</v>
      </c>
      <c r="L4541">
        <v>5.0107419999999996</v>
      </c>
      <c r="M4541">
        <v>0.57534079999999999</v>
      </c>
      <c r="N4541">
        <v>0</v>
      </c>
      <c r="O4541">
        <v>-0.81780839999999999</v>
      </c>
      <c r="P4541">
        <v>0.507023</v>
      </c>
      <c r="Q4541">
        <v>0.14822969999999999</v>
      </c>
      <c r="R4541">
        <v>-0.84909129999999999</v>
      </c>
      <c r="S4541">
        <v>-4.2572020000000002E-2</v>
      </c>
      <c r="T4541">
        <v>-9.1400499999999996E-2</v>
      </c>
      <c r="U4541">
        <v>-3.6134339999999998</v>
      </c>
      <c r="V4541">
        <v>7.9057909999999995E-2</v>
      </c>
      <c r="W4541">
        <v>0.15869040000000001</v>
      </c>
      <c r="X4541">
        <v>0.98415810000000004</v>
      </c>
      <c r="Y4541">
        <v>0.58496499999999996</v>
      </c>
      <c r="Z4541">
        <v>1.598138E-2</v>
      </c>
      <c r="AA4541">
        <v>0.81090109999999904</v>
      </c>
      <c r="AB4541">
        <v>30</v>
      </c>
      <c r="AC4541">
        <v>-0.64850000000001196</v>
      </c>
      <c r="AD4541">
        <v>-1.041483363909</v>
      </c>
      <c r="AE4541">
        <v>-40.924791999999997</v>
      </c>
      <c r="AF4541">
        <v>24.062546871107099</v>
      </c>
      <c r="AG4541">
        <v>-1.041483363909</v>
      </c>
      <c r="AH4541">
        <v>33.076966615451703</v>
      </c>
      <c r="AI4541">
        <v>91.4585497492196</v>
      </c>
      <c r="AJ4541">
        <v>53.965182535595403</v>
      </c>
      <c r="AK4541">
        <v>40.916702824167501</v>
      </c>
      <c r="AL4541">
        <v>80.869109292630398</v>
      </c>
      <c r="AM4541">
        <v>85.407263531566002</v>
      </c>
      <c r="AN4541">
        <v>0.999999980990668</v>
      </c>
    </row>
    <row r="4542" spans="1:40" x14ac:dyDescent="0.3">
      <c r="A4542" t="str">
        <f>"20200111150118618"</f>
        <v>20200111150118618</v>
      </c>
      <c r="B4542" t="str">
        <f>"1578726078611904"</f>
        <v>1578726078611904</v>
      </c>
      <c r="C4542" t="s">
        <v>40</v>
      </c>
      <c r="D4542">
        <v>4.7864789999999999</v>
      </c>
      <c r="E4542">
        <v>0.7405621</v>
      </c>
      <c r="F4542" t="s">
        <v>42</v>
      </c>
      <c r="G4542">
        <v>-306.00630000000001</v>
      </c>
      <c r="H4542" s="1">
        <v>-3.020701E-6</v>
      </c>
      <c r="I4542">
        <v>-37.094810000000003</v>
      </c>
      <c r="J4542">
        <v>-304.57679999999999</v>
      </c>
      <c r="K4542">
        <v>1.0414399999999999</v>
      </c>
      <c r="L4542">
        <v>4.7447809999999997</v>
      </c>
      <c r="M4542">
        <v>0.56115309999999996</v>
      </c>
      <c r="N4542">
        <v>0</v>
      </c>
      <c r="O4542">
        <v>-0.82760750000000005</v>
      </c>
      <c r="P4542">
        <v>0.49106739999999999</v>
      </c>
      <c r="Q4542">
        <v>0.15159159999999999</v>
      </c>
      <c r="R4542">
        <v>-0.85783039999999999</v>
      </c>
      <c r="S4542">
        <v>-0.1083374</v>
      </c>
      <c r="T4542">
        <v>-8.9379249999999993E-2</v>
      </c>
      <c r="U4542">
        <v>-3.613464</v>
      </c>
      <c r="V4542">
        <v>8.027811E-2</v>
      </c>
      <c r="W4542">
        <v>0.1620344</v>
      </c>
      <c r="X4542">
        <v>0.98351420000000001</v>
      </c>
      <c r="Y4542">
        <v>0.58573149999999996</v>
      </c>
      <c r="Z4542">
        <v>1.5970310000000001E-2</v>
      </c>
      <c r="AA4542">
        <v>0.81034790000000001</v>
      </c>
      <c r="AB4542">
        <v>30</v>
      </c>
      <c r="AC4542">
        <v>-1.42950000000001</v>
      </c>
      <c r="AD4542">
        <v>-1.0414430207009999</v>
      </c>
      <c r="AE4542">
        <v>-41.839590999999999</v>
      </c>
      <c r="AF4542">
        <v>24.648361125966499</v>
      </c>
      <c r="AG4542">
        <v>-1.0414430207009999</v>
      </c>
      <c r="AH4542">
        <v>33.806596160364997</v>
      </c>
      <c r="AI4542">
        <v>91.425924031667904</v>
      </c>
      <c r="AJ4542">
        <v>53.904241048223</v>
      </c>
      <c r="AK4542">
        <v>41.851072312563602</v>
      </c>
      <c r="AL4542">
        <v>80.674999704550103</v>
      </c>
      <c r="AM4542">
        <v>85.333648775601105</v>
      </c>
      <c r="AN4542">
        <v>0.99999995166508404</v>
      </c>
    </row>
    <row r="4543" spans="1:40" x14ac:dyDescent="0.3">
      <c r="A4543" t="str">
        <f>"20200111150118640"</f>
        <v>20200111150118640</v>
      </c>
      <c r="B4543" t="str">
        <f>"1578726078632400"</f>
        <v>1578726078632400</v>
      </c>
      <c r="C4543" t="s">
        <v>40</v>
      </c>
      <c r="D4543">
        <v>4.7481419999999996</v>
      </c>
      <c r="E4543">
        <v>0.74133599999999999</v>
      </c>
      <c r="F4543" t="s">
        <v>83</v>
      </c>
      <c r="G4543">
        <v>-306.8673</v>
      </c>
      <c r="H4543" s="1">
        <v>-2.5158640000000002E-6</v>
      </c>
      <c r="I4543">
        <v>-42.161349999999999</v>
      </c>
      <c r="J4543">
        <v>-304.4196</v>
      </c>
      <c r="K4543">
        <v>1.0414099999999999</v>
      </c>
      <c r="L4543">
        <v>4.4849240000000004</v>
      </c>
      <c r="M4543">
        <v>0.54726490000000005</v>
      </c>
      <c r="N4543">
        <v>0</v>
      </c>
      <c r="O4543">
        <v>-0.83685549999999997</v>
      </c>
      <c r="P4543">
        <v>0.47615180000000001</v>
      </c>
      <c r="Q4543">
        <v>0.15438579999999999</v>
      </c>
      <c r="R4543">
        <v>-0.86570460000000005</v>
      </c>
      <c r="S4543">
        <v>-0.17639160000000001</v>
      </c>
      <c r="T4543">
        <v>-8.0204250000000005E-2</v>
      </c>
      <c r="U4543">
        <v>-3.6123660000000002</v>
      </c>
      <c r="V4543">
        <v>8.0720979999999998E-2</v>
      </c>
      <c r="W4543">
        <v>0.16483439999999999</v>
      </c>
      <c r="X4543">
        <v>0.98301260000000001</v>
      </c>
      <c r="Y4543">
        <v>0.58745970000000003</v>
      </c>
      <c r="Z4543">
        <v>1.461576E-2</v>
      </c>
      <c r="AA4543">
        <v>0.80912139999999999</v>
      </c>
      <c r="AB4543">
        <v>30</v>
      </c>
      <c r="AC4543">
        <v>-2.44769999999999</v>
      </c>
      <c r="AD4543">
        <v>-1.041412515864</v>
      </c>
      <c r="AE4543">
        <v>-46.646273999999998</v>
      </c>
      <c r="AF4543">
        <v>27.5649374464796</v>
      </c>
      <c r="AG4543">
        <v>-1.041412515864</v>
      </c>
      <c r="AH4543">
        <v>37.681200526175303</v>
      </c>
      <c r="AI4543">
        <v>91.277836188852703</v>
      </c>
      <c r="AJ4543">
        <v>53.813401386407399</v>
      </c>
      <c r="AK4543">
        <v>46.698856405166602</v>
      </c>
      <c r="AL4543">
        <v>80.512385566982005</v>
      </c>
      <c r="AM4543">
        <v>85.305637081394906</v>
      </c>
      <c r="AN4543">
        <v>1.0000000138971401</v>
      </c>
    </row>
    <row r="4544" spans="1:40" x14ac:dyDescent="0.3">
      <c r="A4544" t="str">
        <f>"20200111150118662"</f>
        <v>20200111150118662</v>
      </c>
      <c r="B4544" t="str">
        <f>"1578726078651921"</f>
        <v>1578726078651921</v>
      </c>
      <c r="C4544" t="s">
        <v>40</v>
      </c>
      <c r="D4544">
        <v>4.7561019999999896</v>
      </c>
      <c r="E4544">
        <v>0.74127799999999999</v>
      </c>
      <c r="F4544" t="s">
        <v>83</v>
      </c>
      <c r="G4544">
        <v>-307.65120000000002</v>
      </c>
      <c r="H4544" s="1">
        <v>-3.2854049999999998E-6</v>
      </c>
      <c r="I4544">
        <v>-43.630049999999997</v>
      </c>
      <c r="J4544">
        <v>-304.2688</v>
      </c>
      <c r="K4544">
        <v>1.0413859999999999</v>
      </c>
      <c r="L4544">
        <v>4.2255859999999998</v>
      </c>
      <c r="M4544">
        <v>0.53339259999999999</v>
      </c>
      <c r="N4544">
        <v>0</v>
      </c>
      <c r="O4544">
        <v>-0.84576459999999998</v>
      </c>
      <c r="P4544">
        <v>0.4618447</v>
      </c>
      <c r="Q4544">
        <v>0.15567700000000001</v>
      </c>
      <c r="R4544">
        <v>-0.87319199999999997</v>
      </c>
      <c r="S4544">
        <v>-0.24264530000000001</v>
      </c>
      <c r="T4544">
        <v>-7.8195570000000006E-2</v>
      </c>
      <c r="U4544">
        <v>-3.612762</v>
      </c>
      <c r="V4544">
        <v>8.0620189999999994E-2</v>
      </c>
      <c r="W4544">
        <v>0.16614970000000001</v>
      </c>
      <c r="X4544">
        <v>0.98279939999999999</v>
      </c>
      <c r="Y4544">
        <v>0.58890069999999906</v>
      </c>
      <c r="Z4544">
        <v>1.451149E-2</v>
      </c>
      <c r="AA4544">
        <v>0.80807510000000005</v>
      </c>
      <c r="AB4544">
        <v>30</v>
      </c>
      <c r="AC4544">
        <v>-3.3824000000000098</v>
      </c>
      <c r="AD4544">
        <v>-1.041389285405</v>
      </c>
      <c r="AE4544">
        <v>-47.855635999999997</v>
      </c>
      <c r="AF4544">
        <v>28.375664095384</v>
      </c>
      <c r="AG4544">
        <v>-1.041389285405</v>
      </c>
      <c r="AH4544">
        <v>38.655617478247301</v>
      </c>
      <c r="AI4544">
        <v>91.244104610345005</v>
      </c>
      <c r="AJ4544">
        <v>53.718979847277303</v>
      </c>
      <c r="AK4544">
        <v>47.963731788950703</v>
      </c>
      <c r="AL4544">
        <v>80.435970607297605</v>
      </c>
      <c r="AM4544">
        <v>85.310459866288497</v>
      </c>
      <c r="AN4544">
        <v>0.99999999924304295</v>
      </c>
    </row>
    <row r="4545" spans="1:40" x14ac:dyDescent="0.3">
      <c r="A4545" t="str">
        <f>"20200111150118684"</f>
        <v>20200111150118684</v>
      </c>
      <c r="B4545" t="str">
        <f>"1578726078682177"</f>
        <v>1578726078682177</v>
      </c>
      <c r="C4545" t="s">
        <v>40</v>
      </c>
      <c r="D4545">
        <v>4.6152100000000003</v>
      </c>
      <c r="E4545">
        <v>0.74126539999999996</v>
      </c>
      <c r="F4545" t="s">
        <v>83</v>
      </c>
      <c r="G4545">
        <v>-308.22340000000003</v>
      </c>
      <c r="H4545" s="1">
        <v>-3.2928130000000002E-6</v>
      </c>
      <c r="I4545">
        <v>-43.250810000000001</v>
      </c>
      <c r="J4545">
        <v>-304.12</v>
      </c>
      <c r="K4545">
        <v>1.0413509999999999</v>
      </c>
      <c r="L4545">
        <v>3.959381</v>
      </c>
      <c r="M4545">
        <v>0.51913869999999995</v>
      </c>
      <c r="N4545">
        <v>0</v>
      </c>
      <c r="O4545">
        <v>-0.85458729999999905</v>
      </c>
      <c r="P4545">
        <v>0.4473182</v>
      </c>
      <c r="Q4545">
        <v>0.1559962</v>
      </c>
      <c r="R4545">
        <v>-0.88066580000000005</v>
      </c>
      <c r="S4545">
        <v>-0.30059809999999998</v>
      </c>
      <c r="T4545">
        <v>-7.9157829999999998E-2</v>
      </c>
      <c r="U4545">
        <v>-3.608765</v>
      </c>
      <c r="V4545">
        <v>8.0416470000000004E-2</v>
      </c>
      <c r="W4545">
        <v>0.1664958</v>
      </c>
      <c r="X4545">
        <v>0.98275749999999995</v>
      </c>
      <c r="Y4545">
        <v>0.588314</v>
      </c>
      <c r="Z4545">
        <v>1.498735E-2</v>
      </c>
      <c r="AA4545">
        <v>0.80849369999999998</v>
      </c>
      <c r="AB4545">
        <v>30</v>
      </c>
      <c r="AC4545">
        <v>-4.1034000000000201</v>
      </c>
      <c r="AD4545">
        <v>-1.041354292813</v>
      </c>
      <c r="AE4545">
        <v>-47.210191000000002</v>
      </c>
      <c r="AF4545">
        <v>28.004286916274602</v>
      </c>
      <c r="AG4545">
        <v>-1.041354292813</v>
      </c>
      <c r="AH4545">
        <v>38.199904091326196</v>
      </c>
      <c r="AI4545">
        <v>91.259478575023294</v>
      </c>
      <c r="AJ4545">
        <v>53.754918194012902</v>
      </c>
      <c r="AK4545">
        <v>47.376757772548302</v>
      </c>
      <c r="AL4545">
        <v>80.415860263190595</v>
      </c>
      <c r="AM4545">
        <v>85.322058710116195</v>
      </c>
      <c r="AN4545">
        <v>0.99999998193557504</v>
      </c>
    </row>
    <row r="4546" spans="1:40" x14ac:dyDescent="0.3">
      <c r="A4546" t="str">
        <f>"20200111150118707"</f>
        <v>20200111150118707</v>
      </c>
      <c r="B4546" t="str">
        <f>"1578726078702672"</f>
        <v>1578726078702672</v>
      </c>
      <c r="C4546" t="s">
        <v>40</v>
      </c>
      <c r="D4546">
        <v>4.9187909999999997</v>
      </c>
      <c r="E4546">
        <v>0.74052180000000001</v>
      </c>
      <c r="F4546" t="s">
        <v>83</v>
      </c>
      <c r="G4546">
        <v>-309.00080000000003</v>
      </c>
      <c r="H4546" s="1">
        <v>-4.1233169999999998E-6</v>
      </c>
      <c r="I4546">
        <v>-44.883609999999997</v>
      </c>
      <c r="J4546">
        <v>-303.97160000000002</v>
      </c>
      <c r="K4546">
        <v>1.041318</v>
      </c>
      <c r="L4546">
        <v>3.6831670000000001</v>
      </c>
      <c r="M4546">
        <v>0.50433099999999997</v>
      </c>
      <c r="N4546">
        <v>0</v>
      </c>
      <c r="O4546">
        <v>-0.86340810000000001</v>
      </c>
      <c r="P4546">
        <v>0.43259019999999998</v>
      </c>
      <c r="Q4546">
        <v>0.15555369999999999</v>
      </c>
      <c r="R4546">
        <v>-0.88807000000000003</v>
      </c>
      <c r="S4546">
        <v>-0.36004639999999999</v>
      </c>
      <c r="T4546">
        <v>-7.6817570000000002E-2</v>
      </c>
      <c r="U4546">
        <v>-3.6029969999999998</v>
      </c>
      <c r="V4546">
        <v>7.9878130000000006E-2</v>
      </c>
      <c r="W4546">
        <v>0.16609099999999999</v>
      </c>
      <c r="X4546">
        <v>0.98286989999999996</v>
      </c>
      <c r="Y4546">
        <v>0.58771209999999996</v>
      </c>
      <c r="Z4546">
        <v>1.4839389999999999E-2</v>
      </c>
      <c r="AA4546">
        <v>0.80893400000000004</v>
      </c>
      <c r="AB4546">
        <v>30</v>
      </c>
      <c r="AC4546">
        <v>-5.0292000000000003</v>
      </c>
      <c r="AD4546">
        <v>-1.041322123317</v>
      </c>
      <c r="AE4546">
        <v>-48.566777000000002</v>
      </c>
      <c r="AF4546">
        <v>28.825420178586999</v>
      </c>
      <c r="AG4546">
        <v>-1.041322123317</v>
      </c>
      <c r="AH4546">
        <v>39.382135639553297</v>
      </c>
      <c r="AI4546">
        <v>91.222317281988893</v>
      </c>
      <c r="AJ4546">
        <v>53.7980540474368</v>
      </c>
      <c r="AK4546">
        <v>48.815384949509202</v>
      </c>
      <c r="AL4546">
        <v>80.439381151656903</v>
      </c>
      <c r="AM4546">
        <v>85.353766194253495</v>
      </c>
      <c r="AN4546">
        <v>0.99999998812965296</v>
      </c>
    </row>
    <row r="4547" spans="1:40" x14ac:dyDescent="0.3">
      <c r="A4547" t="str">
        <f>"20200111150118730"</f>
        <v>20200111150118730</v>
      </c>
      <c r="B4547" t="str">
        <f>"1578726078722195"</f>
        <v>1578726078722195</v>
      </c>
      <c r="C4547" t="s">
        <v>40</v>
      </c>
      <c r="D4547">
        <v>5.2191780000000003</v>
      </c>
      <c r="E4547">
        <v>0.74020810000000004</v>
      </c>
      <c r="F4547" t="s">
        <v>83</v>
      </c>
      <c r="G4547">
        <v>-309.80709999999999</v>
      </c>
      <c r="H4547" s="1">
        <v>-5.0264540000000001E-6</v>
      </c>
      <c r="I4547">
        <v>-46.762039999999999</v>
      </c>
      <c r="J4547">
        <v>-303.83010000000002</v>
      </c>
      <c r="K4547">
        <v>1.041291</v>
      </c>
      <c r="L4547">
        <v>3.4088750000000001</v>
      </c>
      <c r="M4547">
        <v>0.48960789999999998</v>
      </c>
      <c r="N4547">
        <v>0</v>
      </c>
      <c r="O4547">
        <v>-0.87184139999999999</v>
      </c>
      <c r="P4547">
        <v>0.41788120000000001</v>
      </c>
      <c r="Q4547">
        <v>0.15557299999999999</v>
      </c>
      <c r="R4547">
        <v>-0.89508259999999995</v>
      </c>
      <c r="S4547">
        <v>-0.41571039999999998</v>
      </c>
      <c r="T4547">
        <v>-7.4181440000000001E-2</v>
      </c>
      <c r="U4547">
        <v>-3.5935969999999999</v>
      </c>
      <c r="V4547">
        <v>7.9422679999999996E-2</v>
      </c>
      <c r="W4547">
        <v>0.1661427</v>
      </c>
      <c r="X4547">
        <v>0.9828981</v>
      </c>
      <c r="Y4547">
        <v>0.58657950000000003</v>
      </c>
      <c r="Z4547">
        <v>1.462246E-2</v>
      </c>
      <c r="AA4547">
        <v>0.80975969999999997</v>
      </c>
      <c r="AB4547">
        <v>30</v>
      </c>
      <c r="AC4547">
        <v>-5.9769999999999701</v>
      </c>
      <c r="AD4547">
        <v>-1.0412960264540001</v>
      </c>
      <c r="AE4547">
        <v>-50.170915000000001</v>
      </c>
      <c r="AF4547">
        <v>29.7650605890409</v>
      </c>
      <c r="AG4547">
        <v>-1.0412960264540001</v>
      </c>
      <c r="AH4547">
        <v>40.800970516550201</v>
      </c>
      <c r="AI4547">
        <v>91.181156637093594</v>
      </c>
      <c r="AJ4547">
        <v>53.888559225708299</v>
      </c>
      <c r="AK4547">
        <v>50.514971289473998</v>
      </c>
      <c r="AL4547">
        <v>80.436377501419599</v>
      </c>
      <c r="AM4547">
        <v>85.380275112537902</v>
      </c>
      <c r="AN4547">
        <v>1.00000001692264</v>
      </c>
    </row>
    <row r="4548" spans="1:40" x14ac:dyDescent="0.3">
      <c r="A4548" t="str">
        <f>"20200111150118751"</f>
        <v>20200111150118751</v>
      </c>
      <c r="B4548" t="str">
        <f>"1578726078741713"</f>
        <v>1578726078741713</v>
      </c>
      <c r="C4548" t="s">
        <v>40</v>
      </c>
      <c r="D4548">
        <v>5.1005129999999896</v>
      </c>
      <c r="E4548">
        <v>0.73948559999999997</v>
      </c>
      <c r="F4548" t="s">
        <v>83</v>
      </c>
      <c r="G4548">
        <v>-310.09280000000001</v>
      </c>
      <c r="H4548">
        <v>7.9987310000000006E-2</v>
      </c>
      <c r="I4548">
        <v>-44.099469999999997</v>
      </c>
      <c r="J4548">
        <v>-303.69850000000002</v>
      </c>
      <c r="K4548">
        <v>1.0412729999999999</v>
      </c>
      <c r="L4548">
        <v>3.1430359999999999</v>
      </c>
      <c r="M4548">
        <v>0.47532249999999998</v>
      </c>
      <c r="N4548">
        <v>0</v>
      </c>
      <c r="O4548">
        <v>-0.87971080000000001</v>
      </c>
      <c r="P4548">
        <v>0.4036363</v>
      </c>
      <c r="Q4548">
        <v>0.1557819</v>
      </c>
      <c r="R4548">
        <v>-0.90155989999999997</v>
      </c>
      <c r="S4548">
        <v>-0.4725647</v>
      </c>
      <c r="T4548">
        <v>-7.2537779999999996E-2</v>
      </c>
      <c r="U4548">
        <v>-3.5848689999999999</v>
      </c>
      <c r="V4548">
        <v>7.8973000000000002E-2</v>
      </c>
      <c r="W4548">
        <v>0.16638159999999999</v>
      </c>
      <c r="X4548">
        <v>0.98289389999999999</v>
      </c>
      <c r="Y4548">
        <v>0.58624339999999997</v>
      </c>
      <c r="Z4548">
        <v>1.4558120000000001E-2</v>
      </c>
      <c r="AA4548">
        <v>0.81000419999999995</v>
      </c>
      <c r="AB4548">
        <v>30</v>
      </c>
      <c r="AC4548">
        <v>-6.3942999999999799</v>
      </c>
      <c r="AD4548">
        <v>-0.96128568999999997</v>
      </c>
      <c r="AE4548">
        <v>-47.242505999999999</v>
      </c>
      <c r="AF4548">
        <v>28.0716387150424</v>
      </c>
      <c r="AG4548">
        <v>-0.96128568999999997</v>
      </c>
      <c r="AH4548">
        <v>38.508148899737002</v>
      </c>
      <c r="AI4548">
        <v>91.155627158882496</v>
      </c>
      <c r="AJ4548">
        <v>53.908730072368101</v>
      </c>
      <c r="AK4548">
        <v>47.663597241605501</v>
      </c>
      <c r="AL4548">
        <v>80.422496125160905</v>
      </c>
      <c r="AM4548">
        <v>85.406299536531293</v>
      </c>
      <c r="AN4548">
        <v>0.99999999510238402</v>
      </c>
    </row>
    <row r="4549" spans="1:40" x14ac:dyDescent="0.3">
      <c r="A4549" t="str">
        <f>"20200111150118773"</f>
        <v>20200111150118773</v>
      </c>
      <c r="B4549" t="str">
        <f>"1578726078762208"</f>
        <v>1578726078762208</v>
      </c>
      <c r="C4549" t="s">
        <v>40</v>
      </c>
      <c r="D4549">
        <v>4.9803059999999997</v>
      </c>
      <c r="E4549">
        <v>0.73863730000000005</v>
      </c>
      <c r="F4549" t="s">
        <v>83</v>
      </c>
      <c r="G4549">
        <v>-310.47480000000002</v>
      </c>
      <c r="H4549">
        <v>7.9987089999999997E-2</v>
      </c>
      <c r="I4549">
        <v>-43.182169999999999</v>
      </c>
      <c r="J4549">
        <v>-303.56610000000001</v>
      </c>
      <c r="K4549">
        <v>1.041258</v>
      </c>
      <c r="L4549">
        <v>2.8639830000000002</v>
      </c>
      <c r="M4549">
        <v>0.46030949999999998</v>
      </c>
      <c r="N4549">
        <v>0</v>
      </c>
      <c r="O4549">
        <v>-0.88765869999999902</v>
      </c>
      <c r="P4549">
        <v>0.3896329</v>
      </c>
      <c r="Q4549">
        <v>0.15606510000000001</v>
      </c>
      <c r="R4549">
        <v>-0.90765099999999999</v>
      </c>
      <c r="S4549">
        <v>-0.52285769999999998</v>
      </c>
      <c r="T4549">
        <v>-7.4173030000000001E-2</v>
      </c>
      <c r="U4549">
        <v>-3.5744630000000002</v>
      </c>
      <c r="V4549">
        <v>7.7481899999999895E-2</v>
      </c>
      <c r="W4549">
        <v>0.1667285</v>
      </c>
      <c r="X4549">
        <v>0.98295379999999999</v>
      </c>
      <c r="Y4549">
        <v>0.58396219999999999</v>
      </c>
      <c r="Z4549">
        <v>1.517775E-2</v>
      </c>
      <c r="AA4549">
        <v>0.811639</v>
      </c>
      <c r="AB4549">
        <v>30</v>
      </c>
      <c r="AC4549">
        <v>-6.9086999999999996</v>
      </c>
      <c r="AD4549">
        <v>-0.96127090999999998</v>
      </c>
      <c r="AE4549">
        <v>-46.046152999999997</v>
      </c>
      <c r="AF4549">
        <v>27.3188269580838</v>
      </c>
      <c r="AG4549">
        <v>-0.96127090999999998</v>
      </c>
      <c r="AH4549">
        <v>37.680407810567701</v>
      </c>
      <c r="AI4549">
        <v>91.183216687651395</v>
      </c>
      <c r="AJ4549">
        <v>54.0573585963797</v>
      </c>
      <c r="AK4549">
        <v>46.5516431600307</v>
      </c>
      <c r="AL4549">
        <v>80.402338760963602</v>
      </c>
      <c r="AM4549">
        <v>85.492946545538601</v>
      </c>
      <c r="AN4549">
        <v>1.0000000052371401</v>
      </c>
    </row>
    <row r="4550" spans="1:40" x14ac:dyDescent="0.3">
      <c r="A4550" t="str">
        <f>"20200111150118796"</f>
        <v>20200111150118796</v>
      </c>
      <c r="B4550" t="str">
        <f>"1578726078792465"</f>
        <v>1578726078792465</v>
      </c>
      <c r="C4550" t="s">
        <v>40</v>
      </c>
      <c r="D4550">
        <v>4.7915599999999996</v>
      </c>
      <c r="E4550">
        <v>0.73767320000000003</v>
      </c>
      <c r="F4550" t="s">
        <v>83</v>
      </c>
      <c r="G4550">
        <v>-311.34530000000001</v>
      </c>
      <c r="H4550">
        <v>7.9987710000000004E-2</v>
      </c>
      <c r="I4550">
        <v>-45.556399999999996</v>
      </c>
      <c r="J4550">
        <v>-303.4409</v>
      </c>
      <c r="K4550">
        <v>1.0412300000000001</v>
      </c>
      <c r="L4550">
        <v>2.5884399999999999</v>
      </c>
      <c r="M4550">
        <v>0.44546380000000002</v>
      </c>
      <c r="N4550">
        <v>0</v>
      </c>
      <c r="O4550">
        <v>-0.89520059999999901</v>
      </c>
      <c r="P4550">
        <v>0.37635790000000002</v>
      </c>
      <c r="Q4550">
        <v>0.15518680000000001</v>
      </c>
      <c r="R4550">
        <v>-0.91338529999999996</v>
      </c>
      <c r="S4550">
        <v>-0.57244869999999903</v>
      </c>
      <c r="T4550">
        <v>-7.0736999999999994E-2</v>
      </c>
      <c r="U4550">
        <v>-3.56311</v>
      </c>
      <c r="V4550">
        <v>7.5486399999999995E-2</v>
      </c>
      <c r="W4550">
        <v>0.165932</v>
      </c>
      <c r="X4550">
        <v>0.9832438</v>
      </c>
      <c r="Y4550">
        <v>0.58184999999999998</v>
      </c>
      <c r="Z4550">
        <v>1.4743849999999999E-2</v>
      </c>
      <c r="AA4550">
        <v>0.81316239999999995</v>
      </c>
      <c r="AB4550">
        <v>30</v>
      </c>
      <c r="AC4550">
        <v>-7.9044000000000096</v>
      </c>
      <c r="AD4550">
        <v>-0.96124228999999894</v>
      </c>
      <c r="AE4550">
        <v>-48.144840000000002</v>
      </c>
      <c r="AF4550">
        <v>28.514276074451999</v>
      </c>
      <c r="AG4550">
        <v>-0.96124228999999894</v>
      </c>
      <c r="AH4550">
        <v>39.566328107027303</v>
      </c>
      <c r="AI4550">
        <v>91.129125923637801</v>
      </c>
      <c r="AJ4550">
        <v>54.220828877867604</v>
      </c>
      <c r="AK4550">
        <v>48.779936927625201</v>
      </c>
      <c r="AL4550">
        <v>80.448619464454495</v>
      </c>
      <c r="AM4550">
        <v>85.609853147038194</v>
      </c>
      <c r="AN4550">
        <v>0.99999999772369996</v>
      </c>
    </row>
    <row r="4551" spans="1:40" x14ac:dyDescent="0.3">
      <c r="A4551" t="str">
        <f>"20200111150118818"</f>
        <v>20200111150118818</v>
      </c>
      <c r="B4551" t="str">
        <f>"1578726078811984"</f>
        <v>1578726078811984</v>
      </c>
      <c r="C4551" t="s">
        <v>40</v>
      </c>
      <c r="D4551">
        <v>4.816255</v>
      </c>
      <c r="E4551">
        <v>0.73714239999999998</v>
      </c>
      <c r="F4551" t="s">
        <v>83</v>
      </c>
      <c r="G4551">
        <v>-312.10919999999999</v>
      </c>
      <c r="H4551">
        <v>7.9987669999999997E-2</v>
      </c>
      <c r="I4551">
        <v>-47.174219999999998</v>
      </c>
      <c r="J4551">
        <v>-303.31659999999999</v>
      </c>
      <c r="K4551">
        <v>1.0412060000000001</v>
      </c>
      <c r="L4551">
        <v>2.3023380000000002</v>
      </c>
      <c r="M4551">
        <v>0.43002560000000001</v>
      </c>
      <c r="N4551">
        <v>0</v>
      </c>
      <c r="O4551">
        <v>-0.90271789999999996</v>
      </c>
      <c r="P4551">
        <v>0.3619289</v>
      </c>
      <c r="Q4551">
        <v>0.1538611</v>
      </c>
      <c r="R4551">
        <v>-0.91942100000000004</v>
      </c>
      <c r="S4551">
        <v>-0.61856080000000002</v>
      </c>
      <c r="T4551">
        <v>-6.8593499999999905E-2</v>
      </c>
      <c r="U4551">
        <v>-3.5510250000000001</v>
      </c>
      <c r="V4551">
        <v>7.4141910000000005E-2</v>
      </c>
      <c r="W4551">
        <v>0.16466600000000001</v>
      </c>
      <c r="X4551">
        <v>0.98355890000000001</v>
      </c>
      <c r="Y4551">
        <v>0.57858430000000005</v>
      </c>
      <c r="Z4551">
        <v>1.456968E-2</v>
      </c>
      <c r="AA4551">
        <v>0.81549249999999995</v>
      </c>
      <c r="AB4551">
        <v>30</v>
      </c>
      <c r="AC4551">
        <v>-8.7925999999999895</v>
      </c>
      <c r="AD4551">
        <v>-0.96121833000000001</v>
      </c>
      <c r="AE4551">
        <v>-49.476557999999997</v>
      </c>
      <c r="AF4551">
        <v>29.2053440674161</v>
      </c>
      <c r="AG4551">
        <v>-0.96121833000000001</v>
      </c>
      <c r="AH4551">
        <v>40.871024167515799</v>
      </c>
      <c r="AI4551">
        <v>91.096223870447503</v>
      </c>
      <c r="AJ4551">
        <v>54.451411600649003</v>
      </c>
      <c r="AK4551">
        <v>50.242578350197697</v>
      </c>
      <c r="AL4551">
        <v>80.522167830364396</v>
      </c>
      <c r="AM4551">
        <v>85.689124841179407</v>
      </c>
      <c r="AN4551">
        <v>1.00000001207182</v>
      </c>
    </row>
    <row r="4552" spans="1:40" x14ac:dyDescent="0.3">
      <c r="A4552" t="str">
        <f>"20200111150118841"</f>
        <v>20200111150118841</v>
      </c>
      <c r="B4552" t="str">
        <f>"1578726078832481"</f>
        <v>1578726078832481</v>
      </c>
      <c r="C4552" t="s">
        <v>40</v>
      </c>
      <c r="D4552">
        <v>4.8132840000000003</v>
      </c>
      <c r="E4552">
        <v>0.73626380000000002</v>
      </c>
      <c r="F4552" t="s">
        <v>83</v>
      </c>
      <c r="G4552">
        <v>-311.92989999999998</v>
      </c>
      <c r="H4552">
        <v>7.9987169999999996E-2</v>
      </c>
      <c r="I4552">
        <v>-43.203099999999999</v>
      </c>
      <c r="J4552">
        <v>-303.20139999999998</v>
      </c>
      <c r="K4552">
        <v>1.041183</v>
      </c>
      <c r="L4552">
        <v>2.0242</v>
      </c>
      <c r="M4552">
        <v>0.41498849999999998</v>
      </c>
      <c r="N4552">
        <v>0</v>
      </c>
      <c r="O4552">
        <v>-0.90972830000000005</v>
      </c>
      <c r="P4552">
        <v>0.34795779999999998</v>
      </c>
      <c r="Q4552">
        <v>0.15297140000000001</v>
      </c>
      <c r="R4552">
        <v>-0.92494620000000005</v>
      </c>
      <c r="S4552">
        <v>-0.66989140000000003</v>
      </c>
      <c r="T4552">
        <v>-7.4758169999999999E-2</v>
      </c>
      <c r="U4552">
        <v>-3.5391539999999999</v>
      </c>
      <c r="V4552">
        <v>7.2761950000000006E-2</v>
      </c>
      <c r="W4552">
        <v>0.16383629999999999</v>
      </c>
      <c r="X4552">
        <v>0.98380049999999997</v>
      </c>
      <c r="Y4552">
        <v>0.57695479999999999</v>
      </c>
      <c r="Z4552">
        <v>1.6143979999999999E-2</v>
      </c>
      <c r="AA4552">
        <v>0.81661649999999997</v>
      </c>
      <c r="AB4552">
        <v>30</v>
      </c>
      <c r="AC4552">
        <v>-8.7284999999999897</v>
      </c>
      <c r="AD4552">
        <v>-0.96119582999999997</v>
      </c>
      <c r="AE4552">
        <v>-45.2273</v>
      </c>
      <c r="AF4552">
        <v>26.700136555985001</v>
      </c>
      <c r="AG4552">
        <v>-0.96119582999999997</v>
      </c>
      <c r="AH4552">
        <v>37.509352124827601</v>
      </c>
      <c r="AI4552">
        <v>91.195966424756406</v>
      </c>
      <c r="AJ4552">
        <v>54.555745624730697</v>
      </c>
      <c r="AK4552">
        <v>46.051847806099701</v>
      </c>
      <c r="AL4552">
        <v>80.570360830897798</v>
      </c>
      <c r="AM4552">
        <v>85.770101785504295</v>
      </c>
      <c r="AN4552">
        <v>1.0000000291828699</v>
      </c>
    </row>
    <row r="4553" spans="1:40" x14ac:dyDescent="0.3">
      <c r="A4553" t="str">
        <f>"20200111150118862"</f>
        <v>20200111150118862</v>
      </c>
      <c r="B4553" t="str">
        <f>"1578726078852001"</f>
        <v>1578726078852001</v>
      </c>
      <c r="C4553" t="s">
        <v>40</v>
      </c>
      <c r="D4553">
        <v>4.8203490000000002</v>
      </c>
      <c r="E4553">
        <v>0.71210189999999995</v>
      </c>
      <c r="F4553" t="s">
        <v>83</v>
      </c>
      <c r="G4553">
        <v>-311.93509999999998</v>
      </c>
      <c r="H4553">
        <v>7.9986550000000003E-2</v>
      </c>
      <c r="I4553">
        <v>-40.931130000000003</v>
      </c>
      <c r="J4553">
        <v>-303.09010000000001</v>
      </c>
      <c r="K4553">
        <v>1.0411520000000001</v>
      </c>
      <c r="L4553">
        <v>1.741455</v>
      </c>
      <c r="M4553">
        <v>0.39968019999999999</v>
      </c>
      <c r="N4553">
        <v>0</v>
      </c>
      <c r="O4553">
        <v>-0.91655679999999995</v>
      </c>
      <c r="P4553">
        <v>0.33354630000000002</v>
      </c>
      <c r="Q4553">
        <v>0.1527009</v>
      </c>
      <c r="R4553">
        <v>-0.93028469999999996</v>
      </c>
      <c r="S4553">
        <v>-0.71694950000000002</v>
      </c>
      <c r="T4553">
        <v>-7.8904150000000006E-2</v>
      </c>
      <c r="U4553">
        <v>-3.5261840000000002</v>
      </c>
      <c r="V4553">
        <v>7.1570270000000005E-2</v>
      </c>
      <c r="W4553">
        <v>0.1636176</v>
      </c>
      <c r="X4553">
        <v>0.98392429999999997</v>
      </c>
      <c r="Y4553">
        <v>0.57429619999999904</v>
      </c>
      <c r="Z4553">
        <v>1.7328179999999999E-2</v>
      </c>
      <c r="AA4553">
        <v>0.81846419999999998</v>
      </c>
      <c r="AB4553">
        <v>30</v>
      </c>
      <c r="AC4553">
        <v>-8.8449999999999704</v>
      </c>
      <c r="AD4553">
        <v>-0.96116544999999998</v>
      </c>
      <c r="AE4553">
        <v>-42.672584999999998</v>
      </c>
      <c r="AF4553">
        <v>25.152354078447601</v>
      </c>
      <c r="AG4553">
        <v>-0.96116544999999998</v>
      </c>
      <c r="AH4553">
        <v>35.562568652351601</v>
      </c>
      <c r="AI4553">
        <v>91.264090155647693</v>
      </c>
      <c r="AJ4553">
        <v>54.729358956183901</v>
      </c>
      <c r="AK4553">
        <v>43.569037674283102</v>
      </c>
      <c r="AL4553">
        <v>80.583062785691197</v>
      </c>
      <c r="AM4553">
        <v>85.8396545438207</v>
      </c>
      <c r="AN4553">
        <v>1.00000002535406</v>
      </c>
    </row>
    <row r="4554" spans="1:40" x14ac:dyDescent="0.3">
      <c r="A4554" t="str">
        <f>"20200111150118886"</f>
        <v>20200111150118886</v>
      </c>
      <c r="B4554" t="str">
        <f>"1578726078882257"</f>
        <v>1578726078882257</v>
      </c>
      <c r="C4554" t="s">
        <v>40</v>
      </c>
      <c r="D4554">
        <v>4.748272</v>
      </c>
      <c r="E4554">
        <v>0.70947019999999905</v>
      </c>
      <c r="F4554" t="s">
        <v>42</v>
      </c>
      <c r="G4554">
        <v>-310.24880000000002</v>
      </c>
      <c r="H4554">
        <v>7.9986740000000001E-2</v>
      </c>
      <c r="I4554">
        <v>-40.115580000000001</v>
      </c>
      <c r="J4554">
        <v>-302.98169999999999</v>
      </c>
      <c r="K4554">
        <v>1.0411250000000001</v>
      </c>
      <c r="L4554">
        <v>1.4518740000000001</v>
      </c>
      <c r="M4554">
        <v>0.38396940000000002</v>
      </c>
      <c r="N4554">
        <v>0</v>
      </c>
      <c r="O4554">
        <v>-0.92324839999999997</v>
      </c>
      <c r="P4554">
        <v>0.31865120000000002</v>
      </c>
      <c r="Q4554">
        <v>0.15306589999999901</v>
      </c>
      <c r="R4554">
        <v>-0.93543140000000002</v>
      </c>
      <c r="S4554">
        <v>-0.58993530000000005</v>
      </c>
      <c r="T4554">
        <v>-7.9207420000000001E-2</v>
      </c>
      <c r="U4554">
        <v>-3.449341</v>
      </c>
      <c r="V4554">
        <v>7.0472820000000005E-2</v>
      </c>
      <c r="W4554">
        <v>0.1640296</v>
      </c>
      <c r="X4554">
        <v>0.98393489999999995</v>
      </c>
      <c r="Y4554">
        <v>0.53412559999999998</v>
      </c>
      <c r="Z4554">
        <v>1.8378809999999999E-2</v>
      </c>
      <c r="AA4554">
        <v>0.8452054</v>
      </c>
      <c r="AB4554">
        <v>30</v>
      </c>
      <c r="AC4554">
        <v>-7.2671000000000197</v>
      </c>
      <c r="AD4554">
        <v>-0.96113826000000002</v>
      </c>
      <c r="AE4554">
        <v>-41.567453999999998</v>
      </c>
      <c r="AF4554">
        <v>22.660252302451202</v>
      </c>
      <c r="AG4554">
        <v>-0.96113826000000002</v>
      </c>
      <c r="AH4554">
        <v>35.571488629037297</v>
      </c>
      <c r="AI4554">
        <v>91.305472106242306</v>
      </c>
      <c r="AJ4554">
        <v>57.501472546057101</v>
      </c>
      <c r="AK4554">
        <v>42.186984064416301</v>
      </c>
      <c r="AL4554">
        <v>80.559133465877693</v>
      </c>
      <c r="AM4554">
        <v>85.903273876230898</v>
      </c>
      <c r="AN4554">
        <v>1.0000000077364599</v>
      </c>
    </row>
    <row r="4555" spans="1:40" x14ac:dyDescent="0.3">
      <c r="A4555" t="str">
        <f>"20200111150118907"</f>
        <v>20200111150118907</v>
      </c>
      <c r="B4555" t="str">
        <f>"1578726078901776"</f>
        <v>1578726078901776</v>
      </c>
      <c r="C4555" t="s">
        <v>40</v>
      </c>
      <c r="D4555">
        <v>4.7450999999999999</v>
      </c>
      <c r="E4555">
        <v>0.70679060000000005</v>
      </c>
      <c r="F4555" t="s">
        <v>83</v>
      </c>
      <c r="G4555">
        <v>-310.81889999999999</v>
      </c>
      <c r="H4555">
        <v>7.9986680000000004E-2</v>
      </c>
      <c r="I4555">
        <v>-41.558799999999998</v>
      </c>
      <c r="J4555">
        <v>-302.87920000000003</v>
      </c>
      <c r="K4555">
        <v>1.041247</v>
      </c>
      <c r="L4555">
        <v>1.1638489999999999</v>
      </c>
      <c r="M4555">
        <v>0.36814659999999999</v>
      </c>
      <c r="N4555">
        <v>0</v>
      </c>
      <c r="O4555">
        <v>-0.92966899999999997</v>
      </c>
      <c r="P4555">
        <v>0.30322259999999901</v>
      </c>
      <c r="Q4555">
        <v>0.152963299999999</v>
      </c>
      <c r="R4555">
        <v>-0.94056300000000004</v>
      </c>
      <c r="S4555">
        <v>-0.6254883</v>
      </c>
      <c r="T4555">
        <v>-7.6708380000000007E-2</v>
      </c>
      <c r="U4555">
        <v>-3.4326780000000001</v>
      </c>
      <c r="V4555">
        <v>6.9826159999999998E-2</v>
      </c>
      <c r="W4555">
        <v>0.16411289999999901</v>
      </c>
      <c r="X4555">
        <v>0.98396709999999998</v>
      </c>
      <c r="Y4555">
        <v>0.52884949999999997</v>
      </c>
      <c r="Z4555">
        <v>1.8120460000000001E-2</v>
      </c>
      <c r="AA4555">
        <v>0.84852209999999995</v>
      </c>
      <c r="AB4555">
        <v>30</v>
      </c>
      <c r="AC4555">
        <v>-7.9396999999999496</v>
      </c>
      <c r="AD4555">
        <v>-0.96126031999999995</v>
      </c>
      <c r="AE4555">
        <v>-42.722648999999997</v>
      </c>
      <c r="AF4555">
        <v>23.100308905839501</v>
      </c>
      <c r="AG4555">
        <v>-0.96126031999999995</v>
      </c>
      <c r="AH4555">
        <v>36.780329184781699</v>
      </c>
      <c r="AI4555">
        <v>91.267867633377904</v>
      </c>
      <c r="AJ4555">
        <v>57.868651839418902</v>
      </c>
      <c r="AK4555">
        <v>43.443537009420901</v>
      </c>
      <c r="AL4555">
        <v>80.554295041883506</v>
      </c>
      <c r="AM4555">
        <v>85.940871667407507</v>
      </c>
      <c r="AN4555">
        <v>0.99999999522458205</v>
      </c>
    </row>
    <row r="4556" spans="1:40" x14ac:dyDescent="0.3">
      <c r="A4556" t="str">
        <f>"20200111150118930"</f>
        <v>20200111150118930</v>
      </c>
      <c r="B4556" t="str">
        <f>"1578726078922272"</f>
        <v>1578726078922272</v>
      </c>
      <c r="C4556" t="s">
        <v>40</v>
      </c>
      <c r="D4556">
        <v>4.7008460000000003</v>
      </c>
      <c r="E4556">
        <v>0.70573759999999996</v>
      </c>
      <c r="F4556" t="s">
        <v>83</v>
      </c>
      <c r="G4556">
        <v>-311.19240000000002</v>
      </c>
      <c r="H4556">
        <v>7.9986749999999995E-2</v>
      </c>
      <c r="I4556">
        <v>-41.786169999999998</v>
      </c>
      <c r="J4556">
        <v>-302.78179999999998</v>
      </c>
      <c r="K4556">
        <v>1.041658</v>
      </c>
      <c r="L4556">
        <v>0.87695309999999904</v>
      </c>
      <c r="M4556">
        <v>0.35148849999999998</v>
      </c>
      <c r="N4556">
        <v>0</v>
      </c>
      <c r="O4556">
        <v>-0.93608749999999996</v>
      </c>
      <c r="P4556">
        <v>0.28727209999999997</v>
      </c>
      <c r="Q4556">
        <v>0.15169769999999999</v>
      </c>
      <c r="R4556">
        <v>-0.94576039999999995</v>
      </c>
      <c r="S4556">
        <v>-0.66101069999999995</v>
      </c>
      <c r="T4556">
        <v>-7.6433059999999997E-2</v>
      </c>
      <c r="U4556">
        <v>-3.4150999999999998</v>
      </c>
      <c r="V4556">
        <v>6.8854700000000005E-2</v>
      </c>
      <c r="W4556">
        <v>0.16335269999999999</v>
      </c>
      <c r="X4556">
        <v>0.98416199999999998</v>
      </c>
      <c r="Y4556">
        <v>0.5229781</v>
      </c>
      <c r="Z4556">
        <v>1.8385660000000002E-2</v>
      </c>
      <c r="AA4556">
        <v>0.85214780000000001</v>
      </c>
      <c r="AB4556">
        <v>30</v>
      </c>
      <c r="AC4556">
        <v>-8.4106000000000396</v>
      </c>
      <c r="AD4556">
        <v>-0.96167124999999998</v>
      </c>
      <c r="AE4556">
        <v>-42.6631231</v>
      </c>
      <c r="AF4556">
        <v>22.859715964271199</v>
      </c>
      <c r="AG4556">
        <v>-0.96167124999999998</v>
      </c>
      <c r="AH4556">
        <v>36.965732562980598</v>
      </c>
      <c r="AI4556">
        <v>91.267531469358403</v>
      </c>
      <c r="AJ4556">
        <v>58.267233477277102</v>
      </c>
      <c r="AK4556">
        <v>43.473633497535502</v>
      </c>
      <c r="AL4556">
        <v>80.598446789081393</v>
      </c>
      <c r="AM4556">
        <v>85.997949764985293</v>
      </c>
      <c r="AN4556">
        <v>0.99999995827668897</v>
      </c>
    </row>
    <row r="4557" spans="1:40" x14ac:dyDescent="0.3">
      <c r="A4557" t="str">
        <f>"20200111150118952"</f>
        <v>20200111150118952</v>
      </c>
      <c r="B4557" t="str">
        <f>"1578726078941793"</f>
        <v>1578726078941793</v>
      </c>
      <c r="C4557" t="s">
        <v>40</v>
      </c>
      <c r="D4557">
        <v>4.6992770000000004</v>
      </c>
      <c r="E4557">
        <v>0.7033625</v>
      </c>
      <c r="F4557" t="s">
        <v>42</v>
      </c>
      <c r="G4557">
        <v>-311.33240000000001</v>
      </c>
      <c r="H4557">
        <v>7.9986779999999993E-2</v>
      </c>
      <c r="I4557">
        <v>-40.028829999999999</v>
      </c>
      <c r="J4557">
        <v>-302.68830000000003</v>
      </c>
      <c r="K4557">
        <v>1.0419259999999999</v>
      </c>
      <c r="L4557">
        <v>0.58770749999999905</v>
      </c>
      <c r="M4557">
        <v>0.33496479999999901</v>
      </c>
      <c r="N4557">
        <v>0</v>
      </c>
      <c r="O4557">
        <v>-0.94211889999999998</v>
      </c>
      <c r="P4557">
        <v>0.27278940000000002</v>
      </c>
      <c r="Q4557">
        <v>0.14923439999999999</v>
      </c>
      <c r="R4557">
        <v>-0.95042910000000003</v>
      </c>
      <c r="S4557">
        <v>-0.71087650000000002</v>
      </c>
      <c r="T4557">
        <v>-7.9951229999999998E-2</v>
      </c>
      <c r="U4557">
        <v>-3.4008180000000001</v>
      </c>
      <c r="V4557">
        <v>6.6692660000000001E-2</v>
      </c>
      <c r="W4557">
        <v>0.161445799999999</v>
      </c>
      <c r="X4557">
        <v>0.98462550000000004</v>
      </c>
      <c r="Y4557">
        <v>0.52065119999999998</v>
      </c>
      <c r="Z4557">
        <v>1.9512109999999999E-2</v>
      </c>
      <c r="AA4557">
        <v>0.85354649999999999</v>
      </c>
      <c r="AB4557">
        <v>30</v>
      </c>
      <c r="AC4557">
        <v>-8.6440999999999804</v>
      </c>
      <c r="AD4557">
        <v>-0.96193921999999998</v>
      </c>
      <c r="AE4557">
        <v>-40.6165375</v>
      </c>
      <c r="AF4557">
        <v>21.7395050031521</v>
      </c>
      <c r="AG4557">
        <v>-0.96193921999999998</v>
      </c>
      <c r="AH4557">
        <v>35.354891315340602</v>
      </c>
      <c r="AI4557">
        <v>91.327710903153303</v>
      </c>
      <c r="AJ4557">
        <v>58.412897667201797</v>
      </c>
      <c r="AK4557">
        <v>41.515054435284</v>
      </c>
      <c r="AL4557">
        <v>80.709174566989603</v>
      </c>
      <c r="AM4557">
        <v>86.125044290081703</v>
      </c>
      <c r="AN4557">
        <v>1.0000000162428799</v>
      </c>
    </row>
    <row r="4558" spans="1:40" x14ac:dyDescent="0.3">
      <c r="A4558" t="str">
        <f>"20200111150118974"</f>
        <v>20200111150118974</v>
      </c>
      <c r="B4558" t="str">
        <f>"1578726078972050"</f>
        <v>1578726078972050</v>
      </c>
      <c r="C4558" t="s">
        <v>40</v>
      </c>
      <c r="D4558">
        <v>4.6221009999999998</v>
      </c>
      <c r="E4558">
        <v>0.70028419999999902</v>
      </c>
      <c r="F4558" t="s">
        <v>42</v>
      </c>
      <c r="G4558">
        <v>-311.31220000000002</v>
      </c>
      <c r="H4558">
        <v>7.9986329999999994E-2</v>
      </c>
      <c r="I4558">
        <v>-38.524880000000003</v>
      </c>
      <c r="J4558">
        <v>-302.601</v>
      </c>
      <c r="K4558">
        <v>1.0420180000000001</v>
      </c>
      <c r="L4558">
        <v>0.30172729999999998</v>
      </c>
      <c r="M4558">
        <v>0.32071749999999999</v>
      </c>
      <c r="N4558">
        <v>0</v>
      </c>
      <c r="O4558">
        <v>-0.94706089999999998</v>
      </c>
      <c r="P4558">
        <v>0.26129659999999999</v>
      </c>
      <c r="Q4558">
        <v>0.14775439999999901</v>
      </c>
      <c r="R4558">
        <v>-0.95388329999999999</v>
      </c>
      <c r="S4558">
        <v>-0.74606319999999904</v>
      </c>
      <c r="T4558">
        <v>-8.3218340000000002E-2</v>
      </c>
      <c r="U4558">
        <v>-3.383667</v>
      </c>
      <c r="V4558">
        <v>6.3961560000000001E-2</v>
      </c>
      <c r="W4558">
        <v>0.16016229999999901</v>
      </c>
      <c r="X4558">
        <v>0.98501620000000001</v>
      </c>
      <c r="Y4558">
        <v>0.51711499999999999</v>
      </c>
      <c r="Z4558">
        <v>2.0595929999999998E-2</v>
      </c>
      <c r="AA4558">
        <v>0.85566810000000004</v>
      </c>
      <c r="AB4558">
        <v>30</v>
      </c>
      <c r="AC4558">
        <v>-8.7112000000000194</v>
      </c>
      <c r="AD4558">
        <v>-0.96203167000000001</v>
      </c>
      <c r="AE4558">
        <v>-38.826607299999999</v>
      </c>
      <c r="AF4558">
        <v>20.692549939541099</v>
      </c>
      <c r="AG4558">
        <v>-0.96203167000000001</v>
      </c>
      <c r="AH4558">
        <v>33.9611458674771</v>
      </c>
      <c r="AI4558">
        <v>91.385756975126398</v>
      </c>
      <c r="AJ4558">
        <v>58.646019214658097</v>
      </c>
      <c r="AK4558">
        <v>39.780228211594498</v>
      </c>
      <c r="AL4558">
        <v>80.783682987961598</v>
      </c>
      <c r="AM4558">
        <v>86.284741646478494</v>
      </c>
      <c r="AN4558">
        <v>0.99999997888068104</v>
      </c>
    </row>
    <row r="4559" spans="1:40" x14ac:dyDescent="0.3">
      <c r="A4559" t="str">
        <f>"20200111150118997"</f>
        <v>20200111150118997</v>
      </c>
      <c r="B4559" t="str">
        <f>"1578726078992544"</f>
        <v>1578726078992544</v>
      </c>
      <c r="C4559" t="s">
        <v>40</v>
      </c>
      <c r="D4559">
        <v>4.5991359999999997</v>
      </c>
      <c r="E4559">
        <v>0.69818769999999997</v>
      </c>
      <c r="F4559" t="s">
        <v>42</v>
      </c>
      <c r="G4559">
        <v>-311.59100000000001</v>
      </c>
      <c r="H4559">
        <v>7.9986559999999998E-2</v>
      </c>
      <c r="I4559">
        <v>-39.261290000000002</v>
      </c>
      <c r="J4559">
        <v>-302.51749999999998</v>
      </c>
      <c r="K4559">
        <v>1.0421400000000001</v>
      </c>
      <c r="L4559">
        <v>8.7280269999999993E-3</v>
      </c>
      <c r="M4559">
        <v>0.30688500000000002</v>
      </c>
      <c r="N4559">
        <v>0</v>
      </c>
      <c r="O4559">
        <v>-0.95164660000000001</v>
      </c>
      <c r="P4559">
        <v>0.25046099999999999</v>
      </c>
      <c r="Q4559">
        <v>0.1489559</v>
      </c>
      <c r="R4559">
        <v>-0.95659930000000004</v>
      </c>
      <c r="S4559">
        <v>-0.76516719999999905</v>
      </c>
      <c r="T4559">
        <v>-8.1880930000000005E-2</v>
      </c>
      <c r="U4559">
        <v>-3.3673099999999998</v>
      </c>
      <c r="V4559">
        <v>6.0982210000000002E-2</v>
      </c>
      <c r="W4559">
        <v>0.16050639999999999</v>
      </c>
      <c r="X4559">
        <v>0.9851491</v>
      </c>
      <c r="Y4559">
        <v>0.51012049999999998</v>
      </c>
      <c r="Z4559">
        <v>2.0565989999999999E-2</v>
      </c>
      <c r="AA4559">
        <v>0.85985710000000004</v>
      </c>
      <c r="AB4559">
        <v>29</v>
      </c>
      <c r="AC4559">
        <v>-9.0735000000000205</v>
      </c>
      <c r="AD4559">
        <v>-0.96215344000000003</v>
      </c>
      <c r="AE4559">
        <v>-39.270018026999999</v>
      </c>
      <c r="AF4559">
        <v>20.676331039841301</v>
      </c>
      <c r="AG4559">
        <v>-0.96215344000000003</v>
      </c>
      <c r="AH4559">
        <v>34.570249576772802</v>
      </c>
      <c r="AI4559">
        <v>91.368286198430994</v>
      </c>
      <c r="AJ4559">
        <v>59.1165212212981</v>
      </c>
      <c r="AK4559">
        <v>40.293157735669801</v>
      </c>
      <c r="AL4559">
        <v>80.763708757343196</v>
      </c>
      <c r="AM4559">
        <v>86.457824814719601</v>
      </c>
      <c r="AN4559">
        <v>0.99999994180412499</v>
      </c>
    </row>
    <row r="4560" spans="1:40" x14ac:dyDescent="0.3">
      <c r="A4560" t="str">
        <f>"20200111150119019"</f>
        <v>20200111150119019</v>
      </c>
      <c r="B4560" t="str">
        <f>"1578726079012065"</f>
        <v>1578726079012065</v>
      </c>
      <c r="C4560" t="s">
        <v>40</v>
      </c>
      <c r="D4560">
        <v>4.5974009999999996</v>
      </c>
      <c r="E4560">
        <v>0.67664769999999996</v>
      </c>
      <c r="F4560" t="s">
        <v>83</v>
      </c>
      <c r="G4560">
        <v>-312.19240000000002</v>
      </c>
      <c r="H4560">
        <v>7.9986650000000006E-2</v>
      </c>
      <c r="I4560">
        <v>-41.24006</v>
      </c>
      <c r="J4560">
        <v>-302.43979999999999</v>
      </c>
      <c r="K4560">
        <v>1.0427770000000001</v>
      </c>
      <c r="L4560">
        <v>-0.28643800000000003</v>
      </c>
      <c r="M4560">
        <v>0.29254150000000001</v>
      </c>
      <c r="N4560">
        <v>0</v>
      </c>
      <c r="O4560">
        <v>-0.95617739999999996</v>
      </c>
      <c r="P4560">
        <v>0.2386393</v>
      </c>
      <c r="Q4560">
        <v>0.15162059999999999</v>
      </c>
      <c r="R4560">
        <v>-0.95919909999999997</v>
      </c>
      <c r="S4560">
        <v>-0.78674319999999998</v>
      </c>
      <c r="T4560">
        <v>-7.8240630000000005E-2</v>
      </c>
      <c r="U4560">
        <v>-3.354279</v>
      </c>
      <c r="V4560">
        <v>5.8351399999999998E-2</v>
      </c>
      <c r="W4560">
        <v>0.16144910000000001</v>
      </c>
      <c r="X4560">
        <v>0.98515439999999999</v>
      </c>
      <c r="Y4560">
        <v>0.50314119999999996</v>
      </c>
      <c r="Z4560">
        <v>1.991745E-2</v>
      </c>
      <c r="AA4560">
        <v>0.86397469999999998</v>
      </c>
      <c r="AB4560">
        <v>29</v>
      </c>
      <c r="AC4560">
        <v>-9.7526000000000295</v>
      </c>
      <c r="AD4560">
        <v>-0.96279035000000002</v>
      </c>
      <c r="AE4560">
        <v>-40.953621999999903</v>
      </c>
      <c r="AF4560">
        <v>21.296248088433298</v>
      </c>
      <c r="AG4560">
        <v>-0.96279035000000002</v>
      </c>
      <c r="AH4560">
        <v>36.289526064493202</v>
      </c>
      <c r="AI4560">
        <v>91.310797299234295</v>
      </c>
      <c r="AJ4560">
        <v>59.593763976368699</v>
      </c>
      <c r="AK4560">
        <v>42.0878468193335</v>
      </c>
      <c r="AL4560">
        <v>80.708982307917395</v>
      </c>
      <c r="AM4560">
        <v>86.610290296305095</v>
      </c>
      <c r="AN4560">
        <v>0.99999994480606302</v>
      </c>
    </row>
    <row r="4561" spans="1:40" x14ac:dyDescent="0.3">
      <c r="A4561" t="str">
        <f>"20200111150119042"</f>
        <v>20200111150119042</v>
      </c>
      <c r="B4561" t="str">
        <f>"1578726079032561"</f>
        <v>1578726079032561</v>
      </c>
      <c r="C4561" t="s">
        <v>40</v>
      </c>
      <c r="D4561">
        <v>4.5788849999999996</v>
      </c>
      <c r="E4561">
        <v>0.67191350000000005</v>
      </c>
      <c r="F4561" t="s">
        <v>83</v>
      </c>
      <c r="G4561">
        <v>-310.67250000000001</v>
      </c>
      <c r="H4561">
        <v>7.9986650000000006E-2</v>
      </c>
      <c r="I4561">
        <v>-41.48169</v>
      </c>
      <c r="J4561">
        <v>-302.36869999999999</v>
      </c>
      <c r="K4561">
        <v>1.044214</v>
      </c>
      <c r="L4561">
        <v>-0.57931519999999903</v>
      </c>
      <c r="M4561">
        <v>0.27762219999999999</v>
      </c>
      <c r="N4561">
        <v>0</v>
      </c>
      <c r="O4561">
        <v>-0.9606382</v>
      </c>
      <c r="P4561">
        <v>0.22691059999999999</v>
      </c>
      <c r="Q4561">
        <v>0.1540666</v>
      </c>
      <c r="R4561">
        <v>-0.96165259999999997</v>
      </c>
      <c r="S4561">
        <v>-0.66030880000000003</v>
      </c>
      <c r="T4561">
        <v>-7.7221629999999999E-2</v>
      </c>
      <c r="U4561">
        <v>-3.3041079999999998</v>
      </c>
      <c r="V4561">
        <v>5.4865749999999998E-2</v>
      </c>
      <c r="W4561">
        <v>0.16209370000000001</v>
      </c>
      <c r="X4561">
        <v>0.98524889999999998</v>
      </c>
      <c r="Y4561">
        <v>0.46047149999999998</v>
      </c>
      <c r="Z4561">
        <v>2.0459749999999999E-2</v>
      </c>
      <c r="AA4561">
        <v>0.88743869999999903</v>
      </c>
      <c r="AB4561">
        <v>30</v>
      </c>
      <c r="AC4561">
        <v>-8.3038000000000203</v>
      </c>
      <c r="AD4561">
        <v>-0.96422735000000004</v>
      </c>
      <c r="AE4561">
        <v>-40.902374799999997</v>
      </c>
      <c r="AF4561">
        <v>19.3230097619331</v>
      </c>
      <c r="AG4561">
        <v>-0.96422735000000004</v>
      </c>
      <c r="AH4561">
        <v>36.969185429446497</v>
      </c>
      <c r="AI4561">
        <v>91.324151639640803</v>
      </c>
      <c r="AJ4561">
        <v>62.404885093649597</v>
      </c>
      <c r="AK4561">
        <v>41.725640941261197</v>
      </c>
      <c r="AL4561">
        <v>80.671557063288006</v>
      </c>
      <c r="AM4561">
        <v>86.812650619649204</v>
      </c>
      <c r="AN4561">
        <v>1.0000000065269801</v>
      </c>
    </row>
    <row r="4562" spans="1:40" x14ac:dyDescent="0.3">
      <c r="A4562" t="str">
        <f>"20200111150119064"</f>
        <v>20200111150119064</v>
      </c>
      <c r="B4562" t="str">
        <f>"1578726079052080"</f>
        <v>1578726079052080</v>
      </c>
      <c r="C4562" t="s">
        <v>40</v>
      </c>
      <c r="D4562">
        <v>4.5849900000000003</v>
      </c>
      <c r="E4562">
        <v>0.67002059999999997</v>
      </c>
      <c r="F4562" t="s">
        <v>83</v>
      </c>
      <c r="G4562">
        <v>-311.87119999999999</v>
      </c>
      <c r="H4562">
        <v>7.9987649999999993E-2</v>
      </c>
      <c r="I4562">
        <v>-47.68497</v>
      </c>
      <c r="J4562">
        <v>-302.3023</v>
      </c>
      <c r="K4562">
        <v>1.0462340000000001</v>
      </c>
      <c r="L4562">
        <v>-0.87347410000000003</v>
      </c>
      <c r="M4562">
        <v>0.26191750000000003</v>
      </c>
      <c r="N4562">
        <v>0</v>
      </c>
      <c r="O4562">
        <v>-0.96505560000000001</v>
      </c>
      <c r="P4562">
        <v>0.2152038</v>
      </c>
      <c r="Q4562">
        <v>0.15420200000000001</v>
      </c>
      <c r="R4562">
        <v>-0.96431829999999996</v>
      </c>
      <c r="S4562">
        <v>-0.66305539999999996</v>
      </c>
      <c r="T4562">
        <v>-6.7280290000000006E-2</v>
      </c>
      <c r="U4562">
        <v>-3.2868650000000001</v>
      </c>
      <c r="V4562">
        <v>5.0485919999999997E-2</v>
      </c>
      <c r="W4562">
        <v>0.16063160000000001</v>
      </c>
      <c r="X4562">
        <v>0.9857224</v>
      </c>
      <c r="Y4562">
        <v>0.4475594</v>
      </c>
      <c r="Z4562">
        <v>1.8119340000000001E-2</v>
      </c>
      <c r="AA4562">
        <v>0.89407060000000005</v>
      </c>
      <c r="AB4562">
        <v>30</v>
      </c>
      <c r="AC4562">
        <v>-9.5688999999999798</v>
      </c>
      <c r="AD4562">
        <v>-0.96624635000000003</v>
      </c>
      <c r="AE4562">
        <v>-46.811495899999997</v>
      </c>
      <c r="AF4562">
        <v>21.487202045913399</v>
      </c>
      <c r="AG4562">
        <v>-0.96624635000000003</v>
      </c>
      <c r="AH4562">
        <v>42.653417503024698</v>
      </c>
      <c r="AI4562">
        <v>91.159010292175395</v>
      </c>
      <c r="AJ4562">
        <v>63.262737696301699</v>
      </c>
      <c r="AK4562">
        <v>47.769734230557802</v>
      </c>
      <c r="AL4562">
        <v>80.756441514587905</v>
      </c>
      <c r="AM4562">
        <v>87.0680337596567</v>
      </c>
      <c r="AN4562">
        <v>0.999999994449283</v>
      </c>
    </row>
    <row r="4563" spans="1:40" x14ac:dyDescent="0.3">
      <c r="A4563" t="str">
        <f>"20200111150119087"</f>
        <v>20200111150119087</v>
      </c>
      <c r="B4563" t="str">
        <f>"1578726079082336"</f>
        <v>1578726079082336</v>
      </c>
      <c r="C4563" t="s">
        <v>40</v>
      </c>
      <c r="D4563">
        <v>4.6249989999999999</v>
      </c>
      <c r="E4563">
        <v>0.66738769999999903</v>
      </c>
      <c r="F4563" t="s">
        <v>83</v>
      </c>
      <c r="G4563">
        <v>-311.74090000000001</v>
      </c>
      <c r="H4563">
        <v>7.9987719999999998E-2</v>
      </c>
      <c r="I4563">
        <v>-45.814369999999997</v>
      </c>
      <c r="J4563">
        <v>-302.23880000000003</v>
      </c>
      <c r="K4563">
        <v>1.048508</v>
      </c>
      <c r="L4563">
        <v>-1.1766970000000001</v>
      </c>
      <c r="M4563">
        <v>0.24518770000000001</v>
      </c>
      <c r="N4563">
        <v>0</v>
      </c>
      <c r="O4563">
        <v>-0.96945420000000004</v>
      </c>
      <c r="P4563">
        <v>0.20307069999999999</v>
      </c>
      <c r="Q4563">
        <v>0.15345610000000001</v>
      </c>
      <c r="R4563">
        <v>-0.96706440000000005</v>
      </c>
      <c r="S4563">
        <v>-0.6879883</v>
      </c>
      <c r="T4563">
        <v>-7.0430640000000003E-2</v>
      </c>
      <c r="U4563">
        <v>-3.2757869999999998</v>
      </c>
      <c r="V4563">
        <v>4.5510929999999998E-2</v>
      </c>
      <c r="W4563">
        <v>0.15841820000000001</v>
      </c>
      <c r="X4563">
        <v>0.9863227</v>
      </c>
      <c r="Y4563">
        <v>0.43917990000000001</v>
      </c>
      <c r="Z4563">
        <v>1.920125E-2</v>
      </c>
      <c r="AA4563">
        <v>0.89819400000000005</v>
      </c>
      <c r="AB4563">
        <v>30</v>
      </c>
      <c r="AC4563">
        <v>-9.5020999999999791</v>
      </c>
      <c r="AD4563">
        <v>-0.96852028000000001</v>
      </c>
      <c r="AE4563">
        <v>-44.637672999999999</v>
      </c>
      <c r="AF4563">
        <v>20.1478039279984</v>
      </c>
      <c r="AG4563">
        <v>-0.96852028000000001</v>
      </c>
      <c r="AH4563">
        <v>40.926799968914501</v>
      </c>
      <c r="AI4563">
        <v>91.216288627629098</v>
      </c>
      <c r="AJ4563">
        <v>63.7894947523273</v>
      </c>
      <c r="AK4563">
        <v>45.627568315102799</v>
      </c>
      <c r="AL4563">
        <v>80.884905371716499</v>
      </c>
      <c r="AM4563">
        <v>87.358130376455406</v>
      </c>
      <c r="AN4563">
        <v>1.0000000196879899</v>
      </c>
    </row>
    <row r="4564" spans="1:40" x14ac:dyDescent="0.3">
      <c r="A4564" t="str">
        <f>"20200111150119109"</f>
        <v>20200111150119109</v>
      </c>
      <c r="B4564" t="str">
        <f>"1578726079102833"</f>
        <v>1578726079102833</v>
      </c>
      <c r="C4564" t="s">
        <v>40</v>
      </c>
      <c r="D4564">
        <v>4.5967599999999997</v>
      </c>
      <c r="E4564">
        <v>0.65443099999999998</v>
      </c>
      <c r="F4564" t="s">
        <v>83</v>
      </c>
      <c r="G4564">
        <v>-311.24540000000002</v>
      </c>
      <c r="H4564">
        <v>7.9986989999999994E-2</v>
      </c>
      <c r="I4564">
        <v>-42.67266</v>
      </c>
      <c r="J4564">
        <v>-302.18029999999999</v>
      </c>
      <c r="K4564">
        <v>1.0507959999999901</v>
      </c>
      <c r="L4564">
        <v>-1.47699</v>
      </c>
      <c r="M4564">
        <v>0.22801769999999999</v>
      </c>
      <c r="N4564">
        <v>0</v>
      </c>
      <c r="O4564">
        <v>-0.97364410000000001</v>
      </c>
      <c r="P4564">
        <v>0.18985579999999999</v>
      </c>
      <c r="Q4564">
        <v>0.15213080000000001</v>
      </c>
      <c r="R4564">
        <v>-0.96995410000000004</v>
      </c>
      <c r="S4564">
        <v>-0.7082214</v>
      </c>
      <c r="T4564">
        <v>-7.6158110000000001E-2</v>
      </c>
      <c r="U4564">
        <v>-3.2629700000000001</v>
      </c>
      <c r="V4564">
        <v>4.1253280000000003E-2</v>
      </c>
      <c r="W4564">
        <v>0.15583900000000001</v>
      </c>
      <c r="X4564">
        <v>0.98692069999999998</v>
      </c>
      <c r="Y4564">
        <v>0.42930289999999999</v>
      </c>
      <c r="Z4564">
        <v>2.1029510000000001E-2</v>
      </c>
      <c r="AA4564">
        <v>0.90291569999999999</v>
      </c>
      <c r="AB4564">
        <v>30</v>
      </c>
      <c r="AC4564">
        <v>-9.0651000000000295</v>
      </c>
      <c r="AD4564">
        <v>-0.97080900999999997</v>
      </c>
      <c r="AE4564">
        <v>-41.19567</v>
      </c>
      <c r="AF4564">
        <v>18.2101058109962</v>
      </c>
      <c r="AG4564">
        <v>-0.97080900999999997</v>
      </c>
      <c r="AH4564">
        <v>38.023254298653903</v>
      </c>
      <c r="AI4564">
        <v>91.319137454582801</v>
      </c>
      <c r="AJ4564">
        <v>64.409296632545093</v>
      </c>
      <c r="AK4564">
        <v>42.170111349647598</v>
      </c>
      <c r="AL4564">
        <v>81.034541697193205</v>
      </c>
      <c r="AM4564">
        <v>87.606430119444994</v>
      </c>
      <c r="AN4564">
        <v>1.0000000475601201</v>
      </c>
    </row>
    <row r="4565" spans="1:40" x14ac:dyDescent="0.3">
      <c r="A4565" t="str">
        <f>"20200111150119132"</f>
        <v>20200111150119132</v>
      </c>
      <c r="B4565" t="str">
        <f>"1578726079122353"</f>
        <v>1578726079122353</v>
      </c>
      <c r="C4565" t="s">
        <v>40</v>
      </c>
      <c r="D4565">
        <v>4.5823660000000004</v>
      </c>
      <c r="E4565">
        <v>0.65371360000000001</v>
      </c>
      <c r="F4565" t="s">
        <v>42</v>
      </c>
      <c r="G4565">
        <v>-309.93099999999998</v>
      </c>
      <c r="H4565" s="1">
        <v>-2.7928429999999999E-6</v>
      </c>
      <c r="I4565">
        <v>-39.982849999999999</v>
      </c>
      <c r="J4565">
        <v>-302.12419999999997</v>
      </c>
      <c r="K4565">
        <v>1.053348</v>
      </c>
      <c r="L4565">
        <v>-1.7864070000000001</v>
      </c>
      <c r="M4565">
        <v>0.20938209999999999</v>
      </c>
      <c r="N4565">
        <v>0</v>
      </c>
      <c r="O4565">
        <v>-0.97782469999999999</v>
      </c>
      <c r="P4565">
        <v>0.17511869999999999</v>
      </c>
      <c r="Q4565">
        <v>0.15014430000000001</v>
      </c>
      <c r="R4565">
        <v>-0.97303150000000005</v>
      </c>
      <c r="S4565">
        <v>-0.65100100000000005</v>
      </c>
      <c r="T4565">
        <v>-8.8258859999999995E-2</v>
      </c>
      <c r="U4565">
        <v>-3.2341920000000002</v>
      </c>
      <c r="V4565">
        <v>3.71166E-2</v>
      </c>
      <c r="W4565">
        <v>0.15326770000000001</v>
      </c>
      <c r="X4565">
        <v>0.98748740000000002</v>
      </c>
      <c r="Y4565">
        <v>0.39815600000000001</v>
      </c>
      <c r="Z4565">
        <v>2.4987539999999999E-2</v>
      </c>
      <c r="AA4565">
        <v>0.9169773</v>
      </c>
      <c r="AB4565">
        <v>30</v>
      </c>
      <c r="AC4565">
        <v>-7.8068000000000097</v>
      </c>
      <c r="AD4565">
        <v>-1.0533507928429999</v>
      </c>
      <c r="AE4565">
        <v>-38.196443000000002</v>
      </c>
      <c r="AF4565">
        <v>15.620071180544899</v>
      </c>
      <c r="AG4565">
        <v>-1.0533507928429999</v>
      </c>
      <c r="AH4565">
        <v>35.689089259758802</v>
      </c>
      <c r="AI4565">
        <v>91.548806699257995</v>
      </c>
      <c r="AJ4565">
        <v>66.362410299251493</v>
      </c>
      <c r="AK4565">
        <v>38.971877857874702</v>
      </c>
      <c r="AL4565">
        <v>81.183657644045098</v>
      </c>
      <c r="AM4565">
        <v>87.847442006129896</v>
      </c>
      <c r="AN4565">
        <v>0.99999999750880497</v>
      </c>
    </row>
    <row r="4566" spans="1:40" x14ac:dyDescent="0.3">
      <c r="A4566" t="str">
        <f>"20200111150119153"</f>
        <v>20200111150119153</v>
      </c>
      <c r="B4566" t="str">
        <f>"1578726079142849"</f>
        <v>1578726079142849</v>
      </c>
      <c r="C4566" t="s">
        <v>40</v>
      </c>
      <c r="D4566">
        <v>4.5709559999999998</v>
      </c>
      <c r="E4566">
        <v>0.65168819999999905</v>
      </c>
      <c r="F4566" t="s">
        <v>42</v>
      </c>
      <c r="G4566">
        <v>-309.95780000000002</v>
      </c>
      <c r="H4566">
        <v>3.2841950000000002E-2</v>
      </c>
      <c r="I4566">
        <v>-38.228380000000001</v>
      </c>
      <c r="J4566">
        <v>-302.0772</v>
      </c>
      <c r="K4566">
        <v>1.055639</v>
      </c>
      <c r="L4566">
        <v>-2.0664669999999998</v>
      </c>
      <c r="M4566">
        <v>0.1925627</v>
      </c>
      <c r="N4566">
        <v>0</v>
      </c>
      <c r="O4566">
        <v>-0.98127529999999996</v>
      </c>
      <c r="P4566">
        <v>0.1626766</v>
      </c>
      <c r="Q4566">
        <v>0.1470254</v>
      </c>
      <c r="R4566">
        <v>-0.97566370000000002</v>
      </c>
      <c r="S4566">
        <v>-0.69253540000000002</v>
      </c>
      <c r="T4566">
        <v>-9.0219439999999998E-2</v>
      </c>
      <c r="U4566">
        <v>-3.2217099999999999</v>
      </c>
      <c r="V4566">
        <v>3.2712819999999997E-2</v>
      </c>
      <c r="W4566">
        <v>0.15036920000000001</v>
      </c>
      <c r="X4566">
        <v>0.98808850000000004</v>
      </c>
      <c r="Y4566">
        <v>0.39441500000000002</v>
      </c>
      <c r="Z4566">
        <v>2.5772509999999998E-2</v>
      </c>
      <c r="AA4566">
        <v>0.91857089999999997</v>
      </c>
      <c r="AB4566">
        <v>30</v>
      </c>
      <c r="AC4566">
        <v>-7.88060000000001</v>
      </c>
      <c r="AD4566">
        <v>-1.0227970500000001</v>
      </c>
      <c r="AE4566">
        <v>-36.161912999999998</v>
      </c>
      <c r="AF4566">
        <v>14.685393576992899</v>
      </c>
      <c r="AG4566">
        <v>-1.0227970500000001</v>
      </c>
      <c r="AH4566">
        <v>33.9416733586636</v>
      </c>
      <c r="AI4566">
        <v>91.584186497482307</v>
      </c>
      <c r="AJ4566">
        <v>66.603526287143296</v>
      </c>
      <c r="AK4566">
        <v>36.996541577597398</v>
      </c>
      <c r="AL4566">
        <v>81.351676764523305</v>
      </c>
      <c r="AM4566">
        <v>88.103791135961998</v>
      </c>
      <c r="AN4566">
        <v>0.99999995436662004</v>
      </c>
    </row>
    <row r="4567" spans="1:40" x14ac:dyDescent="0.3">
      <c r="A4567" t="str">
        <f>"20200111150119177"</f>
        <v>20200111150119177</v>
      </c>
      <c r="B4567" t="str">
        <f>"1578726079172128"</f>
        <v>1578726079172128</v>
      </c>
      <c r="C4567" t="s">
        <v>40</v>
      </c>
      <c r="D4567">
        <v>4.5336249999999998</v>
      </c>
      <c r="E4567">
        <v>0.64790049999999999</v>
      </c>
      <c r="F4567" t="s">
        <v>42</v>
      </c>
      <c r="G4567">
        <v>-309.95780000000002</v>
      </c>
      <c r="H4567">
        <v>5.4699390000000001E-3</v>
      </c>
      <c r="I4567">
        <v>-37.408650000000002</v>
      </c>
      <c r="J4567">
        <v>-302.03129999999999</v>
      </c>
      <c r="K4567">
        <v>1.0579379999999901</v>
      </c>
      <c r="L4567">
        <v>-2.3695369999999998</v>
      </c>
      <c r="M4567">
        <v>0.17529310000000001</v>
      </c>
      <c r="N4567">
        <v>0</v>
      </c>
      <c r="O4567">
        <v>-0.98450599999999999</v>
      </c>
      <c r="P4567">
        <v>0.1500514</v>
      </c>
      <c r="Q4567">
        <v>0.14514489999999999</v>
      </c>
      <c r="R4567">
        <v>-0.97796629999999996</v>
      </c>
      <c r="S4567">
        <v>-0.71542359999999905</v>
      </c>
      <c r="T4567">
        <v>-9.5338339999999994E-2</v>
      </c>
      <c r="U4567">
        <v>-3.2084959999999998</v>
      </c>
      <c r="V4567">
        <v>2.8227909999999998E-2</v>
      </c>
      <c r="W4567">
        <v>0.14883550000000001</v>
      </c>
      <c r="X4567">
        <v>0.98845899999999998</v>
      </c>
      <c r="Y4567">
        <v>0.3852701</v>
      </c>
      <c r="Z4567">
        <v>2.752278E-2</v>
      </c>
      <c r="AA4567">
        <v>0.92239340000000003</v>
      </c>
      <c r="AB4567">
        <v>30</v>
      </c>
      <c r="AC4567">
        <v>-7.9265000000000301</v>
      </c>
      <c r="AD4567">
        <v>-1.0524680609999999</v>
      </c>
      <c r="AE4567">
        <v>-35.039113</v>
      </c>
      <c r="AF4567">
        <v>13.933983385587</v>
      </c>
      <c r="AG4567">
        <v>-1.0524680609999999</v>
      </c>
      <c r="AH4567">
        <v>33.0787003970839</v>
      </c>
      <c r="AI4567">
        <v>91.679535333344305</v>
      </c>
      <c r="AJ4567">
        <v>67.157357639741605</v>
      </c>
      <c r="AK4567">
        <v>35.909107507278399</v>
      </c>
      <c r="AL4567">
        <v>81.440551950449006</v>
      </c>
      <c r="AM4567">
        <v>88.364220813235093</v>
      </c>
      <c r="AN4567">
        <v>1.0000000078221001</v>
      </c>
    </row>
    <row r="4568" spans="1:40" x14ac:dyDescent="0.3">
      <c r="A4568" t="str">
        <f>"20200111150119199"</f>
        <v>20200111150119199</v>
      </c>
      <c r="B4568" t="str">
        <f>"1578726079192625"</f>
        <v>1578726079192625</v>
      </c>
      <c r="C4568" t="s">
        <v>40</v>
      </c>
      <c r="D4568">
        <v>4.5841059999999896</v>
      </c>
      <c r="E4568">
        <v>0.63156029999999996</v>
      </c>
      <c r="F4568" t="s">
        <v>42</v>
      </c>
      <c r="G4568">
        <v>-309.95780000000002</v>
      </c>
      <c r="H4568">
        <v>2.5791250000000002E-2</v>
      </c>
      <c r="I4568">
        <v>-37.182429999999997</v>
      </c>
      <c r="J4568">
        <v>-301.9896</v>
      </c>
      <c r="K4568">
        <v>1.0604819999999999</v>
      </c>
      <c r="L4568">
        <v>-2.6814269999999998</v>
      </c>
      <c r="M4568">
        <v>0.1581717</v>
      </c>
      <c r="N4568">
        <v>0</v>
      </c>
      <c r="O4568">
        <v>-0.98740139999999998</v>
      </c>
      <c r="P4568">
        <v>0.13720639999999901</v>
      </c>
      <c r="Q4568">
        <v>0.14363229999999999</v>
      </c>
      <c r="R4568">
        <v>-0.98007379999999999</v>
      </c>
      <c r="S4568">
        <v>-0.7270508</v>
      </c>
      <c r="T4568">
        <v>-9.4672560000000003E-2</v>
      </c>
      <c r="U4568">
        <v>-3.1931759999999998</v>
      </c>
      <c r="V4568">
        <v>2.4113699999999998E-2</v>
      </c>
      <c r="W4568">
        <v>0.14743020000000001</v>
      </c>
      <c r="X4568">
        <v>0.9887785</v>
      </c>
      <c r="Y4568">
        <v>0.37335000000000002</v>
      </c>
      <c r="Z4568">
        <v>2.7647419999999999E-2</v>
      </c>
      <c r="AA4568">
        <v>0.92727850000000001</v>
      </c>
      <c r="AB4568">
        <v>29</v>
      </c>
      <c r="AC4568">
        <v>-7.9682000000000199</v>
      </c>
      <c r="AD4568">
        <v>-1.03469075</v>
      </c>
      <c r="AE4568">
        <v>-34.501002999999997</v>
      </c>
      <c r="AF4568">
        <v>13.313660578252801</v>
      </c>
      <c r="AG4568">
        <v>-1.03469075</v>
      </c>
      <c r="AH4568">
        <v>32.778337826087302</v>
      </c>
      <c r="AI4568">
        <v>91.675189661385701</v>
      </c>
      <c r="AJ4568">
        <v>67.894361416373499</v>
      </c>
      <c r="AK4568">
        <v>35.394117782227198</v>
      </c>
      <c r="AL4568">
        <v>81.521968114552294</v>
      </c>
      <c r="AM4568">
        <v>88.602983950066104</v>
      </c>
      <c r="AN4568">
        <v>1.00000002823098</v>
      </c>
    </row>
    <row r="4569" spans="1:40" x14ac:dyDescent="0.3">
      <c r="A4569" t="str">
        <f>"20200111150119220"</f>
        <v>20200111150119220</v>
      </c>
      <c r="B4569" t="str">
        <f>"1578726079212145"</f>
        <v>1578726079212145</v>
      </c>
      <c r="C4569" t="s">
        <v>40</v>
      </c>
      <c r="D4569">
        <v>4.6035629999999896</v>
      </c>
      <c r="E4569">
        <v>0.59127830000000003</v>
      </c>
      <c r="F4569" t="s">
        <v>83</v>
      </c>
      <c r="G4569">
        <v>-310.77140000000003</v>
      </c>
      <c r="H4569">
        <v>7.9987660000000002E-2</v>
      </c>
      <c r="I4569">
        <v>-46.10962</v>
      </c>
      <c r="J4569">
        <v>-301.95549999999997</v>
      </c>
      <c r="K4569">
        <v>1.063199</v>
      </c>
      <c r="L4569">
        <v>-2.9751590000000001</v>
      </c>
      <c r="M4569">
        <v>0.14244979999999999</v>
      </c>
      <c r="N4569">
        <v>0</v>
      </c>
      <c r="O4569">
        <v>-0.98979209999999995</v>
      </c>
      <c r="P4569">
        <v>0.12380389999999999</v>
      </c>
      <c r="Q4569">
        <v>0.14223359999999999</v>
      </c>
      <c r="R4569">
        <v>-0.98206059999999995</v>
      </c>
      <c r="S4569">
        <v>-0.639190699999999</v>
      </c>
      <c r="T4569">
        <v>-7.1365949999999997E-2</v>
      </c>
      <c r="U4569">
        <v>-3.1609500000000001</v>
      </c>
      <c r="V4569">
        <v>2.1888919999999999E-2</v>
      </c>
      <c r="W4569">
        <v>0.1460515</v>
      </c>
      <c r="X4569">
        <v>0.98903479999999999</v>
      </c>
      <c r="Y4569">
        <v>0.33576020000000001</v>
      </c>
      <c r="Z4569">
        <v>2.1353509999999999E-2</v>
      </c>
      <c r="AA4569">
        <v>0.94170540000000003</v>
      </c>
      <c r="AB4569">
        <v>30</v>
      </c>
      <c r="AC4569">
        <v>-8.8159000000000507</v>
      </c>
      <c r="AD4569">
        <v>-0.98321133999999999</v>
      </c>
      <c r="AE4569">
        <v>-43.134461000000002</v>
      </c>
      <c r="AF4569">
        <v>14.8631368356865</v>
      </c>
      <c r="AG4569">
        <v>-0.98321133999999999</v>
      </c>
      <c r="AH4569">
        <v>41.418075985386501</v>
      </c>
      <c r="AI4569">
        <v>91.279979749360095</v>
      </c>
      <c r="AJ4569">
        <v>70.259156555929493</v>
      </c>
      <c r="AK4569">
        <v>44.015185555290998</v>
      </c>
      <c r="AL4569">
        <v>81.601826043018704</v>
      </c>
      <c r="AM4569">
        <v>88.732159847790001</v>
      </c>
      <c r="AN4569">
        <v>1.0000000005410199</v>
      </c>
    </row>
    <row r="4570" spans="1:40" x14ac:dyDescent="0.3">
      <c r="A4570" t="str">
        <f>"20200111150119242"</f>
        <v>20200111150119242</v>
      </c>
      <c r="B4570" t="str">
        <f>"1578726079232640"</f>
        <v>1578726079232640</v>
      </c>
      <c r="C4570" t="s">
        <v>40</v>
      </c>
      <c r="D4570">
        <v>4.6724249999999996</v>
      </c>
      <c r="E4570">
        <v>0.57773790000000003</v>
      </c>
      <c r="F4570" t="s">
        <v>42</v>
      </c>
      <c r="G4570">
        <v>-305.39210000000003</v>
      </c>
      <c r="H4570" s="1">
        <v>-4.5445369999999998E-6</v>
      </c>
      <c r="I4570">
        <v>-32.469479999999997</v>
      </c>
      <c r="J4570">
        <v>-301.92610000000002</v>
      </c>
      <c r="K4570">
        <v>1.066174</v>
      </c>
      <c r="L4570">
        <v>-3.2721559999999998</v>
      </c>
      <c r="M4570">
        <v>0.12704209999999999</v>
      </c>
      <c r="N4570">
        <v>0</v>
      </c>
      <c r="O4570">
        <v>-0.99188690000000002</v>
      </c>
      <c r="P4570">
        <v>0.1114653</v>
      </c>
      <c r="Q4570">
        <v>0.14004820000000001</v>
      </c>
      <c r="R4570">
        <v>-0.98385069999999997</v>
      </c>
      <c r="S4570">
        <v>-0.36315920000000002</v>
      </c>
      <c r="T4570">
        <v>-0.1123555</v>
      </c>
      <c r="U4570">
        <v>-3.1168520000000002</v>
      </c>
      <c r="V4570">
        <v>1.885154E-2</v>
      </c>
      <c r="W4570">
        <v>0.1440997</v>
      </c>
      <c r="X4570">
        <v>0.98938360000000003</v>
      </c>
      <c r="Y4570">
        <v>0.2409114</v>
      </c>
      <c r="Z4570">
        <v>3.4936889999999998E-2</v>
      </c>
      <c r="AA4570">
        <v>0.96991810000000001</v>
      </c>
      <c r="AB4570">
        <v>30</v>
      </c>
      <c r="AC4570">
        <v>-3.4660000000000002</v>
      </c>
      <c r="AD4570">
        <v>-1.066178544537</v>
      </c>
      <c r="AE4570">
        <v>-29.197323999999998</v>
      </c>
      <c r="AF4570">
        <v>7.1378576129687996</v>
      </c>
      <c r="AG4570">
        <v>-1.066178544537</v>
      </c>
      <c r="AH4570">
        <v>28.482957647603602</v>
      </c>
      <c r="AI4570">
        <v>92.079461066196103</v>
      </c>
      <c r="AJ4570">
        <v>75.931352035654101</v>
      </c>
      <c r="AK4570">
        <v>29.383066966316299</v>
      </c>
      <c r="AL4570">
        <v>81.714851757273394</v>
      </c>
      <c r="AM4570">
        <v>88.908428443033898</v>
      </c>
      <c r="AN4570">
        <v>1.0000000060247101</v>
      </c>
    </row>
    <row r="4571" spans="1:40" x14ac:dyDescent="0.3">
      <c r="A4571" t="str">
        <f>"20200111150119264"</f>
        <v>20200111150119264</v>
      </c>
      <c r="B4571" t="str">
        <f>"1578726079261921"</f>
        <v>1578726079261921</v>
      </c>
      <c r="C4571" t="s">
        <v>40</v>
      </c>
      <c r="D4571">
        <v>4.6295869999999999</v>
      </c>
      <c r="E4571">
        <v>0.57084080000000004</v>
      </c>
      <c r="F4571" t="s">
        <v>42</v>
      </c>
      <c r="G4571">
        <v>-304.24059999999997</v>
      </c>
      <c r="H4571" s="1">
        <v>-2.3540989999999998E-6</v>
      </c>
      <c r="I4571">
        <v>-27.553519999999999</v>
      </c>
      <c r="J4571">
        <v>-301.9008</v>
      </c>
      <c r="K4571">
        <v>1.0692809999999999</v>
      </c>
      <c r="L4571">
        <v>-3.5775450000000002</v>
      </c>
      <c r="M4571">
        <v>0.1115905</v>
      </c>
      <c r="N4571">
        <v>0</v>
      </c>
      <c r="O4571">
        <v>-0.99374189999999996</v>
      </c>
      <c r="P4571">
        <v>9.9538219999999997E-2</v>
      </c>
      <c r="Q4571">
        <v>0.137302799999999</v>
      </c>
      <c r="R4571">
        <v>-0.98551509999999998</v>
      </c>
      <c r="S4571">
        <v>-0.29568480000000003</v>
      </c>
      <c r="T4571">
        <v>-0.13621259999999999</v>
      </c>
      <c r="U4571">
        <v>-3.1021420000000002</v>
      </c>
      <c r="V4571">
        <v>1.533372E-2</v>
      </c>
      <c r="W4571">
        <v>0.1418122</v>
      </c>
      <c r="X4571">
        <v>0.98977479999999995</v>
      </c>
      <c r="Y4571">
        <v>0.20529310000000001</v>
      </c>
      <c r="Z4571">
        <v>4.289109E-2</v>
      </c>
      <c r="AA4571">
        <v>0.97776030000000003</v>
      </c>
      <c r="AB4571">
        <v>30</v>
      </c>
      <c r="AC4571">
        <v>-2.3397999999999599</v>
      </c>
      <c r="AD4571">
        <v>-1.0692833540990001</v>
      </c>
      <c r="AE4571">
        <v>-23.975974999999998</v>
      </c>
      <c r="AF4571">
        <v>4.99087666989365</v>
      </c>
      <c r="AG4571">
        <v>-1.0692833540990001</v>
      </c>
      <c r="AH4571">
        <v>23.518783937429198</v>
      </c>
      <c r="AI4571">
        <v>92.546534846463601</v>
      </c>
      <c r="AJ4571">
        <v>78.019103183030495</v>
      </c>
      <c r="AK4571">
        <v>24.0662713090525</v>
      </c>
      <c r="AL4571">
        <v>81.847275864915005</v>
      </c>
      <c r="AM4571">
        <v>89.112437330214206</v>
      </c>
      <c r="AN4571">
        <v>0.99999998887645902</v>
      </c>
    </row>
    <row r="4572" spans="1:40" x14ac:dyDescent="0.3">
      <c r="A4572" t="str">
        <f>"20200111150119288"</f>
        <v>20200111150119288</v>
      </c>
      <c r="B4572" t="str">
        <f>"1578726079282420"</f>
        <v>1578726079282420</v>
      </c>
      <c r="C4572" t="s">
        <v>40</v>
      </c>
      <c r="D4572">
        <v>4.6644909999999999</v>
      </c>
      <c r="E4572">
        <v>0.56869769999999997</v>
      </c>
      <c r="F4572" t="s">
        <v>42</v>
      </c>
      <c r="G4572">
        <v>-303.91899999999998</v>
      </c>
      <c r="H4572" s="1">
        <v>-3.0550239999999998E-6</v>
      </c>
      <c r="I4572">
        <v>-25.720210000000002</v>
      </c>
      <c r="J4572">
        <v>-301.87950000000001</v>
      </c>
      <c r="K4572">
        <v>1.072363</v>
      </c>
      <c r="L4572">
        <v>-3.8904719999999999</v>
      </c>
      <c r="M4572">
        <v>9.6141320000000002E-2</v>
      </c>
      <c r="N4572">
        <v>0</v>
      </c>
      <c r="O4572">
        <v>-0.99535289999999998</v>
      </c>
      <c r="P4572">
        <v>8.57594E-2</v>
      </c>
      <c r="Q4572">
        <v>0.13608879999999901</v>
      </c>
      <c r="R4572">
        <v>-0.98697800000000002</v>
      </c>
      <c r="S4572">
        <v>-0.28195189999999998</v>
      </c>
      <c r="T4572">
        <v>-0.1493816</v>
      </c>
      <c r="U4572">
        <v>-3.0933839999999999</v>
      </c>
      <c r="V4572">
        <v>1.3692940000000001E-2</v>
      </c>
      <c r="W4572">
        <v>0.14114179999999901</v>
      </c>
      <c r="X4572">
        <v>0.98989470000000002</v>
      </c>
      <c r="Y4572">
        <v>0.18599250000000001</v>
      </c>
      <c r="Z4572">
        <v>4.738005E-2</v>
      </c>
      <c r="AA4572">
        <v>0.98140810000000001</v>
      </c>
      <c r="AB4572">
        <v>30</v>
      </c>
      <c r="AC4572">
        <v>-2.0395000000000301</v>
      </c>
      <c r="AD4572">
        <v>-1.072366055024</v>
      </c>
      <c r="AE4572">
        <v>-21.829737999999999</v>
      </c>
      <c r="AF4572">
        <v>4.1189690775969101</v>
      </c>
      <c r="AG4572">
        <v>-1.072366055024</v>
      </c>
      <c r="AH4572">
        <v>21.4811406627216</v>
      </c>
      <c r="AI4572">
        <v>92.806855644255407</v>
      </c>
      <c r="AJ4572">
        <v>79.145391971723996</v>
      </c>
      <c r="AK4572">
        <v>21.898750635362699</v>
      </c>
      <c r="AL4572">
        <v>81.886077416939202</v>
      </c>
      <c r="AM4572">
        <v>89.207493850296899</v>
      </c>
      <c r="AN4572">
        <v>1.00000001070058</v>
      </c>
    </row>
    <row r="4573" spans="1:40" x14ac:dyDescent="0.3">
      <c r="A4573" t="str">
        <f>"20200111150119309"</f>
        <v>20200111150119309</v>
      </c>
      <c r="B4573" t="str">
        <f>"1578726079301936"</f>
        <v>1578726079301936</v>
      </c>
      <c r="C4573" t="s">
        <v>40</v>
      </c>
      <c r="D4573">
        <v>4.5086240000000002</v>
      </c>
      <c r="E4573">
        <v>0.566999699999999</v>
      </c>
      <c r="F4573" t="s">
        <v>42</v>
      </c>
      <c r="G4573">
        <v>-304.01749999999998</v>
      </c>
      <c r="H4573" s="1">
        <v>-3.2723040000000001E-6</v>
      </c>
      <c r="I4573">
        <v>-25.274840000000001</v>
      </c>
      <c r="J4573">
        <v>-301.86329999999998</v>
      </c>
      <c r="K4573">
        <v>1.075205</v>
      </c>
      <c r="L4573">
        <v>-4.193085</v>
      </c>
      <c r="M4573">
        <v>8.1612149999999994E-2</v>
      </c>
      <c r="N4573">
        <v>0</v>
      </c>
      <c r="O4573">
        <v>-0.99664620000000004</v>
      </c>
      <c r="P4573">
        <v>7.1726490000000004E-2</v>
      </c>
      <c r="Q4573">
        <v>0.13540839999999901</v>
      </c>
      <c r="R4573">
        <v>-0.98819009999999996</v>
      </c>
      <c r="S4573">
        <v>-0.30871579999999998</v>
      </c>
      <c r="T4573">
        <v>-0.15484289999999901</v>
      </c>
      <c r="U4573">
        <v>-3.0877690000000002</v>
      </c>
      <c r="V4573">
        <v>1.3229579999999999E-2</v>
      </c>
      <c r="W4573">
        <v>0.14101440000000001</v>
      </c>
      <c r="X4573">
        <v>0.98991910000000005</v>
      </c>
      <c r="Y4573">
        <v>0.18023890000000001</v>
      </c>
      <c r="Z4573">
        <v>4.9300579999999997E-2</v>
      </c>
      <c r="AA4573">
        <v>0.9823866</v>
      </c>
      <c r="AB4573">
        <v>30</v>
      </c>
      <c r="AC4573">
        <v>-2.1541999999999999</v>
      </c>
      <c r="AD4573">
        <v>-1.075208272304</v>
      </c>
      <c r="AE4573">
        <v>-21.081754999999902</v>
      </c>
      <c r="AF4573">
        <v>3.8576410858274701</v>
      </c>
      <c r="AG4573">
        <v>-1.075208272304</v>
      </c>
      <c r="AH4573">
        <v>20.7821156004734</v>
      </c>
      <c r="AI4573">
        <v>92.912026366000205</v>
      </c>
      <c r="AJ4573">
        <v>79.484265170321194</v>
      </c>
      <c r="AK4573">
        <v>21.164446517859499</v>
      </c>
      <c r="AL4573">
        <v>81.893450177282404</v>
      </c>
      <c r="AM4573">
        <v>89.234327354443494</v>
      </c>
      <c r="AN4573">
        <v>0.99999995366957195</v>
      </c>
    </row>
    <row r="4574" spans="1:40" x14ac:dyDescent="0.3">
      <c r="A4574" t="str">
        <f>"20200111150119332"</f>
        <v>20200111150119332</v>
      </c>
      <c r="B4574" t="str">
        <f>"1578726079322433"</f>
        <v>1578726079322433</v>
      </c>
      <c r="C4574" t="s">
        <v>40</v>
      </c>
      <c r="D4574">
        <v>4.4920600000000004</v>
      </c>
      <c r="E4574">
        <v>0.56547559999999997</v>
      </c>
      <c r="F4574" t="s">
        <v>42</v>
      </c>
      <c r="G4574">
        <v>-304.06970000000001</v>
      </c>
      <c r="H4574" s="1">
        <v>-3.6700169999999998E-6</v>
      </c>
      <c r="I4574">
        <v>-24.35003</v>
      </c>
      <c r="J4574">
        <v>-301.85120000000001</v>
      </c>
      <c r="K4574">
        <v>1.077863</v>
      </c>
      <c r="L4574">
        <v>-4.4972839999999996</v>
      </c>
      <c r="M4574">
        <v>6.7483959999999996E-2</v>
      </c>
      <c r="N4574">
        <v>0</v>
      </c>
      <c r="O4574">
        <v>-0.997699</v>
      </c>
      <c r="P4574">
        <v>6.0094960000000003E-2</v>
      </c>
      <c r="Q4574">
        <v>0.13507079999999999</v>
      </c>
      <c r="R4574">
        <v>-0.989012</v>
      </c>
      <c r="S4574">
        <v>-0.33746340000000002</v>
      </c>
      <c r="T4574">
        <v>-0.164446799999999</v>
      </c>
      <c r="U4574">
        <v>-3.0828859999999998</v>
      </c>
      <c r="V4574">
        <v>1.0758709999999999E-2</v>
      </c>
      <c r="W4574">
        <v>0.14130139999999999</v>
      </c>
      <c r="X4574">
        <v>0.98990820000000002</v>
      </c>
      <c r="Y4574">
        <v>0.17549890000000001</v>
      </c>
      <c r="Z4574">
        <v>5.2513949999999997E-2</v>
      </c>
      <c r="AA4574">
        <v>0.98307800000000001</v>
      </c>
      <c r="AB4574">
        <v>30</v>
      </c>
      <c r="AC4574">
        <v>-2.2185000000000001</v>
      </c>
      <c r="AD4574">
        <v>-1.0778666700170001</v>
      </c>
      <c r="AE4574">
        <v>-19.852746</v>
      </c>
      <c r="AF4574">
        <v>3.5428981387640599</v>
      </c>
      <c r="AG4574">
        <v>-1.0778666700170001</v>
      </c>
      <c r="AH4574">
        <v>19.600705438991799</v>
      </c>
      <c r="AI4574">
        <v>93.097500707136504</v>
      </c>
      <c r="AJ4574">
        <v>79.754208554128496</v>
      </c>
      <c r="AK4574">
        <v>19.947470453320999</v>
      </c>
      <c r="AL4574">
        <v>81.876840676945605</v>
      </c>
      <c r="AM4574">
        <v>89.377311546186206</v>
      </c>
      <c r="AN4574">
        <v>1.00000003995503</v>
      </c>
    </row>
    <row r="4575" spans="1:40" x14ac:dyDescent="0.3">
      <c r="A4575" t="str">
        <f>"20200111150119354"</f>
        <v>20200111150119354</v>
      </c>
      <c r="B4575" t="str">
        <f>"1578726079352689"</f>
        <v>1578726079352689</v>
      </c>
      <c r="C4575" t="s">
        <v>40</v>
      </c>
      <c r="D4575">
        <v>4.608339</v>
      </c>
      <c r="E4575">
        <v>0.56308040000000004</v>
      </c>
      <c r="F4575" t="s">
        <v>42</v>
      </c>
      <c r="G4575">
        <v>-304.16019999999997</v>
      </c>
      <c r="H4575" s="1">
        <v>-3.7375729999999999E-6</v>
      </c>
      <c r="I4575">
        <v>-24.198699999999999</v>
      </c>
      <c r="J4575">
        <v>-301.84300000000002</v>
      </c>
      <c r="K4575">
        <v>1.080335</v>
      </c>
      <c r="L4575">
        <v>-4.804443</v>
      </c>
      <c r="M4575">
        <v>5.375423E-2</v>
      </c>
      <c r="N4575">
        <v>0</v>
      </c>
      <c r="O4575">
        <v>-0.99852909999999995</v>
      </c>
      <c r="P4575">
        <v>5.038169E-2</v>
      </c>
      <c r="Q4575">
        <v>0.1356444</v>
      </c>
      <c r="R4575">
        <v>-0.98947600000000002</v>
      </c>
      <c r="S4575">
        <v>-0.36077880000000001</v>
      </c>
      <c r="T4575">
        <v>-0.16841130000000001</v>
      </c>
      <c r="U4575">
        <v>-3.0782470000000002</v>
      </c>
      <c r="V4575">
        <v>6.772925E-3</v>
      </c>
      <c r="W4575">
        <v>0.14252490000000001</v>
      </c>
      <c r="X4575">
        <v>0.98976799999999998</v>
      </c>
      <c r="Y4575">
        <v>0.16945750000000001</v>
      </c>
      <c r="Z4575">
        <v>5.3930690000000003E-2</v>
      </c>
      <c r="AA4575">
        <v>0.98406079999999996</v>
      </c>
      <c r="AB4575">
        <v>30</v>
      </c>
      <c r="AC4575">
        <v>-2.31719999999995</v>
      </c>
      <c r="AD4575">
        <v>-1.080338737573</v>
      </c>
      <c r="AE4575">
        <v>-19.394257</v>
      </c>
      <c r="AF4575">
        <v>3.3461622789354002</v>
      </c>
      <c r="AG4575">
        <v>-1.080338737573</v>
      </c>
      <c r="AH4575">
        <v>19.182967002954602</v>
      </c>
      <c r="AI4575">
        <v>93.175507496772596</v>
      </c>
      <c r="AJ4575">
        <v>80.105221510386798</v>
      </c>
      <c r="AK4575">
        <v>19.502567954536602</v>
      </c>
      <c r="AL4575">
        <v>81.806021859875401</v>
      </c>
      <c r="AM4575">
        <v>89.607934424483204</v>
      </c>
      <c r="AN4575">
        <v>0.99999995672853104</v>
      </c>
    </row>
    <row r="4576" spans="1:40" x14ac:dyDescent="0.3">
      <c r="A4576" t="str">
        <f>"20200111150119377"</f>
        <v>20200111150119377</v>
      </c>
      <c r="B4576" t="str">
        <f>"1578726079372208"</f>
        <v>1578726079372208</v>
      </c>
      <c r="C4576" t="s">
        <v>40</v>
      </c>
      <c r="D4576">
        <v>4.6575790000000001</v>
      </c>
      <c r="E4576">
        <v>0.56119819999999998</v>
      </c>
      <c r="F4576" t="s">
        <v>42</v>
      </c>
      <c r="G4576">
        <v>-304.2079</v>
      </c>
      <c r="H4576" s="1">
        <v>-3.6957809999999999E-6</v>
      </c>
      <c r="I4576">
        <v>-24.346319999999999</v>
      </c>
      <c r="J4576">
        <v>-301.83870000000002</v>
      </c>
      <c r="K4576">
        <v>1.082578</v>
      </c>
      <c r="L4576">
        <v>-5.1097720000000004</v>
      </c>
      <c r="M4576">
        <v>4.0662530000000002E-2</v>
      </c>
      <c r="N4576">
        <v>0</v>
      </c>
      <c r="O4576">
        <v>-0.99914420000000004</v>
      </c>
      <c r="P4576">
        <v>4.1545989999999998E-2</v>
      </c>
      <c r="Q4576">
        <v>0.137101799999999</v>
      </c>
      <c r="R4576">
        <v>-0.9896855</v>
      </c>
      <c r="S4576">
        <v>-0.37200929999999999</v>
      </c>
      <c r="T4576">
        <v>-0.169949499999999</v>
      </c>
      <c r="U4576">
        <v>-3.0741580000000002</v>
      </c>
      <c r="V4576">
        <v>2.5534799999999999E-3</v>
      </c>
      <c r="W4576">
        <v>0.14459369999999999</v>
      </c>
      <c r="X4576">
        <v>0.98948780000000003</v>
      </c>
      <c r="Y4576">
        <v>0.1602256</v>
      </c>
      <c r="Z4576">
        <v>5.4575350000000002E-2</v>
      </c>
      <c r="AA4576">
        <v>0.98557050000000002</v>
      </c>
      <c r="AB4576">
        <v>30</v>
      </c>
      <c r="AC4576">
        <v>-2.36919999999997</v>
      </c>
      <c r="AD4576">
        <v>-1.0825816957809999</v>
      </c>
      <c r="AE4576">
        <v>-19.236547999999999</v>
      </c>
      <c r="AF4576">
        <v>3.1396743778665099</v>
      </c>
      <c r="AG4576">
        <v>-1.0825816957809999</v>
      </c>
      <c r="AH4576">
        <v>19.0648181161385</v>
      </c>
      <c r="AI4576">
        <v>93.206904452224094</v>
      </c>
      <c r="AJ4576">
        <v>80.648230079702103</v>
      </c>
      <c r="AK4576">
        <v>19.3519205281676</v>
      </c>
      <c r="AL4576">
        <v>81.686247882492594</v>
      </c>
      <c r="AM4576">
        <v>89.852142388919901</v>
      </c>
      <c r="AN4576">
        <v>0.99999998234431997</v>
      </c>
    </row>
    <row r="4577" spans="1:40" x14ac:dyDescent="0.3">
      <c r="A4577" t="str">
        <f>"20200111150119399"</f>
        <v>20200111150119399</v>
      </c>
      <c r="B4577" t="str">
        <f>"1578726079392704"</f>
        <v>1578726079392704</v>
      </c>
      <c r="C4577" t="s">
        <v>40</v>
      </c>
      <c r="D4577">
        <v>4.6082689999999999</v>
      </c>
      <c r="E4577">
        <v>0.55943290000000001</v>
      </c>
      <c r="F4577" t="s">
        <v>42</v>
      </c>
      <c r="G4577">
        <v>-304.29270000000002</v>
      </c>
      <c r="H4577" s="1">
        <v>-3.5873419999999998E-6</v>
      </c>
      <c r="I4577">
        <v>-24.70918</v>
      </c>
      <c r="J4577">
        <v>-301.83789999999999</v>
      </c>
      <c r="K4577">
        <v>1.0846439999999999</v>
      </c>
      <c r="L4577">
        <v>-5.4190370000000003</v>
      </c>
      <c r="M4577">
        <v>2.798233E-2</v>
      </c>
      <c r="N4577">
        <v>0</v>
      </c>
      <c r="O4577">
        <v>-0.99957620000000003</v>
      </c>
      <c r="P4577">
        <v>3.5680749999999997E-2</v>
      </c>
      <c r="Q4577">
        <v>0.137181</v>
      </c>
      <c r="R4577">
        <v>-0.98990330000000004</v>
      </c>
      <c r="S4577">
        <v>-0.38449100000000003</v>
      </c>
      <c r="T4577">
        <v>-0.169622</v>
      </c>
      <c r="U4577">
        <v>-3.0708920000000002</v>
      </c>
      <c r="V4577">
        <v>-4.2675020000000003E-3</v>
      </c>
      <c r="W4577">
        <v>0.14530889999999999</v>
      </c>
      <c r="X4577">
        <v>0.98937710000000001</v>
      </c>
      <c r="Y4577">
        <v>0.15176719999999999</v>
      </c>
      <c r="Z4577">
        <v>5.4586990000000002E-2</v>
      </c>
      <c r="AA4577">
        <v>0.9869078</v>
      </c>
      <c r="AB4577">
        <v>30</v>
      </c>
      <c r="AC4577">
        <v>-2.4548000000000298</v>
      </c>
      <c r="AD4577">
        <v>-1.0846475873419901</v>
      </c>
      <c r="AE4577">
        <v>-19.290143</v>
      </c>
      <c r="AF4577">
        <v>2.9843542538075098</v>
      </c>
      <c r="AG4577">
        <v>-1.0846475873419901</v>
      </c>
      <c r="AH4577">
        <v>19.154302498163901</v>
      </c>
      <c r="AI4577">
        <v>93.202461864187001</v>
      </c>
      <c r="AJ4577">
        <v>81.144178504178996</v>
      </c>
      <c r="AK4577">
        <v>19.415718758060802</v>
      </c>
      <c r="AL4577">
        <v>81.644832414098104</v>
      </c>
      <c r="AM4577">
        <v>90.247133612989998</v>
      </c>
      <c r="AN4577">
        <v>0.99999996699846905</v>
      </c>
    </row>
    <row r="4578" spans="1:40" x14ac:dyDescent="0.3">
      <c r="A4578" t="str">
        <f>"20200111150119421"</f>
        <v>20200111150119421</v>
      </c>
      <c r="B4578" t="str">
        <f>"1578726079412224"</f>
        <v>1578726079412224</v>
      </c>
      <c r="C4578" t="s">
        <v>40</v>
      </c>
      <c r="D4578">
        <v>4.6342049999999997</v>
      </c>
      <c r="E4578">
        <v>0.55792679999999995</v>
      </c>
      <c r="F4578" t="s">
        <v>42</v>
      </c>
      <c r="G4578">
        <v>-304.26589999999999</v>
      </c>
      <c r="H4578" s="1">
        <v>-3.6205899999999998E-6</v>
      </c>
      <c r="I4578">
        <v>-24.597529999999999</v>
      </c>
      <c r="J4578">
        <v>-301.84059999999999</v>
      </c>
      <c r="K4578">
        <v>1.086471</v>
      </c>
      <c r="L4578">
        <v>-5.7195130000000001</v>
      </c>
      <c r="M4578">
        <v>1.6252450000000002E-2</v>
      </c>
      <c r="N4578">
        <v>0</v>
      </c>
      <c r="O4578">
        <v>-0.99983230000000001</v>
      </c>
      <c r="P4578">
        <v>3.2316150000000002E-2</v>
      </c>
      <c r="Q4578">
        <v>0.1339727</v>
      </c>
      <c r="R4578">
        <v>-0.99045810000000001</v>
      </c>
      <c r="S4578">
        <v>-0.38848880000000002</v>
      </c>
      <c r="T4578">
        <v>-0.1735497</v>
      </c>
      <c r="U4578">
        <v>-3.0686650000000002</v>
      </c>
      <c r="V4578">
        <v>-1.2724839999999999E-2</v>
      </c>
      <c r="W4578">
        <v>0.1427089</v>
      </c>
      <c r="X4578">
        <v>0.98968290000000003</v>
      </c>
      <c r="Y4578">
        <v>0.14150699999999999</v>
      </c>
      <c r="Z4578">
        <v>5.5947299999999998E-2</v>
      </c>
      <c r="AA4578">
        <v>0.98835499999999998</v>
      </c>
      <c r="AB4578">
        <v>30</v>
      </c>
      <c r="AC4578">
        <v>-2.4252999999999898</v>
      </c>
      <c r="AD4578">
        <v>-1.08647462059</v>
      </c>
      <c r="AE4578">
        <v>-18.878017</v>
      </c>
      <c r="AF4578">
        <v>2.72293194305318</v>
      </c>
      <c r="AG4578">
        <v>-1.08647462059</v>
      </c>
      <c r="AH4578">
        <v>18.774926968832499</v>
      </c>
      <c r="AI4578">
        <v>93.277704432595797</v>
      </c>
      <c r="AJ4578">
        <v>81.747916493492198</v>
      </c>
      <c r="AK4578">
        <v>19.0024384791184</v>
      </c>
      <c r="AL4578">
        <v>81.7953708916816</v>
      </c>
      <c r="AM4578">
        <v>90.736639437749503</v>
      </c>
      <c r="AN4578">
        <v>0.99999999712232202</v>
      </c>
    </row>
    <row r="4579" spans="1:40" x14ac:dyDescent="0.3">
      <c r="A4579" t="str">
        <f>"20200111150119443"</f>
        <v>20200111150119443</v>
      </c>
      <c r="B4579" t="str">
        <f>"1578726079432720"</f>
        <v>1578726079432720</v>
      </c>
      <c r="C4579" t="s">
        <v>40</v>
      </c>
      <c r="D4579">
        <v>4.6092309999999896</v>
      </c>
      <c r="E4579">
        <v>0.55662140000000004</v>
      </c>
      <c r="F4579" t="s">
        <v>41</v>
      </c>
      <c r="G4579">
        <v>-301.96589999999998</v>
      </c>
      <c r="H4579">
        <v>1.0257700000000001</v>
      </c>
      <c r="I4579">
        <v>-6.7099449999999896</v>
      </c>
      <c r="J4579">
        <v>-301.84660000000002</v>
      </c>
      <c r="K4579">
        <v>1.0881559999999999</v>
      </c>
      <c r="L4579">
        <v>-6.0260930000000004</v>
      </c>
      <c r="M4579">
        <v>4.915534E-3</v>
      </c>
      <c r="N4579">
        <v>0</v>
      </c>
      <c r="O4579">
        <v>-0.99994890000000003</v>
      </c>
      <c r="P4579">
        <v>2.9082799999999999E-2</v>
      </c>
      <c r="Q4579">
        <v>0.1299157</v>
      </c>
      <c r="R4579">
        <v>-0.99109860000000005</v>
      </c>
      <c r="S4579">
        <v>-0.38717649999999998</v>
      </c>
      <c r="T4579">
        <v>-0.18729899999999999</v>
      </c>
      <c r="U4579">
        <v>-3.0668639999999998</v>
      </c>
      <c r="V4579">
        <v>-2.095663E-2</v>
      </c>
      <c r="W4579">
        <v>0.13919999999999999</v>
      </c>
      <c r="X4579">
        <v>0.99004250000000005</v>
      </c>
      <c r="Y4579">
        <v>0.12989729999999999</v>
      </c>
      <c r="Z4579">
        <v>6.0459850000000002E-2</v>
      </c>
      <c r="AA4579">
        <v>0.98968239999999996</v>
      </c>
      <c r="AB4579">
        <v>30</v>
      </c>
      <c r="AC4579">
        <v>-0.119299999999952</v>
      </c>
      <c r="AD4579">
        <v>-6.2385999999999803E-2</v>
      </c>
      <c r="AE4579">
        <v>-0.68385199999999802</v>
      </c>
      <c r="AF4579">
        <v>0.121677444395734</v>
      </c>
      <c r="AG4579">
        <v>-6.2385999999999803E-2</v>
      </c>
      <c r="AH4579">
        <v>0.67778309144514204</v>
      </c>
      <c r="AI4579">
        <v>95.1766305673857</v>
      </c>
      <c r="AJ4579">
        <v>79.822518019205205</v>
      </c>
      <c r="AK4579">
        <v>0.69143859634794103</v>
      </c>
      <c r="AL4579">
        <v>81.998443537135699</v>
      </c>
      <c r="AM4579">
        <v>91.2126218499819</v>
      </c>
      <c r="AN4579">
        <v>0.99999998607360296</v>
      </c>
    </row>
    <row r="4580" spans="1:40" x14ac:dyDescent="0.3">
      <c r="A4580" t="str">
        <f>"20200111150119465"</f>
        <v>20200111150119465</v>
      </c>
      <c r="B4580" t="str">
        <f>"1578726079462000"</f>
        <v>1578726079462000</v>
      </c>
      <c r="C4580" t="s">
        <v>40</v>
      </c>
      <c r="D4580">
        <v>4.5415919999999996</v>
      </c>
      <c r="E4580">
        <v>0.55502640000000003</v>
      </c>
      <c r="F4580" t="s">
        <v>41</v>
      </c>
      <c r="G4580">
        <v>-301.96690000000001</v>
      </c>
      <c r="H4580">
        <v>1.024764</v>
      </c>
      <c r="I4580">
        <v>-6.9817150000000003</v>
      </c>
      <c r="J4580">
        <v>-301.85579999999999</v>
      </c>
      <c r="K4580">
        <v>1.0896490000000001</v>
      </c>
      <c r="L4580">
        <v>-6.3351139999999999</v>
      </c>
      <c r="M4580">
        <v>-5.995719E-3</v>
      </c>
      <c r="N4580">
        <v>0</v>
      </c>
      <c r="O4580">
        <v>-0.99994000000000005</v>
      </c>
      <c r="P4580">
        <v>2.5274350000000001E-2</v>
      </c>
      <c r="Q4580">
        <v>0.1264999</v>
      </c>
      <c r="R4580">
        <v>-0.99164479999999999</v>
      </c>
      <c r="S4580">
        <v>-0.385376</v>
      </c>
      <c r="T4580">
        <v>-0.20319229999999999</v>
      </c>
      <c r="U4580">
        <v>-3.06488</v>
      </c>
      <c r="V4580">
        <v>-2.8169360000000001E-2</v>
      </c>
      <c r="W4580">
        <v>0.13625860000000001</v>
      </c>
      <c r="X4580">
        <v>0.99027279999999995</v>
      </c>
      <c r="Y4580">
        <v>0.1185364</v>
      </c>
      <c r="Z4580">
        <v>6.5659449999999994E-2</v>
      </c>
      <c r="AA4580">
        <v>0.9907764</v>
      </c>
      <c r="AB4580">
        <v>30</v>
      </c>
      <c r="AC4580">
        <v>-0.111100000000021</v>
      </c>
      <c r="AD4580">
        <v>-6.4884999999999804E-2</v>
      </c>
      <c r="AE4580">
        <v>-0.64660099999999898</v>
      </c>
      <c r="AF4580">
        <v>0.106182439466878</v>
      </c>
      <c r="AG4580">
        <v>-6.4884999999999804E-2</v>
      </c>
      <c r="AH4580">
        <v>0.64098609163451403</v>
      </c>
      <c r="AI4580">
        <v>95.702984783606993</v>
      </c>
      <c r="AJ4580">
        <v>80.594094361158895</v>
      </c>
      <c r="AK4580">
        <v>0.65295324744198002</v>
      </c>
      <c r="AL4580">
        <v>82.168595620496404</v>
      </c>
      <c r="AM4580">
        <v>91.629399814667593</v>
      </c>
      <c r="AN4580">
        <v>1.0000000686682999</v>
      </c>
    </row>
    <row r="4581" spans="1:40" x14ac:dyDescent="0.3">
      <c r="A4581" t="str">
        <f>"20200111150119489"</f>
        <v>20200111150119489</v>
      </c>
      <c r="B4581" t="str">
        <f>"1578726079482496"</f>
        <v>1578726079482496</v>
      </c>
      <c r="C4581" t="s">
        <v>40</v>
      </c>
      <c r="D4581">
        <v>4.569725</v>
      </c>
      <c r="E4581">
        <v>0.55344190000000004</v>
      </c>
      <c r="F4581" t="s">
        <v>41</v>
      </c>
      <c r="G4581">
        <v>-301.971</v>
      </c>
      <c r="H4581">
        <v>1.024024</v>
      </c>
      <c r="I4581">
        <v>-7.25387</v>
      </c>
      <c r="J4581">
        <v>-301.8682</v>
      </c>
      <c r="K4581">
        <v>1.0909979999999999</v>
      </c>
      <c r="L4581">
        <v>-6.65036</v>
      </c>
      <c r="M4581">
        <v>-1.6558409999999999E-2</v>
      </c>
      <c r="N4581">
        <v>0</v>
      </c>
      <c r="O4581">
        <v>-0.99981799999999998</v>
      </c>
      <c r="P4581">
        <v>2.2509999999999999E-2</v>
      </c>
      <c r="Q4581">
        <v>0.1244849</v>
      </c>
      <c r="R4581">
        <v>-0.99196620000000002</v>
      </c>
      <c r="S4581">
        <v>-0.38348389999999999</v>
      </c>
      <c r="T4581">
        <v>-0.2183039</v>
      </c>
      <c r="U4581">
        <v>-3.062897</v>
      </c>
      <c r="V4581">
        <v>-3.6049650000000003E-2</v>
      </c>
      <c r="W4581">
        <v>0.13468579999999999</v>
      </c>
      <c r="X4581">
        <v>0.99023229999999995</v>
      </c>
      <c r="Y4581">
        <v>0.1074753</v>
      </c>
      <c r="Z4581">
        <v>7.05987E-2</v>
      </c>
      <c r="AA4581">
        <v>0.99169799999999997</v>
      </c>
      <c r="AB4581">
        <v>30</v>
      </c>
      <c r="AC4581">
        <v>-0.102800000000001</v>
      </c>
      <c r="AD4581">
        <v>-6.6973999999999798E-2</v>
      </c>
      <c r="AE4581">
        <v>-0.60350999999999899</v>
      </c>
      <c r="AF4581">
        <v>9.1694884810191293E-2</v>
      </c>
      <c r="AG4581">
        <v>-6.6973999999999798E-2</v>
      </c>
      <c r="AH4581">
        <v>0.597972985163855</v>
      </c>
      <c r="AI4581">
        <v>96.317358064726406</v>
      </c>
      <c r="AJ4581">
        <v>81.282010011830494</v>
      </c>
      <c r="AK4581">
        <v>0.60865849173582298</v>
      </c>
      <c r="AL4581">
        <v>82.259547792070904</v>
      </c>
      <c r="AM4581">
        <v>92.084946156715802</v>
      </c>
      <c r="AN4581">
        <v>0.99999992497502299</v>
      </c>
    </row>
    <row r="4582" spans="1:40" x14ac:dyDescent="0.3">
      <c r="A4582" t="str">
        <f>"20200111150119510"</f>
        <v>20200111150119510</v>
      </c>
      <c r="B4582" t="str">
        <f>"1578726079502016"</f>
        <v>1578726079502016</v>
      </c>
      <c r="C4582" t="s">
        <v>40</v>
      </c>
      <c r="D4582">
        <v>4.5418129999999897</v>
      </c>
      <c r="E4582">
        <v>0.55205590000000004</v>
      </c>
      <c r="F4582" t="s">
        <v>41</v>
      </c>
      <c r="G4582">
        <v>-301.97739999999999</v>
      </c>
      <c r="H4582">
        <v>1.0265569999999999</v>
      </c>
      <c r="I4582">
        <v>-7.5277250000000002</v>
      </c>
      <c r="J4582">
        <v>-301.88249999999999</v>
      </c>
      <c r="K4582">
        <v>1.092184</v>
      </c>
      <c r="L4582">
        <v>-6.9495539999999902</v>
      </c>
      <c r="M4582">
        <v>-2.5984320000000002E-2</v>
      </c>
      <c r="N4582">
        <v>0</v>
      </c>
      <c r="O4582">
        <v>-0.99961509999999998</v>
      </c>
      <c r="P4582">
        <v>2.0358290000000001E-2</v>
      </c>
      <c r="Q4582">
        <v>0.12501489999999901</v>
      </c>
      <c r="R4582">
        <v>-0.99194590000000005</v>
      </c>
      <c r="S4582">
        <v>-0.3807373</v>
      </c>
      <c r="T4582">
        <v>-0.22472980000000001</v>
      </c>
      <c r="U4582">
        <v>-3.0611269999999999</v>
      </c>
      <c r="V4582">
        <v>-4.3360669999999997E-2</v>
      </c>
      <c r="W4582">
        <v>0.13557359999999999</v>
      </c>
      <c r="X4582">
        <v>0.98981799999999998</v>
      </c>
      <c r="Y4582">
        <v>9.7271789999999997E-2</v>
      </c>
      <c r="Z4582">
        <v>7.2727860000000005E-2</v>
      </c>
      <c r="AA4582">
        <v>0.99259699999999995</v>
      </c>
      <c r="AB4582">
        <v>30</v>
      </c>
      <c r="AC4582">
        <v>-9.4899999999995502E-2</v>
      </c>
      <c r="AD4582">
        <v>-6.5627000000000102E-2</v>
      </c>
      <c r="AE4582">
        <v>-0.57817100000000099</v>
      </c>
      <c r="AF4582">
        <v>7.8854551353122096E-2</v>
      </c>
      <c r="AG4582">
        <v>-6.5627000000000102E-2</v>
      </c>
      <c r="AH4582">
        <v>0.57324977342210304</v>
      </c>
      <c r="AI4582">
        <v>96.470517974167706</v>
      </c>
      <c r="AJ4582">
        <v>82.167715089104405</v>
      </c>
      <c r="AK4582">
        <v>0.58235748997209202</v>
      </c>
      <c r="AL4582">
        <v>82.208210390162293</v>
      </c>
      <c r="AM4582">
        <v>92.508335890937701</v>
      </c>
      <c r="AN4582">
        <v>1.0000000109219001</v>
      </c>
    </row>
    <row r="4583" spans="1:40" x14ac:dyDescent="0.3">
      <c r="A4583" t="str">
        <f>"20200111150119533"</f>
        <v>20200111150119533</v>
      </c>
      <c r="B4583" t="str">
        <f>"1578726079522513"</f>
        <v>1578726079522513</v>
      </c>
      <c r="C4583" t="s">
        <v>40</v>
      </c>
      <c r="D4583">
        <v>4.5369429999999999</v>
      </c>
      <c r="E4583">
        <v>0.53028019999999998</v>
      </c>
      <c r="F4583" t="s">
        <v>41</v>
      </c>
      <c r="G4583">
        <v>-301.98750000000001</v>
      </c>
      <c r="H4583">
        <v>1.0298339999999999</v>
      </c>
      <c r="I4583">
        <v>-7.8019699999999998</v>
      </c>
      <c r="J4583">
        <v>-301.89929999999998</v>
      </c>
      <c r="K4583">
        <v>1.09334</v>
      </c>
      <c r="L4583">
        <v>-7.2516780000000001</v>
      </c>
      <c r="M4583">
        <v>-3.484466E-2</v>
      </c>
      <c r="N4583">
        <v>0</v>
      </c>
      <c r="O4583">
        <v>-0.99934319999999999</v>
      </c>
      <c r="P4583">
        <v>1.707436E-2</v>
      </c>
      <c r="Q4583">
        <v>0.12652089999999999</v>
      </c>
      <c r="R4583">
        <v>-0.99181710000000001</v>
      </c>
      <c r="S4583">
        <v>-0.37695309999999999</v>
      </c>
      <c r="T4583">
        <v>-0.22370909999999999</v>
      </c>
      <c r="U4583">
        <v>-3.0602719999999999</v>
      </c>
      <c r="V4583">
        <v>-4.8980999999999997E-2</v>
      </c>
      <c r="W4583">
        <v>0.13734360000000001</v>
      </c>
      <c r="X4583">
        <v>0.98931170000000002</v>
      </c>
      <c r="Y4583">
        <v>8.727203E-2</v>
      </c>
      <c r="Z4583">
        <v>7.2429080000000007E-2</v>
      </c>
      <c r="AA4583">
        <v>0.99354799999999999</v>
      </c>
      <c r="AB4583">
        <v>30</v>
      </c>
      <c r="AC4583">
        <v>-8.8200000000028894E-2</v>
      </c>
      <c r="AD4583">
        <v>-6.3506000000000007E-2</v>
      </c>
      <c r="AE4583">
        <v>-0.550291999999999</v>
      </c>
      <c r="AF4583">
        <v>6.8086671699623097E-2</v>
      </c>
      <c r="AG4583">
        <v>-6.3506000000000007E-2</v>
      </c>
      <c r="AH4583">
        <v>0.54594242429557505</v>
      </c>
      <c r="AI4583">
        <v>96.584477724698701</v>
      </c>
      <c r="AJ4583">
        <v>82.891117863150697</v>
      </c>
      <c r="AK4583">
        <v>0.55382482568485603</v>
      </c>
      <c r="AL4583">
        <v>82.105839326876506</v>
      </c>
      <c r="AM4583">
        <v>92.834409892452996</v>
      </c>
      <c r="AN4583">
        <v>1.00000002128942</v>
      </c>
    </row>
    <row r="4584" spans="1:40" x14ac:dyDescent="0.3">
      <c r="A4584" t="str">
        <f>"20200111150119555"</f>
        <v>20200111150119555</v>
      </c>
      <c r="B4584" t="str">
        <f>"1578726079552769"</f>
        <v>1578726079552769</v>
      </c>
      <c r="C4584" t="s">
        <v>40</v>
      </c>
      <c r="D4584">
        <v>4.6257590000000004</v>
      </c>
      <c r="E4584">
        <v>0.53100899999999995</v>
      </c>
      <c r="F4584" t="s">
        <v>41</v>
      </c>
      <c r="G4584">
        <v>-301.95690000000002</v>
      </c>
      <c r="H4584">
        <v>1.0322819999999999</v>
      </c>
      <c r="I4584">
        <v>-8.0779149999999902</v>
      </c>
      <c r="J4584">
        <v>-301.91840000000002</v>
      </c>
      <c r="K4584">
        <v>1.0944959999999999</v>
      </c>
      <c r="L4584">
        <v>-7.5558779999999999</v>
      </c>
      <c r="M4584">
        <v>-4.3034559999999999E-2</v>
      </c>
      <c r="N4584">
        <v>0</v>
      </c>
      <c r="O4584">
        <v>-0.99902230000000003</v>
      </c>
      <c r="P4584">
        <v>1.4468399999999999E-2</v>
      </c>
      <c r="Q4584">
        <v>0.1301436</v>
      </c>
      <c r="R4584">
        <v>-0.99138970000000004</v>
      </c>
      <c r="S4584">
        <v>-0.21273800000000001</v>
      </c>
      <c r="T4584">
        <v>-0.22585549999999999</v>
      </c>
      <c r="U4584">
        <v>-3.05722</v>
      </c>
      <c r="V4584">
        <v>-5.4596760000000001E-2</v>
      </c>
      <c r="W4584">
        <v>0.1411683</v>
      </c>
      <c r="X4584">
        <v>0.988479</v>
      </c>
      <c r="Y4584">
        <v>2.623255E-2</v>
      </c>
      <c r="Z4584">
        <v>7.3472190000000007E-2</v>
      </c>
      <c r="AA4584">
        <v>0.99695219999999996</v>
      </c>
      <c r="AB4584">
        <v>30</v>
      </c>
      <c r="AC4584">
        <v>-3.8499999999999E-2</v>
      </c>
      <c r="AD4584">
        <v>-6.2213999999999901E-2</v>
      </c>
      <c r="AE4584">
        <v>-0.52203699999999897</v>
      </c>
      <c r="AF4584">
        <v>1.57747126622085E-2</v>
      </c>
      <c r="AG4584">
        <v>-6.2213999999999901E-2</v>
      </c>
      <c r="AH4584">
        <v>0.51592234446307395</v>
      </c>
      <c r="AI4584">
        <v>96.872796873293694</v>
      </c>
      <c r="AJ4584">
        <v>88.248684183950402</v>
      </c>
      <c r="AK4584">
        <v>0.51989930647371496</v>
      </c>
      <c r="AL4584">
        <v>81.884543751964898</v>
      </c>
      <c r="AM4584">
        <v>93.161411327848896</v>
      </c>
      <c r="AN4584">
        <v>1.0000000142841901</v>
      </c>
    </row>
    <row r="4585" spans="1:40" x14ac:dyDescent="0.3">
      <c r="A4585" t="str">
        <f>"20200111150119578"</f>
        <v>20200111150119578</v>
      </c>
      <c r="B4585" t="str">
        <f>"1578726079572288"</f>
        <v>1578726079572288</v>
      </c>
      <c r="C4585" t="s">
        <v>40</v>
      </c>
      <c r="D4585">
        <v>4.5751809999999997</v>
      </c>
      <c r="E4585">
        <v>0.52966939999999996</v>
      </c>
      <c r="F4585" t="s">
        <v>41</v>
      </c>
      <c r="G4585">
        <v>-301.97789999999998</v>
      </c>
      <c r="H4585">
        <v>1.036527</v>
      </c>
      <c r="I4585">
        <v>-8.3540779999999994</v>
      </c>
      <c r="J4585">
        <v>-301.93970000000002</v>
      </c>
      <c r="K4585">
        <v>1.095682</v>
      </c>
      <c r="L4585">
        <v>-7.8692019999999996</v>
      </c>
      <c r="M4585">
        <v>-5.0624780000000001E-2</v>
      </c>
      <c r="N4585">
        <v>0</v>
      </c>
      <c r="O4585">
        <v>-0.99866469999999896</v>
      </c>
      <c r="P4585">
        <v>1.108782E-2</v>
      </c>
      <c r="Q4585">
        <v>0.13381999999999999</v>
      </c>
      <c r="R4585">
        <v>-0.99094360000000004</v>
      </c>
      <c r="S4585">
        <v>-0.227356</v>
      </c>
      <c r="T4585">
        <v>-0.22183410000000001</v>
      </c>
      <c r="U4585">
        <v>-3.0585019999999998</v>
      </c>
      <c r="V4585">
        <v>-5.8887170000000003E-2</v>
      </c>
      <c r="W4585">
        <v>0.14496829999999999</v>
      </c>
      <c r="X4585">
        <v>0.98768239999999996</v>
      </c>
      <c r="Y4585">
        <v>2.3354840000000002E-2</v>
      </c>
      <c r="Z4585">
        <v>7.2092699999999996E-2</v>
      </c>
      <c r="AA4585">
        <v>0.99712440000000002</v>
      </c>
      <c r="AB4585">
        <v>30</v>
      </c>
      <c r="AC4585">
        <v>-3.8199999999960703E-2</v>
      </c>
      <c r="AD4585">
        <v>-5.9154999999999999E-2</v>
      </c>
      <c r="AE4585">
        <v>-0.48487599999999897</v>
      </c>
      <c r="AF4585">
        <v>1.34046858438955E-2</v>
      </c>
      <c r="AG4585">
        <v>-5.9154999999999999E-2</v>
      </c>
      <c r="AH4585">
        <v>0.479101182241437</v>
      </c>
      <c r="AI4585">
        <v>97.036004891034096</v>
      </c>
      <c r="AJ4585">
        <v>88.397349791066901</v>
      </c>
      <c r="AK4585">
        <v>0.48292540050479399</v>
      </c>
      <c r="AL4585">
        <v>81.664556609250994</v>
      </c>
      <c r="AM4585">
        <v>93.412024900405498</v>
      </c>
      <c r="AN4585">
        <v>1.00000001503262</v>
      </c>
    </row>
    <row r="4586" spans="1:40" x14ac:dyDescent="0.3">
      <c r="A4586" t="str">
        <f>"20200111150119600"</f>
        <v>20200111150119600</v>
      </c>
      <c r="B4586" t="str">
        <f>"1578726079592785"</f>
        <v>1578726079592785</v>
      </c>
      <c r="C4586" t="s">
        <v>40</v>
      </c>
      <c r="D4586">
        <v>4.7943860000000003</v>
      </c>
      <c r="E4586">
        <v>0.52911470000000005</v>
      </c>
      <c r="F4586" t="s">
        <v>41</v>
      </c>
      <c r="G4586">
        <v>-301.99700000000001</v>
      </c>
      <c r="H4586">
        <v>1.042219</v>
      </c>
      <c r="I4586">
        <v>-8.6412110000000002</v>
      </c>
      <c r="J4586">
        <v>-301.9615</v>
      </c>
      <c r="K4586">
        <v>1.0968119999999999</v>
      </c>
      <c r="L4586">
        <v>-8.1684570000000001</v>
      </c>
      <c r="M4586">
        <v>-5.6977979999999998E-2</v>
      </c>
      <c r="N4586">
        <v>0</v>
      </c>
      <c r="O4586">
        <v>-0.99832140000000003</v>
      </c>
      <c r="P4586">
        <v>6.7309809999999996E-3</v>
      </c>
      <c r="Q4586">
        <v>0.13561619999999999</v>
      </c>
      <c r="R4586">
        <v>-0.99073900000000004</v>
      </c>
      <c r="S4586">
        <v>-0.22662350000000001</v>
      </c>
      <c r="T4586">
        <v>-0.21166860000000001</v>
      </c>
      <c r="U4586">
        <v>-3.0585330000000002</v>
      </c>
      <c r="V4586">
        <v>-6.1043769999999997E-2</v>
      </c>
      <c r="W4586">
        <v>0.14680950000000001</v>
      </c>
      <c r="X4586">
        <v>0.98727940000000003</v>
      </c>
      <c r="Y4586">
        <v>1.6772370000000002E-2</v>
      </c>
      <c r="Z4586">
        <v>6.8774279999999993E-2</v>
      </c>
      <c r="AA4586">
        <v>0.99749120000000002</v>
      </c>
      <c r="AB4586">
        <v>30</v>
      </c>
      <c r="AC4586">
        <v>-3.5500000000013097E-2</v>
      </c>
      <c r="AD4586">
        <v>-5.45930000000001E-2</v>
      </c>
      <c r="AE4586">
        <v>-0.47275400000000001</v>
      </c>
      <c r="AF4586">
        <v>8.3930046859157399E-3</v>
      </c>
      <c r="AG4586">
        <v>-5.45930000000001E-2</v>
      </c>
      <c r="AH4586">
        <v>0.46780536937640499</v>
      </c>
      <c r="AI4586">
        <v>96.6552615260414</v>
      </c>
      <c r="AJ4586">
        <v>88.9721533986053</v>
      </c>
      <c r="AK4586">
        <v>0.47105488193421002</v>
      </c>
      <c r="AL4586">
        <v>81.557922534952397</v>
      </c>
      <c r="AM4586">
        <v>93.538110442878505</v>
      </c>
      <c r="AN4586">
        <v>0.99999999240521098</v>
      </c>
    </row>
    <row r="4587" spans="1:40" x14ac:dyDescent="0.3">
      <c r="A4587" t="str">
        <f>"20200111150119623"</f>
        <v>20200111150119623</v>
      </c>
      <c r="B4587" t="str">
        <f>"1578726079612305"</f>
        <v>1578726079612305</v>
      </c>
      <c r="C4587" t="s">
        <v>40</v>
      </c>
      <c r="D4587">
        <v>4.5447889999999997</v>
      </c>
      <c r="E4587">
        <v>0.52891739999999998</v>
      </c>
      <c r="F4587" t="s">
        <v>42</v>
      </c>
      <c r="G4587">
        <v>-303.17039999999997</v>
      </c>
      <c r="H4587" s="1">
        <v>-3.622153E-6</v>
      </c>
      <c r="I4587">
        <v>-23.93394</v>
      </c>
      <c r="J4587">
        <v>-301.9846</v>
      </c>
      <c r="K4587">
        <v>1.097944</v>
      </c>
      <c r="L4587">
        <v>-8.4713440000000002</v>
      </c>
      <c r="M4587">
        <v>-6.2386169999999998E-2</v>
      </c>
      <c r="N4587">
        <v>0</v>
      </c>
      <c r="O4587">
        <v>-0.99799669999999896</v>
      </c>
      <c r="P4587">
        <v>3.1990600000000001E-3</v>
      </c>
      <c r="Q4587">
        <v>0.13699349999999999</v>
      </c>
      <c r="R4587">
        <v>-0.99056699999999998</v>
      </c>
      <c r="S4587">
        <v>-0.23455809999999999</v>
      </c>
      <c r="T4587">
        <v>-0.2128012</v>
      </c>
      <c r="U4587">
        <v>-3.0587770000000001</v>
      </c>
      <c r="V4587">
        <v>-6.3123949999999998E-2</v>
      </c>
      <c r="W4587">
        <v>0.14819560000000001</v>
      </c>
      <c r="X4587">
        <v>0.98694150000000003</v>
      </c>
      <c r="Y4587">
        <v>1.3920119999999999E-2</v>
      </c>
      <c r="Z4587">
        <v>6.9096320000000003E-2</v>
      </c>
      <c r="AA4587">
        <v>0.99751290000000004</v>
      </c>
      <c r="AB4587">
        <v>30</v>
      </c>
      <c r="AC4587">
        <v>-1.18579999999997</v>
      </c>
      <c r="AD4587">
        <v>-1.097947622153</v>
      </c>
      <c r="AE4587">
        <v>-15.462596</v>
      </c>
      <c r="AF4587">
        <v>0.21769325717968399</v>
      </c>
      <c r="AG4587">
        <v>-1.097947622153</v>
      </c>
      <c r="AH4587">
        <v>15.4291164821087</v>
      </c>
      <c r="AI4587">
        <v>94.069946072220205</v>
      </c>
      <c r="AJ4587">
        <v>89.191653176388002</v>
      </c>
      <c r="AK4587">
        <v>15.4696643387532</v>
      </c>
      <c r="AL4587">
        <v>81.477627009732998</v>
      </c>
      <c r="AM4587">
        <v>93.659605195139903</v>
      </c>
      <c r="AN4587">
        <v>1.0000000466726</v>
      </c>
    </row>
    <row r="4588" spans="1:40" x14ac:dyDescent="0.3">
      <c r="A4588" t="str">
        <f>"20200111150119644"</f>
        <v>20200111150119644</v>
      </c>
      <c r="B4588" t="str">
        <f>"1578726079642561"</f>
        <v>1578726079642561</v>
      </c>
      <c r="C4588" t="s">
        <v>40</v>
      </c>
      <c r="D4588">
        <v>4.646668</v>
      </c>
      <c r="E4588">
        <v>0.5288815</v>
      </c>
      <c r="F4588" t="s">
        <v>41</v>
      </c>
      <c r="G4588">
        <v>-302.06180000000001</v>
      </c>
      <c r="H4588">
        <v>1.0336160000000001</v>
      </c>
      <c r="I4588">
        <v>-9.4405680000000007</v>
      </c>
      <c r="J4588">
        <v>-302.00830000000002</v>
      </c>
      <c r="K4588">
        <v>1.0990169999999999</v>
      </c>
      <c r="L4588">
        <v>-8.7730709999999998</v>
      </c>
      <c r="M4588">
        <v>-6.6811309999999999E-2</v>
      </c>
      <c r="N4588">
        <v>0</v>
      </c>
      <c r="O4588">
        <v>-0.99770930000000002</v>
      </c>
      <c r="P4588">
        <v>2.9395819999999999E-4</v>
      </c>
      <c r="Q4588">
        <v>0.13741729999999899</v>
      </c>
      <c r="R4588">
        <v>-0.99051310000000004</v>
      </c>
      <c r="S4588">
        <v>-0.24270630000000001</v>
      </c>
      <c r="T4588">
        <v>-0.20276620000000001</v>
      </c>
      <c r="U4588">
        <v>-3.057404</v>
      </c>
      <c r="V4588">
        <v>-6.4878480000000002E-2</v>
      </c>
      <c r="W4588">
        <v>0.14860580000000001</v>
      </c>
      <c r="X4588">
        <v>0.98676600000000003</v>
      </c>
      <c r="Y4588">
        <v>1.21797E-2</v>
      </c>
      <c r="Z4588">
        <v>6.5847550000000005E-2</v>
      </c>
      <c r="AA4588">
        <v>0.99775530000000001</v>
      </c>
      <c r="AB4588">
        <v>30</v>
      </c>
      <c r="AC4588">
        <v>-5.34999999999854E-2</v>
      </c>
      <c r="AD4588">
        <v>-6.5400999999999807E-2</v>
      </c>
      <c r="AE4588">
        <v>-0.66749699999999901</v>
      </c>
      <c r="AF4588">
        <v>8.6986186023275593E-3</v>
      </c>
      <c r="AG4588">
        <v>-6.5400999999999807E-2</v>
      </c>
      <c r="AH4588">
        <v>0.66325342701766898</v>
      </c>
      <c r="AI4588">
        <v>95.631041497377794</v>
      </c>
      <c r="AJ4588">
        <v>89.248604619750907</v>
      </c>
      <c r="AK4588">
        <v>0.66652686758844903</v>
      </c>
      <c r="AL4588">
        <v>81.453860898917895</v>
      </c>
      <c r="AM4588">
        <v>93.761702886638304</v>
      </c>
      <c r="AN4588">
        <v>1.0000000198583701</v>
      </c>
    </row>
    <row r="4589" spans="1:40" x14ac:dyDescent="0.3">
      <c r="A4589" t="str">
        <f>"20200111150119667"</f>
        <v>20200111150119667</v>
      </c>
      <c r="B4589" t="str">
        <f>"1578726079662083"</f>
        <v>1578726079662083</v>
      </c>
      <c r="C4589" t="s">
        <v>40</v>
      </c>
      <c r="D4589">
        <v>4.5946829999999999</v>
      </c>
      <c r="E4589">
        <v>0.52784439999999999</v>
      </c>
      <c r="F4589" t="s">
        <v>41</v>
      </c>
      <c r="G4589">
        <v>-302.0856</v>
      </c>
      <c r="H4589">
        <v>1.037204</v>
      </c>
      <c r="I4589">
        <v>-9.7151180000000004</v>
      </c>
      <c r="J4589">
        <v>-302.03300000000002</v>
      </c>
      <c r="K4589">
        <v>1.0999620000000001</v>
      </c>
      <c r="L4589">
        <v>-9.082001</v>
      </c>
      <c r="M4589">
        <v>-7.0524630000000005E-2</v>
      </c>
      <c r="N4589">
        <v>0</v>
      </c>
      <c r="O4589">
        <v>-0.99745289999999998</v>
      </c>
      <c r="P4589">
        <v>-2.503566E-3</v>
      </c>
      <c r="Q4589">
        <v>0.13625229999999999</v>
      </c>
      <c r="R4589">
        <v>-0.99067130000000003</v>
      </c>
      <c r="S4589">
        <v>-0.25109860000000001</v>
      </c>
      <c r="T4589">
        <v>-0.20061909999999999</v>
      </c>
      <c r="U4589">
        <v>-3.0566409999999999</v>
      </c>
      <c r="V4589">
        <v>-6.603929E-2</v>
      </c>
      <c r="W4589">
        <v>0.14742069999999999</v>
      </c>
      <c r="X4589">
        <v>0.98686669999999999</v>
      </c>
      <c r="Y4589">
        <v>1.1202729999999999E-2</v>
      </c>
      <c r="Z4589">
        <v>6.5137619999999993E-2</v>
      </c>
      <c r="AA4589">
        <v>0.99781339999999996</v>
      </c>
      <c r="AB4589">
        <v>30</v>
      </c>
      <c r="AC4589">
        <v>-5.2599999999983903E-2</v>
      </c>
      <c r="AD4589">
        <v>-6.2757999999999994E-2</v>
      </c>
      <c r="AE4589">
        <v>-0.63311699999999804</v>
      </c>
      <c r="AF4589">
        <v>7.7405893546873402E-3</v>
      </c>
      <c r="AG4589">
        <v>-6.2757999999999994E-2</v>
      </c>
      <c r="AH4589">
        <v>0.62911101335167996</v>
      </c>
      <c r="AI4589">
        <v>95.696358949438306</v>
      </c>
      <c r="AJ4589">
        <v>89.295067622193201</v>
      </c>
      <c r="AK4589">
        <v>0.63228091099442096</v>
      </c>
      <c r="AL4589">
        <v>81.522517915596694</v>
      </c>
      <c r="AM4589">
        <v>93.828419548687506</v>
      </c>
      <c r="AN4589">
        <v>0.99999996709054095</v>
      </c>
    </row>
    <row r="4590" spans="1:40" x14ac:dyDescent="0.3">
      <c r="A4590" t="str">
        <f>"20200111150119689"</f>
        <v>20200111150119689</v>
      </c>
      <c r="B4590" t="str">
        <f>"1578726079682576"</f>
        <v>1578726079682576</v>
      </c>
      <c r="C4590" t="s">
        <v>40</v>
      </c>
      <c r="D4590">
        <v>4.5602739999999997</v>
      </c>
      <c r="E4590">
        <v>0.52696449999999995</v>
      </c>
      <c r="F4590" t="s">
        <v>41</v>
      </c>
      <c r="G4590">
        <v>-302.10770000000002</v>
      </c>
      <c r="H4590">
        <v>1.0389459999999999</v>
      </c>
      <c r="I4590">
        <v>-9.9881890000000002</v>
      </c>
      <c r="J4590">
        <v>-302.05779999999999</v>
      </c>
      <c r="K4590">
        <v>1.1007640000000001</v>
      </c>
      <c r="L4590">
        <v>-9.3858029999999992</v>
      </c>
      <c r="M4590">
        <v>-7.3399759999999994E-2</v>
      </c>
      <c r="N4590">
        <v>0</v>
      </c>
      <c r="O4590">
        <v>-0.99724449999999998</v>
      </c>
      <c r="P4590">
        <v>-2.45444E-3</v>
      </c>
      <c r="Q4590">
        <v>0.13524340000000001</v>
      </c>
      <c r="R4590">
        <v>-0.99080939999999995</v>
      </c>
      <c r="S4590">
        <v>-0.25122070000000002</v>
      </c>
      <c r="T4590">
        <v>-0.2056772</v>
      </c>
      <c r="U4590">
        <v>-3.0559080000000001</v>
      </c>
      <c r="V4590">
        <v>-6.9171330000000003E-2</v>
      </c>
      <c r="W4590">
        <v>0.1464029</v>
      </c>
      <c r="X4590">
        <v>0.98680369999999995</v>
      </c>
      <c r="Y4590">
        <v>8.3702340000000007E-3</v>
      </c>
      <c r="Z4590">
        <v>6.6768519999999998E-2</v>
      </c>
      <c r="AA4590">
        <v>0.99773339999999999</v>
      </c>
      <c r="AB4590">
        <v>30</v>
      </c>
      <c r="AC4590">
        <v>-4.9900000000036401E-2</v>
      </c>
      <c r="AD4590">
        <v>-6.1817999999999901E-2</v>
      </c>
      <c r="AE4590">
        <v>-0.60238600000000098</v>
      </c>
      <c r="AF4590">
        <v>5.4904073595273602E-3</v>
      </c>
      <c r="AG4590">
        <v>-6.1817999999999901E-2</v>
      </c>
      <c r="AH4590">
        <v>0.59816727520648305</v>
      </c>
      <c r="AI4590">
        <v>95.900077843945098</v>
      </c>
      <c r="AJ4590">
        <v>89.474113097219401</v>
      </c>
      <c r="AK4590">
        <v>0.60137816623562401</v>
      </c>
      <c r="AL4590">
        <v>81.581473636261194</v>
      </c>
      <c r="AM4590">
        <v>94.009665998436802</v>
      </c>
      <c r="AN4590">
        <v>1.0000000121780299</v>
      </c>
    </row>
    <row r="4591" spans="1:40" x14ac:dyDescent="0.3">
      <c r="A4591" t="str">
        <f>"20200111150119711"</f>
        <v>20200111150119711</v>
      </c>
      <c r="B4591" t="str">
        <f>"1578726079702097"</f>
        <v>1578726079702097</v>
      </c>
      <c r="C4591" t="s">
        <v>40</v>
      </c>
      <c r="D4591">
        <v>4.5723149999999997</v>
      </c>
      <c r="E4591">
        <v>0.5261401</v>
      </c>
      <c r="F4591" t="s">
        <v>41</v>
      </c>
      <c r="G4591">
        <v>-302.12799999999999</v>
      </c>
      <c r="H4591">
        <v>1.0403150000000001</v>
      </c>
      <c r="I4591">
        <v>-10.261240000000001</v>
      </c>
      <c r="J4591">
        <v>-302.08240000000001</v>
      </c>
      <c r="K4591">
        <v>1.1014740000000001</v>
      </c>
      <c r="L4591">
        <v>-9.6855770000000003</v>
      </c>
      <c r="M4591">
        <v>-7.5508939999999997E-2</v>
      </c>
      <c r="N4591">
        <v>0</v>
      </c>
      <c r="O4591">
        <v>-0.99708649999999999</v>
      </c>
      <c r="P4591">
        <v>-1.9929309999999999E-3</v>
      </c>
      <c r="Q4591">
        <v>0.13406289999999901</v>
      </c>
      <c r="R4591">
        <v>-0.99097109999999999</v>
      </c>
      <c r="S4591">
        <v>-0.2446594</v>
      </c>
      <c r="T4591">
        <v>-0.21098410000000001</v>
      </c>
      <c r="U4591">
        <v>-3.0560299999999998</v>
      </c>
      <c r="V4591">
        <v>-7.1938989999999994E-2</v>
      </c>
      <c r="W4591">
        <v>0.14520039999999901</v>
      </c>
      <c r="X4591">
        <v>0.98678339999999998</v>
      </c>
      <c r="Y4591">
        <v>4.1143969999999997E-3</v>
      </c>
      <c r="Z4591">
        <v>6.8471160000000003E-2</v>
      </c>
      <c r="AA4591">
        <v>0.99764459999999999</v>
      </c>
      <c r="AB4591">
        <v>30</v>
      </c>
      <c r="AC4591">
        <v>-4.55999999999789E-2</v>
      </c>
      <c r="AD4591">
        <v>-6.1159000000000102E-2</v>
      </c>
      <c r="AE4591">
        <v>-0.57566299999999804</v>
      </c>
      <c r="AF4591">
        <v>1.9773785739977002E-3</v>
      </c>
      <c r="AG4591">
        <v>-6.1159000000000102E-2</v>
      </c>
      <c r="AH4591">
        <v>0.57105735520759604</v>
      </c>
      <c r="AI4591">
        <v>96.112916247142806</v>
      </c>
      <c r="AJ4591">
        <v>89.801604877418001</v>
      </c>
      <c r="AK4591">
        <v>0.57432641959404895</v>
      </c>
      <c r="AL4591">
        <v>81.6511153037182</v>
      </c>
      <c r="AM4591">
        <v>94.169629887919399</v>
      </c>
      <c r="AN4591">
        <v>0.99999992647896696</v>
      </c>
    </row>
    <row r="4592" spans="1:40" x14ac:dyDescent="0.3">
      <c r="A4592" t="str">
        <f>"20200111150119734"</f>
        <v>20200111150119734</v>
      </c>
      <c r="B4592" t="str">
        <f>"1578726079722592"</f>
        <v>1578726079722592</v>
      </c>
      <c r="C4592" t="s">
        <v>40</v>
      </c>
      <c r="D4592">
        <v>4.5559269999999996</v>
      </c>
      <c r="E4592">
        <v>0.51602780000000004</v>
      </c>
      <c r="F4592" t="s">
        <v>41</v>
      </c>
      <c r="G4592">
        <v>-302.14890000000003</v>
      </c>
      <c r="H4592">
        <v>1.0404799999999901</v>
      </c>
      <c r="I4592">
        <v>-10.541359999999999</v>
      </c>
      <c r="J4592">
        <v>-302.10730000000001</v>
      </c>
      <c r="K4592">
        <v>1.102155</v>
      </c>
      <c r="L4592">
        <v>-9.9879460000000009</v>
      </c>
      <c r="M4592">
        <v>-7.6971609999999996E-2</v>
      </c>
      <c r="N4592">
        <v>0</v>
      </c>
      <c r="O4592">
        <v>-0.99697409999999997</v>
      </c>
      <c r="P4592">
        <v>-1.2329769999999999E-3</v>
      </c>
      <c r="Q4592">
        <v>0.1335229</v>
      </c>
      <c r="R4592">
        <v>-0.99104519999999996</v>
      </c>
      <c r="S4592">
        <v>-0.23663329999999999</v>
      </c>
      <c r="T4592">
        <v>-0.2178032</v>
      </c>
      <c r="U4592">
        <v>-3.0563349999999998</v>
      </c>
      <c r="V4592">
        <v>-7.4347239999999995E-2</v>
      </c>
      <c r="W4592">
        <v>0.144622</v>
      </c>
      <c r="X4592">
        <v>0.98668990000000001</v>
      </c>
      <c r="Y4592" s="1">
        <v>2.3803460000000001E-5</v>
      </c>
      <c r="Z4592">
        <v>7.0661860000000007E-2</v>
      </c>
      <c r="AA4592">
        <v>0.99750030000000001</v>
      </c>
      <c r="AB4592">
        <v>30</v>
      </c>
      <c r="AC4592">
        <v>-4.16000000000167E-2</v>
      </c>
      <c r="AD4592">
        <v>-6.1675000000000098E-2</v>
      </c>
      <c r="AE4592">
        <v>-0.55341399999999996</v>
      </c>
      <c r="AF4592">
        <v>-1.1094089634733301E-3</v>
      </c>
      <c r="AG4592">
        <v>-6.1675000000000098E-2</v>
      </c>
      <c r="AH4592">
        <v>0.54820381269374097</v>
      </c>
      <c r="AI4592">
        <v>96.418987449362305</v>
      </c>
      <c r="AJ4592">
        <v>90.115950241707196</v>
      </c>
      <c r="AK4592">
        <v>0.55166335447009995</v>
      </c>
      <c r="AL4592">
        <v>81.684609309303795</v>
      </c>
      <c r="AM4592">
        <v>94.309103169808694</v>
      </c>
      <c r="AN4592">
        <v>0.99999999687081298</v>
      </c>
    </row>
    <row r="4593" spans="1:40" x14ac:dyDescent="0.3">
      <c r="A4593" t="str">
        <f>"20200111150119756"</f>
        <v>20200111150119756</v>
      </c>
      <c r="B4593" t="str">
        <f>"1578726079752849"</f>
        <v>1578726079752849</v>
      </c>
      <c r="C4593" t="s">
        <v>40</v>
      </c>
      <c r="D4593">
        <v>4.5418659999999997</v>
      </c>
      <c r="E4593">
        <v>0.51566229999999902</v>
      </c>
      <c r="F4593" t="s">
        <v>42</v>
      </c>
      <c r="G4593">
        <v>-303.25920000000002</v>
      </c>
      <c r="H4593" s="1">
        <v>-3.9214460000000003E-6</v>
      </c>
      <c r="I4593">
        <v>-33.188679999999998</v>
      </c>
      <c r="J4593">
        <v>-302.13229999999999</v>
      </c>
      <c r="K4593">
        <v>1.102811</v>
      </c>
      <c r="L4593">
        <v>-10.293150000000001</v>
      </c>
      <c r="M4593">
        <v>-7.7875230000000004E-2</v>
      </c>
      <c r="N4593">
        <v>0</v>
      </c>
      <c r="O4593">
        <v>-0.99690369999999995</v>
      </c>
      <c r="P4593">
        <v>-3.5591069999999999E-4</v>
      </c>
      <c r="Q4593">
        <v>0.13391229999999901</v>
      </c>
      <c r="R4593">
        <v>-0.99099369999999998</v>
      </c>
      <c r="S4593">
        <v>-0.15124509999999999</v>
      </c>
      <c r="T4593">
        <v>-0.14472119999999999</v>
      </c>
      <c r="U4593">
        <v>-3.0464169999999999</v>
      </c>
      <c r="V4593">
        <v>-7.6300989999999999E-2</v>
      </c>
      <c r="W4593">
        <v>0.14495839999999999</v>
      </c>
      <c r="X4593">
        <v>0.98649140000000002</v>
      </c>
      <c r="Y4593">
        <v>-2.8404240000000001E-2</v>
      </c>
      <c r="Z4593">
        <v>4.7197360000000001E-2</v>
      </c>
      <c r="AA4593">
        <v>0.99848159999999997</v>
      </c>
      <c r="AB4593">
        <v>30</v>
      </c>
      <c r="AC4593">
        <v>-1.12690000000003</v>
      </c>
      <c r="AD4593">
        <v>-1.1028149214459999</v>
      </c>
      <c r="AE4593">
        <v>-22.895530000000001</v>
      </c>
      <c r="AF4593">
        <v>-0.658099798840035</v>
      </c>
      <c r="AG4593">
        <v>-1.1028149214459999</v>
      </c>
      <c r="AH4593">
        <v>22.8608424903484</v>
      </c>
      <c r="AI4593">
        <v>92.760685215507607</v>
      </c>
      <c r="AJ4593">
        <v>91.648930059090304</v>
      </c>
      <c r="AK4593">
        <v>22.896886588894901</v>
      </c>
      <c r="AL4593">
        <v>81.665130023210907</v>
      </c>
      <c r="AM4593">
        <v>94.422783706694005</v>
      </c>
      <c r="AN4593">
        <v>1.0000000305397401</v>
      </c>
    </row>
    <row r="4594" spans="1:40" x14ac:dyDescent="0.3">
      <c r="A4594" t="str">
        <f>"20200111150119779"</f>
        <v>20200111150119779</v>
      </c>
      <c r="B4594" t="str">
        <f>"1578726079772372"</f>
        <v>1578726079772372</v>
      </c>
      <c r="C4594" t="s">
        <v>40</v>
      </c>
      <c r="D4594">
        <v>4.5838169999999998</v>
      </c>
      <c r="E4594">
        <v>0.51587099999999997</v>
      </c>
      <c r="F4594" t="s">
        <v>42</v>
      </c>
      <c r="G4594">
        <v>-303.15469999999999</v>
      </c>
      <c r="H4594" s="1">
        <v>-4.427753E-6</v>
      </c>
      <c r="I4594">
        <v>-31.646439999999998</v>
      </c>
      <c r="J4594">
        <v>-302.15699999999998</v>
      </c>
      <c r="K4594">
        <v>1.103405</v>
      </c>
      <c r="L4594">
        <v>-10.599119999999999</v>
      </c>
      <c r="M4594">
        <v>-7.8289990000000004E-2</v>
      </c>
      <c r="N4594">
        <v>0</v>
      </c>
      <c r="O4594">
        <v>-0.99687099999999995</v>
      </c>
      <c r="P4594">
        <v>3.8091779999999999E-4</v>
      </c>
      <c r="Q4594">
        <v>0.13430929999999999</v>
      </c>
      <c r="R4594">
        <v>-0.99093989999999998</v>
      </c>
      <c r="S4594">
        <v>-0.1459656</v>
      </c>
      <c r="T4594">
        <v>-0.1574429</v>
      </c>
      <c r="U4594">
        <v>-3.048492</v>
      </c>
      <c r="V4594">
        <v>-7.7618919999999994E-2</v>
      </c>
      <c r="W4594">
        <v>0.14528959999999999</v>
      </c>
      <c r="X4594">
        <v>0.98633979999999999</v>
      </c>
      <c r="Y4594">
        <v>-3.0588569999999999E-2</v>
      </c>
      <c r="Z4594">
        <v>5.1298870000000003E-2</v>
      </c>
      <c r="AA4594">
        <v>0.99821479999999996</v>
      </c>
      <c r="AB4594">
        <v>30</v>
      </c>
      <c r="AC4594">
        <v>-0.99770000000000802</v>
      </c>
      <c r="AD4594">
        <v>-1.103409427753</v>
      </c>
      <c r="AE4594">
        <v>-21.047319999999999</v>
      </c>
      <c r="AF4594">
        <v>-0.651468627062881</v>
      </c>
      <c r="AG4594">
        <v>-1.103409427753</v>
      </c>
      <c r="AH4594">
        <v>21.003228989742102</v>
      </c>
      <c r="AI4594">
        <v>93.005839293975697</v>
      </c>
      <c r="AJ4594">
        <v>91.776604888184195</v>
      </c>
      <c r="AK4594">
        <v>21.042280098241399</v>
      </c>
      <c r="AL4594">
        <v>81.645950216926494</v>
      </c>
      <c r="AM4594">
        <v>94.499555132557305</v>
      </c>
      <c r="AN4594">
        <v>0.99999998283708302</v>
      </c>
    </row>
    <row r="4595" spans="1:40" x14ac:dyDescent="0.3">
      <c r="A4595" t="str">
        <f>"20200111150119801"</f>
        <v>20200111150119801</v>
      </c>
      <c r="B4595" t="str">
        <f>"1578726079792865"</f>
        <v>1578726079792865</v>
      </c>
      <c r="C4595" t="s">
        <v>40</v>
      </c>
      <c r="D4595">
        <v>4.5437729999999998</v>
      </c>
      <c r="E4595">
        <v>0.5155632</v>
      </c>
      <c r="F4595" t="s">
        <v>42</v>
      </c>
      <c r="G4595">
        <v>-303.07240000000002</v>
      </c>
      <c r="H4595" s="1">
        <v>-1.0650200000000001E-6</v>
      </c>
      <c r="I4595">
        <v>-29.833870000000001</v>
      </c>
      <c r="J4595">
        <v>-302.18090000000001</v>
      </c>
      <c r="K4595">
        <v>1.1039099999999999</v>
      </c>
      <c r="L4595">
        <v>-10.899139999999999</v>
      </c>
      <c r="M4595">
        <v>-7.8257439999999998E-2</v>
      </c>
      <c r="N4595">
        <v>0</v>
      </c>
      <c r="O4595">
        <v>-0.99687329999999996</v>
      </c>
      <c r="P4595">
        <v>2.4315769999999999E-3</v>
      </c>
      <c r="Q4595">
        <v>0.13471320000000001</v>
      </c>
      <c r="R4595">
        <v>-0.99088220000000005</v>
      </c>
      <c r="S4595">
        <v>-0.14520259999999999</v>
      </c>
      <c r="T4595">
        <v>-0.175033299999999</v>
      </c>
      <c r="U4595">
        <v>-3.0512079999999999</v>
      </c>
      <c r="V4595">
        <v>-7.9780589999999998E-2</v>
      </c>
      <c r="W4595">
        <v>0.145625</v>
      </c>
      <c r="X4595">
        <v>0.98611780000000004</v>
      </c>
      <c r="Y4595">
        <v>-3.086206E-2</v>
      </c>
      <c r="Z4595">
        <v>5.6962209999999999E-2</v>
      </c>
      <c r="AA4595">
        <v>0.99789919999999999</v>
      </c>
      <c r="AB4595">
        <v>30</v>
      </c>
      <c r="AC4595">
        <v>-0.89150000000000695</v>
      </c>
      <c r="AD4595">
        <v>-1.1039110650199999</v>
      </c>
      <c r="AE4595">
        <v>-18.934729999999998</v>
      </c>
      <c r="AF4595">
        <v>-0.59110165366290301</v>
      </c>
      <c r="AG4595">
        <v>-1.1039110650199999</v>
      </c>
      <c r="AH4595">
        <v>18.882385307292601</v>
      </c>
      <c r="AI4595">
        <v>93.344210445564002</v>
      </c>
      <c r="AJ4595">
        <v>91.793024182848001</v>
      </c>
      <c r="AK4595">
        <v>18.923860486103099</v>
      </c>
      <c r="AL4595">
        <v>81.626526350447506</v>
      </c>
      <c r="AM4595">
        <v>94.625367128118597</v>
      </c>
      <c r="AN4595">
        <v>0.99999994932129199</v>
      </c>
    </row>
    <row r="4596" spans="1:40" x14ac:dyDescent="0.3">
      <c r="A4596" t="str">
        <f>"20200111150119824"</f>
        <v>20200111150119824</v>
      </c>
      <c r="B4596" t="str">
        <f>"1578726079812385"</f>
        <v>1578726079812385</v>
      </c>
      <c r="C4596" t="s">
        <v>40</v>
      </c>
      <c r="D4596">
        <v>4.5659609999999997</v>
      </c>
      <c r="E4596">
        <v>0.51497109999999902</v>
      </c>
      <c r="F4596" t="s">
        <v>42</v>
      </c>
      <c r="G4596">
        <v>-302.99540000000002</v>
      </c>
      <c r="H4596" s="1">
        <v>-1.3545459999999999E-6</v>
      </c>
      <c r="I4596">
        <v>-29.1112</v>
      </c>
      <c r="J4596">
        <v>-302.2047</v>
      </c>
      <c r="K4596">
        <v>1.1043480000000001</v>
      </c>
      <c r="L4596">
        <v>-11.20331</v>
      </c>
      <c r="M4596">
        <v>-7.7816250000000003E-2</v>
      </c>
      <c r="N4596">
        <v>0</v>
      </c>
      <c r="O4596">
        <v>-0.99690769999999995</v>
      </c>
      <c r="P4596">
        <v>4.4626029999999999E-3</v>
      </c>
      <c r="Q4596">
        <v>0.13432339999999901</v>
      </c>
      <c r="R4596">
        <v>-0.99092760000000002</v>
      </c>
      <c r="S4596">
        <v>-0.13653560000000001</v>
      </c>
      <c r="T4596">
        <v>-0.18506159999999999</v>
      </c>
      <c r="U4596">
        <v>-3.0531009999999998</v>
      </c>
      <c r="V4596">
        <v>-8.1506620000000002E-2</v>
      </c>
      <c r="W4596">
        <v>0.14516080000000001</v>
      </c>
      <c r="X4596">
        <v>0.98604510000000001</v>
      </c>
      <c r="Y4596">
        <v>-3.3284189999999998E-2</v>
      </c>
      <c r="Z4596">
        <v>6.0181730000000003E-2</v>
      </c>
      <c r="AA4596">
        <v>0.99763239999999997</v>
      </c>
      <c r="AB4596">
        <v>30</v>
      </c>
      <c r="AC4596">
        <v>-0.79070000000001495</v>
      </c>
      <c r="AD4596">
        <v>-1.1043493545459999</v>
      </c>
      <c r="AE4596">
        <v>-17.907889999999998</v>
      </c>
      <c r="AF4596">
        <v>-0.60301734485129299</v>
      </c>
      <c r="AG4596">
        <v>-1.1043493545459999</v>
      </c>
      <c r="AH4596">
        <v>17.847373560613399</v>
      </c>
      <c r="AI4596">
        <v>93.5387861408135</v>
      </c>
      <c r="AJ4596">
        <v>91.935142459183396</v>
      </c>
      <c r="AK4596">
        <v>17.891672935395398</v>
      </c>
      <c r="AL4596">
        <v>81.653408820733901</v>
      </c>
      <c r="AM4596">
        <v>94.725334086297707</v>
      </c>
      <c r="AN4596">
        <v>0.99999996309723604</v>
      </c>
    </row>
    <row r="4597" spans="1:40" x14ac:dyDescent="0.3">
      <c r="A4597" t="str">
        <f>"20200111150119845"</f>
        <v>20200111150119845</v>
      </c>
      <c r="B4597" t="str">
        <f>"1578726079842641"</f>
        <v>1578726079842641</v>
      </c>
      <c r="C4597" t="s">
        <v>40</v>
      </c>
      <c r="D4597">
        <v>4.5801530000000001</v>
      </c>
      <c r="E4597">
        <v>0.51442120000000002</v>
      </c>
      <c r="F4597" t="s">
        <v>42</v>
      </c>
      <c r="G4597">
        <v>-302.91410000000002</v>
      </c>
      <c r="H4597" s="1">
        <v>-1.5841490000000001E-6</v>
      </c>
      <c r="I4597">
        <v>-28.52562</v>
      </c>
      <c r="J4597">
        <v>-302.22770000000003</v>
      </c>
      <c r="K4597">
        <v>1.1046940000000001</v>
      </c>
      <c r="L4597">
        <v>-11.50357</v>
      </c>
      <c r="M4597">
        <v>-7.7100959999999996E-2</v>
      </c>
      <c r="N4597">
        <v>0</v>
      </c>
      <c r="O4597">
        <v>-0.9969633</v>
      </c>
      <c r="P4597">
        <v>4.9049840000000003E-3</v>
      </c>
      <c r="Q4597">
        <v>0.13315550000000001</v>
      </c>
      <c r="R4597">
        <v>-0.99108320000000005</v>
      </c>
      <c r="S4597">
        <v>-0.1250916</v>
      </c>
      <c r="T4597">
        <v>-0.19472800000000001</v>
      </c>
      <c r="U4597">
        <v>-3.0544129999999998</v>
      </c>
      <c r="V4597">
        <v>-8.1357360000000004E-2</v>
      </c>
      <c r="W4597">
        <v>0.1439251</v>
      </c>
      <c r="X4597">
        <v>0.98623859999999997</v>
      </c>
      <c r="Y4597">
        <v>-3.6324990000000001E-2</v>
      </c>
      <c r="Z4597">
        <v>6.329274E-2</v>
      </c>
      <c r="AA4597">
        <v>0.99733369999999999</v>
      </c>
      <c r="AB4597">
        <v>30</v>
      </c>
      <c r="AC4597">
        <v>-0.68639999999999102</v>
      </c>
      <c r="AD4597">
        <v>-1.104695584149</v>
      </c>
      <c r="AE4597">
        <v>-17.02205</v>
      </c>
      <c r="AF4597">
        <v>-0.62550815659236703</v>
      </c>
      <c r="AG4597">
        <v>-1.104695584149</v>
      </c>
      <c r="AH4597">
        <v>16.953013731202201</v>
      </c>
      <c r="AI4597">
        <v>93.725719850748007</v>
      </c>
      <c r="AJ4597">
        <v>92.113059544746704</v>
      </c>
      <c r="AK4597">
        <v>17.000479033189901</v>
      </c>
      <c r="AL4597">
        <v>81.724961057197902</v>
      </c>
      <c r="AM4597">
        <v>94.715798592018899</v>
      </c>
      <c r="AN4597">
        <v>1.0000000152830599</v>
      </c>
    </row>
    <row r="4598" spans="1:40" x14ac:dyDescent="0.3">
      <c r="A4598" t="str">
        <f>"20200111150119868"</f>
        <v>20200111150119868</v>
      </c>
      <c r="B4598" t="str">
        <f>"1578726079862161"</f>
        <v>1578726079862161</v>
      </c>
      <c r="C4598" t="s">
        <v>40</v>
      </c>
      <c r="D4598">
        <v>4.5490700000000004</v>
      </c>
      <c r="E4598">
        <v>0.51498569999999999</v>
      </c>
      <c r="F4598" t="s">
        <v>42</v>
      </c>
      <c r="G4598">
        <v>-302.87920000000003</v>
      </c>
      <c r="H4598" s="1">
        <v>-1.659946E-6</v>
      </c>
      <c r="I4598">
        <v>-28.327249999999999</v>
      </c>
      <c r="J4598">
        <v>-302.25130000000001</v>
      </c>
      <c r="K4598">
        <v>1.104992</v>
      </c>
      <c r="L4598">
        <v>-11.819269999999999</v>
      </c>
      <c r="M4598">
        <v>-7.6083189999999995E-2</v>
      </c>
      <c r="N4598">
        <v>0</v>
      </c>
      <c r="O4598">
        <v>-0.99704190000000004</v>
      </c>
      <c r="P4598">
        <v>4.9610219999999998E-3</v>
      </c>
      <c r="Q4598">
        <v>0.131578799999999</v>
      </c>
      <c r="R4598">
        <v>-0.9912938</v>
      </c>
      <c r="S4598">
        <v>-0.11828610000000001</v>
      </c>
      <c r="T4598">
        <v>-0.20057030000000001</v>
      </c>
      <c r="U4598">
        <v>-3.054535</v>
      </c>
      <c r="V4598">
        <v>-8.0512749999999994E-2</v>
      </c>
      <c r="W4598">
        <v>0.1422832</v>
      </c>
      <c r="X4598">
        <v>0.98654609999999998</v>
      </c>
      <c r="Y4598">
        <v>-3.7529640000000003E-2</v>
      </c>
      <c r="Z4598">
        <v>6.5190170000000006E-2</v>
      </c>
      <c r="AA4598">
        <v>0.99716689999999997</v>
      </c>
      <c r="AB4598">
        <v>31</v>
      </c>
      <c r="AC4598">
        <v>-0.627900000000011</v>
      </c>
      <c r="AD4598">
        <v>-1.104993659946</v>
      </c>
      <c r="AE4598">
        <v>-16.50798</v>
      </c>
      <c r="AF4598">
        <v>-0.62716858770064199</v>
      </c>
      <c r="AG4598">
        <v>-1.104993659946</v>
      </c>
      <c r="AH4598">
        <v>16.434372247219201</v>
      </c>
      <c r="AI4598">
        <v>93.843802506744396</v>
      </c>
      <c r="AJ4598">
        <v>92.1854612836119</v>
      </c>
      <c r="AK4598">
        <v>16.483414166551999</v>
      </c>
      <c r="AL4598">
        <v>81.820013273957798</v>
      </c>
      <c r="AM4598">
        <v>94.665610735454194</v>
      </c>
      <c r="AN4598">
        <v>1.0000000096699999</v>
      </c>
    </row>
    <row r="4599" spans="1:40" x14ac:dyDescent="0.3">
      <c r="A4599" t="str">
        <f>"20200111150119890"</f>
        <v>20200111150119890</v>
      </c>
      <c r="B4599" t="str">
        <f>"1578726079882657"</f>
        <v>1578726079882657</v>
      </c>
      <c r="C4599" t="s">
        <v>40</v>
      </c>
      <c r="D4599">
        <v>4.5389879999999998</v>
      </c>
      <c r="E4599">
        <v>0.51536419999999905</v>
      </c>
      <c r="F4599" t="s">
        <v>42</v>
      </c>
      <c r="G4599">
        <v>-302.89389999999997</v>
      </c>
      <c r="H4599" s="1">
        <v>-1.854348E-6</v>
      </c>
      <c r="I4599">
        <v>-27.883220000000001</v>
      </c>
      <c r="J4599">
        <v>-302.27300000000002</v>
      </c>
      <c r="K4599">
        <v>1.105245</v>
      </c>
      <c r="L4599">
        <v>-12.11459</v>
      </c>
      <c r="M4599">
        <v>-7.4907650000000006E-2</v>
      </c>
      <c r="N4599">
        <v>0</v>
      </c>
      <c r="O4599">
        <v>-0.99713099999999999</v>
      </c>
      <c r="P4599">
        <v>4.1249160000000002E-3</v>
      </c>
      <c r="Q4599">
        <v>0.129221</v>
      </c>
      <c r="R4599">
        <v>-0.99160720000000002</v>
      </c>
      <c r="S4599">
        <v>-0.12219240000000001</v>
      </c>
      <c r="T4599">
        <v>-0.21013390000000001</v>
      </c>
      <c r="U4599">
        <v>-3.05484</v>
      </c>
      <c r="V4599">
        <v>-7.8614970000000006E-2</v>
      </c>
      <c r="W4599">
        <v>0.13986670000000001</v>
      </c>
      <c r="X4599">
        <v>0.98704460000000005</v>
      </c>
      <c r="Y4599">
        <v>-3.5090410000000002E-2</v>
      </c>
      <c r="Z4599">
        <v>6.8287979999999998E-2</v>
      </c>
      <c r="AA4599">
        <v>0.99704839999999995</v>
      </c>
      <c r="AB4599">
        <v>31</v>
      </c>
      <c r="AC4599">
        <v>-0.620900000000006</v>
      </c>
      <c r="AD4599">
        <v>-1.1052468543480001</v>
      </c>
      <c r="AE4599">
        <v>-15.76863</v>
      </c>
      <c r="AF4599">
        <v>-0.55936192748243196</v>
      </c>
      <c r="AG4599">
        <v>-1.1052468543480001</v>
      </c>
      <c r="AH4599">
        <v>15.693853613446301</v>
      </c>
      <c r="AI4599">
        <v>94.025882463849797</v>
      </c>
      <c r="AJ4599">
        <v>92.041277910857801</v>
      </c>
      <c r="AK4599">
        <v>15.742664882898501</v>
      </c>
      <c r="AL4599">
        <v>81.959867374006393</v>
      </c>
      <c r="AM4599">
        <v>94.5538140276945</v>
      </c>
      <c r="AN4599">
        <v>1.00000002483307</v>
      </c>
    </row>
    <row r="4600" spans="1:40" x14ac:dyDescent="0.3">
      <c r="A4600" t="str">
        <f>"20200111150119912"</f>
        <v>20200111150119912</v>
      </c>
      <c r="B4600" t="str">
        <f>"1578726079902177"</f>
        <v>1578726079902177</v>
      </c>
      <c r="C4600" t="s">
        <v>40</v>
      </c>
      <c r="D4600">
        <v>4.5347819999999999</v>
      </c>
      <c r="E4600">
        <v>0.51566880000000004</v>
      </c>
      <c r="F4600" t="s">
        <v>42</v>
      </c>
      <c r="G4600">
        <v>-302.92090000000002</v>
      </c>
      <c r="H4600" s="1">
        <v>-1.9855019999999999E-6</v>
      </c>
      <c r="I4600">
        <v>-27.59423</v>
      </c>
      <c r="J4600">
        <v>-302.2946</v>
      </c>
      <c r="K4600">
        <v>1.105483</v>
      </c>
      <c r="L4600">
        <v>-12.4191</v>
      </c>
      <c r="M4600">
        <v>-7.3478650000000006E-2</v>
      </c>
      <c r="N4600">
        <v>0</v>
      </c>
      <c r="O4600">
        <v>-0.9972377</v>
      </c>
      <c r="P4600">
        <v>3.381486E-3</v>
      </c>
      <c r="Q4600">
        <v>0.12683369999999999</v>
      </c>
      <c r="R4600">
        <v>-0.99191830000000003</v>
      </c>
      <c r="S4600">
        <v>-0.12783810000000001</v>
      </c>
      <c r="T4600">
        <v>-0.21808089999999999</v>
      </c>
      <c r="U4600">
        <v>-3.0543520000000002</v>
      </c>
      <c r="V4600">
        <v>-7.6553949999999996E-2</v>
      </c>
      <c r="W4600">
        <v>0.13741349999999999</v>
      </c>
      <c r="X4600">
        <v>0.98755099999999996</v>
      </c>
      <c r="Y4600">
        <v>-3.181937E-2</v>
      </c>
      <c r="Z4600">
        <v>7.0881550000000001E-2</v>
      </c>
      <c r="AA4600">
        <v>0.99697709999999995</v>
      </c>
      <c r="AB4600">
        <v>31</v>
      </c>
      <c r="AC4600">
        <v>-0.62630000000001396</v>
      </c>
      <c r="AD4600">
        <v>-1.1054849855019999</v>
      </c>
      <c r="AE4600">
        <v>-15.175129999999999</v>
      </c>
      <c r="AF4600">
        <v>-0.48792205011954498</v>
      </c>
      <c r="AG4600">
        <v>-1.1054849855019999</v>
      </c>
      <c r="AH4600">
        <v>15.1001273976511</v>
      </c>
      <c r="AI4600">
        <v>94.1849951990188</v>
      </c>
      <c r="AJ4600">
        <v>91.850722847309399</v>
      </c>
      <c r="AK4600">
        <v>15.148399664831199</v>
      </c>
      <c r="AL4600">
        <v>82.1017956671147</v>
      </c>
      <c r="AM4600">
        <v>94.432645914221297</v>
      </c>
      <c r="AN4600">
        <v>0.99999997742192503</v>
      </c>
    </row>
    <row r="4601" spans="1:40" x14ac:dyDescent="0.3">
      <c r="A4601" t="str">
        <f>"20200111150119935"</f>
        <v>20200111150119935</v>
      </c>
      <c r="B4601" t="str">
        <f>"1578726079932433"</f>
        <v>1578726079932433</v>
      </c>
      <c r="C4601" t="s">
        <v>40</v>
      </c>
      <c r="D4601">
        <v>4.5172670000000004</v>
      </c>
      <c r="E4601">
        <v>0.51563289999999995</v>
      </c>
      <c r="F4601" t="s">
        <v>42</v>
      </c>
      <c r="G4601">
        <v>-302.94189999999998</v>
      </c>
      <c r="H4601" s="1">
        <v>-2.1132919999999999E-6</v>
      </c>
      <c r="I4601">
        <v>-27.30939</v>
      </c>
      <c r="J4601">
        <v>-302.31529999999998</v>
      </c>
      <c r="K4601">
        <v>1.1057049999999999</v>
      </c>
      <c r="L4601">
        <v>-12.72092</v>
      </c>
      <c r="M4601">
        <v>-7.1856630000000005E-2</v>
      </c>
      <c r="N4601">
        <v>0</v>
      </c>
      <c r="O4601">
        <v>-0.99735620000000003</v>
      </c>
      <c r="P4601">
        <v>2.6689980000000001E-3</v>
      </c>
      <c r="Q4601">
        <v>0.1245313</v>
      </c>
      <c r="R4601">
        <v>-0.99221230000000005</v>
      </c>
      <c r="S4601">
        <v>-0.13275149999999999</v>
      </c>
      <c r="T4601">
        <v>-0.2267274</v>
      </c>
      <c r="U4601">
        <v>-3.0538940000000001</v>
      </c>
      <c r="V4601">
        <v>-7.4323990000000006E-2</v>
      </c>
      <c r="W4601">
        <v>0.13504539999999901</v>
      </c>
      <c r="X4601">
        <v>0.98804789999999998</v>
      </c>
      <c r="Y4601">
        <v>-2.859515E-2</v>
      </c>
      <c r="Z4601">
        <v>7.3701989999999995E-2</v>
      </c>
      <c r="AA4601">
        <v>0.99687029999999999</v>
      </c>
      <c r="AB4601">
        <v>31</v>
      </c>
      <c r="AC4601">
        <v>-0.62659999999999605</v>
      </c>
      <c r="AD4601">
        <v>-1.105707113292</v>
      </c>
      <c r="AE4601">
        <v>-14.588469999999999</v>
      </c>
      <c r="AF4601">
        <v>-0.42094599462946503</v>
      </c>
      <c r="AG4601">
        <v>-1.105707113292</v>
      </c>
      <c r="AH4601">
        <v>14.512566415696501</v>
      </c>
      <c r="AI4601">
        <v>94.355102395903501</v>
      </c>
      <c r="AJ4601">
        <v>91.661433808206297</v>
      </c>
      <c r="AK4601">
        <v>14.5607131597591</v>
      </c>
      <c r="AL4601">
        <v>82.2387547181456</v>
      </c>
      <c r="AM4601">
        <v>94.301862230016695</v>
      </c>
      <c r="AN4601">
        <v>0.99999998412254398</v>
      </c>
    </row>
    <row r="4602" spans="1:40" x14ac:dyDescent="0.3">
      <c r="A4602" t="str">
        <f>"20200111150119957"</f>
        <v>20200111150119957</v>
      </c>
      <c r="B4602" t="str">
        <f>"1578726079951953"</f>
        <v>1578726079951953</v>
      </c>
      <c r="C4602" t="s">
        <v>40</v>
      </c>
      <c r="D4602">
        <v>4.5087900000000003</v>
      </c>
      <c r="E4602">
        <v>0.51752109999999996</v>
      </c>
      <c r="F4602" t="s">
        <v>42</v>
      </c>
      <c r="G4602">
        <v>-302.95100000000002</v>
      </c>
      <c r="H4602" s="1">
        <v>-2.1718620000000001E-6</v>
      </c>
      <c r="I4602">
        <v>-27.178519999999999</v>
      </c>
      <c r="J4602">
        <v>-302.33589999999998</v>
      </c>
      <c r="K4602">
        <v>1.1059110000000001</v>
      </c>
      <c r="L4602">
        <v>-13.03049</v>
      </c>
      <c r="M4602">
        <v>-7.0003570000000001E-2</v>
      </c>
      <c r="N4602">
        <v>0</v>
      </c>
      <c r="O4602">
        <v>-0.99748840000000005</v>
      </c>
      <c r="P4602">
        <v>1.378642E-3</v>
      </c>
      <c r="Q4602">
        <v>0.12295440000000001</v>
      </c>
      <c r="R4602">
        <v>-0.99241159999999995</v>
      </c>
      <c r="S4602">
        <v>-0.134246799999999</v>
      </c>
      <c r="T4602">
        <v>-0.2335083</v>
      </c>
      <c r="U4602">
        <v>-3.053223</v>
      </c>
      <c r="V4602">
        <v>-7.1274379999999998E-2</v>
      </c>
      <c r="W4602">
        <v>0.1334052</v>
      </c>
      <c r="X4602">
        <v>0.98849529999999997</v>
      </c>
      <c r="Y4602">
        <v>-2.6248469999999999E-2</v>
      </c>
      <c r="Z4602">
        <v>7.5926960000000002E-2</v>
      </c>
      <c r="AA4602">
        <v>0.99676779999999998</v>
      </c>
      <c r="AB4602">
        <v>31</v>
      </c>
      <c r="AC4602">
        <v>-0.61509999999998399</v>
      </c>
      <c r="AD4602">
        <v>-1.1059131718619899</v>
      </c>
      <c r="AE4602">
        <v>-14.14803</v>
      </c>
      <c r="AF4602">
        <v>-0.37459492331431299</v>
      </c>
      <c r="AG4602">
        <v>-1.1059131718619899</v>
      </c>
      <c r="AH4602">
        <v>14.070568134572699</v>
      </c>
      <c r="AI4602">
        <v>94.492487694608698</v>
      </c>
      <c r="AJ4602">
        <v>91.525001651059199</v>
      </c>
      <c r="AK4602">
        <v>14.118932428832</v>
      </c>
      <c r="AL4602">
        <v>82.333589344764107</v>
      </c>
      <c r="AM4602">
        <v>94.124112782215803</v>
      </c>
      <c r="AN4602">
        <v>0.999999971376756</v>
      </c>
    </row>
    <row r="4603" spans="1:40" x14ac:dyDescent="0.3">
      <c r="A4603" t="str">
        <f>"20200111150119980"</f>
        <v>20200111150119980</v>
      </c>
      <c r="B4603" t="str">
        <f>"1578726079972448"</f>
        <v>1578726079972448</v>
      </c>
      <c r="C4603" t="s">
        <v>40</v>
      </c>
      <c r="D4603">
        <v>4.5730690000000003</v>
      </c>
      <c r="E4603">
        <v>0.51651420000000003</v>
      </c>
      <c r="F4603" t="s">
        <v>41</v>
      </c>
      <c r="G4603">
        <v>-302.37419999999997</v>
      </c>
      <c r="H4603">
        <v>1.0258560000000001</v>
      </c>
      <c r="I4603">
        <v>-13.78572</v>
      </c>
      <c r="J4603">
        <v>-302.35550000000001</v>
      </c>
      <c r="K4603">
        <v>1.1060779999999999</v>
      </c>
      <c r="L4603">
        <v>-13.33731</v>
      </c>
      <c r="M4603">
        <v>-6.8013619999999997E-2</v>
      </c>
      <c r="N4603">
        <v>0</v>
      </c>
      <c r="O4603">
        <v>-0.99762660000000003</v>
      </c>
      <c r="P4603">
        <v>1.0447620000000001E-3</v>
      </c>
      <c r="Q4603">
        <v>0.12201960000000001</v>
      </c>
      <c r="R4603">
        <v>-0.99252720000000005</v>
      </c>
      <c r="S4603">
        <v>-0.1545105</v>
      </c>
      <c r="T4603">
        <v>-0.324845099999999</v>
      </c>
      <c r="U4603">
        <v>-3.0634160000000001</v>
      </c>
      <c r="V4603">
        <v>-6.9023399999999999E-2</v>
      </c>
      <c r="W4603">
        <v>0.1324071</v>
      </c>
      <c r="X4603">
        <v>0.98878920000000003</v>
      </c>
      <c r="Y4603">
        <v>-1.7953670000000001E-2</v>
      </c>
      <c r="Z4603">
        <v>0.10500950000000001</v>
      </c>
      <c r="AA4603">
        <v>0.99430909999999995</v>
      </c>
      <c r="AB4603">
        <v>31</v>
      </c>
      <c r="AC4603">
        <v>-1.8699999999967E-2</v>
      </c>
      <c r="AD4603">
        <v>-8.0222000000000196E-2</v>
      </c>
      <c r="AE4603">
        <v>-0.44840999999999998</v>
      </c>
      <c r="AF4603">
        <v>-1.1476373455542701E-2</v>
      </c>
      <c r="AG4603">
        <v>-8.0222000000000196E-2</v>
      </c>
      <c r="AH4603">
        <v>0.43475276747028202</v>
      </c>
      <c r="AI4603">
        <v>100.451244436244</v>
      </c>
      <c r="AJ4603">
        <v>91.512112501415004</v>
      </c>
      <c r="AK4603">
        <v>0.44224116187297602</v>
      </c>
      <c r="AL4603">
        <v>82.391288169047499</v>
      </c>
      <c r="AM4603">
        <v>93.993110520349404</v>
      </c>
      <c r="AN4603">
        <v>0.99999997595730405</v>
      </c>
    </row>
    <row r="4604" spans="1:40" x14ac:dyDescent="0.3">
      <c r="A4604" t="str">
        <f>"20200111150120003"</f>
        <v>20200111150120003</v>
      </c>
      <c r="B4604" t="str">
        <f>"1578726079992478"</f>
        <v>1578726079992478</v>
      </c>
      <c r="C4604" t="s">
        <v>40</v>
      </c>
      <c r="D4604">
        <v>4.5235479999999999</v>
      </c>
      <c r="E4604">
        <v>0.5159861</v>
      </c>
      <c r="F4604" t="s">
        <v>41</v>
      </c>
      <c r="G4604">
        <v>-302.39030000000002</v>
      </c>
      <c r="H4604">
        <v>1.030192</v>
      </c>
      <c r="I4604">
        <v>-14.0624</v>
      </c>
      <c r="J4604">
        <v>-302.3741</v>
      </c>
      <c r="K4604">
        <v>1.1061920000000001</v>
      </c>
      <c r="L4604">
        <v>-13.641970000000001</v>
      </c>
      <c r="M4604">
        <v>-6.5924150000000001E-2</v>
      </c>
      <c r="N4604">
        <v>0</v>
      </c>
      <c r="O4604">
        <v>-0.99776739999999997</v>
      </c>
      <c r="P4604">
        <v>1.521304E-3</v>
      </c>
      <c r="Q4604">
        <v>0.1229996</v>
      </c>
      <c r="R4604">
        <v>-0.99240569999999895</v>
      </c>
      <c r="S4604">
        <v>-0.14624019999999999</v>
      </c>
      <c r="T4604">
        <v>-0.32060309999999997</v>
      </c>
      <c r="U4604">
        <v>-3.0621640000000001</v>
      </c>
      <c r="V4604">
        <v>-6.7456189999999999E-2</v>
      </c>
      <c r="W4604">
        <v>0.13332439999999901</v>
      </c>
      <c r="X4604">
        <v>0.98877409999999999</v>
      </c>
      <c r="Y4604">
        <v>-1.8511699999999999E-2</v>
      </c>
      <c r="Z4604">
        <v>0.1037231</v>
      </c>
      <c r="AA4604">
        <v>0.99443389999999998</v>
      </c>
      <c r="AB4604">
        <v>31</v>
      </c>
      <c r="AC4604">
        <v>-1.62000000000261E-2</v>
      </c>
      <c r="AD4604">
        <v>-7.5999999999999998E-2</v>
      </c>
      <c r="AE4604">
        <v>-0.42042999999999903</v>
      </c>
      <c r="AF4604">
        <v>-1.1188263472132099E-2</v>
      </c>
      <c r="AG4604">
        <v>-7.5999999999999998E-2</v>
      </c>
      <c r="AH4604">
        <v>0.40729399792976001</v>
      </c>
      <c r="AI4604">
        <v>100.56579231244299</v>
      </c>
      <c r="AJ4604">
        <v>91.573504920333605</v>
      </c>
      <c r="AK4604">
        <v>0.41447506316922</v>
      </c>
      <c r="AL4604">
        <v>82.338260615361605</v>
      </c>
      <c r="AM4604">
        <v>93.902787831970599</v>
      </c>
      <c r="AN4604">
        <v>0.99999997701774201</v>
      </c>
    </row>
    <row r="4605" spans="1:40" x14ac:dyDescent="0.3">
      <c r="A4605" t="str">
        <f>"20200111150120024"</f>
        <v>20200111150120024</v>
      </c>
      <c r="B4605" t="str">
        <f>"1578726080022732"</f>
        <v>1578726080022732</v>
      </c>
      <c r="C4605" t="s">
        <v>40</v>
      </c>
      <c r="D4605">
        <v>4.6047060000000002</v>
      </c>
      <c r="E4605">
        <v>0.51335050000000004</v>
      </c>
      <c r="F4605" t="s">
        <v>41</v>
      </c>
      <c r="G4605">
        <v>-302.41789999999997</v>
      </c>
      <c r="H4605">
        <v>1.0153639999999999</v>
      </c>
      <c r="I4605">
        <v>-14.601229999999999</v>
      </c>
      <c r="J4605">
        <v>-302.39190000000002</v>
      </c>
      <c r="K4605">
        <v>1.1062700000000001</v>
      </c>
      <c r="L4605">
        <v>-13.943479999999999</v>
      </c>
      <c r="M4605">
        <v>-6.3791539999999994E-2</v>
      </c>
      <c r="N4605">
        <v>0</v>
      </c>
      <c r="O4605">
        <v>-0.99790659999999998</v>
      </c>
      <c r="P4605">
        <v>3.6603489999999998E-3</v>
      </c>
      <c r="Q4605">
        <v>0.1240236</v>
      </c>
      <c r="R4605">
        <v>-0.99227299999999996</v>
      </c>
      <c r="S4605">
        <v>-0.1387939</v>
      </c>
      <c r="T4605">
        <v>-0.28973569999999998</v>
      </c>
      <c r="U4605">
        <v>-3.0590820000000001</v>
      </c>
      <c r="V4605">
        <v>-6.7491629999999997E-2</v>
      </c>
      <c r="W4605">
        <v>0.13428889999999999</v>
      </c>
      <c r="X4605">
        <v>0.9886412</v>
      </c>
      <c r="Y4605">
        <v>-1.8698280000000001E-2</v>
      </c>
      <c r="Z4605">
        <v>9.3947939999999994E-2</v>
      </c>
      <c r="AA4605">
        <v>0.99540150000000005</v>
      </c>
      <c r="AB4605">
        <v>31</v>
      </c>
      <c r="AC4605">
        <v>-2.5999999999953598E-2</v>
      </c>
      <c r="AD4605">
        <v>-9.0906000000000098E-2</v>
      </c>
      <c r="AE4605">
        <v>-0.65774999999999995</v>
      </c>
      <c r="AF4605">
        <v>-1.5714519342544399E-2</v>
      </c>
      <c r="AG4605">
        <v>-9.0906000000000098E-2</v>
      </c>
      <c r="AH4605">
        <v>0.64575334865590295</v>
      </c>
      <c r="AI4605">
        <v>98.010821827618997</v>
      </c>
      <c r="AJ4605">
        <v>91.394027558761593</v>
      </c>
      <c r="AK4605">
        <v>0.65230992193472004</v>
      </c>
      <c r="AL4605">
        <v>82.282497756054596</v>
      </c>
      <c r="AM4605">
        <v>93.905355219710799</v>
      </c>
      <c r="AN4605">
        <v>1.0000000255603501</v>
      </c>
    </row>
    <row r="4606" spans="1:40" x14ac:dyDescent="0.3">
      <c r="A4606" t="str">
        <f>"20200111150120047"</f>
        <v>20200111150120047</v>
      </c>
      <c r="B4606" t="str">
        <f>"1578726080042252"</f>
        <v>1578726080042252</v>
      </c>
      <c r="C4606" t="s">
        <v>40</v>
      </c>
      <c r="D4606">
        <v>4.572883</v>
      </c>
      <c r="E4606">
        <v>0.46749239999999997</v>
      </c>
      <c r="F4606" t="s">
        <v>41</v>
      </c>
      <c r="G4606">
        <v>-302.42599999999999</v>
      </c>
      <c r="H4606">
        <v>1.017161</v>
      </c>
      <c r="I4606">
        <v>-14.87674</v>
      </c>
      <c r="J4606">
        <v>-302.40929999999997</v>
      </c>
      <c r="K4606">
        <v>1.1063190000000001</v>
      </c>
      <c r="L4606">
        <v>-14.25131</v>
      </c>
      <c r="M4606">
        <v>-6.1582489999999997E-2</v>
      </c>
      <c r="N4606">
        <v>0</v>
      </c>
      <c r="O4606">
        <v>-0.99804590000000004</v>
      </c>
      <c r="P4606">
        <v>7.4937739999999999E-3</v>
      </c>
      <c r="Q4606">
        <v>0.1240503</v>
      </c>
      <c r="R4606">
        <v>-0.99224760000000001</v>
      </c>
      <c r="S4606">
        <v>-0.11059570000000001</v>
      </c>
      <c r="T4606">
        <v>-0.29235630000000001</v>
      </c>
      <c r="U4606">
        <v>-3.0603030000000002</v>
      </c>
      <c r="V4606">
        <v>-6.9138050000000006E-2</v>
      </c>
      <c r="W4606">
        <v>0.13425680000000001</v>
      </c>
      <c r="X4606">
        <v>0.98853179999999996</v>
      </c>
      <c r="Y4606">
        <v>-2.5661929999999999E-2</v>
      </c>
      <c r="Z4606">
        <v>9.4782489999999997E-2</v>
      </c>
      <c r="AA4606">
        <v>0.99516720000000003</v>
      </c>
      <c r="AB4606">
        <v>31</v>
      </c>
      <c r="AC4606">
        <v>-1.6700000000014301E-2</v>
      </c>
      <c r="AD4606">
        <v>-8.9158000000000001E-2</v>
      </c>
      <c r="AE4606">
        <v>-0.62542999999999904</v>
      </c>
      <c r="AF4606">
        <v>-2.14145209510948E-2</v>
      </c>
      <c r="AG4606">
        <v>-8.9158000000000001E-2</v>
      </c>
      <c r="AH4606">
        <v>0.61282639185159105</v>
      </c>
      <c r="AI4606">
        <v>98.272709475097997</v>
      </c>
      <c r="AJ4606">
        <v>92.001321498559705</v>
      </c>
      <c r="AK4606">
        <v>0.61964822054243396</v>
      </c>
      <c r="AL4606">
        <v>82.284353861738097</v>
      </c>
      <c r="AM4606">
        <v>94.000759781413905</v>
      </c>
      <c r="AN4606">
        <v>1.00000003895764</v>
      </c>
    </row>
    <row r="4607" spans="1:40" x14ac:dyDescent="0.3">
      <c r="A4607" t="str">
        <f>"20200111150120070"</f>
        <v>20200111150120070</v>
      </c>
      <c r="B4607" t="str">
        <f>"1578726080062749"</f>
        <v>1578726080062749</v>
      </c>
      <c r="C4607" t="s">
        <v>40</v>
      </c>
      <c r="D4607">
        <v>4.6665109999999999</v>
      </c>
      <c r="E4607">
        <v>0.45864440000000001</v>
      </c>
      <c r="F4607" t="s">
        <v>83</v>
      </c>
      <c r="G4607">
        <v>-299.90730000000002</v>
      </c>
      <c r="H4607" s="1">
        <v>-1.2343739999999999E-6</v>
      </c>
      <c r="I4607">
        <v>-42.307009999999998</v>
      </c>
      <c r="J4607">
        <v>-302.42630000000003</v>
      </c>
      <c r="K4607">
        <v>1.106341</v>
      </c>
      <c r="L4607">
        <v>-14.56305</v>
      </c>
      <c r="M4607">
        <v>-5.9342649999999997E-2</v>
      </c>
      <c r="N4607">
        <v>0</v>
      </c>
      <c r="O4607">
        <v>-0.99818180000000001</v>
      </c>
      <c r="P4607">
        <v>1.2191550000000001E-2</v>
      </c>
      <c r="Q4607">
        <v>0.1230256</v>
      </c>
      <c r="R4607">
        <v>-0.99232880000000001</v>
      </c>
      <c r="S4607">
        <v>0.27078249999999998</v>
      </c>
      <c r="T4607">
        <v>-0.1197334</v>
      </c>
      <c r="U4607">
        <v>-3.0363769999999999</v>
      </c>
      <c r="V4607">
        <v>-7.1614559999999994E-2</v>
      </c>
      <c r="W4607">
        <v>0.1331765</v>
      </c>
      <c r="X4607">
        <v>0.98850150000000003</v>
      </c>
      <c r="Y4607">
        <v>-0.14771379999999901</v>
      </c>
      <c r="Z4607">
        <v>3.900468E-2</v>
      </c>
      <c r="AA4607">
        <v>0.98826069999999999</v>
      </c>
      <c r="AB4607">
        <v>31</v>
      </c>
      <c r="AC4607">
        <v>2.5190000000000001</v>
      </c>
      <c r="AD4607">
        <v>-1.1063422343739999</v>
      </c>
      <c r="AE4607">
        <v>-27.743960000000001</v>
      </c>
      <c r="AF4607">
        <v>-4.1544998153099497</v>
      </c>
      <c r="AG4607">
        <v>-1.1063422343739999</v>
      </c>
      <c r="AH4607">
        <v>27.502192669726998</v>
      </c>
      <c r="AI4607">
        <v>92.277804566545598</v>
      </c>
      <c r="AJ4607">
        <v>98.590191311593998</v>
      </c>
      <c r="AK4607">
        <v>27.8362077786784</v>
      </c>
      <c r="AL4607">
        <v>82.346810473810294</v>
      </c>
      <c r="AM4607">
        <v>94.143702140846003</v>
      </c>
      <c r="AN4607">
        <v>0.99999992042924302</v>
      </c>
    </row>
    <row r="4608" spans="1:40" x14ac:dyDescent="0.3">
      <c r="A4608" t="str">
        <f>"20200111150120092"</f>
        <v>20200111150120092</v>
      </c>
      <c r="B4608" t="str">
        <f>"1578726080082268"</f>
        <v>1578726080082268</v>
      </c>
      <c r="C4608" t="s">
        <v>40</v>
      </c>
      <c r="D4608">
        <v>4.5610569999999999</v>
      </c>
      <c r="E4608">
        <v>0.45365060000000001</v>
      </c>
      <c r="F4608" t="s">
        <v>83</v>
      </c>
      <c r="G4608">
        <v>-298.09550000000002</v>
      </c>
      <c r="H4608" s="1">
        <v>-7.8262359999999999E-6</v>
      </c>
      <c r="I4608">
        <v>-51.40034</v>
      </c>
      <c r="J4608">
        <v>-302.44200000000001</v>
      </c>
      <c r="K4608">
        <v>1.106352</v>
      </c>
      <c r="L4608">
        <v>-14.863709999999999</v>
      </c>
      <c r="M4608">
        <v>-5.7197959999999999E-2</v>
      </c>
      <c r="N4608">
        <v>0</v>
      </c>
      <c r="O4608">
        <v>-0.99830750000000001</v>
      </c>
      <c r="P4608">
        <v>1.739632E-2</v>
      </c>
      <c r="Q4608">
        <v>0.12244480000000001</v>
      </c>
      <c r="R4608">
        <v>-0.99232290000000001</v>
      </c>
      <c r="S4608">
        <v>0.35623169999999998</v>
      </c>
      <c r="T4608">
        <v>-9.1003890000000004E-2</v>
      </c>
      <c r="U4608">
        <v>-3.03009</v>
      </c>
      <c r="V4608">
        <v>-7.4686740000000001E-2</v>
      </c>
      <c r="W4608">
        <v>0.13254659999999999</v>
      </c>
      <c r="X4608">
        <v>0.98835890000000004</v>
      </c>
      <c r="Y4608">
        <v>-0.173327799999999</v>
      </c>
      <c r="Z4608">
        <v>2.961695E-2</v>
      </c>
      <c r="AA4608">
        <v>0.98441869999999998</v>
      </c>
      <c r="AB4608">
        <v>31</v>
      </c>
      <c r="AC4608">
        <v>4.34649999999999</v>
      </c>
      <c r="AD4608">
        <v>-1.1063598262359999</v>
      </c>
      <c r="AE4608">
        <v>-36.536630000000002</v>
      </c>
      <c r="AF4608">
        <v>-6.4235118581956296</v>
      </c>
      <c r="AG4608">
        <v>-1.1063598262359999</v>
      </c>
      <c r="AH4608">
        <v>36.195457468482502</v>
      </c>
      <c r="AI4608">
        <v>91.723853662112305</v>
      </c>
      <c r="AJ4608">
        <v>100.063355680846</v>
      </c>
      <c r="AK4608">
        <v>36.7776654779802</v>
      </c>
      <c r="AL4608">
        <v>82.383224615715093</v>
      </c>
      <c r="AM4608">
        <v>94.3214236918609</v>
      </c>
      <c r="AN4608">
        <v>1.00000001275629</v>
      </c>
    </row>
    <row r="4609" spans="1:40" x14ac:dyDescent="0.3">
      <c r="A4609" t="str">
        <f>"20200111150120114"</f>
        <v>20200111150120114</v>
      </c>
      <c r="B4609" t="str">
        <f>"1578726080102765"</f>
        <v>1578726080102765</v>
      </c>
      <c r="C4609" t="s">
        <v>40</v>
      </c>
      <c r="D4609">
        <v>4.6278980000000001</v>
      </c>
      <c r="E4609">
        <v>0.45189220000000002</v>
      </c>
      <c r="F4609" t="s">
        <v>83</v>
      </c>
      <c r="G4609">
        <v>-298.29640000000001</v>
      </c>
      <c r="H4609" s="1">
        <v>-3.5879110000000001E-6</v>
      </c>
      <c r="I4609">
        <v>-45.468020000000003</v>
      </c>
      <c r="J4609">
        <v>-302.45760000000001</v>
      </c>
      <c r="K4609">
        <v>1.1063769999999999</v>
      </c>
      <c r="L4609">
        <v>-15.174620000000001</v>
      </c>
      <c r="M4609">
        <v>-5.5001910000000001E-2</v>
      </c>
      <c r="N4609">
        <v>0</v>
      </c>
      <c r="O4609">
        <v>-0.99843099999999996</v>
      </c>
      <c r="P4609">
        <v>2.0666690000000001E-2</v>
      </c>
      <c r="Q4609">
        <v>0.1232863</v>
      </c>
      <c r="R4609">
        <v>-0.99215600000000004</v>
      </c>
      <c r="S4609">
        <v>0.41036990000000001</v>
      </c>
      <c r="T4609">
        <v>-0.1095189</v>
      </c>
      <c r="U4609">
        <v>-3.029541</v>
      </c>
      <c r="V4609">
        <v>-7.5773160000000006E-2</v>
      </c>
      <c r="W4609">
        <v>0.133358</v>
      </c>
      <c r="X4609">
        <v>0.98816700000000002</v>
      </c>
      <c r="Y4609">
        <v>-0.1884489</v>
      </c>
      <c r="Z4609">
        <v>3.5558760000000002E-2</v>
      </c>
      <c r="AA4609">
        <v>0.98143910000000001</v>
      </c>
      <c r="AB4609">
        <v>31</v>
      </c>
      <c r="AC4609">
        <v>4.1612</v>
      </c>
      <c r="AD4609">
        <v>-1.106380587911</v>
      </c>
      <c r="AE4609">
        <v>-30.293399999999998</v>
      </c>
      <c r="AF4609">
        <v>-5.8135761282801903</v>
      </c>
      <c r="AG4609">
        <v>-1.106380587911</v>
      </c>
      <c r="AH4609">
        <v>29.979403676145701</v>
      </c>
      <c r="AI4609">
        <v>92.074905585101405</v>
      </c>
      <c r="AJ4609">
        <v>100.97452930882299</v>
      </c>
      <c r="AK4609">
        <v>30.557918616651801</v>
      </c>
      <c r="AL4609">
        <v>82.336318107188703</v>
      </c>
      <c r="AM4609">
        <v>94.384889395134493</v>
      </c>
      <c r="AN4609">
        <v>0.99999997391469198</v>
      </c>
    </row>
    <row r="4610" spans="1:40" x14ac:dyDescent="0.3">
      <c r="A4610" t="str">
        <f>"20200111150120136"</f>
        <v>20200111150120136</v>
      </c>
      <c r="B4610" t="str">
        <f>"1578726080132044"</f>
        <v>1578726080132044</v>
      </c>
      <c r="C4610" t="s">
        <v>40</v>
      </c>
      <c r="D4610">
        <v>4.5108779999999999</v>
      </c>
      <c r="E4610">
        <v>0.45098080000000001</v>
      </c>
      <c r="F4610" t="s">
        <v>83</v>
      </c>
      <c r="G4610">
        <v>-298.72879999999998</v>
      </c>
      <c r="H4610" s="1">
        <v>-8.4956069999999898E-7</v>
      </c>
      <c r="I4610">
        <v>-41.208269999999999</v>
      </c>
      <c r="J4610">
        <v>-302.47230000000002</v>
      </c>
      <c r="K4610">
        <v>1.106401</v>
      </c>
      <c r="L4610">
        <v>-15.48047</v>
      </c>
      <c r="M4610">
        <v>-5.286064E-2</v>
      </c>
      <c r="N4610">
        <v>0</v>
      </c>
      <c r="O4610">
        <v>-0.99854679999999996</v>
      </c>
      <c r="P4610">
        <v>2.2290069999999999E-2</v>
      </c>
      <c r="Q4610">
        <v>0.12512100000000001</v>
      </c>
      <c r="R4610">
        <v>-0.99189150000000004</v>
      </c>
      <c r="S4610">
        <v>0.43408200000000002</v>
      </c>
      <c r="T4610">
        <v>-0.12879740000000001</v>
      </c>
      <c r="U4610">
        <v>-3.0306700000000002</v>
      </c>
      <c r="V4610">
        <v>-7.5269080000000002E-2</v>
      </c>
      <c r="W4610">
        <v>0.13518050000000001</v>
      </c>
      <c r="X4610">
        <v>0.98795790000000006</v>
      </c>
      <c r="Y4610">
        <v>-0.19378980000000001</v>
      </c>
      <c r="Z4610">
        <v>4.175533E-2</v>
      </c>
      <c r="AA4610">
        <v>0.98015410000000003</v>
      </c>
      <c r="AB4610">
        <v>31</v>
      </c>
      <c r="AC4610">
        <v>3.74350000000004</v>
      </c>
      <c r="AD4610">
        <v>-1.1064018495607</v>
      </c>
      <c r="AE4610">
        <v>-25.727799999999998</v>
      </c>
      <c r="AF4610">
        <v>-5.08911198634088</v>
      </c>
      <c r="AG4610">
        <v>-1.1064018495607</v>
      </c>
      <c r="AH4610">
        <v>25.447844876826299</v>
      </c>
      <c r="AI4610">
        <v>92.441217262264303</v>
      </c>
      <c r="AJ4610">
        <v>101.308943134053</v>
      </c>
      <c r="AK4610">
        <v>25.975295854662399</v>
      </c>
      <c r="AL4610">
        <v>82.2309426004676</v>
      </c>
      <c r="AM4610">
        <v>94.356749969227593</v>
      </c>
      <c r="AN4610">
        <v>1.0000000070783499</v>
      </c>
    </row>
    <row r="4611" spans="1:40" x14ac:dyDescent="0.3">
      <c r="A4611" t="str">
        <f>"20200111150120159"</f>
        <v>20200111150120159</v>
      </c>
      <c r="B4611" t="str">
        <f>"1578726080152540"</f>
        <v>1578726080152540</v>
      </c>
      <c r="C4611" t="s">
        <v>40</v>
      </c>
      <c r="D4611">
        <v>4.5387649999999997</v>
      </c>
      <c r="E4611">
        <v>0.45099800000000001</v>
      </c>
      <c r="F4611" t="s">
        <v>42</v>
      </c>
      <c r="G4611">
        <v>-298.988</v>
      </c>
      <c r="H4611" s="1">
        <v>-7.2179349999999899E-7</v>
      </c>
      <c r="I4611">
        <v>-39.10313</v>
      </c>
      <c r="J4611">
        <v>-302.48680000000002</v>
      </c>
      <c r="K4611">
        <v>1.1064259999999999</v>
      </c>
      <c r="L4611">
        <v>-15.795929999999901</v>
      </c>
      <c r="M4611">
        <v>-5.0665309999999998E-2</v>
      </c>
      <c r="N4611">
        <v>0</v>
      </c>
      <c r="O4611">
        <v>-0.99866089999999996</v>
      </c>
      <c r="P4611">
        <v>2.3634550000000001E-2</v>
      </c>
      <c r="Q4611">
        <v>0.12627439999999901</v>
      </c>
      <c r="R4611">
        <v>-0.99171419999999999</v>
      </c>
      <c r="S4611">
        <v>0.44726559999999999</v>
      </c>
      <c r="T4611">
        <v>-0.14202579999999901</v>
      </c>
      <c r="U4611">
        <v>-3.0323790000000002</v>
      </c>
      <c r="V4611">
        <v>-7.4435150000000005E-2</v>
      </c>
      <c r="W4611">
        <v>0.13632939999999999</v>
      </c>
      <c r="X4611">
        <v>0.98786320000000005</v>
      </c>
      <c r="Y4611">
        <v>-0.19570109999999999</v>
      </c>
      <c r="Z4611">
        <v>4.5994239999999999E-2</v>
      </c>
      <c r="AA4611">
        <v>0.97958440000000002</v>
      </c>
      <c r="AB4611">
        <v>31</v>
      </c>
      <c r="AC4611">
        <v>3.4988000000000099</v>
      </c>
      <c r="AD4611">
        <v>-1.1064267217935</v>
      </c>
      <c r="AE4611">
        <v>-23.307200000000002</v>
      </c>
      <c r="AF4611">
        <v>-4.6649561110748303</v>
      </c>
      <c r="AG4611">
        <v>-1.1064267217935</v>
      </c>
      <c r="AH4611">
        <v>23.049188004805501</v>
      </c>
      <c r="AI4611">
        <v>92.693717343039694</v>
      </c>
      <c r="AJ4611">
        <v>101.44161577152801</v>
      </c>
      <c r="AK4611">
        <v>23.542537316309499</v>
      </c>
      <c r="AL4611">
        <v>82.164500322883399</v>
      </c>
      <c r="AM4611">
        <v>94.309074429378299</v>
      </c>
      <c r="AN4611">
        <v>0.99999999938706097</v>
      </c>
    </row>
    <row r="4612" spans="1:40" x14ac:dyDescent="0.3">
      <c r="A4612" t="str">
        <f>"20200111150120181"</f>
        <v>20200111150120181</v>
      </c>
      <c r="B4612" t="str">
        <f>"1578726080172060"</f>
        <v>1578726080172060</v>
      </c>
      <c r="C4612" t="s">
        <v>40</v>
      </c>
      <c r="D4612">
        <v>4.5043290000000002</v>
      </c>
      <c r="E4612">
        <v>0.45123350000000001</v>
      </c>
      <c r="F4612" t="s">
        <v>42</v>
      </c>
      <c r="G4612">
        <v>-299.00110000000001</v>
      </c>
      <c r="H4612" s="1">
        <v>-6.5860919999999995E-7</v>
      </c>
      <c r="I4612">
        <v>-39.244999999999997</v>
      </c>
      <c r="J4612">
        <v>-302.49979999999999</v>
      </c>
      <c r="K4612">
        <v>1.1064480000000001</v>
      </c>
      <c r="L4612">
        <v>-16.093509999999998</v>
      </c>
      <c r="M4612">
        <v>-4.8601949999999998E-2</v>
      </c>
      <c r="N4612">
        <v>0</v>
      </c>
      <c r="O4612">
        <v>-0.99876339999999997</v>
      </c>
      <c r="P4612">
        <v>2.407186E-2</v>
      </c>
      <c r="Q4612">
        <v>0.12697559999999999</v>
      </c>
      <c r="R4612">
        <v>-0.99161410000000005</v>
      </c>
      <c r="S4612">
        <v>0.45077509999999998</v>
      </c>
      <c r="T4612">
        <v>-0.14308770000000001</v>
      </c>
      <c r="U4612">
        <v>-3.0325319999999998</v>
      </c>
      <c r="V4612">
        <v>-7.282864E-2</v>
      </c>
      <c r="W4612">
        <v>0.13703940000000001</v>
      </c>
      <c r="X4612">
        <v>0.98788469999999995</v>
      </c>
      <c r="Y4612">
        <v>-0.1947749</v>
      </c>
      <c r="Z4612">
        <v>4.6342729999999999E-2</v>
      </c>
      <c r="AA4612">
        <v>0.97975250000000003</v>
      </c>
      <c r="AB4612">
        <v>31</v>
      </c>
      <c r="AC4612">
        <v>3.4986999999999799</v>
      </c>
      <c r="AD4612">
        <v>-1.1064486586091999</v>
      </c>
      <c r="AE4612">
        <v>-23.1514899999999</v>
      </c>
      <c r="AF4612">
        <v>-4.6095407383761202</v>
      </c>
      <c r="AG4612">
        <v>-1.1064486586091999</v>
      </c>
      <c r="AH4612">
        <v>22.902930920570299</v>
      </c>
      <c r="AI4612">
        <v>92.7115391256023</v>
      </c>
      <c r="AJ4612">
        <v>101.37956454731101</v>
      </c>
      <c r="AK4612">
        <v>23.3883804314301</v>
      </c>
      <c r="AL4612">
        <v>82.123434864041201</v>
      </c>
      <c r="AM4612">
        <v>94.216320704277294</v>
      </c>
      <c r="AN4612">
        <v>0.99999999422534902</v>
      </c>
    </row>
    <row r="4613" spans="1:40" x14ac:dyDescent="0.3">
      <c r="A4613" t="str">
        <f>"20200111150120214"</f>
        <v>20200111150120214</v>
      </c>
      <c r="B4613" t="str">
        <f>"1578726080212541"</f>
        <v>1578726080212541</v>
      </c>
      <c r="C4613" t="s">
        <v>40</v>
      </c>
      <c r="D4613">
        <v>4.5828879999999996</v>
      </c>
      <c r="E4613">
        <v>0.45138109999999998</v>
      </c>
      <c r="F4613" t="s">
        <v>42</v>
      </c>
      <c r="G4613">
        <v>-299.0453</v>
      </c>
      <c r="H4613" s="1">
        <v>-5.8955659999999899E-7</v>
      </c>
      <c r="I4613">
        <v>-39.387700000000002</v>
      </c>
      <c r="J4613">
        <v>-302.51859999999999</v>
      </c>
      <c r="K4613">
        <v>1.106471</v>
      </c>
      <c r="L4613">
        <v>-16.555239999999898</v>
      </c>
      <c r="M4613">
        <v>-4.5406849999999999E-2</v>
      </c>
      <c r="N4613">
        <v>0</v>
      </c>
      <c r="O4613">
        <v>-0.99891350000000001</v>
      </c>
      <c r="P4613">
        <v>2.4242650000000001E-2</v>
      </c>
      <c r="Q4613">
        <v>0.12751189999999901</v>
      </c>
      <c r="R4613">
        <v>-0.9915408</v>
      </c>
      <c r="S4613">
        <v>0.4497681</v>
      </c>
      <c r="T4613">
        <v>-0.1440594</v>
      </c>
      <c r="U4613">
        <v>-3.0328979999999999</v>
      </c>
      <c r="V4613">
        <v>-6.9836289999999995E-2</v>
      </c>
      <c r="W4613">
        <v>0.1376029</v>
      </c>
      <c r="X4613">
        <v>0.98802239999999997</v>
      </c>
      <c r="Y4613">
        <v>-0.19129860000000001</v>
      </c>
      <c r="Z4613">
        <v>4.6679089999999999E-2</v>
      </c>
      <c r="AA4613">
        <v>0.98042130000000005</v>
      </c>
      <c r="AB4613">
        <v>31</v>
      </c>
      <c r="AC4613">
        <v>3.4732999999999898</v>
      </c>
      <c r="AD4613">
        <v>-1.1064715895566</v>
      </c>
      <c r="AE4613">
        <v>-22.832460000000001</v>
      </c>
      <c r="AF4613">
        <v>-4.4962041528237497</v>
      </c>
      <c r="AG4613">
        <v>-1.1064715895566</v>
      </c>
      <c r="AH4613">
        <v>22.599314957419999</v>
      </c>
      <c r="AI4613">
        <v>92.749189678112799</v>
      </c>
      <c r="AJ4613">
        <v>101.252245901381</v>
      </c>
      <c r="AK4613">
        <v>23.0687920729941</v>
      </c>
      <c r="AL4613">
        <v>82.090839666810993</v>
      </c>
      <c r="AM4613">
        <v>94.043107668311805</v>
      </c>
      <c r="AN4613">
        <v>0.99999996419556603</v>
      </c>
    </row>
    <row r="4614" spans="1:40" x14ac:dyDescent="0.3">
      <c r="A4614" t="str">
        <f>"20200111150120236"</f>
        <v>20200111150120236</v>
      </c>
      <c r="B4614" t="str">
        <f>"1578726080232061"</f>
        <v>1578726080232061</v>
      </c>
      <c r="C4614" t="s">
        <v>40</v>
      </c>
      <c r="D4614">
        <v>4.5170940000000002</v>
      </c>
      <c r="E4614">
        <v>0.45166030000000001</v>
      </c>
      <c r="F4614" t="s">
        <v>42</v>
      </c>
      <c r="G4614">
        <v>-299.33519999999999</v>
      </c>
      <c r="H4614" s="1">
        <v>-1.1079039999999999E-6</v>
      </c>
      <c r="I4614">
        <v>-38.059559999999998</v>
      </c>
      <c r="J4614">
        <v>-302.53070000000002</v>
      </c>
      <c r="K4614">
        <v>1.106479</v>
      </c>
      <c r="L4614">
        <v>-16.870539999999998</v>
      </c>
      <c r="M4614">
        <v>-4.3227750000000002E-2</v>
      </c>
      <c r="N4614">
        <v>0</v>
      </c>
      <c r="O4614">
        <v>-0.99900999999999995</v>
      </c>
      <c r="P4614">
        <v>2.5631379999999999E-2</v>
      </c>
      <c r="Q4614">
        <v>0.1282025</v>
      </c>
      <c r="R4614">
        <v>-0.99141679999999999</v>
      </c>
      <c r="S4614">
        <v>0.44924930000000002</v>
      </c>
      <c r="T4614">
        <v>-0.156145799999999</v>
      </c>
      <c r="U4614">
        <v>-3.0346980000000001</v>
      </c>
      <c r="V4614">
        <v>-6.9063369999999999E-2</v>
      </c>
      <c r="W4614">
        <v>0.13830700000000001</v>
      </c>
      <c r="X4614">
        <v>0.98797849999999998</v>
      </c>
      <c r="Y4614">
        <v>-0.18888070000000001</v>
      </c>
      <c r="Z4614">
        <v>5.057594E-2</v>
      </c>
      <c r="AA4614">
        <v>0.98069680000000004</v>
      </c>
      <c r="AB4614">
        <v>31</v>
      </c>
      <c r="AC4614">
        <v>3.1955000000000302</v>
      </c>
      <c r="AD4614">
        <v>-1.1064801079040001</v>
      </c>
      <c r="AE4614">
        <v>-21.189019999999999</v>
      </c>
      <c r="AF4614">
        <v>-4.0975917212977002</v>
      </c>
      <c r="AG4614">
        <v>-1.1064801079040001</v>
      </c>
      <c r="AH4614">
        <v>20.975144637126899</v>
      </c>
      <c r="AI4614">
        <v>92.963744946927406</v>
      </c>
      <c r="AJ4614">
        <v>101.053782448224</v>
      </c>
      <c r="AK4614">
        <v>21.400262818293299</v>
      </c>
      <c r="AL4614">
        <v>82.050108906555195</v>
      </c>
      <c r="AM4614">
        <v>93.998683224759404</v>
      </c>
      <c r="AN4614">
        <v>1.0000000458934999</v>
      </c>
    </row>
    <row r="4615" spans="1:40" x14ac:dyDescent="0.3">
      <c r="A4615" t="str">
        <f>"20200111150120259"</f>
        <v>20200111150120259</v>
      </c>
      <c r="B4615" t="str">
        <f>"1578726080252557"</f>
        <v>1578726080252557</v>
      </c>
      <c r="C4615" t="s">
        <v>40</v>
      </c>
      <c r="D4615">
        <v>4.4734389999999999</v>
      </c>
      <c r="E4615">
        <v>0.45192979999999999</v>
      </c>
      <c r="F4615" t="s">
        <v>42</v>
      </c>
      <c r="G4615">
        <v>-299.31619999999998</v>
      </c>
      <c r="H4615" s="1">
        <v>-9.2022949999999996E-7</v>
      </c>
      <c r="I4615">
        <v>-38.504899999999999</v>
      </c>
      <c r="J4615">
        <v>-302.54199999999997</v>
      </c>
      <c r="K4615">
        <v>1.106471</v>
      </c>
      <c r="L4615">
        <v>-17.182500000000001</v>
      </c>
      <c r="M4615">
        <v>-4.1086570000000003E-2</v>
      </c>
      <c r="N4615">
        <v>0</v>
      </c>
      <c r="O4615">
        <v>-0.99910030000000005</v>
      </c>
      <c r="P4615">
        <v>2.7086780000000001E-2</v>
      </c>
      <c r="Q4615">
        <v>0.12847939999999999</v>
      </c>
      <c r="R4615">
        <v>-0.99134250000000002</v>
      </c>
      <c r="S4615">
        <v>0.45086670000000001</v>
      </c>
      <c r="T4615">
        <v>-0.15519279999999999</v>
      </c>
      <c r="U4615">
        <v>-3.0343930000000001</v>
      </c>
      <c r="V4615">
        <v>-6.8393919999999997E-2</v>
      </c>
      <c r="W4615">
        <v>0.13859939999999901</v>
      </c>
      <c r="X4615">
        <v>0.98798410000000003</v>
      </c>
      <c r="Y4615">
        <v>-0.1873039</v>
      </c>
      <c r="Z4615">
        <v>5.0285690000000001E-2</v>
      </c>
      <c r="AA4615">
        <v>0.9810141</v>
      </c>
      <c r="AB4615">
        <v>31</v>
      </c>
      <c r="AC4615">
        <v>3.22580000000004</v>
      </c>
      <c r="AD4615">
        <v>-1.1064719202294999</v>
      </c>
      <c r="AE4615">
        <v>-21.322399999999998</v>
      </c>
      <c r="AF4615">
        <v>-4.0884253981453798</v>
      </c>
      <c r="AG4615">
        <v>-1.1064719202294999</v>
      </c>
      <c r="AH4615">
        <v>21.1162586681634</v>
      </c>
      <c r="AI4615">
        <v>92.944910457774299</v>
      </c>
      <c r="AJ4615">
        <v>100.957743976305</v>
      </c>
      <c r="AK4615">
        <v>21.536849409494501</v>
      </c>
      <c r="AL4615">
        <v>82.033192749255207</v>
      </c>
      <c r="AM4615">
        <v>93.960024449144996</v>
      </c>
      <c r="AN4615">
        <v>1.0000000519130601</v>
      </c>
    </row>
    <row r="4616" spans="1:40" x14ac:dyDescent="0.3">
      <c r="A4616" t="str">
        <f>"20200111150120281"</f>
        <v>20200111150120281</v>
      </c>
      <c r="B4616" t="str">
        <f>"1578726080272077"</f>
        <v>1578726080272077</v>
      </c>
      <c r="C4616" t="s">
        <v>40</v>
      </c>
      <c r="D4616">
        <v>4.478504</v>
      </c>
      <c r="E4616">
        <v>0.45196769999999997</v>
      </c>
      <c r="F4616" t="s">
        <v>42</v>
      </c>
      <c r="G4616">
        <v>-299.42619999999999</v>
      </c>
      <c r="H4616" s="1">
        <v>-1.1062859999999999E-6</v>
      </c>
      <c r="I4616">
        <v>-38.025689999999997</v>
      </c>
      <c r="J4616">
        <v>-302.55220000000003</v>
      </c>
      <c r="K4616">
        <v>1.106454</v>
      </c>
      <c r="L4616">
        <v>-17.483519999999999</v>
      </c>
      <c r="M4616">
        <v>-3.9053749999999998E-2</v>
      </c>
      <c r="N4616">
        <v>0</v>
      </c>
      <c r="O4616">
        <v>-0.9991816</v>
      </c>
      <c r="P4616">
        <v>2.8534279999999999E-2</v>
      </c>
      <c r="Q4616">
        <v>0.1284547</v>
      </c>
      <c r="R4616">
        <v>-0.9913052</v>
      </c>
      <c r="S4616">
        <v>0.45364379999999999</v>
      </c>
      <c r="T4616">
        <v>-0.16109849999999901</v>
      </c>
      <c r="U4616">
        <v>-3.0346980000000001</v>
      </c>
      <c r="V4616">
        <v>-6.7819710000000005E-2</v>
      </c>
      <c r="W4616">
        <v>0.138591299999999</v>
      </c>
      <c r="X4616">
        <v>0.98802480000000004</v>
      </c>
      <c r="Y4616">
        <v>-0.18615470000000001</v>
      </c>
      <c r="Z4616">
        <v>5.2197590000000002E-2</v>
      </c>
      <c r="AA4616">
        <v>0.98113289999999997</v>
      </c>
      <c r="AB4616">
        <v>31</v>
      </c>
      <c r="AC4616">
        <v>3.1260000000000301</v>
      </c>
      <c r="AD4616">
        <v>-1.106455106286</v>
      </c>
      <c r="AE4616">
        <v>-20.542169999999999</v>
      </c>
      <c r="AF4616">
        <v>-3.91480770642614</v>
      </c>
      <c r="AG4616">
        <v>-1.106455106286</v>
      </c>
      <c r="AH4616">
        <v>20.346714574739199</v>
      </c>
      <c r="AI4616">
        <v>93.056724790584397</v>
      </c>
      <c r="AJ4616">
        <v>100.890898253074</v>
      </c>
      <c r="AK4616">
        <v>20.749427853953598</v>
      </c>
      <c r="AL4616">
        <v>82.033661219659194</v>
      </c>
      <c r="AM4616">
        <v>93.926720751241703</v>
      </c>
      <c r="AN4616">
        <v>1.0000000334576</v>
      </c>
    </row>
    <row r="4617" spans="1:40" x14ac:dyDescent="0.3">
      <c r="A4617" t="str">
        <f>"20200111150120304"</f>
        <v>20200111150120304</v>
      </c>
      <c r="B4617" t="str">
        <f>"1578726080292574"</f>
        <v>1578726080292574</v>
      </c>
      <c r="C4617" t="s">
        <v>40</v>
      </c>
      <c r="D4617">
        <v>4.48813</v>
      </c>
      <c r="E4617">
        <v>0.45197189999999998</v>
      </c>
      <c r="F4617" t="s">
        <v>42</v>
      </c>
      <c r="G4617">
        <v>-299.45159999999998</v>
      </c>
      <c r="H4617" s="1">
        <v>-1.1002709999999999E-6</v>
      </c>
      <c r="I4617">
        <v>-38.029209999999999</v>
      </c>
      <c r="J4617">
        <v>-302.56229999999999</v>
      </c>
      <c r="K4617">
        <v>1.106414</v>
      </c>
      <c r="L4617">
        <v>-17.794889999999999</v>
      </c>
      <c r="M4617">
        <v>-3.7010250000000001E-2</v>
      </c>
      <c r="N4617">
        <v>0</v>
      </c>
      <c r="O4617">
        <v>-0.99925940000000002</v>
      </c>
      <c r="P4617">
        <v>3.061345E-2</v>
      </c>
      <c r="Q4617">
        <v>0.12882060000000001</v>
      </c>
      <c r="R4617">
        <v>-0.99119539999999995</v>
      </c>
      <c r="S4617">
        <v>0.4579163</v>
      </c>
      <c r="T4617">
        <v>-0.16340739999999901</v>
      </c>
      <c r="U4617">
        <v>-3.0343019999999998</v>
      </c>
      <c r="V4617">
        <v>-6.7859379999999997E-2</v>
      </c>
      <c r="W4617">
        <v>0.13897290000000001</v>
      </c>
      <c r="X4617">
        <v>0.98796839999999997</v>
      </c>
      <c r="Y4617">
        <v>-0.18550920000000001</v>
      </c>
      <c r="Z4617">
        <v>5.2954399999999999E-2</v>
      </c>
      <c r="AA4617">
        <v>0.98121460000000005</v>
      </c>
      <c r="AB4617">
        <v>31</v>
      </c>
      <c r="AC4617">
        <v>3.1107</v>
      </c>
      <c r="AD4617">
        <v>-1.1064151002709901</v>
      </c>
      <c r="AE4617">
        <v>-20.23432</v>
      </c>
      <c r="AF4617">
        <v>-3.8462528911584499</v>
      </c>
      <c r="AG4617">
        <v>-1.1064151002709901</v>
      </c>
      <c r="AH4617">
        <v>20.046767208558201</v>
      </c>
      <c r="AI4617">
        <v>93.102570371981002</v>
      </c>
      <c r="AJ4617">
        <v>100.861009819911</v>
      </c>
      <c r="AK4617">
        <v>20.4423748911661</v>
      </c>
      <c r="AL4617">
        <v>82.011582919993202</v>
      </c>
      <c r="AM4617">
        <v>93.929234021143202</v>
      </c>
      <c r="AN4617">
        <v>0.99999996089347598</v>
      </c>
    </row>
    <row r="4618" spans="1:40" x14ac:dyDescent="0.3">
      <c r="A4618" t="str">
        <f>"20200111150120326"</f>
        <v>20200111150120326</v>
      </c>
      <c r="B4618" t="str">
        <f>"1578726080321857"</f>
        <v>1578726080321857</v>
      </c>
      <c r="C4618" t="s">
        <v>40</v>
      </c>
      <c r="D4618">
        <v>4.5210499999999998</v>
      </c>
      <c r="E4618">
        <v>0.4518991</v>
      </c>
      <c r="F4618" t="s">
        <v>42</v>
      </c>
      <c r="G4618">
        <v>-299.44319999999999</v>
      </c>
      <c r="H4618" s="1">
        <v>-1.029507E-6</v>
      </c>
      <c r="I4618">
        <v>-38.197650000000003</v>
      </c>
      <c r="J4618">
        <v>-302.57159999999999</v>
      </c>
      <c r="K4618">
        <v>1.106363</v>
      </c>
      <c r="L4618">
        <v>-18.103909999999999</v>
      </c>
      <c r="M4618">
        <v>-3.5038859999999998E-2</v>
      </c>
      <c r="N4618">
        <v>0</v>
      </c>
      <c r="O4618">
        <v>-0.99933019999999995</v>
      </c>
      <c r="P4618">
        <v>3.329783E-2</v>
      </c>
      <c r="Q4618">
        <v>0.128431399999999</v>
      </c>
      <c r="R4618">
        <v>-0.99115969999999998</v>
      </c>
      <c r="S4618">
        <v>0.46377560000000001</v>
      </c>
      <c r="T4618">
        <v>-0.1645132</v>
      </c>
      <c r="U4618">
        <v>-3.0336910000000001</v>
      </c>
      <c r="V4618">
        <v>-6.8572499999999995E-2</v>
      </c>
      <c r="W4618">
        <v>0.138597</v>
      </c>
      <c r="X4618">
        <v>0.98797199999999996</v>
      </c>
      <c r="Y4618">
        <v>-0.18544939999999999</v>
      </c>
      <c r="Z4618">
        <v>5.3320670000000001E-2</v>
      </c>
      <c r="AA4618">
        <v>0.98120609999999997</v>
      </c>
      <c r="AB4618">
        <v>31</v>
      </c>
      <c r="AC4618">
        <v>3.1283999999999899</v>
      </c>
      <c r="AD4618">
        <v>-1.1063640295070001</v>
      </c>
      <c r="AE4618">
        <v>-20.09374</v>
      </c>
      <c r="AF4618">
        <v>-3.8192751980676798</v>
      </c>
      <c r="AG4618">
        <v>-1.1063640295070001</v>
      </c>
      <c r="AH4618">
        <v>19.912838930220399</v>
      </c>
      <c r="AI4618">
        <v>93.123289462827898</v>
      </c>
      <c r="AJ4618">
        <v>100.857452903096</v>
      </c>
      <c r="AK4618">
        <v>20.3059611608331</v>
      </c>
      <c r="AL4618">
        <v>82.033331138636896</v>
      </c>
      <c r="AM4618">
        <v>93.970379718991396</v>
      </c>
      <c r="AN4618">
        <v>0.99999999447462495</v>
      </c>
    </row>
    <row r="4619" spans="1:40" x14ac:dyDescent="0.3">
      <c r="A4619" t="str">
        <f>"20200111150120349"</f>
        <v>20200111150120349</v>
      </c>
      <c r="B4619" t="str">
        <f>"1578726080342349"</f>
        <v>1578726080342349</v>
      </c>
      <c r="C4619" t="s">
        <v>40</v>
      </c>
      <c r="D4619">
        <v>4.5074740000000002</v>
      </c>
      <c r="E4619">
        <v>0.4520633</v>
      </c>
      <c r="F4619" t="s">
        <v>42</v>
      </c>
      <c r="G4619">
        <v>-299.50029999999998</v>
      </c>
      <c r="H4619" s="1">
        <v>-1.1678939999999999E-6</v>
      </c>
      <c r="I4619">
        <v>-37.851439999999997</v>
      </c>
      <c r="J4619">
        <v>-302.58069999999998</v>
      </c>
      <c r="K4619">
        <v>1.1062989999999999</v>
      </c>
      <c r="L4619">
        <v>-18.422059999999998</v>
      </c>
      <c r="M4619">
        <v>-3.3097269999999998E-2</v>
      </c>
      <c r="N4619">
        <v>0</v>
      </c>
      <c r="O4619">
        <v>-0.99939630000000002</v>
      </c>
      <c r="P4619">
        <v>3.566714E-2</v>
      </c>
      <c r="Q4619">
        <v>0.12748799999999999</v>
      </c>
      <c r="R4619">
        <v>-0.99119900000000005</v>
      </c>
      <c r="S4619">
        <v>0.47171020000000002</v>
      </c>
      <c r="T4619">
        <v>-0.16992119999999999</v>
      </c>
      <c r="U4619">
        <v>-3.0329280000000001</v>
      </c>
      <c r="V4619">
        <v>-6.8995570000000006E-2</v>
      </c>
      <c r="W4619">
        <v>0.13767179999999901</v>
      </c>
      <c r="X4619">
        <v>0.9880719</v>
      </c>
      <c r="Y4619">
        <v>-0.18606990000000001</v>
      </c>
      <c r="Z4619">
        <v>5.5073179999999999E-2</v>
      </c>
      <c r="AA4619">
        <v>0.98099179999999997</v>
      </c>
      <c r="AB4619">
        <v>31</v>
      </c>
      <c r="AC4619">
        <v>3.0803999999999898</v>
      </c>
      <c r="AD4619">
        <v>-1.1063001678940001</v>
      </c>
      <c r="AE4619">
        <v>-19.429379999999998</v>
      </c>
      <c r="AF4619">
        <v>-3.7100739501759601</v>
      </c>
      <c r="AG4619">
        <v>-1.1063001678940001</v>
      </c>
      <c r="AH4619">
        <v>19.2558766591638</v>
      </c>
      <c r="AI4619">
        <v>93.228919080930794</v>
      </c>
      <c r="AJ4619">
        <v>100.905670878951</v>
      </c>
      <c r="AK4619">
        <v>19.641215204008802</v>
      </c>
      <c r="AL4619">
        <v>82.086854311487102</v>
      </c>
      <c r="AM4619">
        <v>93.994394011268497</v>
      </c>
      <c r="AN4619">
        <v>0.99999999638223702</v>
      </c>
    </row>
    <row r="4620" spans="1:40" x14ac:dyDescent="0.3">
      <c r="A4620" t="str">
        <f>"20200111150120370"</f>
        <v>20200111150120370</v>
      </c>
      <c r="B4620" t="str">
        <f>"1578726080361869"</f>
        <v>1578726080361869</v>
      </c>
      <c r="C4620" t="s">
        <v>40</v>
      </c>
      <c r="D4620">
        <v>4.4920019999999896</v>
      </c>
      <c r="E4620">
        <v>0.45210660000000003</v>
      </c>
      <c r="F4620" t="s">
        <v>42</v>
      </c>
      <c r="G4620">
        <v>-299.53809999999999</v>
      </c>
      <c r="H4620" s="1">
        <v>-1.2087819999999999E-6</v>
      </c>
      <c r="I4620">
        <v>-37.740519999999997</v>
      </c>
      <c r="J4620">
        <v>-302.589</v>
      </c>
      <c r="K4620">
        <v>1.1062129999999999</v>
      </c>
      <c r="L4620">
        <v>-18.725770000000001</v>
      </c>
      <c r="M4620">
        <v>-3.1367150000000003E-2</v>
      </c>
      <c r="N4620">
        <v>0</v>
      </c>
      <c r="O4620">
        <v>-0.99945209999999995</v>
      </c>
      <c r="P4620">
        <v>3.6931690000000003E-2</v>
      </c>
      <c r="Q4620">
        <v>0.12655930000000001</v>
      </c>
      <c r="R4620">
        <v>-0.99127160000000003</v>
      </c>
      <c r="S4620">
        <v>0.4775085</v>
      </c>
      <c r="T4620">
        <v>-0.17362049999999901</v>
      </c>
      <c r="U4620">
        <v>-3.0317989999999999</v>
      </c>
      <c r="V4620">
        <v>-6.851894E-2</v>
      </c>
      <c r="W4620">
        <v>0.1367669</v>
      </c>
      <c r="X4620">
        <v>0.98823070000000002</v>
      </c>
      <c r="Y4620">
        <v>-0.1862453</v>
      </c>
      <c r="Z4620">
        <v>5.6284519999999998E-2</v>
      </c>
      <c r="AA4620">
        <v>0.98088969999999998</v>
      </c>
      <c r="AB4620">
        <v>31</v>
      </c>
      <c r="AC4620">
        <v>3.0509000000000102</v>
      </c>
      <c r="AD4620">
        <v>-1.1062142087819999</v>
      </c>
      <c r="AE4620">
        <v>-19.014749999999999</v>
      </c>
      <c r="AF4620">
        <v>-3.63388010832819</v>
      </c>
      <c r="AG4620">
        <v>-1.1062142087819999</v>
      </c>
      <c r="AH4620">
        <v>18.8475002077782</v>
      </c>
      <c r="AI4620">
        <v>93.298392001996902</v>
      </c>
      <c r="AJ4620">
        <v>100.912966304378</v>
      </c>
      <c r="AK4620">
        <v>19.2264676578828</v>
      </c>
      <c r="AL4620">
        <v>82.139196201587893</v>
      </c>
      <c r="AM4620">
        <v>93.966253231092296</v>
      </c>
      <c r="AN4620">
        <v>0.99999997324841094</v>
      </c>
    </row>
    <row r="4621" spans="1:40" x14ac:dyDescent="0.3">
      <c r="A4621" t="str">
        <f>"20200111150120393"</f>
        <v>20200111150120393</v>
      </c>
      <c r="B4621" t="str">
        <f>"1578726080382366"</f>
        <v>1578726080382366</v>
      </c>
      <c r="C4621" t="s">
        <v>40</v>
      </c>
      <c r="D4621">
        <v>4.6308499999999997</v>
      </c>
      <c r="E4621">
        <v>0.45205459999999897</v>
      </c>
      <c r="F4621" t="s">
        <v>42</v>
      </c>
      <c r="G4621">
        <v>-299.63220000000001</v>
      </c>
      <c r="H4621" s="1">
        <v>-1.381123E-6</v>
      </c>
      <c r="I4621">
        <v>-37.299860000000002</v>
      </c>
      <c r="J4621">
        <v>-302.59690000000001</v>
      </c>
      <c r="K4621">
        <v>1.1060989999999999</v>
      </c>
      <c r="L4621">
        <v>-19.035679999999999</v>
      </c>
      <c r="M4621">
        <v>-2.9759879999999999E-2</v>
      </c>
      <c r="N4621">
        <v>0</v>
      </c>
      <c r="O4621">
        <v>-0.99950110000000003</v>
      </c>
      <c r="P4621">
        <v>3.9018520000000001E-2</v>
      </c>
      <c r="Q4621">
        <v>0.1265346</v>
      </c>
      <c r="R4621">
        <v>-0.99119449999999998</v>
      </c>
      <c r="S4621">
        <v>0.48257450000000002</v>
      </c>
      <c r="T4621">
        <v>-0.18054629999999999</v>
      </c>
      <c r="U4621">
        <v>-3.0314939999999999</v>
      </c>
      <c r="V4621">
        <v>-6.8974640000000004E-2</v>
      </c>
      <c r="W4621">
        <v>0.136765</v>
      </c>
      <c r="X4621">
        <v>0.9881993</v>
      </c>
      <c r="Y4621">
        <v>-0.18625949999999999</v>
      </c>
      <c r="Z4621">
        <v>5.8524569999999998E-2</v>
      </c>
      <c r="AA4621">
        <v>0.98075599999999996</v>
      </c>
      <c r="AB4621">
        <v>31</v>
      </c>
      <c r="AC4621">
        <v>2.9646999999999899</v>
      </c>
      <c r="AD4621">
        <v>-1.1061003811229999</v>
      </c>
      <c r="AE4621">
        <v>-18.26418</v>
      </c>
      <c r="AF4621">
        <v>-3.4944694518752</v>
      </c>
      <c r="AG4621">
        <v>-1.1061003811229999</v>
      </c>
      <c r="AH4621">
        <v>18.103163761368801</v>
      </c>
      <c r="AI4621">
        <v>93.433195044788704</v>
      </c>
      <c r="AJ4621">
        <v>100.92547901211201</v>
      </c>
      <c r="AK4621">
        <v>18.470498449531501</v>
      </c>
      <c r="AL4621">
        <v>82.139306397641306</v>
      </c>
      <c r="AM4621">
        <v>93.992673079253393</v>
      </c>
      <c r="AN4621">
        <v>1.0000000113542999</v>
      </c>
    </row>
    <row r="4622" spans="1:40" x14ac:dyDescent="0.3">
      <c r="A4622" t="str">
        <f>"20200111150120415"</f>
        <v>20200111150120415</v>
      </c>
      <c r="B4622" t="str">
        <f>"1578726080412622"</f>
        <v>1578726080412622</v>
      </c>
      <c r="C4622" t="s">
        <v>40</v>
      </c>
      <c r="D4622">
        <v>4.6585729999999996</v>
      </c>
      <c r="E4622">
        <v>0.45044729999999999</v>
      </c>
      <c r="F4622" t="s">
        <v>42</v>
      </c>
      <c r="G4622">
        <v>-299.67259999999999</v>
      </c>
      <c r="H4622" s="1">
        <v>-1.442731E-6</v>
      </c>
      <c r="I4622">
        <v>-37.139530000000001</v>
      </c>
      <c r="J4622">
        <v>-302.6046</v>
      </c>
      <c r="K4622">
        <v>1.1059600000000001</v>
      </c>
      <c r="L4622">
        <v>-19.346769999999999</v>
      </c>
      <c r="M4622">
        <v>-2.8332340000000001E-2</v>
      </c>
      <c r="N4622">
        <v>0</v>
      </c>
      <c r="O4622">
        <v>-0.99954259999999995</v>
      </c>
      <c r="P4622">
        <v>4.2882900000000002E-2</v>
      </c>
      <c r="Q4622">
        <v>0.12707499999999999</v>
      </c>
      <c r="R4622">
        <v>-0.99096600000000001</v>
      </c>
      <c r="S4622">
        <v>0.48959350000000001</v>
      </c>
      <c r="T4622">
        <v>-0.18518689999999999</v>
      </c>
      <c r="U4622">
        <v>-3.0310060000000001</v>
      </c>
      <c r="V4622">
        <v>-7.1373909999999999E-2</v>
      </c>
      <c r="W4622">
        <v>0.13732320000000001</v>
      </c>
      <c r="X4622">
        <v>0.98795149999999998</v>
      </c>
      <c r="Y4622">
        <v>-0.18708079999999999</v>
      </c>
      <c r="Z4622">
        <v>6.0021030000000003E-2</v>
      </c>
      <c r="AA4622">
        <v>0.98050919999999997</v>
      </c>
      <c r="AB4622">
        <v>31</v>
      </c>
      <c r="AC4622">
        <v>2.9320000000000102</v>
      </c>
      <c r="AD4622">
        <v>-1.1059614427310001</v>
      </c>
      <c r="AE4622">
        <v>-17.792759999999902</v>
      </c>
      <c r="AF4622">
        <v>-3.4220894817804601</v>
      </c>
      <c r="AG4622">
        <v>-1.1059614427310001</v>
      </c>
      <c r="AH4622">
        <v>17.636203338703702</v>
      </c>
      <c r="AI4622">
        <v>93.522769320453804</v>
      </c>
      <c r="AJ4622">
        <v>100.98108701975301</v>
      </c>
      <c r="AK4622">
        <v>17.9991531839201</v>
      </c>
      <c r="AL4622">
        <v>82.107019421206601</v>
      </c>
      <c r="AM4622">
        <v>94.132117252975107</v>
      </c>
      <c r="AN4622">
        <v>1.00000003131958</v>
      </c>
    </row>
    <row r="4623" spans="1:40" x14ac:dyDescent="0.3">
      <c r="A4623" t="str">
        <f>"20200111150120437"</f>
        <v>20200111150120437</v>
      </c>
      <c r="B4623" t="str">
        <f>"1578726080432141"</f>
        <v>1578726080432141</v>
      </c>
      <c r="C4623" t="s">
        <v>40</v>
      </c>
      <c r="D4623">
        <v>4.6695840000000004</v>
      </c>
      <c r="E4623">
        <v>0.38916329999999999</v>
      </c>
      <c r="F4623" t="s">
        <v>42</v>
      </c>
      <c r="G4623">
        <v>-299.40390000000002</v>
      </c>
      <c r="H4623" s="1">
        <v>-1.0305280000000001E-6</v>
      </c>
      <c r="I4623">
        <v>-38.211500000000001</v>
      </c>
      <c r="J4623">
        <v>-302.6123</v>
      </c>
      <c r="K4623">
        <v>1.105799</v>
      </c>
      <c r="L4623">
        <v>-19.664370000000002</v>
      </c>
      <c r="M4623">
        <v>-2.7087130000000001E-2</v>
      </c>
      <c r="N4623">
        <v>0</v>
      </c>
      <c r="O4623">
        <v>-0.99957689999999999</v>
      </c>
      <c r="P4623">
        <v>4.7387600000000002E-2</v>
      </c>
      <c r="Q4623">
        <v>0.12693589999999999</v>
      </c>
      <c r="R4623">
        <v>-0.99077859999999995</v>
      </c>
      <c r="S4623">
        <v>0.51373290000000005</v>
      </c>
      <c r="T4623">
        <v>-0.1775128</v>
      </c>
      <c r="U4623">
        <v>-3.0278930000000002</v>
      </c>
      <c r="V4623">
        <v>-7.4584730000000002E-2</v>
      </c>
      <c r="W4623">
        <v>0.13721040000000001</v>
      </c>
      <c r="X4623">
        <v>0.98773</v>
      </c>
      <c r="Y4623">
        <v>-0.19364419999999999</v>
      </c>
      <c r="Z4623">
        <v>5.7529450000000003E-2</v>
      </c>
      <c r="AA4623">
        <v>0.97938360000000002</v>
      </c>
      <c r="AB4623">
        <v>31</v>
      </c>
      <c r="AC4623">
        <v>3.2083999999999802</v>
      </c>
      <c r="AD4623">
        <v>-1.105800030528</v>
      </c>
      <c r="AE4623">
        <v>-18.547129999999999</v>
      </c>
      <c r="AF4623">
        <v>-3.6968799776988401</v>
      </c>
      <c r="AG4623">
        <v>-1.105800030528</v>
      </c>
      <c r="AH4623">
        <v>18.389941702599501</v>
      </c>
      <c r="AI4623">
        <v>93.373757544150294</v>
      </c>
      <c r="AJ4623">
        <v>101.36651633883</v>
      </c>
      <c r="AK4623">
        <v>18.7904143408823</v>
      </c>
      <c r="AL4623">
        <v>82.113544409483097</v>
      </c>
      <c r="AM4623">
        <v>94.318281009693294</v>
      </c>
      <c r="AN4623">
        <v>1.00000006435866</v>
      </c>
    </row>
    <row r="4624" spans="1:40" x14ac:dyDescent="0.3">
      <c r="A4624" t="str">
        <f>"20200111150120460"</f>
        <v>20200111150120460</v>
      </c>
      <c r="B4624" t="str">
        <f>"1578726080452637"</f>
        <v>1578726080452637</v>
      </c>
      <c r="C4624" t="s">
        <v>40</v>
      </c>
      <c r="D4624">
        <v>4.6741900000000003</v>
      </c>
      <c r="E4624">
        <v>0.38915529999999998</v>
      </c>
      <c r="F4624" t="s">
        <v>83</v>
      </c>
      <c r="G4624">
        <v>-288.99759999999998</v>
      </c>
      <c r="H4624" s="1">
        <v>-1.597065E-6</v>
      </c>
      <c r="I4624">
        <v>-59.684220000000003</v>
      </c>
      <c r="J4624">
        <v>-302.61959999999999</v>
      </c>
      <c r="K4624">
        <v>1.105626</v>
      </c>
      <c r="L4624">
        <v>-19.97391</v>
      </c>
      <c r="M4624">
        <v>-2.6094180000000002E-2</v>
      </c>
      <c r="N4624">
        <v>0</v>
      </c>
      <c r="O4624">
        <v>-0.99960320000000003</v>
      </c>
      <c r="P4624">
        <v>5.1100510000000002E-2</v>
      </c>
      <c r="Q4624">
        <v>0.12675249999999999</v>
      </c>
      <c r="R4624">
        <v>-0.99061730000000003</v>
      </c>
      <c r="S4624">
        <v>1.0171509999999999</v>
      </c>
      <c r="T4624">
        <v>-8.2613950000000005E-2</v>
      </c>
      <c r="U4624">
        <v>-2.989868</v>
      </c>
      <c r="V4624">
        <v>-7.7252790000000002E-2</v>
      </c>
      <c r="W4624">
        <v>0.13706209999999999</v>
      </c>
      <c r="X4624">
        <v>0.98754540000000002</v>
      </c>
      <c r="Y4624">
        <v>-0.34655789999999997</v>
      </c>
      <c r="Z4624">
        <v>2.601908E-2</v>
      </c>
      <c r="AA4624">
        <v>0.93766769999999999</v>
      </c>
      <c r="AB4624">
        <v>31</v>
      </c>
      <c r="AC4624">
        <v>13.622</v>
      </c>
      <c r="AD4624">
        <v>-1.105627597065</v>
      </c>
      <c r="AE4624">
        <v>-39.7103099999999</v>
      </c>
      <c r="AF4624">
        <v>-14.6434709038402</v>
      </c>
      <c r="AG4624">
        <v>-1.105627597065</v>
      </c>
      <c r="AH4624">
        <v>39.314044317395101</v>
      </c>
      <c r="AI4624">
        <v>91.509633518007902</v>
      </c>
      <c r="AJ4624">
        <v>110.429068940866</v>
      </c>
      <c r="AK4624">
        <v>41.967222127335504</v>
      </c>
      <c r="AL4624">
        <v>82.122121628201697</v>
      </c>
      <c r="AM4624">
        <v>94.472972113527206</v>
      </c>
      <c r="AN4624">
        <v>0.99999996494017596</v>
      </c>
    </row>
    <row r="4625" spans="1:40" x14ac:dyDescent="0.3">
      <c r="A4625" t="str">
        <f>"20200111150120482"</f>
        <v>20200111150120482</v>
      </c>
      <c r="B4625" t="str">
        <f>"1578726080472158"</f>
        <v>1578726080472158</v>
      </c>
      <c r="C4625" t="s">
        <v>40</v>
      </c>
      <c r="D4625">
        <v>4.7145279999999996</v>
      </c>
      <c r="E4625">
        <v>0.38893519999999998</v>
      </c>
      <c r="F4625" t="s">
        <v>83</v>
      </c>
      <c r="G4625">
        <v>-288.85789999999997</v>
      </c>
      <c r="H4625" s="1">
        <v>-1.6287819999999999E-6</v>
      </c>
      <c r="I4625">
        <v>-59.913569999999901</v>
      </c>
      <c r="J4625">
        <v>-302.6268</v>
      </c>
      <c r="K4625">
        <v>1.105453</v>
      </c>
      <c r="L4625">
        <v>-20.28387</v>
      </c>
      <c r="M4625">
        <v>-2.533535E-2</v>
      </c>
      <c r="N4625">
        <v>0</v>
      </c>
      <c r="O4625">
        <v>-0.99962280000000003</v>
      </c>
      <c r="P4625">
        <v>5.375104E-2</v>
      </c>
      <c r="Q4625">
        <v>0.1263331</v>
      </c>
      <c r="R4625">
        <v>-0.99053080000000004</v>
      </c>
      <c r="S4625">
        <v>1.0288389999999901</v>
      </c>
      <c r="T4625">
        <v>-8.2657930000000004E-2</v>
      </c>
      <c r="U4625">
        <v>-2.9859309999999999</v>
      </c>
      <c r="V4625">
        <v>-7.9091439999999999E-2</v>
      </c>
      <c r="W4625">
        <v>0.13668369999999999</v>
      </c>
      <c r="X4625">
        <v>0.98745229999999995</v>
      </c>
      <c r="Y4625">
        <v>-0.34950579999999998</v>
      </c>
      <c r="Z4625">
        <v>2.60354E-2</v>
      </c>
      <c r="AA4625">
        <v>0.93657239999999997</v>
      </c>
      <c r="AB4625">
        <v>31</v>
      </c>
      <c r="AC4625">
        <v>13.7689</v>
      </c>
      <c r="AD4625">
        <v>-1.105454628782</v>
      </c>
      <c r="AE4625">
        <v>-39.6296999999999</v>
      </c>
      <c r="AF4625">
        <v>-14.758321878551</v>
      </c>
      <c r="AG4625">
        <v>-1.105454628782</v>
      </c>
      <c r="AH4625">
        <v>39.240873432671499</v>
      </c>
      <c r="AI4625">
        <v>91.510414743091602</v>
      </c>
      <c r="AJ4625">
        <v>110.61106208414201</v>
      </c>
      <c r="AK4625">
        <v>41.938958527437897</v>
      </c>
      <c r="AL4625">
        <v>82.144008354532701</v>
      </c>
      <c r="AM4625">
        <v>94.579413188567003</v>
      </c>
      <c r="AN4625">
        <v>0.99999996725112605</v>
      </c>
    </row>
    <row r="4626" spans="1:40" x14ac:dyDescent="0.3">
      <c r="A4626" t="str">
        <f>"20200111150120504"</f>
        <v>20200111150120504</v>
      </c>
      <c r="B4626" t="str">
        <f>"1578726080502413"</f>
        <v>1578726080502413</v>
      </c>
      <c r="C4626" t="s">
        <v>40</v>
      </c>
      <c r="D4626">
        <v>4.6842240000000004</v>
      </c>
      <c r="E4626">
        <v>0.38929390000000003</v>
      </c>
      <c r="F4626" t="s">
        <v>83</v>
      </c>
      <c r="G4626">
        <v>-288.84039999999999</v>
      </c>
      <c r="H4626" s="1">
        <v>-1.653034E-6</v>
      </c>
      <c r="I4626">
        <v>-59.851019999999998</v>
      </c>
      <c r="J4626">
        <v>-302.63409999999999</v>
      </c>
      <c r="K4626">
        <v>1.105291</v>
      </c>
      <c r="L4626">
        <v>-20.596979999999999</v>
      </c>
      <c r="M4626">
        <v>-2.477874E-2</v>
      </c>
      <c r="N4626">
        <v>0</v>
      </c>
      <c r="O4626">
        <v>-0.99963639999999998</v>
      </c>
      <c r="P4626">
        <v>5.5725780000000003E-2</v>
      </c>
      <c r="Q4626">
        <v>0.12612309999999999</v>
      </c>
      <c r="R4626">
        <v>-0.99044840000000001</v>
      </c>
      <c r="S4626">
        <v>1.039337</v>
      </c>
      <c r="T4626">
        <v>-8.3338620000000002E-2</v>
      </c>
      <c r="U4626">
        <v>-2.98291</v>
      </c>
      <c r="V4626">
        <v>-8.0458260000000004E-2</v>
      </c>
      <c r="W4626">
        <v>0.13651559999999999</v>
      </c>
      <c r="X4626">
        <v>0.98736520000000005</v>
      </c>
      <c r="Y4626">
        <v>-0.35221550000000001</v>
      </c>
      <c r="Z4626">
        <v>2.624686E-2</v>
      </c>
      <c r="AA4626">
        <v>0.93555080000000002</v>
      </c>
      <c r="AB4626">
        <v>31</v>
      </c>
      <c r="AC4626">
        <v>13.793699999999999</v>
      </c>
      <c r="AD4626">
        <v>-1.1052926530339999</v>
      </c>
      <c r="AE4626">
        <v>-39.254040000000003</v>
      </c>
      <c r="AF4626">
        <v>-14.7517746064158</v>
      </c>
      <c r="AG4626">
        <v>-1.1052926530339999</v>
      </c>
      <c r="AH4626">
        <v>38.872743693366097</v>
      </c>
      <c r="AI4626">
        <v>91.522780093467901</v>
      </c>
      <c r="AJ4626">
        <v>110.781197649604</v>
      </c>
      <c r="AK4626">
        <v>41.592387862894803</v>
      </c>
      <c r="AL4626">
        <v>82.153731481123998</v>
      </c>
      <c r="AM4626">
        <v>94.658616170559299</v>
      </c>
      <c r="AN4626">
        <v>1.0000000394083099</v>
      </c>
    </row>
    <row r="4627" spans="1:40" x14ac:dyDescent="0.3">
      <c r="A4627" t="str">
        <f>"20200111150120527"</f>
        <v>20200111150120527</v>
      </c>
      <c r="B4627" t="str">
        <f>"1578726080521933"</f>
        <v>1578726080521933</v>
      </c>
      <c r="C4627" t="s">
        <v>40</v>
      </c>
      <c r="D4627">
        <v>4.7226920000000003</v>
      </c>
      <c r="E4627">
        <v>0.38978010000000002</v>
      </c>
      <c r="F4627" t="s">
        <v>83</v>
      </c>
      <c r="G4627">
        <v>-288.90410000000003</v>
      </c>
      <c r="H4627" s="1">
        <v>-1.6151410000000001E-6</v>
      </c>
      <c r="I4627">
        <v>-59.851719999999901</v>
      </c>
      <c r="J4627">
        <v>-302.64139999999998</v>
      </c>
      <c r="K4627">
        <v>1.1051550000000001</v>
      </c>
      <c r="L4627">
        <v>-20.915590000000002</v>
      </c>
      <c r="M4627">
        <v>-2.4373680000000002E-2</v>
      </c>
      <c r="N4627">
        <v>0</v>
      </c>
      <c r="O4627">
        <v>-0.99964609999999998</v>
      </c>
      <c r="P4627">
        <v>5.6594209999999999E-2</v>
      </c>
      <c r="Q4627">
        <v>0.12578800000000001</v>
      </c>
      <c r="R4627">
        <v>-0.99044169999999998</v>
      </c>
      <c r="S4627">
        <v>1.0426329999999999</v>
      </c>
      <c r="T4627">
        <v>-8.3934549999999997E-2</v>
      </c>
      <c r="U4627">
        <v>-2.9809570000000001</v>
      </c>
      <c r="V4627">
        <v>-8.0878720000000001E-2</v>
      </c>
      <c r="W4627">
        <v>0.13621939999999999</v>
      </c>
      <c r="X4627">
        <v>0.98737169999999996</v>
      </c>
      <c r="Y4627">
        <v>-0.35294690000000001</v>
      </c>
      <c r="Z4627">
        <v>2.6442710000000001E-2</v>
      </c>
      <c r="AA4627">
        <v>0.93526960000000003</v>
      </c>
      <c r="AB4627">
        <v>31</v>
      </c>
      <c r="AC4627">
        <v>13.7372999999999</v>
      </c>
      <c r="AD4627">
        <v>-1.1051566151409999</v>
      </c>
      <c r="AE4627">
        <v>-38.936129999999899</v>
      </c>
      <c r="AF4627">
        <v>-14.671777399725499</v>
      </c>
      <c r="AG4627">
        <v>-1.1051566151409999</v>
      </c>
      <c r="AH4627">
        <v>38.562085770727499</v>
      </c>
      <c r="AI4627">
        <v>91.534352512269905</v>
      </c>
      <c r="AJ4627">
        <v>110.830397150387</v>
      </c>
      <c r="AK4627">
        <v>41.2736826827947</v>
      </c>
      <c r="AL4627">
        <v>82.1708620797028</v>
      </c>
      <c r="AM4627">
        <v>94.682822554771903</v>
      </c>
      <c r="AN4627">
        <v>0.99999998312304395</v>
      </c>
    </row>
    <row r="4628" spans="1:40" x14ac:dyDescent="0.3">
      <c r="A4628" t="str">
        <f>"20200111150120549"</f>
        <v>20200111150120549</v>
      </c>
      <c r="B4628" t="str">
        <f>"1578726080542429"</f>
        <v>1578726080542429</v>
      </c>
      <c r="C4628" t="s">
        <v>40</v>
      </c>
      <c r="D4628">
        <v>4.676215</v>
      </c>
      <c r="E4628">
        <v>0.39034069999999998</v>
      </c>
      <c r="F4628" t="s">
        <v>83</v>
      </c>
      <c r="G4628">
        <v>-289.06670000000003</v>
      </c>
      <c r="H4628" s="1">
        <v>-1.5423649999999999E-6</v>
      </c>
      <c r="I4628">
        <v>-59.746279999999999</v>
      </c>
      <c r="J4628">
        <v>-302.64870000000002</v>
      </c>
      <c r="K4628">
        <v>1.1050420000000001</v>
      </c>
      <c r="L4628">
        <v>-21.227720000000001</v>
      </c>
      <c r="M4628">
        <v>-2.410325E-2</v>
      </c>
      <c r="N4628">
        <v>0</v>
      </c>
      <c r="O4628">
        <v>-0.99965289999999996</v>
      </c>
      <c r="P4628">
        <v>5.656506E-2</v>
      </c>
      <c r="Q4628">
        <v>0.1255259</v>
      </c>
      <c r="R4628">
        <v>-0.99047700000000005</v>
      </c>
      <c r="S4628">
        <v>1.0418400000000001</v>
      </c>
      <c r="T4628">
        <v>-8.4818959999999999E-2</v>
      </c>
      <c r="U4628">
        <v>-2.980194</v>
      </c>
      <c r="V4628">
        <v>-8.0546510000000002E-2</v>
      </c>
      <c r="W4628">
        <v>0.13599120000000001</v>
      </c>
      <c r="X4628">
        <v>0.98743029999999998</v>
      </c>
      <c r="Y4628">
        <v>-0.35254400000000002</v>
      </c>
      <c r="Z4628">
        <v>2.6731089999999999E-2</v>
      </c>
      <c r="AA4628">
        <v>0.93541339999999995</v>
      </c>
      <c r="AB4628">
        <v>31</v>
      </c>
      <c r="AC4628">
        <v>13.581999999999899</v>
      </c>
      <c r="AD4628">
        <v>-1.105043542365</v>
      </c>
      <c r="AE4628">
        <v>-38.518560000000001</v>
      </c>
      <c r="AF4628">
        <v>-14.4959173116423</v>
      </c>
      <c r="AG4628">
        <v>-1.105043542365</v>
      </c>
      <c r="AH4628">
        <v>38.152051142125003</v>
      </c>
      <c r="AI4628">
        <v>91.550944128511702</v>
      </c>
      <c r="AJ4628">
        <v>110.804347345023</v>
      </c>
      <c r="AK4628">
        <v>40.828075466372603</v>
      </c>
      <c r="AL4628">
        <v>82.184059702713199</v>
      </c>
      <c r="AM4628">
        <v>94.663397293169695</v>
      </c>
      <c r="AN4628">
        <v>0.99999997205435398</v>
      </c>
    </row>
    <row r="4629" spans="1:40" x14ac:dyDescent="0.3">
      <c r="A4629" t="str">
        <f>"20200111150120572"</f>
        <v>20200111150120572</v>
      </c>
      <c r="B4629" t="str">
        <f>"1578726080561949"</f>
        <v>1578726080561949</v>
      </c>
      <c r="C4629" t="s">
        <v>40</v>
      </c>
      <c r="D4629">
        <v>4.6896370000000003</v>
      </c>
      <c r="E4629">
        <v>0.39099660000000003</v>
      </c>
      <c r="F4629" t="s">
        <v>83</v>
      </c>
      <c r="G4629">
        <v>-289.52100000000002</v>
      </c>
      <c r="H4629" s="1">
        <v>-1.451985E-6</v>
      </c>
      <c r="I4629">
        <v>-58.943359999999998</v>
      </c>
      <c r="J4629">
        <v>-302.65609999999998</v>
      </c>
      <c r="K4629">
        <v>1.104959</v>
      </c>
      <c r="L4629">
        <v>-21.545069999999999</v>
      </c>
      <c r="M4629">
        <v>-2.3923349999999999E-2</v>
      </c>
      <c r="N4629">
        <v>0</v>
      </c>
      <c r="O4629">
        <v>-0.99965680000000001</v>
      </c>
      <c r="P4629">
        <v>5.564098E-2</v>
      </c>
      <c r="Q4629">
        <v>0.12594259999999999</v>
      </c>
      <c r="R4629">
        <v>-0.99047600000000002</v>
      </c>
      <c r="S4629">
        <v>1.0374760000000001</v>
      </c>
      <c r="T4629">
        <v>-8.7331179999999994E-2</v>
      </c>
      <c r="U4629">
        <v>-2.9806520000000001</v>
      </c>
      <c r="V4629">
        <v>-7.9415749999999993E-2</v>
      </c>
      <c r="W4629">
        <v>0.13643710000000001</v>
      </c>
      <c r="X4629">
        <v>0.98746040000000002</v>
      </c>
      <c r="Y4629">
        <v>-0.35110229999999998</v>
      </c>
      <c r="Z4629">
        <v>2.753253E-2</v>
      </c>
      <c r="AA4629">
        <v>0.93593219999999999</v>
      </c>
      <c r="AB4629">
        <v>31</v>
      </c>
      <c r="AC4629">
        <v>13.1351</v>
      </c>
      <c r="AD4629">
        <v>-1.104960451985</v>
      </c>
      <c r="AE4629">
        <v>-37.398290000000003</v>
      </c>
      <c r="AF4629">
        <v>-14.0151925234502</v>
      </c>
      <c r="AG4629">
        <v>-1.104960451985</v>
      </c>
      <c r="AH4629">
        <v>37.044544721979697</v>
      </c>
      <c r="AI4629">
        <v>91.598024655203503</v>
      </c>
      <c r="AJ4629">
        <v>110.72330987999599</v>
      </c>
      <c r="AK4629">
        <v>39.622529610419598</v>
      </c>
      <c r="AL4629">
        <v>82.158271311314294</v>
      </c>
      <c r="AM4629">
        <v>94.598072902111596</v>
      </c>
      <c r="AN4629">
        <v>0.999999992586316</v>
      </c>
    </row>
    <row r="4630" spans="1:40" x14ac:dyDescent="0.3">
      <c r="A4630" t="str">
        <f>"20200111150120593"</f>
        <v>20200111150120593</v>
      </c>
      <c r="B4630" t="str">
        <f>"1578726080582445"</f>
        <v>1578726080582445</v>
      </c>
      <c r="C4630" t="s">
        <v>40</v>
      </c>
      <c r="D4630">
        <v>4.7518010000000004</v>
      </c>
      <c r="E4630">
        <v>0.3911521</v>
      </c>
      <c r="F4630" t="s">
        <v>83</v>
      </c>
      <c r="G4630">
        <v>-289.72430000000003</v>
      </c>
      <c r="H4630" s="1">
        <v>-1.32275E-6</v>
      </c>
      <c r="I4630">
        <v>-58.983350000000002</v>
      </c>
      <c r="J4630">
        <v>-302.66320000000002</v>
      </c>
      <c r="K4630">
        <v>1.1049059999999999</v>
      </c>
      <c r="L4630">
        <v>-21.850770000000001</v>
      </c>
      <c r="M4630">
        <v>-2.380498E-2</v>
      </c>
      <c r="N4630">
        <v>0</v>
      </c>
      <c r="O4630">
        <v>-0.99965979999999999</v>
      </c>
      <c r="P4630">
        <v>5.5637209999999999E-2</v>
      </c>
      <c r="Q4630">
        <v>0.12732950000000001</v>
      </c>
      <c r="R4630">
        <v>-0.99029929999999999</v>
      </c>
      <c r="S4630">
        <v>1.03009</v>
      </c>
      <c r="T4630">
        <v>-8.8016629999999998E-2</v>
      </c>
      <c r="U4630">
        <v>-2.9821780000000002</v>
      </c>
      <c r="V4630">
        <v>-7.9269740000000005E-2</v>
      </c>
      <c r="W4630">
        <v>0.1378442</v>
      </c>
      <c r="X4630">
        <v>0.98727670000000001</v>
      </c>
      <c r="Y4630">
        <v>-0.34877049999999998</v>
      </c>
      <c r="Z4630">
        <v>2.775859E-2</v>
      </c>
      <c r="AA4630">
        <v>0.93679699999999999</v>
      </c>
      <c r="AB4630">
        <v>31</v>
      </c>
      <c r="AC4630">
        <v>12.938899999999901</v>
      </c>
      <c r="AD4630">
        <v>-1.1049073227499999</v>
      </c>
      <c r="AE4630">
        <v>-37.132579999999997</v>
      </c>
      <c r="AF4630">
        <v>-13.8083213013165</v>
      </c>
      <c r="AG4630">
        <v>-1.1049073227499999</v>
      </c>
      <c r="AH4630">
        <v>36.784985275760398</v>
      </c>
      <c r="AI4630">
        <v>91.610785979696203</v>
      </c>
      <c r="AJ4630">
        <v>110.575094823397</v>
      </c>
      <c r="AK4630">
        <v>39.306814919173597</v>
      </c>
      <c r="AL4630">
        <v>82.076881455783493</v>
      </c>
      <c r="AM4630">
        <v>94.590505591384897</v>
      </c>
      <c r="AN4630">
        <v>0.99999999875809797</v>
      </c>
    </row>
    <row r="4631" spans="1:40" x14ac:dyDescent="0.3">
      <c r="A4631" t="str">
        <f>"20200111150120617"</f>
        <v>20200111150120617</v>
      </c>
      <c r="B4631" t="str">
        <f>"1578726080612252"</f>
        <v>1578726080612252</v>
      </c>
      <c r="C4631" t="s">
        <v>40</v>
      </c>
      <c r="D4631">
        <v>4.7535920000000003</v>
      </c>
      <c r="E4631">
        <v>0.39135490000000001</v>
      </c>
      <c r="F4631" t="s">
        <v>83</v>
      </c>
      <c r="G4631">
        <v>-288.98700000000002</v>
      </c>
      <c r="H4631" s="1">
        <v>-3.8280189999999999E-6</v>
      </c>
      <c r="I4631">
        <v>-61.475850000000001</v>
      </c>
      <c r="J4631">
        <v>-302.67070000000001</v>
      </c>
      <c r="K4631">
        <v>1.104859</v>
      </c>
      <c r="L4631">
        <v>-22.17352</v>
      </c>
      <c r="M4631">
        <v>-2.3708610000000001E-2</v>
      </c>
      <c r="N4631">
        <v>0</v>
      </c>
      <c r="O4631">
        <v>-0.99966180000000004</v>
      </c>
      <c r="P4631">
        <v>5.6078660000000002E-2</v>
      </c>
      <c r="Q4631">
        <v>0.1296244</v>
      </c>
      <c r="R4631">
        <v>-0.98997650000000004</v>
      </c>
      <c r="S4631">
        <v>1.0292969999999999</v>
      </c>
      <c r="T4631">
        <v>-8.3157899999999896E-2</v>
      </c>
      <c r="U4631">
        <v>-2.9822690000000001</v>
      </c>
      <c r="V4631">
        <v>-7.9592510000000005E-2</v>
      </c>
      <c r="W4631">
        <v>0.14015429999999901</v>
      </c>
      <c r="X4631">
        <v>0.98692539999999995</v>
      </c>
      <c r="Y4631">
        <v>-0.34846199999999999</v>
      </c>
      <c r="Z4631">
        <v>2.62294E-2</v>
      </c>
      <c r="AA4631">
        <v>0.93695589999999995</v>
      </c>
      <c r="AB4631">
        <v>31</v>
      </c>
      <c r="AC4631">
        <v>13.6836999999999</v>
      </c>
      <c r="AD4631">
        <v>-1.104862828019</v>
      </c>
      <c r="AE4631">
        <v>-39.302329999999998</v>
      </c>
      <c r="AF4631">
        <v>-14.6014184035225</v>
      </c>
      <c r="AG4631">
        <v>-1.104862828019</v>
      </c>
      <c r="AH4631">
        <v>38.939395280343497</v>
      </c>
      <c r="AI4631">
        <v>91.521848199816205</v>
      </c>
      <c r="AJ4631">
        <v>110.55494248318701</v>
      </c>
      <c r="AK4631">
        <v>41.601666385642503</v>
      </c>
      <c r="AL4631">
        <v>81.943224740714797</v>
      </c>
      <c r="AM4631">
        <v>94.610750369750605</v>
      </c>
      <c r="AN4631">
        <v>0.99999997031087395</v>
      </c>
    </row>
    <row r="4632" spans="1:40" x14ac:dyDescent="0.3">
      <c r="A4632" t="str">
        <f>"20200111150120639"</f>
        <v>20200111150120639</v>
      </c>
      <c r="B4632" t="str">
        <f>"1578726080632748"</f>
        <v>1578726080632748</v>
      </c>
      <c r="C4632" t="s">
        <v>40</v>
      </c>
      <c r="D4632">
        <v>4.691878</v>
      </c>
      <c r="E4632">
        <v>0.39153569999999999</v>
      </c>
      <c r="F4632" t="s">
        <v>83</v>
      </c>
      <c r="G4632">
        <v>-287.55810000000002</v>
      </c>
      <c r="H4632" s="1">
        <v>-3.7103669999999998E-6</v>
      </c>
      <c r="I4632">
        <v>-65.977980000000002</v>
      </c>
      <c r="J4632">
        <v>-302.678</v>
      </c>
      <c r="K4632">
        <v>1.1048279999999999</v>
      </c>
      <c r="L4632">
        <v>-22.490539999999999</v>
      </c>
      <c r="M4632">
        <v>-2.362477E-2</v>
      </c>
      <c r="N4632">
        <v>0</v>
      </c>
      <c r="O4632">
        <v>-0.99966370000000004</v>
      </c>
      <c r="P4632">
        <v>5.6349330000000003E-2</v>
      </c>
      <c r="Q4632">
        <v>0.13022220000000001</v>
      </c>
      <c r="R4632">
        <v>-0.98988259999999995</v>
      </c>
      <c r="S4632">
        <v>1.028778</v>
      </c>
      <c r="T4632">
        <v>-7.5212959999999995E-2</v>
      </c>
      <c r="U4632">
        <v>-2.9819640000000001</v>
      </c>
      <c r="V4632">
        <v>-7.9766240000000002E-2</v>
      </c>
      <c r="W4632">
        <v>0.14076569999999999</v>
      </c>
      <c r="X4632">
        <v>0.98682440000000005</v>
      </c>
      <c r="Y4632">
        <v>-0.34828759999999997</v>
      </c>
      <c r="Z4632">
        <v>2.3728829999999999E-2</v>
      </c>
      <c r="AA4632">
        <v>0.93708729999999996</v>
      </c>
      <c r="AB4632">
        <v>31</v>
      </c>
      <c r="AC4632">
        <v>15.1198999999999</v>
      </c>
      <c r="AD4632">
        <v>-1.104831710367</v>
      </c>
      <c r="AE4632">
        <v>-43.487439999999999</v>
      </c>
      <c r="AF4632">
        <v>-16.133828467260798</v>
      </c>
      <c r="AG4632">
        <v>-1.104831710367</v>
      </c>
      <c r="AH4632">
        <v>43.0932615803248</v>
      </c>
      <c r="AI4632">
        <v>91.375438226426994</v>
      </c>
      <c r="AJ4632">
        <v>110.525563504676</v>
      </c>
      <c r="AK4632">
        <v>46.027711954316501</v>
      </c>
      <c r="AL4632">
        <v>81.907843712083604</v>
      </c>
      <c r="AM4632">
        <v>94.621241799580503</v>
      </c>
      <c r="AN4632">
        <v>1.00000001588779</v>
      </c>
    </row>
    <row r="4633" spans="1:40" x14ac:dyDescent="0.3">
      <c r="A4633" t="str">
        <f>"20200111150120661"</f>
        <v>20200111150120661</v>
      </c>
      <c r="B4633" t="str">
        <f>"1578726080652268"</f>
        <v>1578726080652268</v>
      </c>
      <c r="C4633" t="s">
        <v>40</v>
      </c>
      <c r="D4633">
        <v>4.7131089999999896</v>
      </c>
      <c r="E4633">
        <v>0.39167869999999999</v>
      </c>
      <c r="F4633" t="s">
        <v>83</v>
      </c>
      <c r="G4633">
        <v>-287.87119999999999</v>
      </c>
      <c r="H4633" s="1">
        <v>-3.6405239999999999E-6</v>
      </c>
      <c r="I4633">
        <v>-65.458609999999993</v>
      </c>
      <c r="J4633">
        <v>-302.68520000000001</v>
      </c>
      <c r="K4633">
        <v>1.1048020000000001</v>
      </c>
      <c r="L4633">
        <v>-22.79749</v>
      </c>
      <c r="M4633">
        <v>-2.3544200000000001E-2</v>
      </c>
      <c r="N4633">
        <v>0</v>
      </c>
      <c r="O4633">
        <v>-0.99966560000000004</v>
      </c>
      <c r="P4633">
        <v>5.6716709999999997E-2</v>
      </c>
      <c r="Q4633">
        <v>0.12947239999999999</v>
      </c>
      <c r="R4633">
        <v>-0.98996010000000001</v>
      </c>
      <c r="S4633">
        <v>1.027679</v>
      </c>
      <c r="T4633">
        <v>-7.6681849999999996E-2</v>
      </c>
      <c r="U4633">
        <v>-2.9822389999999999</v>
      </c>
      <c r="V4633">
        <v>-8.0048549999999996E-2</v>
      </c>
      <c r="W4633">
        <v>0.14002819999999999</v>
      </c>
      <c r="X4633">
        <v>0.98690650000000002</v>
      </c>
      <c r="Y4633">
        <v>-0.3478733</v>
      </c>
      <c r="Z4633">
        <v>2.4193269999999999E-2</v>
      </c>
      <c r="AA4633">
        <v>0.93722930000000004</v>
      </c>
      <c r="AB4633">
        <v>32</v>
      </c>
      <c r="AC4633">
        <v>14.814</v>
      </c>
      <c r="AD4633">
        <v>-1.1048056405239901</v>
      </c>
      <c r="AE4633">
        <v>-42.661119999999997</v>
      </c>
      <c r="AF4633">
        <v>-15.804913188011501</v>
      </c>
      <c r="AG4633">
        <v>-1.1048056405239901</v>
      </c>
      <c r="AH4633">
        <v>42.275187446034401</v>
      </c>
      <c r="AI4633">
        <v>91.402257236245802</v>
      </c>
      <c r="AJ4633">
        <v>110.49865427815099</v>
      </c>
      <c r="AK4633">
        <v>45.146509831672098</v>
      </c>
      <c r="AL4633">
        <v>81.950522370602698</v>
      </c>
      <c r="AM4633">
        <v>94.637142050446698</v>
      </c>
      <c r="AN4633">
        <v>1.0000000534472899</v>
      </c>
    </row>
    <row r="4634" spans="1:40" x14ac:dyDescent="0.3">
      <c r="A4634" t="str">
        <f>"20200111150120683"</f>
        <v>20200111150120683</v>
      </c>
      <c r="B4634" t="str">
        <f>"1578726080672764"</f>
        <v>1578726080672764</v>
      </c>
      <c r="C4634" t="s">
        <v>40</v>
      </c>
      <c r="D4634">
        <v>4.6237139999999997</v>
      </c>
      <c r="E4634">
        <v>0.3918896</v>
      </c>
      <c r="F4634" t="s">
        <v>83</v>
      </c>
      <c r="G4634">
        <v>-288.97820000000002</v>
      </c>
      <c r="H4634" s="1">
        <v>-3.6201400000000001E-6</v>
      </c>
      <c r="I4634">
        <v>-62.603650000000002</v>
      </c>
      <c r="J4634">
        <v>-302.69240000000002</v>
      </c>
      <c r="K4634">
        <v>1.104784</v>
      </c>
      <c r="L4634">
        <v>-23.109100000000002</v>
      </c>
      <c r="M4634">
        <v>-2.3459689999999998E-2</v>
      </c>
      <c r="N4634">
        <v>0</v>
      </c>
      <c r="O4634">
        <v>-0.99966750000000004</v>
      </c>
      <c r="P4634">
        <v>5.703954E-2</v>
      </c>
      <c r="Q4634">
        <v>0.12799759999999999</v>
      </c>
      <c r="R4634">
        <v>-0.99013309999999999</v>
      </c>
      <c r="S4634">
        <v>1.0269779999999999</v>
      </c>
      <c r="T4634">
        <v>-8.2776069999999993E-2</v>
      </c>
      <c r="U4634">
        <v>-2.9824220000000001</v>
      </c>
      <c r="V4634">
        <v>-8.0287349999999993E-2</v>
      </c>
      <c r="W4634">
        <v>0.1385644</v>
      </c>
      <c r="X4634">
        <v>0.98709360000000002</v>
      </c>
      <c r="Y4634">
        <v>-0.34756350000000003</v>
      </c>
      <c r="Z4634">
        <v>2.6115739999999998E-2</v>
      </c>
      <c r="AA4634">
        <v>0.93729269999999998</v>
      </c>
      <c r="AB4634">
        <v>32</v>
      </c>
      <c r="AC4634">
        <v>13.7142</v>
      </c>
      <c r="AD4634">
        <v>-1.10478762014</v>
      </c>
      <c r="AE4634">
        <v>-39.494549999999997</v>
      </c>
      <c r="AF4634">
        <v>-14.6267942843965</v>
      </c>
      <c r="AG4634">
        <v>-1.10478762014</v>
      </c>
      <c r="AH4634">
        <v>39.134602252897501</v>
      </c>
      <c r="AI4634">
        <v>91.514764979673103</v>
      </c>
      <c r="AJ4634">
        <v>110.49353359432899</v>
      </c>
      <c r="AK4634">
        <v>41.793309993540298</v>
      </c>
      <c r="AL4634">
        <v>82.035216929595293</v>
      </c>
      <c r="AM4634">
        <v>94.650037228738995</v>
      </c>
      <c r="AN4634">
        <v>0.99999996333916996</v>
      </c>
    </row>
    <row r="4635" spans="1:40" x14ac:dyDescent="0.3">
      <c r="A4635" t="str">
        <f>"20200111150120706"</f>
        <v>20200111150120706</v>
      </c>
      <c r="B4635" t="str">
        <f>"1578726080702612"</f>
        <v>1578726080702612</v>
      </c>
      <c r="C4635" t="s">
        <v>40</v>
      </c>
      <c r="D4635">
        <v>4.6084610000000001</v>
      </c>
      <c r="E4635">
        <v>0.39178930000000001</v>
      </c>
      <c r="F4635" t="s">
        <v>83</v>
      </c>
      <c r="G4635">
        <v>-290.05119999999999</v>
      </c>
      <c r="H4635" s="1">
        <v>-9.8144970000000008E-6</v>
      </c>
      <c r="I4635">
        <v>-59.87914</v>
      </c>
      <c r="J4635">
        <v>-302.69990000000001</v>
      </c>
      <c r="K4635">
        <v>1.1047739999999999</v>
      </c>
      <c r="L4635">
        <v>-23.434419999999999</v>
      </c>
      <c r="M4635">
        <v>-2.3365730000000001E-2</v>
      </c>
      <c r="N4635">
        <v>0</v>
      </c>
      <c r="O4635">
        <v>-0.99966940000000004</v>
      </c>
      <c r="P4635">
        <v>5.7171529999999998E-2</v>
      </c>
      <c r="Q4635">
        <v>0.12710839999999901</v>
      </c>
      <c r="R4635">
        <v>-0.9902398</v>
      </c>
      <c r="S4635">
        <v>1.0253300000000001</v>
      </c>
      <c r="T4635">
        <v>-8.9609980000000006E-2</v>
      </c>
      <c r="U4635">
        <v>-2.9824220000000001</v>
      </c>
      <c r="V4635">
        <v>-8.0325079999999993E-2</v>
      </c>
      <c r="W4635">
        <v>0.13768459999999999</v>
      </c>
      <c r="X4635">
        <v>0.98721369999999997</v>
      </c>
      <c r="Y4635">
        <v>-0.346993</v>
      </c>
      <c r="Z4635">
        <v>2.8275709999999999E-2</v>
      </c>
      <c r="AA4635">
        <v>0.93744130000000003</v>
      </c>
      <c r="AB4635">
        <v>32</v>
      </c>
      <c r="AC4635">
        <v>12.6487</v>
      </c>
      <c r="AD4635">
        <v>-1.1047838144969999</v>
      </c>
      <c r="AE4635">
        <v>-36.444719999999997</v>
      </c>
      <c r="AF4635">
        <v>-13.485792499206299</v>
      </c>
      <c r="AG4635">
        <v>-1.1047838144969999</v>
      </c>
      <c r="AH4635">
        <v>36.109590602548899</v>
      </c>
      <c r="AI4635">
        <v>91.641743815111198</v>
      </c>
      <c r="AJ4635">
        <v>110.47907335351699</v>
      </c>
      <c r="AK4635">
        <v>38.561505158540001</v>
      </c>
      <c r="AL4635">
        <v>82.086114130225397</v>
      </c>
      <c r="AM4635">
        <v>94.651649380238098</v>
      </c>
      <c r="AN4635">
        <v>1.0000000285109201</v>
      </c>
    </row>
    <row r="4636" spans="1:40" x14ac:dyDescent="0.3">
      <c r="A4636" t="str">
        <f>"20200111150120727"</f>
        <v>20200111150120727</v>
      </c>
      <c r="B4636" t="str">
        <f>"1578726080722132"</f>
        <v>1578726080722132</v>
      </c>
      <c r="C4636" t="s">
        <v>40</v>
      </c>
      <c r="D4636">
        <v>4.6078530000000004</v>
      </c>
      <c r="E4636">
        <v>0.3916557</v>
      </c>
      <c r="F4636" t="s">
        <v>83</v>
      </c>
      <c r="G4636">
        <v>-290.50630000000001</v>
      </c>
      <c r="H4636" s="1">
        <v>-9.7514279999999994E-6</v>
      </c>
      <c r="I4636">
        <v>-58.854149999999997</v>
      </c>
      <c r="J4636">
        <v>-302.70710000000003</v>
      </c>
      <c r="K4636">
        <v>1.104768</v>
      </c>
      <c r="L4636">
        <v>-23.747309999999999</v>
      </c>
      <c r="M4636">
        <v>-2.3270579999999999E-2</v>
      </c>
      <c r="N4636">
        <v>0</v>
      </c>
      <c r="O4636">
        <v>-0.9996718</v>
      </c>
      <c r="P4636">
        <v>5.7322060000000001E-2</v>
      </c>
      <c r="Q4636">
        <v>0.1268552</v>
      </c>
      <c r="R4636">
        <v>-0.99026360000000002</v>
      </c>
      <c r="S4636">
        <v>1.026672</v>
      </c>
      <c r="T4636">
        <v>-9.3019599999999994E-2</v>
      </c>
      <c r="U4636">
        <v>-2.9822389999999999</v>
      </c>
      <c r="V4636">
        <v>-8.0380569999999998E-2</v>
      </c>
      <c r="W4636">
        <v>0.13743849999999999</v>
      </c>
      <c r="X4636">
        <v>0.98724350000000005</v>
      </c>
      <c r="Y4636">
        <v>-0.34728870000000001</v>
      </c>
      <c r="Z4636">
        <v>2.934867E-2</v>
      </c>
      <c r="AA4636">
        <v>0.93729890000000005</v>
      </c>
      <c r="AB4636">
        <v>32</v>
      </c>
      <c r="AC4636">
        <v>12.200799999999999</v>
      </c>
      <c r="AD4636">
        <v>-1.1047777514279999</v>
      </c>
      <c r="AE4636">
        <v>-35.106839999999998</v>
      </c>
      <c r="AF4636">
        <v>-13.0030098924569</v>
      </c>
      <c r="AG4636">
        <v>-1.1047777514279999</v>
      </c>
      <c r="AH4636">
        <v>34.782662820938903</v>
      </c>
      <c r="AI4636">
        <v>91.704124043489401</v>
      </c>
      <c r="AJ4636">
        <v>110.497550526483</v>
      </c>
      <c r="AK4636">
        <v>37.150133688299299</v>
      </c>
      <c r="AL4636">
        <v>82.100350151199905</v>
      </c>
      <c r="AM4636">
        <v>94.654708816899301</v>
      </c>
      <c r="AN4636">
        <v>1.0000000528040101</v>
      </c>
    </row>
    <row r="4637" spans="1:40" x14ac:dyDescent="0.3">
      <c r="A4637" t="str">
        <f>"20200111150120750"</f>
        <v>20200111150120750</v>
      </c>
      <c r="B4637" t="str">
        <f>"1578726080742628"</f>
        <v>1578726080742628</v>
      </c>
      <c r="C4637" t="s">
        <v>40</v>
      </c>
      <c r="D4637">
        <v>4.6037049999999997</v>
      </c>
      <c r="E4637">
        <v>0.39150109999999999</v>
      </c>
      <c r="F4637" t="s">
        <v>83</v>
      </c>
      <c r="G4637">
        <v>-290.40870000000001</v>
      </c>
      <c r="H4637" s="1">
        <v>-9.7324729999999999E-6</v>
      </c>
      <c r="I4637">
        <v>-59.399050000000003</v>
      </c>
      <c r="J4637">
        <v>-302.71420000000001</v>
      </c>
      <c r="K4637">
        <v>1.1047559999999901</v>
      </c>
      <c r="L4637">
        <v>-24.058779999999999</v>
      </c>
      <c r="M4637">
        <v>-2.317251E-2</v>
      </c>
      <c r="N4637">
        <v>0</v>
      </c>
      <c r="O4637">
        <v>-0.9996739</v>
      </c>
      <c r="P4637">
        <v>5.7921340000000002E-2</v>
      </c>
      <c r="Q4637">
        <v>0.12728119999999901</v>
      </c>
      <c r="R4637">
        <v>-0.99017409999999995</v>
      </c>
      <c r="S4637">
        <v>1.0285949999999999</v>
      </c>
      <c r="T4637">
        <v>-9.2399599999999998E-2</v>
      </c>
      <c r="U4637">
        <v>-2.9817809999999998</v>
      </c>
      <c r="V4637">
        <v>-8.0879389999999995E-2</v>
      </c>
      <c r="W4637">
        <v>0.1378693</v>
      </c>
      <c r="X4637">
        <v>0.98714259999999998</v>
      </c>
      <c r="Y4637">
        <v>-0.34778310000000001</v>
      </c>
      <c r="Z4637">
        <v>2.915183E-2</v>
      </c>
      <c r="AA4637">
        <v>0.93712169999999895</v>
      </c>
      <c r="AB4637">
        <v>32</v>
      </c>
      <c r="AC4637">
        <v>12.305499999999901</v>
      </c>
      <c r="AD4637">
        <v>-1.10476573247299</v>
      </c>
      <c r="AE4637">
        <v>-35.340269999999997</v>
      </c>
      <c r="AF4637">
        <v>-13.1097392540589</v>
      </c>
      <c r="AG4637">
        <v>-1.10476573247299</v>
      </c>
      <c r="AH4637">
        <v>35.015095652057802</v>
      </c>
      <c r="AI4637">
        <v>91.692485606372998</v>
      </c>
      <c r="AJ4637">
        <v>110.526025617873</v>
      </c>
      <c r="AK4637">
        <v>37.405115882133202</v>
      </c>
      <c r="AL4637">
        <v>82.075429208508297</v>
      </c>
      <c r="AM4637">
        <v>94.683943156746196</v>
      </c>
      <c r="AN4637">
        <v>0.99999996617201004</v>
      </c>
    </row>
    <row r="4638" spans="1:40" x14ac:dyDescent="0.3">
      <c r="A4638" t="str">
        <f>"20200111150120772"</f>
        <v>20200111150120772</v>
      </c>
      <c r="B4638" t="str">
        <f>"1578726080762149"</f>
        <v>1578726080762149</v>
      </c>
      <c r="C4638" t="s">
        <v>40</v>
      </c>
      <c r="D4638">
        <v>4.7014399999999998</v>
      </c>
      <c r="E4638">
        <v>0.39143099999999997</v>
      </c>
      <c r="F4638" t="s">
        <v>83</v>
      </c>
      <c r="G4638">
        <v>-290.30430000000001</v>
      </c>
      <c r="H4638" s="1">
        <v>-9.7169000000000001E-6</v>
      </c>
      <c r="I4638">
        <v>-59.934739999999998</v>
      </c>
      <c r="J4638">
        <v>-302.72149999999999</v>
      </c>
      <c r="K4638">
        <v>1.104746</v>
      </c>
      <c r="L4638">
        <v>-24.377140000000001</v>
      </c>
      <c r="M4638">
        <v>-2.3069869999999999E-2</v>
      </c>
      <c r="N4638">
        <v>0</v>
      </c>
      <c r="O4638">
        <v>-0.99967649999999997</v>
      </c>
      <c r="P4638">
        <v>5.920127E-2</v>
      </c>
      <c r="Q4638">
        <v>0.12723999999999999</v>
      </c>
      <c r="R4638">
        <v>-0.99010379999999998</v>
      </c>
      <c r="S4638">
        <v>1.03125</v>
      </c>
      <c r="T4638">
        <v>-9.1805100000000001E-2</v>
      </c>
      <c r="U4638">
        <v>-2.9812620000000001</v>
      </c>
      <c r="V4638">
        <v>-8.2054639999999998E-2</v>
      </c>
      <c r="W4638">
        <v>0.13783239999999999</v>
      </c>
      <c r="X4638">
        <v>0.98705080000000001</v>
      </c>
      <c r="Y4638">
        <v>-0.34848430000000002</v>
      </c>
      <c r="Z4638">
        <v>2.8961319999999999E-2</v>
      </c>
      <c r="AA4638">
        <v>0.93686709999999995</v>
      </c>
      <c r="AB4638">
        <v>32</v>
      </c>
      <c r="AC4638">
        <v>12.4171999999999</v>
      </c>
      <c r="AD4638">
        <v>-1.1047557169</v>
      </c>
      <c r="AE4638">
        <v>-35.557600000000001</v>
      </c>
      <c r="AF4638">
        <v>-13.2228743005994</v>
      </c>
      <c r="AG4638">
        <v>-1.1047557169</v>
      </c>
      <c r="AH4638">
        <v>35.2313432202467</v>
      </c>
      <c r="AI4638">
        <v>91.681583515705199</v>
      </c>
      <c r="AJ4638">
        <v>110.571899021023</v>
      </c>
      <c r="AK4638">
        <v>37.647210189684699</v>
      </c>
      <c r="AL4638">
        <v>82.077564136178495</v>
      </c>
      <c r="AM4638">
        <v>94.752135517430702</v>
      </c>
      <c r="AN4638">
        <v>1.0000000081079601</v>
      </c>
    </row>
    <row r="4639" spans="1:40" x14ac:dyDescent="0.3">
      <c r="A4639" t="str">
        <f>"20200111150120794"</f>
        <v>20200111150120794</v>
      </c>
      <c r="B4639" t="str">
        <f>"1578726080792032"</f>
        <v>1578726080792032</v>
      </c>
      <c r="C4639" t="s">
        <v>40</v>
      </c>
      <c r="D4639">
        <v>4.605626</v>
      </c>
      <c r="E4639">
        <v>0.45099820000000002</v>
      </c>
      <c r="F4639" t="s">
        <v>83</v>
      </c>
      <c r="G4639">
        <v>-290.53829999999999</v>
      </c>
      <c r="H4639" s="1">
        <v>-9.6806160000000006E-6</v>
      </c>
      <c r="I4639">
        <v>-59.446319999999901</v>
      </c>
      <c r="J4639">
        <v>-302.72859999999997</v>
      </c>
      <c r="K4639">
        <v>1.1047439999999999</v>
      </c>
      <c r="L4639">
        <v>-24.692229999999999</v>
      </c>
      <c r="M4639">
        <v>-2.296772E-2</v>
      </c>
      <c r="N4639">
        <v>0</v>
      </c>
      <c r="O4639">
        <v>-0.99967870000000003</v>
      </c>
      <c r="P4639">
        <v>5.9307110000000003E-2</v>
      </c>
      <c r="Q4639">
        <v>0.1263716</v>
      </c>
      <c r="R4639">
        <v>-0.9902088</v>
      </c>
      <c r="S4639">
        <v>1.035309</v>
      </c>
      <c r="T4639">
        <v>-9.3880649999999996E-2</v>
      </c>
      <c r="U4639">
        <v>-2.9801329999999999</v>
      </c>
      <c r="V4639">
        <v>-8.2061250000000002E-2</v>
      </c>
      <c r="W4639">
        <v>0.13697000000000001</v>
      </c>
      <c r="X4639">
        <v>0.98717029999999995</v>
      </c>
      <c r="Y4639">
        <v>-0.34963070000000002</v>
      </c>
      <c r="Z4639">
        <v>2.9613230000000001E-2</v>
      </c>
      <c r="AA4639">
        <v>0.93641949999999996</v>
      </c>
      <c r="AB4639">
        <v>32</v>
      </c>
      <c r="AC4639">
        <v>12.190299999999899</v>
      </c>
      <c r="AD4639">
        <v>-1.1047536806160001</v>
      </c>
      <c r="AE4639">
        <v>-34.754089999999898</v>
      </c>
      <c r="AF4639">
        <v>-12.973678810321999</v>
      </c>
      <c r="AG4639">
        <v>-1.1047536806160001</v>
      </c>
      <c r="AH4639">
        <v>34.433939260985603</v>
      </c>
      <c r="AI4639">
        <v>91.719674743962003</v>
      </c>
      <c r="AJ4639">
        <v>110.644909053275</v>
      </c>
      <c r="AK4639">
        <v>36.813489315704302</v>
      </c>
      <c r="AL4639">
        <v>82.127449211246798</v>
      </c>
      <c r="AM4639">
        <v>94.751943905397795</v>
      </c>
      <c r="AN4639">
        <v>1.00000001542682</v>
      </c>
    </row>
    <row r="4640" spans="1:40" x14ac:dyDescent="0.3">
      <c r="A4640" t="str">
        <f>"20200111150120818"</f>
        <v>20200111150120818</v>
      </c>
      <c r="B4640" t="str">
        <f>"1578726080812527"</f>
        <v>1578726080812527</v>
      </c>
      <c r="C4640" t="s">
        <v>40</v>
      </c>
      <c r="D4640">
        <v>4.6038189999999997</v>
      </c>
      <c r="E4640">
        <v>0.45980860000000001</v>
      </c>
      <c r="F4640" t="s">
        <v>83</v>
      </c>
      <c r="G4640">
        <v>-298.99299999999999</v>
      </c>
      <c r="H4640" s="1">
        <v>-3.046838E-6</v>
      </c>
      <c r="I4640">
        <v>-44.775730000000003</v>
      </c>
      <c r="J4640">
        <v>-302.73590000000002</v>
      </c>
      <c r="K4640">
        <v>1.1047419999999999</v>
      </c>
      <c r="L4640">
        <v>-25.013310000000001</v>
      </c>
      <c r="M4640">
        <v>-2.286357E-2</v>
      </c>
      <c r="N4640">
        <v>0</v>
      </c>
      <c r="O4640">
        <v>-0.99968109999999999</v>
      </c>
      <c r="P4640">
        <v>5.8532470000000003E-2</v>
      </c>
      <c r="Q4640">
        <v>0.1254663</v>
      </c>
      <c r="R4640">
        <v>-0.99036999999999997</v>
      </c>
      <c r="S4640">
        <v>0.56121829999999995</v>
      </c>
      <c r="T4640">
        <v>-0.16597149999999999</v>
      </c>
      <c r="U4640">
        <v>-3.017242</v>
      </c>
      <c r="V4640">
        <v>-8.118736E-2</v>
      </c>
      <c r="W4640">
        <v>0.13607149999999901</v>
      </c>
      <c r="X4640">
        <v>0.98736679999999999</v>
      </c>
      <c r="Y4640">
        <v>-0.20503289999999999</v>
      </c>
      <c r="Z4640">
        <v>5.3859079999999997E-2</v>
      </c>
      <c r="AA4640">
        <v>0.97727209999999998</v>
      </c>
      <c r="AB4640">
        <v>32</v>
      </c>
      <c r="AC4640">
        <v>3.7429000000000201</v>
      </c>
      <c r="AD4640">
        <v>-1.104745046838</v>
      </c>
      <c r="AE4640">
        <v>-19.762419999999899</v>
      </c>
      <c r="AF4640">
        <v>-4.1811733889067</v>
      </c>
      <c r="AG4640">
        <v>-1.104745046838</v>
      </c>
      <c r="AH4640">
        <v>19.612506512948901</v>
      </c>
      <c r="AI4640">
        <v>93.153270746291298</v>
      </c>
      <c r="AJ4640">
        <v>102.034672849678</v>
      </c>
      <c r="AK4640">
        <v>20.083652164063199</v>
      </c>
      <c r="AL4640">
        <v>82.179416053690105</v>
      </c>
      <c r="AM4640">
        <v>94.700635895876303</v>
      </c>
      <c r="AN4640">
        <v>1.0000000191391201</v>
      </c>
    </row>
    <row r="4641" spans="1:40" x14ac:dyDescent="0.3">
      <c r="A4641" t="str">
        <f>"20200111150120839"</f>
        <v>20200111150120839</v>
      </c>
      <c r="B4641" t="str">
        <f>"1578726080832047"</f>
        <v>1578726080832047</v>
      </c>
      <c r="C4641" t="s">
        <v>40</v>
      </c>
      <c r="D4641">
        <v>4.5716539999999997</v>
      </c>
      <c r="E4641">
        <v>0.46467890000000001</v>
      </c>
      <c r="F4641" t="s">
        <v>83</v>
      </c>
      <c r="G4641">
        <v>-299.10610000000003</v>
      </c>
      <c r="H4641" s="1">
        <v>-4.3983139999999998E-6</v>
      </c>
      <c r="I4641">
        <v>-47.410820000000001</v>
      </c>
      <c r="J4641">
        <v>-302.74299999999999</v>
      </c>
      <c r="K4641">
        <v>1.1047400000000001</v>
      </c>
      <c r="L4641">
        <v>-25.330169999999999</v>
      </c>
      <c r="M4641">
        <v>-2.2757610000000001E-2</v>
      </c>
      <c r="N4641">
        <v>0</v>
      </c>
      <c r="O4641">
        <v>-0.9996834</v>
      </c>
      <c r="P4641">
        <v>5.7416090000000003E-2</v>
      </c>
      <c r="Q4641">
        <v>0.1236819</v>
      </c>
      <c r="R4641">
        <v>-0.99065970000000003</v>
      </c>
      <c r="S4641">
        <v>0.48928830000000001</v>
      </c>
      <c r="T4641">
        <v>-0.14891589999999999</v>
      </c>
      <c r="U4641">
        <v>-3.019104</v>
      </c>
      <c r="V4641">
        <v>-7.9972860000000007E-2</v>
      </c>
      <c r="W4641">
        <v>0.13429459999999999</v>
      </c>
      <c r="X4641">
        <v>0.98770910000000001</v>
      </c>
      <c r="Y4641">
        <v>-0.1822125</v>
      </c>
      <c r="Z4641">
        <v>4.8517329999999997E-2</v>
      </c>
      <c r="AA4641">
        <v>0.98206139999999997</v>
      </c>
      <c r="AB4641">
        <v>32</v>
      </c>
      <c r="AC4641">
        <v>3.6368999999999598</v>
      </c>
      <c r="AD4641">
        <v>-1.104744398314</v>
      </c>
      <c r="AE4641">
        <v>-22.080649999999999</v>
      </c>
      <c r="AF4641">
        <v>-4.1284283180825803</v>
      </c>
      <c r="AG4641">
        <v>-1.104744398314</v>
      </c>
      <c r="AH4641">
        <v>21.9386918378483</v>
      </c>
      <c r="AI4641">
        <v>92.833107171068505</v>
      </c>
      <c r="AJ4641">
        <v>100.657301895413</v>
      </c>
      <c r="AK4641">
        <v>22.351075591998299</v>
      </c>
      <c r="AL4641">
        <v>82.282167847147093</v>
      </c>
      <c r="AM4641">
        <v>94.629028321101202</v>
      </c>
      <c r="AN4641">
        <v>0.99999998207427399</v>
      </c>
    </row>
    <row r="4642" spans="1:40" x14ac:dyDescent="0.3">
      <c r="A4642" t="str">
        <f>"20200111150120863"</f>
        <v>20200111150120863</v>
      </c>
      <c r="B4642" t="str">
        <f>"1578726080852544"</f>
        <v>1578726080852544</v>
      </c>
      <c r="C4642" t="s">
        <v>40</v>
      </c>
      <c r="D4642">
        <v>4.5631690000000003</v>
      </c>
      <c r="E4642">
        <v>0.46736549999999999</v>
      </c>
      <c r="F4642" t="s">
        <v>83</v>
      </c>
      <c r="G4642">
        <v>-300.17110000000002</v>
      </c>
      <c r="H4642" s="1">
        <v>-1.555255E-6</v>
      </c>
      <c r="I4642">
        <v>-42.786209999999997</v>
      </c>
      <c r="J4642">
        <v>-302.75029999999998</v>
      </c>
      <c r="K4642">
        <v>1.1047499999999999</v>
      </c>
      <c r="L4642">
        <v>-25.651489999999999</v>
      </c>
      <c r="M4642">
        <v>-2.2631370000000001E-2</v>
      </c>
      <c r="N4642">
        <v>0</v>
      </c>
      <c r="O4642">
        <v>-0.99968630000000003</v>
      </c>
      <c r="P4642">
        <v>5.6515170000000003E-2</v>
      </c>
      <c r="Q4642">
        <v>0.122668</v>
      </c>
      <c r="R4642">
        <v>-0.99083759999999999</v>
      </c>
      <c r="S4642">
        <v>0.44589230000000002</v>
      </c>
      <c r="T4642">
        <v>-0.19153000000000001</v>
      </c>
      <c r="U4642">
        <v>-3.026367</v>
      </c>
      <c r="V4642">
        <v>-7.8954099999999999E-2</v>
      </c>
      <c r="W4642">
        <v>0.13328619999999999</v>
      </c>
      <c r="X4642">
        <v>0.98792769999999996</v>
      </c>
      <c r="Y4642">
        <v>-0.1678318</v>
      </c>
      <c r="Z4642">
        <v>6.2353180000000001E-2</v>
      </c>
      <c r="AA4642">
        <v>0.98384170000000004</v>
      </c>
      <c r="AB4642">
        <v>32</v>
      </c>
      <c r="AC4642">
        <v>2.57919999999995</v>
      </c>
      <c r="AD4642">
        <v>-1.10475155525499</v>
      </c>
      <c r="AE4642">
        <v>-17.134719999999898</v>
      </c>
      <c r="AF4642">
        <v>-2.954334905519</v>
      </c>
      <c r="AG4642">
        <v>-1.10475155525499</v>
      </c>
      <c r="AH4642">
        <v>17.002842653509099</v>
      </c>
      <c r="AI4642">
        <v>93.662812336405196</v>
      </c>
      <c r="AJ4642">
        <v>99.857036887373297</v>
      </c>
      <c r="AK4642">
        <v>17.292924247587401</v>
      </c>
      <c r="AL4642">
        <v>82.340469592122403</v>
      </c>
      <c r="AM4642">
        <v>94.569304376588207</v>
      </c>
      <c r="AN4642">
        <v>1.0000000507222599</v>
      </c>
    </row>
    <row r="4643" spans="1:40" x14ac:dyDescent="0.3">
      <c r="A4643" t="str">
        <f>"20200111150120884"</f>
        <v>20200111150120884</v>
      </c>
      <c r="B4643" t="str">
        <f>"1578726080882799"</f>
        <v>1578726080882799</v>
      </c>
      <c r="C4643" t="s">
        <v>40</v>
      </c>
      <c r="D4643">
        <v>4.4999010000000004</v>
      </c>
      <c r="E4643">
        <v>0.46981240000000002</v>
      </c>
      <c r="F4643" t="s">
        <v>83</v>
      </c>
      <c r="G4643">
        <v>-300.59460000000001</v>
      </c>
      <c r="H4643" s="1">
        <v>-5.6404090000000005E-7</v>
      </c>
      <c r="I4643">
        <v>-41.13402</v>
      </c>
      <c r="J4643">
        <v>-302.75709999999998</v>
      </c>
      <c r="K4643">
        <v>1.1047689999999999</v>
      </c>
      <c r="L4643">
        <v>-25.96021</v>
      </c>
      <c r="M4643">
        <v>-2.247679E-2</v>
      </c>
      <c r="N4643">
        <v>0</v>
      </c>
      <c r="O4643">
        <v>-0.99968959999999996</v>
      </c>
      <c r="P4643">
        <v>5.648574E-2</v>
      </c>
      <c r="Q4643">
        <v>0.12358089999999999</v>
      </c>
      <c r="R4643">
        <v>-0.99072590000000005</v>
      </c>
      <c r="S4643">
        <v>0.42193599999999998</v>
      </c>
      <c r="T4643">
        <v>-0.21623719999999999</v>
      </c>
      <c r="U4643">
        <v>-3.0304570000000002</v>
      </c>
      <c r="V4643">
        <v>-7.8776559999999995E-2</v>
      </c>
      <c r="W4643">
        <v>0.13420290000000001</v>
      </c>
      <c r="X4643">
        <v>0.98781770000000002</v>
      </c>
      <c r="Y4643">
        <v>-0.15978800000000001</v>
      </c>
      <c r="Z4643">
        <v>7.0351750000000005E-2</v>
      </c>
      <c r="AA4643">
        <v>0.98464130000000005</v>
      </c>
      <c r="AB4643">
        <v>32</v>
      </c>
      <c r="AC4643">
        <v>2.1624999999999601</v>
      </c>
      <c r="AD4643">
        <v>-1.1047695640408901</v>
      </c>
      <c r="AE4643">
        <v>-15.17381</v>
      </c>
      <c r="AF4643">
        <v>-2.4900947326965399</v>
      </c>
      <c r="AG4643">
        <v>-1.1047695640408901</v>
      </c>
      <c r="AH4643">
        <v>15.0432112663146</v>
      </c>
      <c r="AI4643">
        <v>94.144057464444401</v>
      </c>
      <c r="AJ4643">
        <v>99.398914754785693</v>
      </c>
      <c r="AK4643">
        <v>15.2878805846464</v>
      </c>
      <c r="AL4643">
        <v>82.287469901025304</v>
      </c>
      <c r="AM4643">
        <v>94.559578523891602</v>
      </c>
      <c r="AN4643">
        <v>0.99999998660356604</v>
      </c>
    </row>
    <row r="4644" spans="1:40" x14ac:dyDescent="0.3">
      <c r="A4644" t="str">
        <f>"20200111150120907"</f>
        <v>20200111150120907</v>
      </c>
      <c r="B4644" t="str">
        <f>"1578726080901872"</f>
        <v>1578726080901872</v>
      </c>
      <c r="C4644" t="s">
        <v>40</v>
      </c>
      <c r="D4644">
        <v>4.6890340000000004</v>
      </c>
      <c r="E4644">
        <v>0.4702325</v>
      </c>
      <c r="F4644" t="s">
        <v>42</v>
      </c>
      <c r="G4644">
        <v>-300.86</v>
      </c>
      <c r="H4644" s="1">
        <v>-2.9403079999999998E-7</v>
      </c>
      <c r="I4644">
        <v>-40.258890000000001</v>
      </c>
      <c r="J4644">
        <v>-302.76420000000002</v>
      </c>
      <c r="K4644">
        <v>1.1048070000000001</v>
      </c>
      <c r="L4644">
        <v>-26.284210000000002</v>
      </c>
      <c r="M4644">
        <v>-2.2278619999999999E-2</v>
      </c>
      <c r="N4644">
        <v>0</v>
      </c>
      <c r="O4644">
        <v>-0.99969399999999997</v>
      </c>
      <c r="P4644">
        <v>5.7630349999999997E-2</v>
      </c>
      <c r="Q4644">
        <v>0.124444899999999</v>
      </c>
      <c r="R4644">
        <v>-0.99055179999999998</v>
      </c>
      <c r="S4644">
        <v>0.4025879</v>
      </c>
      <c r="T4644">
        <v>-0.23444590000000001</v>
      </c>
      <c r="U4644">
        <v>-3.0343629999999999</v>
      </c>
      <c r="V4644">
        <v>-7.9730280000000001E-2</v>
      </c>
      <c r="W4644">
        <v>0.13507139999999901</v>
      </c>
      <c r="X4644">
        <v>0.98762280000000002</v>
      </c>
      <c r="Y4644">
        <v>-0.15319440000000001</v>
      </c>
      <c r="Z4644">
        <v>7.6218579999999994E-2</v>
      </c>
      <c r="AA4644">
        <v>0.98525240000000003</v>
      </c>
      <c r="AB4644">
        <v>32</v>
      </c>
      <c r="AC4644">
        <v>1.9041999999999999</v>
      </c>
      <c r="AD4644">
        <v>-1.10480729403079</v>
      </c>
      <c r="AE4644">
        <v>-13.974679999999999</v>
      </c>
      <c r="AF4644">
        <v>-2.20157260506969</v>
      </c>
      <c r="AG4644">
        <v>-1.10480729403079</v>
      </c>
      <c r="AH4644">
        <v>13.8438370977522</v>
      </c>
      <c r="AI4644">
        <v>94.506428053761098</v>
      </c>
      <c r="AJ4644">
        <v>99.036027380819704</v>
      </c>
      <c r="AK4644">
        <v>14.0612711616496</v>
      </c>
      <c r="AL4644">
        <v>82.237251359884795</v>
      </c>
      <c r="AM4644">
        <v>94.615449459229097</v>
      </c>
      <c r="AN4644">
        <v>0.99999999786333904</v>
      </c>
    </row>
    <row r="4645" spans="1:40" x14ac:dyDescent="0.3">
      <c r="A4645" t="str">
        <f>"20200111150120930"</f>
        <v>20200111150120930</v>
      </c>
      <c r="B4645" t="str">
        <f>"1578726080922364"</f>
        <v>1578726080922364</v>
      </c>
      <c r="C4645" t="s">
        <v>40</v>
      </c>
      <c r="D4645">
        <v>4.5194330000000003</v>
      </c>
      <c r="E4645">
        <v>0.47094019999999998</v>
      </c>
      <c r="F4645" t="s">
        <v>42</v>
      </c>
      <c r="G4645">
        <v>-300.95089999999999</v>
      </c>
      <c r="H4645" s="1">
        <v>-4.4082839999999998E-7</v>
      </c>
      <c r="I4645">
        <v>-39.973100000000002</v>
      </c>
      <c r="J4645">
        <v>-302.77109999999999</v>
      </c>
      <c r="K4645">
        <v>1.104849</v>
      </c>
      <c r="L4645">
        <v>-26.605440000000002</v>
      </c>
      <c r="M4645">
        <v>-2.2028240000000001E-2</v>
      </c>
      <c r="N4645">
        <v>0</v>
      </c>
      <c r="O4645">
        <v>-0.99969929999999996</v>
      </c>
      <c r="P4645">
        <v>5.8335739999999997E-2</v>
      </c>
      <c r="Q4645">
        <v>0.12438730000000001</v>
      </c>
      <c r="R4645">
        <v>-0.99051750000000005</v>
      </c>
      <c r="S4645">
        <v>0.40216059999999998</v>
      </c>
      <c r="T4645">
        <v>-0.24503140000000001</v>
      </c>
      <c r="U4645">
        <v>-3.0360109999999998</v>
      </c>
      <c r="V4645">
        <v>-8.0199889999999996E-2</v>
      </c>
      <c r="W4645">
        <v>0.1350189</v>
      </c>
      <c r="X4645">
        <v>0.98759200000000003</v>
      </c>
      <c r="Y4645">
        <v>-0.15270610000000001</v>
      </c>
      <c r="Z4645">
        <v>7.960014E-2</v>
      </c>
      <c r="AA4645">
        <v>0.98506079999999996</v>
      </c>
      <c r="AB4645">
        <v>32</v>
      </c>
      <c r="AC4645">
        <v>1.8202</v>
      </c>
      <c r="AD4645">
        <v>-1.1048494408284</v>
      </c>
      <c r="AE4645">
        <v>-13.367660000000001</v>
      </c>
      <c r="AF4645">
        <v>-2.1001560082721999</v>
      </c>
      <c r="AG4645">
        <v>-1.1048494408284</v>
      </c>
      <c r="AH4645">
        <v>13.235549296703899</v>
      </c>
      <c r="AI4645">
        <v>94.713060944445502</v>
      </c>
      <c r="AJ4645">
        <v>99.016261769207603</v>
      </c>
      <c r="AK4645">
        <v>13.4466022746068</v>
      </c>
      <c r="AL4645">
        <v>82.240287543567206</v>
      </c>
      <c r="AM4645">
        <v>94.642660046476095</v>
      </c>
      <c r="AN4645">
        <v>1.0000000420886099</v>
      </c>
    </row>
    <row r="4646" spans="1:40" x14ac:dyDescent="0.3">
      <c r="A4646" t="str">
        <f>"20200111150120951"</f>
        <v>20200111150120951</v>
      </c>
      <c r="B4646" t="str">
        <f>"1578726080941884"</f>
        <v>1578726080941884</v>
      </c>
      <c r="C4646" t="s">
        <v>40</v>
      </c>
      <c r="D4646">
        <v>4.5347460000000002</v>
      </c>
      <c r="E4646">
        <v>0.4711514</v>
      </c>
      <c r="F4646" t="s">
        <v>42</v>
      </c>
      <c r="G4646">
        <v>-301.02330000000001</v>
      </c>
      <c r="H4646" s="1">
        <v>-4.8184230000000001E-7</v>
      </c>
      <c r="I4646">
        <v>-39.922339999999998</v>
      </c>
      <c r="J4646">
        <v>-302.77760000000001</v>
      </c>
      <c r="K4646">
        <v>1.104905</v>
      </c>
      <c r="L4646">
        <v>-26.91281</v>
      </c>
      <c r="M4646">
        <v>-2.1716470000000002E-2</v>
      </c>
      <c r="N4646">
        <v>0</v>
      </c>
      <c r="O4646">
        <v>-0.99970579999999998</v>
      </c>
      <c r="P4646">
        <v>5.8960909999999998E-2</v>
      </c>
      <c r="Q4646">
        <v>0.1243881</v>
      </c>
      <c r="R4646">
        <v>-0.99048060000000004</v>
      </c>
      <c r="S4646">
        <v>0.3985901</v>
      </c>
      <c r="T4646">
        <v>-0.25195869999999998</v>
      </c>
      <c r="U4646">
        <v>-3.036896</v>
      </c>
      <c r="V4646">
        <v>-8.0532359999999997E-2</v>
      </c>
      <c r="W4646">
        <v>0.13502129999999901</v>
      </c>
      <c r="X4646">
        <v>0.98756460000000001</v>
      </c>
      <c r="Y4646">
        <v>-0.15119859999999999</v>
      </c>
      <c r="Z4646">
        <v>8.1828590000000007E-2</v>
      </c>
      <c r="AA4646">
        <v>0.98511070000000001</v>
      </c>
      <c r="AB4646">
        <v>32</v>
      </c>
      <c r="AC4646">
        <v>1.7543</v>
      </c>
      <c r="AD4646">
        <v>-1.1049054818423001</v>
      </c>
      <c r="AE4646">
        <v>-13.00953</v>
      </c>
      <c r="AF4646">
        <v>-2.02209850851902</v>
      </c>
      <c r="AG4646">
        <v>-1.1049054818423001</v>
      </c>
      <c r="AH4646">
        <v>12.877135856700299</v>
      </c>
      <c r="AI4646">
        <v>94.845091596875704</v>
      </c>
      <c r="AJ4646">
        <v>98.924287679949202</v>
      </c>
      <c r="AK4646">
        <v>13.081679034966299</v>
      </c>
      <c r="AL4646">
        <v>82.240148635825093</v>
      </c>
      <c r="AM4646">
        <v>94.661950389108597</v>
      </c>
      <c r="AN4646">
        <v>1.0000000258170001</v>
      </c>
    </row>
    <row r="4647" spans="1:40" x14ac:dyDescent="0.3">
      <c r="A4647" t="str">
        <f>"20200111150120974"</f>
        <v>20200111150120974</v>
      </c>
      <c r="B4647" t="str">
        <f>"1578726080962380"</f>
        <v>1578726080962380</v>
      </c>
      <c r="C4647" t="s">
        <v>40</v>
      </c>
      <c r="D4647">
        <v>4.5583710000000002</v>
      </c>
      <c r="E4647">
        <v>0.4715683</v>
      </c>
      <c r="F4647" t="s">
        <v>42</v>
      </c>
      <c r="G4647">
        <v>-301.08330000000001</v>
      </c>
      <c r="H4647" s="1">
        <v>-5.3876880000000004E-7</v>
      </c>
      <c r="I4647">
        <v>-39.826909999999998</v>
      </c>
      <c r="J4647">
        <v>-302.78410000000002</v>
      </c>
      <c r="K4647">
        <v>1.1049789999999999</v>
      </c>
      <c r="L4647">
        <v>-27.23404</v>
      </c>
      <c r="M4647">
        <v>-2.1292120000000001E-2</v>
      </c>
      <c r="N4647">
        <v>0</v>
      </c>
      <c r="O4647">
        <v>-0.99971469999999996</v>
      </c>
      <c r="P4647">
        <v>5.9923810000000001E-2</v>
      </c>
      <c r="Q4647">
        <v>0.1243616</v>
      </c>
      <c r="R4647">
        <v>-0.99042589999999997</v>
      </c>
      <c r="S4647">
        <v>0.39852910000000002</v>
      </c>
      <c r="T4647">
        <v>-0.25990400000000002</v>
      </c>
      <c r="U4647">
        <v>-3.03775</v>
      </c>
      <c r="V4647">
        <v>-8.1097279999999994E-2</v>
      </c>
      <c r="W4647">
        <v>0.13499249999999999</v>
      </c>
      <c r="X4647">
        <v>0.98752229999999996</v>
      </c>
      <c r="Y4647">
        <v>-0.1506962</v>
      </c>
      <c r="Z4647">
        <v>8.4371810000000005E-2</v>
      </c>
      <c r="AA4647">
        <v>0.98497310000000005</v>
      </c>
      <c r="AB4647">
        <v>32</v>
      </c>
      <c r="AC4647">
        <v>1.7008000000000101</v>
      </c>
      <c r="AD4647">
        <v>-1.1049795387688</v>
      </c>
      <c r="AE4647">
        <v>-12.5928699999999</v>
      </c>
      <c r="AF4647">
        <v>-1.95378542643676</v>
      </c>
      <c r="AG4647">
        <v>-1.1049795387688</v>
      </c>
      <c r="AH4647">
        <v>12.459585833038499</v>
      </c>
      <c r="AI4647">
        <v>95.007151964400506</v>
      </c>
      <c r="AJ4647">
        <v>98.911967437072093</v>
      </c>
      <c r="AK4647">
        <v>12.660155465258301</v>
      </c>
      <c r="AL4647">
        <v>82.241813943624393</v>
      </c>
      <c r="AM4647">
        <v>94.6947076594073</v>
      </c>
      <c r="AN4647">
        <v>1.0000000184384601</v>
      </c>
    </row>
    <row r="4648" spans="1:40" x14ac:dyDescent="0.3">
      <c r="A4648" t="str">
        <f>"20200111150120996"</f>
        <v>20200111150120996</v>
      </c>
      <c r="B4648" t="str">
        <f>"1578726080992405"</f>
        <v>1578726080992405</v>
      </c>
      <c r="C4648" t="s">
        <v>40</v>
      </c>
      <c r="D4648">
        <v>4.5361750000000001</v>
      </c>
      <c r="E4648">
        <v>0.47194920000000001</v>
      </c>
      <c r="F4648" t="s">
        <v>42</v>
      </c>
      <c r="G4648">
        <v>-301.09719999999999</v>
      </c>
      <c r="H4648" s="1">
        <v>-4.1598120000000001E-7</v>
      </c>
      <c r="I4648">
        <v>-40.121720000000003</v>
      </c>
      <c r="J4648">
        <v>-302.79039999999998</v>
      </c>
      <c r="K4648">
        <v>1.105065</v>
      </c>
      <c r="L4648">
        <v>-27.553529999999999</v>
      </c>
      <c r="M4648">
        <v>-2.0750830000000001E-2</v>
      </c>
      <c r="N4648">
        <v>0</v>
      </c>
      <c r="O4648">
        <v>-0.99972609999999995</v>
      </c>
      <c r="P4648">
        <v>6.1381239999999997E-2</v>
      </c>
      <c r="Q4648">
        <v>0.1245063</v>
      </c>
      <c r="R4648">
        <v>-0.9903187</v>
      </c>
      <c r="S4648">
        <v>0.39761350000000001</v>
      </c>
      <c r="T4648">
        <v>-0.26044630000000002</v>
      </c>
      <c r="U4648">
        <v>-3.0376590000000001</v>
      </c>
      <c r="V4648">
        <v>-8.2045469999999995E-2</v>
      </c>
      <c r="W4648">
        <v>0.13512950000000001</v>
      </c>
      <c r="X4648">
        <v>0.9874252</v>
      </c>
      <c r="Y4648">
        <v>-0.149870899999999</v>
      </c>
      <c r="Z4648">
        <v>8.4557530000000006E-2</v>
      </c>
      <c r="AA4648">
        <v>0.98508309999999999</v>
      </c>
      <c r="AB4648">
        <v>32</v>
      </c>
      <c r="AC4648">
        <v>1.69319999999999</v>
      </c>
      <c r="AD4648">
        <v>-1.1050654159811999</v>
      </c>
      <c r="AE4648">
        <v>-12.56819</v>
      </c>
      <c r="AF4648">
        <v>-1.9389285548927</v>
      </c>
      <c r="AG4648">
        <v>-1.1050654159811999</v>
      </c>
      <c r="AH4648">
        <v>12.4359190018269</v>
      </c>
      <c r="AI4648">
        <v>95.017703246775795</v>
      </c>
      <c r="AJ4648">
        <v>98.861841678667901</v>
      </c>
      <c r="AK4648">
        <v>12.634583290895501</v>
      </c>
      <c r="AL4648">
        <v>82.233891559029004</v>
      </c>
      <c r="AM4648">
        <v>94.749813462843207</v>
      </c>
      <c r="AN4648">
        <v>0.99999998325640505</v>
      </c>
    </row>
    <row r="4649" spans="1:40" x14ac:dyDescent="0.3">
      <c r="A4649" t="str">
        <f>"20200111150121019"</f>
        <v>20200111150121019</v>
      </c>
      <c r="B4649" t="str">
        <f>"1578726081011925"</f>
        <v>1578726081011925</v>
      </c>
      <c r="C4649" t="s">
        <v>40</v>
      </c>
      <c r="D4649">
        <v>4.6238890000000001</v>
      </c>
      <c r="E4649">
        <v>0.47237479999999998</v>
      </c>
      <c r="F4649" t="s">
        <v>42</v>
      </c>
      <c r="G4649">
        <v>-301.14679999999998</v>
      </c>
      <c r="H4649" s="1">
        <v>-4.4889629999999997E-7</v>
      </c>
      <c r="I4649">
        <v>-40.075769999999999</v>
      </c>
      <c r="J4649">
        <v>-302.79649999999998</v>
      </c>
      <c r="K4649">
        <v>1.105172</v>
      </c>
      <c r="L4649">
        <v>-27.879059999999999</v>
      </c>
      <c r="M4649">
        <v>-2.0057970000000001E-2</v>
      </c>
      <c r="N4649">
        <v>0</v>
      </c>
      <c r="O4649">
        <v>-0.99973999999999996</v>
      </c>
      <c r="P4649">
        <v>6.3668009999999997E-2</v>
      </c>
      <c r="Q4649">
        <v>0.124185199999999</v>
      </c>
      <c r="R4649">
        <v>-0.99021459999999994</v>
      </c>
      <c r="S4649">
        <v>0.39880369999999998</v>
      </c>
      <c r="T4649">
        <v>-0.26812709999999901</v>
      </c>
      <c r="U4649">
        <v>-3.0383300000000002</v>
      </c>
      <c r="V4649">
        <v>-8.3679719999999999E-2</v>
      </c>
      <c r="W4649">
        <v>0.13479539999999901</v>
      </c>
      <c r="X4649">
        <v>0.98733369999999998</v>
      </c>
      <c r="Y4649">
        <v>-0.14950949999999999</v>
      </c>
      <c r="Z4649">
        <v>8.7015499999999996E-2</v>
      </c>
      <c r="AA4649">
        <v>0.98492400000000002</v>
      </c>
      <c r="AB4649">
        <v>32</v>
      </c>
      <c r="AC4649">
        <v>1.64969999999999</v>
      </c>
      <c r="AD4649">
        <v>-1.1051724488963</v>
      </c>
      <c r="AE4649">
        <v>-12.196709999999999</v>
      </c>
      <c r="AF4649">
        <v>-1.87887418076746</v>
      </c>
      <c r="AG4649">
        <v>-1.1051724488963</v>
      </c>
      <c r="AH4649">
        <v>12.063892194792899</v>
      </c>
      <c r="AI4649">
        <v>95.172243956372</v>
      </c>
      <c r="AJ4649">
        <v>98.852334700420002</v>
      </c>
      <c r="AK4649">
        <v>12.259244235128801</v>
      </c>
      <c r="AL4649">
        <v>82.253210696859895</v>
      </c>
      <c r="AM4649">
        <v>94.844425158725997</v>
      </c>
      <c r="AN4649">
        <v>0.99999996527806301</v>
      </c>
    </row>
    <row r="4650" spans="1:40" x14ac:dyDescent="0.3">
      <c r="A4650" t="str">
        <f>"20200111150121041"</f>
        <v>20200111150121041</v>
      </c>
      <c r="B4650" t="str">
        <f>"1578726081032421"</f>
        <v>1578726081032421</v>
      </c>
      <c r="C4650" t="s">
        <v>40</v>
      </c>
      <c r="D4650">
        <v>4.575164</v>
      </c>
      <c r="E4650">
        <v>0.4725839</v>
      </c>
      <c r="F4650" t="s">
        <v>42</v>
      </c>
      <c r="G4650">
        <v>-301.14690000000002</v>
      </c>
      <c r="H4650" s="1">
        <v>-3.3631820000000002E-7</v>
      </c>
      <c r="I4650">
        <v>-40.33822</v>
      </c>
      <c r="J4650">
        <v>-302.80189999999999</v>
      </c>
      <c r="K4650">
        <v>1.1052850000000001</v>
      </c>
      <c r="L4650">
        <v>-28.187159999999999</v>
      </c>
      <c r="M4650">
        <v>-1.924876E-2</v>
      </c>
      <c r="N4650">
        <v>0</v>
      </c>
      <c r="O4650">
        <v>-0.99975590000000003</v>
      </c>
      <c r="P4650">
        <v>6.7399719999999996E-2</v>
      </c>
      <c r="Q4650">
        <v>0.1253262</v>
      </c>
      <c r="R4650">
        <v>-0.98982369999999997</v>
      </c>
      <c r="S4650">
        <v>0.40219120000000003</v>
      </c>
      <c r="T4650">
        <v>-0.26944319999999999</v>
      </c>
      <c r="U4650">
        <v>-3.0375670000000001</v>
      </c>
      <c r="V4650">
        <v>-8.6643239999999996E-2</v>
      </c>
      <c r="W4650">
        <v>0.13591889999999901</v>
      </c>
      <c r="X4650">
        <v>0.98692400000000002</v>
      </c>
      <c r="Y4650">
        <v>-0.1498157</v>
      </c>
      <c r="Z4650">
        <v>8.7454649999999995E-2</v>
      </c>
      <c r="AA4650">
        <v>0.98483849999999995</v>
      </c>
      <c r="AB4650">
        <v>32</v>
      </c>
      <c r="AC4650">
        <v>1.6549999999999701</v>
      </c>
      <c r="AD4650">
        <v>-1.1052853363182</v>
      </c>
      <c r="AE4650">
        <v>-12.151059999999999</v>
      </c>
      <c r="AF4650">
        <v>-1.87338170525606</v>
      </c>
      <c r="AG4650">
        <v>-1.1052853363182</v>
      </c>
      <c r="AH4650">
        <v>12.0193122316073</v>
      </c>
      <c r="AI4650">
        <v>95.191755903338304</v>
      </c>
      <c r="AJ4650">
        <v>98.859085650868806</v>
      </c>
      <c r="AK4650">
        <v>12.2145438395846</v>
      </c>
      <c r="AL4650">
        <v>82.188241152924206</v>
      </c>
      <c r="AM4650">
        <v>95.017201808353605</v>
      </c>
      <c r="AN4650">
        <v>0.99999999009545304</v>
      </c>
    </row>
    <row r="4651" spans="1:40" x14ac:dyDescent="0.3">
      <c r="A4651" t="str">
        <f>"20200111150121063"</f>
        <v>20200111150121063</v>
      </c>
      <c r="B4651" t="str">
        <f>"1578726081051942"</f>
        <v>1578726081051942</v>
      </c>
      <c r="C4651" t="s">
        <v>40</v>
      </c>
      <c r="D4651">
        <v>4.6303390000000002</v>
      </c>
      <c r="E4651">
        <v>0.47279500000000002</v>
      </c>
      <c r="F4651" t="s">
        <v>83</v>
      </c>
      <c r="G4651">
        <v>-301.01929999999999</v>
      </c>
      <c r="H4651" s="1">
        <v>-7.4097109999999996E-7</v>
      </c>
      <c r="I4651">
        <v>-41.319330000000001</v>
      </c>
      <c r="J4651">
        <v>-302.80709999999999</v>
      </c>
      <c r="K4651">
        <v>1.1054310000000001</v>
      </c>
      <c r="L4651">
        <v>-28.51294</v>
      </c>
      <c r="M4651">
        <v>-1.82037E-2</v>
      </c>
      <c r="N4651">
        <v>0</v>
      </c>
      <c r="O4651">
        <v>-0.99977539999999998</v>
      </c>
      <c r="P4651">
        <v>7.0684689999999994E-2</v>
      </c>
      <c r="Q4651">
        <v>0.12579169999999901</v>
      </c>
      <c r="R4651">
        <v>-0.98953559999999996</v>
      </c>
      <c r="S4651">
        <v>0.4119873</v>
      </c>
      <c r="T4651">
        <v>-0.2554553</v>
      </c>
      <c r="U4651">
        <v>-3.035126</v>
      </c>
      <c r="V4651">
        <v>-8.893587E-2</v>
      </c>
      <c r="W4651">
        <v>0.13636770000000001</v>
      </c>
      <c r="X4651">
        <v>0.98665820000000004</v>
      </c>
      <c r="Y4651">
        <v>-0.152059</v>
      </c>
      <c r="Z4651">
        <v>8.2983260000000003E-2</v>
      </c>
      <c r="AA4651">
        <v>0.98488160000000002</v>
      </c>
      <c r="AB4651">
        <v>32</v>
      </c>
      <c r="AC4651">
        <v>1.7878000000000001</v>
      </c>
      <c r="AD4651">
        <v>-1.1054317409711001</v>
      </c>
      <c r="AE4651">
        <v>-12.806389999999899</v>
      </c>
      <c r="AF4651">
        <v>-2.0059804371637102</v>
      </c>
      <c r="AG4651">
        <v>-1.1054317409711001</v>
      </c>
      <c r="AH4651">
        <v>12.6790564026289</v>
      </c>
      <c r="AI4651">
        <v>94.921857240861499</v>
      </c>
      <c r="AJ4651">
        <v>98.990368325829607</v>
      </c>
      <c r="AK4651">
        <v>12.884269793406</v>
      </c>
      <c r="AL4651">
        <v>82.1622857730124</v>
      </c>
      <c r="AM4651">
        <v>95.150635003851093</v>
      </c>
      <c r="AN4651">
        <v>1.0000000711015899</v>
      </c>
    </row>
    <row r="4652" spans="1:40" x14ac:dyDescent="0.3">
      <c r="A4652" t="str">
        <f>"20200111150121087"</f>
        <v>20200111150121087</v>
      </c>
      <c r="B4652" t="str">
        <f>"1578726081082199"</f>
        <v>1578726081082199</v>
      </c>
      <c r="C4652" t="s">
        <v>40</v>
      </c>
      <c r="D4652">
        <v>4.8303900000000004</v>
      </c>
      <c r="E4652">
        <v>0.47318670000000002</v>
      </c>
      <c r="F4652" t="s">
        <v>83</v>
      </c>
      <c r="G4652">
        <v>-300.91629999999998</v>
      </c>
      <c r="H4652" s="1">
        <v>-1.278709E-6</v>
      </c>
      <c r="I4652">
        <v>-42.187910000000002</v>
      </c>
      <c r="J4652">
        <v>-302.81189999999998</v>
      </c>
      <c r="K4652">
        <v>1.105569</v>
      </c>
      <c r="L4652">
        <v>-28.842040000000001</v>
      </c>
      <c r="M4652">
        <v>-1.6991659999999999E-2</v>
      </c>
      <c r="N4652">
        <v>0</v>
      </c>
      <c r="O4652">
        <v>-0.99979649999999998</v>
      </c>
      <c r="P4652">
        <v>7.1743139999999997E-2</v>
      </c>
      <c r="Q4652">
        <v>0.1244291</v>
      </c>
      <c r="R4652">
        <v>-0.98963159999999994</v>
      </c>
      <c r="S4652">
        <v>0.41937259999999998</v>
      </c>
      <c r="T4652">
        <v>-0.24517030000000001</v>
      </c>
      <c r="U4652">
        <v>-3.0329280000000001</v>
      </c>
      <c r="V4652">
        <v>-8.8839749999999995E-2</v>
      </c>
      <c r="W4652">
        <v>0.13500000000000001</v>
      </c>
      <c r="X4652">
        <v>0.98685489999999998</v>
      </c>
      <c r="Y4652">
        <v>-0.1533466</v>
      </c>
      <c r="Z4652">
        <v>7.9702540000000002E-2</v>
      </c>
      <c r="AA4652">
        <v>0.98495299999999997</v>
      </c>
      <c r="AB4652">
        <v>32</v>
      </c>
      <c r="AC4652">
        <v>1.8956</v>
      </c>
      <c r="AD4652">
        <v>-1.105570278709</v>
      </c>
      <c r="AE4652">
        <v>-13.3458699999999</v>
      </c>
      <c r="AF4652">
        <v>-2.1079287111219198</v>
      </c>
      <c r="AG4652">
        <v>-1.105570278709</v>
      </c>
      <c r="AH4652">
        <v>13.2227855343166</v>
      </c>
      <c r="AI4652">
        <v>94.720113735280705</v>
      </c>
      <c r="AJ4652">
        <v>99.057670117779395</v>
      </c>
      <c r="AK4652">
        <v>13.4353156412073</v>
      </c>
      <c r="AL4652">
        <v>82.241380481569095</v>
      </c>
      <c r="AM4652">
        <v>95.144078181855093</v>
      </c>
      <c r="AN4652">
        <v>1.0000000474170301</v>
      </c>
    </row>
    <row r="4653" spans="1:40" x14ac:dyDescent="0.3">
      <c r="A4653" t="str">
        <f>"20200111150121108"</f>
        <v>20200111150121108</v>
      </c>
      <c r="B4653" t="str">
        <f>"1578726081102694"</f>
        <v>1578726081102694</v>
      </c>
      <c r="C4653" t="s">
        <v>40</v>
      </c>
      <c r="D4653">
        <v>4.5746859999999998</v>
      </c>
      <c r="E4653">
        <v>0.47337059999999997</v>
      </c>
      <c r="F4653" t="s">
        <v>83</v>
      </c>
      <c r="G4653">
        <v>-300.85359999999997</v>
      </c>
      <c r="H4653" s="1">
        <v>-1.77172599999999E-6</v>
      </c>
      <c r="I4653">
        <v>-42.97728</v>
      </c>
      <c r="J4653">
        <v>-302.8159</v>
      </c>
      <c r="K4653">
        <v>1.1056999999999999</v>
      </c>
      <c r="L4653">
        <v>-29.154450000000001</v>
      </c>
      <c r="M4653">
        <v>-1.5671480000000002E-2</v>
      </c>
      <c r="N4653">
        <v>0</v>
      </c>
      <c r="O4653">
        <v>-0.99981759999999997</v>
      </c>
      <c r="P4653">
        <v>7.1060280000000003E-2</v>
      </c>
      <c r="Q4653">
        <v>0.1213581</v>
      </c>
      <c r="R4653">
        <v>-0.99006190000000005</v>
      </c>
      <c r="S4653">
        <v>0.41989140000000003</v>
      </c>
      <c r="T4653">
        <v>-0.2370497</v>
      </c>
      <c r="U4653">
        <v>-3.0307919999999999</v>
      </c>
      <c r="V4653">
        <v>-8.6893689999999996E-2</v>
      </c>
      <c r="W4653">
        <v>0.13193920000000001</v>
      </c>
      <c r="X4653">
        <v>0.98744189999999998</v>
      </c>
      <c r="Y4653">
        <v>-0.1523291</v>
      </c>
      <c r="Z4653">
        <v>7.714E-2</v>
      </c>
      <c r="AA4653">
        <v>0.98531480000000005</v>
      </c>
      <c r="AB4653">
        <v>32</v>
      </c>
      <c r="AC4653">
        <v>1.9623000000000199</v>
      </c>
      <c r="AD4653">
        <v>-1.10570177172599</v>
      </c>
      <c r="AE4653">
        <v>-13.8228299999999</v>
      </c>
      <c r="AF4653">
        <v>-2.1651161580365001</v>
      </c>
      <c r="AG4653">
        <v>-1.10570177172599</v>
      </c>
      <c r="AH4653">
        <v>13.704422037655</v>
      </c>
      <c r="AI4653">
        <v>94.556481446644696</v>
      </c>
      <c r="AJ4653">
        <v>98.977766434995601</v>
      </c>
      <c r="AK4653">
        <v>13.9183866799264</v>
      </c>
      <c r="AL4653">
        <v>82.418334224804696</v>
      </c>
      <c r="AM4653">
        <v>95.029004648716494</v>
      </c>
      <c r="AN4653">
        <v>0.99999998586703298</v>
      </c>
    </row>
    <row r="4654" spans="1:40" x14ac:dyDescent="0.3">
      <c r="A4654" t="str">
        <f>"20200111150121134"</f>
        <v>20200111150121134</v>
      </c>
      <c r="B4654" t="str">
        <f>"1578726081131974"</f>
        <v>1578726081131974</v>
      </c>
      <c r="C4654" t="s">
        <v>40</v>
      </c>
      <c r="D4654">
        <v>4.721584</v>
      </c>
      <c r="E4654">
        <v>0.47308210000000001</v>
      </c>
      <c r="F4654" t="s">
        <v>83</v>
      </c>
      <c r="G4654">
        <v>-300.9008</v>
      </c>
      <c r="H4654" s="1">
        <v>-1.859125E-6</v>
      </c>
      <c r="I4654">
        <v>-43.104439999999997</v>
      </c>
      <c r="J4654">
        <v>-302.81990000000002</v>
      </c>
      <c r="K4654">
        <v>1.1058920000000001</v>
      </c>
      <c r="L4654">
        <v>-29.522549999999999</v>
      </c>
      <c r="M4654">
        <v>-1.385049E-2</v>
      </c>
      <c r="N4654">
        <v>0</v>
      </c>
      <c r="O4654">
        <v>-0.99984379999999995</v>
      </c>
      <c r="P4654">
        <v>7.1882539999999995E-2</v>
      </c>
      <c r="Q4654">
        <v>0.1201473</v>
      </c>
      <c r="R4654">
        <v>-0.99015050000000004</v>
      </c>
      <c r="S4654">
        <v>0.41592410000000002</v>
      </c>
      <c r="T4654">
        <v>-0.24013909999999999</v>
      </c>
      <c r="U4654">
        <v>-3.0296940000000001</v>
      </c>
      <c r="V4654">
        <v>-8.5970770000000002E-2</v>
      </c>
      <c r="W4654">
        <v>0.13075129999999999</v>
      </c>
      <c r="X4654">
        <v>0.98768069999999997</v>
      </c>
      <c r="Y4654">
        <v>-0.14929979999999901</v>
      </c>
      <c r="Z4654">
        <v>7.8195349999999997E-2</v>
      </c>
      <c r="AA4654">
        <v>0.98569519999999999</v>
      </c>
      <c r="AB4654">
        <v>32</v>
      </c>
      <c r="AC4654">
        <v>1.91910000000001</v>
      </c>
      <c r="AD4654">
        <v>-1.105893859125</v>
      </c>
      <c r="AE4654">
        <v>-13.58189</v>
      </c>
      <c r="AF4654">
        <v>-2.0934354897546901</v>
      </c>
      <c r="AG4654">
        <v>-1.105893859125</v>
      </c>
      <c r="AH4654">
        <v>13.4664713306039</v>
      </c>
      <c r="AI4654">
        <v>94.639235929980202</v>
      </c>
      <c r="AJ4654">
        <v>98.836210740421905</v>
      </c>
      <c r="AK4654">
        <v>13.673014425333999</v>
      </c>
      <c r="AL4654">
        <v>82.486990940280194</v>
      </c>
      <c r="AM4654">
        <v>94.974662884797596</v>
      </c>
      <c r="AN4654">
        <v>1.00000002044928</v>
      </c>
    </row>
    <row r="4655" spans="1:40" x14ac:dyDescent="0.3">
      <c r="A4655" t="str">
        <f>"20200111150121157"</f>
        <v>20200111150121157</v>
      </c>
      <c r="B4655" t="str">
        <f>"1578726081152469"</f>
        <v>1578726081152469</v>
      </c>
      <c r="C4655" t="s">
        <v>40</v>
      </c>
      <c r="D4655">
        <v>4.5407250000000001</v>
      </c>
      <c r="E4655">
        <v>0.47304669999999999</v>
      </c>
      <c r="F4655" t="s">
        <v>83</v>
      </c>
      <c r="G4655">
        <v>-300.99059999999997</v>
      </c>
      <c r="H4655" s="1">
        <v>-1.6259569999999899E-6</v>
      </c>
      <c r="I4655">
        <v>-42.717939999999999</v>
      </c>
      <c r="J4655">
        <v>-302.82249999999999</v>
      </c>
      <c r="K4655">
        <v>1.1061099999999999</v>
      </c>
      <c r="L4655">
        <v>-29.84308</v>
      </c>
      <c r="M4655">
        <v>-1.1983570000000001E-2</v>
      </c>
      <c r="N4655">
        <v>0</v>
      </c>
      <c r="O4655">
        <v>-0.99986719999999896</v>
      </c>
      <c r="P4655">
        <v>7.2378689999999996E-2</v>
      </c>
      <c r="Q4655">
        <v>0.12117550000000001</v>
      </c>
      <c r="R4655">
        <v>-0.98998929999999996</v>
      </c>
      <c r="S4655">
        <v>0.42007450000000002</v>
      </c>
      <c r="T4655">
        <v>-0.25395420000000002</v>
      </c>
      <c r="U4655">
        <v>-3.030151</v>
      </c>
      <c r="V4655">
        <v>-8.4685570000000002E-2</v>
      </c>
      <c r="W4655">
        <v>0.13182199999999999</v>
      </c>
      <c r="X4655">
        <v>0.98764940000000001</v>
      </c>
      <c r="Y4655">
        <v>-0.14870910000000001</v>
      </c>
      <c r="Z4655">
        <v>8.2650399999999902E-2</v>
      </c>
      <c r="AA4655">
        <v>0.98542099999999999</v>
      </c>
      <c r="AB4655">
        <v>32</v>
      </c>
      <c r="AC4655">
        <v>1.8319000000000101</v>
      </c>
      <c r="AD4655">
        <v>-1.1061116259570001</v>
      </c>
      <c r="AE4655">
        <v>-12.87486</v>
      </c>
      <c r="AF4655">
        <v>-1.9717996594673699</v>
      </c>
      <c r="AG4655">
        <v>-1.1061116259570001</v>
      </c>
      <c r="AH4655">
        <v>12.759671543042501</v>
      </c>
      <c r="AI4655">
        <v>94.896641136014097</v>
      </c>
      <c r="AJ4655">
        <v>98.7846427181602</v>
      </c>
      <c r="AK4655">
        <v>12.958421767811201</v>
      </c>
      <c r="AL4655">
        <v>82.425108653508204</v>
      </c>
      <c r="AM4655">
        <v>94.900814776637205</v>
      </c>
      <c r="AN4655">
        <v>1.00000001138529</v>
      </c>
    </row>
    <row r="4656" spans="1:40" x14ac:dyDescent="0.3">
      <c r="A4656" t="str">
        <f>"20200111150121175"</f>
        <v>20200111150121175</v>
      </c>
      <c r="B4656" t="str">
        <f>"1578726081171991"</f>
        <v>1578726081171991</v>
      </c>
      <c r="C4656" t="s">
        <v>40</v>
      </c>
      <c r="D4656">
        <v>4.5696130000000004</v>
      </c>
      <c r="E4656">
        <v>0.47300439999999999</v>
      </c>
      <c r="F4656" t="s">
        <v>83</v>
      </c>
      <c r="G4656">
        <v>-300.97719999999998</v>
      </c>
      <c r="H4656" s="1">
        <v>-1.86406E-6</v>
      </c>
      <c r="I4656">
        <v>-43.095460000000003</v>
      </c>
      <c r="J4656">
        <v>-302.82400000000001</v>
      </c>
      <c r="K4656">
        <v>1.106352</v>
      </c>
      <c r="L4656">
        <v>-30.11429</v>
      </c>
      <c r="M4656">
        <v>-1.014718E-2</v>
      </c>
      <c r="N4656">
        <v>0</v>
      </c>
      <c r="O4656">
        <v>-0.99988650000000001</v>
      </c>
      <c r="P4656">
        <v>7.1950899999999901E-2</v>
      </c>
      <c r="Q4656">
        <v>0.1237065</v>
      </c>
      <c r="R4656">
        <v>-0.98970729999999996</v>
      </c>
      <c r="S4656">
        <v>0.42196660000000002</v>
      </c>
      <c r="T4656">
        <v>-0.25293749999999998</v>
      </c>
      <c r="U4656">
        <v>-3.0304570000000002</v>
      </c>
      <c r="V4656">
        <v>-8.2515030000000003E-2</v>
      </c>
      <c r="W4656">
        <v>0.1344108</v>
      </c>
      <c r="X4656">
        <v>0.98748420000000003</v>
      </c>
      <c r="Y4656">
        <v>-0.1474869</v>
      </c>
      <c r="Z4656">
        <v>8.2320270000000001E-2</v>
      </c>
      <c r="AA4656">
        <v>0.98563230000000002</v>
      </c>
      <c r="AB4656">
        <v>32</v>
      </c>
      <c r="AC4656">
        <v>1.84680000000003</v>
      </c>
      <c r="AD4656">
        <v>-1.1063538640599999</v>
      </c>
      <c r="AE4656">
        <v>-12.981169999999899</v>
      </c>
      <c r="AF4656">
        <v>-1.96444917342111</v>
      </c>
      <c r="AG4656">
        <v>-1.1063538640599999</v>
      </c>
      <c r="AH4656">
        <v>12.8701299233205</v>
      </c>
      <c r="AI4656">
        <v>94.857251419855899</v>
      </c>
      <c r="AJ4656">
        <v>98.678433925510802</v>
      </c>
      <c r="AK4656">
        <v>13.0661135641255</v>
      </c>
      <c r="AL4656">
        <v>82.275449452240494</v>
      </c>
      <c r="AM4656">
        <v>94.776587917106696</v>
      </c>
      <c r="AN4656">
        <v>1.0000000192910901</v>
      </c>
    </row>
    <row r="4657" spans="1:40" x14ac:dyDescent="0.3">
      <c r="A4657" t="str">
        <f>"20200111150121198"</f>
        <v>20200111150121198</v>
      </c>
      <c r="B4657" t="str">
        <f>"1578726081192018"</f>
        <v>1578726081192018</v>
      </c>
      <c r="C4657" t="s">
        <v>40</v>
      </c>
      <c r="D4657">
        <v>4.5403019999999996</v>
      </c>
      <c r="E4657">
        <v>0.47292459999999997</v>
      </c>
      <c r="F4657" t="s">
        <v>83</v>
      </c>
      <c r="G4657">
        <v>-300.93799999999999</v>
      </c>
      <c r="H4657" s="1">
        <v>-2.2192540000000001E-6</v>
      </c>
      <c r="I4657">
        <v>-43.662860000000002</v>
      </c>
      <c r="J4657">
        <v>-302.82490000000001</v>
      </c>
      <c r="K4657">
        <v>1.106671</v>
      </c>
      <c r="L4657">
        <v>-30.441770000000002</v>
      </c>
      <c r="M4657">
        <v>-7.6116659999999996E-3</v>
      </c>
      <c r="N4657">
        <v>0</v>
      </c>
      <c r="O4657">
        <v>-0.99990730000000005</v>
      </c>
      <c r="P4657">
        <v>7.2565240000000003E-2</v>
      </c>
      <c r="Q4657">
        <v>0.12568379999999901</v>
      </c>
      <c r="R4657">
        <v>-0.98941310000000005</v>
      </c>
      <c r="S4657">
        <v>0.42199710000000001</v>
      </c>
      <c r="T4657">
        <v>-0.24754429999999999</v>
      </c>
      <c r="U4657">
        <v>-3.0314640000000002</v>
      </c>
      <c r="V4657">
        <v>-8.0721890000000004E-2</v>
      </c>
      <c r="W4657">
        <v>0.13647579999999901</v>
      </c>
      <c r="X4657">
        <v>0.98734920000000004</v>
      </c>
      <c r="Y4657">
        <v>-0.14496329999999999</v>
      </c>
      <c r="Z4657">
        <v>8.0568109999999998E-2</v>
      </c>
      <c r="AA4657">
        <v>0.98615129999999995</v>
      </c>
      <c r="AB4657">
        <v>32</v>
      </c>
      <c r="AC4657">
        <v>1.88690000000002</v>
      </c>
      <c r="AD4657">
        <v>-1.1066732192540001</v>
      </c>
      <c r="AE4657">
        <v>-13.221089999999901</v>
      </c>
      <c r="AF4657">
        <v>-1.97393189677769</v>
      </c>
      <c r="AG4657">
        <v>-1.1066732192540001</v>
      </c>
      <c r="AH4657">
        <v>13.116278223244899</v>
      </c>
      <c r="AI4657">
        <v>94.769396769553396</v>
      </c>
      <c r="AJ4657">
        <v>98.558490686957896</v>
      </c>
      <c r="AK4657">
        <v>13.310067136453499</v>
      </c>
      <c r="AL4657">
        <v>82.156033521530105</v>
      </c>
      <c r="AM4657">
        <v>94.673888507200303</v>
      </c>
      <c r="AN4657">
        <v>1.00000005512572</v>
      </c>
    </row>
    <row r="4658" spans="1:40" x14ac:dyDescent="0.3">
      <c r="A4658" t="str">
        <f>"20200111150121220"</f>
        <v>20200111150121220</v>
      </c>
      <c r="B4658" t="str">
        <f>"1578726081212513"</f>
        <v>1578726081212513</v>
      </c>
      <c r="C4658" t="s">
        <v>40</v>
      </c>
      <c r="D4658">
        <v>4.564241</v>
      </c>
      <c r="E4658">
        <v>0.47289779999999998</v>
      </c>
      <c r="F4658" t="s">
        <v>83</v>
      </c>
      <c r="G4658">
        <v>-300.91759999999999</v>
      </c>
      <c r="H4658" s="1">
        <v>-2.4702399999999999E-6</v>
      </c>
      <c r="I4658">
        <v>-44.062190000000001</v>
      </c>
      <c r="J4658">
        <v>-302.82459999999998</v>
      </c>
      <c r="K4658">
        <v>1.1069960000000001</v>
      </c>
      <c r="L4658">
        <v>-30.750489999999999</v>
      </c>
      <c r="M4658">
        <v>-4.8673880000000003E-3</v>
      </c>
      <c r="N4658">
        <v>0</v>
      </c>
      <c r="O4658">
        <v>-0.9999228</v>
      </c>
      <c r="P4658">
        <v>7.4234990000000001E-2</v>
      </c>
      <c r="Q4658">
        <v>0.12683810000000001</v>
      </c>
      <c r="R4658">
        <v>-0.98914170000000001</v>
      </c>
      <c r="S4658">
        <v>0.42462159999999899</v>
      </c>
      <c r="T4658">
        <v>-0.24637400000000001</v>
      </c>
      <c r="U4658">
        <v>-3.032257</v>
      </c>
      <c r="V4658">
        <v>-7.9778630000000003E-2</v>
      </c>
      <c r="W4658">
        <v>0.13771810000000001</v>
      </c>
      <c r="X4658">
        <v>0.9872533</v>
      </c>
      <c r="Y4658">
        <v>-0.14305409999999999</v>
      </c>
      <c r="Z4658">
        <v>8.0177579999999998E-2</v>
      </c>
      <c r="AA4658">
        <v>0.9864619</v>
      </c>
      <c r="AB4658">
        <v>32</v>
      </c>
      <c r="AC4658">
        <v>1.90699999999998</v>
      </c>
      <c r="AD4658">
        <v>-1.10699847024</v>
      </c>
      <c r="AE4658">
        <v>-13.311699999999901</v>
      </c>
      <c r="AF4658">
        <v>-1.9585030884354999</v>
      </c>
      <c r="AG4658">
        <v>-1.10699847024</v>
      </c>
      <c r="AH4658">
        <v>13.212723782293001</v>
      </c>
      <c r="AI4658">
        <v>94.737688154649902</v>
      </c>
      <c r="AJ4658">
        <v>98.431477571485999</v>
      </c>
      <c r="AK4658">
        <v>13.4028821418266</v>
      </c>
      <c r="AL4658">
        <v>82.084175967207202</v>
      </c>
      <c r="AM4658">
        <v>94.619957244224594</v>
      </c>
      <c r="AN4658">
        <v>0.99999999161658804</v>
      </c>
    </row>
    <row r="4659" spans="1:40" x14ac:dyDescent="0.3">
      <c r="A4659" t="str">
        <f>"20200111150121254"</f>
        <v>20200111150121254</v>
      </c>
      <c r="B4659" t="str">
        <f>"1578726081242769"</f>
        <v>1578726081242769</v>
      </c>
      <c r="C4659" t="s">
        <v>40</v>
      </c>
      <c r="D4659">
        <v>4.236885</v>
      </c>
      <c r="E4659">
        <v>0.47259869999999998</v>
      </c>
      <c r="F4659" t="s">
        <v>83</v>
      </c>
      <c r="G4659">
        <v>-300.86799999999999</v>
      </c>
      <c r="H4659" s="1">
        <v>-2.7942810000000002E-6</v>
      </c>
      <c r="I4659">
        <v>-44.582859999999997</v>
      </c>
      <c r="J4659">
        <v>-302.82150000000001</v>
      </c>
      <c r="K4659">
        <v>1.1074759999999999</v>
      </c>
      <c r="L4659">
        <v>-31.226680000000002</v>
      </c>
      <c r="M4659" s="1">
        <v>7.9832159999999893E-5</v>
      </c>
      <c r="N4659">
        <v>0</v>
      </c>
      <c r="O4659">
        <v>-0.99993209999999999</v>
      </c>
      <c r="P4659">
        <v>8.1188699999999905E-2</v>
      </c>
      <c r="Q4659">
        <v>0.1275887</v>
      </c>
      <c r="R4659">
        <v>-0.98849869999999995</v>
      </c>
      <c r="S4659">
        <v>0.42886350000000001</v>
      </c>
      <c r="T4659">
        <v>-0.2426383</v>
      </c>
      <c r="U4659">
        <v>-3.03186</v>
      </c>
      <c r="V4659">
        <v>-8.1993209999999997E-2</v>
      </c>
      <c r="W4659">
        <v>0.13858570000000001</v>
      </c>
      <c r="X4659">
        <v>0.98695040000000001</v>
      </c>
      <c r="Y4659">
        <v>-0.13954129999999901</v>
      </c>
      <c r="Z4659">
        <v>7.8993540000000001E-2</v>
      </c>
      <c r="AA4659">
        <v>0.98706039999999995</v>
      </c>
      <c r="AB4659">
        <v>32</v>
      </c>
      <c r="AC4659">
        <v>1.95350000000002</v>
      </c>
      <c r="AD4659">
        <v>-1.107478794281</v>
      </c>
      <c r="AE4659">
        <v>-13.356179999999901</v>
      </c>
      <c r="AF4659">
        <v>-1.9393786875024699</v>
      </c>
      <c r="AG4659">
        <v>-1.107478794281</v>
      </c>
      <c r="AH4659">
        <v>13.2670285512091</v>
      </c>
      <c r="AI4659">
        <v>94.721808537477997</v>
      </c>
      <c r="AJ4659">
        <v>98.316611748668194</v>
      </c>
      <c r="AK4659">
        <v>13.453688919843399</v>
      </c>
      <c r="AL4659">
        <v>82.033984833114999</v>
      </c>
      <c r="AM4659">
        <v>94.749074971518795</v>
      </c>
      <c r="AN4659">
        <v>0.99999998739537699</v>
      </c>
    </row>
    <row r="4660" spans="1:40" x14ac:dyDescent="0.3">
      <c r="A4660" t="str">
        <f>"20200111150121275"</f>
        <v>20200111150121275</v>
      </c>
      <c r="B4660" t="str">
        <f>"1578726081272049"</f>
        <v>1578726081272049</v>
      </c>
      <c r="C4660" t="s">
        <v>40</v>
      </c>
      <c r="D4660">
        <v>4.5235019999999997</v>
      </c>
      <c r="E4660">
        <v>0.47229100000000002</v>
      </c>
      <c r="F4660" t="s">
        <v>83</v>
      </c>
      <c r="G4660">
        <v>-300.77710000000002</v>
      </c>
      <c r="H4660" s="1">
        <v>-3.0151199999999999E-6</v>
      </c>
      <c r="I4660">
        <v>-44.950200000000002</v>
      </c>
      <c r="J4660">
        <v>-302.8177</v>
      </c>
      <c r="K4660">
        <v>1.1077600000000001</v>
      </c>
      <c r="L4660">
        <v>-31.54541</v>
      </c>
      <c r="M4660">
        <v>3.765928E-3</v>
      </c>
      <c r="N4660">
        <v>0</v>
      </c>
      <c r="O4660">
        <v>-0.99992329999999996</v>
      </c>
      <c r="P4660">
        <v>8.7307289999999996E-2</v>
      </c>
      <c r="Q4660">
        <v>0.12869079999999999</v>
      </c>
      <c r="R4660">
        <v>-0.9878342</v>
      </c>
      <c r="S4660">
        <v>0.45129390000000003</v>
      </c>
      <c r="T4660">
        <v>-0.24446960000000001</v>
      </c>
      <c r="U4660">
        <v>-3.029388</v>
      </c>
      <c r="V4660">
        <v>-8.4567779999999995E-2</v>
      </c>
      <c r="W4660">
        <v>0.1397525</v>
      </c>
      <c r="X4660">
        <v>0.98656860000000002</v>
      </c>
      <c r="Y4660">
        <v>-0.14315249999999999</v>
      </c>
      <c r="Z4660">
        <v>7.9586459999999998E-2</v>
      </c>
      <c r="AA4660">
        <v>0.98649549999999997</v>
      </c>
      <c r="AB4660">
        <v>32</v>
      </c>
      <c r="AC4660">
        <v>2.04059999999998</v>
      </c>
      <c r="AD4660">
        <v>-1.10776301512</v>
      </c>
      <c r="AE4660">
        <v>-13.40479</v>
      </c>
      <c r="AF4660">
        <v>-1.9769055142790599</v>
      </c>
      <c r="AG4660">
        <v>-1.10776301512</v>
      </c>
      <c r="AH4660">
        <v>13.323451698456999</v>
      </c>
      <c r="AI4660">
        <v>94.701620450815199</v>
      </c>
      <c r="AJ4660">
        <v>98.439848557033798</v>
      </c>
      <c r="AK4660">
        <v>13.5147940965141</v>
      </c>
      <c r="AL4660">
        <v>81.966475548799593</v>
      </c>
      <c r="AM4660">
        <v>94.899366713671697</v>
      </c>
      <c r="AN4660">
        <v>1.0000000365881601</v>
      </c>
    </row>
    <row r="4661" spans="1:40" x14ac:dyDescent="0.3">
      <c r="A4661" t="str">
        <f>"20200111150121298"</f>
        <v>20200111150121298</v>
      </c>
      <c r="B4661" t="str">
        <f>"1578726081292545"</f>
        <v>1578726081292545</v>
      </c>
      <c r="C4661" t="s">
        <v>40</v>
      </c>
      <c r="D4661">
        <v>4.5589870000000001</v>
      </c>
      <c r="E4661">
        <v>0.47161459999999999</v>
      </c>
      <c r="F4661" t="s">
        <v>83</v>
      </c>
      <c r="G4661">
        <v>-300.63130000000001</v>
      </c>
      <c r="H4661" s="1">
        <v>-3.3340070000000002E-6</v>
      </c>
      <c r="I4661">
        <v>-45.567079999999997</v>
      </c>
      <c r="J4661">
        <v>-302.81270000000001</v>
      </c>
      <c r="K4661">
        <v>1.108001</v>
      </c>
      <c r="L4661">
        <v>-31.860720000000001</v>
      </c>
      <c r="M4661">
        <v>7.6839969999999997E-3</v>
      </c>
      <c r="N4661">
        <v>0</v>
      </c>
      <c r="O4661">
        <v>-0.99989930000000005</v>
      </c>
      <c r="P4661">
        <v>9.5824820000000005E-2</v>
      </c>
      <c r="Q4661">
        <v>0.12909899999999999</v>
      </c>
      <c r="R4661">
        <v>-0.98699099999999995</v>
      </c>
      <c r="S4661">
        <v>0.4719238</v>
      </c>
      <c r="T4661">
        <v>-0.23909649999999999</v>
      </c>
      <c r="U4661">
        <v>-3.0263979999999999</v>
      </c>
      <c r="V4661">
        <v>-8.9300229999999994E-2</v>
      </c>
      <c r="W4661">
        <v>0.14019860000000001</v>
      </c>
      <c r="X4661">
        <v>0.98608819999999997</v>
      </c>
      <c r="Y4661">
        <v>-0.1460089</v>
      </c>
      <c r="Z4661">
        <v>7.7865249999999997E-2</v>
      </c>
      <c r="AA4661">
        <v>0.98621420000000004</v>
      </c>
      <c r="AB4661">
        <v>32</v>
      </c>
      <c r="AC4661">
        <v>2.1813999999999898</v>
      </c>
      <c r="AD4661">
        <v>-1.108004334007</v>
      </c>
      <c r="AE4661">
        <v>-13.706359999999901</v>
      </c>
      <c r="AF4661">
        <v>-2.0628609053470401</v>
      </c>
      <c r="AG4661">
        <v>-1.108004334007</v>
      </c>
      <c r="AH4661">
        <v>13.635811078511701</v>
      </c>
      <c r="AI4661">
        <v>94.593434850520495</v>
      </c>
      <c r="AJ4661">
        <v>98.602622336880501</v>
      </c>
      <c r="AK4661">
        <v>13.835404312409899</v>
      </c>
      <c r="AL4661">
        <v>81.940661941101595</v>
      </c>
      <c r="AM4661">
        <v>95.174595555372605</v>
      </c>
      <c r="AN4661">
        <v>1.00000005834962</v>
      </c>
    </row>
    <row r="4662" spans="1:40" x14ac:dyDescent="0.3">
      <c r="A4662" t="str">
        <f>"20200111150121320"</f>
        <v>20200111150121320</v>
      </c>
      <c r="B4662" t="str">
        <f>"1578726081312065"</f>
        <v>1578726081312065</v>
      </c>
      <c r="C4662" t="s">
        <v>40</v>
      </c>
      <c r="D4662">
        <v>4.5385849999999897</v>
      </c>
      <c r="E4662">
        <v>0.47094659999999999</v>
      </c>
      <c r="F4662" t="s">
        <v>83</v>
      </c>
      <c r="G4662">
        <v>-300.43920000000003</v>
      </c>
      <c r="H4662" s="1">
        <v>-3.570364E-6</v>
      </c>
      <c r="I4662">
        <v>-46.101700000000001</v>
      </c>
      <c r="J4662">
        <v>-302.80619999999999</v>
      </c>
      <c r="K4662">
        <v>1.108215</v>
      </c>
      <c r="L4662">
        <v>-32.172939999999997</v>
      </c>
      <c r="M4662">
        <v>1.1802719999999999E-2</v>
      </c>
      <c r="N4662">
        <v>0</v>
      </c>
      <c r="O4662">
        <v>-0.99985780000000002</v>
      </c>
      <c r="P4662">
        <v>0.1047368</v>
      </c>
      <c r="Q4662">
        <v>0.12905849999999999</v>
      </c>
      <c r="R4662">
        <v>-0.98609049999999998</v>
      </c>
      <c r="S4662">
        <v>0.50357059999999998</v>
      </c>
      <c r="T4662">
        <v>-0.23507639999999999</v>
      </c>
      <c r="U4662">
        <v>-3.0213930000000002</v>
      </c>
      <c r="V4662">
        <v>-9.4222349999999996E-2</v>
      </c>
      <c r="W4662">
        <v>0.1401831</v>
      </c>
      <c r="X4662">
        <v>0.98563219999999996</v>
      </c>
      <c r="Y4662">
        <v>-0.1522635</v>
      </c>
      <c r="Z4662">
        <v>7.6584299999999994E-2</v>
      </c>
      <c r="AA4662">
        <v>0.98536829999999997</v>
      </c>
      <c r="AB4662">
        <v>32</v>
      </c>
      <c r="AC4662">
        <v>2.36699999999996</v>
      </c>
      <c r="AD4662">
        <v>-1.108218570364</v>
      </c>
      <c r="AE4662">
        <v>-13.928759999999899</v>
      </c>
      <c r="AF4662">
        <v>-2.1889580393280199</v>
      </c>
      <c r="AG4662">
        <v>-1.108218570364</v>
      </c>
      <c r="AH4662">
        <v>13.870389128664501</v>
      </c>
      <c r="AI4662">
        <v>94.512510384395398</v>
      </c>
      <c r="AJ4662">
        <v>98.968179497757305</v>
      </c>
      <c r="AK4662">
        <v>14.0857154691628</v>
      </c>
      <c r="AL4662">
        <v>81.941558355061204</v>
      </c>
      <c r="AM4662">
        <v>95.460645050304194</v>
      </c>
      <c r="AN4662">
        <v>0.99999999322098598</v>
      </c>
    </row>
    <row r="4663" spans="1:40" x14ac:dyDescent="0.3">
      <c r="A4663" t="str">
        <f>"20200111150121343"</f>
        <v>20200111150121343</v>
      </c>
      <c r="B4663" t="str">
        <f>"1578726081332561"</f>
        <v>1578726081332561</v>
      </c>
      <c r="C4663" t="s">
        <v>40</v>
      </c>
      <c r="D4663">
        <v>4.490405</v>
      </c>
      <c r="E4663">
        <v>0.47065129999999999</v>
      </c>
      <c r="F4663" t="s">
        <v>83</v>
      </c>
      <c r="G4663">
        <v>-300.25889999999998</v>
      </c>
      <c r="H4663" s="1">
        <v>-3.7568779999999998E-6</v>
      </c>
      <c r="I4663">
        <v>-46.488280000000003</v>
      </c>
      <c r="J4663">
        <v>-302.798</v>
      </c>
      <c r="K4663">
        <v>1.1084050000000001</v>
      </c>
      <c r="L4663">
        <v>-32.490169999999999</v>
      </c>
      <c r="M4663">
        <v>1.6192939999999999E-2</v>
      </c>
      <c r="N4663">
        <v>0</v>
      </c>
      <c r="O4663">
        <v>-0.99979530000000005</v>
      </c>
      <c r="P4663">
        <v>0.1141057</v>
      </c>
      <c r="Q4663">
        <v>0.12969359999999999</v>
      </c>
      <c r="R4663">
        <v>-0.98496709999999998</v>
      </c>
      <c r="S4663">
        <v>0.53665160000000001</v>
      </c>
      <c r="T4663">
        <v>-0.23347280000000001</v>
      </c>
      <c r="U4663">
        <v>-3.0158689999999999</v>
      </c>
      <c r="V4663">
        <v>-9.9338019999999999E-2</v>
      </c>
      <c r="W4663">
        <v>0.14082610000000001</v>
      </c>
      <c r="X4663">
        <v>0.98503799999999997</v>
      </c>
      <c r="Y4663">
        <v>-0.15871640000000001</v>
      </c>
      <c r="Z4663">
        <v>7.6085600000000003E-2</v>
      </c>
      <c r="AA4663">
        <v>0.98438820000000005</v>
      </c>
      <c r="AB4663">
        <v>32</v>
      </c>
      <c r="AC4663">
        <v>2.5391000000000101</v>
      </c>
      <c r="AD4663">
        <v>-1.1084087568779999</v>
      </c>
      <c r="AE4663">
        <v>-13.998109999999899</v>
      </c>
      <c r="AF4663">
        <v>-2.29812972906389</v>
      </c>
      <c r="AG4663">
        <v>-1.1084087568779999</v>
      </c>
      <c r="AH4663">
        <v>13.9526974244597</v>
      </c>
      <c r="AI4663">
        <v>94.481927547448393</v>
      </c>
      <c r="AJ4663">
        <v>99.353132726477199</v>
      </c>
      <c r="AK4663">
        <v>14.184066259096999</v>
      </c>
      <c r="AL4663">
        <v>81.904347666270198</v>
      </c>
      <c r="AM4663">
        <v>95.758631960197107</v>
      </c>
      <c r="AN4663">
        <v>0.99999994705136297</v>
      </c>
    </row>
    <row r="4664" spans="1:40" x14ac:dyDescent="0.3">
      <c r="A4664" t="str">
        <f>"20200111150121365"</f>
        <v>20200111150121365</v>
      </c>
      <c r="B4664" t="str">
        <f>"1578726081362817"</f>
        <v>1578726081362817</v>
      </c>
      <c r="C4664" t="s">
        <v>40</v>
      </c>
      <c r="D4664">
        <v>4.5163520000000004</v>
      </c>
      <c r="E4664">
        <v>0.47002579999999999</v>
      </c>
      <c r="F4664" t="s">
        <v>83</v>
      </c>
      <c r="G4664">
        <v>-300.07400000000001</v>
      </c>
      <c r="H4664" s="1">
        <v>-3.974002E-6</v>
      </c>
      <c r="I4664">
        <v>-46.935470000000002</v>
      </c>
      <c r="J4664">
        <v>-302.78809999999999</v>
      </c>
      <c r="K4664">
        <v>1.1085609999999999</v>
      </c>
      <c r="L4664">
        <v>-32.81082</v>
      </c>
      <c r="M4664">
        <v>2.0773079999999999E-2</v>
      </c>
      <c r="N4664">
        <v>0</v>
      </c>
      <c r="O4664">
        <v>-0.99970970000000003</v>
      </c>
      <c r="P4664">
        <v>0.1227641</v>
      </c>
      <c r="Q4664">
        <v>0.13066430000000001</v>
      </c>
      <c r="R4664">
        <v>-0.98379700000000003</v>
      </c>
      <c r="S4664">
        <v>0.56768799999999997</v>
      </c>
      <c r="T4664">
        <v>-0.23099529999999999</v>
      </c>
      <c r="U4664">
        <v>-3.010437</v>
      </c>
      <c r="V4664">
        <v>-0.10355789999999999</v>
      </c>
      <c r="W4664">
        <v>0.14179610000000001</v>
      </c>
      <c r="X4664">
        <v>0.98446409999999995</v>
      </c>
      <c r="Y4664">
        <v>-0.16432659999999999</v>
      </c>
      <c r="Z4664">
        <v>7.5302330000000001E-2</v>
      </c>
      <c r="AA4664">
        <v>0.9835275</v>
      </c>
      <c r="AB4664">
        <v>32</v>
      </c>
      <c r="AC4664">
        <v>2.71409999999997</v>
      </c>
      <c r="AD4664">
        <v>-1.108564974002</v>
      </c>
      <c r="AE4664">
        <v>-14.124650000000001</v>
      </c>
      <c r="AF4664">
        <v>-2.4057884073075502</v>
      </c>
      <c r="AG4664">
        <v>-1.108564974002</v>
      </c>
      <c r="AH4664">
        <v>14.094259639314499</v>
      </c>
      <c r="AI4664">
        <v>94.433402553818098</v>
      </c>
      <c r="AJ4664">
        <v>99.686619535110793</v>
      </c>
      <c r="AK4664">
        <v>14.3410211959514</v>
      </c>
      <c r="AL4664">
        <v>81.848207575873005</v>
      </c>
      <c r="AM4664">
        <v>96.0049823327371</v>
      </c>
      <c r="AN4664">
        <v>0.99999996840821403</v>
      </c>
    </row>
    <row r="4665" spans="1:40" x14ac:dyDescent="0.3">
      <c r="A4665" t="str">
        <f>"20200111150121388"</f>
        <v>20200111150121388</v>
      </c>
      <c r="B4665" t="str">
        <f>"1578726081382340"</f>
        <v>1578726081382340</v>
      </c>
      <c r="C4665" t="s">
        <v>40</v>
      </c>
      <c r="D4665">
        <v>4.756335</v>
      </c>
      <c r="E4665">
        <v>0.46960970000000002</v>
      </c>
      <c r="F4665" t="s">
        <v>83</v>
      </c>
      <c r="G4665">
        <v>-299.8492</v>
      </c>
      <c r="H4665" s="1">
        <v>-4.3024870000000002E-6</v>
      </c>
      <c r="I4665">
        <v>-47.546120000000002</v>
      </c>
      <c r="J4665">
        <v>-302.77679999999998</v>
      </c>
      <c r="K4665">
        <v>1.108684</v>
      </c>
      <c r="L4665">
        <v>-33.127659999999999</v>
      </c>
      <c r="M4665">
        <v>2.5387460000000001E-2</v>
      </c>
      <c r="N4665">
        <v>0</v>
      </c>
      <c r="O4665">
        <v>-0.9996022</v>
      </c>
      <c r="P4665">
        <v>0.13309000000000001</v>
      </c>
      <c r="Q4665">
        <v>0.13087879999999999</v>
      </c>
      <c r="R4665">
        <v>-0.98242450000000003</v>
      </c>
      <c r="S4665">
        <v>0.59927369999999902</v>
      </c>
      <c r="T4665">
        <v>-0.22604730000000001</v>
      </c>
      <c r="U4665">
        <v>-3.0046689999999998</v>
      </c>
      <c r="V4665">
        <v>-0.1094031</v>
      </c>
      <c r="W4665">
        <v>0.14198350000000001</v>
      </c>
      <c r="X4665">
        <v>0.98380469999999998</v>
      </c>
      <c r="Y4665">
        <v>-0.17010120000000001</v>
      </c>
      <c r="Z4665">
        <v>7.3715520000000007E-2</v>
      </c>
      <c r="AA4665">
        <v>0.98266549999999997</v>
      </c>
      <c r="AB4665">
        <v>32</v>
      </c>
      <c r="AC4665">
        <v>2.92759999999998</v>
      </c>
      <c r="AD4665">
        <v>-1.108688302487</v>
      </c>
      <c r="AE4665">
        <v>-14.41846</v>
      </c>
      <c r="AF4665">
        <v>-2.5461223299988198</v>
      </c>
      <c r="AG4665">
        <v>-1.108688302487</v>
      </c>
      <c r="AH4665">
        <v>14.4063352258188</v>
      </c>
      <c r="AI4665">
        <v>94.333813883478001</v>
      </c>
      <c r="AJ4665">
        <v>100.022743292589</v>
      </c>
      <c r="AK4665">
        <v>14.6715514963503</v>
      </c>
      <c r="AL4665">
        <v>81.837361026981</v>
      </c>
      <c r="AM4665">
        <v>96.345453654816097</v>
      </c>
      <c r="AN4665">
        <v>1.0000000201519701</v>
      </c>
    </row>
    <row r="4666" spans="1:40" x14ac:dyDescent="0.3">
      <c r="A4666" t="str">
        <f>"20200111150121409"</f>
        <v>20200111150121409</v>
      </c>
      <c r="B4666" t="str">
        <f>"1578726081392097"</f>
        <v>1578726081392097</v>
      </c>
      <c r="C4666" t="s">
        <v>40</v>
      </c>
      <c r="D4666">
        <v>4.3215669999999999</v>
      </c>
      <c r="E4666">
        <v>0.46960970000000002</v>
      </c>
      <c r="F4666" t="s">
        <v>83</v>
      </c>
      <c r="G4666">
        <v>-299.5729</v>
      </c>
      <c r="H4666" s="1">
        <v>-4.7326259999999997E-6</v>
      </c>
      <c r="I4666">
        <v>-48.270069999999997</v>
      </c>
      <c r="J4666">
        <v>-302.76400000000001</v>
      </c>
      <c r="K4666">
        <v>1.1087929999999999</v>
      </c>
      <c r="L4666">
        <v>-33.443210000000001</v>
      </c>
      <c r="M4666">
        <v>3.0042719999999998E-2</v>
      </c>
      <c r="N4666">
        <v>0</v>
      </c>
      <c r="O4666">
        <v>-0.99947260000000004</v>
      </c>
      <c r="P4666">
        <v>0.14819849999999901</v>
      </c>
      <c r="Q4666">
        <v>0.13355899999999901</v>
      </c>
      <c r="R4666">
        <v>-0.97989780000000004</v>
      </c>
      <c r="S4666">
        <v>0.63412480000000004</v>
      </c>
      <c r="T4666">
        <v>-0.2194333</v>
      </c>
      <c r="U4666">
        <v>-2.9970089999999998</v>
      </c>
      <c r="V4666">
        <v>-0.1200425</v>
      </c>
      <c r="W4666">
        <v>0.14457529999999999</v>
      </c>
      <c r="X4666">
        <v>0.98218519999999998</v>
      </c>
      <c r="Y4666">
        <v>-0.17698420000000001</v>
      </c>
      <c r="Z4666">
        <v>7.1608039999999998E-2</v>
      </c>
      <c r="AA4666">
        <v>0.98160519999999996</v>
      </c>
      <c r="AB4666">
        <v>32</v>
      </c>
      <c r="AC4666">
        <v>3.1911</v>
      </c>
      <c r="AD4666">
        <v>-1.1087977326259999</v>
      </c>
      <c r="AE4666">
        <v>-14.82686</v>
      </c>
      <c r="AF4666">
        <v>-2.7295968427309298</v>
      </c>
      <c r="AG4666">
        <v>-1.1087977326259999</v>
      </c>
      <c r="AH4666">
        <v>14.8367417924148</v>
      </c>
      <c r="AI4666">
        <v>94.203664682844007</v>
      </c>
      <c r="AJ4666">
        <v>100.42445019357</v>
      </c>
      <c r="AK4666">
        <v>15.1264350840014</v>
      </c>
      <c r="AL4666">
        <v>81.687313410341702</v>
      </c>
      <c r="AM4666">
        <v>96.968121224742305</v>
      </c>
      <c r="AN4666">
        <v>0.99999999313768995</v>
      </c>
    </row>
    <row r="4667" spans="1:40" x14ac:dyDescent="0.3">
      <c r="A4667" t="str">
        <f>"20200111150121432"</f>
        <v>20200111150121432</v>
      </c>
      <c r="B4667" t="str">
        <f>"1578726081412593"</f>
        <v>1578726081412593</v>
      </c>
      <c r="C4667" t="s">
        <v>40</v>
      </c>
      <c r="D4667">
        <v>3.9457680000000002</v>
      </c>
      <c r="E4667">
        <v>0.40453050000000002</v>
      </c>
      <c r="F4667" t="s">
        <v>83</v>
      </c>
      <c r="G4667">
        <v>-299.24650000000003</v>
      </c>
      <c r="H4667" s="1">
        <v>-5.1806809999999999E-6</v>
      </c>
      <c r="I4667">
        <v>-49.007390000000001</v>
      </c>
      <c r="J4667">
        <v>-302.75</v>
      </c>
      <c r="K4667">
        <v>1.108867</v>
      </c>
      <c r="L4667">
        <v>-33.75311</v>
      </c>
      <c r="M4667">
        <v>3.4650449999999999E-2</v>
      </c>
      <c r="N4667">
        <v>0</v>
      </c>
      <c r="O4667">
        <v>-0.99932299999999996</v>
      </c>
      <c r="P4667">
        <v>0.1647042</v>
      </c>
      <c r="Q4667">
        <v>0.1378598</v>
      </c>
      <c r="R4667">
        <v>-0.97666129999999995</v>
      </c>
      <c r="S4667">
        <v>0.67538450000000005</v>
      </c>
      <c r="T4667">
        <v>-0.21289710000000001</v>
      </c>
      <c r="U4667">
        <v>-2.9884339999999998</v>
      </c>
      <c r="V4667">
        <v>-0.13217229999999999</v>
      </c>
      <c r="W4667">
        <v>0.14876149999999999</v>
      </c>
      <c r="X4667">
        <v>0.98000030000000005</v>
      </c>
      <c r="Y4667">
        <v>-0.18597430000000001</v>
      </c>
      <c r="Z4667">
        <v>6.9504819999999995E-2</v>
      </c>
      <c r="AA4667">
        <v>0.9800932</v>
      </c>
      <c r="AB4667">
        <v>32</v>
      </c>
      <c r="AC4667">
        <v>3.5034999999999701</v>
      </c>
      <c r="AD4667">
        <v>-1.108872180681</v>
      </c>
      <c r="AE4667">
        <v>-15.25428</v>
      </c>
      <c r="AF4667">
        <v>-2.9579405497111799</v>
      </c>
      <c r="AG4667">
        <v>-1.108872180681</v>
      </c>
      <c r="AH4667">
        <v>15.2897794535183</v>
      </c>
      <c r="AI4667">
        <v>94.072789257271495</v>
      </c>
      <c r="AJ4667">
        <v>100.949108310303</v>
      </c>
      <c r="AK4667">
        <v>15.6126988552891</v>
      </c>
      <c r="AL4667">
        <v>81.444839885008506</v>
      </c>
      <c r="AM4667">
        <v>97.681112961349001</v>
      </c>
      <c r="AN4667">
        <v>1.00000004438481</v>
      </c>
    </row>
    <row r="4668" spans="1:40" x14ac:dyDescent="0.3">
      <c r="A4668" t="str">
        <f>"20200111150121454"</f>
        <v>20200111150121454</v>
      </c>
      <c r="B4668" t="str">
        <f>"1578726081442849"</f>
        <v>1578726081442849</v>
      </c>
      <c r="C4668" t="s">
        <v>40</v>
      </c>
      <c r="D4668">
        <v>4.0745940000000003</v>
      </c>
      <c r="E4668">
        <v>0.37926110000000002</v>
      </c>
      <c r="F4668" t="s">
        <v>73</v>
      </c>
      <c r="G4668">
        <v>-277.63290000000001</v>
      </c>
      <c r="H4668">
        <v>3.031631</v>
      </c>
      <c r="I4668">
        <v>-91.486859999999993</v>
      </c>
      <c r="J4668">
        <v>-302.73410000000001</v>
      </c>
      <c r="K4668">
        <v>1.108886</v>
      </c>
      <c r="L4668">
        <v>-34.071440000000003</v>
      </c>
      <c r="M4668">
        <v>3.9401360000000003E-2</v>
      </c>
      <c r="N4668">
        <v>0</v>
      </c>
      <c r="O4668">
        <v>-0.99914639999999999</v>
      </c>
      <c r="P4668">
        <v>0.1799769</v>
      </c>
      <c r="Q4668">
        <v>0.13916809999999999</v>
      </c>
      <c r="R4668">
        <v>-0.97377659999999999</v>
      </c>
      <c r="S4668">
        <v>1.239563</v>
      </c>
      <c r="T4668">
        <v>9.4891790000000004E-2</v>
      </c>
      <c r="U4668">
        <v>-2.849243</v>
      </c>
      <c r="V4668">
        <v>-0.1429039</v>
      </c>
      <c r="W4668">
        <v>0.14996799999999999</v>
      </c>
      <c r="X4668">
        <v>0.97830879999999998</v>
      </c>
      <c r="Y4668">
        <v>-0.3623015</v>
      </c>
      <c r="Z4668">
        <v>-3.0726989999999999E-2</v>
      </c>
      <c r="AA4668">
        <v>0.9315544</v>
      </c>
      <c r="AB4668">
        <v>32</v>
      </c>
      <c r="AC4668">
        <v>25.101199999999999</v>
      </c>
      <c r="AD4668">
        <v>1.9227449999999999</v>
      </c>
      <c r="AE4668">
        <v>-57.415419999999898</v>
      </c>
      <c r="AF4668">
        <v>-22.7978207227534</v>
      </c>
      <c r="AG4668">
        <v>1.9227449999999999</v>
      </c>
      <c r="AH4668">
        <v>58.305030639978398</v>
      </c>
      <c r="AI4668">
        <v>88.240828598039897</v>
      </c>
      <c r="AJ4668">
        <v>111.355970375331</v>
      </c>
      <c r="AK4668">
        <v>62.633171530512897</v>
      </c>
      <c r="AL4668">
        <v>81.374928029870105</v>
      </c>
      <c r="AM4668">
        <v>98.310555955952694</v>
      </c>
      <c r="AN4668">
        <v>1.0000000169083201</v>
      </c>
    </row>
    <row r="4669" spans="1:40" x14ac:dyDescent="0.3">
      <c r="A4669" t="str">
        <f>"20200111150121498"</f>
        <v>20200111150121498</v>
      </c>
      <c r="B4669" t="str">
        <f>"1578726081492624"</f>
        <v>1578726081492624</v>
      </c>
      <c r="C4669" t="s">
        <v>40</v>
      </c>
      <c r="D4669">
        <v>4.7297599999999997</v>
      </c>
      <c r="E4669">
        <v>0.29818470000000002</v>
      </c>
      <c r="F4669" t="s">
        <v>73</v>
      </c>
      <c r="G4669">
        <v>-272.25709999999998</v>
      </c>
      <c r="H4669">
        <v>2.560028</v>
      </c>
      <c r="I4669">
        <v>-91.564989999999995</v>
      </c>
      <c r="J4669">
        <v>-302.69810000000001</v>
      </c>
      <c r="K4669">
        <v>1.108867</v>
      </c>
      <c r="L4669">
        <v>-34.703830000000004</v>
      </c>
      <c r="M4669">
        <v>4.8844760000000001E-2</v>
      </c>
      <c r="N4669">
        <v>0</v>
      </c>
      <c r="O4669">
        <v>-0.99872890000000003</v>
      </c>
      <c r="P4669">
        <v>0.2080468</v>
      </c>
      <c r="Q4669">
        <v>0.1328348</v>
      </c>
      <c r="R4669">
        <v>-0.96905730000000001</v>
      </c>
      <c r="S4669">
        <v>1.482513</v>
      </c>
      <c r="T4669">
        <v>7.058942E-2</v>
      </c>
      <c r="U4669">
        <v>-2.7966920000000002</v>
      </c>
      <c r="V4669">
        <v>-0.1618551</v>
      </c>
      <c r="W4669">
        <v>0.14344989999999999</v>
      </c>
      <c r="X4669">
        <v>0.97633250000000005</v>
      </c>
      <c r="Y4669">
        <v>-0.42452240000000002</v>
      </c>
      <c r="Z4669">
        <v>-2.2511320000000001E-2</v>
      </c>
      <c r="AA4669">
        <v>0.90513750000000004</v>
      </c>
      <c r="AB4669">
        <v>32</v>
      </c>
      <c r="AC4669">
        <v>30.440999999999999</v>
      </c>
      <c r="AD4669">
        <v>1.4511609999999999</v>
      </c>
      <c r="AE4669">
        <v>-56.861159999999998</v>
      </c>
      <c r="AF4669">
        <v>-27.6130960139431</v>
      </c>
      <c r="AG4669">
        <v>1.4511609999999999</v>
      </c>
      <c r="AH4669">
        <v>58.250788712453101</v>
      </c>
      <c r="AI4669">
        <v>88.710426615683105</v>
      </c>
      <c r="AJ4669">
        <v>115.362736497903</v>
      </c>
      <c r="AK4669">
        <v>64.480565485625405</v>
      </c>
      <c r="AL4669">
        <v>81.7524737841172</v>
      </c>
      <c r="AM4669">
        <v>99.412811533122905</v>
      </c>
      <c r="AN4669">
        <v>1.00000004888113</v>
      </c>
    </row>
    <row r="4670" spans="1:40" x14ac:dyDescent="0.3">
      <c r="A4670" t="str">
        <f>"20200111150121521"</f>
        <v>20200111150121521</v>
      </c>
      <c r="B4670" t="str">
        <f>"1578726081512145"</f>
        <v>1578726081512145</v>
      </c>
      <c r="C4670" t="s">
        <v>40</v>
      </c>
      <c r="D4670">
        <v>4.6687079999999996</v>
      </c>
      <c r="E4670">
        <v>0.37875540000000002</v>
      </c>
      <c r="F4670" t="s">
        <v>73</v>
      </c>
      <c r="G4670">
        <v>-254.63300000000001</v>
      </c>
      <c r="H4670">
        <v>5.241968</v>
      </c>
      <c r="I4670">
        <v>-91.564989999999995</v>
      </c>
      <c r="J4670">
        <v>-302.67790000000002</v>
      </c>
      <c r="K4670">
        <v>1.1088639999999901</v>
      </c>
      <c r="L4670">
        <v>-35.01932</v>
      </c>
      <c r="M4670">
        <v>5.3562390000000001E-2</v>
      </c>
      <c r="N4670">
        <v>0</v>
      </c>
      <c r="O4670">
        <v>-0.99848700000000001</v>
      </c>
      <c r="P4670">
        <v>0.22140360000000001</v>
      </c>
      <c r="Q4670">
        <v>0.12991520000000001</v>
      </c>
      <c r="R4670">
        <v>-0.96649010000000002</v>
      </c>
      <c r="S4670">
        <v>2.1964109999999999</v>
      </c>
      <c r="T4670">
        <v>0.18886919999999999</v>
      </c>
      <c r="U4670">
        <v>-2.5983580000000002</v>
      </c>
      <c r="V4670">
        <v>-0.17068699999999901</v>
      </c>
      <c r="W4670">
        <v>0.14043559999999999</v>
      </c>
      <c r="X4670">
        <v>0.97526599999999997</v>
      </c>
      <c r="Y4670">
        <v>-0.60270990000000002</v>
      </c>
      <c r="Z4670">
        <v>-5.6343749999999998E-2</v>
      </c>
      <c r="AA4670">
        <v>0.79596869999999997</v>
      </c>
      <c r="AB4670">
        <v>32</v>
      </c>
      <c r="AC4670">
        <v>48.044899999999998</v>
      </c>
      <c r="AD4670">
        <v>4.1331040000000003</v>
      </c>
      <c r="AE4670">
        <v>-56.545670000000001</v>
      </c>
      <c r="AF4670">
        <v>-44.807940376275901</v>
      </c>
      <c r="AG4670">
        <v>4.1331040000000003</v>
      </c>
      <c r="AH4670">
        <v>58.855475054249602</v>
      </c>
      <c r="AI4670">
        <v>86.801946294607305</v>
      </c>
      <c r="AJ4670">
        <v>127.282799217887</v>
      </c>
      <c r="AK4670">
        <v>74.086442844154107</v>
      </c>
      <c r="AL4670">
        <v>81.926946602951602</v>
      </c>
      <c r="AM4670">
        <v>99.927126202990493</v>
      </c>
      <c r="AN4670">
        <v>0.99999999023617903</v>
      </c>
    </row>
    <row r="4671" spans="1:40" x14ac:dyDescent="0.3">
      <c r="A4671" t="str">
        <f>"20200111150121543"</f>
        <v>20200111150121543</v>
      </c>
      <c r="B4671" t="str">
        <f>"1578726081532641"</f>
        <v>1578726081532641</v>
      </c>
      <c r="C4671" t="s">
        <v>40</v>
      </c>
      <c r="D4671">
        <v>4.6688780000000003</v>
      </c>
      <c r="E4671">
        <v>0.3786699</v>
      </c>
      <c r="F4671" t="s">
        <v>41</v>
      </c>
      <c r="G4671">
        <v>-302.12380000000002</v>
      </c>
      <c r="H4671">
        <v>1.050902</v>
      </c>
      <c r="I4671">
        <v>-35.975359999999903</v>
      </c>
      <c r="J4671">
        <v>-302.65620000000001</v>
      </c>
      <c r="K4671">
        <v>1.1088800000000001</v>
      </c>
      <c r="L4671">
        <v>-35.332030000000003</v>
      </c>
      <c r="M4671">
        <v>5.8276389999999997E-2</v>
      </c>
      <c r="N4671">
        <v>0</v>
      </c>
      <c r="O4671">
        <v>-0.99822259999999996</v>
      </c>
      <c r="P4671">
        <v>0.2320101</v>
      </c>
      <c r="Q4671">
        <v>0.1222162</v>
      </c>
      <c r="R4671">
        <v>-0.96500529999999995</v>
      </c>
      <c r="S4671">
        <v>1.5997920000000001</v>
      </c>
      <c r="T4671">
        <v>-0.16733529999999999</v>
      </c>
      <c r="U4671">
        <v>-2.76004</v>
      </c>
      <c r="V4671">
        <v>-0.17668349999999999</v>
      </c>
      <c r="W4671">
        <v>0.1326746</v>
      </c>
      <c r="X4671">
        <v>0.97528479999999995</v>
      </c>
      <c r="Y4671">
        <v>-0.44949850000000002</v>
      </c>
      <c r="Z4671">
        <v>5.3017969999999998E-2</v>
      </c>
      <c r="AA4671">
        <v>0.89170629999999995</v>
      </c>
      <c r="AB4671">
        <v>32</v>
      </c>
      <c r="AC4671">
        <v>0.53239999999999499</v>
      </c>
      <c r="AD4671">
        <v>-5.7977999999999801E-2</v>
      </c>
      <c r="AE4671">
        <v>-0.64332999999999796</v>
      </c>
      <c r="AF4671">
        <v>-0.49163126339270102</v>
      </c>
      <c r="AG4671">
        <v>-5.7977999999999801E-2</v>
      </c>
      <c r="AH4671">
        <v>0.67003533774590296</v>
      </c>
      <c r="AI4671">
        <v>93.990746818355404</v>
      </c>
      <c r="AJ4671">
        <v>126.268960852399</v>
      </c>
      <c r="AK4671">
        <v>0.83307268677911295</v>
      </c>
      <c r="AL4671">
        <v>82.375825500822799</v>
      </c>
      <c r="AM4671">
        <v>100.268389470733</v>
      </c>
      <c r="AN4671">
        <v>1.00000002488422</v>
      </c>
    </row>
    <row r="4672" spans="1:40" x14ac:dyDescent="0.3">
      <c r="A4672" t="str">
        <f>"20200111150121566"</f>
        <v>20200111150121566</v>
      </c>
      <c r="B4672" t="str">
        <f>"1578726081562897"</f>
        <v>1578726081562897</v>
      </c>
      <c r="C4672" t="s">
        <v>40</v>
      </c>
      <c r="D4672">
        <v>6.6741320000000002</v>
      </c>
      <c r="E4672">
        <v>0.3786699</v>
      </c>
      <c r="F4672" t="s">
        <v>41</v>
      </c>
      <c r="G4672">
        <v>-302.10520000000002</v>
      </c>
      <c r="H4672">
        <v>1.047007</v>
      </c>
      <c r="I4672">
        <v>-36.256869999999999</v>
      </c>
      <c r="J4672">
        <v>-302.63200000000001</v>
      </c>
      <c r="K4672">
        <v>1.108908</v>
      </c>
      <c r="L4672">
        <v>-35.658110000000001</v>
      </c>
      <c r="M4672">
        <v>6.3239130000000005E-2</v>
      </c>
      <c r="N4672">
        <v>0</v>
      </c>
      <c r="O4672">
        <v>-0.99792029999999998</v>
      </c>
      <c r="P4672">
        <v>0.2451199</v>
      </c>
      <c r="Q4672">
        <v>0.11286069999999999</v>
      </c>
      <c r="R4672">
        <v>-0.96290160000000002</v>
      </c>
      <c r="S4672">
        <v>1.6328739999999999</v>
      </c>
      <c r="T4672">
        <v>-0.18327570000000001</v>
      </c>
      <c r="U4672">
        <v>-2.7394099999999999</v>
      </c>
      <c r="V4672">
        <v>-0.18496170000000001</v>
      </c>
      <c r="W4672">
        <v>0.123222</v>
      </c>
      <c r="X4672">
        <v>0.97499000000000002</v>
      </c>
      <c r="Y4672">
        <v>-0.45579720000000001</v>
      </c>
      <c r="Z4672">
        <v>5.813521E-2</v>
      </c>
      <c r="AA4672">
        <v>0.8881831</v>
      </c>
      <c r="AB4672">
        <v>32</v>
      </c>
      <c r="AC4672">
        <v>0.52679999999997995</v>
      </c>
      <c r="AD4672">
        <v>-6.1900999999999901E-2</v>
      </c>
      <c r="AE4672">
        <v>-0.59875999999999796</v>
      </c>
      <c r="AF4672">
        <v>-0.484955795023019</v>
      </c>
      <c r="AG4672">
        <v>-6.1900999999999901E-2</v>
      </c>
      <c r="AH4672">
        <v>0.62710038022746595</v>
      </c>
      <c r="AI4672">
        <v>94.4648726644931</v>
      </c>
      <c r="AJ4672">
        <v>127.71587158294</v>
      </c>
      <c r="AK4672">
        <v>0.79515328321578405</v>
      </c>
      <c r="AL4672">
        <v>82.921909875919496</v>
      </c>
      <c r="AM4672">
        <v>100.741722182706</v>
      </c>
      <c r="AN4672">
        <v>0.99999999592544497</v>
      </c>
    </row>
    <row r="4673" spans="1:40" x14ac:dyDescent="0.3">
      <c r="A4673" t="str">
        <f>"20200111150121589"</f>
        <v>20200111150121589</v>
      </c>
      <c r="B4673" t="str">
        <f>"1578726081582417"</f>
        <v>1578726081582417</v>
      </c>
      <c r="C4673" t="s">
        <v>40</v>
      </c>
      <c r="D4673">
        <v>4.706315</v>
      </c>
      <c r="E4673">
        <v>0.37975560000000003</v>
      </c>
      <c r="F4673" t="s">
        <v>41</v>
      </c>
      <c r="G4673">
        <v>-302.09039999999999</v>
      </c>
      <c r="H4673">
        <v>1.0399969999999901</v>
      </c>
      <c r="I4673">
        <v>-36.539670000000001</v>
      </c>
      <c r="J4673">
        <v>-302.60680000000002</v>
      </c>
      <c r="K4673">
        <v>1.1089789999999999</v>
      </c>
      <c r="L4673">
        <v>-35.9754</v>
      </c>
      <c r="M4673">
        <v>6.8162459999999994E-2</v>
      </c>
      <c r="N4673">
        <v>0</v>
      </c>
      <c r="O4673">
        <v>-0.99759609999999999</v>
      </c>
      <c r="P4673">
        <v>0.2603261</v>
      </c>
      <c r="Q4673">
        <v>0.10764600000000001</v>
      </c>
      <c r="R4673">
        <v>-0.95950150000000001</v>
      </c>
      <c r="S4673">
        <v>1.6686099999999999</v>
      </c>
      <c r="T4673">
        <v>-0.21228920000000001</v>
      </c>
      <c r="U4673">
        <v>-2.7157290000000001</v>
      </c>
      <c r="V4673">
        <v>-0.1955113</v>
      </c>
      <c r="W4673">
        <v>0.1178564</v>
      </c>
      <c r="X4673">
        <v>0.97359399999999996</v>
      </c>
      <c r="Y4673">
        <v>-0.46301989999999998</v>
      </c>
      <c r="Z4673">
        <v>6.7414920000000003E-2</v>
      </c>
      <c r="AA4673">
        <v>0.88378040000000002</v>
      </c>
      <c r="AB4673">
        <v>32</v>
      </c>
      <c r="AC4673">
        <v>0.51640000000003194</v>
      </c>
      <c r="AD4673">
        <v>-6.8982000000000293E-2</v>
      </c>
      <c r="AE4673">
        <v>-0.56427000000000005</v>
      </c>
      <c r="AF4673">
        <v>-0.47288764497821401</v>
      </c>
      <c r="AG4673">
        <v>-6.8982000000000293E-2</v>
      </c>
      <c r="AH4673">
        <v>0.59333354501776203</v>
      </c>
      <c r="AI4673">
        <v>95.194936156650698</v>
      </c>
      <c r="AJ4673">
        <v>128.554893224571</v>
      </c>
      <c r="AK4673">
        <v>0.761856900434974</v>
      </c>
      <c r="AL4673">
        <v>83.231594834271505</v>
      </c>
      <c r="AM4673">
        <v>101.354770099859</v>
      </c>
      <c r="AN4673">
        <v>1.00000003814232</v>
      </c>
    </row>
    <row r="4674" spans="1:40" x14ac:dyDescent="0.3">
      <c r="A4674" t="str">
        <f>"20200111150121610"</f>
        <v>20200111150121610</v>
      </c>
      <c r="B4674" t="str">
        <f>"1578726081602913"</f>
        <v>1578726081602913</v>
      </c>
      <c r="C4674" t="s">
        <v>40</v>
      </c>
      <c r="D4674">
        <v>4.6785430000000003</v>
      </c>
      <c r="E4674">
        <v>0.3814632</v>
      </c>
      <c r="F4674" t="s">
        <v>41</v>
      </c>
      <c r="G4674">
        <v>-302.07279999999997</v>
      </c>
      <c r="H4674">
        <v>1.0358130000000001</v>
      </c>
      <c r="I4674">
        <v>-36.821939999999998</v>
      </c>
      <c r="J4674">
        <v>-302.58109999999999</v>
      </c>
      <c r="K4674">
        <v>1.1091139999999999</v>
      </c>
      <c r="L4674">
        <v>-36.279510000000002</v>
      </c>
      <c r="M4674">
        <v>7.3030810000000002E-2</v>
      </c>
      <c r="N4674">
        <v>0</v>
      </c>
      <c r="O4674">
        <v>-0.99725149999999996</v>
      </c>
      <c r="P4674">
        <v>0.27622010000000002</v>
      </c>
      <c r="Q4674">
        <v>0.1096328</v>
      </c>
      <c r="R4674">
        <v>-0.95482120000000004</v>
      </c>
      <c r="S4674">
        <v>1.6990970000000001</v>
      </c>
      <c r="T4674">
        <v>-0.23266319999999999</v>
      </c>
      <c r="U4674">
        <v>-2.6917420000000001</v>
      </c>
      <c r="V4674">
        <v>-0.20699239999999999</v>
      </c>
      <c r="W4674">
        <v>0.11964660000000001</v>
      </c>
      <c r="X4674">
        <v>0.9709989</v>
      </c>
      <c r="Y4674">
        <v>-0.46913450000000001</v>
      </c>
      <c r="Z4674">
        <v>7.4032280000000006E-2</v>
      </c>
      <c r="AA4674">
        <v>0.88001819999999897</v>
      </c>
      <c r="AB4674">
        <v>32</v>
      </c>
      <c r="AC4674">
        <v>0.50830000000001896</v>
      </c>
      <c r="AD4674">
        <v>-7.3301000000000005E-2</v>
      </c>
      <c r="AE4674">
        <v>-0.54243000000000996</v>
      </c>
      <c r="AF4674">
        <v>-0.46282513072929798</v>
      </c>
      <c r="AG4674">
        <v>-7.3301000000000005E-2</v>
      </c>
      <c r="AH4674">
        <v>0.57253885635688195</v>
      </c>
      <c r="AI4674">
        <v>95.685920587453097</v>
      </c>
      <c r="AJ4674">
        <v>128.95114949035499</v>
      </c>
      <c r="AK4674">
        <v>0.73985193131736704</v>
      </c>
      <c r="AL4674">
        <v>83.128292783377404</v>
      </c>
      <c r="AM4674">
        <v>102.033881530941</v>
      </c>
      <c r="AN4674">
        <v>1.00000001317526</v>
      </c>
    </row>
    <row r="4675" spans="1:40" x14ac:dyDescent="0.3">
      <c r="A4675" t="str">
        <f>"20200111150121633"</f>
        <v>20200111150121633</v>
      </c>
      <c r="B4675" t="str">
        <f>"1578726081622433"</f>
        <v>1578726081622433</v>
      </c>
      <c r="C4675" t="s">
        <v>40</v>
      </c>
      <c r="D4675">
        <v>4.644374</v>
      </c>
      <c r="E4675">
        <v>0.38306639999999997</v>
      </c>
      <c r="F4675" t="s">
        <v>41</v>
      </c>
      <c r="G4675">
        <v>-302.04790000000003</v>
      </c>
      <c r="H4675">
        <v>1.037488</v>
      </c>
      <c r="I4675">
        <v>-37.102330000000002</v>
      </c>
      <c r="J4675">
        <v>-302.55259999999998</v>
      </c>
      <c r="K4675">
        <v>1.1093010000000001</v>
      </c>
      <c r="L4675">
        <v>-36.594670000000001</v>
      </c>
      <c r="M4675">
        <v>7.8300190000000006E-2</v>
      </c>
      <c r="N4675">
        <v>0</v>
      </c>
      <c r="O4675">
        <v>-0.9968515</v>
      </c>
      <c r="P4675">
        <v>0.29160160000000002</v>
      </c>
      <c r="Q4675">
        <v>0.1144004</v>
      </c>
      <c r="R4675">
        <v>-0.94967429999999997</v>
      </c>
      <c r="S4675">
        <v>1.72940099999999</v>
      </c>
      <c r="T4675">
        <v>-0.23227909999999999</v>
      </c>
      <c r="U4675">
        <v>-2.6683349999999999</v>
      </c>
      <c r="V4675">
        <v>-0.2176834</v>
      </c>
      <c r="W4675">
        <v>0.124191</v>
      </c>
      <c r="X4675">
        <v>0.968086</v>
      </c>
      <c r="Y4675">
        <v>-0.47500979999999998</v>
      </c>
      <c r="Z4675">
        <v>7.4076110000000001E-2</v>
      </c>
      <c r="AA4675">
        <v>0.8768572</v>
      </c>
      <c r="AB4675">
        <v>32</v>
      </c>
      <c r="AC4675">
        <v>0.50469999999995696</v>
      </c>
      <c r="AD4675">
        <v>-7.1813000000000099E-2</v>
      </c>
      <c r="AE4675">
        <v>-0.507660000000001</v>
      </c>
      <c r="AF4675">
        <v>-0.45878018569304602</v>
      </c>
      <c r="AG4675">
        <v>-7.1813000000000099E-2</v>
      </c>
      <c r="AH4675">
        <v>0.54018601429602597</v>
      </c>
      <c r="AI4675">
        <v>95.785926235545901</v>
      </c>
      <c r="AJ4675">
        <v>130.34125687721601</v>
      </c>
      <c r="AK4675">
        <v>0.71234633135475101</v>
      </c>
      <c r="AL4675">
        <v>82.865960431082797</v>
      </c>
      <c r="AM4675">
        <v>102.67272482400701</v>
      </c>
      <c r="AN4675">
        <v>0.99999998525627898</v>
      </c>
    </row>
    <row r="4676" spans="1:40" x14ac:dyDescent="0.3">
      <c r="A4676" t="str">
        <f>"20200111150121655"</f>
        <v>20200111150121655</v>
      </c>
      <c r="B4676" t="str">
        <f>"1578726081652689"</f>
        <v>1578726081652689</v>
      </c>
      <c r="C4676" t="s">
        <v>40</v>
      </c>
      <c r="D4676">
        <v>4.698963</v>
      </c>
      <c r="E4676">
        <v>0.38346649999999999</v>
      </c>
      <c r="F4676" t="s">
        <v>41</v>
      </c>
      <c r="G4676">
        <v>-302.02710000000002</v>
      </c>
      <c r="H4676">
        <v>1.042772</v>
      </c>
      <c r="I4676">
        <v>-37.384120000000003</v>
      </c>
      <c r="J4676">
        <v>-302.52229999999997</v>
      </c>
      <c r="K4676">
        <v>1.1095389999999901</v>
      </c>
      <c r="L4676">
        <v>-36.910159999999998</v>
      </c>
      <c r="M4676">
        <v>8.3868330000000005E-2</v>
      </c>
      <c r="N4676">
        <v>0</v>
      </c>
      <c r="O4676">
        <v>-0.99639840000000002</v>
      </c>
      <c r="P4676">
        <v>0.30727559999999998</v>
      </c>
      <c r="Q4676">
        <v>0.1184202</v>
      </c>
      <c r="R4676">
        <v>-0.94422410000000001</v>
      </c>
      <c r="S4676">
        <v>1.761047</v>
      </c>
      <c r="T4676">
        <v>-0.222911</v>
      </c>
      <c r="U4676">
        <v>-2.6450809999999998</v>
      </c>
      <c r="V4676">
        <v>-0.22844700000000001</v>
      </c>
      <c r="W4676">
        <v>0.1279516</v>
      </c>
      <c r="X4676">
        <v>0.96511159999999996</v>
      </c>
      <c r="Y4676">
        <v>-0.4810199</v>
      </c>
      <c r="Z4676">
        <v>7.1237519999999999E-2</v>
      </c>
      <c r="AA4676">
        <v>0.87381059999999999</v>
      </c>
      <c r="AB4676">
        <v>32</v>
      </c>
      <c r="AC4676">
        <v>0.49519999999995401</v>
      </c>
      <c r="AD4676">
        <v>-6.6766999999999799E-2</v>
      </c>
      <c r="AE4676">
        <v>-0.47396000000000499</v>
      </c>
      <c r="AF4676">
        <v>-0.44943765578509398</v>
      </c>
      <c r="AG4676">
        <v>-6.6766999999999799E-2</v>
      </c>
      <c r="AH4676">
        <v>0.50899562483593297</v>
      </c>
      <c r="AI4676">
        <v>95.615738655174994</v>
      </c>
      <c r="AJ4676">
        <v>131.44415722257199</v>
      </c>
      <c r="AK4676">
        <v>0.682296551968953</v>
      </c>
      <c r="AL4676">
        <v>82.648761060289402</v>
      </c>
      <c r="AM4676">
        <v>103.31710727067301</v>
      </c>
      <c r="AN4676">
        <v>1.0000000221030501</v>
      </c>
    </row>
    <row r="4677" spans="1:40" x14ac:dyDescent="0.3">
      <c r="A4677" t="str">
        <f>"20200111150121678"</f>
        <v>20200111150121678</v>
      </c>
      <c r="B4677" t="str">
        <f>"1578726081672209"</f>
        <v>1578726081672209</v>
      </c>
      <c r="C4677" t="s">
        <v>40</v>
      </c>
      <c r="D4677">
        <v>5.8124859999999998</v>
      </c>
      <c r="E4677">
        <v>0.31449579999999999</v>
      </c>
      <c r="F4677" t="s">
        <v>41</v>
      </c>
      <c r="G4677">
        <v>-302.0027</v>
      </c>
      <c r="H4677">
        <v>1.0491740000000001</v>
      </c>
      <c r="I4677">
        <v>-37.664949999999997</v>
      </c>
      <c r="J4677">
        <v>-302.48939999999999</v>
      </c>
      <c r="K4677">
        <v>1.1098209999999999</v>
      </c>
      <c r="L4677">
        <v>-37.22833</v>
      </c>
      <c r="M4677">
        <v>8.9838230000000005E-2</v>
      </c>
      <c r="N4677">
        <v>0</v>
      </c>
      <c r="O4677">
        <v>-0.99587760000000003</v>
      </c>
      <c r="P4677">
        <v>0.32170349999999998</v>
      </c>
      <c r="Q4677">
        <v>0.11943869999999999</v>
      </c>
      <c r="R4677">
        <v>-0.93927700000000003</v>
      </c>
      <c r="S4677">
        <v>1.801544</v>
      </c>
      <c r="T4677">
        <v>-0.2093092</v>
      </c>
      <c r="U4677">
        <v>-2.6171880000000001</v>
      </c>
      <c r="V4677">
        <v>-0.23755660000000001</v>
      </c>
      <c r="W4677">
        <v>0.1287035</v>
      </c>
      <c r="X4677">
        <v>0.96280960000000004</v>
      </c>
      <c r="Y4677">
        <v>-0.48943680000000001</v>
      </c>
      <c r="Z4677">
        <v>6.7014980000000002E-2</v>
      </c>
      <c r="AA4677">
        <v>0.86946000000000001</v>
      </c>
      <c r="AB4677">
        <v>32</v>
      </c>
      <c r="AC4677">
        <v>0.48669999999998398</v>
      </c>
      <c r="AD4677">
        <v>-6.0646999999999902E-2</v>
      </c>
      <c r="AE4677">
        <v>-0.43661999999999701</v>
      </c>
      <c r="AF4677">
        <v>-0.441703275784742</v>
      </c>
      <c r="AG4677">
        <v>-6.0646999999999902E-2</v>
      </c>
      <c r="AH4677">
        <v>0.474499596434999</v>
      </c>
      <c r="AI4677">
        <v>95.344597856610406</v>
      </c>
      <c r="AJ4677">
        <v>132.94992043707299</v>
      </c>
      <c r="AK4677">
        <v>0.65109884769130799</v>
      </c>
      <c r="AL4677">
        <v>82.605321235764194</v>
      </c>
      <c r="AM4677">
        <v>103.85991719656199</v>
      </c>
      <c r="AN4677">
        <v>1.00000002748398</v>
      </c>
    </row>
    <row r="4678" spans="1:40" x14ac:dyDescent="0.3">
      <c r="A4678" t="str">
        <f>"20200111150121700"</f>
        <v>20200111150121700</v>
      </c>
      <c r="B4678" t="str">
        <f>"1578726081692705"</f>
        <v>1578726081692705</v>
      </c>
      <c r="C4678" t="s">
        <v>40</v>
      </c>
      <c r="D4678">
        <v>4.303445</v>
      </c>
      <c r="E4678">
        <v>0.39579760000000003</v>
      </c>
      <c r="F4678" t="s">
        <v>73</v>
      </c>
      <c r="G4678">
        <v>-257.95920000000001</v>
      </c>
      <c r="H4678">
        <v>10.07612</v>
      </c>
      <c r="I4678">
        <v>-80.916469999999904</v>
      </c>
      <c r="J4678">
        <v>-302.45510000000002</v>
      </c>
      <c r="K4678">
        <v>1.1101110000000001</v>
      </c>
      <c r="L4678">
        <v>-37.540410000000001</v>
      </c>
      <c r="M4678">
        <v>9.6088279999999998E-2</v>
      </c>
      <c r="N4678">
        <v>0</v>
      </c>
      <c r="O4678">
        <v>-0.99529369999999995</v>
      </c>
      <c r="P4678">
        <v>0.33572069999999998</v>
      </c>
      <c r="Q4678">
        <v>0.1176398</v>
      </c>
      <c r="R4678">
        <v>-0.9345871</v>
      </c>
      <c r="S4678">
        <v>2.3673099999999998</v>
      </c>
      <c r="T4678">
        <v>0.47666550000000002</v>
      </c>
      <c r="U4678">
        <v>-2.32254</v>
      </c>
      <c r="V4678">
        <v>-0.24596999999999999</v>
      </c>
      <c r="W4678">
        <v>0.1266264</v>
      </c>
      <c r="X4678">
        <v>0.96097060000000001</v>
      </c>
      <c r="Y4678">
        <v>-0.63557839999999999</v>
      </c>
      <c r="Z4678">
        <v>-0.146562</v>
      </c>
      <c r="AA4678">
        <v>0.75799719999999904</v>
      </c>
      <c r="AB4678">
        <v>32</v>
      </c>
      <c r="AC4678">
        <v>44.495899999999999</v>
      </c>
      <c r="AD4678">
        <v>8.9660089999999997</v>
      </c>
      <c r="AE4678">
        <v>-43.376060000000003</v>
      </c>
      <c r="AF4678">
        <v>-39.303463764020997</v>
      </c>
      <c r="AG4678">
        <v>8.9660089999999997</v>
      </c>
      <c r="AH4678">
        <v>46.4834573936376</v>
      </c>
      <c r="AI4678">
        <v>81.621072824335698</v>
      </c>
      <c r="AJ4678">
        <v>130.21574188340099</v>
      </c>
      <c r="AK4678">
        <v>61.529370161768398</v>
      </c>
      <c r="AL4678">
        <v>82.725311888718906</v>
      </c>
      <c r="AM4678">
        <v>104.35718370596599</v>
      </c>
      <c r="AN4678">
        <v>0.99999999007065998</v>
      </c>
    </row>
    <row r="4679" spans="1:40" x14ac:dyDescent="0.3">
      <c r="A4679" t="str">
        <f>"20200111150121722"</f>
        <v>20200111150121722</v>
      </c>
      <c r="B4679" t="str">
        <f>"1578726081712224"</f>
        <v>1578726081712224</v>
      </c>
      <c r="C4679" t="s">
        <v>40</v>
      </c>
      <c r="D4679">
        <v>4.6635499999999999</v>
      </c>
      <c r="E4679">
        <v>0.38850750000000001</v>
      </c>
      <c r="F4679" t="s">
        <v>41</v>
      </c>
      <c r="G4679">
        <v>-301.9538</v>
      </c>
      <c r="H4679">
        <v>1.058964</v>
      </c>
      <c r="I4679">
        <v>-38.267719999999997</v>
      </c>
      <c r="J4679">
        <v>-302.41809999999998</v>
      </c>
      <c r="K4679">
        <v>1.110412</v>
      </c>
      <c r="L4679">
        <v>-37.852359999999997</v>
      </c>
      <c r="M4679">
        <v>0.1027931</v>
      </c>
      <c r="N4679">
        <v>0</v>
      </c>
      <c r="O4679">
        <v>-0.99462340000000005</v>
      </c>
      <c r="P4679">
        <v>0.35141</v>
      </c>
      <c r="Q4679">
        <v>0.1145997</v>
      </c>
      <c r="R4679">
        <v>-0.92918149999999999</v>
      </c>
      <c r="S4679">
        <v>1.786133</v>
      </c>
      <c r="T4679">
        <v>-0.18223059999999999</v>
      </c>
      <c r="U4679">
        <v>-2.5913089999999999</v>
      </c>
      <c r="V4679">
        <v>-0.25569770000000003</v>
      </c>
      <c r="W4679">
        <v>0.1232646</v>
      </c>
      <c r="X4679">
        <v>0.95886629999999995</v>
      </c>
      <c r="Y4679">
        <v>-0.47888920000000001</v>
      </c>
      <c r="Z4679">
        <v>5.9016159999999998E-2</v>
      </c>
      <c r="AA4679">
        <v>0.87588940000000004</v>
      </c>
      <c r="AB4679">
        <v>32</v>
      </c>
      <c r="AC4679">
        <v>0.46429999999998001</v>
      </c>
      <c r="AD4679">
        <v>-5.1448000000000098E-2</v>
      </c>
      <c r="AE4679">
        <v>-0.415360000000006</v>
      </c>
      <c r="AF4679">
        <v>-0.41630134352878101</v>
      </c>
      <c r="AG4679">
        <v>-5.1448000000000098E-2</v>
      </c>
      <c r="AH4679">
        <v>0.45776793913558</v>
      </c>
      <c r="AI4679">
        <v>94.753070439766006</v>
      </c>
      <c r="AJ4679">
        <v>132.28387557977899</v>
      </c>
      <c r="AK4679">
        <v>0.62089064369525204</v>
      </c>
      <c r="AL4679">
        <v>82.919450555949595</v>
      </c>
      <c r="AM4679">
        <v>104.931418293869</v>
      </c>
      <c r="AN4679">
        <v>1.00000002833706</v>
      </c>
    </row>
    <row r="4680" spans="1:40" x14ac:dyDescent="0.3">
      <c r="A4680" t="str">
        <f>"20200111150121744"</f>
        <v>20200111150121744</v>
      </c>
      <c r="B4680" t="str">
        <f>"1578726081742482"</f>
        <v>1578726081742482</v>
      </c>
      <c r="C4680" t="s">
        <v>40</v>
      </c>
      <c r="D4680">
        <v>4.6274839999999999</v>
      </c>
      <c r="E4680">
        <v>0.3868703</v>
      </c>
      <c r="F4680" t="s">
        <v>41</v>
      </c>
      <c r="G4680">
        <v>-301.75900000000001</v>
      </c>
      <c r="H4680">
        <v>1.0463720000000001</v>
      </c>
      <c r="I4680">
        <v>-38.741630000000001</v>
      </c>
      <c r="J4680">
        <v>-302.3793</v>
      </c>
      <c r="K4680">
        <v>1.110724</v>
      </c>
      <c r="L4680">
        <v>-38.159759999999999</v>
      </c>
      <c r="M4680">
        <v>0.109831399999999</v>
      </c>
      <c r="N4680">
        <v>0</v>
      </c>
      <c r="O4680">
        <v>-0.99387029999999998</v>
      </c>
      <c r="P4680">
        <v>0.367255</v>
      </c>
      <c r="Q4680">
        <v>0.111724</v>
      </c>
      <c r="R4680">
        <v>-0.92338589999999998</v>
      </c>
      <c r="S4680">
        <v>1.8822939999999999</v>
      </c>
      <c r="T4680">
        <v>-0.18286849999999999</v>
      </c>
      <c r="U4680">
        <v>-2.5393680000000001</v>
      </c>
      <c r="V4680">
        <v>-0.26533410000000002</v>
      </c>
      <c r="W4680">
        <v>0.1200523</v>
      </c>
      <c r="X4680">
        <v>0.95665319999999998</v>
      </c>
      <c r="Y4680">
        <v>-0.5026081</v>
      </c>
      <c r="Z4680">
        <v>5.9119560000000002E-2</v>
      </c>
      <c r="AA4680">
        <v>0.86249050000000005</v>
      </c>
      <c r="AB4680">
        <v>32</v>
      </c>
      <c r="AC4680">
        <v>0.62029999999998597</v>
      </c>
      <c r="AD4680">
        <v>-6.4352000000000104E-2</v>
      </c>
      <c r="AE4680">
        <v>-0.581870000000002</v>
      </c>
      <c r="AF4680">
        <v>-0.54948821266011605</v>
      </c>
      <c r="AG4680">
        <v>-6.4352000000000104E-2</v>
      </c>
      <c r="AH4680">
        <v>0.64280301606985901</v>
      </c>
      <c r="AI4680">
        <v>94.351661063026697</v>
      </c>
      <c r="AJ4680">
        <v>130.524862050069</v>
      </c>
      <c r="AK4680">
        <v>0.84810034384199895</v>
      </c>
      <c r="AL4680">
        <v>83.104879323114801</v>
      </c>
      <c r="AM4680">
        <v>105.501706659446</v>
      </c>
      <c r="AN4680">
        <v>1.0000000422141599</v>
      </c>
    </row>
    <row r="4681" spans="1:40" x14ac:dyDescent="0.3">
      <c r="A4681" t="str">
        <f>"20200111150121766"</f>
        <v>20200111150121766</v>
      </c>
      <c r="B4681" t="str">
        <f>"1578726081762003"</f>
        <v>1578726081762003</v>
      </c>
      <c r="C4681" t="s">
        <v>40</v>
      </c>
      <c r="D4681">
        <v>4.7016410000000004</v>
      </c>
      <c r="E4681">
        <v>0.38668809999999998</v>
      </c>
      <c r="F4681" t="s">
        <v>41</v>
      </c>
      <c r="G4681">
        <v>-301.71629999999999</v>
      </c>
      <c r="H4681">
        <v>1.0469269999999999</v>
      </c>
      <c r="I4681">
        <v>-39.016300000000001</v>
      </c>
      <c r="J4681">
        <v>-302.33670000000001</v>
      </c>
      <c r="K4681">
        <v>1.1110260000000001</v>
      </c>
      <c r="L4681">
        <v>-38.474519999999998</v>
      </c>
      <c r="M4681">
        <v>0.1174177</v>
      </c>
      <c r="N4681">
        <v>0</v>
      </c>
      <c r="O4681">
        <v>-0.99300219999999995</v>
      </c>
      <c r="P4681">
        <v>0.3800887</v>
      </c>
      <c r="Q4681">
        <v>0.1124093</v>
      </c>
      <c r="R4681">
        <v>-0.91809410000000002</v>
      </c>
      <c r="S4681">
        <v>1.93634</v>
      </c>
      <c r="T4681">
        <v>-0.18630920000000001</v>
      </c>
      <c r="U4681">
        <v>-2.501312</v>
      </c>
      <c r="V4681">
        <v>-0.2714762</v>
      </c>
      <c r="W4681">
        <v>0.120455199999999</v>
      </c>
      <c r="X4681">
        <v>0.95487759999999999</v>
      </c>
      <c r="Y4681">
        <v>-0.51394300000000004</v>
      </c>
      <c r="Z4681">
        <v>6.0302880000000003E-2</v>
      </c>
      <c r="AA4681">
        <v>0.85570210000000002</v>
      </c>
      <c r="AB4681">
        <v>32</v>
      </c>
      <c r="AC4681">
        <v>0.62040000000001705</v>
      </c>
      <c r="AD4681">
        <v>-6.40990000000001E-2</v>
      </c>
      <c r="AE4681">
        <v>-0.54178000000000204</v>
      </c>
      <c r="AF4681">
        <v>-0.54916226925704403</v>
      </c>
      <c r="AG4681">
        <v>-6.40990000000001E-2</v>
      </c>
      <c r="AH4681">
        <v>0.60720607539342697</v>
      </c>
      <c r="AI4681">
        <v>94.476733443952696</v>
      </c>
      <c r="AJ4681">
        <v>132.126455154284</v>
      </c>
      <c r="AK4681">
        <v>0.82121075112983899</v>
      </c>
      <c r="AL4681">
        <v>83.081625863100498</v>
      </c>
      <c r="AM4681">
        <v>105.870700739897</v>
      </c>
      <c r="AN4681">
        <v>1.00000000667761</v>
      </c>
    </row>
    <row r="4682" spans="1:40" x14ac:dyDescent="0.3">
      <c r="A4682" t="str">
        <f>"20200111150121790"</f>
        <v>20200111150121790</v>
      </c>
      <c r="B4682" t="str">
        <f>"1578726081782497"</f>
        <v>1578726081782497</v>
      </c>
      <c r="C4682" t="s">
        <v>40</v>
      </c>
      <c r="D4682">
        <v>4.7550549999999996</v>
      </c>
      <c r="E4682">
        <v>0.387401</v>
      </c>
      <c r="F4682" t="s">
        <v>41</v>
      </c>
      <c r="G4682">
        <v>-301.68259999999998</v>
      </c>
      <c r="H4682">
        <v>1.0529809999999999</v>
      </c>
      <c r="I4682">
        <v>-39.294170000000001</v>
      </c>
      <c r="J4682">
        <v>-302.2903</v>
      </c>
      <c r="K4682">
        <v>1.1113379999999999</v>
      </c>
      <c r="L4682">
        <v>-38.797420000000002</v>
      </c>
      <c r="M4682">
        <v>0.1255965</v>
      </c>
      <c r="N4682">
        <v>0</v>
      </c>
      <c r="O4682">
        <v>-0.99200060000000001</v>
      </c>
      <c r="P4682">
        <v>0.3901714</v>
      </c>
      <c r="Q4682">
        <v>0.1167395</v>
      </c>
      <c r="R4682">
        <v>-0.91331200000000001</v>
      </c>
      <c r="S4682">
        <v>1.9727479999999999</v>
      </c>
      <c r="T4682">
        <v>-0.1750871</v>
      </c>
      <c r="U4682">
        <v>-2.4723820000000001</v>
      </c>
      <c r="V4682">
        <v>-0.27434589999999998</v>
      </c>
      <c r="W4682">
        <v>0.1245568</v>
      </c>
      <c r="X4682">
        <v>0.95353030000000005</v>
      </c>
      <c r="Y4682">
        <v>-0.51957739999999997</v>
      </c>
      <c r="Z4682">
        <v>5.6780770000000001E-2</v>
      </c>
      <c r="AA4682">
        <v>0.85253459999999903</v>
      </c>
      <c r="AB4682">
        <v>32</v>
      </c>
      <c r="AC4682">
        <v>0.607700000000022</v>
      </c>
      <c r="AD4682">
        <v>-5.8356999999999902E-2</v>
      </c>
      <c r="AE4682">
        <v>-0.49674999999999803</v>
      </c>
      <c r="AF4682">
        <v>-0.53752065341657096</v>
      </c>
      <c r="AG4682">
        <v>-5.8356999999999902E-2</v>
      </c>
      <c r="AH4682">
        <v>0.56601800691822501</v>
      </c>
      <c r="AI4682">
        <v>94.275541316633195</v>
      </c>
      <c r="AJ4682">
        <v>133.52074481614301</v>
      </c>
      <c r="AK4682">
        <v>0.78275818517218798</v>
      </c>
      <c r="AL4682">
        <v>82.844838098740198</v>
      </c>
      <c r="AM4682">
        <v>106.051372371151</v>
      </c>
      <c r="AN4682">
        <v>1.00000005114556</v>
      </c>
    </row>
    <row r="4683" spans="1:40" x14ac:dyDescent="0.3">
      <c r="A4683" t="str">
        <f>"20200111150121811"</f>
        <v>20200111150121811</v>
      </c>
      <c r="B4683" t="str">
        <f>"1578726081802994"</f>
        <v>1578726081802994</v>
      </c>
      <c r="C4683" t="s">
        <v>40</v>
      </c>
      <c r="D4683">
        <v>4.7254259999999997</v>
      </c>
      <c r="E4683">
        <v>0.38770100000000002</v>
      </c>
      <c r="F4683" t="s">
        <v>41</v>
      </c>
      <c r="G4683">
        <v>-301.65820000000002</v>
      </c>
      <c r="H4683">
        <v>1.058103</v>
      </c>
      <c r="I4683">
        <v>-39.575589999999998</v>
      </c>
      <c r="J4683">
        <v>-302.2448</v>
      </c>
      <c r="K4683">
        <v>1.111632</v>
      </c>
      <c r="L4683">
        <v>-39.094569999999997</v>
      </c>
      <c r="M4683">
        <v>0.13348479999999999</v>
      </c>
      <c r="N4683">
        <v>0</v>
      </c>
      <c r="O4683">
        <v>-0.99096949999999995</v>
      </c>
      <c r="P4683">
        <v>0.4009876</v>
      </c>
      <c r="Q4683">
        <v>0.120833</v>
      </c>
      <c r="R4683">
        <v>-0.90807969999999905</v>
      </c>
      <c r="S4683">
        <v>1.994202</v>
      </c>
      <c r="T4683">
        <v>-0.1678982</v>
      </c>
      <c r="U4683">
        <v>-2.4542540000000002</v>
      </c>
      <c r="V4683">
        <v>-0.27830670000000002</v>
      </c>
      <c r="W4683">
        <v>0.12841079999999999</v>
      </c>
      <c r="X4683">
        <v>0.95186979999999999</v>
      </c>
      <c r="Y4683">
        <v>-0.5204318</v>
      </c>
      <c r="Z4683">
        <v>5.4533860000000003E-2</v>
      </c>
      <c r="AA4683">
        <v>0.85216009999999998</v>
      </c>
      <c r="AB4683">
        <v>32</v>
      </c>
      <c r="AC4683">
        <v>0.58659999999997503</v>
      </c>
      <c r="AD4683">
        <v>-5.3528999999999903E-2</v>
      </c>
      <c r="AE4683">
        <v>-0.48102</v>
      </c>
      <c r="AF4683">
        <v>-0.51457345116515696</v>
      </c>
      <c r="AG4683">
        <v>-5.3528999999999903E-2</v>
      </c>
      <c r="AH4683">
        <v>0.55227327843828999</v>
      </c>
      <c r="AI4683">
        <v>94.056274422921604</v>
      </c>
      <c r="AJ4683">
        <v>132.97614550530199</v>
      </c>
      <c r="AK4683">
        <v>0.75674101551455397</v>
      </c>
      <c r="AL4683">
        <v>82.622232086054595</v>
      </c>
      <c r="AM4683">
        <v>106.297809169993</v>
      </c>
      <c r="AN4683">
        <v>1.0000000344867801</v>
      </c>
    </row>
    <row r="4684" spans="1:40" x14ac:dyDescent="0.3">
      <c r="A4684" t="str">
        <f>"20200111150121834"</f>
        <v>20200111150121834</v>
      </c>
      <c r="B4684" t="str">
        <f>"1578726081822513"</f>
        <v>1578726081822513</v>
      </c>
      <c r="C4684" t="s">
        <v>40</v>
      </c>
      <c r="D4684">
        <v>4.7339349999999998</v>
      </c>
      <c r="E4684">
        <v>0.38832270000000002</v>
      </c>
      <c r="F4684" t="s">
        <v>41</v>
      </c>
      <c r="G4684">
        <v>-301.6164</v>
      </c>
      <c r="H4684">
        <v>1.062554</v>
      </c>
      <c r="I4684">
        <v>-39.851190000000003</v>
      </c>
      <c r="J4684">
        <v>-302.19459999999998</v>
      </c>
      <c r="K4684">
        <v>1.1119380000000001</v>
      </c>
      <c r="L4684">
        <v>-39.404240000000001</v>
      </c>
      <c r="M4684">
        <v>0.14207890000000001</v>
      </c>
      <c r="N4684">
        <v>0</v>
      </c>
      <c r="O4684">
        <v>-0.98977340000000003</v>
      </c>
      <c r="P4684">
        <v>0.41263650000000002</v>
      </c>
      <c r="Q4684">
        <v>0.1232304</v>
      </c>
      <c r="R4684">
        <v>-0.90252160000000003</v>
      </c>
      <c r="S4684">
        <v>2.0206300000000001</v>
      </c>
      <c r="T4684">
        <v>-0.1577819</v>
      </c>
      <c r="U4684">
        <v>-2.432404</v>
      </c>
      <c r="V4684">
        <v>-0.2824757</v>
      </c>
      <c r="W4684">
        <v>0.13055319999999901</v>
      </c>
      <c r="X4684">
        <v>0.95034909999999995</v>
      </c>
      <c r="Y4684">
        <v>-0.52237449999999996</v>
      </c>
      <c r="Z4684">
        <v>5.1327459999999998E-2</v>
      </c>
      <c r="AA4684">
        <v>0.85116999999999998</v>
      </c>
      <c r="AB4684">
        <v>32</v>
      </c>
      <c r="AC4684">
        <v>0.57819999999998095</v>
      </c>
      <c r="AD4684">
        <v>-4.9383999999999803E-2</v>
      </c>
      <c r="AE4684">
        <v>-0.44695000000000101</v>
      </c>
      <c r="AF4684">
        <v>-0.50651318115448496</v>
      </c>
      <c r="AG4684">
        <v>-4.9383999999999803E-2</v>
      </c>
      <c r="AH4684">
        <v>0.52218731065909396</v>
      </c>
      <c r="AI4684">
        <v>93.883459444227299</v>
      </c>
      <c r="AJ4684">
        <v>134.12706177672999</v>
      </c>
      <c r="AK4684">
        <v>0.72915976956536299</v>
      </c>
      <c r="AL4684">
        <v>82.498439480473493</v>
      </c>
      <c r="AM4684">
        <v>106.553718979282</v>
      </c>
      <c r="AN4684">
        <v>1.0000000354957601</v>
      </c>
    </row>
    <row r="4685" spans="1:40" x14ac:dyDescent="0.3">
      <c r="A4685" t="str">
        <f>"20200111150121856"</f>
        <v>20200111150121856</v>
      </c>
      <c r="B4685" t="str">
        <f>"1578726081852769"</f>
        <v>1578726081852769</v>
      </c>
      <c r="C4685" t="s">
        <v>40</v>
      </c>
      <c r="D4685">
        <v>4.8492709999999999</v>
      </c>
      <c r="E4685">
        <v>0.38941880000000001</v>
      </c>
      <c r="F4685" t="s">
        <v>41</v>
      </c>
      <c r="G4685">
        <v>-301.57889999999998</v>
      </c>
      <c r="H4685">
        <v>1.06667</v>
      </c>
      <c r="I4685">
        <v>-40.128619999999998</v>
      </c>
      <c r="J4685">
        <v>-302.14060000000001</v>
      </c>
      <c r="K4685">
        <v>1.112255</v>
      </c>
      <c r="L4685">
        <v>-39.717739999999999</v>
      </c>
      <c r="M4685">
        <v>0.1511622</v>
      </c>
      <c r="N4685">
        <v>0</v>
      </c>
      <c r="O4685">
        <v>-0.98842640000000004</v>
      </c>
      <c r="P4685">
        <v>0.42208810000000002</v>
      </c>
      <c r="Q4685">
        <v>0.12678329999999999</v>
      </c>
      <c r="R4685">
        <v>-0.89764569999999999</v>
      </c>
      <c r="S4685">
        <v>2.047577</v>
      </c>
      <c r="T4685">
        <v>-0.1505145</v>
      </c>
      <c r="U4685">
        <v>-2.4084469999999998</v>
      </c>
      <c r="V4685">
        <v>-0.28396490000000002</v>
      </c>
      <c r="W4685">
        <v>0.13389389999999901</v>
      </c>
      <c r="X4685">
        <v>0.94943999999999995</v>
      </c>
      <c r="Y4685">
        <v>-0.52432380000000001</v>
      </c>
      <c r="Z4685">
        <v>4.9050959999999998E-2</v>
      </c>
      <c r="AA4685">
        <v>0.85010509999999995</v>
      </c>
      <c r="AB4685">
        <v>32</v>
      </c>
      <c r="AC4685">
        <v>0.56170000000002995</v>
      </c>
      <c r="AD4685">
        <v>-4.5584999999999903E-2</v>
      </c>
      <c r="AE4685">
        <v>-0.41087999999999802</v>
      </c>
      <c r="AF4685">
        <v>-0.49102312339251603</v>
      </c>
      <c r="AG4685">
        <v>-4.5584999999999903E-2</v>
      </c>
      <c r="AH4685">
        <v>0.488974607358236</v>
      </c>
      <c r="AI4685">
        <v>93.763641895007495</v>
      </c>
      <c r="AJ4685">
        <v>135.11976675904</v>
      </c>
      <c r="AK4685">
        <v>0.69446228592507697</v>
      </c>
      <c r="AL4685">
        <v>82.305335465962798</v>
      </c>
      <c r="AM4685">
        <v>106.65122592384</v>
      </c>
      <c r="AN4685">
        <v>0.99999997724460898</v>
      </c>
    </row>
    <row r="4686" spans="1:40" x14ac:dyDescent="0.3">
      <c r="A4686" t="str">
        <f>"20200111150121879"</f>
        <v>20200111150121879</v>
      </c>
      <c r="B4686" t="str">
        <f>"1578726081872289"</f>
        <v>1578726081872289</v>
      </c>
      <c r="C4686" t="s">
        <v>40</v>
      </c>
      <c r="D4686">
        <v>4.7971599999999999</v>
      </c>
      <c r="E4686">
        <v>0.39011489999999999</v>
      </c>
      <c r="F4686" t="s">
        <v>41</v>
      </c>
      <c r="G4686">
        <v>-301.54410000000001</v>
      </c>
      <c r="H4686">
        <v>1.0718369999999999</v>
      </c>
      <c r="I4686">
        <v>-40.407470000000004</v>
      </c>
      <c r="J4686">
        <v>-302.08260000000001</v>
      </c>
      <c r="K4686">
        <v>1.1125780000000001</v>
      </c>
      <c r="L4686">
        <v>-40.03519</v>
      </c>
      <c r="M4686">
        <v>0.16075220000000001</v>
      </c>
      <c r="N4686">
        <v>0</v>
      </c>
      <c r="O4686">
        <v>-0.98691139999999999</v>
      </c>
      <c r="P4686">
        <v>0.42934509999999998</v>
      </c>
      <c r="Q4686">
        <v>0.1305211</v>
      </c>
      <c r="R4686">
        <v>-0.89365930000000005</v>
      </c>
      <c r="S4686">
        <v>2.0666199999999999</v>
      </c>
      <c r="T4686">
        <v>-0.1400573</v>
      </c>
      <c r="U4686">
        <v>-2.3900760000000001</v>
      </c>
      <c r="V4686">
        <v>-0.28269660000000002</v>
      </c>
      <c r="W4686">
        <v>0.1374734</v>
      </c>
      <c r="X4686">
        <v>0.94930700000000001</v>
      </c>
      <c r="Y4686">
        <v>-0.5232677</v>
      </c>
      <c r="Z4686">
        <v>4.5720669999999998E-2</v>
      </c>
      <c r="AA4686">
        <v>0.85094099999999995</v>
      </c>
      <c r="AB4686">
        <v>32</v>
      </c>
      <c r="AC4686">
        <v>0.53849999999999898</v>
      </c>
      <c r="AD4686">
        <v>-4.0740999999999902E-2</v>
      </c>
      <c r="AE4686">
        <v>-0.372280000000003</v>
      </c>
      <c r="AF4686">
        <v>-0.46982618995014702</v>
      </c>
      <c r="AG4686">
        <v>-4.0740999999999902E-2</v>
      </c>
      <c r="AH4686">
        <v>0.45225825305043199</v>
      </c>
      <c r="AI4686">
        <v>93.574832953947606</v>
      </c>
      <c r="AJ4686">
        <v>136.091491002021</v>
      </c>
      <c r="AK4686">
        <v>0.65340187120661097</v>
      </c>
      <c r="AL4686">
        <v>82.098331278579806</v>
      </c>
      <c r="AM4686">
        <v>106.58314203273299</v>
      </c>
      <c r="AN4686">
        <v>1.00000004180405</v>
      </c>
    </row>
    <row r="4687" spans="1:40" x14ac:dyDescent="0.3">
      <c r="A4687" t="str">
        <f>"20200111150121900"</f>
        <v>20200111150121900</v>
      </c>
      <c r="B4687" t="str">
        <f>"1578726081892784"</f>
        <v>1578726081892784</v>
      </c>
      <c r="C4687" t="s">
        <v>40</v>
      </c>
      <c r="D4687">
        <v>4.7656400000000003</v>
      </c>
      <c r="E4687">
        <v>0.41026040000000003</v>
      </c>
      <c r="F4687" t="s">
        <v>41</v>
      </c>
      <c r="G4687">
        <v>-301.50990000000002</v>
      </c>
      <c r="H4687">
        <v>1.077977</v>
      </c>
      <c r="I4687">
        <v>-40.68815</v>
      </c>
      <c r="J4687">
        <v>-302.02569999999997</v>
      </c>
      <c r="K4687">
        <v>1.1128819999999999</v>
      </c>
      <c r="L4687">
        <v>-40.328670000000002</v>
      </c>
      <c r="M4687">
        <v>0.1699869</v>
      </c>
      <c r="N4687">
        <v>0</v>
      </c>
      <c r="O4687">
        <v>-0.98536239999999997</v>
      </c>
      <c r="P4687">
        <v>0.43600509999999898</v>
      </c>
      <c r="Q4687">
        <v>0.1305451</v>
      </c>
      <c r="R4687">
        <v>-0.89042540000000003</v>
      </c>
      <c r="S4687">
        <v>2.083405</v>
      </c>
      <c r="T4687">
        <v>-0.1258184</v>
      </c>
      <c r="U4687">
        <v>-2.3744200000000002</v>
      </c>
      <c r="V4687">
        <v>-0.28099550000000001</v>
      </c>
      <c r="W4687">
        <v>0.13737050000000001</v>
      </c>
      <c r="X4687">
        <v>0.94982679999999997</v>
      </c>
      <c r="Y4687">
        <v>-0.52159979999999995</v>
      </c>
      <c r="Z4687">
        <v>4.1125219999999997E-2</v>
      </c>
      <c r="AA4687">
        <v>0.85219849999999997</v>
      </c>
      <c r="AB4687">
        <v>32</v>
      </c>
      <c r="AC4687">
        <v>0.51579999999995596</v>
      </c>
      <c r="AD4687">
        <v>-3.4904999999999901E-2</v>
      </c>
      <c r="AE4687">
        <v>-0.35947999999999702</v>
      </c>
      <c r="AF4687">
        <v>-0.44580590815500099</v>
      </c>
      <c r="AG4687">
        <v>-3.4904999999999901E-2</v>
      </c>
      <c r="AH4687">
        <v>0.44057587829738298</v>
      </c>
      <c r="AI4687">
        <v>93.187487772063307</v>
      </c>
      <c r="AJ4687">
        <v>135.338065565742</v>
      </c>
      <c r="AK4687">
        <v>0.62774865297220395</v>
      </c>
      <c r="AL4687">
        <v>82.104283451962701</v>
      </c>
      <c r="AM4687">
        <v>106.480254596325</v>
      </c>
      <c r="AN4687">
        <v>1.0000000376443601</v>
      </c>
    </row>
    <row r="4688" spans="1:40" x14ac:dyDescent="0.3">
      <c r="A4688" t="str">
        <f>"20200111150121923"</f>
        <v>20200111150121923</v>
      </c>
      <c r="B4688" t="str">
        <f>"1578726081912305"</f>
        <v>1578726081912305</v>
      </c>
      <c r="C4688" t="s">
        <v>40</v>
      </c>
      <c r="D4688">
        <v>4.7958759999999998</v>
      </c>
      <c r="E4688">
        <v>0.40448840000000003</v>
      </c>
      <c r="F4688" t="s">
        <v>41</v>
      </c>
      <c r="G4688">
        <v>-301.32670000000002</v>
      </c>
      <c r="H4688">
        <v>1.0259750000000001</v>
      </c>
      <c r="I4688">
        <v>-41.20046</v>
      </c>
      <c r="J4688">
        <v>-301.9622</v>
      </c>
      <c r="K4688">
        <v>1.1131879999999901</v>
      </c>
      <c r="L4688">
        <v>-40.637360000000001</v>
      </c>
      <c r="M4688">
        <v>0.1801083</v>
      </c>
      <c r="N4688">
        <v>0</v>
      </c>
      <c r="O4688">
        <v>-0.98356200000000005</v>
      </c>
      <c r="P4688">
        <v>0.44506610000000002</v>
      </c>
      <c r="Q4688">
        <v>0.12813669999999999</v>
      </c>
      <c r="R4688">
        <v>-0.88628269999999998</v>
      </c>
      <c r="S4688">
        <v>1.9606319999999999</v>
      </c>
      <c r="T4688">
        <v>-0.2437376</v>
      </c>
      <c r="U4688">
        <v>-2.4448850000000002</v>
      </c>
      <c r="V4688">
        <v>-0.28091719999999998</v>
      </c>
      <c r="W4688">
        <v>0.1347978</v>
      </c>
      <c r="X4688">
        <v>0.95021840000000002</v>
      </c>
      <c r="Y4688">
        <v>-0.47286400000000001</v>
      </c>
      <c r="Z4688">
        <v>7.9793299999999998E-2</v>
      </c>
      <c r="AA4688">
        <v>0.87751509999999999</v>
      </c>
      <c r="AB4688">
        <v>32</v>
      </c>
      <c r="AC4688">
        <v>0.63549999999997897</v>
      </c>
      <c r="AD4688">
        <v>-8.7212999999999694E-2</v>
      </c>
      <c r="AE4688">
        <v>-0.56309999999999805</v>
      </c>
      <c r="AF4688">
        <v>-0.51821109212831296</v>
      </c>
      <c r="AG4688">
        <v>-8.7212999999999694E-2</v>
      </c>
      <c r="AH4688">
        <v>0.66138060569842505</v>
      </c>
      <c r="AI4688">
        <v>95.925966324595507</v>
      </c>
      <c r="AJ4688">
        <v>128.079740046224</v>
      </c>
      <c r="AK4688">
        <v>0.84473259021292402</v>
      </c>
      <c r="AL4688">
        <v>82.253071909823404</v>
      </c>
      <c r="AM4688">
        <v>106.469489343975</v>
      </c>
      <c r="AN4688">
        <v>0.99999996391961898</v>
      </c>
    </row>
    <row r="4689" spans="1:40" x14ac:dyDescent="0.3">
      <c r="A4689" t="str">
        <f>"20200111150121946"</f>
        <v>20200111150121946</v>
      </c>
      <c r="B4689" t="str">
        <f>"1578726081942561"</f>
        <v>1578726081942561</v>
      </c>
      <c r="C4689" t="s">
        <v>40</v>
      </c>
      <c r="D4689">
        <v>4.8320540000000003</v>
      </c>
      <c r="E4689">
        <v>0.40339570000000002</v>
      </c>
      <c r="F4689" t="s">
        <v>41</v>
      </c>
      <c r="G4689">
        <v>-301.26049999999998</v>
      </c>
      <c r="H4689">
        <v>1.0415840000000001</v>
      </c>
      <c r="I4689">
        <v>-41.46754</v>
      </c>
      <c r="J4689">
        <v>-301.89589999999998</v>
      </c>
      <c r="K4689">
        <v>1.113456</v>
      </c>
      <c r="L4689">
        <v>-40.941989999999997</v>
      </c>
      <c r="M4689">
        <v>0.1904275</v>
      </c>
      <c r="N4689">
        <v>0</v>
      </c>
      <c r="O4689">
        <v>-0.98161560000000003</v>
      </c>
      <c r="P4689">
        <v>0.456098</v>
      </c>
      <c r="Q4689">
        <v>0.1234413</v>
      </c>
      <c r="R4689">
        <v>-0.88132690000000002</v>
      </c>
      <c r="S4689">
        <v>2.0262449999999999</v>
      </c>
      <c r="T4689">
        <v>-0.2067708</v>
      </c>
      <c r="U4689">
        <v>-2.397278</v>
      </c>
      <c r="V4689">
        <v>-0.28267819999999999</v>
      </c>
      <c r="W4689">
        <v>0.129914</v>
      </c>
      <c r="X4689">
        <v>0.95037649999999996</v>
      </c>
      <c r="Y4689">
        <v>-0.48677939999999997</v>
      </c>
      <c r="Z4689">
        <v>6.7788559999999998E-2</v>
      </c>
      <c r="AA4689">
        <v>0.87089069999999902</v>
      </c>
      <c r="AB4689">
        <v>32</v>
      </c>
      <c r="AC4689">
        <v>0.63540000000000396</v>
      </c>
      <c r="AD4689">
        <v>-7.1871999999999894E-2</v>
      </c>
      <c r="AE4689">
        <v>-0.52554999999999497</v>
      </c>
      <c r="AF4689">
        <v>-0.51973490744342299</v>
      </c>
      <c r="AG4689">
        <v>-7.1871999999999894E-2</v>
      </c>
      <c r="AH4689">
        <v>0.63213682833270601</v>
      </c>
      <c r="AI4689">
        <v>95.019060501565704</v>
      </c>
      <c r="AJ4689">
        <v>129.42661026920501</v>
      </c>
      <c r="AK4689">
        <v>0.82151502002930998</v>
      </c>
      <c r="AL4689">
        <v>82.535377654513297</v>
      </c>
      <c r="AM4689">
        <v>106.56448443635</v>
      </c>
      <c r="AN4689">
        <v>1.00000005195174</v>
      </c>
    </row>
    <row r="4690" spans="1:40" x14ac:dyDescent="0.3">
      <c r="A4690" t="str">
        <f>"20200111150121968"</f>
        <v>20200111150121968</v>
      </c>
      <c r="B4690" t="str">
        <f>"1578726081962080"</f>
        <v>1578726081962080</v>
      </c>
      <c r="C4690" t="s">
        <v>40</v>
      </c>
      <c r="D4690">
        <v>4.8089779999999998</v>
      </c>
      <c r="E4690">
        <v>0.4029315</v>
      </c>
      <c r="F4690" t="s">
        <v>41</v>
      </c>
      <c r="G4690">
        <v>-301.20269999999999</v>
      </c>
      <c r="H4690">
        <v>1.0411889999999999</v>
      </c>
      <c r="I4690">
        <v>-41.738300000000002</v>
      </c>
      <c r="J4690">
        <v>-301.82490000000001</v>
      </c>
      <c r="K4690">
        <v>1.1137159999999999</v>
      </c>
      <c r="L4690">
        <v>-41.25159</v>
      </c>
      <c r="M4690">
        <v>0.2012497</v>
      </c>
      <c r="N4690">
        <v>0</v>
      </c>
      <c r="O4690">
        <v>-0.97945360000000004</v>
      </c>
      <c r="P4690">
        <v>0.46736899999999998</v>
      </c>
      <c r="Q4690">
        <v>0.1208722</v>
      </c>
      <c r="R4690">
        <v>-0.8757606</v>
      </c>
      <c r="S4690">
        <v>2.0610659999999998</v>
      </c>
      <c r="T4690">
        <v>-0.21485570000000001</v>
      </c>
      <c r="U4690">
        <v>-2.367432</v>
      </c>
      <c r="V4690">
        <v>-0.2843485</v>
      </c>
      <c r="W4690">
        <v>0.12716179999999999</v>
      </c>
      <c r="X4690">
        <v>0.95025040000000005</v>
      </c>
      <c r="Y4690">
        <v>-0.4897437</v>
      </c>
      <c r="Z4690">
        <v>7.049735E-2</v>
      </c>
      <c r="AA4690">
        <v>0.8690116</v>
      </c>
      <c r="AB4690">
        <v>32</v>
      </c>
      <c r="AC4690">
        <v>0.62220000000001996</v>
      </c>
      <c r="AD4690">
        <v>-7.2526999999999994E-2</v>
      </c>
      <c r="AE4690">
        <v>-0.48671000000000197</v>
      </c>
      <c r="AF4690">
        <v>-0.50723334653790098</v>
      </c>
      <c r="AG4690">
        <v>-7.2526999999999994E-2</v>
      </c>
      <c r="AH4690">
        <v>0.59694640200485205</v>
      </c>
      <c r="AI4690">
        <v>95.2897171204459</v>
      </c>
      <c r="AJ4690">
        <v>130.355001429705</v>
      </c>
      <c r="AK4690">
        <v>0.78669615509139001</v>
      </c>
      <c r="AL4690">
        <v>82.694385858931895</v>
      </c>
      <c r="AM4690">
        <v>106.659041391568</v>
      </c>
      <c r="AN4690">
        <v>1.00000000776582</v>
      </c>
    </row>
    <row r="4691" spans="1:40" x14ac:dyDescent="0.3">
      <c r="A4691" t="str">
        <f>"20200111150121990"</f>
        <v>20200111150121990</v>
      </c>
      <c r="B4691" t="str">
        <f>"1578726081982577"</f>
        <v>1578726081982577</v>
      </c>
      <c r="C4691" t="s">
        <v>40</v>
      </c>
      <c r="D4691">
        <v>4.769431</v>
      </c>
      <c r="E4691">
        <v>0.40374670000000001</v>
      </c>
      <c r="F4691" t="s">
        <v>41</v>
      </c>
      <c r="G4691">
        <v>-301.14600000000002</v>
      </c>
      <c r="H4691">
        <v>1.0433859999999999</v>
      </c>
      <c r="I4691">
        <v>-42.009990000000002</v>
      </c>
      <c r="J4691">
        <v>-301.75200000000001</v>
      </c>
      <c r="K4691">
        <v>1.1139749999999999</v>
      </c>
      <c r="L4691">
        <v>-41.55283</v>
      </c>
      <c r="M4691">
        <v>0.2121169</v>
      </c>
      <c r="N4691">
        <v>0</v>
      </c>
      <c r="O4691">
        <v>-0.9771571</v>
      </c>
      <c r="P4691">
        <v>0.47882219999999998</v>
      </c>
      <c r="Q4691">
        <v>0.1211716</v>
      </c>
      <c r="R4691">
        <v>-0.86950959999999999</v>
      </c>
      <c r="S4691">
        <v>2.093353</v>
      </c>
      <c r="T4691">
        <v>-0.21684439999999999</v>
      </c>
      <c r="U4691">
        <v>-2.3383479999999999</v>
      </c>
      <c r="V4691">
        <v>-0.28636600000000001</v>
      </c>
      <c r="W4691">
        <v>0.12727060000000001</v>
      </c>
      <c r="X4691">
        <v>0.94962979999999997</v>
      </c>
      <c r="Y4691">
        <v>-0.49206220000000001</v>
      </c>
      <c r="Z4691">
        <v>7.1216070000000006E-2</v>
      </c>
      <c r="AA4691">
        <v>0.86764219999999903</v>
      </c>
      <c r="AB4691">
        <v>32</v>
      </c>
      <c r="AC4691">
        <v>0.60600000000005105</v>
      </c>
      <c r="AD4691">
        <v>-7.0588999999999694E-2</v>
      </c>
      <c r="AE4691">
        <v>-0.45716000000000101</v>
      </c>
      <c r="AF4691">
        <v>-0.49098240143705402</v>
      </c>
      <c r="AG4691">
        <v>-7.0588999999999694E-2</v>
      </c>
      <c r="AH4691">
        <v>0.57037682397767897</v>
      </c>
      <c r="AI4691">
        <v>95.358359222336205</v>
      </c>
      <c r="AJ4691">
        <v>130.72198677222701</v>
      </c>
      <c r="AK4691">
        <v>0.75589433571945797</v>
      </c>
      <c r="AL4691">
        <v>82.688101135534296</v>
      </c>
      <c r="AM4691">
        <v>106.780969014672</v>
      </c>
      <c r="AN4691">
        <v>1.00000002431419</v>
      </c>
    </row>
    <row r="4692" spans="1:40" x14ac:dyDescent="0.3">
      <c r="A4692" t="str">
        <f>"20200111150122012"</f>
        <v>20200111150122012</v>
      </c>
      <c r="B4692" t="str">
        <f>"1578726082002097"</f>
        <v>1578726082002097</v>
      </c>
      <c r="C4692" t="s">
        <v>40</v>
      </c>
      <c r="D4692">
        <v>4.8548099999999996</v>
      </c>
      <c r="E4692">
        <v>0.40371289999999999</v>
      </c>
      <c r="F4692" t="s">
        <v>41</v>
      </c>
      <c r="G4692">
        <v>-301.08589999999998</v>
      </c>
      <c r="H4692">
        <v>1.044497</v>
      </c>
      <c r="I4692">
        <v>-42.280650000000001</v>
      </c>
      <c r="J4692">
        <v>-301.67619999999999</v>
      </c>
      <c r="K4692">
        <v>1.1142430000000001</v>
      </c>
      <c r="L4692">
        <v>-41.85098</v>
      </c>
      <c r="M4692">
        <v>0.22321269999999999</v>
      </c>
      <c r="N4692">
        <v>0</v>
      </c>
      <c r="O4692">
        <v>-0.97468169999999998</v>
      </c>
      <c r="P4692">
        <v>0.490589</v>
      </c>
      <c r="Q4692">
        <v>0.12479850000000001</v>
      </c>
      <c r="R4692">
        <v>-0.86240839999999996</v>
      </c>
      <c r="S4692">
        <v>2.1189580000000001</v>
      </c>
      <c r="T4692">
        <v>-0.22092129999999999</v>
      </c>
      <c r="U4692">
        <v>-2.314117</v>
      </c>
      <c r="V4692">
        <v>-0.28875459999999997</v>
      </c>
      <c r="W4692">
        <v>0.13068979999999999</v>
      </c>
      <c r="X4692">
        <v>0.94844130000000004</v>
      </c>
      <c r="Y4692">
        <v>-0.4918496</v>
      </c>
      <c r="Z4692">
        <v>7.2596720000000003E-2</v>
      </c>
      <c r="AA4692">
        <v>0.86764839999999999</v>
      </c>
      <c r="AB4692">
        <v>32</v>
      </c>
      <c r="AC4692">
        <v>0.59030000000001304</v>
      </c>
      <c r="AD4692">
        <v>-6.9746000000000002E-2</v>
      </c>
      <c r="AE4692">
        <v>-0.429670000000001</v>
      </c>
      <c r="AF4692">
        <v>-0.47515199303601102</v>
      </c>
      <c r="AG4692">
        <v>-6.9746000000000002E-2</v>
      </c>
      <c r="AH4692">
        <v>0.54562216196315705</v>
      </c>
      <c r="AI4692">
        <v>95.5062374275075</v>
      </c>
      <c r="AJ4692">
        <v>131.050794298623</v>
      </c>
      <c r="AK4692">
        <v>0.72686825809595201</v>
      </c>
      <c r="AL4692">
        <v>82.490544756228402</v>
      </c>
      <c r="AM4692">
        <v>106.932961773551</v>
      </c>
      <c r="AN4692">
        <v>0.99999997119544404</v>
      </c>
    </row>
    <row r="4693" spans="1:40" x14ac:dyDescent="0.3">
      <c r="A4693" t="str">
        <f>"20200111150122035"</f>
        <v>20200111150122035</v>
      </c>
      <c r="B4693" t="str">
        <f>"1578726082032353"</f>
        <v>1578726082032353</v>
      </c>
      <c r="C4693" t="s">
        <v>40</v>
      </c>
      <c r="D4693">
        <v>4.704129</v>
      </c>
      <c r="E4693">
        <v>0.40441680000000002</v>
      </c>
      <c r="F4693" t="s">
        <v>41</v>
      </c>
      <c r="G4693">
        <v>-301.01900000000001</v>
      </c>
      <c r="H4693">
        <v>1.051169</v>
      </c>
      <c r="I4693">
        <v>-42.548740000000002</v>
      </c>
      <c r="J4693">
        <v>-301.59379999999999</v>
      </c>
      <c r="K4693">
        <v>1.1145419999999999</v>
      </c>
      <c r="L4693">
        <v>-42.158659999999998</v>
      </c>
      <c r="M4693">
        <v>0.2350178</v>
      </c>
      <c r="N4693">
        <v>0</v>
      </c>
      <c r="O4693">
        <v>-0.97190200000000004</v>
      </c>
      <c r="P4693">
        <v>0.50260450000000001</v>
      </c>
      <c r="Q4693">
        <v>0.12783169999999999</v>
      </c>
      <c r="R4693">
        <v>-0.85501349999999998</v>
      </c>
      <c r="S4693">
        <v>2.151154</v>
      </c>
      <c r="T4693">
        <v>-0.2065256</v>
      </c>
      <c r="U4693">
        <v>-2.284821</v>
      </c>
      <c r="V4693">
        <v>-0.29079060000000001</v>
      </c>
      <c r="W4693">
        <v>0.13351629999999901</v>
      </c>
      <c r="X4693">
        <v>0.94742510000000002</v>
      </c>
      <c r="Y4693">
        <v>-0.49356169999999999</v>
      </c>
      <c r="Z4693">
        <v>6.7914820000000001E-2</v>
      </c>
      <c r="AA4693">
        <v>0.86705509999999997</v>
      </c>
      <c r="AB4693">
        <v>32</v>
      </c>
      <c r="AC4693">
        <v>0.57479999999998199</v>
      </c>
      <c r="AD4693">
        <v>-6.3372999999999902E-2</v>
      </c>
      <c r="AE4693">
        <v>-0.39008000000000398</v>
      </c>
      <c r="AF4693">
        <v>-0.46315926278458303</v>
      </c>
      <c r="AG4693">
        <v>-6.3372999999999902E-2</v>
      </c>
      <c r="AH4693">
        <v>0.51000768856719603</v>
      </c>
      <c r="AI4693">
        <v>95.255710111878102</v>
      </c>
      <c r="AJ4693">
        <v>132.24389899140201</v>
      </c>
      <c r="AK4693">
        <v>0.69183847987070801</v>
      </c>
      <c r="AL4693">
        <v>82.327166913385</v>
      </c>
      <c r="AM4693">
        <v>107.062677960744</v>
      </c>
      <c r="AN4693">
        <v>1.0000000477620199</v>
      </c>
    </row>
    <row r="4694" spans="1:40" x14ac:dyDescent="0.3">
      <c r="A4694" t="str">
        <f>"20200111150122058"</f>
        <v>20200111150122058</v>
      </c>
      <c r="B4694" t="str">
        <f>"1578726082052848"</f>
        <v>1578726082052848</v>
      </c>
      <c r="C4694" t="s">
        <v>40</v>
      </c>
      <c r="D4694">
        <v>4.8188440000000003</v>
      </c>
      <c r="E4694">
        <v>0.40475179999999999</v>
      </c>
      <c r="F4694" t="s">
        <v>41</v>
      </c>
      <c r="G4694">
        <v>-300.9563</v>
      </c>
      <c r="H4694">
        <v>1.0577829999999999</v>
      </c>
      <c r="I4694">
        <v>-42.81935</v>
      </c>
      <c r="J4694">
        <v>-301.5068</v>
      </c>
      <c r="K4694">
        <v>1.114841</v>
      </c>
      <c r="L4694">
        <v>-42.467649999999999</v>
      </c>
      <c r="M4694">
        <v>0.24723899999999999</v>
      </c>
      <c r="N4694">
        <v>0</v>
      </c>
      <c r="O4694">
        <v>-0.96886410000000001</v>
      </c>
      <c r="P4694">
        <v>0.51298520000000003</v>
      </c>
      <c r="Q4694">
        <v>0.12926099999999999</v>
      </c>
      <c r="R4694">
        <v>-0.84860970000000002</v>
      </c>
      <c r="S4694">
        <v>2.178925</v>
      </c>
      <c r="T4694">
        <v>-0.1939041</v>
      </c>
      <c r="U4694">
        <v>-2.2568969999999999</v>
      </c>
      <c r="V4694">
        <v>-0.29058869999999998</v>
      </c>
      <c r="W4694">
        <v>0.13479969999999999</v>
      </c>
      <c r="X4694">
        <v>0.94730530000000002</v>
      </c>
      <c r="Y4694">
        <v>-0.49368600000000001</v>
      </c>
      <c r="Z4694">
        <v>6.3814190000000007E-2</v>
      </c>
      <c r="AA4694">
        <v>0.8672957</v>
      </c>
      <c r="AB4694">
        <v>32</v>
      </c>
      <c r="AC4694">
        <v>0.55049999999999899</v>
      </c>
      <c r="AD4694">
        <v>-5.7057999999999998E-2</v>
      </c>
      <c r="AE4694">
        <v>-0.35170000000000101</v>
      </c>
      <c r="AF4694">
        <v>-0.44306471595276398</v>
      </c>
      <c r="AG4694">
        <v>-5.7057999999999998E-2</v>
      </c>
      <c r="AH4694">
        <v>0.47328567173700598</v>
      </c>
      <c r="AI4694">
        <v>95.029664022019503</v>
      </c>
      <c r="AJ4694">
        <v>133.11108733228599</v>
      </c>
      <c r="AK4694">
        <v>0.65081586102203504</v>
      </c>
      <c r="AL4694">
        <v>82.252962650184102</v>
      </c>
      <c r="AM4694">
        <v>107.05354983238</v>
      </c>
      <c r="AN4694">
        <v>1.00000004154793</v>
      </c>
    </row>
    <row r="4695" spans="1:40" x14ac:dyDescent="0.3">
      <c r="A4695" t="str">
        <f>"20200111150122080"</f>
        <v>20200111150122080</v>
      </c>
      <c r="B4695" t="str">
        <f>"1578726082072369"</f>
        <v>1578726082072369</v>
      </c>
      <c r="C4695" t="s">
        <v>40</v>
      </c>
      <c r="D4695">
        <v>4.6980700000000004</v>
      </c>
      <c r="E4695">
        <v>0.40536680000000003</v>
      </c>
      <c r="F4695" t="s">
        <v>41</v>
      </c>
      <c r="G4695">
        <v>-300.892</v>
      </c>
      <c r="H4695">
        <v>1.0617890000000001</v>
      </c>
      <c r="I4695">
        <v>-43.089790000000001</v>
      </c>
      <c r="J4695">
        <v>-301.4205</v>
      </c>
      <c r="K4695">
        <v>1.1151230000000001</v>
      </c>
      <c r="L4695">
        <v>-42.759369999999997</v>
      </c>
      <c r="M4695">
        <v>0.25911719999999999</v>
      </c>
      <c r="N4695">
        <v>0</v>
      </c>
      <c r="O4695">
        <v>-0.96575429999999995</v>
      </c>
      <c r="P4695">
        <v>0.52333719999999995</v>
      </c>
      <c r="Q4695">
        <v>0.1317818</v>
      </c>
      <c r="R4695">
        <v>-0.84187420000000002</v>
      </c>
      <c r="S4695">
        <v>2.2052309999999999</v>
      </c>
      <c r="T4695">
        <v>-0.19026180000000001</v>
      </c>
      <c r="U4695">
        <v>-2.2311399999999999</v>
      </c>
      <c r="V4695">
        <v>-0.29081380000000001</v>
      </c>
      <c r="W4695">
        <v>0.1371716</v>
      </c>
      <c r="X4695">
        <v>0.94689559999999995</v>
      </c>
      <c r="Y4695">
        <v>-0.49324649999999998</v>
      </c>
      <c r="Z4695">
        <v>6.2618489999999999E-2</v>
      </c>
      <c r="AA4695">
        <v>0.86763289999999904</v>
      </c>
      <c r="AB4695">
        <v>32</v>
      </c>
      <c r="AC4695">
        <v>0.52850000000000796</v>
      </c>
      <c r="AD4695">
        <v>-5.3333999999999902E-2</v>
      </c>
      <c r="AE4695">
        <v>-0.33041999999999599</v>
      </c>
      <c r="AF4695">
        <v>-0.42173329603674597</v>
      </c>
      <c r="AG4695">
        <v>-5.3333999999999902E-2</v>
      </c>
      <c r="AH4695">
        <v>0.452773122380001</v>
      </c>
      <c r="AI4695">
        <v>94.926441054341694</v>
      </c>
      <c r="AJ4695">
        <v>132.967190722488</v>
      </c>
      <c r="AK4695">
        <v>0.62105312888009301</v>
      </c>
      <c r="AL4695">
        <v>82.115788161580994</v>
      </c>
      <c r="AM4695">
        <v>107.072947528727</v>
      </c>
      <c r="AN4695">
        <v>0.99999999570817899</v>
      </c>
    </row>
    <row r="4696" spans="1:40" x14ac:dyDescent="0.3">
      <c r="A4696" t="str">
        <f>"20200111150122103"</f>
        <v>20200111150122103</v>
      </c>
      <c r="B4696" t="str">
        <f>"1578726082092866"</f>
        <v>1578726082092866</v>
      </c>
      <c r="C4696" t="s">
        <v>40</v>
      </c>
      <c r="D4696">
        <v>4.5891840000000004</v>
      </c>
      <c r="E4696">
        <v>0.40588210000000002</v>
      </c>
      <c r="F4696" t="s">
        <v>41</v>
      </c>
      <c r="G4696">
        <v>-300.81779999999998</v>
      </c>
      <c r="H4696">
        <v>1.066738</v>
      </c>
      <c r="I4696">
        <v>-43.355969999999999</v>
      </c>
      <c r="J4696">
        <v>-301.32679999999999</v>
      </c>
      <c r="K4696">
        <v>1.1154059999999999</v>
      </c>
      <c r="L4696">
        <v>-43.059780000000003</v>
      </c>
      <c r="M4696">
        <v>0.27171499999999998</v>
      </c>
      <c r="N4696">
        <v>0</v>
      </c>
      <c r="O4696">
        <v>-0.9622849</v>
      </c>
      <c r="P4696">
        <v>0.53386899999999904</v>
      </c>
      <c r="Q4696">
        <v>0.13420470000000001</v>
      </c>
      <c r="R4696">
        <v>-0.83484939999999996</v>
      </c>
      <c r="S4696">
        <v>2.2289729999999999</v>
      </c>
      <c r="T4696">
        <v>-0.17891000000000001</v>
      </c>
      <c r="U4696">
        <v>-2.205902</v>
      </c>
      <c r="V4696">
        <v>-0.29059550000000001</v>
      </c>
      <c r="W4696">
        <v>0.13945969999999999</v>
      </c>
      <c r="X4696">
        <v>0.94662840000000004</v>
      </c>
      <c r="Y4696">
        <v>-0.49162909999999999</v>
      </c>
      <c r="Z4696">
        <v>5.889076E-2</v>
      </c>
      <c r="AA4696">
        <v>0.86881109999999995</v>
      </c>
      <c r="AB4696">
        <v>32</v>
      </c>
      <c r="AC4696">
        <v>0.509000000000014</v>
      </c>
      <c r="AD4696">
        <v>-4.8667999999999899E-2</v>
      </c>
      <c r="AE4696">
        <v>-0.29619000000000201</v>
      </c>
      <c r="AF4696">
        <v>-0.406583524896524</v>
      </c>
      <c r="AG4696">
        <v>-4.8667999999999899E-2</v>
      </c>
      <c r="AH4696">
        <v>0.42048816402606198</v>
      </c>
      <c r="AI4696">
        <v>94.756388984583594</v>
      </c>
      <c r="AJ4696">
        <v>134.03684033240799</v>
      </c>
      <c r="AK4696">
        <v>0.58693188107930405</v>
      </c>
      <c r="AL4696">
        <v>81.983417693080995</v>
      </c>
      <c r="AM4696">
        <v>107.065412094435</v>
      </c>
      <c r="AN4696">
        <v>1.0000000401154401</v>
      </c>
    </row>
    <row r="4697" spans="1:40" x14ac:dyDescent="0.3">
      <c r="A4697" t="str">
        <f>"20200111150122127"</f>
        <v>20200111150122127</v>
      </c>
      <c r="B4697" t="str">
        <f>"1578726082122145"</f>
        <v>1578726082122145</v>
      </c>
      <c r="C4697" t="s">
        <v>40</v>
      </c>
      <c r="D4697">
        <v>4.2272910000000001</v>
      </c>
      <c r="E4697">
        <v>0.38922869999999998</v>
      </c>
      <c r="F4697" t="s">
        <v>41</v>
      </c>
      <c r="G4697">
        <v>-300.54059999999998</v>
      </c>
      <c r="H4697">
        <v>1.0557350000000001</v>
      </c>
      <c r="I4697">
        <v>-43.820439999999998</v>
      </c>
      <c r="J4697">
        <v>-301.22320000000002</v>
      </c>
      <c r="K4697">
        <v>1.115693</v>
      </c>
      <c r="L4697">
        <v>-43.375819999999997</v>
      </c>
      <c r="M4697">
        <v>0.28533039999999998</v>
      </c>
      <c r="N4697">
        <v>0</v>
      </c>
      <c r="O4697">
        <v>-0.95833500000000005</v>
      </c>
      <c r="P4697">
        <v>0.54512130000000003</v>
      </c>
      <c r="Q4697">
        <v>0.136102799999999</v>
      </c>
      <c r="R4697">
        <v>-0.82723559999999996</v>
      </c>
      <c r="S4697">
        <v>2.2536010000000002</v>
      </c>
      <c r="T4697">
        <v>-0.17100209999999999</v>
      </c>
      <c r="U4697">
        <v>-2.1798099999999998</v>
      </c>
      <c r="V4697">
        <v>-0.29022520000000002</v>
      </c>
      <c r="W4697">
        <v>0.14123250000000001</v>
      </c>
      <c r="X4697">
        <v>0.94647910000000002</v>
      </c>
      <c r="Y4697">
        <v>-0.489338</v>
      </c>
      <c r="Z4697">
        <v>5.6264990000000001E-2</v>
      </c>
      <c r="AA4697">
        <v>0.87027730000000003</v>
      </c>
      <c r="AB4697">
        <v>32</v>
      </c>
      <c r="AC4697">
        <v>0.68260000000003596</v>
      </c>
      <c r="AD4697">
        <v>-5.99579999999999E-2</v>
      </c>
      <c r="AE4697">
        <v>-0.44462000000000002</v>
      </c>
      <c r="AF4697">
        <v>-0.52450219599173797</v>
      </c>
      <c r="AG4697">
        <v>-5.99579999999999E-2</v>
      </c>
      <c r="AH4697">
        <v>0.61757204531100995</v>
      </c>
      <c r="AI4697">
        <v>94.2321620131126</v>
      </c>
      <c r="AJ4697">
        <v>130.34115042607701</v>
      </c>
      <c r="AK4697">
        <v>0.81246091999171299</v>
      </c>
      <c r="AL4697">
        <v>81.880827907228095</v>
      </c>
      <c r="AM4697">
        <v>107.047460045554</v>
      </c>
      <c r="AN4697">
        <v>0.99999998625404896</v>
      </c>
    </row>
    <row r="4698" spans="1:40" x14ac:dyDescent="0.3">
      <c r="A4698" t="str">
        <f>"20200111150122149"</f>
        <v>20200111150122149</v>
      </c>
      <c r="B4698" t="str">
        <f>"1578726082142641"</f>
        <v>1578726082142641</v>
      </c>
      <c r="C4698" t="s">
        <v>40</v>
      </c>
      <c r="D4698">
        <v>4.7408469999999996</v>
      </c>
      <c r="E4698">
        <v>0.35645690000000002</v>
      </c>
      <c r="F4698" t="s">
        <v>43</v>
      </c>
      <c r="G4698">
        <v>-250.91399999999999</v>
      </c>
      <c r="H4698">
        <v>-0.05</v>
      </c>
      <c r="I4698">
        <v>-86.698989999999995</v>
      </c>
      <c r="J4698">
        <v>-301.12299999999999</v>
      </c>
      <c r="K4698">
        <v>1.1159330000000001</v>
      </c>
      <c r="L4698">
        <v>-43.66751</v>
      </c>
      <c r="M4698">
        <v>0.29817179999999999</v>
      </c>
      <c r="N4698">
        <v>0</v>
      </c>
      <c r="O4698">
        <v>-0.95441670000000001</v>
      </c>
      <c r="P4698">
        <v>0.55583519999999997</v>
      </c>
      <c r="Q4698">
        <v>0.1366096</v>
      </c>
      <c r="R4698">
        <v>-0.81999080000000002</v>
      </c>
      <c r="S4698">
        <v>2.391724</v>
      </c>
      <c r="T4698">
        <v>-5.5417540000000001E-2</v>
      </c>
      <c r="U4698">
        <v>-2.0596009999999998</v>
      </c>
      <c r="V4698">
        <v>-0.28995009999999999</v>
      </c>
      <c r="W4698">
        <v>0.1416385</v>
      </c>
      <c r="X4698">
        <v>0.94650279999999998</v>
      </c>
      <c r="Y4698">
        <v>-0.52857010000000004</v>
      </c>
      <c r="Z4698">
        <v>1.8253180000000001E-2</v>
      </c>
      <c r="AA4698">
        <v>0.84869340000000004</v>
      </c>
      <c r="AB4698">
        <v>32</v>
      </c>
      <c r="AC4698">
        <v>50.208999999999897</v>
      </c>
      <c r="AD4698">
        <v>-1.1659329999999899</v>
      </c>
      <c r="AE4698">
        <v>-43.031480000000002</v>
      </c>
      <c r="AF4698">
        <v>-35.081827323323402</v>
      </c>
      <c r="AG4698">
        <v>-1.1659329999999899</v>
      </c>
      <c r="AH4698">
        <v>56.028562461113602</v>
      </c>
      <c r="AI4698">
        <v>91.0104474676086</v>
      </c>
      <c r="AJ4698">
        <v>122.05240463774</v>
      </c>
      <c r="AK4698">
        <v>66.115760750088</v>
      </c>
      <c r="AL4698">
        <v>81.857330025397204</v>
      </c>
      <c r="AM4698">
        <v>107.031834911353</v>
      </c>
      <c r="AN4698">
        <v>1.00000003779004</v>
      </c>
    </row>
    <row r="4699" spans="1:40" x14ac:dyDescent="0.3">
      <c r="A4699" t="str">
        <f>"20200111150122169"</f>
        <v>20200111150122169</v>
      </c>
      <c r="B4699" t="str">
        <f>"1578726082162161"</f>
        <v>1578726082162161</v>
      </c>
      <c r="C4699" t="s">
        <v>40</v>
      </c>
      <c r="D4699">
        <v>4.4546460000000003</v>
      </c>
      <c r="E4699">
        <v>0.35485480000000003</v>
      </c>
      <c r="F4699" t="s">
        <v>73</v>
      </c>
      <c r="G4699">
        <v>-247.1448</v>
      </c>
      <c r="H4699">
        <v>1.019987</v>
      </c>
      <c r="I4699">
        <v>-82.077950000000001</v>
      </c>
      <c r="J4699">
        <v>-301.02569999999997</v>
      </c>
      <c r="K4699">
        <v>1.116128</v>
      </c>
      <c r="L4699">
        <v>-43.938960000000002</v>
      </c>
      <c r="M4699">
        <v>0.31035109999999999</v>
      </c>
      <c r="N4699">
        <v>0</v>
      </c>
      <c r="O4699">
        <v>-0.95052530000000002</v>
      </c>
      <c r="P4699">
        <v>0.56628389999999995</v>
      </c>
      <c r="Q4699">
        <v>0.13705880000000001</v>
      </c>
      <c r="R4699">
        <v>-0.81273469999999903</v>
      </c>
      <c r="S4699">
        <v>2.6336979999999999</v>
      </c>
      <c r="T4699">
        <v>-4.6807530000000002E-3</v>
      </c>
      <c r="U4699">
        <v>-1.874115</v>
      </c>
      <c r="V4699">
        <v>-0.2900683</v>
      </c>
      <c r="W4699">
        <v>0.14199289999999901</v>
      </c>
      <c r="X4699">
        <v>0.94641350000000002</v>
      </c>
      <c r="Y4699">
        <v>-0.59457740000000003</v>
      </c>
      <c r="Z4699">
        <v>1.5246680000000001E-3</v>
      </c>
      <c r="AA4699">
        <v>0.80403690000000005</v>
      </c>
      <c r="AB4699">
        <v>32</v>
      </c>
      <c r="AC4699">
        <v>53.880899999999897</v>
      </c>
      <c r="AD4699">
        <v>-9.6141000000000004E-2</v>
      </c>
      <c r="AE4699">
        <v>-38.13899</v>
      </c>
      <c r="AF4699">
        <v>-39.382217965260999</v>
      </c>
      <c r="AG4699">
        <v>-9.6141000000000004E-2</v>
      </c>
      <c r="AH4699">
        <v>52.978829404223497</v>
      </c>
      <c r="AI4699">
        <v>90.083445231902701</v>
      </c>
      <c r="AJ4699">
        <v>126.62554963201799</v>
      </c>
      <c r="AK4699">
        <v>66.013064616006304</v>
      </c>
      <c r="AL4699">
        <v>81.836817242287594</v>
      </c>
      <c r="AM4699">
        <v>107.039890514967</v>
      </c>
      <c r="AN4699">
        <v>1.00000005764877</v>
      </c>
    </row>
    <row r="4700" spans="1:40" x14ac:dyDescent="0.3">
      <c r="A4700" t="str">
        <f>"20200111150122191"</f>
        <v>20200111150122191</v>
      </c>
      <c r="B4700" t="str">
        <f>"1578726082182657"</f>
        <v>1578726082182657</v>
      </c>
      <c r="C4700" t="s">
        <v>40</v>
      </c>
      <c r="D4700">
        <v>4.4460550000000003</v>
      </c>
      <c r="E4700">
        <v>0.35100039999999999</v>
      </c>
      <c r="F4700" t="s">
        <v>73</v>
      </c>
      <c r="G4700">
        <v>-247.1448</v>
      </c>
      <c r="H4700">
        <v>1.013611</v>
      </c>
      <c r="I4700">
        <v>-80.964100000000002</v>
      </c>
      <c r="J4700">
        <v>-300.91910000000001</v>
      </c>
      <c r="K4700">
        <v>1.1163130000000001</v>
      </c>
      <c r="L4700">
        <v>-44.223849999999999</v>
      </c>
      <c r="M4700">
        <v>0.32336179999999998</v>
      </c>
      <c r="N4700">
        <v>0</v>
      </c>
      <c r="O4700">
        <v>-0.94617739999999995</v>
      </c>
      <c r="P4700">
        <v>0.57686369999999998</v>
      </c>
      <c r="Q4700">
        <v>0.13662629999999901</v>
      </c>
      <c r="R4700">
        <v>-0.80533339999999998</v>
      </c>
      <c r="S4700">
        <v>2.6678470000000001</v>
      </c>
      <c r="T4700">
        <v>-5.0754550000000004E-3</v>
      </c>
      <c r="U4700">
        <v>-1.8332520000000001</v>
      </c>
      <c r="V4700">
        <v>-0.28949390000000003</v>
      </c>
      <c r="W4700">
        <v>0.14149310000000001</v>
      </c>
      <c r="X4700">
        <v>0.94666410000000001</v>
      </c>
      <c r="Y4700">
        <v>-0.59673269999999901</v>
      </c>
      <c r="Z4700">
        <v>1.6515639999999999E-3</v>
      </c>
      <c r="AA4700">
        <v>0.8024384</v>
      </c>
      <c r="AB4700">
        <v>32</v>
      </c>
      <c r="AC4700">
        <v>53.774299999999997</v>
      </c>
      <c r="AD4700">
        <v>-0.102701999999999</v>
      </c>
      <c r="AE4700">
        <v>-36.740250000000003</v>
      </c>
      <c r="AF4700">
        <v>-39.003154209202201</v>
      </c>
      <c r="AG4700">
        <v>-0.102701999999999</v>
      </c>
      <c r="AH4700">
        <v>52.156055995088103</v>
      </c>
      <c r="AI4700">
        <v>90.090352760688305</v>
      </c>
      <c r="AJ4700">
        <v>126.789742728817</v>
      </c>
      <c r="AK4700">
        <v>65.126882029852894</v>
      </c>
      <c r="AL4700">
        <v>81.865745004915496</v>
      </c>
      <c r="AM4700">
        <v>107.00385448763301</v>
      </c>
      <c r="AN4700">
        <v>0.99999996685681403</v>
      </c>
    </row>
    <row r="4701" spans="1:40" x14ac:dyDescent="0.3">
      <c r="A4701" t="str">
        <f>"20200111150122213"</f>
        <v>20200111150122213</v>
      </c>
      <c r="B4701" t="str">
        <f>"1578726082202177"</f>
        <v>1578726082202177</v>
      </c>
      <c r="C4701" t="s">
        <v>40</v>
      </c>
      <c r="D4701">
        <v>4.7321910000000003</v>
      </c>
      <c r="E4701">
        <v>0.35618909999999998</v>
      </c>
      <c r="F4701" t="s">
        <v>73</v>
      </c>
      <c r="G4701">
        <v>-245.5745</v>
      </c>
      <c r="H4701">
        <v>1.292227</v>
      </c>
      <c r="I4701">
        <v>-80.464519999999993</v>
      </c>
      <c r="J4701">
        <v>-300.80790000000002</v>
      </c>
      <c r="K4701">
        <v>1.116474</v>
      </c>
      <c r="L4701">
        <v>-44.508699999999997</v>
      </c>
      <c r="M4701">
        <v>0.33658670000000002</v>
      </c>
      <c r="N4701">
        <v>0</v>
      </c>
      <c r="O4701">
        <v>-0.94155339999999998</v>
      </c>
      <c r="P4701">
        <v>0.58711309999999906</v>
      </c>
      <c r="Q4701">
        <v>0.13617589999999999</v>
      </c>
      <c r="R4701">
        <v>-0.79796899999999904</v>
      </c>
      <c r="S4701">
        <v>2.7157900000000001</v>
      </c>
      <c r="T4701">
        <v>8.632898E-3</v>
      </c>
      <c r="U4701">
        <v>-1.77835099999999</v>
      </c>
      <c r="V4701">
        <v>-0.28835850000000002</v>
      </c>
      <c r="W4701">
        <v>0.14100209999999999</v>
      </c>
      <c r="X4701">
        <v>0.94708380000000003</v>
      </c>
      <c r="Y4701">
        <v>-0.60336459999999903</v>
      </c>
      <c r="Z4701">
        <v>-2.8046439999999998E-3</v>
      </c>
      <c r="AA4701">
        <v>0.79746039999999996</v>
      </c>
      <c r="AB4701">
        <v>32</v>
      </c>
      <c r="AC4701">
        <v>55.233400000000003</v>
      </c>
      <c r="AD4701">
        <v>0.17575299999999999</v>
      </c>
      <c r="AE4701">
        <v>-35.955820000000003</v>
      </c>
      <c r="AF4701">
        <v>-39.906384203022199</v>
      </c>
      <c r="AG4701">
        <v>0.17575299999999999</v>
      </c>
      <c r="AH4701">
        <v>52.449672922699399</v>
      </c>
      <c r="AI4701">
        <v>89.847206439122203</v>
      </c>
      <c r="AJ4701">
        <v>127.265726894659</v>
      </c>
      <c r="AK4701">
        <v>65.905375948964803</v>
      </c>
      <c r="AL4701">
        <v>81.894162165050204</v>
      </c>
      <c r="AM4701">
        <v>106.93391367551099</v>
      </c>
      <c r="AN4701">
        <v>0.99999997047454903</v>
      </c>
    </row>
    <row r="4702" spans="1:40" x14ac:dyDescent="0.3">
      <c r="A4702" t="str">
        <f>"20200111150122236"</f>
        <v>20200111150122236</v>
      </c>
      <c r="B4702" t="str">
        <f>"1578726082232433"</f>
        <v>1578726082232433</v>
      </c>
      <c r="C4702" t="s">
        <v>40</v>
      </c>
      <c r="D4702">
        <v>4.7415900000000004</v>
      </c>
      <c r="E4702">
        <v>0.3619965</v>
      </c>
      <c r="F4702" t="s">
        <v>73</v>
      </c>
      <c r="G4702">
        <v>-245.8597</v>
      </c>
      <c r="H4702">
        <v>0.739633599999999</v>
      </c>
      <c r="I4702">
        <v>-80.464519999999993</v>
      </c>
      <c r="J4702">
        <v>-300.69150000000002</v>
      </c>
      <c r="K4702">
        <v>1.116628</v>
      </c>
      <c r="L4702">
        <v>-44.79468</v>
      </c>
      <c r="M4702">
        <v>0.35005779999999997</v>
      </c>
      <c r="N4702">
        <v>0</v>
      </c>
      <c r="O4702">
        <v>-0.93662780000000001</v>
      </c>
      <c r="P4702">
        <v>0.59860380000000002</v>
      </c>
      <c r="Q4702">
        <v>0.1365054</v>
      </c>
      <c r="R4702">
        <v>-0.78932880000000005</v>
      </c>
      <c r="S4702">
        <v>2.7067869999999998</v>
      </c>
      <c r="T4702">
        <v>-1.8562789999999999E-2</v>
      </c>
      <c r="U4702">
        <v>-1.77121</v>
      </c>
      <c r="V4702">
        <v>-0.28857430000000001</v>
      </c>
      <c r="W4702">
        <v>0.1412542</v>
      </c>
      <c r="X4702">
        <v>0.9469805</v>
      </c>
      <c r="Y4702">
        <v>-0.5921109</v>
      </c>
      <c r="Z4702">
        <v>6.0339570000000004E-3</v>
      </c>
      <c r="AA4702">
        <v>0.80583389999999999</v>
      </c>
      <c r="AB4702">
        <v>32</v>
      </c>
      <c r="AC4702">
        <v>54.831800000000001</v>
      </c>
      <c r="AD4702">
        <v>-0.37699440000000001</v>
      </c>
      <c r="AE4702">
        <v>-35.669839999999901</v>
      </c>
      <c r="AF4702">
        <v>-38.872843719291701</v>
      </c>
      <c r="AG4702">
        <v>-0.37699440000000001</v>
      </c>
      <c r="AH4702">
        <v>52.606858513386697</v>
      </c>
      <c r="AI4702">
        <v>90.330219653768296</v>
      </c>
      <c r="AJ4702">
        <v>126.461847629782</v>
      </c>
      <c r="AK4702">
        <v>65.411938254798699</v>
      </c>
      <c r="AL4702">
        <v>81.879571877647294</v>
      </c>
      <c r="AM4702">
        <v>106.947603177392</v>
      </c>
      <c r="AN4702">
        <v>0.99999997150918896</v>
      </c>
    </row>
    <row r="4703" spans="1:40" x14ac:dyDescent="0.3">
      <c r="A4703" t="str">
        <f>"20200111150122258"</f>
        <v>20200111150122258</v>
      </c>
      <c r="B4703" t="str">
        <f>"1578726082252928"</f>
        <v>1578726082252928</v>
      </c>
      <c r="C4703" t="s">
        <v>40</v>
      </c>
      <c r="D4703">
        <v>4.6463469999999996</v>
      </c>
      <c r="E4703">
        <v>0.36595929999999999</v>
      </c>
      <c r="F4703" t="s">
        <v>73</v>
      </c>
      <c r="G4703">
        <v>-246.14400000000001</v>
      </c>
      <c r="H4703">
        <v>0.23114779999999999</v>
      </c>
      <c r="I4703">
        <v>-80.464519999999993</v>
      </c>
      <c r="J4703">
        <v>-300.56849999999997</v>
      </c>
      <c r="K4703">
        <v>1.116771</v>
      </c>
      <c r="L4703">
        <v>-45.08466</v>
      </c>
      <c r="M4703">
        <v>0.36389339999999998</v>
      </c>
      <c r="N4703">
        <v>0</v>
      </c>
      <c r="O4703">
        <v>-0.93133889999999997</v>
      </c>
      <c r="P4703">
        <v>0.61143800000000004</v>
      </c>
      <c r="Q4703">
        <v>0.13663710000000001</v>
      </c>
      <c r="R4703">
        <v>-0.77940640000000005</v>
      </c>
      <c r="S4703">
        <v>2.6965029999999999</v>
      </c>
      <c r="T4703">
        <v>-4.377234E-2</v>
      </c>
      <c r="U4703">
        <v>-1.763306</v>
      </c>
      <c r="V4703">
        <v>-0.2901109</v>
      </c>
      <c r="W4703">
        <v>0.14126749999999999</v>
      </c>
      <c r="X4703">
        <v>0.94650889999999999</v>
      </c>
      <c r="Y4703">
        <v>-0.58028500000000005</v>
      </c>
      <c r="Z4703">
        <v>1.423462E-2</v>
      </c>
      <c r="AA4703">
        <v>0.81428909999999999</v>
      </c>
      <c r="AB4703">
        <v>32</v>
      </c>
      <c r="AC4703">
        <v>54.424499999999902</v>
      </c>
      <c r="AD4703">
        <v>-0.88562319999999894</v>
      </c>
      <c r="AE4703">
        <v>-35.379859999999901</v>
      </c>
      <c r="AF4703">
        <v>-37.809701005904202</v>
      </c>
      <c r="AG4703">
        <v>-0.88562319999999894</v>
      </c>
      <c r="AH4703">
        <v>52.750535397029601</v>
      </c>
      <c r="AI4703">
        <v>90.781790807702393</v>
      </c>
      <c r="AJ4703">
        <v>125.631603210088</v>
      </c>
      <c r="AK4703">
        <v>64.907447980039507</v>
      </c>
      <c r="AL4703">
        <v>81.878802107071195</v>
      </c>
      <c r="AM4703">
        <v>107.040629833015</v>
      </c>
      <c r="AN4703">
        <v>0.99999996931713397</v>
      </c>
    </row>
    <row r="4704" spans="1:40" x14ac:dyDescent="0.3">
      <c r="A4704" t="str">
        <f>"20200111150122280"</f>
        <v>20200111150122280</v>
      </c>
      <c r="B4704" t="str">
        <f>"1578726082272449"</f>
        <v>1578726082272449</v>
      </c>
      <c r="C4704" t="s">
        <v>40</v>
      </c>
      <c r="D4704">
        <v>4.7481989999999996</v>
      </c>
      <c r="E4704">
        <v>0.36705070000000001</v>
      </c>
      <c r="F4704" t="s">
        <v>93</v>
      </c>
      <c r="G4704">
        <v>-259.08629999999999</v>
      </c>
      <c r="H4704">
        <v>7.9987059999999999E-2</v>
      </c>
      <c r="I4704">
        <v>-71.838319999999996</v>
      </c>
      <c r="J4704">
        <v>-300.44600000000003</v>
      </c>
      <c r="K4704">
        <v>1.1168910000000001</v>
      </c>
      <c r="L4704">
        <v>-45.361600000000003</v>
      </c>
      <c r="M4704">
        <v>0.37725320000000001</v>
      </c>
      <c r="N4704">
        <v>0</v>
      </c>
      <c r="O4704">
        <v>-0.92600729999999998</v>
      </c>
      <c r="P4704">
        <v>0.62346709999999905</v>
      </c>
      <c r="Q4704">
        <v>0.13643759999999999</v>
      </c>
      <c r="R4704">
        <v>-0.76985289999999995</v>
      </c>
      <c r="S4704">
        <v>2.7010190000000001</v>
      </c>
      <c r="T4704">
        <v>-6.7507860000000003E-2</v>
      </c>
      <c r="U4704">
        <v>-1.7420040000000001</v>
      </c>
      <c r="V4704">
        <v>-0.29122300000000001</v>
      </c>
      <c r="W4704">
        <v>0.14097100000000001</v>
      </c>
      <c r="X4704">
        <v>0.94621160000000004</v>
      </c>
      <c r="Y4704">
        <v>-0.57357139999999995</v>
      </c>
      <c r="Z4704">
        <v>2.1946299999999998E-2</v>
      </c>
      <c r="AA4704">
        <v>0.81886159999999997</v>
      </c>
      <c r="AB4704">
        <v>32</v>
      </c>
      <c r="AC4704">
        <v>41.359699999999897</v>
      </c>
      <c r="AD4704">
        <v>-1.03690394</v>
      </c>
      <c r="AE4704">
        <v>-26.47672</v>
      </c>
      <c r="AF4704">
        <v>-28.301036526670401</v>
      </c>
      <c r="AG4704">
        <v>-1.03690394</v>
      </c>
      <c r="AH4704">
        <v>40.106656743748601</v>
      </c>
      <c r="AI4704">
        <v>91.210134870077297</v>
      </c>
      <c r="AJ4704">
        <v>125.20849116826599</v>
      </c>
      <c r="AK4704">
        <v>49.097533068633901</v>
      </c>
      <c r="AL4704">
        <v>81.895962488964301</v>
      </c>
      <c r="AM4704">
        <v>107.107207740566</v>
      </c>
      <c r="AN4704">
        <v>1.0000000252722701</v>
      </c>
    </row>
    <row r="4705" spans="1:40" x14ac:dyDescent="0.3">
      <c r="A4705" t="str">
        <f>"20200111150122303"</f>
        <v>20200111150122303</v>
      </c>
      <c r="B4705" t="str">
        <f>"1578726082291969"</f>
        <v>1578726082291969</v>
      </c>
      <c r="C4705" t="s">
        <v>40</v>
      </c>
      <c r="D4705">
        <v>4.7370780000000003</v>
      </c>
      <c r="E4705">
        <v>0.36721300000000001</v>
      </c>
      <c r="F4705" t="s">
        <v>42</v>
      </c>
      <c r="G4705">
        <v>-260.52629999999999</v>
      </c>
      <c r="H4705">
        <v>5.0800930000000001E-2</v>
      </c>
      <c r="I4705">
        <v>-70.384479999999996</v>
      </c>
      <c r="J4705">
        <v>-300.31729999999999</v>
      </c>
      <c r="K4705">
        <v>1.1169849999999999</v>
      </c>
      <c r="L4705">
        <v>-45.640810000000002</v>
      </c>
      <c r="M4705">
        <v>0.39084530000000001</v>
      </c>
      <c r="N4705">
        <v>0</v>
      </c>
      <c r="O4705">
        <v>-0.92035259999999997</v>
      </c>
      <c r="P4705">
        <v>0.63521430000000001</v>
      </c>
      <c r="Q4705">
        <v>0.13444400000000001</v>
      </c>
      <c r="R4705">
        <v>-0.76054449999999996</v>
      </c>
      <c r="S4705">
        <v>2.7213750000000001</v>
      </c>
      <c r="T4705">
        <v>-7.2676539999999998E-2</v>
      </c>
      <c r="U4705">
        <v>-1.7058409999999999</v>
      </c>
      <c r="V4705">
        <v>-0.29166419999999998</v>
      </c>
      <c r="W4705">
        <v>0.1389138</v>
      </c>
      <c r="X4705">
        <v>0.94637990000000005</v>
      </c>
      <c r="Y4705">
        <v>-0.57203890000000002</v>
      </c>
      <c r="Z4705">
        <v>2.360228E-2</v>
      </c>
      <c r="AA4705">
        <v>0.81988680000000003</v>
      </c>
      <c r="AB4705">
        <v>32</v>
      </c>
      <c r="AC4705">
        <v>39.790999999999997</v>
      </c>
      <c r="AD4705">
        <v>-1.06618407</v>
      </c>
      <c r="AE4705">
        <v>-24.743670000000002</v>
      </c>
      <c r="AF4705">
        <v>-26.939430159576599</v>
      </c>
      <c r="AG4705">
        <v>-1.06618407</v>
      </c>
      <c r="AH4705">
        <v>38.3088534966246</v>
      </c>
      <c r="AI4705">
        <v>91.304159400389395</v>
      </c>
      <c r="AJ4705">
        <v>125.115531502583</v>
      </c>
      <c r="AK4705">
        <v>46.844827911090398</v>
      </c>
      <c r="AL4705">
        <v>82.015002438943696</v>
      </c>
      <c r="AM4705">
        <v>107.128740415918</v>
      </c>
      <c r="AN4705">
        <v>0.99999998225804398</v>
      </c>
    </row>
    <row r="4706" spans="1:40" x14ac:dyDescent="0.3">
      <c r="A4706" t="str">
        <f>"20200111150122325"</f>
        <v>20200111150122325</v>
      </c>
      <c r="B4706" t="str">
        <f>"1578726082322225"</f>
        <v>1578726082322225</v>
      </c>
      <c r="C4706" t="s">
        <v>40</v>
      </c>
      <c r="D4706">
        <v>4.6562000000000001</v>
      </c>
      <c r="E4706">
        <v>0.3690176</v>
      </c>
      <c r="F4706" t="s">
        <v>93</v>
      </c>
      <c r="G4706">
        <v>-259.47250000000003</v>
      </c>
      <c r="H4706">
        <v>3.9862549999999997E-2</v>
      </c>
      <c r="I4706">
        <v>-70.383659999999907</v>
      </c>
      <c r="J4706">
        <v>-300.18290000000002</v>
      </c>
      <c r="K4706">
        <v>1.117059</v>
      </c>
      <c r="L4706">
        <v>-45.921080000000003</v>
      </c>
      <c r="M4706">
        <v>0.4045803</v>
      </c>
      <c r="N4706">
        <v>0</v>
      </c>
      <c r="O4706">
        <v>-0.91439769999999998</v>
      </c>
      <c r="P4706">
        <v>0.64744250000000003</v>
      </c>
      <c r="Q4706">
        <v>0.13190950000000001</v>
      </c>
      <c r="R4706">
        <v>-0.75061199999999995</v>
      </c>
      <c r="S4706">
        <v>2.7462770000000001</v>
      </c>
      <c r="T4706">
        <v>-7.2422500000000001E-2</v>
      </c>
      <c r="U4706">
        <v>-1.66363499999999</v>
      </c>
      <c r="V4706">
        <v>-0.29259180000000001</v>
      </c>
      <c r="W4706">
        <v>0.1363086</v>
      </c>
      <c r="X4706">
        <v>0.94647239999999999</v>
      </c>
      <c r="Y4706">
        <v>-0.57227150000000004</v>
      </c>
      <c r="Z4706">
        <v>2.3491250000000002E-2</v>
      </c>
      <c r="AA4706">
        <v>0.81972769999999995</v>
      </c>
      <c r="AB4706">
        <v>32</v>
      </c>
      <c r="AC4706">
        <v>40.7103999999999</v>
      </c>
      <c r="AD4706">
        <v>-1.07719645</v>
      </c>
      <c r="AE4706">
        <v>-24.462579999999999</v>
      </c>
      <c r="AF4706">
        <v>-27.316985218543099</v>
      </c>
      <c r="AG4706">
        <v>-1.07719645</v>
      </c>
      <c r="AH4706">
        <v>38.822904219267798</v>
      </c>
      <c r="AI4706">
        <v>91.299931436166403</v>
      </c>
      <c r="AJ4706">
        <v>125.131393443881</v>
      </c>
      <c r="AK4706">
        <v>47.482585498690398</v>
      </c>
      <c r="AL4706">
        <v>82.165703309077003</v>
      </c>
      <c r="AM4706">
        <v>107.178433549537</v>
      </c>
      <c r="AN4706">
        <v>0.99999999991148003</v>
      </c>
    </row>
    <row r="4707" spans="1:40" x14ac:dyDescent="0.3">
      <c r="A4707" t="str">
        <f>"20200111150122348"</f>
        <v>20200111150122348</v>
      </c>
      <c r="B4707" t="str">
        <f>"1578726082342720"</f>
        <v>1578726082342720</v>
      </c>
      <c r="C4707" t="s">
        <v>40</v>
      </c>
      <c r="D4707">
        <v>4.6704210000000002</v>
      </c>
      <c r="E4707">
        <v>0.37002380000000001</v>
      </c>
      <c r="F4707" t="s">
        <v>42</v>
      </c>
      <c r="G4707">
        <v>-263.58859999999999</v>
      </c>
      <c r="H4707" s="1">
        <v>-2.372786E-6</v>
      </c>
      <c r="I4707">
        <v>-67.504499999999993</v>
      </c>
      <c r="J4707">
        <v>-300.03960000000001</v>
      </c>
      <c r="K4707">
        <v>1.1171249999999999</v>
      </c>
      <c r="L4707">
        <v>-46.208739999999999</v>
      </c>
      <c r="M4707">
        <v>0.41875410000000002</v>
      </c>
      <c r="N4707">
        <v>0</v>
      </c>
      <c r="O4707">
        <v>-0.90799370000000001</v>
      </c>
      <c r="P4707">
        <v>0.65932990000000002</v>
      </c>
      <c r="Q4707">
        <v>0.13015499999999999</v>
      </c>
      <c r="R4707">
        <v>-0.74050249999999995</v>
      </c>
      <c r="S4707">
        <v>2.7620849999999999</v>
      </c>
      <c r="T4707">
        <v>-8.4314109999999998E-2</v>
      </c>
      <c r="U4707">
        <v>-1.629089</v>
      </c>
      <c r="V4707">
        <v>-0.29280699999999998</v>
      </c>
      <c r="W4707">
        <v>0.134514299999999</v>
      </c>
      <c r="X4707">
        <v>0.94666249999999996</v>
      </c>
      <c r="Y4707">
        <v>-0.56907089999999905</v>
      </c>
      <c r="Z4707">
        <v>2.7307209999999998E-2</v>
      </c>
      <c r="AA4707">
        <v>0.82183490000000003</v>
      </c>
      <c r="AB4707">
        <v>31</v>
      </c>
      <c r="AC4707">
        <v>36.451000000000001</v>
      </c>
      <c r="AD4707">
        <v>-1.1171273727859901</v>
      </c>
      <c r="AE4707">
        <v>-21.295759999999898</v>
      </c>
      <c r="AF4707">
        <v>-24.164996975548299</v>
      </c>
      <c r="AG4707">
        <v>-1.1171273727859901</v>
      </c>
      <c r="AH4707">
        <v>34.5795371317679</v>
      </c>
      <c r="AI4707">
        <v>91.516880904078405</v>
      </c>
      <c r="AJ4707">
        <v>124.946758835292</v>
      </c>
      <c r="AK4707">
        <v>42.201178190218897</v>
      </c>
      <c r="AL4707">
        <v>82.269464550879206</v>
      </c>
      <c r="AM4707">
        <v>107.187075177194</v>
      </c>
      <c r="AN4707">
        <v>0.999999962529869</v>
      </c>
    </row>
    <row r="4708" spans="1:40" x14ac:dyDescent="0.3">
      <c r="A4708" t="str">
        <f>"20200111150122370"</f>
        <v>20200111150122370</v>
      </c>
      <c r="B4708" t="str">
        <f>"1578726082362241"</f>
        <v>1578726082362241</v>
      </c>
      <c r="C4708" t="s">
        <v>40</v>
      </c>
      <c r="D4708">
        <v>4.4742419999999896</v>
      </c>
      <c r="E4708">
        <v>0.3710426</v>
      </c>
      <c r="F4708" t="s">
        <v>41</v>
      </c>
      <c r="G4708">
        <v>-299.13220000000001</v>
      </c>
      <c r="H4708">
        <v>1.0875060000000001</v>
      </c>
      <c r="I4708">
        <v>-46.72777</v>
      </c>
      <c r="J4708">
        <v>-299.90269999999998</v>
      </c>
      <c r="K4708">
        <v>1.117175</v>
      </c>
      <c r="L4708">
        <v>-46.473750000000003</v>
      </c>
      <c r="M4708">
        <v>0.43186360000000001</v>
      </c>
      <c r="N4708">
        <v>0</v>
      </c>
      <c r="O4708">
        <v>-0.90183199999999997</v>
      </c>
      <c r="P4708">
        <v>0.66990909999999904</v>
      </c>
      <c r="Q4708">
        <v>0.13066889999999901</v>
      </c>
      <c r="R4708">
        <v>-0.73085429999999996</v>
      </c>
      <c r="S4708">
        <v>2.7816160000000001</v>
      </c>
      <c r="T4708">
        <v>-9.0768100000000004E-2</v>
      </c>
      <c r="U4708">
        <v>-1.590546</v>
      </c>
      <c r="V4708">
        <v>-0.29278009999999999</v>
      </c>
      <c r="W4708">
        <v>0.13500239999999999</v>
      </c>
      <c r="X4708">
        <v>0.94660140000000004</v>
      </c>
      <c r="Y4708">
        <v>-0.56816639999999996</v>
      </c>
      <c r="Z4708">
        <v>2.9353000000000001E-2</v>
      </c>
      <c r="AA4708">
        <v>0.82238999999999995</v>
      </c>
      <c r="AB4708">
        <v>31</v>
      </c>
      <c r="AC4708">
        <v>0.77049999999996899</v>
      </c>
      <c r="AD4708">
        <v>-2.9669000000000102E-2</v>
      </c>
      <c r="AE4708">
        <v>-0.25401999999999603</v>
      </c>
      <c r="AF4708">
        <v>-0.58443440100013899</v>
      </c>
      <c r="AG4708">
        <v>-2.9669000000000102E-2</v>
      </c>
      <c r="AH4708">
        <v>0.561138011157987</v>
      </c>
      <c r="AI4708">
        <v>92.097172720524</v>
      </c>
      <c r="AJ4708">
        <v>136.16500785588701</v>
      </c>
      <c r="AK4708">
        <v>0.81075254313491496</v>
      </c>
      <c r="AL4708">
        <v>82.2412415084477</v>
      </c>
      <c r="AM4708">
        <v>107.186633150928</v>
      </c>
      <c r="AN4708">
        <v>1.0000000227218599</v>
      </c>
    </row>
    <row r="4709" spans="1:40" x14ac:dyDescent="0.3">
      <c r="A4709" t="str">
        <f>"20200111150122392"</f>
        <v>20200111150122392</v>
      </c>
      <c r="B4709" t="str">
        <f>"1578726082382737"</f>
        <v>1578726082382737</v>
      </c>
      <c r="C4709" t="s">
        <v>40</v>
      </c>
      <c r="D4709">
        <v>4.4391360000000004</v>
      </c>
      <c r="E4709">
        <v>0.3710524</v>
      </c>
      <c r="F4709" t="s">
        <v>41</v>
      </c>
      <c r="G4709">
        <v>-299.01029999999997</v>
      </c>
      <c r="H4709">
        <v>1.0889</v>
      </c>
      <c r="I4709">
        <v>-46.969970000000004</v>
      </c>
      <c r="J4709">
        <v>-299.75850000000003</v>
      </c>
      <c r="K4709">
        <v>1.1172230000000001</v>
      </c>
      <c r="L4709">
        <v>-46.743160000000003</v>
      </c>
      <c r="M4709">
        <v>0.44523049999999997</v>
      </c>
      <c r="N4709">
        <v>0</v>
      </c>
      <c r="O4709">
        <v>-0.8953082</v>
      </c>
      <c r="P4709">
        <v>0.68065200000000003</v>
      </c>
      <c r="Q4709">
        <v>0.1323927</v>
      </c>
      <c r="R4709">
        <v>-0.72054530000000006</v>
      </c>
      <c r="S4709">
        <v>2.798492</v>
      </c>
      <c r="T4709">
        <v>-8.8637830000000001E-2</v>
      </c>
      <c r="U4709">
        <v>-1.5555110000000001</v>
      </c>
      <c r="V4709">
        <v>-0.29291719999999999</v>
      </c>
      <c r="W4709">
        <v>0.13669790000000001</v>
      </c>
      <c r="X4709">
        <v>0.94631560000000003</v>
      </c>
      <c r="Y4709">
        <v>-0.565909</v>
      </c>
      <c r="Z4709">
        <v>2.8603259999999998E-2</v>
      </c>
      <c r="AA4709">
        <v>0.82397140000000002</v>
      </c>
      <c r="AB4709">
        <v>31</v>
      </c>
      <c r="AC4709">
        <v>0.74820000000005304</v>
      </c>
      <c r="AD4709">
        <v>-2.83229999999998E-2</v>
      </c>
      <c r="AE4709">
        <v>-0.22681000000000701</v>
      </c>
      <c r="AF4709">
        <v>-0.56819608519445097</v>
      </c>
      <c r="AG4709">
        <v>-2.83229999999998E-2</v>
      </c>
      <c r="AH4709">
        <v>0.53553523979143602</v>
      </c>
      <c r="AI4709">
        <v>92.077461936143607</v>
      </c>
      <c r="AJ4709">
        <v>136.69496202092699</v>
      </c>
      <c r="AK4709">
        <v>0.78131106264903905</v>
      </c>
      <c r="AL4709">
        <v>82.143187370472504</v>
      </c>
      <c r="AM4709">
        <v>107.199093219018</v>
      </c>
      <c r="AN4709">
        <v>1.0000000083617999</v>
      </c>
    </row>
    <row r="4710" spans="1:40" x14ac:dyDescent="0.3">
      <c r="A4710" t="str">
        <f>"20200111150122415"</f>
        <v>20200111150122415</v>
      </c>
      <c r="B4710" t="str">
        <f>"1578726082412016"</f>
        <v>1578726082412016</v>
      </c>
      <c r="C4710" t="s">
        <v>40</v>
      </c>
      <c r="D4710">
        <v>4.5390709999999999</v>
      </c>
      <c r="E4710">
        <v>0.37238120000000002</v>
      </c>
      <c r="F4710" t="s">
        <v>41</v>
      </c>
      <c r="G4710">
        <v>-298.88499999999999</v>
      </c>
      <c r="H4710">
        <v>1.092285</v>
      </c>
      <c r="I4710">
        <v>-47.2119</v>
      </c>
      <c r="J4710">
        <v>-299.60449999999997</v>
      </c>
      <c r="K4710">
        <v>1.1172629999999999</v>
      </c>
      <c r="L4710">
        <v>-47.02075</v>
      </c>
      <c r="M4710">
        <v>0.45903670000000002</v>
      </c>
      <c r="N4710">
        <v>0</v>
      </c>
      <c r="O4710">
        <v>-0.88830849999999995</v>
      </c>
      <c r="P4710">
        <v>0.6914015</v>
      </c>
      <c r="Q4710">
        <v>0.1333068</v>
      </c>
      <c r="R4710">
        <v>-0.71006599999999997</v>
      </c>
      <c r="S4710">
        <v>2.8210449999999998</v>
      </c>
      <c r="T4710">
        <v>-8.0517530000000004E-2</v>
      </c>
      <c r="U4710">
        <v>-1.513428</v>
      </c>
      <c r="V4710">
        <v>-0.2926067</v>
      </c>
      <c r="W4710">
        <v>0.137603799999999</v>
      </c>
      <c r="X4710">
        <v>0.94628040000000002</v>
      </c>
      <c r="Y4710">
        <v>-0.56550489999999998</v>
      </c>
      <c r="Z4710">
        <v>2.5915939999999998E-2</v>
      </c>
      <c r="AA4710">
        <v>0.82433769999999995</v>
      </c>
      <c r="AB4710">
        <v>31</v>
      </c>
      <c r="AC4710">
        <v>0.71949999999998204</v>
      </c>
      <c r="AD4710">
        <v>-2.49779999999999E-2</v>
      </c>
      <c r="AE4710">
        <v>-0.19114999999999999</v>
      </c>
      <c r="AF4710">
        <v>-0.55082632334347603</v>
      </c>
      <c r="AG4710">
        <v>-2.49779999999999E-2</v>
      </c>
      <c r="AH4710">
        <v>0.49956304598743201</v>
      </c>
      <c r="AI4710">
        <v>91.923823059061505</v>
      </c>
      <c r="AJ4710">
        <v>137.79405037394301</v>
      </c>
      <c r="AK4710">
        <v>0.74404084288991301</v>
      </c>
      <c r="AL4710">
        <v>82.090788217051696</v>
      </c>
      <c r="AM4710">
        <v>107.182537275828</v>
      </c>
      <c r="AN4710">
        <v>1.00000004104174</v>
      </c>
    </row>
    <row r="4711" spans="1:40" x14ac:dyDescent="0.3">
      <c r="A4711" t="str">
        <f>"20200111150122438"</f>
        <v>20200111150122438</v>
      </c>
      <c r="B4711" t="str">
        <f>"1578726082432513"</f>
        <v>1578726082432513</v>
      </c>
      <c r="C4711" t="s">
        <v>40</v>
      </c>
      <c r="D4711">
        <v>4.3223560000000001</v>
      </c>
      <c r="E4711">
        <v>0.37325730000000001</v>
      </c>
      <c r="F4711" t="s">
        <v>41</v>
      </c>
      <c r="G4711">
        <v>-298.76389999999998</v>
      </c>
      <c r="H4711">
        <v>1.0927819999999999</v>
      </c>
      <c r="I4711">
        <v>-47.459159999999997</v>
      </c>
      <c r="J4711">
        <v>-299.44889999999998</v>
      </c>
      <c r="K4711">
        <v>1.1172850000000001</v>
      </c>
      <c r="L4711">
        <v>-47.291469999999997</v>
      </c>
      <c r="M4711">
        <v>0.47252290000000002</v>
      </c>
      <c r="N4711">
        <v>0</v>
      </c>
      <c r="O4711">
        <v>-0.88120830000000006</v>
      </c>
      <c r="P4711">
        <v>0.70154329999999998</v>
      </c>
      <c r="Q4711">
        <v>0.13260659999999999</v>
      </c>
      <c r="R4711">
        <v>-0.70018040000000004</v>
      </c>
      <c r="S4711">
        <v>2.8360599999999998</v>
      </c>
      <c r="T4711">
        <v>-8.2581280000000007E-2</v>
      </c>
      <c r="U4711">
        <v>-1.4789429999999999</v>
      </c>
      <c r="V4711">
        <v>-0.29172019999999999</v>
      </c>
      <c r="W4711">
        <v>0.13692179999999901</v>
      </c>
      <c r="X4711">
        <v>0.94665290000000002</v>
      </c>
      <c r="Y4711">
        <v>-0.56257760000000001</v>
      </c>
      <c r="Z4711">
        <v>2.6504550000000002E-2</v>
      </c>
      <c r="AA4711">
        <v>0.82631949999999998</v>
      </c>
      <c r="AB4711">
        <v>31</v>
      </c>
      <c r="AC4711">
        <v>0.68500000000000205</v>
      </c>
      <c r="AD4711">
        <v>-2.4503000000000101E-2</v>
      </c>
      <c r="AE4711">
        <v>-0.16768999999999301</v>
      </c>
      <c r="AF4711">
        <v>-0.52380886003675298</v>
      </c>
      <c r="AG4711">
        <v>-2.4503000000000101E-2</v>
      </c>
      <c r="AH4711">
        <v>0.47092525005580099</v>
      </c>
      <c r="AI4711">
        <v>91.992332948022295</v>
      </c>
      <c r="AJ4711">
        <v>138.04318291940001</v>
      </c>
      <c r="AK4711">
        <v>0.70480260357217805</v>
      </c>
      <c r="AL4711">
        <v>82.130236883171705</v>
      </c>
      <c r="AM4711">
        <v>107.127185214568</v>
      </c>
      <c r="AN4711">
        <v>0.99999998374084398</v>
      </c>
    </row>
    <row r="4712" spans="1:40" x14ac:dyDescent="0.3">
      <c r="A4712" t="str">
        <f>"20200111150122460"</f>
        <v>20200111150122460</v>
      </c>
      <c r="B4712" t="str">
        <f>"1578726082452032"</f>
        <v>1578726082452032</v>
      </c>
      <c r="C4712" t="s">
        <v>40</v>
      </c>
      <c r="D4712">
        <v>4.4397080000000004</v>
      </c>
      <c r="E4712">
        <v>0.4194022</v>
      </c>
      <c r="F4712" t="s">
        <v>41</v>
      </c>
      <c r="G4712">
        <v>-298.62040000000002</v>
      </c>
      <c r="H4712">
        <v>1.0922000000000001</v>
      </c>
      <c r="I4712">
        <v>-47.710929999999998</v>
      </c>
      <c r="J4712">
        <v>-299.29160000000002</v>
      </c>
      <c r="K4712">
        <v>1.1172959999999901</v>
      </c>
      <c r="L4712">
        <v>-47.555909999999997</v>
      </c>
      <c r="M4712">
        <v>0.48571160000000002</v>
      </c>
      <c r="N4712">
        <v>0</v>
      </c>
      <c r="O4712">
        <v>-0.87400820000000001</v>
      </c>
      <c r="P4712">
        <v>0.71089009999999997</v>
      </c>
      <c r="Q4712">
        <v>0.13083049999999999</v>
      </c>
      <c r="R4712">
        <v>-0.69102730000000001</v>
      </c>
      <c r="S4712">
        <v>2.8522639999999999</v>
      </c>
      <c r="T4712">
        <v>-8.63173E-2</v>
      </c>
      <c r="U4712">
        <v>-1.44314599999999</v>
      </c>
      <c r="V4712">
        <v>-0.29000409999999999</v>
      </c>
      <c r="W4712">
        <v>0.1351984</v>
      </c>
      <c r="X4712">
        <v>0.94742760000000004</v>
      </c>
      <c r="Y4712">
        <v>-0.56026549999999997</v>
      </c>
      <c r="Z4712">
        <v>2.7615109999999998E-2</v>
      </c>
      <c r="AA4712">
        <v>0.8278527</v>
      </c>
      <c r="AB4712">
        <v>31</v>
      </c>
      <c r="AC4712">
        <v>0.67119999999999802</v>
      </c>
      <c r="AD4712">
        <v>-2.5095999999999698E-2</v>
      </c>
      <c r="AE4712">
        <v>-0.15501999999999999</v>
      </c>
      <c r="AF4712">
        <v>-0.51071106068580896</v>
      </c>
      <c r="AG4712">
        <v>-2.5095999999999698E-2</v>
      </c>
      <c r="AH4712">
        <v>0.46093138065758998</v>
      </c>
      <c r="AI4712">
        <v>92.089170638988904</v>
      </c>
      <c r="AJ4712">
        <v>137.93284231554199</v>
      </c>
      <c r="AK4712">
        <v>0.68841363612129103</v>
      </c>
      <c r="AL4712">
        <v>82.229907614860707</v>
      </c>
      <c r="AM4712">
        <v>107.019156692563</v>
      </c>
      <c r="AN4712">
        <v>1.00000002131056</v>
      </c>
    </row>
    <row r="4713" spans="1:40" x14ac:dyDescent="0.3">
      <c r="A4713" t="str">
        <f>"20200111150122482"</f>
        <v>20200111150122482</v>
      </c>
      <c r="B4713" t="str">
        <f>"1578726082472529"</f>
        <v>1578726082472529</v>
      </c>
      <c r="C4713" t="s">
        <v>40</v>
      </c>
      <c r="D4713">
        <v>4.512168</v>
      </c>
      <c r="E4713">
        <v>0.4342569</v>
      </c>
      <c r="F4713" t="s">
        <v>73</v>
      </c>
      <c r="G4713">
        <v>-247.1448</v>
      </c>
      <c r="H4713">
        <v>0.42164990000000002</v>
      </c>
      <c r="I4713">
        <v>-80.755919999999904</v>
      </c>
      <c r="J4713">
        <v>-299.13510000000002</v>
      </c>
      <c r="K4713">
        <v>1.1173010000000001</v>
      </c>
      <c r="L4713">
        <v>-47.809780000000003</v>
      </c>
      <c r="M4713">
        <v>0.49838749999999998</v>
      </c>
      <c r="N4713">
        <v>0</v>
      </c>
      <c r="O4713">
        <v>-0.86684229999999995</v>
      </c>
      <c r="P4713">
        <v>0.71989419999999904</v>
      </c>
      <c r="Q4713">
        <v>0.12994</v>
      </c>
      <c r="R4713">
        <v>-0.68181250000000004</v>
      </c>
      <c r="S4713">
        <v>2.6107480000000001</v>
      </c>
      <c r="T4713">
        <v>-3.4827110000000001E-2</v>
      </c>
      <c r="U4713">
        <v>-1.6621699999999999</v>
      </c>
      <c r="V4713">
        <v>-0.2885278</v>
      </c>
      <c r="W4713">
        <v>0.1343541</v>
      </c>
      <c r="X4713">
        <v>0.94799829999999996</v>
      </c>
      <c r="Y4713">
        <v>-0.46354649999999997</v>
      </c>
      <c r="Z4713">
        <v>1.113331E-2</v>
      </c>
      <c r="AA4713">
        <v>0.88600270000000003</v>
      </c>
      <c r="AB4713">
        <v>31</v>
      </c>
      <c r="AC4713">
        <v>51.990299999999998</v>
      </c>
      <c r="AD4713">
        <v>-0.69565109999999997</v>
      </c>
      <c r="AE4713">
        <v>-32.9461399999999</v>
      </c>
      <c r="AF4713">
        <v>-28.646571492415902</v>
      </c>
      <c r="AG4713">
        <v>-0.69565109999999997</v>
      </c>
      <c r="AH4713">
        <v>54.468758947051903</v>
      </c>
      <c r="AI4713">
        <v>90.647620982517694</v>
      </c>
      <c r="AJ4713">
        <v>117.741077850165</v>
      </c>
      <c r="AK4713">
        <v>61.546370241916598</v>
      </c>
      <c r="AL4713">
        <v>82.278728068423803</v>
      </c>
      <c r="AM4713">
        <v>106.927876939935</v>
      </c>
      <c r="AN4713">
        <v>1.0000000461812599</v>
      </c>
    </row>
    <row r="4714" spans="1:40" x14ac:dyDescent="0.3">
      <c r="A4714" t="str">
        <f>"20200111150122504"</f>
        <v>20200111150122504</v>
      </c>
      <c r="B4714" t="str">
        <f>"1578726082492049"</f>
        <v>1578726082492049</v>
      </c>
      <c r="C4714" t="s">
        <v>40</v>
      </c>
      <c r="D4714">
        <v>4.389195</v>
      </c>
      <c r="E4714">
        <v>0.44006309999999899</v>
      </c>
      <c r="F4714" t="s">
        <v>41</v>
      </c>
      <c r="G4714">
        <v>-298.23869999999999</v>
      </c>
      <c r="H4714">
        <v>1.0664199999999999</v>
      </c>
      <c r="I4714">
        <v>-48.414920000000002</v>
      </c>
      <c r="J4714">
        <v>-298.9692</v>
      </c>
      <c r="K4714">
        <v>1.1173029999999999</v>
      </c>
      <c r="L4714">
        <v>-48.070099999999996</v>
      </c>
      <c r="M4714">
        <v>0.5113917</v>
      </c>
      <c r="N4714">
        <v>0</v>
      </c>
      <c r="O4714">
        <v>-0.85923479999999997</v>
      </c>
      <c r="P4714">
        <v>0.72904789999999997</v>
      </c>
      <c r="Q4714">
        <v>0.1293308</v>
      </c>
      <c r="R4714">
        <v>-0.67213330000000004</v>
      </c>
      <c r="S4714">
        <v>2.5581049999999999</v>
      </c>
      <c r="T4714">
        <v>-0.1451895</v>
      </c>
      <c r="U4714">
        <v>-1.7267459999999999</v>
      </c>
      <c r="V4714">
        <v>-0.28698559999999901</v>
      </c>
      <c r="W4714">
        <v>0.13379649999999901</v>
      </c>
      <c r="X4714">
        <v>0.94854499999999997</v>
      </c>
      <c r="Y4714">
        <v>-0.42512080000000002</v>
      </c>
      <c r="Z4714">
        <v>4.5753160000000001E-2</v>
      </c>
      <c r="AA4714">
        <v>0.90397950000000005</v>
      </c>
      <c r="AB4714">
        <v>31</v>
      </c>
      <c r="AC4714">
        <v>0.73050000000000603</v>
      </c>
      <c r="AD4714">
        <v>-5.0882999999999998E-2</v>
      </c>
      <c r="AE4714">
        <v>-0.34482000000000501</v>
      </c>
      <c r="AF4714">
        <v>-0.44959286910204599</v>
      </c>
      <c r="AG4714">
        <v>-5.0882999999999998E-2</v>
      </c>
      <c r="AH4714">
        <v>0.66727043340479297</v>
      </c>
      <c r="AI4714">
        <v>93.618566388075806</v>
      </c>
      <c r="AJ4714">
        <v>123.971265982826</v>
      </c>
      <c r="AK4714">
        <v>0.80620881844137005</v>
      </c>
      <c r="AL4714">
        <v>82.310966359212998</v>
      </c>
      <c r="AM4714">
        <v>106.83337375038499</v>
      </c>
      <c r="AN4714">
        <v>0.99999992752230205</v>
      </c>
    </row>
    <row r="4715" spans="1:40" x14ac:dyDescent="0.3">
      <c r="A4715" t="str">
        <f>"20200111150122527"</f>
        <v>20200111150122527</v>
      </c>
      <c r="B4715" t="str">
        <f>"1578726082522305"</f>
        <v>1578726082522305</v>
      </c>
      <c r="C4715" t="s">
        <v>40</v>
      </c>
      <c r="D4715">
        <v>4.4276730000000004</v>
      </c>
      <c r="E4715">
        <v>0.44440960000000002</v>
      </c>
      <c r="F4715" t="s">
        <v>41</v>
      </c>
      <c r="G4715">
        <v>-298.10399999999998</v>
      </c>
      <c r="H4715">
        <v>1.054818</v>
      </c>
      <c r="I4715">
        <v>-48.656779999999998</v>
      </c>
      <c r="J4715">
        <v>-298.79750000000001</v>
      </c>
      <c r="K4715">
        <v>1.117297</v>
      </c>
      <c r="L4715">
        <v>-48.33081</v>
      </c>
      <c r="M4715">
        <v>0.52441789999999999</v>
      </c>
      <c r="N4715">
        <v>0</v>
      </c>
      <c r="O4715">
        <v>-0.85134690000000002</v>
      </c>
      <c r="P4715">
        <v>0.73828950000000004</v>
      </c>
      <c r="Q4715">
        <v>0.12886059999999999</v>
      </c>
      <c r="R4715">
        <v>-0.66206039999999999</v>
      </c>
      <c r="S4715">
        <v>2.5522770000000001</v>
      </c>
      <c r="T4715">
        <v>-0.18430830000000001</v>
      </c>
      <c r="U4715">
        <v>-1.73046899999999</v>
      </c>
      <c r="V4715">
        <v>-0.285618599999999</v>
      </c>
      <c r="W4715">
        <v>0.1333741</v>
      </c>
      <c r="X4715">
        <v>0.949017</v>
      </c>
      <c r="Y4715">
        <v>-0.408835</v>
      </c>
      <c r="Z4715">
        <v>5.7510230000000002E-2</v>
      </c>
      <c r="AA4715">
        <v>0.9107944</v>
      </c>
      <c r="AB4715">
        <v>31</v>
      </c>
      <c r="AC4715">
        <v>0.69349999999997103</v>
      </c>
      <c r="AD4715">
        <v>-6.2478999999999903E-2</v>
      </c>
      <c r="AE4715">
        <v>-0.32596999999999798</v>
      </c>
      <c r="AF4715">
        <v>-0.41673493072217799</v>
      </c>
      <c r="AG4715">
        <v>-6.2478999999999903E-2</v>
      </c>
      <c r="AH4715">
        <v>0.63702480770522696</v>
      </c>
      <c r="AI4715">
        <v>94.692122733095502</v>
      </c>
      <c r="AJ4715">
        <v>123.192289672908</v>
      </c>
      <c r="AK4715">
        <v>0.76378808157557698</v>
      </c>
      <c r="AL4715">
        <v>82.335387151749899</v>
      </c>
      <c r="AM4715">
        <v>106.749828510092</v>
      </c>
      <c r="AN4715">
        <v>0.99999995075288295</v>
      </c>
    </row>
    <row r="4716" spans="1:40" x14ac:dyDescent="0.3">
      <c r="A4716" t="str">
        <f>"20200111150122549"</f>
        <v>20200111150122549</v>
      </c>
      <c r="B4716" t="str">
        <f>"1578726082542800"</f>
        <v>1578726082542800</v>
      </c>
      <c r="C4716" t="s">
        <v>40</v>
      </c>
      <c r="D4716">
        <v>4.4056329999999999</v>
      </c>
      <c r="E4716">
        <v>0.4461618</v>
      </c>
      <c r="F4716" t="s">
        <v>83</v>
      </c>
      <c r="G4716">
        <v>-285.6223</v>
      </c>
      <c r="H4716" s="1">
        <v>-4.061192E-6</v>
      </c>
      <c r="I4716">
        <v>-57.222189999999998</v>
      </c>
      <c r="J4716">
        <v>-298.62130000000002</v>
      </c>
      <c r="K4716">
        <v>1.1172899999999999</v>
      </c>
      <c r="L4716">
        <v>-48.589750000000002</v>
      </c>
      <c r="M4716">
        <v>0.53735509999999997</v>
      </c>
      <c r="N4716">
        <v>0</v>
      </c>
      <c r="O4716">
        <v>-0.84324069999999995</v>
      </c>
      <c r="P4716">
        <v>0.74742379999999997</v>
      </c>
      <c r="Q4716">
        <v>0.12826879999999999</v>
      </c>
      <c r="R4716">
        <v>-0.65184750000000002</v>
      </c>
      <c r="S4716">
        <v>2.5550229999999998</v>
      </c>
      <c r="T4716">
        <v>-0.21667429999999999</v>
      </c>
      <c r="U4716">
        <v>-1.7242740000000001</v>
      </c>
      <c r="V4716">
        <v>-0.2842422</v>
      </c>
      <c r="W4716">
        <v>0.13283200000000001</v>
      </c>
      <c r="X4716">
        <v>0.94950619999999997</v>
      </c>
      <c r="Y4716">
        <v>-0.39626830000000002</v>
      </c>
      <c r="Z4716">
        <v>6.6955280000000006E-2</v>
      </c>
      <c r="AA4716">
        <v>0.91569009999999995</v>
      </c>
      <c r="AB4716">
        <v>31</v>
      </c>
      <c r="AC4716">
        <v>12.999000000000001</v>
      </c>
      <c r="AD4716">
        <v>-1.1172940611919999</v>
      </c>
      <c r="AE4716">
        <v>-8.6324400000000008</v>
      </c>
      <c r="AF4716">
        <v>-6.2909628733318703</v>
      </c>
      <c r="AG4716">
        <v>-1.1172940611919999</v>
      </c>
      <c r="AH4716">
        <v>14.192927294366299</v>
      </c>
      <c r="AI4716">
        <v>94.116419161064101</v>
      </c>
      <c r="AJ4716">
        <v>113.90513958321201</v>
      </c>
      <c r="AK4716">
        <v>15.5648239654672</v>
      </c>
      <c r="AL4716">
        <v>82.366726391542997</v>
      </c>
      <c r="AM4716">
        <v>106.66548732008</v>
      </c>
      <c r="AN4716">
        <v>0.99999999616163904</v>
      </c>
    </row>
    <row r="4717" spans="1:40" x14ac:dyDescent="0.3">
      <c r="A4717" t="str">
        <f>"20200111150122572"</f>
        <v>20200111150122572</v>
      </c>
      <c r="B4717" t="str">
        <f>"1578726082562321"</f>
        <v>1578726082562321</v>
      </c>
      <c r="C4717" t="s">
        <v>40</v>
      </c>
      <c r="D4717">
        <v>4.3974679999999999</v>
      </c>
      <c r="E4717">
        <v>0.44750719999999999</v>
      </c>
      <c r="F4717" t="s">
        <v>83</v>
      </c>
      <c r="G4717">
        <v>-286.1728</v>
      </c>
      <c r="H4717" s="1">
        <v>-3.8549049999999996E-6</v>
      </c>
      <c r="I4717">
        <v>-56.824629999999999</v>
      </c>
      <c r="J4717">
        <v>-298.44740000000002</v>
      </c>
      <c r="K4717">
        <v>1.117283</v>
      </c>
      <c r="L4717">
        <v>-48.837400000000002</v>
      </c>
      <c r="M4717">
        <v>0.54972790000000005</v>
      </c>
      <c r="N4717">
        <v>0</v>
      </c>
      <c r="O4717">
        <v>-0.83522719999999995</v>
      </c>
      <c r="P4717">
        <v>0.75581449999999994</v>
      </c>
      <c r="Q4717">
        <v>0.12760050000000001</v>
      </c>
      <c r="R4717">
        <v>-0.64223229999999998</v>
      </c>
      <c r="S4717">
        <v>2.5704349999999998</v>
      </c>
      <c r="T4717">
        <v>-0.2307044</v>
      </c>
      <c r="U4717">
        <v>-1.7003779999999999</v>
      </c>
      <c r="V4717">
        <v>-0.28246139999999997</v>
      </c>
      <c r="W4717">
        <v>0.13222890000000001</v>
      </c>
      <c r="X4717">
        <v>0.95012160000000001</v>
      </c>
      <c r="Y4717">
        <v>-0.39091239999999999</v>
      </c>
      <c r="Z4717">
        <v>7.075207E-2</v>
      </c>
      <c r="AA4717">
        <v>0.91770459999999998</v>
      </c>
      <c r="AB4717">
        <v>31</v>
      </c>
      <c r="AC4717">
        <v>12.2746</v>
      </c>
      <c r="AD4717">
        <v>-1.1172868549049999</v>
      </c>
      <c r="AE4717">
        <v>-7.9872300000000003</v>
      </c>
      <c r="AF4717">
        <v>-5.8279245163968696</v>
      </c>
      <c r="AG4717">
        <v>-1.1172868549049999</v>
      </c>
      <c r="AH4717">
        <v>13.3424853368144</v>
      </c>
      <c r="AI4717">
        <v>94.388163344171801</v>
      </c>
      <c r="AJ4717">
        <v>113.59544192381399</v>
      </c>
      <c r="AK4717">
        <v>14.602566522638099</v>
      </c>
      <c r="AL4717">
        <v>82.401588952364804</v>
      </c>
      <c r="AM4717">
        <v>106.556673346586</v>
      </c>
      <c r="AN4717">
        <v>0.99999998963586501</v>
      </c>
    </row>
    <row r="4718" spans="1:40" x14ac:dyDescent="0.3">
      <c r="A4718" t="str">
        <f>"20200111150122606"</f>
        <v>20200111150122606</v>
      </c>
      <c r="B4718" t="str">
        <f>"1578726082602336"</f>
        <v>1578726082602336</v>
      </c>
      <c r="C4718" t="s">
        <v>40</v>
      </c>
      <c r="D4718">
        <v>4.5821670000000001</v>
      </c>
      <c r="E4718">
        <v>0.44990239999999998</v>
      </c>
      <c r="F4718" t="s">
        <v>83</v>
      </c>
      <c r="G4718">
        <v>-286.42200000000003</v>
      </c>
      <c r="H4718" s="1">
        <v>-3.7638740000000002E-6</v>
      </c>
      <c r="I4718">
        <v>-56.631689999999999</v>
      </c>
      <c r="J4718">
        <v>-298.17469999999997</v>
      </c>
      <c r="K4718">
        <v>1.117286</v>
      </c>
      <c r="L4718">
        <v>-49.210940000000001</v>
      </c>
      <c r="M4718">
        <v>0.56838849999999996</v>
      </c>
      <c r="N4718">
        <v>0</v>
      </c>
      <c r="O4718">
        <v>-0.82264190000000004</v>
      </c>
      <c r="P4718">
        <v>0.76882320000000004</v>
      </c>
      <c r="Q4718">
        <v>0.1288484</v>
      </c>
      <c r="R4718">
        <v>-0.62634590000000001</v>
      </c>
      <c r="S4718">
        <v>2.5857239999999999</v>
      </c>
      <c r="T4718">
        <v>-0.2402397</v>
      </c>
      <c r="U4718">
        <v>-1.675934</v>
      </c>
      <c r="V4718">
        <v>-0.28073290000000001</v>
      </c>
      <c r="W4718">
        <v>0.13354179999999999</v>
      </c>
      <c r="X4718">
        <v>0.95045020000000002</v>
      </c>
      <c r="Y4718">
        <v>-0.37859140000000002</v>
      </c>
      <c r="Z4718">
        <v>7.2688740000000002E-2</v>
      </c>
      <c r="AA4718">
        <v>0.9227052</v>
      </c>
      <c r="AB4718">
        <v>31</v>
      </c>
      <c r="AC4718">
        <v>11.7526999999999</v>
      </c>
      <c r="AD4718">
        <v>-1.117289763874</v>
      </c>
      <c r="AE4718">
        <v>-7.4207499999999902</v>
      </c>
      <c r="AF4718">
        <v>-5.4159299906225797</v>
      </c>
      <c r="AG4718">
        <v>-1.117289763874</v>
      </c>
      <c r="AH4718">
        <v>12.703877724751401</v>
      </c>
      <c r="AI4718">
        <v>94.625349489767004</v>
      </c>
      <c r="AJ4718">
        <v>113.08957021052299</v>
      </c>
      <c r="AK4718">
        <v>13.8552929714682</v>
      </c>
      <c r="AL4718">
        <v>82.325692131127397</v>
      </c>
      <c r="AM4718">
        <v>106.455472161968</v>
      </c>
      <c r="AN4718">
        <v>0.99999997808484398</v>
      </c>
    </row>
    <row r="4719" spans="1:40" x14ac:dyDescent="0.3">
      <c r="A4719" t="str">
        <f>"20200111150122627"</f>
        <v>20200111150122627</v>
      </c>
      <c r="B4719" t="str">
        <f>"1578726082622836"</f>
        <v>1578726082622836</v>
      </c>
      <c r="C4719" t="s">
        <v>40</v>
      </c>
      <c r="D4719">
        <v>4.5078750000000003</v>
      </c>
      <c r="E4719">
        <v>0.45116519999999999</v>
      </c>
      <c r="F4719" t="s">
        <v>83</v>
      </c>
      <c r="G4719">
        <v>-286.36</v>
      </c>
      <c r="H4719" s="1">
        <v>-3.795741E-6</v>
      </c>
      <c r="I4719">
        <v>-56.627850000000002</v>
      </c>
      <c r="J4719">
        <v>-297.99220000000003</v>
      </c>
      <c r="K4719">
        <v>1.117278</v>
      </c>
      <c r="L4719">
        <v>-49.451169999999998</v>
      </c>
      <c r="M4719">
        <v>0.58039280000000004</v>
      </c>
      <c r="N4719">
        <v>0</v>
      </c>
      <c r="O4719">
        <v>-0.81421719999999997</v>
      </c>
      <c r="P4719">
        <v>0.77706989999999998</v>
      </c>
      <c r="Q4719">
        <v>0.12963720000000001</v>
      </c>
      <c r="R4719">
        <v>-0.61591940000000001</v>
      </c>
      <c r="S4719">
        <v>2.6090390000000001</v>
      </c>
      <c r="T4719">
        <v>-0.24673110000000001</v>
      </c>
      <c r="U4719">
        <v>-1.6378779999999999</v>
      </c>
      <c r="V4719">
        <v>-0.2795262</v>
      </c>
      <c r="W4719">
        <v>0.13437679999999999</v>
      </c>
      <c r="X4719">
        <v>0.95068819999999998</v>
      </c>
      <c r="Y4719">
        <v>-0.37826130000000002</v>
      </c>
      <c r="Z4719">
        <v>7.4171650000000006E-2</v>
      </c>
      <c r="AA4719">
        <v>0.92272259999999995</v>
      </c>
      <c r="AB4719">
        <v>31</v>
      </c>
      <c r="AC4719">
        <v>11.632199999999999</v>
      </c>
      <c r="AD4719">
        <v>-1.117281795741</v>
      </c>
      <c r="AE4719">
        <v>-7.1766800000000002</v>
      </c>
      <c r="AF4719">
        <v>-5.2711373736962299</v>
      </c>
      <c r="AG4719">
        <v>-1.117281795741</v>
      </c>
      <c r="AH4719">
        <v>12.5122375945238</v>
      </c>
      <c r="AI4719">
        <v>94.704321107341698</v>
      </c>
      <c r="AJ4719">
        <v>112.84464846501599</v>
      </c>
      <c r="AK4719">
        <v>13.6231162897953</v>
      </c>
      <c r="AL4719">
        <v>82.2774154827366</v>
      </c>
      <c r="AM4719">
        <v>106.384660218126</v>
      </c>
      <c r="AN4719">
        <v>1.00000003724195</v>
      </c>
    </row>
    <row r="4720" spans="1:40" x14ac:dyDescent="0.3">
      <c r="A4720" t="str">
        <f>"20200111150122649"</f>
        <v>20200111150122649</v>
      </c>
      <c r="B4720" t="str">
        <f>"1578726082642355"</f>
        <v>1578726082642355</v>
      </c>
      <c r="C4720" t="s">
        <v>40</v>
      </c>
      <c r="D4720">
        <v>4.5042299999999997</v>
      </c>
      <c r="E4720">
        <v>0.45249319999999998</v>
      </c>
      <c r="F4720" t="s">
        <v>83</v>
      </c>
      <c r="G4720">
        <v>-285.84949999999998</v>
      </c>
      <c r="H4720" s="1">
        <v>-4.0033490000000001E-6</v>
      </c>
      <c r="I4720">
        <v>-56.904730000000001</v>
      </c>
      <c r="J4720">
        <v>-297.80250000000001</v>
      </c>
      <c r="K4720">
        <v>1.1172740000000001</v>
      </c>
      <c r="L4720">
        <v>-49.693330000000003</v>
      </c>
      <c r="M4720">
        <v>0.59249540000000001</v>
      </c>
      <c r="N4720">
        <v>0</v>
      </c>
      <c r="O4720">
        <v>-0.80545310000000003</v>
      </c>
      <c r="P4720">
        <v>0.78536989999999995</v>
      </c>
      <c r="Q4720">
        <v>0.1293367</v>
      </c>
      <c r="R4720">
        <v>-0.60536469999999998</v>
      </c>
      <c r="S4720">
        <v>2.6242070000000002</v>
      </c>
      <c r="T4720">
        <v>-0.24145910000000001</v>
      </c>
      <c r="U4720">
        <v>-1.6108089999999999</v>
      </c>
      <c r="V4720">
        <v>-0.27818799999999999</v>
      </c>
      <c r="W4720">
        <v>0.1341292</v>
      </c>
      <c r="X4720">
        <v>0.9511155</v>
      </c>
      <c r="Y4720">
        <v>-0.37386049999999998</v>
      </c>
      <c r="Z4720">
        <v>7.2014399999999895E-2</v>
      </c>
      <c r="AA4720">
        <v>0.92468490000000003</v>
      </c>
      <c r="AB4720">
        <v>31</v>
      </c>
      <c r="AC4720">
        <v>11.952999999999999</v>
      </c>
      <c r="AD4720">
        <v>-1.117278003349</v>
      </c>
      <c r="AE4720">
        <v>-7.21140000000001</v>
      </c>
      <c r="AF4720">
        <v>-5.3212944393332702</v>
      </c>
      <c r="AG4720">
        <v>-1.117278003349</v>
      </c>
      <c r="AH4720">
        <v>12.809741971711301</v>
      </c>
      <c r="AI4720">
        <v>94.605092564391697</v>
      </c>
      <c r="AJ4720">
        <v>112.55848522495199</v>
      </c>
      <c r="AK4720">
        <v>13.9159611248619</v>
      </c>
      <c r="AL4720">
        <v>82.291730842395395</v>
      </c>
      <c r="AM4720">
        <v>106.30346084789301</v>
      </c>
      <c r="AN4720">
        <v>0.99999994998844299</v>
      </c>
    </row>
    <row r="4721" spans="1:40" x14ac:dyDescent="0.3">
      <c r="A4721" t="str">
        <f>"20200111150122671"</f>
        <v>20200111150122671</v>
      </c>
      <c r="B4721" t="str">
        <f>"1578726082662849"</f>
        <v>1578726082662849</v>
      </c>
      <c r="C4721" t="s">
        <v>40</v>
      </c>
      <c r="D4721">
        <v>4.4375309999999999</v>
      </c>
      <c r="E4721">
        <v>0.45334530000000001</v>
      </c>
      <c r="F4721" t="s">
        <v>83</v>
      </c>
      <c r="G4721">
        <v>-285.65660000000003</v>
      </c>
      <c r="H4721" s="1">
        <v>-4.0867899999999997E-6</v>
      </c>
      <c r="I4721">
        <v>-56.981209999999997</v>
      </c>
      <c r="J4721">
        <v>-297.6096</v>
      </c>
      <c r="K4721">
        <v>1.11727</v>
      </c>
      <c r="L4721">
        <v>-49.932310000000001</v>
      </c>
      <c r="M4721">
        <v>0.60443769999999997</v>
      </c>
      <c r="N4721">
        <v>0</v>
      </c>
      <c r="O4721">
        <v>-0.79653009999999902</v>
      </c>
      <c r="P4721">
        <v>0.79327230000000004</v>
      </c>
      <c r="Q4721">
        <v>0.13049089999999999</v>
      </c>
      <c r="R4721">
        <v>-0.59471940000000001</v>
      </c>
      <c r="S4721">
        <v>2.6391909999999998</v>
      </c>
      <c r="T4721">
        <v>-0.24277409999999999</v>
      </c>
      <c r="U4721">
        <v>-1.583588</v>
      </c>
      <c r="V4721">
        <v>-0.27671259999999998</v>
      </c>
      <c r="W4721">
        <v>0.13534019999999999</v>
      </c>
      <c r="X4721">
        <v>0.95137439999999995</v>
      </c>
      <c r="Y4721">
        <v>-0.36935699999999999</v>
      </c>
      <c r="Z4721">
        <v>7.1797509999999995E-2</v>
      </c>
      <c r="AA4721">
        <v>0.9265099</v>
      </c>
      <c r="AB4721">
        <v>31</v>
      </c>
      <c r="AC4721">
        <v>11.9529999999999</v>
      </c>
      <c r="AD4721">
        <v>-1.11727408679</v>
      </c>
      <c r="AE4721">
        <v>-7.04889999999999</v>
      </c>
      <c r="AF4721">
        <v>-5.2269317649706704</v>
      </c>
      <c r="AG4721">
        <v>-1.11727408679</v>
      </c>
      <c r="AH4721">
        <v>12.758050415777699</v>
      </c>
      <c r="AI4721">
        <v>94.632935768534495</v>
      </c>
      <c r="AJ4721">
        <v>112.27875293821501</v>
      </c>
      <c r="AK4721">
        <v>13.8324606441586</v>
      </c>
      <c r="AL4721">
        <v>82.221707860038507</v>
      </c>
      <c r="AM4721">
        <v>106.217369541257</v>
      </c>
      <c r="AN4721">
        <v>1.00000004085507</v>
      </c>
    </row>
    <row r="4722" spans="1:40" x14ac:dyDescent="0.3">
      <c r="A4722" t="str">
        <f>"20200111150122694"</f>
        <v>20200111150122694</v>
      </c>
      <c r="B4722" t="str">
        <f>"1578726082682369"</f>
        <v>1578726082682369</v>
      </c>
      <c r="C4722" t="s">
        <v>40</v>
      </c>
      <c r="D4722">
        <v>4.4007639999999997</v>
      </c>
      <c r="E4722">
        <v>0.45418310000000001</v>
      </c>
      <c r="F4722" t="s">
        <v>83</v>
      </c>
      <c r="G4722">
        <v>-285.24279999999999</v>
      </c>
      <c r="H4722" s="1">
        <v>-4.261869E-6</v>
      </c>
      <c r="I4722">
        <v>-57.167439999999999</v>
      </c>
      <c r="J4722">
        <v>-297.41520000000003</v>
      </c>
      <c r="K4722">
        <v>1.117254</v>
      </c>
      <c r="L4722">
        <v>-50.166020000000003</v>
      </c>
      <c r="M4722">
        <v>0.61610600000000004</v>
      </c>
      <c r="N4722">
        <v>0</v>
      </c>
      <c r="O4722">
        <v>-0.78754000000000002</v>
      </c>
      <c r="P4722">
        <v>0.80043719999999996</v>
      </c>
      <c r="Q4722">
        <v>0.1317489</v>
      </c>
      <c r="R4722">
        <v>-0.58475909999999998</v>
      </c>
      <c r="S4722">
        <v>2.6562190000000001</v>
      </c>
      <c r="T4722">
        <v>-0.23997650000000001</v>
      </c>
      <c r="U4722">
        <v>-1.5540160000000001</v>
      </c>
      <c r="V4722">
        <v>-0.27445510000000001</v>
      </c>
      <c r="W4722">
        <v>0.1366832</v>
      </c>
      <c r="X4722">
        <v>0.95183620000000002</v>
      </c>
      <c r="Y4722">
        <v>-0.36603219999999997</v>
      </c>
      <c r="Z4722">
        <v>7.0370639999999998E-2</v>
      </c>
      <c r="AA4722">
        <v>0.92793769999999998</v>
      </c>
      <c r="AB4722">
        <v>31</v>
      </c>
      <c r="AC4722">
        <v>12.1724</v>
      </c>
      <c r="AD4722">
        <v>-1.1172582618689999</v>
      </c>
      <c r="AE4722">
        <v>-7.0014199999999898</v>
      </c>
      <c r="AF4722">
        <v>-5.2399759929204297</v>
      </c>
      <c r="AG4722">
        <v>-1.1172582618689999</v>
      </c>
      <c r="AH4722">
        <v>12.932781244774899</v>
      </c>
      <c r="AI4722">
        <v>94.577748548278393</v>
      </c>
      <c r="AJ4722">
        <v>112.05631859551799</v>
      </c>
      <c r="AK4722">
        <v>13.9986586912924</v>
      </c>
      <c r="AL4722">
        <v>82.144037733176404</v>
      </c>
      <c r="AM4722">
        <v>106.08453471057901</v>
      </c>
      <c r="AN4722">
        <v>1.00000002535434</v>
      </c>
    </row>
    <row r="4723" spans="1:40" x14ac:dyDescent="0.3">
      <c r="A4723" t="str">
        <f>"20200111150122716"</f>
        <v>20200111150122716</v>
      </c>
      <c r="B4723" t="str">
        <f>"1578726082712114"</f>
        <v>1578726082712114</v>
      </c>
      <c r="C4723" t="s">
        <v>40</v>
      </c>
      <c r="D4723">
        <v>4.4249450000000001</v>
      </c>
      <c r="E4723">
        <v>0.45576749999999999</v>
      </c>
      <c r="F4723" t="s">
        <v>83</v>
      </c>
      <c r="G4723">
        <v>-284.7629</v>
      </c>
      <c r="H4723" s="1">
        <v>-4.4562300000000002E-6</v>
      </c>
      <c r="I4723">
        <v>-57.39134</v>
      </c>
      <c r="J4723">
        <v>-297.21409999999997</v>
      </c>
      <c r="K4723">
        <v>1.1172200000000001</v>
      </c>
      <c r="L4723">
        <v>-50.400730000000003</v>
      </c>
      <c r="M4723">
        <v>0.62780899999999995</v>
      </c>
      <c r="N4723">
        <v>0</v>
      </c>
      <c r="O4723">
        <v>-0.77824230000000005</v>
      </c>
      <c r="P4723">
        <v>0.80780240000000003</v>
      </c>
      <c r="Q4723">
        <v>0.13166059999999999</v>
      </c>
      <c r="R4723">
        <v>-0.57456169999999995</v>
      </c>
      <c r="S4723">
        <v>2.6720280000000001</v>
      </c>
      <c r="T4723">
        <v>-0.23595289999999999</v>
      </c>
      <c r="U4723">
        <v>-1.525909</v>
      </c>
      <c r="V4723">
        <v>-0.27229399999999998</v>
      </c>
      <c r="W4723">
        <v>0.13668279999999999</v>
      </c>
      <c r="X4723">
        <v>0.95245670000000004</v>
      </c>
      <c r="Y4723">
        <v>-0.36196339999999999</v>
      </c>
      <c r="Z4723">
        <v>6.8555450000000004E-2</v>
      </c>
      <c r="AA4723">
        <v>0.9296681</v>
      </c>
      <c r="AB4723">
        <v>31</v>
      </c>
      <c r="AC4723">
        <v>12.451199999999901</v>
      </c>
      <c r="AD4723">
        <v>-1.11722445623</v>
      </c>
      <c r="AE4723">
        <v>-6.9906100000000002</v>
      </c>
      <c r="AF4723">
        <v>-5.2695412579385597</v>
      </c>
      <c r="AG4723">
        <v>-1.11722445623</v>
      </c>
      <c r="AH4723">
        <v>13.177985448597701</v>
      </c>
      <c r="AI4723">
        <v>94.501001540140194</v>
      </c>
      <c r="AJ4723">
        <v>111.795213839844</v>
      </c>
      <c r="AK4723">
        <v>14.236416544839001</v>
      </c>
      <c r="AL4723">
        <v>82.144060571835695</v>
      </c>
      <c r="AM4723">
        <v>105.95448945398699</v>
      </c>
      <c r="AN4723">
        <v>0.99999998781336397</v>
      </c>
    </row>
    <row r="4724" spans="1:40" x14ac:dyDescent="0.3">
      <c r="A4724" t="str">
        <f>"20200111150122739"</f>
        <v>20200111150122739</v>
      </c>
      <c r="B4724" t="str">
        <f>"1578726082732610"</f>
        <v>1578726082732610</v>
      </c>
      <c r="C4724" t="s">
        <v>40</v>
      </c>
      <c r="D4724">
        <v>4.4985999999999997</v>
      </c>
      <c r="E4724">
        <v>0.4566846</v>
      </c>
      <c r="F4724" t="s">
        <v>83</v>
      </c>
      <c r="G4724">
        <v>-284.55759999999998</v>
      </c>
      <c r="H4724" s="1">
        <v>-4.5352899999999997E-6</v>
      </c>
      <c r="I4724">
        <v>-57.484499999999997</v>
      </c>
      <c r="J4724">
        <v>-297.00290000000001</v>
      </c>
      <c r="K4724">
        <v>1.117173</v>
      </c>
      <c r="L4724">
        <v>-50.639919999999996</v>
      </c>
      <c r="M4724">
        <v>0.63970559999999999</v>
      </c>
      <c r="N4724">
        <v>0</v>
      </c>
      <c r="O4724">
        <v>-0.76849369999999995</v>
      </c>
      <c r="P4724">
        <v>0.81523659999999998</v>
      </c>
      <c r="Q4724">
        <v>0.13060910000000001</v>
      </c>
      <c r="R4724">
        <v>-0.56420809999999999</v>
      </c>
      <c r="S4724">
        <v>2.6839599999999999</v>
      </c>
      <c r="T4724">
        <v>-0.23692050000000001</v>
      </c>
      <c r="U4724">
        <v>-1.502197</v>
      </c>
      <c r="V4724">
        <v>-0.26987709999999998</v>
      </c>
      <c r="W4724">
        <v>0.13573370000000001</v>
      </c>
      <c r="X4724">
        <v>0.95328000000000002</v>
      </c>
      <c r="Y4724">
        <v>-0.35564509999999899</v>
      </c>
      <c r="Z4724">
        <v>6.8115079999999995E-2</v>
      </c>
      <c r="AA4724">
        <v>0.93213570000000001</v>
      </c>
      <c r="AB4724">
        <v>31</v>
      </c>
      <c r="AC4724">
        <v>12.4453</v>
      </c>
      <c r="AD4724">
        <v>-1.11717753529</v>
      </c>
      <c r="AE4724">
        <v>-6.8445799999999899</v>
      </c>
      <c r="AF4724">
        <v>-5.15423383704948</v>
      </c>
      <c r="AG4724">
        <v>-1.11717753529</v>
      </c>
      <c r="AH4724">
        <v>13.1413258486324</v>
      </c>
      <c r="AI4724">
        <v>94.525117342648301</v>
      </c>
      <c r="AJ4724">
        <v>111.41588939682801</v>
      </c>
      <c r="AK4724">
        <v>14.1601079498808</v>
      </c>
      <c r="AL4724">
        <v>82.198951842251105</v>
      </c>
      <c r="AM4724">
        <v>105.807014190594</v>
      </c>
      <c r="AN4724">
        <v>1.00000002241004</v>
      </c>
    </row>
    <row r="4725" spans="1:40" x14ac:dyDescent="0.3">
      <c r="A4725" t="str">
        <f>"20200111150122760"</f>
        <v>20200111150122760</v>
      </c>
      <c r="B4725" t="str">
        <f>"1578726082752130"</f>
        <v>1578726082752130</v>
      </c>
      <c r="C4725" t="s">
        <v>40</v>
      </c>
      <c r="D4725">
        <v>4.3674879999999998</v>
      </c>
      <c r="E4725">
        <v>0.45774419999999999</v>
      </c>
      <c r="F4725" t="s">
        <v>83</v>
      </c>
      <c r="G4725">
        <v>-284.3621</v>
      </c>
      <c r="H4725" s="1">
        <v>-4.6161050000000001E-6</v>
      </c>
      <c r="I4725">
        <v>-57.542140000000003</v>
      </c>
      <c r="J4725">
        <v>-296.8066</v>
      </c>
      <c r="K4725">
        <v>1.117116</v>
      </c>
      <c r="L4725">
        <v>-50.855589999999999</v>
      </c>
      <c r="M4725">
        <v>0.65039480000000005</v>
      </c>
      <c r="N4725">
        <v>0</v>
      </c>
      <c r="O4725">
        <v>-0.75946840000000004</v>
      </c>
      <c r="P4725">
        <v>0.82149779999999994</v>
      </c>
      <c r="Q4725">
        <v>0.12817770000000001</v>
      </c>
      <c r="R4725">
        <v>-0.55561819999999995</v>
      </c>
      <c r="S4725">
        <v>2.6983950000000001</v>
      </c>
      <c r="T4725">
        <v>-0.23847930000000001</v>
      </c>
      <c r="U4725">
        <v>-1.4733889999999901</v>
      </c>
      <c r="V4725">
        <v>-0.26674179999999997</v>
      </c>
      <c r="W4725">
        <v>0.133436</v>
      </c>
      <c r="X4725">
        <v>0.9544861</v>
      </c>
      <c r="Y4725">
        <v>-0.352323</v>
      </c>
      <c r="Z4725">
        <v>6.7952750000000006E-2</v>
      </c>
      <c r="AA4725">
        <v>0.93340829999999997</v>
      </c>
      <c r="AB4725">
        <v>31</v>
      </c>
      <c r="AC4725">
        <v>12.4445</v>
      </c>
      <c r="AD4725">
        <v>-1.117120616105</v>
      </c>
      <c r="AE4725">
        <v>-6.6865500000000004</v>
      </c>
      <c r="AF4725">
        <v>-5.0710931841252904</v>
      </c>
      <c r="AG4725">
        <v>-1.117120616105</v>
      </c>
      <c r="AH4725">
        <v>13.091479868557</v>
      </c>
      <c r="AI4725">
        <v>94.549484533271098</v>
      </c>
      <c r="AJ4725">
        <v>111.174289516247</v>
      </c>
      <c r="AK4725">
        <v>14.083706532793199</v>
      </c>
      <c r="AL4725">
        <v>82.331809202162702</v>
      </c>
      <c r="AM4725">
        <v>105.613614096763</v>
      </c>
      <c r="AN4725">
        <v>1.0000000345282201</v>
      </c>
    </row>
    <row r="4726" spans="1:40" x14ac:dyDescent="0.3">
      <c r="A4726" t="str">
        <f>"20200111150122783"</f>
        <v>20200111150122783</v>
      </c>
      <c r="B4726" t="str">
        <f>"1578726082772626"</f>
        <v>1578726082772626</v>
      </c>
      <c r="C4726" t="s">
        <v>40</v>
      </c>
      <c r="D4726">
        <v>4.2863759999999997</v>
      </c>
      <c r="E4726">
        <v>0.48089209999999899</v>
      </c>
      <c r="F4726" t="s">
        <v>83</v>
      </c>
      <c r="G4726">
        <v>-284.61169999999998</v>
      </c>
      <c r="H4726" s="1">
        <v>-4.5282680000000003E-6</v>
      </c>
      <c r="I4726">
        <v>-57.382420000000003</v>
      </c>
      <c r="J4726">
        <v>-296.59649999999999</v>
      </c>
      <c r="K4726">
        <v>1.1170370000000001</v>
      </c>
      <c r="L4726">
        <v>-51.079740000000001</v>
      </c>
      <c r="M4726">
        <v>0.66144449999999999</v>
      </c>
      <c r="N4726">
        <v>0</v>
      </c>
      <c r="O4726">
        <v>-0.74986509999999995</v>
      </c>
      <c r="P4726">
        <v>0.82797369999999904</v>
      </c>
      <c r="Q4726">
        <v>0.12682009999999999</v>
      </c>
      <c r="R4726">
        <v>-0.54623849999999996</v>
      </c>
      <c r="S4726">
        <v>2.7097169999999999</v>
      </c>
      <c r="T4726">
        <v>-0.24822350000000001</v>
      </c>
      <c r="U4726">
        <v>-1.450256</v>
      </c>
      <c r="V4726">
        <v>-0.26371090000000003</v>
      </c>
      <c r="W4726">
        <v>0.13221429999999901</v>
      </c>
      <c r="X4726">
        <v>0.95549770000000001</v>
      </c>
      <c r="Y4726">
        <v>-0.3462517</v>
      </c>
      <c r="Z4726">
        <v>6.9951780000000005E-2</v>
      </c>
      <c r="AA4726">
        <v>0.93553010000000003</v>
      </c>
      <c r="AB4726">
        <v>31</v>
      </c>
      <c r="AC4726">
        <v>11.9848</v>
      </c>
      <c r="AD4726">
        <v>-1.117041528268</v>
      </c>
      <c r="AE4726">
        <v>-6.3026799999999898</v>
      </c>
      <c r="AF4726">
        <v>-4.7860070992247401</v>
      </c>
      <c r="AG4726">
        <v>-1.117041528268</v>
      </c>
      <c r="AH4726">
        <v>12.5691297809876</v>
      </c>
      <c r="AI4726">
        <v>94.747777787380201</v>
      </c>
      <c r="AJ4726">
        <v>110.84556923224901</v>
      </c>
      <c r="AK4726">
        <v>13.4958019095204</v>
      </c>
      <c r="AL4726">
        <v>82.402432633197193</v>
      </c>
      <c r="AM4726">
        <v>105.42914480806</v>
      </c>
      <c r="AN4726">
        <v>0.99999995730429403</v>
      </c>
    </row>
    <row r="4727" spans="1:40" x14ac:dyDescent="0.3">
      <c r="A4727" t="str">
        <f>"20200111150122805"</f>
        <v>20200111150122805</v>
      </c>
      <c r="B4727" t="str">
        <f>"1578726082802462"</f>
        <v>1578726082802462</v>
      </c>
      <c r="C4727" t="s">
        <v>40</v>
      </c>
      <c r="D4727">
        <v>4.3705699999999998</v>
      </c>
      <c r="E4727">
        <v>0.47821039999999998</v>
      </c>
      <c r="F4727" t="s">
        <v>83</v>
      </c>
      <c r="G4727">
        <v>-286.28120000000001</v>
      </c>
      <c r="H4727" s="1">
        <v>-3.7221439999999998E-6</v>
      </c>
      <c r="I4727">
        <v>-57.263919999999999</v>
      </c>
      <c r="J4727">
        <v>-296.38319999999999</v>
      </c>
      <c r="K4727">
        <v>1.1169530000000001</v>
      </c>
      <c r="L4727">
        <v>-51.300870000000003</v>
      </c>
      <c r="M4727">
        <v>0.67228319999999997</v>
      </c>
      <c r="N4727">
        <v>0</v>
      </c>
      <c r="O4727">
        <v>-0.74016359999999903</v>
      </c>
      <c r="P4727">
        <v>0.83575460000000001</v>
      </c>
      <c r="Q4727">
        <v>0.12639589999999901</v>
      </c>
      <c r="R4727">
        <v>-0.53435809999999995</v>
      </c>
      <c r="S4727">
        <v>2.6275940000000002</v>
      </c>
      <c r="T4727">
        <v>-0.28454210000000002</v>
      </c>
      <c r="U4727">
        <v>-1.5752870000000001</v>
      </c>
      <c r="V4727">
        <v>-0.26346599999999998</v>
      </c>
      <c r="W4727">
        <v>0.1318319</v>
      </c>
      <c r="X4727">
        <v>0.95561810000000003</v>
      </c>
      <c r="Y4727">
        <v>-0.2857478</v>
      </c>
      <c r="Z4727">
        <v>7.7622730000000001E-2</v>
      </c>
      <c r="AA4727">
        <v>0.95515600000000001</v>
      </c>
      <c r="AB4727">
        <v>31</v>
      </c>
      <c r="AC4727">
        <v>10.101999999999901</v>
      </c>
      <c r="AD4727">
        <v>-1.116956722144</v>
      </c>
      <c r="AE4727">
        <v>-5.9630499999999902</v>
      </c>
      <c r="AF4727">
        <v>-3.4374445954819799</v>
      </c>
      <c r="AG4727">
        <v>-1.116956722144</v>
      </c>
      <c r="AH4727">
        <v>11.105435006620199</v>
      </c>
      <c r="AI4727">
        <v>95.488139871907904</v>
      </c>
      <c r="AJ4727">
        <v>107.198767428507</v>
      </c>
      <c r="AK4727">
        <v>11.678797213429901</v>
      </c>
      <c r="AL4727">
        <v>82.424536101010105</v>
      </c>
      <c r="AM4727">
        <v>105.413648220824</v>
      </c>
      <c r="AN4727">
        <v>0.99999996803060898</v>
      </c>
    </row>
    <row r="4728" spans="1:40" x14ac:dyDescent="0.3">
      <c r="A4728" t="str">
        <f>"20200111150122828"</f>
        <v>20200111150122828</v>
      </c>
      <c r="B4728" t="str">
        <f>"1578726082821985"</f>
        <v>1578726082821985</v>
      </c>
      <c r="C4728" t="s">
        <v>40</v>
      </c>
      <c r="D4728">
        <v>4.3178830000000001</v>
      </c>
      <c r="E4728">
        <v>0.47739579999999998</v>
      </c>
      <c r="F4728" t="s">
        <v>83</v>
      </c>
      <c r="G4728">
        <v>-286.70249999999999</v>
      </c>
      <c r="H4728" s="1">
        <v>-3.5855830000000002E-6</v>
      </c>
      <c r="I4728">
        <v>-56.840020000000003</v>
      </c>
      <c r="J4728">
        <v>-296.16000000000003</v>
      </c>
      <c r="K4728">
        <v>1.1168530000000001</v>
      </c>
      <c r="L4728">
        <v>-51.52563</v>
      </c>
      <c r="M4728">
        <v>0.68321929999999997</v>
      </c>
      <c r="N4728">
        <v>0</v>
      </c>
      <c r="O4728">
        <v>-0.73008130000000004</v>
      </c>
      <c r="P4728">
        <v>0.84380669999999902</v>
      </c>
      <c r="Q4728">
        <v>0.12536130000000001</v>
      </c>
      <c r="R4728">
        <v>-0.52179989999999998</v>
      </c>
      <c r="S4728">
        <v>2.6621090000000001</v>
      </c>
      <c r="T4728">
        <v>-0.30715500000000001</v>
      </c>
      <c r="U4728">
        <v>-1.5232239999999999</v>
      </c>
      <c r="V4728">
        <v>-0.26359369999999999</v>
      </c>
      <c r="W4728">
        <v>0.130833</v>
      </c>
      <c r="X4728">
        <v>0.95572020000000002</v>
      </c>
      <c r="Y4728">
        <v>-0.29039419999999999</v>
      </c>
      <c r="Z4728">
        <v>8.2980810000000002E-2</v>
      </c>
      <c r="AA4728">
        <v>0.95330230000000005</v>
      </c>
      <c r="AB4728">
        <v>31</v>
      </c>
      <c r="AC4728">
        <v>9.4575000000000298</v>
      </c>
      <c r="AD4728">
        <v>-1.1168565855829999</v>
      </c>
      <c r="AE4728">
        <v>-5.3143899999999897</v>
      </c>
      <c r="AF4728">
        <v>-3.2398265122440102</v>
      </c>
      <c r="AG4728">
        <v>-1.1168565855829999</v>
      </c>
      <c r="AH4728">
        <v>10.2340091723923</v>
      </c>
      <c r="AI4728">
        <v>95.939841047911997</v>
      </c>
      <c r="AJ4728">
        <v>107.566460064219</v>
      </c>
      <c r="AK4728">
        <v>10.792533910199699</v>
      </c>
      <c r="AL4728">
        <v>82.482269211039096</v>
      </c>
      <c r="AM4728">
        <v>105.41919458097099</v>
      </c>
      <c r="AN4728">
        <v>1.0000000066283601</v>
      </c>
    </row>
    <row r="4729" spans="1:40" x14ac:dyDescent="0.3">
      <c r="A4729" t="str">
        <f>"20200111150122850"</f>
        <v>20200111150122850</v>
      </c>
      <c r="B4729" t="str">
        <f>"1578726082842484"</f>
        <v>1578726082842484</v>
      </c>
      <c r="C4729" t="s">
        <v>40</v>
      </c>
      <c r="D4729">
        <v>4.2173540000000003</v>
      </c>
      <c r="E4729">
        <v>0.47786780000000001</v>
      </c>
      <c r="F4729" t="s">
        <v>83</v>
      </c>
      <c r="G4729">
        <v>-286.47800000000001</v>
      </c>
      <c r="H4729" s="1">
        <v>-3.6976029999999998E-6</v>
      </c>
      <c r="I4729">
        <v>-56.845660000000002</v>
      </c>
      <c r="J4729">
        <v>-295.94839999999999</v>
      </c>
      <c r="K4729">
        <v>1.1167450000000001</v>
      </c>
      <c r="L4729">
        <v>-51.733060000000002</v>
      </c>
      <c r="M4729">
        <v>0.69321409999999895</v>
      </c>
      <c r="N4729">
        <v>0</v>
      </c>
      <c r="O4729">
        <v>-0.72059830000000002</v>
      </c>
      <c r="P4729">
        <v>0.85048889999999999</v>
      </c>
      <c r="Q4729">
        <v>0.12360980000000001</v>
      </c>
      <c r="R4729">
        <v>-0.51126210000000005</v>
      </c>
      <c r="S4729">
        <v>2.6880190000000002</v>
      </c>
      <c r="T4729">
        <v>-0.31007089999999998</v>
      </c>
      <c r="U4729">
        <v>-1.47699</v>
      </c>
      <c r="V4729">
        <v>-0.2624127</v>
      </c>
      <c r="W4729">
        <v>0.12916649999999999</v>
      </c>
      <c r="X4729">
        <v>0.95627169999999895</v>
      </c>
      <c r="Y4729">
        <v>-0.29364050000000003</v>
      </c>
      <c r="Z4729">
        <v>8.3082080000000003E-2</v>
      </c>
      <c r="AA4729">
        <v>0.9522986</v>
      </c>
      <c r="AB4729">
        <v>31</v>
      </c>
      <c r="AC4729">
        <v>9.4703999999999802</v>
      </c>
      <c r="AD4729">
        <v>-1.1167486976029899</v>
      </c>
      <c r="AE4729">
        <v>-5.1125999999999996</v>
      </c>
      <c r="AF4729">
        <v>-3.2455973605970998</v>
      </c>
      <c r="AG4729">
        <v>-1.1167486976029899</v>
      </c>
      <c r="AH4729">
        <v>10.1409423010907</v>
      </c>
      <c r="AI4729">
        <v>95.987411387341794</v>
      </c>
      <c r="AJ4729">
        <v>107.747212754066</v>
      </c>
      <c r="AK4729">
        <v>10.706060929901501</v>
      </c>
      <c r="AL4729">
        <v>82.578569697123896</v>
      </c>
      <c r="AM4729">
        <v>105.344940352629</v>
      </c>
      <c r="AN4729">
        <v>0.99999998703221404</v>
      </c>
    </row>
    <row r="4730" spans="1:40" x14ac:dyDescent="0.3">
      <c r="A4730" t="str">
        <f>"20200111150122872"</f>
        <v>20200111150122872</v>
      </c>
      <c r="B4730" t="str">
        <f>"1578726082861999"</f>
        <v>1578726082861999</v>
      </c>
      <c r="C4730" t="s">
        <v>40</v>
      </c>
      <c r="D4730">
        <v>4.2132189999999996</v>
      </c>
      <c r="E4730">
        <v>0.47898439999999998</v>
      </c>
      <c r="F4730" t="s">
        <v>83</v>
      </c>
      <c r="G4730">
        <v>-286.49430000000001</v>
      </c>
      <c r="H4730" s="1">
        <v>-3.7002600000000001E-6</v>
      </c>
      <c r="I4730">
        <v>-56.784649999999999</v>
      </c>
      <c r="J4730">
        <v>-295.72280000000001</v>
      </c>
      <c r="K4730">
        <v>1.1166100000000001</v>
      </c>
      <c r="L4730">
        <v>-51.948270000000001</v>
      </c>
      <c r="M4730">
        <v>0.70346019999999998</v>
      </c>
      <c r="N4730">
        <v>0</v>
      </c>
      <c r="O4730">
        <v>-0.71059989999999995</v>
      </c>
      <c r="P4730">
        <v>0.85687579999999997</v>
      </c>
      <c r="Q4730">
        <v>0.12281300000000001</v>
      </c>
      <c r="R4730">
        <v>-0.50068059999999903</v>
      </c>
      <c r="S4730">
        <v>2.704987</v>
      </c>
      <c r="T4730">
        <v>-0.31952049999999999</v>
      </c>
      <c r="U4730">
        <v>-1.445343</v>
      </c>
      <c r="V4730">
        <v>-0.26059060000000001</v>
      </c>
      <c r="W4730">
        <v>0.12848319999999999</v>
      </c>
      <c r="X4730">
        <v>0.95686190000000004</v>
      </c>
      <c r="Y4730">
        <v>-0.29090850000000001</v>
      </c>
      <c r="Z4730">
        <v>8.4617979999999995E-2</v>
      </c>
      <c r="AA4730">
        <v>0.9530016</v>
      </c>
      <c r="AB4730">
        <v>31</v>
      </c>
      <c r="AC4730">
        <v>9.2284999999999897</v>
      </c>
      <c r="AD4730">
        <v>-1.1166137002600001</v>
      </c>
      <c r="AE4730">
        <v>-4.8363799999999904</v>
      </c>
      <c r="AF4730">
        <v>-3.1200371337333701</v>
      </c>
      <c r="AG4730">
        <v>-1.1166137002600001</v>
      </c>
      <c r="AH4730">
        <v>9.8168127562769794</v>
      </c>
      <c r="AI4730">
        <v>96.186802827841205</v>
      </c>
      <c r="AJ4730">
        <v>107.631603305911</v>
      </c>
      <c r="AK4730">
        <v>10.361045823819399</v>
      </c>
      <c r="AL4730">
        <v>82.618049297419404</v>
      </c>
      <c r="AM4730">
        <v>105.23439853627499</v>
      </c>
      <c r="AN4730">
        <v>1.0000000445810999</v>
      </c>
    </row>
    <row r="4731" spans="1:40" x14ac:dyDescent="0.3">
      <c r="A4731" t="str">
        <f>"20200111150122918"</f>
        <v>20200111150122918</v>
      </c>
      <c r="B4731" t="str">
        <f>"1578726082912432"</f>
        <v>1578726082912432</v>
      </c>
      <c r="C4731" t="s">
        <v>40</v>
      </c>
      <c r="D4731">
        <v>4.3237709999999998</v>
      </c>
      <c r="E4731">
        <v>0.4436407</v>
      </c>
      <c r="F4731" t="s">
        <v>83</v>
      </c>
      <c r="G4731">
        <v>-286.37549999999999</v>
      </c>
      <c r="H4731" s="1">
        <v>-3.7513859999999998E-6</v>
      </c>
      <c r="I4731">
        <v>-56.833030000000001</v>
      </c>
      <c r="J4731">
        <v>-295.27100000000002</v>
      </c>
      <c r="K4731">
        <v>1.1162989999999999</v>
      </c>
      <c r="L4731">
        <v>-52.36215</v>
      </c>
      <c r="M4731">
        <v>0.7227576</v>
      </c>
      <c r="N4731">
        <v>0</v>
      </c>
      <c r="O4731">
        <v>-0.69096449999999998</v>
      </c>
      <c r="P4731">
        <v>0.86818390000000001</v>
      </c>
      <c r="Q4731">
        <v>0.1219238</v>
      </c>
      <c r="R4731">
        <v>-0.4810315</v>
      </c>
      <c r="S4731">
        <v>2.717743</v>
      </c>
      <c r="T4731">
        <v>-0.32465860000000002</v>
      </c>
      <c r="U4731">
        <v>-1.420258</v>
      </c>
      <c r="V4731">
        <v>-0.25599899999999998</v>
      </c>
      <c r="W4731">
        <v>0.12786700000000001</v>
      </c>
      <c r="X4731">
        <v>0.95818289999999995</v>
      </c>
      <c r="Y4731">
        <v>-0.2732869</v>
      </c>
      <c r="Z4731">
        <v>8.3501909999999999E-2</v>
      </c>
      <c r="AA4731">
        <v>0.95830150000000003</v>
      </c>
      <c r="AB4731">
        <v>31</v>
      </c>
      <c r="AC4731">
        <v>8.89549999999997</v>
      </c>
      <c r="AD4731">
        <v>-1.116302751386</v>
      </c>
      <c r="AE4731">
        <v>-4.4708800000000002</v>
      </c>
      <c r="AF4731">
        <v>-2.8791909458225202</v>
      </c>
      <c r="AG4731">
        <v>-1.116302751386</v>
      </c>
      <c r="AH4731">
        <v>9.4012184293921592</v>
      </c>
      <c r="AI4731">
        <v>96.477346207017803</v>
      </c>
      <c r="AJ4731">
        <v>107.027585120643</v>
      </c>
      <c r="AK4731">
        <v>9.8953918715936204</v>
      </c>
      <c r="AL4731">
        <v>82.653647997719702</v>
      </c>
      <c r="AM4731">
        <v>104.95840920306399</v>
      </c>
      <c r="AN4731">
        <v>0.99999996377120404</v>
      </c>
    </row>
    <row r="4732" spans="1:40" x14ac:dyDescent="0.3">
      <c r="A4732" t="str">
        <f>"20200111150122940"</f>
        <v>20200111150122940</v>
      </c>
      <c r="B4732" t="str">
        <f>"1578726082932933"</f>
        <v>1578726082932933</v>
      </c>
      <c r="C4732" t="s">
        <v>40</v>
      </c>
      <c r="D4732">
        <v>4.2705630000000001</v>
      </c>
      <c r="E4732">
        <v>0.4372625</v>
      </c>
      <c r="F4732" t="s">
        <v>94</v>
      </c>
      <c r="G4732">
        <v>-273.33580000000001</v>
      </c>
      <c r="H4732" s="1">
        <v>-6.6169900000000003E-7</v>
      </c>
      <c r="I4732">
        <v>-60.726990000000001</v>
      </c>
      <c r="J4732">
        <v>-295.03649999999999</v>
      </c>
      <c r="K4732">
        <v>1.116134</v>
      </c>
      <c r="L4732">
        <v>-52.5687</v>
      </c>
      <c r="M4732">
        <v>0.73216619999999999</v>
      </c>
      <c r="N4732">
        <v>0</v>
      </c>
      <c r="O4732">
        <v>-0.68098740000000002</v>
      </c>
      <c r="P4732">
        <v>0.87292919999999996</v>
      </c>
      <c r="Q4732">
        <v>0.1213553</v>
      </c>
      <c r="R4732">
        <v>-0.47251159999999998</v>
      </c>
      <c r="S4732">
        <v>2.869659</v>
      </c>
      <c r="T4732">
        <v>-0.1460398</v>
      </c>
      <c r="U4732">
        <v>-1.09433</v>
      </c>
      <c r="V4732">
        <v>-0.25221260000000001</v>
      </c>
      <c r="W4732">
        <v>0.12748670000000001</v>
      </c>
      <c r="X4732">
        <v>0.95923720000000001</v>
      </c>
      <c r="Y4732">
        <v>-0.37443660000000001</v>
      </c>
      <c r="Z4732">
        <v>3.9120700000000001E-2</v>
      </c>
      <c r="AA4732">
        <v>0.92642690000000005</v>
      </c>
      <c r="AB4732">
        <v>31</v>
      </c>
      <c r="AC4732">
        <v>21.700699999999902</v>
      </c>
      <c r="AD4732">
        <v>-1.116134661699</v>
      </c>
      <c r="AE4732">
        <v>-8.1582899999999992</v>
      </c>
      <c r="AF4732">
        <v>-8.7851483841744997</v>
      </c>
      <c r="AG4732">
        <v>-1.116134661699</v>
      </c>
      <c r="AH4732">
        <v>21.396643811532702</v>
      </c>
      <c r="AI4732">
        <v>92.762660605898603</v>
      </c>
      <c r="AJ4732">
        <v>112.32233467646201</v>
      </c>
      <c r="AK4732">
        <v>23.156877058718699</v>
      </c>
      <c r="AL4732">
        <v>82.675617873276806</v>
      </c>
      <c r="AM4732">
        <v>104.73137071244901</v>
      </c>
      <c r="AN4732">
        <v>1.00000003006974</v>
      </c>
    </row>
    <row r="4733" spans="1:40" x14ac:dyDescent="0.3">
      <c r="A4733" t="str">
        <f>"20200111150122963"</f>
        <v>20200111150122963</v>
      </c>
      <c r="B4733" t="str">
        <f>"1578726082952444"</f>
        <v>1578726082952444</v>
      </c>
      <c r="C4733" t="s">
        <v>40</v>
      </c>
      <c r="D4733">
        <v>4.321523</v>
      </c>
      <c r="E4733">
        <v>0.43501699999999999</v>
      </c>
      <c r="F4733" t="s">
        <v>94</v>
      </c>
      <c r="G4733">
        <v>-274.89479999999998</v>
      </c>
      <c r="H4733" s="1">
        <v>-1.416005E-6</v>
      </c>
      <c r="I4733">
        <v>-59.65155</v>
      </c>
      <c r="J4733">
        <v>-294.80759999999998</v>
      </c>
      <c r="K4733">
        <v>1.1159680000000001</v>
      </c>
      <c r="L4733">
        <v>-52.764830000000003</v>
      </c>
      <c r="M4733">
        <v>0.74095429999999995</v>
      </c>
      <c r="N4733">
        <v>0</v>
      </c>
      <c r="O4733">
        <v>-0.67141580000000001</v>
      </c>
      <c r="P4733">
        <v>0.87736389999999997</v>
      </c>
      <c r="Q4733">
        <v>0.12219099999999999</v>
      </c>
      <c r="R4733">
        <v>-0.46400619999999998</v>
      </c>
      <c r="S4733">
        <v>2.905945</v>
      </c>
      <c r="T4733">
        <v>-0.1610308</v>
      </c>
      <c r="U4733">
        <v>-1.021881</v>
      </c>
      <c r="V4733">
        <v>-0.24895639999999999</v>
      </c>
      <c r="W4733">
        <v>0.12848699999999999</v>
      </c>
      <c r="X4733">
        <v>0.95995410000000003</v>
      </c>
      <c r="Y4733">
        <v>-0.38639319999999999</v>
      </c>
      <c r="Z4733">
        <v>4.2851720000000003E-2</v>
      </c>
      <c r="AA4733">
        <v>0.9213382</v>
      </c>
      <c r="AB4733">
        <v>31</v>
      </c>
      <c r="AC4733">
        <v>19.912800000000001</v>
      </c>
      <c r="AD4733">
        <v>-1.115969416005</v>
      </c>
      <c r="AE4733">
        <v>-6.8867199999999897</v>
      </c>
      <c r="AF4733">
        <v>-8.2446706017018396</v>
      </c>
      <c r="AG4733">
        <v>-1.115969416005</v>
      </c>
      <c r="AH4733">
        <v>19.3259304887602</v>
      </c>
      <c r="AI4733">
        <v>93.040313146362195</v>
      </c>
      <c r="AJ4733">
        <v>113.103668849527</v>
      </c>
      <c r="AK4733">
        <v>21.040712210484099</v>
      </c>
      <c r="AL4733">
        <v>82.617829691464607</v>
      </c>
      <c r="AM4733">
        <v>104.53889620189</v>
      </c>
      <c r="AN4733">
        <v>1.0000000361883801</v>
      </c>
    </row>
    <row r="4734" spans="1:40" x14ac:dyDescent="0.3">
      <c r="A4734" t="str">
        <f>"20200111150122984"</f>
        <v>20200111150122984</v>
      </c>
      <c r="B4734" t="str">
        <f>"1578726082982700"</f>
        <v>1578726082982700</v>
      </c>
      <c r="C4734" t="s">
        <v>40</v>
      </c>
      <c r="D4734">
        <v>4.2004279999999996</v>
      </c>
      <c r="E4734">
        <v>0.43501669999999998</v>
      </c>
      <c r="F4734" t="s">
        <v>41</v>
      </c>
      <c r="G4734">
        <v>-293.74279999999999</v>
      </c>
      <c r="H4734">
        <v>1.0569280000000001</v>
      </c>
      <c r="I4734">
        <v>-53.12079</v>
      </c>
      <c r="J4734">
        <v>-294.57040000000001</v>
      </c>
      <c r="K4734">
        <v>1.1158159999999999</v>
      </c>
      <c r="L4734">
        <v>-52.962859999999999</v>
      </c>
      <c r="M4734">
        <v>0.74969140000000001</v>
      </c>
      <c r="N4734">
        <v>0</v>
      </c>
      <c r="O4734">
        <v>-0.66164679999999998</v>
      </c>
      <c r="P4734">
        <v>0.88152870000000005</v>
      </c>
      <c r="Q4734">
        <v>0.1213684</v>
      </c>
      <c r="R4734">
        <v>-0.45626460000000002</v>
      </c>
      <c r="S4734">
        <v>2.9246829999999999</v>
      </c>
      <c r="T4734">
        <v>-0.16218569999999999</v>
      </c>
      <c r="U4734">
        <v>-0.97802730000000004</v>
      </c>
      <c r="V4734">
        <v>-0.24481700000000001</v>
      </c>
      <c r="W4734">
        <v>0.12785369999999999</v>
      </c>
      <c r="X4734">
        <v>0.96110249999999997</v>
      </c>
      <c r="Y4734">
        <v>-0.38851819999999998</v>
      </c>
      <c r="Z4734">
        <v>4.2736280000000001E-2</v>
      </c>
      <c r="AA4734">
        <v>0.92044939999999997</v>
      </c>
      <c r="AB4734">
        <v>31</v>
      </c>
      <c r="AC4734">
        <v>0.82760000000001799</v>
      </c>
      <c r="AD4734">
        <v>-5.8887999999999802E-2</v>
      </c>
      <c r="AE4734">
        <v>-0.15792999999999999</v>
      </c>
      <c r="AF4734">
        <v>-0.42713350127357902</v>
      </c>
      <c r="AG4734">
        <v>-5.8887999999999802E-2</v>
      </c>
      <c r="AH4734">
        <v>0.72148147383549499</v>
      </c>
      <c r="AI4734">
        <v>94.017591700756896</v>
      </c>
      <c r="AJ4734">
        <v>120.626501155018</v>
      </c>
      <c r="AK4734">
        <v>0.84050362375308396</v>
      </c>
      <c r="AL4734">
        <v>82.654416412082895</v>
      </c>
      <c r="AM4734">
        <v>104.290765810766</v>
      </c>
      <c r="AN4734">
        <v>0.99999997379946903</v>
      </c>
    </row>
    <row r="4735" spans="1:40" x14ac:dyDescent="0.3">
      <c r="A4735" t="str">
        <f>"20200111150123007"</f>
        <v>20200111150123007</v>
      </c>
      <c r="B4735" t="str">
        <f>"1578726083002220"</f>
        <v>1578726083002220</v>
      </c>
      <c r="C4735" t="s">
        <v>40</v>
      </c>
      <c r="D4735">
        <v>4.3227080000000004</v>
      </c>
      <c r="E4735">
        <v>0.43521029999999999</v>
      </c>
      <c r="F4735" t="s">
        <v>94</v>
      </c>
      <c r="G4735">
        <v>-274.73739999999998</v>
      </c>
      <c r="H4735" s="1">
        <v>-1.4040259999999999E-6</v>
      </c>
      <c r="I4735">
        <v>-59.400370000000002</v>
      </c>
      <c r="J4735">
        <v>-294.33260000000001</v>
      </c>
      <c r="K4735">
        <v>1.1156870000000001</v>
      </c>
      <c r="L4735">
        <v>-53.156399999999998</v>
      </c>
      <c r="M4735">
        <v>0.75811799999999996</v>
      </c>
      <c r="N4735">
        <v>0</v>
      </c>
      <c r="O4735">
        <v>-0.65197530000000004</v>
      </c>
      <c r="P4735">
        <v>0.88371359999999999</v>
      </c>
      <c r="Q4735">
        <v>0.1223885</v>
      </c>
      <c r="R4735">
        <v>-0.45174259999999999</v>
      </c>
      <c r="S4735">
        <v>2.9331360000000002</v>
      </c>
      <c r="T4735">
        <v>-0.16502049999999999</v>
      </c>
      <c r="U4735">
        <v>-0.95205689999999998</v>
      </c>
      <c r="V4735">
        <v>-0.2372833</v>
      </c>
      <c r="W4735">
        <v>0.1291523</v>
      </c>
      <c r="X4735">
        <v>0.96281689999999998</v>
      </c>
      <c r="Y4735">
        <v>-0.38482129999999998</v>
      </c>
      <c r="Z4735">
        <v>4.2973089999999999E-2</v>
      </c>
      <c r="AA4735">
        <v>0.92199019999999998</v>
      </c>
      <c r="AB4735">
        <v>31</v>
      </c>
      <c r="AC4735">
        <v>19.595199999999998</v>
      </c>
      <c r="AD4735">
        <v>-1.115688404026</v>
      </c>
      <c r="AE4735">
        <v>-6.2439699999999903</v>
      </c>
      <c r="AF4735">
        <v>-8.01906560049283</v>
      </c>
      <c r="AG4735">
        <v>-1.115688404026</v>
      </c>
      <c r="AH4735">
        <v>18.872600165920201</v>
      </c>
      <c r="AI4735">
        <v>93.114330109791894</v>
      </c>
      <c r="AJ4735">
        <v>113.020890309943</v>
      </c>
      <c r="AK4735">
        <v>20.535949229158501</v>
      </c>
      <c r="AL4735">
        <v>82.579390505099994</v>
      </c>
      <c r="AM4735">
        <v>103.844484737271</v>
      </c>
      <c r="AN4735">
        <v>1.0000000319898901</v>
      </c>
    </row>
    <row r="4736" spans="1:40" x14ac:dyDescent="0.3">
      <c r="A4736" t="str">
        <f>"20200111150123029"</f>
        <v>20200111150123029</v>
      </c>
      <c r="B4736" t="str">
        <f>"1578726083022716"</f>
        <v>1578726083022716</v>
      </c>
      <c r="C4736" t="s">
        <v>40</v>
      </c>
      <c r="D4736">
        <v>4.2096099999999996</v>
      </c>
      <c r="E4736">
        <v>0.43595980000000001</v>
      </c>
      <c r="F4736" t="s">
        <v>94</v>
      </c>
      <c r="G4736">
        <v>-274.09809999999999</v>
      </c>
      <c r="H4736" s="1">
        <v>-1.083795E-6</v>
      </c>
      <c r="I4736">
        <v>-59.608150000000002</v>
      </c>
      <c r="J4736">
        <v>-294.09010000000001</v>
      </c>
      <c r="K4736">
        <v>1.1155900000000001</v>
      </c>
      <c r="L4736">
        <v>-53.348909999999997</v>
      </c>
      <c r="M4736">
        <v>0.76639190000000001</v>
      </c>
      <c r="N4736">
        <v>0</v>
      </c>
      <c r="O4736">
        <v>-0.64222969999999902</v>
      </c>
      <c r="P4736">
        <v>0.88450629999999997</v>
      </c>
      <c r="Q4736">
        <v>0.1274614</v>
      </c>
      <c r="R4736">
        <v>-0.44877939999999999</v>
      </c>
      <c r="S4736">
        <v>2.9382630000000001</v>
      </c>
      <c r="T4736">
        <v>-0.16200919999999999</v>
      </c>
      <c r="U4736">
        <v>-0.93685909999999994</v>
      </c>
      <c r="V4736">
        <v>-0.2278087</v>
      </c>
      <c r="W4736">
        <v>0.13454449999999901</v>
      </c>
      <c r="X4736">
        <v>0.96436560000000005</v>
      </c>
      <c r="Y4736">
        <v>-0.37787379999999998</v>
      </c>
      <c r="Z4736">
        <v>4.1605629999999998E-2</v>
      </c>
      <c r="AA4736">
        <v>0.92492180000000002</v>
      </c>
      <c r="AB4736">
        <v>31</v>
      </c>
      <c r="AC4736">
        <v>19.992000000000001</v>
      </c>
      <c r="AD4736">
        <v>-1.1155910837949901</v>
      </c>
      <c r="AE4736">
        <v>-6.2592400000000001</v>
      </c>
      <c r="AF4736">
        <v>-8.0204223608121197</v>
      </c>
      <c r="AG4736">
        <v>-1.1155910837949901</v>
      </c>
      <c r="AH4736">
        <v>19.288660808512098</v>
      </c>
      <c r="AI4736">
        <v>93.056913047058799</v>
      </c>
      <c r="AJ4736">
        <v>112.57804061826501</v>
      </c>
      <c r="AK4736">
        <v>20.9194683034222</v>
      </c>
      <c r="AL4736">
        <v>82.267718778971798</v>
      </c>
      <c r="AM4736">
        <v>103.291127926535</v>
      </c>
      <c r="AN4736">
        <v>1.00000001836964</v>
      </c>
    </row>
    <row r="4737" spans="1:40" x14ac:dyDescent="0.3">
      <c r="A4737" t="str">
        <f>"20200111150123051"</f>
        <v>20200111150123051</v>
      </c>
      <c r="B4737" t="str">
        <f>"1578726083042236"</f>
        <v>1578726083042236</v>
      </c>
      <c r="C4737" t="s">
        <v>40</v>
      </c>
      <c r="D4737">
        <v>4.3192560000000002</v>
      </c>
      <c r="E4737">
        <v>0.43711080000000002</v>
      </c>
      <c r="F4737" t="s">
        <v>94</v>
      </c>
      <c r="G4737">
        <v>-270.42469999999997</v>
      </c>
      <c r="H4737" s="1">
        <v>5.6144489999999996E-7</v>
      </c>
      <c r="I4737">
        <v>-60.842689999999997</v>
      </c>
      <c r="J4737">
        <v>-293.85120000000001</v>
      </c>
      <c r="K4737">
        <v>1.1155029999999999</v>
      </c>
      <c r="L4737">
        <v>-53.533810000000003</v>
      </c>
      <c r="M4737">
        <v>0.77423629999999999</v>
      </c>
      <c r="N4737">
        <v>0</v>
      </c>
      <c r="O4737">
        <v>-0.63275150000000002</v>
      </c>
      <c r="P4737">
        <v>0.88649330000000004</v>
      </c>
      <c r="Q4737">
        <v>0.13404730000000001</v>
      </c>
      <c r="R4737">
        <v>-0.44290069999999998</v>
      </c>
      <c r="S4737">
        <v>2.9394230000000001</v>
      </c>
      <c r="T4737">
        <v>-0.13856499999999999</v>
      </c>
      <c r="U4737">
        <v>-0.93078609999999995</v>
      </c>
      <c r="V4737">
        <v>-0.22184609999999999</v>
      </c>
      <c r="W4737">
        <v>0.14133499999999999</v>
      </c>
      <c r="X4737">
        <v>0.96478430000000004</v>
      </c>
      <c r="Y4737">
        <v>-0.36865130000000002</v>
      </c>
      <c r="Z4737">
        <v>3.5065619999999999E-2</v>
      </c>
      <c r="AA4737">
        <v>0.92890609999999996</v>
      </c>
      <c r="AB4737">
        <v>31</v>
      </c>
      <c r="AC4737">
        <v>23.426500000000001</v>
      </c>
      <c r="AD4737">
        <v>-1.1155024385551</v>
      </c>
      <c r="AE4737">
        <v>-7.3088800000000003</v>
      </c>
      <c r="AF4737">
        <v>-9.1462959818177403</v>
      </c>
      <c r="AG4737">
        <v>-1.1155024385551</v>
      </c>
      <c r="AH4737">
        <v>22.717502058409799</v>
      </c>
      <c r="AI4737">
        <v>92.608024656625204</v>
      </c>
      <c r="AJ4737">
        <v>111.930214231861</v>
      </c>
      <c r="AK4737">
        <v>24.5149745186751</v>
      </c>
      <c r="AL4737">
        <v>81.874895777019304</v>
      </c>
      <c r="AM4737">
        <v>102.94970239158999</v>
      </c>
      <c r="AN4737">
        <v>1.0000000099183499</v>
      </c>
    </row>
    <row r="4738" spans="1:40" x14ac:dyDescent="0.3">
      <c r="A4738" t="str">
        <f>"20200111150123074"</f>
        <v>20200111150123074</v>
      </c>
      <c r="B4738" t="str">
        <f>"1578726083062732"</f>
        <v>1578726083062732</v>
      </c>
      <c r="C4738" t="s">
        <v>40</v>
      </c>
      <c r="D4738">
        <v>4.209918</v>
      </c>
      <c r="E4738">
        <v>0.43738139999999998</v>
      </c>
      <c r="F4738" t="s">
        <v>42</v>
      </c>
      <c r="G4738">
        <v>-263.55279999999999</v>
      </c>
      <c r="H4738" s="1">
        <v>-1.227941E-6</v>
      </c>
      <c r="I4738">
        <v>-63.009039999999999</v>
      </c>
      <c r="J4738">
        <v>-293.6001</v>
      </c>
      <c r="K4738">
        <v>1.1153869999999999</v>
      </c>
      <c r="L4738">
        <v>-53.7232699999999</v>
      </c>
      <c r="M4738">
        <v>0.78216319999999995</v>
      </c>
      <c r="N4738">
        <v>0</v>
      </c>
      <c r="O4738">
        <v>-0.62292720000000001</v>
      </c>
      <c r="P4738">
        <v>0.89007729999999996</v>
      </c>
      <c r="Q4738">
        <v>0.14019209999999999</v>
      </c>
      <c r="R4738">
        <v>-0.43371539999999997</v>
      </c>
      <c r="S4738">
        <v>2.940979</v>
      </c>
      <c r="T4738">
        <v>-0.10827879999999999</v>
      </c>
      <c r="U4738">
        <v>-0.91973879999999997</v>
      </c>
      <c r="V4738">
        <v>-0.21915419999999999</v>
      </c>
      <c r="W4738">
        <v>0.14758959999999999</v>
      </c>
      <c r="X4738">
        <v>0.96446290000000001</v>
      </c>
      <c r="Y4738">
        <v>-0.3605738</v>
      </c>
      <c r="Z4738">
        <v>2.7008890000000001E-2</v>
      </c>
      <c r="AA4738">
        <v>0.93233949999999999</v>
      </c>
      <c r="AB4738">
        <v>31</v>
      </c>
      <c r="AC4738">
        <v>30.0473</v>
      </c>
      <c r="AD4738">
        <v>-1.1153882279409999</v>
      </c>
      <c r="AE4738">
        <v>-9.2857699999999994</v>
      </c>
      <c r="AF4738">
        <v>-11.440946905232799</v>
      </c>
      <c r="AG4738">
        <v>-1.1153882279409999</v>
      </c>
      <c r="AH4738">
        <v>29.252128138888501</v>
      </c>
      <c r="AI4738">
        <v>92.033759460223493</v>
      </c>
      <c r="AJ4738">
        <v>111.36121478906099</v>
      </c>
      <c r="AK4738">
        <v>31.429705019954199</v>
      </c>
      <c r="AL4738">
        <v>81.512733650716896</v>
      </c>
      <c r="AM4738">
        <v>102.801898379292</v>
      </c>
      <c r="AN4738">
        <v>0.99999996944110403</v>
      </c>
    </row>
    <row r="4739" spans="1:40" x14ac:dyDescent="0.3">
      <c r="A4739" t="str">
        <f>"20200111150123096"</f>
        <v>20200111150123096</v>
      </c>
      <c r="B4739" t="str">
        <f>"1578726083092012"</f>
        <v>1578726083092012</v>
      </c>
      <c r="C4739" t="s">
        <v>40</v>
      </c>
      <c r="D4739">
        <v>4.224037</v>
      </c>
      <c r="E4739">
        <v>0.43811860000000002</v>
      </c>
      <c r="F4739" t="s">
        <v>93</v>
      </c>
      <c r="G4739">
        <v>-258.04590000000002</v>
      </c>
      <c r="H4739" s="1">
        <v>-3.3086299999999999E-6</v>
      </c>
      <c r="I4739">
        <v>-64.47954</v>
      </c>
      <c r="J4739">
        <v>-293.35239999999999</v>
      </c>
      <c r="K4739">
        <v>1.115221</v>
      </c>
      <c r="L4739">
        <v>-53.905610000000003</v>
      </c>
      <c r="M4739">
        <v>0.78966380000000003</v>
      </c>
      <c r="N4739">
        <v>0</v>
      </c>
      <c r="O4739">
        <v>-0.61339180000000004</v>
      </c>
      <c r="P4739">
        <v>0.89589599999999903</v>
      </c>
      <c r="Q4739">
        <v>0.14127970000000001</v>
      </c>
      <c r="R4739">
        <v>-0.4212013</v>
      </c>
      <c r="S4739">
        <v>2.9501650000000001</v>
      </c>
      <c r="T4739">
        <v>-9.2551110000000006E-2</v>
      </c>
      <c r="U4739">
        <v>-0.89251709999999995</v>
      </c>
      <c r="V4739">
        <v>-0.22083240000000001</v>
      </c>
      <c r="W4739">
        <v>0.14867710000000001</v>
      </c>
      <c r="X4739">
        <v>0.96391300000000002</v>
      </c>
      <c r="Y4739">
        <v>-0.35809449999999998</v>
      </c>
      <c r="Z4739">
        <v>2.2805539999999999E-2</v>
      </c>
      <c r="AA4739">
        <v>0.93340679999999998</v>
      </c>
      <c r="AB4739">
        <v>31</v>
      </c>
      <c r="AC4739">
        <v>35.3064999999999</v>
      </c>
      <c r="AD4739">
        <v>-1.11522430863</v>
      </c>
      <c r="AE4739">
        <v>-10.573930000000001</v>
      </c>
      <c r="AF4739">
        <v>-13.295902293058001</v>
      </c>
      <c r="AG4739">
        <v>-1.11522430863</v>
      </c>
      <c r="AH4739">
        <v>34.337907358011101</v>
      </c>
      <c r="AI4739">
        <v>91.734772908322498</v>
      </c>
      <c r="AJ4739">
        <v>111.166787187691</v>
      </c>
      <c r="AK4739">
        <v>36.8390638422376</v>
      </c>
      <c r="AL4739">
        <v>81.449730080296206</v>
      </c>
      <c r="AM4739">
        <v>102.90377563475499</v>
      </c>
      <c r="AN4739">
        <v>1.00000005026158</v>
      </c>
    </row>
    <row r="4740" spans="1:40" x14ac:dyDescent="0.3">
      <c r="A4740" t="str">
        <f>"20200111150123119"</f>
        <v>20200111150123119</v>
      </c>
      <c r="B4740" t="str">
        <f>"1578726083112508"</f>
        <v>1578726083112508</v>
      </c>
      <c r="C4740" t="s">
        <v>40</v>
      </c>
      <c r="D4740">
        <v>4.2755890000000001</v>
      </c>
      <c r="E4740">
        <v>0.43851400000000001</v>
      </c>
      <c r="F4740" t="s">
        <v>93</v>
      </c>
      <c r="G4740">
        <v>-257.2079</v>
      </c>
      <c r="H4740" s="1">
        <v>-3.0107389999999998E-6</v>
      </c>
      <c r="I4740">
        <v>-64.384369999999905</v>
      </c>
      <c r="J4740">
        <v>-293.09820000000002</v>
      </c>
      <c r="K4740">
        <v>1.115005</v>
      </c>
      <c r="L4740">
        <v>-54.088380000000001</v>
      </c>
      <c r="M4740">
        <v>0.79703190000000002</v>
      </c>
      <c r="N4740">
        <v>0</v>
      </c>
      <c r="O4740">
        <v>-0.60378779999999999</v>
      </c>
      <c r="P4740">
        <v>0.90170539999999999</v>
      </c>
      <c r="Q4740">
        <v>0.1386414</v>
      </c>
      <c r="R4740">
        <v>-0.40951959999999998</v>
      </c>
      <c r="S4740">
        <v>2.959625</v>
      </c>
      <c r="T4740">
        <v>-9.1317889999999999E-2</v>
      </c>
      <c r="U4740">
        <v>-0.85803220000000002</v>
      </c>
      <c r="V4740">
        <v>-0.22180349999999999</v>
      </c>
      <c r="W4740">
        <v>0.14607600000000001</v>
      </c>
      <c r="X4740">
        <v>0.96408769999999999</v>
      </c>
      <c r="Y4740">
        <v>-0.35763470000000003</v>
      </c>
      <c r="Z4740">
        <v>2.2257010000000001E-2</v>
      </c>
      <c r="AA4740">
        <v>0.93359630000000005</v>
      </c>
      <c r="AB4740">
        <v>31</v>
      </c>
      <c r="AC4740">
        <v>35.890300000000003</v>
      </c>
      <c r="AD4740">
        <v>-1.1150080107389999</v>
      </c>
      <c r="AE4740">
        <v>-10.2959899999999</v>
      </c>
      <c r="AF4740">
        <v>-13.4531105498087</v>
      </c>
      <c r="AG4740">
        <v>-1.1150080107389999</v>
      </c>
      <c r="AH4740">
        <v>34.794420488154699</v>
      </c>
      <c r="AI4740">
        <v>91.712017584336493</v>
      </c>
      <c r="AJ4740">
        <v>111.138776142842</v>
      </c>
      <c r="AK4740">
        <v>37.3213226378153</v>
      </c>
      <c r="AL4740">
        <v>81.600407427678604</v>
      </c>
      <c r="AM4740">
        <v>102.956339013879</v>
      </c>
      <c r="AN4740">
        <v>1.0000000418397601</v>
      </c>
    </row>
    <row r="4741" spans="1:40" x14ac:dyDescent="0.3">
      <c r="A4741" t="str">
        <f>"20200111150123133"</f>
        <v>20200111150123133</v>
      </c>
      <c r="B4741" t="str">
        <f>"1578726083122268"</f>
        <v>1578726083122268</v>
      </c>
      <c r="C4741" t="s">
        <v>40</v>
      </c>
      <c r="D4741">
        <v>4.2977100000000004</v>
      </c>
      <c r="E4741">
        <v>0.4385194</v>
      </c>
      <c r="F4741" t="s">
        <v>42</v>
      </c>
      <c r="G4741">
        <v>-263.14249999999998</v>
      </c>
      <c r="H4741" s="1">
        <v>-8.8940839999999999E-7</v>
      </c>
      <c r="I4741">
        <v>-62.39819</v>
      </c>
      <c r="J4741">
        <v>-292.94369999999998</v>
      </c>
      <c r="K4741">
        <v>1.1148549999999999</v>
      </c>
      <c r="L4741">
        <v>-54.196930000000002</v>
      </c>
      <c r="M4741">
        <v>0.80131129999999995</v>
      </c>
      <c r="N4741">
        <v>0</v>
      </c>
      <c r="O4741">
        <v>-0.59809760000000001</v>
      </c>
      <c r="P4741">
        <v>0.90505270000000004</v>
      </c>
      <c r="Q4741">
        <v>0.1364011</v>
      </c>
      <c r="R4741">
        <v>-0.4028331</v>
      </c>
      <c r="S4741">
        <v>2.969849</v>
      </c>
      <c r="T4741">
        <v>-0.11054310000000001</v>
      </c>
      <c r="U4741">
        <v>-0.82385249999999999</v>
      </c>
      <c r="V4741">
        <v>-0.22217200000000001</v>
      </c>
      <c r="W4741">
        <v>0.14387320000000001</v>
      </c>
      <c r="X4741">
        <v>0.96433400000000002</v>
      </c>
      <c r="Y4741">
        <v>-0.36161480000000001</v>
      </c>
      <c r="Z4741">
        <v>2.682288E-2</v>
      </c>
      <c r="AA4741">
        <v>0.93194169999999998</v>
      </c>
      <c r="AB4741">
        <v>31</v>
      </c>
      <c r="AC4741">
        <v>29.801199999999898</v>
      </c>
      <c r="AD4741">
        <v>-1.1148558894084</v>
      </c>
      <c r="AE4741">
        <v>-8.2012599999999907</v>
      </c>
      <c r="AF4741">
        <v>-11.2386526253902</v>
      </c>
      <c r="AG4741">
        <v>-1.1148558894084</v>
      </c>
      <c r="AH4741">
        <v>28.7503723349536</v>
      </c>
      <c r="AI4741">
        <v>92.068383117325197</v>
      </c>
      <c r="AJ4741">
        <v>111.350756747307</v>
      </c>
      <c r="AK4741">
        <v>30.889061589611298</v>
      </c>
      <c r="AL4741">
        <v>81.727965683464106</v>
      </c>
      <c r="AM4741">
        <v>102.973934022072</v>
      </c>
      <c r="AN4741">
        <v>0.999999979409119</v>
      </c>
    </row>
    <row r="4742" spans="1:40" x14ac:dyDescent="0.3">
      <c r="A4742" t="str">
        <f>"20200111150123147"</f>
        <v>20200111150123147</v>
      </c>
      <c r="B4742" t="str">
        <f>"1578726083142764"</f>
        <v>1578726083142764</v>
      </c>
      <c r="C4742" t="s">
        <v>40</v>
      </c>
      <c r="D4742">
        <v>4.2247859999999999</v>
      </c>
      <c r="E4742">
        <v>0.43873020000000001</v>
      </c>
      <c r="F4742" t="s">
        <v>95</v>
      </c>
      <c r="G4742">
        <v>-265.38650000000001</v>
      </c>
      <c r="H4742" s="1">
        <v>-1.6455109999999901E-6</v>
      </c>
      <c r="I4742">
        <v>-61.62189</v>
      </c>
      <c r="J4742">
        <v>-292.78980000000001</v>
      </c>
      <c r="K4742">
        <v>1.11469</v>
      </c>
      <c r="L4742">
        <v>-54.303919999999998</v>
      </c>
      <c r="M4742">
        <v>0.80545649999999902</v>
      </c>
      <c r="N4742">
        <v>0</v>
      </c>
      <c r="O4742">
        <v>-0.59250419999999904</v>
      </c>
      <c r="P4742">
        <v>0.90838620000000003</v>
      </c>
      <c r="Q4742">
        <v>0.13376840000000001</v>
      </c>
      <c r="R4742">
        <v>-0.39615729999999999</v>
      </c>
      <c r="S4742">
        <v>2.9759829999999998</v>
      </c>
      <c r="T4742">
        <v>-0.1203964</v>
      </c>
      <c r="U4742">
        <v>-0.80184940000000005</v>
      </c>
      <c r="V4742">
        <v>-0.2226717</v>
      </c>
      <c r="W4742">
        <v>0.14128070000000001</v>
      </c>
      <c r="X4742">
        <v>0.96460210000000002</v>
      </c>
      <c r="Y4742">
        <v>-0.36193170000000002</v>
      </c>
      <c r="Z4742">
        <v>2.9028060000000001E-2</v>
      </c>
      <c r="AA4742">
        <v>0.93175260000000004</v>
      </c>
      <c r="AB4742">
        <v>31</v>
      </c>
      <c r="AC4742">
        <v>27.403300000000002</v>
      </c>
      <c r="AD4742">
        <v>-1.1146916455110001</v>
      </c>
      <c r="AE4742">
        <v>-7.3179699999999999</v>
      </c>
      <c r="AF4742">
        <v>-10.327237144518399</v>
      </c>
      <c r="AG4742">
        <v>-1.1146916455110001</v>
      </c>
      <c r="AH4742">
        <v>26.369724672315002</v>
      </c>
      <c r="AI4742">
        <v>92.254043112591205</v>
      </c>
      <c r="AJ4742">
        <v>111.38691792861199</v>
      </c>
      <c r="AK4742">
        <v>28.3417844144894</v>
      </c>
      <c r="AL4742">
        <v>81.878038937250906</v>
      </c>
      <c r="AM4742">
        <v>102.998632923467</v>
      </c>
      <c r="AN4742">
        <v>1.00000006674889</v>
      </c>
    </row>
    <row r="4743" spans="1:40" x14ac:dyDescent="0.3">
      <c r="A4743" t="str">
        <f>"20200111150123160"</f>
        <v>20200111150123160</v>
      </c>
      <c r="B4743" t="str">
        <f>"1578726083152524"</f>
        <v>1578726083152524</v>
      </c>
      <c r="C4743" t="s">
        <v>40</v>
      </c>
      <c r="D4743">
        <v>4.2035169999999997</v>
      </c>
      <c r="E4743">
        <v>0.4387759</v>
      </c>
      <c r="F4743" t="s">
        <v>95</v>
      </c>
      <c r="G4743">
        <v>-267.28590000000003</v>
      </c>
      <c r="H4743" s="1">
        <v>-2.2914129999999999E-6</v>
      </c>
      <c r="I4743">
        <v>-60.986849999999997</v>
      </c>
      <c r="J4743">
        <v>-292.63260000000002</v>
      </c>
      <c r="K4743">
        <v>1.1145039999999999</v>
      </c>
      <c r="L4743">
        <v>-54.411929999999998</v>
      </c>
      <c r="M4743">
        <v>0.80956689999999998</v>
      </c>
      <c r="N4743">
        <v>0</v>
      </c>
      <c r="O4743">
        <v>-0.58687659999999997</v>
      </c>
      <c r="P4743">
        <v>0.91152290000000002</v>
      </c>
      <c r="Q4743">
        <v>0.1315953</v>
      </c>
      <c r="R4743">
        <v>-0.389627</v>
      </c>
      <c r="S4743">
        <v>2.9810789999999998</v>
      </c>
      <c r="T4743">
        <v>-0.13029369999999901</v>
      </c>
      <c r="U4743">
        <v>-0.78115840000000003</v>
      </c>
      <c r="V4743">
        <v>-0.22294530000000001</v>
      </c>
      <c r="W4743">
        <v>0.13916029999999999</v>
      </c>
      <c r="X4743">
        <v>0.96484700000000001</v>
      </c>
      <c r="Y4743">
        <v>-0.36176940000000002</v>
      </c>
      <c r="Z4743">
        <v>3.1207599999999901E-2</v>
      </c>
      <c r="AA4743">
        <v>0.93174520000000005</v>
      </c>
      <c r="AB4743">
        <v>31</v>
      </c>
      <c r="AC4743">
        <v>25.346699999999998</v>
      </c>
      <c r="AD4743">
        <v>-1.1145062914129999</v>
      </c>
      <c r="AE4743">
        <v>-6.5749199999999899</v>
      </c>
      <c r="AF4743">
        <v>-9.5361196486255295</v>
      </c>
      <c r="AG4743">
        <v>-1.1145062914129999</v>
      </c>
      <c r="AH4743">
        <v>24.3365914106171</v>
      </c>
      <c r="AI4743">
        <v>92.4415517510662</v>
      </c>
      <c r="AJ4743">
        <v>111.39737492184101</v>
      </c>
      <c r="AK4743">
        <v>26.161983558473199</v>
      </c>
      <c r="AL4743">
        <v>82.000740363620196</v>
      </c>
      <c r="AM4743">
        <v>103.01087029893201</v>
      </c>
      <c r="AN4743">
        <v>0.99999996464858898</v>
      </c>
    </row>
    <row r="4744" spans="1:40" x14ac:dyDescent="0.3">
      <c r="A4744" t="str">
        <f>"20200111150123173"</f>
        <v>20200111150123173</v>
      </c>
      <c r="B4744" t="str">
        <f>"1578726083162285"</f>
        <v>1578726083162285</v>
      </c>
      <c r="C4744" t="s">
        <v>40</v>
      </c>
      <c r="D4744">
        <v>4.2482980000000001</v>
      </c>
      <c r="E4744">
        <v>0.43889840000000002</v>
      </c>
      <c r="F4744" t="s">
        <v>42</v>
      </c>
      <c r="G4744">
        <v>-268.8175</v>
      </c>
      <c r="H4744" s="1">
        <v>-2.8121959999999998E-6</v>
      </c>
      <c r="I4744">
        <v>-60.474789999999999</v>
      </c>
      <c r="J4744">
        <v>-292.48829999999998</v>
      </c>
      <c r="K4744">
        <v>1.114322</v>
      </c>
      <c r="L4744">
        <v>-54.5092199999999</v>
      </c>
      <c r="M4744">
        <v>0.81317620000000002</v>
      </c>
      <c r="N4744">
        <v>0</v>
      </c>
      <c r="O4744">
        <v>-0.58186599999999999</v>
      </c>
      <c r="P4744">
        <v>0.91433339999999996</v>
      </c>
      <c r="Q4744">
        <v>0.13083339999999999</v>
      </c>
      <c r="R4744">
        <v>-0.38324550000000002</v>
      </c>
      <c r="S4744">
        <v>2.986389</v>
      </c>
      <c r="T4744">
        <v>-0.13975789999999999</v>
      </c>
      <c r="U4744">
        <v>-0.76028439999999997</v>
      </c>
      <c r="V4744">
        <v>-0.22371820000000001</v>
      </c>
      <c r="W4744">
        <v>0.1384359</v>
      </c>
      <c r="X4744">
        <v>0.96477230000000003</v>
      </c>
      <c r="Y4744">
        <v>-0.36241390000000001</v>
      </c>
      <c r="Z4744">
        <v>3.3289439999999997E-2</v>
      </c>
      <c r="AA4744">
        <v>0.93142250000000004</v>
      </c>
      <c r="AB4744">
        <v>31</v>
      </c>
      <c r="AC4744">
        <v>23.6707999999999</v>
      </c>
      <c r="AD4744">
        <v>-1.1143248121960001</v>
      </c>
      <c r="AE4744">
        <v>-5.9655700000000103</v>
      </c>
      <c r="AF4744">
        <v>-8.9044064088617496</v>
      </c>
      <c r="AG4744">
        <v>-1.1143248121960001</v>
      </c>
      <c r="AH4744">
        <v>22.674449187055799</v>
      </c>
      <c r="AI4744">
        <v>92.619093661294798</v>
      </c>
      <c r="AJ4744">
        <v>111.440264943421</v>
      </c>
      <c r="AK4744">
        <v>24.385668315993001</v>
      </c>
      <c r="AL4744">
        <v>82.042651067200296</v>
      </c>
      <c r="AM4744">
        <v>103.055409762049</v>
      </c>
      <c r="AN4744">
        <v>0.99999996113366896</v>
      </c>
    </row>
    <row r="4745" spans="1:40" x14ac:dyDescent="0.3">
      <c r="A4745" t="str">
        <f>"20200111150123185"</f>
        <v>20200111150123185</v>
      </c>
      <c r="B4745" t="str">
        <f>"1578726083182781"</f>
        <v>1578726083182781</v>
      </c>
      <c r="C4745" t="s">
        <v>40</v>
      </c>
      <c r="D4745">
        <v>4.1680120000000001</v>
      </c>
      <c r="E4745">
        <v>0.43943579999999999</v>
      </c>
      <c r="F4745" t="s">
        <v>95</v>
      </c>
      <c r="G4745">
        <v>-269.47680000000003</v>
      </c>
      <c r="H4745" s="1">
        <v>-3.101796E-6</v>
      </c>
      <c r="I4745">
        <v>-60.208779999999997</v>
      </c>
      <c r="J4745">
        <v>-292.3449</v>
      </c>
      <c r="K4745">
        <v>1.1141319999999999</v>
      </c>
      <c r="L4745">
        <v>-54.605159999999998</v>
      </c>
      <c r="M4745">
        <v>0.81666969999999905</v>
      </c>
      <c r="N4745">
        <v>0</v>
      </c>
      <c r="O4745">
        <v>-0.57695319999999894</v>
      </c>
      <c r="P4745">
        <v>0.9181665</v>
      </c>
      <c r="Q4745">
        <v>0.12898570000000001</v>
      </c>
      <c r="R4745">
        <v>-0.37461100000000003</v>
      </c>
      <c r="S4745">
        <v>2.9913020000000001</v>
      </c>
      <c r="T4745">
        <v>-0.14485319999999999</v>
      </c>
      <c r="U4745">
        <v>-0.74090579999999995</v>
      </c>
      <c r="V4745">
        <v>-0.22704550000000001</v>
      </c>
      <c r="W4745">
        <v>0.13656370000000001</v>
      </c>
      <c r="X4745">
        <v>0.96426179999999995</v>
      </c>
      <c r="Y4745">
        <v>-0.36277789999999999</v>
      </c>
      <c r="Z4745">
        <v>3.4308930000000001E-2</v>
      </c>
      <c r="AA4745">
        <v>0.93124379999999995</v>
      </c>
      <c r="AB4745">
        <v>31</v>
      </c>
      <c r="AC4745">
        <v>22.868099999999899</v>
      </c>
      <c r="AD4745">
        <v>-1.1141351017959999</v>
      </c>
      <c r="AE4745">
        <v>-5.6036200000000003</v>
      </c>
      <c r="AF4745">
        <v>-8.5990187033837095</v>
      </c>
      <c r="AG4745">
        <v>-1.1141351017959999</v>
      </c>
      <c r="AH4745">
        <v>21.8616822701815</v>
      </c>
      <c r="AI4745">
        <v>92.715278215054795</v>
      </c>
      <c r="AJ4745">
        <v>111.471573375603</v>
      </c>
      <c r="AK4745">
        <v>23.518451721330798</v>
      </c>
      <c r="AL4745">
        <v>82.150949671093997</v>
      </c>
      <c r="AM4745">
        <v>103.24954880366801</v>
      </c>
      <c r="AN4745">
        <v>1.00000006108358</v>
      </c>
    </row>
    <row r="4746" spans="1:40" x14ac:dyDescent="0.3">
      <c r="A4746" t="str">
        <f>"20200111150123198"</f>
        <v>20200111150123198</v>
      </c>
      <c r="B4746" t="str">
        <f>"1578726083192540"</f>
        <v>1578726083192540</v>
      </c>
      <c r="C4746" t="s">
        <v>40</v>
      </c>
      <c r="D4746">
        <v>4.2564479999999998</v>
      </c>
      <c r="E4746">
        <v>0.43965919999999997</v>
      </c>
      <c r="F4746" t="s">
        <v>94</v>
      </c>
      <c r="G4746">
        <v>-270.85629999999998</v>
      </c>
      <c r="H4746" s="1">
        <v>3.4122809999999998E-7</v>
      </c>
      <c r="I4746">
        <v>-59.763339999999999</v>
      </c>
      <c r="J4746">
        <v>-292.19299999999998</v>
      </c>
      <c r="K4746">
        <v>1.113936</v>
      </c>
      <c r="L4746">
        <v>-54.705689999999997</v>
      </c>
      <c r="M4746">
        <v>0.820248599999999</v>
      </c>
      <c r="N4746">
        <v>0</v>
      </c>
      <c r="O4746">
        <v>-0.57185459999999999</v>
      </c>
      <c r="P4746">
        <v>0.92111489999999996</v>
      </c>
      <c r="Q4746">
        <v>0.12773889999999999</v>
      </c>
      <c r="R4746">
        <v>-0.36773640000000002</v>
      </c>
      <c r="S4746">
        <v>2.9957889999999998</v>
      </c>
      <c r="T4746">
        <v>-0.1553243</v>
      </c>
      <c r="U4746">
        <v>-0.71911619999999998</v>
      </c>
      <c r="V4746">
        <v>-0.2282526</v>
      </c>
      <c r="W4746">
        <v>0.1353586</v>
      </c>
      <c r="X4746">
        <v>0.96414670000000002</v>
      </c>
      <c r="Y4746">
        <v>-0.36355599999999999</v>
      </c>
      <c r="Z4746">
        <v>3.6590070000000002E-2</v>
      </c>
      <c r="AA4746">
        <v>0.9308535</v>
      </c>
      <c r="AB4746">
        <v>31</v>
      </c>
      <c r="AC4746">
        <v>21.3367</v>
      </c>
      <c r="AD4746">
        <v>-1.1139356587719</v>
      </c>
      <c r="AE4746">
        <v>-5.05764999999999</v>
      </c>
      <c r="AF4746">
        <v>-8.0329326605030698</v>
      </c>
      <c r="AG4746">
        <v>-1.1139356587719</v>
      </c>
      <c r="AH4746">
        <v>20.342921411389302</v>
      </c>
      <c r="AI4746">
        <v>92.915607788466104</v>
      </c>
      <c r="AJ4746">
        <v>111.54787686437299</v>
      </c>
      <c r="AK4746">
        <v>21.899847290107399</v>
      </c>
      <c r="AL4746">
        <v>82.220643738022503</v>
      </c>
      <c r="AM4746">
        <v>103.319020379009</v>
      </c>
      <c r="AN4746">
        <v>1.0000000295608</v>
      </c>
    </row>
    <row r="4747" spans="1:40" x14ac:dyDescent="0.3">
      <c r="A4747" t="str">
        <f>"20200111150123211"</f>
        <v>20200111150123211</v>
      </c>
      <c r="B4747" t="str">
        <f>"1578726083202224"</f>
        <v>1578726083202224</v>
      </c>
      <c r="C4747" t="s">
        <v>40</v>
      </c>
      <c r="D4747">
        <v>4.1813510000000003</v>
      </c>
      <c r="E4747">
        <v>0.44008530000000001</v>
      </c>
      <c r="F4747" t="s">
        <v>94</v>
      </c>
      <c r="G4747">
        <v>-271.43799999999999</v>
      </c>
      <c r="H4747" s="1">
        <v>4.3361639999999999E-8</v>
      </c>
      <c r="I4747">
        <v>-59.544849999999997</v>
      </c>
      <c r="J4747">
        <v>-292.05739999999997</v>
      </c>
      <c r="K4747">
        <v>1.1137549999999901</v>
      </c>
      <c r="L4747">
        <v>-54.794040000000003</v>
      </c>
      <c r="M4747">
        <v>0.823304699999999</v>
      </c>
      <c r="N4747">
        <v>0</v>
      </c>
      <c r="O4747">
        <v>-0.56744649999999996</v>
      </c>
      <c r="P4747">
        <v>0.92334229999999995</v>
      </c>
      <c r="Q4747">
        <v>0.12731339999999999</v>
      </c>
      <c r="R4747">
        <v>-0.362257</v>
      </c>
      <c r="S4747">
        <v>2.9999690000000001</v>
      </c>
      <c r="T4747">
        <v>-0.1610106</v>
      </c>
      <c r="U4747">
        <v>-0.6994629</v>
      </c>
      <c r="V4747">
        <v>-0.2287738</v>
      </c>
      <c r="W4747">
        <v>0.13498389999999999</v>
      </c>
      <c r="X4747">
        <v>0.96407569999999998</v>
      </c>
      <c r="Y4747">
        <v>-0.36455300000000002</v>
      </c>
      <c r="Z4747">
        <v>3.7756930000000001E-2</v>
      </c>
      <c r="AA4747">
        <v>0.93041689999999999</v>
      </c>
      <c r="AB4747">
        <v>31</v>
      </c>
      <c r="AC4747">
        <v>20.619399999999899</v>
      </c>
      <c r="AD4747">
        <v>-1.11375495663835</v>
      </c>
      <c r="AE4747">
        <v>-4.7508099999999898</v>
      </c>
      <c r="AF4747">
        <v>-7.7681972315930397</v>
      </c>
      <c r="AG4747">
        <v>-1.11375495663835</v>
      </c>
      <c r="AH4747">
        <v>19.619233821626999</v>
      </c>
      <c r="AI4747">
        <v>93.021363682815604</v>
      </c>
      <c r="AJ4747">
        <v>111.600992300103</v>
      </c>
      <c r="AK4747">
        <v>21.130538897057001</v>
      </c>
      <c r="AL4747">
        <v>82.242311329812907</v>
      </c>
      <c r="AM4747">
        <v>103.349293936541</v>
      </c>
      <c r="AN4747">
        <v>1.00000003007806</v>
      </c>
    </row>
    <row r="4748" spans="1:40" x14ac:dyDescent="0.3">
      <c r="A4748" t="str">
        <f>"20200111150123222"</f>
        <v>20200111150123222</v>
      </c>
      <c r="B4748" t="str">
        <f>"1578726083212961"</f>
        <v>1578726083212961</v>
      </c>
      <c r="C4748" t="s">
        <v>40</v>
      </c>
      <c r="D4748">
        <v>4.1802400000000004</v>
      </c>
      <c r="E4748">
        <v>0.44049850000000002</v>
      </c>
      <c r="F4748" t="s">
        <v>94</v>
      </c>
      <c r="G4748">
        <v>-271.66899999999998</v>
      </c>
      <c r="H4748" s="1">
        <v>-7.6875550000000002E-8</v>
      </c>
      <c r="I4748">
        <v>-59.449339999999999</v>
      </c>
      <c r="J4748">
        <v>-291.9151</v>
      </c>
      <c r="K4748">
        <v>1.113567</v>
      </c>
      <c r="L4748">
        <v>-54.8861699999999</v>
      </c>
      <c r="M4748">
        <v>0.82643770000000005</v>
      </c>
      <c r="N4748">
        <v>0</v>
      </c>
      <c r="O4748">
        <v>-0.56287469999999995</v>
      </c>
      <c r="P4748">
        <v>0.92508769999999996</v>
      </c>
      <c r="Q4748">
        <v>0.12628819999999999</v>
      </c>
      <c r="R4748">
        <v>-0.35814010000000002</v>
      </c>
      <c r="S4748">
        <v>3.0026860000000002</v>
      </c>
      <c r="T4748">
        <v>-0.16402800000000001</v>
      </c>
      <c r="U4748">
        <v>-0.68560790000000005</v>
      </c>
      <c r="V4748">
        <v>-0.2277178</v>
      </c>
      <c r="W4748">
        <v>0.13405449999999999</v>
      </c>
      <c r="X4748">
        <v>0.96445530000000002</v>
      </c>
      <c r="Y4748">
        <v>-0.363618</v>
      </c>
      <c r="Z4748">
        <v>3.823464E-2</v>
      </c>
      <c r="AA4748">
        <v>0.93076320000000001</v>
      </c>
      <c r="AB4748">
        <v>31</v>
      </c>
      <c r="AC4748">
        <v>20.246099999999899</v>
      </c>
      <c r="AD4748">
        <v>-1.1135670768755499</v>
      </c>
      <c r="AE4748">
        <v>-4.5631700000000004</v>
      </c>
      <c r="AF4748">
        <v>-7.6036103806715802</v>
      </c>
      <c r="AG4748">
        <v>-1.1135670768755499</v>
      </c>
      <c r="AH4748">
        <v>19.246890670577901</v>
      </c>
      <c r="AI4748">
        <v>93.080121041637099</v>
      </c>
      <c r="AJ4748">
        <v>111.55682303677899</v>
      </c>
      <c r="AK4748">
        <v>20.7243268392712</v>
      </c>
      <c r="AL4748">
        <v>82.296050350803498</v>
      </c>
      <c r="AM4748">
        <v>103.284820765186</v>
      </c>
      <c r="AN4748">
        <v>1.0000000155525799</v>
      </c>
    </row>
    <row r="4749" spans="1:40" x14ac:dyDescent="0.3">
      <c r="A4749" t="str">
        <f>"20200111150123235"</f>
        <v>20200111150123235</v>
      </c>
      <c r="B4749" t="str">
        <f>"1578726083232481"</f>
        <v>1578726083232481</v>
      </c>
      <c r="C4749" t="s">
        <v>40</v>
      </c>
      <c r="D4749">
        <v>4.3131950000000003</v>
      </c>
      <c r="E4749">
        <v>0.45656419999999998</v>
      </c>
      <c r="F4749" t="s">
        <v>94</v>
      </c>
      <c r="G4749">
        <v>-271.97469999999998</v>
      </c>
      <c r="H4749" s="1">
        <v>-2.262494E-7</v>
      </c>
      <c r="I4749">
        <v>-59.366790000000002</v>
      </c>
      <c r="J4749">
        <v>-291.76819999999998</v>
      </c>
      <c r="K4749">
        <v>1.113372</v>
      </c>
      <c r="L4749">
        <v>-54.98001</v>
      </c>
      <c r="M4749">
        <v>0.82953199999999905</v>
      </c>
      <c r="N4749">
        <v>0</v>
      </c>
      <c r="O4749">
        <v>-0.55830559999999996</v>
      </c>
      <c r="P4749">
        <v>0.92643399999999998</v>
      </c>
      <c r="Q4749">
        <v>0.1248003</v>
      </c>
      <c r="R4749">
        <v>-0.35516959999999997</v>
      </c>
      <c r="S4749">
        <v>3.004486</v>
      </c>
      <c r="T4749">
        <v>-0.16778460000000001</v>
      </c>
      <c r="U4749">
        <v>-0.67510990000000004</v>
      </c>
      <c r="V4749">
        <v>-0.2255026</v>
      </c>
      <c r="W4749">
        <v>0.13269259999999999</v>
      </c>
      <c r="X4749">
        <v>0.96516380000000002</v>
      </c>
      <c r="Y4749">
        <v>-0.36164489999999999</v>
      </c>
      <c r="Z4749">
        <v>3.8849500000000002E-2</v>
      </c>
      <c r="AA4749">
        <v>0.93150619999999995</v>
      </c>
      <c r="AB4749">
        <v>31</v>
      </c>
      <c r="AC4749">
        <v>19.793499999999899</v>
      </c>
      <c r="AD4749">
        <v>-1.1133722262493999</v>
      </c>
      <c r="AE4749">
        <v>-4.3867799999999999</v>
      </c>
      <c r="AF4749">
        <v>-7.3901954371281002</v>
      </c>
      <c r="AG4749">
        <v>-1.1133722262493999</v>
      </c>
      <c r="AH4749">
        <v>18.81338532577</v>
      </c>
      <c r="AI4749">
        <v>93.152806104784204</v>
      </c>
      <c r="AJ4749">
        <v>111.44568536929199</v>
      </c>
      <c r="AK4749">
        <v>20.243469409393001</v>
      </c>
      <c r="AL4749">
        <v>82.374784439122493</v>
      </c>
      <c r="AM4749">
        <v>103.150782017757</v>
      </c>
      <c r="AN4749">
        <v>0.99999995476597903</v>
      </c>
    </row>
    <row r="4750" spans="1:40" x14ac:dyDescent="0.3">
      <c r="A4750" t="str">
        <f>"20200111150123248"</f>
        <v>20200111150123248</v>
      </c>
      <c r="B4750" t="str">
        <f>"1578726083242240"</f>
        <v>1578726083242240</v>
      </c>
      <c r="C4750" t="s">
        <v>40</v>
      </c>
      <c r="D4750">
        <v>4.5046429999999997</v>
      </c>
      <c r="E4750">
        <v>0.45519219999999999</v>
      </c>
      <c r="F4750" t="s">
        <v>94</v>
      </c>
      <c r="G4750">
        <v>-277.54840000000002</v>
      </c>
      <c r="H4750" s="1">
        <v>-2.7516059999999998E-6</v>
      </c>
      <c r="I4750">
        <v>-58.759599999999999</v>
      </c>
      <c r="J4750">
        <v>-291.6284</v>
      </c>
      <c r="K4750">
        <v>1.113191</v>
      </c>
      <c r="L4750">
        <v>-55.068480000000001</v>
      </c>
      <c r="M4750">
        <v>0.83238250000000003</v>
      </c>
      <c r="N4750">
        <v>0</v>
      </c>
      <c r="O4750">
        <v>-0.55404750000000003</v>
      </c>
      <c r="P4750">
        <v>0.92752769999999995</v>
      </c>
      <c r="Q4750">
        <v>0.12352730000000001</v>
      </c>
      <c r="R4750">
        <v>-0.3527517</v>
      </c>
      <c r="S4750">
        <v>2.9671630000000002</v>
      </c>
      <c r="T4750">
        <v>-0.23232169999999999</v>
      </c>
      <c r="U4750">
        <v>-0.78866579999999997</v>
      </c>
      <c r="V4750">
        <v>-0.22307930000000001</v>
      </c>
      <c r="W4750">
        <v>0.1315421</v>
      </c>
      <c r="X4750">
        <v>0.96588419999999997</v>
      </c>
      <c r="Y4750">
        <v>-0.31939410000000001</v>
      </c>
      <c r="Z4750">
        <v>5.2171670000000003E-2</v>
      </c>
      <c r="AA4750">
        <v>0.94618469999999999</v>
      </c>
      <c r="AB4750">
        <v>31</v>
      </c>
      <c r="AC4750">
        <v>14.079999999999901</v>
      </c>
      <c r="AD4750">
        <v>-1.113193751606</v>
      </c>
      <c r="AE4750">
        <v>-3.69111999999999</v>
      </c>
      <c r="AF4750">
        <v>-4.70147064286882</v>
      </c>
      <c r="AG4750">
        <v>-1.113193751606</v>
      </c>
      <c r="AH4750">
        <v>13.686128574051301</v>
      </c>
      <c r="AI4750">
        <v>94.398819526859199</v>
      </c>
      <c r="AJ4750">
        <v>108.95866557610201</v>
      </c>
      <c r="AK4750">
        <v>14.513894786715101</v>
      </c>
      <c r="AL4750">
        <v>82.441286479832101</v>
      </c>
      <c r="AM4750">
        <v>103.004919930207</v>
      </c>
      <c r="AN4750">
        <v>0.99999999298526898</v>
      </c>
    </row>
    <row r="4751" spans="1:40" x14ac:dyDescent="0.3">
      <c r="A4751" t="str">
        <f>"20200111150123259"</f>
        <v>20200111150123259</v>
      </c>
      <c r="B4751" t="str">
        <f>"1578726083252000"</f>
        <v>1578726083252000</v>
      </c>
      <c r="C4751" t="s">
        <v>40</v>
      </c>
      <c r="D4751">
        <v>4.7745629999999997</v>
      </c>
      <c r="E4751">
        <v>0.45370769999999999</v>
      </c>
      <c r="F4751" t="s">
        <v>94</v>
      </c>
      <c r="G4751">
        <v>-279.33159999999998</v>
      </c>
      <c r="H4751" s="1">
        <v>-3.6272889999999999E-6</v>
      </c>
      <c r="I4751">
        <v>-58.258780000000002</v>
      </c>
      <c r="J4751">
        <v>-291.47859999999997</v>
      </c>
      <c r="K4751">
        <v>1.113002</v>
      </c>
      <c r="L4751">
        <v>-55.162570000000002</v>
      </c>
      <c r="M4751">
        <v>0.83535519999999996</v>
      </c>
      <c r="N4751">
        <v>0</v>
      </c>
      <c r="O4751">
        <v>-0.54955609999999999</v>
      </c>
      <c r="P4751">
        <v>0.92864480000000005</v>
      </c>
      <c r="Q4751">
        <v>0.1224182</v>
      </c>
      <c r="R4751">
        <v>-0.35018959999999999</v>
      </c>
      <c r="S4751">
        <v>2.9765929999999998</v>
      </c>
      <c r="T4751">
        <v>-0.26946130000000001</v>
      </c>
      <c r="U4751">
        <v>-0.77224729999999997</v>
      </c>
      <c r="V4751">
        <v>-0.2205356</v>
      </c>
      <c r="W4751">
        <v>0.1305588</v>
      </c>
      <c r="X4751">
        <v>0.9666015</v>
      </c>
      <c r="Y4751">
        <v>-0.31916280000000002</v>
      </c>
      <c r="Z4751">
        <v>6.0021690000000003E-2</v>
      </c>
      <c r="AA4751">
        <v>0.94579729999999995</v>
      </c>
      <c r="AB4751">
        <v>31</v>
      </c>
      <c r="AC4751">
        <v>12.146999999999901</v>
      </c>
      <c r="AD4751">
        <v>-1.1130056272890001</v>
      </c>
      <c r="AE4751">
        <v>-3.0962100000000001</v>
      </c>
      <c r="AF4751">
        <v>-4.0573836349386401</v>
      </c>
      <c r="AG4751">
        <v>-1.1130056272890001</v>
      </c>
      <c r="AH4751">
        <v>11.7569210754433</v>
      </c>
      <c r="AI4751">
        <v>95.113720542603602</v>
      </c>
      <c r="AJ4751">
        <v>109.03985992840001</v>
      </c>
      <c r="AK4751">
        <v>12.4870467550036</v>
      </c>
      <c r="AL4751">
        <v>82.498115627587197</v>
      </c>
      <c r="AM4751">
        <v>102.852360324725</v>
      </c>
      <c r="AN4751">
        <v>1.0000000054635201</v>
      </c>
    </row>
    <row r="4752" spans="1:40" x14ac:dyDescent="0.3">
      <c r="A4752" t="str">
        <f>"20200111150123271"</f>
        <v>20200111150123271</v>
      </c>
      <c r="B4752" t="str">
        <f>"1578726083262737"</f>
        <v>1578726083262737</v>
      </c>
      <c r="C4752" t="s">
        <v>40</v>
      </c>
      <c r="D4752">
        <v>4.4928489999999996</v>
      </c>
      <c r="E4752">
        <v>0.45576470000000002</v>
      </c>
      <c r="F4752" t="s">
        <v>83</v>
      </c>
      <c r="G4752">
        <v>-280.69380000000001</v>
      </c>
      <c r="H4752" s="1">
        <v>-6.1960630000000003E-6</v>
      </c>
      <c r="I4752">
        <v>-57.889339999999997</v>
      </c>
      <c r="J4752">
        <v>-291.34039999999999</v>
      </c>
      <c r="K4752">
        <v>1.1128389999999999</v>
      </c>
      <c r="L4752">
        <v>-55.248019999999997</v>
      </c>
      <c r="M4752">
        <v>0.8379683</v>
      </c>
      <c r="N4752">
        <v>0</v>
      </c>
      <c r="O4752">
        <v>-0.5455641</v>
      </c>
      <c r="P4752">
        <v>0.92957179999999995</v>
      </c>
      <c r="Q4752">
        <v>0.1221653</v>
      </c>
      <c r="R4752">
        <v>-0.34781050000000002</v>
      </c>
      <c r="S4752">
        <v>2.9864199999999999</v>
      </c>
      <c r="T4752">
        <v>-0.30820140000000001</v>
      </c>
      <c r="U4752">
        <v>-0.75506589999999996</v>
      </c>
      <c r="V4752">
        <v>-0.21835599999999999</v>
      </c>
      <c r="W4752">
        <v>0.13040950000000001</v>
      </c>
      <c r="X4752">
        <v>0.96711639999999999</v>
      </c>
      <c r="Y4752">
        <v>-0.31960349999999998</v>
      </c>
      <c r="Z4752">
        <v>6.8152959999999999E-2</v>
      </c>
      <c r="AA4752">
        <v>0.94509719999999997</v>
      </c>
      <c r="AB4752">
        <v>31</v>
      </c>
      <c r="AC4752">
        <v>10.6465999999999</v>
      </c>
      <c r="AD4752">
        <v>-1.1128451960629999</v>
      </c>
      <c r="AE4752">
        <v>-2.6413199999999999</v>
      </c>
      <c r="AF4752">
        <v>-3.55873684929026</v>
      </c>
      <c r="AG4752">
        <v>-1.1128451960629999</v>
      </c>
      <c r="AH4752">
        <v>10.2578226876724</v>
      </c>
      <c r="AI4752">
        <v>95.852070512963095</v>
      </c>
      <c r="AJ4752">
        <v>109.133146683254</v>
      </c>
      <c r="AK4752">
        <v>10.9144838945606</v>
      </c>
      <c r="AL4752">
        <v>82.506744032896293</v>
      </c>
      <c r="AM4752">
        <v>102.72293952461401</v>
      </c>
      <c r="AN4752">
        <v>1.0000000557876001</v>
      </c>
    </row>
    <row r="4753" spans="1:40" x14ac:dyDescent="0.3">
      <c r="A4753" t="str">
        <f>"20200111150123285"</f>
        <v>20200111150123285</v>
      </c>
      <c r="B4753" t="str">
        <f>"1578726083282255"</f>
        <v>1578726083282255</v>
      </c>
      <c r="C4753" t="s">
        <v>40</v>
      </c>
      <c r="D4753">
        <v>4.3867339999999997</v>
      </c>
      <c r="E4753">
        <v>0.45694970000000001</v>
      </c>
      <c r="F4753" t="s">
        <v>83</v>
      </c>
      <c r="G4753">
        <v>-280.09570000000002</v>
      </c>
      <c r="H4753" s="1">
        <v>-6.3699789999999899E-6</v>
      </c>
      <c r="I4753">
        <v>-58.123019999999997</v>
      </c>
      <c r="J4753">
        <v>-291.19139999999999</v>
      </c>
      <c r="K4753">
        <v>1.1126739999999999</v>
      </c>
      <c r="L4753">
        <v>-55.33954</v>
      </c>
      <c r="M4753">
        <v>0.84072409999999997</v>
      </c>
      <c r="N4753">
        <v>0</v>
      </c>
      <c r="O4753">
        <v>-0.54130859999999903</v>
      </c>
      <c r="P4753">
        <v>0.93033399999999999</v>
      </c>
      <c r="Q4753">
        <v>0.1230889</v>
      </c>
      <c r="R4753">
        <v>-0.345439099999999</v>
      </c>
      <c r="S4753">
        <v>2.980896</v>
      </c>
      <c r="T4753">
        <v>-0.2950084</v>
      </c>
      <c r="U4753">
        <v>-0.76214599999999999</v>
      </c>
      <c r="V4753">
        <v>-0.21581220000000001</v>
      </c>
      <c r="W4753">
        <v>0.1314438</v>
      </c>
      <c r="X4753">
        <v>0.96754720000000005</v>
      </c>
      <c r="Y4753">
        <v>-0.31263449999999998</v>
      </c>
      <c r="Z4753">
        <v>6.4660490000000001E-2</v>
      </c>
      <c r="AA4753">
        <v>0.94767020000000002</v>
      </c>
      <c r="AB4753">
        <v>31</v>
      </c>
      <c r="AC4753">
        <v>11.0956999999999</v>
      </c>
      <c r="AD4753">
        <v>-1.112680369979</v>
      </c>
      <c r="AE4753">
        <v>-2.7834799999999902</v>
      </c>
      <c r="AF4753">
        <v>-3.6320055300026999</v>
      </c>
      <c r="AG4753">
        <v>-1.112680369979</v>
      </c>
      <c r="AH4753">
        <v>10.734497699577499</v>
      </c>
      <c r="AI4753">
        <v>95.607707705011194</v>
      </c>
      <c r="AJ4753">
        <v>108.693192419924</v>
      </c>
      <c r="AK4753">
        <v>11.386788952024199</v>
      </c>
      <c r="AL4753">
        <v>82.446967897601994</v>
      </c>
      <c r="AM4753">
        <v>102.574040999389</v>
      </c>
      <c r="AN4753">
        <v>0.99999998122755895</v>
      </c>
    </row>
    <row r="4754" spans="1:40" x14ac:dyDescent="0.3">
      <c r="A4754" t="str">
        <f>"20200111150123297"</f>
        <v>20200111150123297</v>
      </c>
      <c r="B4754" t="str">
        <f>"1578726083292016"</f>
        <v>1578726083292016</v>
      </c>
      <c r="C4754" t="s">
        <v>40</v>
      </c>
      <c r="D4754">
        <v>4.3520250000000003</v>
      </c>
      <c r="E4754">
        <v>0.45773619999999998</v>
      </c>
      <c r="F4754" t="s">
        <v>94</v>
      </c>
      <c r="G4754">
        <v>-279.30430000000001</v>
      </c>
      <c r="H4754" s="1">
        <v>-3.5874039999999998E-6</v>
      </c>
      <c r="I4754">
        <v>-58.38626</v>
      </c>
      <c r="J4754">
        <v>-291.0317</v>
      </c>
      <c r="K4754">
        <v>1.1125119999999999</v>
      </c>
      <c r="L4754">
        <v>-55.436610000000002</v>
      </c>
      <c r="M4754">
        <v>0.84357760000000004</v>
      </c>
      <c r="N4754">
        <v>0</v>
      </c>
      <c r="O4754">
        <v>-0.53685159999999998</v>
      </c>
      <c r="P4754">
        <v>0.93039930000000004</v>
      </c>
      <c r="Q4754">
        <v>0.1242238</v>
      </c>
      <c r="R4754">
        <v>-0.344856</v>
      </c>
      <c r="S4754">
        <v>2.978119</v>
      </c>
      <c r="T4754">
        <v>-0.27876279999999998</v>
      </c>
      <c r="U4754">
        <v>-0.76330569999999998</v>
      </c>
      <c r="V4754">
        <v>-0.21117530000000001</v>
      </c>
      <c r="W4754">
        <v>0.13273180000000001</v>
      </c>
      <c r="X4754">
        <v>0.96839419999999998</v>
      </c>
      <c r="Y4754">
        <v>-0.30745860000000003</v>
      </c>
      <c r="Z4754">
        <v>6.0589869999999997E-2</v>
      </c>
      <c r="AA4754">
        <v>0.94963050000000004</v>
      </c>
      <c r="AB4754">
        <v>31</v>
      </c>
      <c r="AC4754">
        <v>11.7273999999999</v>
      </c>
      <c r="AD4754">
        <v>-1.112515587404</v>
      </c>
      <c r="AE4754">
        <v>-2.9496500000000001</v>
      </c>
      <c r="AF4754">
        <v>-3.7759737930026702</v>
      </c>
      <c r="AG4754">
        <v>-1.112515587404</v>
      </c>
      <c r="AH4754">
        <v>11.381127445842599</v>
      </c>
      <c r="AI4754">
        <v>95.300610344398294</v>
      </c>
      <c r="AJ4754">
        <v>108.35455502448799</v>
      </c>
      <c r="AK4754">
        <v>12.042662951198601</v>
      </c>
      <c r="AL4754">
        <v>82.372518995597801</v>
      </c>
      <c r="AM4754">
        <v>102.301763225534</v>
      </c>
      <c r="AN4754">
        <v>1.00000003232748</v>
      </c>
    </row>
    <row r="4755" spans="1:40" x14ac:dyDescent="0.3">
      <c r="A4755" t="str">
        <f>"20200111150123310"</f>
        <v>20200111150123310</v>
      </c>
      <c r="B4755" t="str">
        <f>"1578726083302442"</f>
        <v>1578726083302442</v>
      </c>
      <c r="C4755" t="s">
        <v>40</v>
      </c>
      <c r="D4755">
        <v>4.2989949999999997</v>
      </c>
      <c r="E4755">
        <v>0.45886749999999998</v>
      </c>
      <c r="F4755" t="s">
        <v>94</v>
      </c>
      <c r="G4755">
        <v>-278.52210000000002</v>
      </c>
      <c r="H4755" s="1">
        <v>-3.191943E-6</v>
      </c>
      <c r="I4755">
        <v>-58.657200000000003</v>
      </c>
      <c r="J4755">
        <v>-290.8972</v>
      </c>
      <c r="K4755">
        <v>1.1123909999999999</v>
      </c>
      <c r="L4755">
        <v>-55.517400000000002</v>
      </c>
      <c r="M4755">
        <v>0.84590259999999995</v>
      </c>
      <c r="N4755">
        <v>0</v>
      </c>
      <c r="O4755">
        <v>-0.53318140000000003</v>
      </c>
      <c r="P4755">
        <v>0.93101999999999996</v>
      </c>
      <c r="Q4755">
        <v>0.1241854</v>
      </c>
      <c r="R4755">
        <v>-0.34319080000000002</v>
      </c>
      <c r="S4755">
        <v>2.9758</v>
      </c>
      <c r="T4755">
        <v>-0.26464569999999998</v>
      </c>
      <c r="U4755">
        <v>-0.7661133</v>
      </c>
      <c r="V4755">
        <v>-0.20865639999999999</v>
      </c>
      <c r="W4755">
        <v>0.13278429999999999</v>
      </c>
      <c r="X4755">
        <v>0.96893280000000004</v>
      </c>
      <c r="Y4755">
        <v>-0.30264000000000002</v>
      </c>
      <c r="Z4755">
        <v>5.7091360000000001E-2</v>
      </c>
      <c r="AA4755">
        <v>0.9513935</v>
      </c>
      <c r="AB4755">
        <v>31</v>
      </c>
      <c r="AC4755">
        <v>12.3750999999999</v>
      </c>
      <c r="AD4755">
        <v>-1.1123941919429901</v>
      </c>
      <c r="AE4755">
        <v>-3.1398000000000001</v>
      </c>
      <c r="AF4755">
        <v>-3.91283201151878</v>
      </c>
      <c r="AG4755">
        <v>-1.1123941919429901</v>
      </c>
      <c r="AH4755">
        <v>12.051732115701901</v>
      </c>
      <c r="AI4755">
        <v>95.017161531059003</v>
      </c>
      <c r="AJ4755">
        <v>107.987042085875</v>
      </c>
      <c r="AK4755">
        <v>12.7197453660549</v>
      </c>
      <c r="AL4755">
        <v>82.369483604333894</v>
      </c>
      <c r="AM4755">
        <v>102.152861022422</v>
      </c>
      <c r="AN4755">
        <v>0.99999996725164397</v>
      </c>
    </row>
    <row r="4756" spans="1:40" x14ac:dyDescent="0.3">
      <c r="A4756" t="str">
        <f>"20200111150123321"</f>
        <v>20200111150123321</v>
      </c>
      <c r="B4756" t="str">
        <f>"1578726083312202"</f>
        <v>1578726083312202</v>
      </c>
      <c r="C4756" t="s">
        <v>40</v>
      </c>
      <c r="D4756">
        <v>4.3314130000000004</v>
      </c>
      <c r="E4756">
        <v>0.45931539999999998</v>
      </c>
      <c r="F4756" t="s">
        <v>94</v>
      </c>
      <c r="G4756">
        <v>-277.87369999999999</v>
      </c>
      <c r="H4756" s="1">
        <v>-2.8651790000000002E-6</v>
      </c>
      <c r="I4756">
        <v>-58.877110000000002</v>
      </c>
      <c r="J4756">
        <v>-290.7484</v>
      </c>
      <c r="K4756">
        <v>1.1122620000000001</v>
      </c>
      <c r="L4756">
        <v>-55.606169999999999</v>
      </c>
      <c r="M4756">
        <v>0.8484275</v>
      </c>
      <c r="N4756">
        <v>0</v>
      </c>
      <c r="O4756">
        <v>-0.52915500000000004</v>
      </c>
      <c r="P4756">
        <v>0.93219110000000005</v>
      </c>
      <c r="Q4756">
        <v>0.123348</v>
      </c>
      <c r="R4756">
        <v>-0.34030139999999998</v>
      </c>
      <c r="S4756">
        <v>2.9733890000000001</v>
      </c>
      <c r="T4756">
        <v>-0.25397180000000003</v>
      </c>
      <c r="U4756">
        <v>-0.7670593</v>
      </c>
      <c r="V4756">
        <v>-0.20705399999999999</v>
      </c>
      <c r="W4756">
        <v>0.13201949999999901</v>
      </c>
      <c r="X4756">
        <v>0.96938100000000005</v>
      </c>
      <c r="Y4756">
        <v>-0.29788419999999999</v>
      </c>
      <c r="Z4756">
        <v>5.435649E-2</v>
      </c>
      <c r="AA4756">
        <v>0.95305320000000004</v>
      </c>
      <c r="AB4756">
        <v>31</v>
      </c>
      <c r="AC4756">
        <v>12.874700000000001</v>
      </c>
      <c r="AD4756">
        <v>-1.1122648651789999</v>
      </c>
      <c r="AE4756">
        <v>-3.2709399999999902</v>
      </c>
      <c r="AF4756">
        <v>-4.00977870247696</v>
      </c>
      <c r="AG4756">
        <v>-1.1122648651789999</v>
      </c>
      <c r="AH4756">
        <v>12.567025759083799</v>
      </c>
      <c r="AI4756">
        <v>94.819695512468002</v>
      </c>
      <c r="AJ4756">
        <v>107.696396695283</v>
      </c>
      <c r="AK4756">
        <v>13.238035911819599</v>
      </c>
      <c r="AL4756">
        <v>82.413692996435898</v>
      </c>
      <c r="AM4756">
        <v>102.056861318305</v>
      </c>
      <c r="AN4756">
        <v>1.0000000152286199</v>
      </c>
    </row>
    <row r="4757" spans="1:40" x14ac:dyDescent="0.3">
      <c r="A4757" t="str">
        <f>"20200111150123333"</f>
        <v>20200111150123333</v>
      </c>
      <c r="B4757" t="str">
        <f>"1578726083322938"</f>
        <v>1578726083322938</v>
      </c>
      <c r="C4757" t="s">
        <v>40</v>
      </c>
      <c r="D4757">
        <v>4.2984549999999997</v>
      </c>
      <c r="E4757">
        <v>0.45982669999999998</v>
      </c>
      <c r="F4757" t="s">
        <v>94</v>
      </c>
      <c r="G4757">
        <v>-277.9051</v>
      </c>
      <c r="H4757" s="1">
        <v>-2.8765209999999998E-6</v>
      </c>
      <c r="I4757">
        <v>-58.886650000000003</v>
      </c>
      <c r="J4757">
        <v>-290.6028</v>
      </c>
      <c r="K4757">
        <v>1.1121529999999999</v>
      </c>
      <c r="L4757">
        <v>-55.691859999999998</v>
      </c>
      <c r="M4757">
        <v>0.85081980000000001</v>
      </c>
      <c r="N4757">
        <v>0</v>
      </c>
      <c r="O4757">
        <v>-0.52530059999999901</v>
      </c>
      <c r="P4757">
        <v>0.93334309999999998</v>
      </c>
      <c r="Q4757">
        <v>0.1224011</v>
      </c>
      <c r="R4757">
        <v>-0.3374742</v>
      </c>
      <c r="S4757">
        <v>2.9748839999999999</v>
      </c>
      <c r="T4757">
        <v>-0.25763390000000003</v>
      </c>
      <c r="U4757">
        <v>-0.75985719999999901</v>
      </c>
      <c r="V4757">
        <v>-0.20560400000000001</v>
      </c>
      <c r="W4757">
        <v>0.13113369999999999</v>
      </c>
      <c r="X4757">
        <v>0.96980980000000006</v>
      </c>
      <c r="Y4757">
        <v>-0.29577819999999999</v>
      </c>
      <c r="Z4757">
        <v>5.4770859999999998E-2</v>
      </c>
      <c r="AA4757">
        <v>0.95368520000000001</v>
      </c>
      <c r="AB4757">
        <v>31</v>
      </c>
      <c r="AC4757">
        <v>12.6976999999999</v>
      </c>
      <c r="AD4757">
        <v>-1.112155876521</v>
      </c>
      <c r="AE4757">
        <v>-3.1947899999999998</v>
      </c>
      <c r="AF4757">
        <v>-3.9239344561376202</v>
      </c>
      <c r="AG4757">
        <v>-1.112155876521</v>
      </c>
      <c r="AH4757">
        <v>12.3932942314774</v>
      </c>
      <c r="AI4757">
        <v>94.889903332660694</v>
      </c>
      <c r="AJ4757">
        <v>107.56870104526401</v>
      </c>
      <c r="AK4757">
        <v>13.047141227782999</v>
      </c>
      <c r="AL4757">
        <v>82.464890976068702</v>
      </c>
      <c r="AM4757">
        <v>101.969730754164</v>
      </c>
      <c r="AN4757">
        <v>1.00000005013386</v>
      </c>
    </row>
    <row r="4758" spans="1:40" x14ac:dyDescent="0.3">
      <c r="A4758" t="str">
        <f>"20200111150123346"</f>
        <v>20200111150123346</v>
      </c>
      <c r="B4758" t="str">
        <f>"1578726083342458"</f>
        <v>1578726083342458</v>
      </c>
      <c r="C4758" t="s">
        <v>40</v>
      </c>
      <c r="D4758">
        <v>4.3577919999999999</v>
      </c>
      <c r="E4758">
        <v>0.46005360000000001</v>
      </c>
      <c r="F4758" t="s">
        <v>94</v>
      </c>
      <c r="G4758">
        <v>-277.733</v>
      </c>
      <c r="H4758" s="1">
        <v>-2.7887920000000001E-6</v>
      </c>
      <c r="I4758">
        <v>-58.949530000000003</v>
      </c>
      <c r="J4758">
        <v>-290.46420000000001</v>
      </c>
      <c r="K4758">
        <v>1.1120559999999999</v>
      </c>
      <c r="L4758">
        <v>-55.772739999999999</v>
      </c>
      <c r="M4758">
        <v>0.85305629999999999</v>
      </c>
      <c r="N4758">
        <v>0</v>
      </c>
      <c r="O4758">
        <v>-0.5216615</v>
      </c>
      <c r="P4758">
        <v>0.93464550000000002</v>
      </c>
      <c r="Q4758">
        <v>0.1216124</v>
      </c>
      <c r="R4758">
        <v>-0.3341384</v>
      </c>
      <c r="S4758">
        <v>2.975616</v>
      </c>
      <c r="T4758">
        <v>-0.25714169999999997</v>
      </c>
      <c r="U4758">
        <v>-0.75320430000000005</v>
      </c>
      <c r="V4758">
        <v>-0.20493210000000001</v>
      </c>
      <c r="W4758">
        <v>0.13038440000000001</v>
      </c>
      <c r="X4758">
        <v>0.97005300000000005</v>
      </c>
      <c r="Y4758">
        <v>-0.29378399999999999</v>
      </c>
      <c r="Z4758">
        <v>5.4331240000000003E-2</v>
      </c>
      <c r="AA4758">
        <v>0.95432649999999997</v>
      </c>
      <c r="AB4758">
        <v>31</v>
      </c>
      <c r="AC4758">
        <v>12.731199999999999</v>
      </c>
      <c r="AD4758">
        <v>-1.1120587887919999</v>
      </c>
      <c r="AE4758">
        <v>-3.17679</v>
      </c>
      <c r="AF4758">
        <v>-3.90368028757177</v>
      </c>
      <c r="AG4758">
        <v>-1.1120587887919999</v>
      </c>
      <c r="AH4758">
        <v>12.429391525971599</v>
      </c>
      <c r="AI4758">
        <v>94.878895676165797</v>
      </c>
      <c r="AJ4758">
        <v>107.435860782601</v>
      </c>
      <c r="AK4758">
        <v>13.0753649372857</v>
      </c>
      <c r="AL4758">
        <v>82.508194423247005</v>
      </c>
      <c r="AM4758">
        <v>101.928831703619</v>
      </c>
      <c r="AN4758">
        <v>1.00000004009138</v>
      </c>
    </row>
    <row r="4759" spans="1:40" x14ac:dyDescent="0.3">
      <c r="A4759" t="str">
        <f>"20200111150123358"</f>
        <v>20200111150123358</v>
      </c>
      <c r="B4759" t="str">
        <f>"1578726083352218"</f>
        <v>1578726083352218</v>
      </c>
      <c r="C4759" t="s">
        <v>40</v>
      </c>
      <c r="D4759">
        <v>4.4062710000000003</v>
      </c>
      <c r="E4759">
        <v>0.46023459999999999</v>
      </c>
      <c r="F4759" t="s">
        <v>94</v>
      </c>
      <c r="G4759">
        <v>-277.99209999999999</v>
      </c>
      <c r="H4759" s="1">
        <v>-2.913703E-6</v>
      </c>
      <c r="I4759">
        <v>-58.887309999999999</v>
      </c>
      <c r="J4759">
        <v>-290.31830000000002</v>
      </c>
      <c r="K4759">
        <v>1.111972</v>
      </c>
      <c r="L4759">
        <v>-55.857210000000002</v>
      </c>
      <c r="M4759">
        <v>0.85536639999999997</v>
      </c>
      <c r="N4759">
        <v>0</v>
      </c>
      <c r="O4759">
        <v>-0.51786549999999998</v>
      </c>
      <c r="P4759">
        <v>0.93615630000000005</v>
      </c>
      <c r="Q4759">
        <v>0.121156399999999</v>
      </c>
      <c r="R4759">
        <v>-0.33004929999999999</v>
      </c>
      <c r="S4759">
        <v>2.9783940000000002</v>
      </c>
      <c r="T4759">
        <v>-0.26556489999999999</v>
      </c>
      <c r="U4759">
        <v>-0.74377439999999995</v>
      </c>
      <c r="V4759">
        <v>-0.20485500000000001</v>
      </c>
      <c r="W4759">
        <v>0.12995229999999999</v>
      </c>
      <c r="X4759">
        <v>0.97012719999999997</v>
      </c>
      <c r="Y4759">
        <v>-0.2924349</v>
      </c>
      <c r="Z4759">
        <v>5.5745580000000003E-2</v>
      </c>
      <c r="AA4759">
        <v>0.95465919999999904</v>
      </c>
      <c r="AB4759">
        <v>31</v>
      </c>
      <c r="AC4759">
        <v>12.3262</v>
      </c>
      <c r="AD4759">
        <v>-1.1119749137029999</v>
      </c>
      <c r="AE4759">
        <v>-3.0301</v>
      </c>
      <c r="AF4759">
        <v>-3.7628999353632602</v>
      </c>
      <c r="AG4759">
        <v>-1.1119749137029999</v>
      </c>
      <c r="AH4759">
        <v>12.0213351925946</v>
      </c>
      <c r="AI4759">
        <v>95.044792024641595</v>
      </c>
      <c r="AJ4759">
        <v>107.38108382696301</v>
      </c>
      <c r="AK4759">
        <v>12.6454894703596</v>
      </c>
      <c r="AL4759">
        <v>82.533163907238304</v>
      </c>
      <c r="AM4759">
        <v>101.923586376659</v>
      </c>
      <c r="AN4759">
        <v>0.99999997774006399</v>
      </c>
    </row>
    <row r="4760" spans="1:40" x14ac:dyDescent="0.3">
      <c r="A4760" t="str">
        <f>"20200111150123369"</f>
        <v>20200111150123369</v>
      </c>
      <c r="B4760" t="str">
        <f>"1578726083362954"</f>
        <v>1578726083362954</v>
      </c>
      <c r="C4760" t="s">
        <v>40</v>
      </c>
      <c r="D4760">
        <v>4.412458</v>
      </c>
      <c r="E4760">
        <v>0.46040249999999999</v>
      </c>
      <c r="F4760" t="s">
        <v>94</v>
      </c>
      <c r="G4760">
        <v>-277.97879999999998</v>
      </c>
      <c r="H4760" s="1">
        <v>-2.9085359999999999E-6</v>
      </c>
      <c r="I4760">
        <v>-58.884860000000003</v>
      </c>
      <c r="J4760">
        <v>-290.185</v>
      </c>
      <c r="K4760">
        <v>1.1119019999999999</v>
      </c>
      <c r="L4760">
        <v>-55.933410000000002</v>
      </c>
      <c r="M4760">
        <v>0.85743549999999902</v>
      </c>
      <c r="N4760">
        <v>0</v>
      </c>
      <c r="O4760">
        <v>-0.51443269999999997</v>
      </c>
      <c r="P4760">
        <v>0.93746770000000001</v>
      </c>
      <c r="Q4760">
        <v>0.1227955</v>
      </c>
      <c r="R4760">
        <v>-0.3256926</v>
      </c>
      <c r="S4760">
        <v>2.9814449999999999</v>
      </c>
      <c r="T4760">
        <v>-0.268673299999999</v>
      </c>
      <c r="U4760">
        <v>-0.73153690000000005</v>
      </c>
      <c r="V4760">
        <v>-0.205375</v>
      </c>
      <c r="W4760">
        <v>0.13159409999999999</v>
      </c>
      <c r="X4760">
        <v>0.96979590000000004</v>
      </c>
      <c r="Y4760">
        <v>-0.29247220000000002</v>
      </c>
      <c r="Z4760">
        <v>5.6123920000000001E-2</v>
      </c>
      <c r="AA4760">
        <v>0.95462559999999996</v>
      </c>
      <c r="AB4760">
        <v>31</v>
      </c>
      <c r="AC4760">
        <v>12.206200000000001</v>
      </c>
      <c r="AD4760">
        <v>-1.111904908536</v>
      </c>
      <c r="AE4760">
        <v>-2.9514499999999999</v>
      </c>
      <c r="AF4760">
        <v>-3.7197351917303898</v>
      </c>
      <c r="AG4760">
        <v>-1.111904908536</v>
      </c>
      <c r="AH4760">
        <v>11.892100608090701</v>
      </c>
      <c r="AI4760">
        <v>95.099337925592394</v>
      </c>
      <c r="AJ4760">
        <v>107.369183020016</v>
      </c>
      <c r="AK4760">
        <v>12.509788938873999</v>
      </c>
      <c r="AL4760">
        <v>82.438280970777299</v>
      </c>
      <c r="AM4760">
        <v>101.95694932084901</v>
      </c>
      <c r="AN4760">
        <v>0.99999999271830997</v>
      </c>
    </row>
    <row r="4761" spans="1:40" x14ac:dyDescent="0.3">
      <c r="A4761" t="str">
        <f>"20200111150123381"</f>
        <v>20200111150123381</v>
      </c>
      <c r="B4761" t="str">
        <f>"1578726083372714"</f>
        <v>1578726083372714</v>
      </c>
      <c r="C4761" t="s">
        <v>40</v>
      </c>
      <c r="D4761">
        <v>4.3392309999999998</v>
      </c>
      <c r="E4761">
        <v>0.46065919999999999</v>
      </c>
      <c r="F4761" t="s">
        <v>94</v>
      </c>
      <c r="G4761">
        <v>-277.64359999999999</v>
      </c>
      <c r="H4761" s="1">
        <v>-2.7493979999999998E-6</v>
      </c>
      <c r="I4761">
        <v>-58.954140000000002</v>
      </c>
      <c r="J4761">
        <v>-290.036</v>
      </c>
      <c r="K4761">
        <v>1.111836</v>
      </c>
      <c r="L4761">
        <v>-56.018129999999999</v>
      </c>
      <c r="M4761">
        <v>0.85972079999999995</v>
      </c>
      <c r="N4761">
        <v>0</v>
      </c>
      <c r="O4761">
        <v>-0.51060530000000004</v>
      </c>
      <c r="P4761">
        <v>0.93908740000000002</v>
      </c>
      <c r="Q4761">
        <v>0.1224293</v>
      </c>
      <c r="R4761">
        <v>-0.32113239999999998</v>
      </c>
      <c r="S4761">
        <v>2.984985</v>
      </c>
      <c r="T4761">
        <v>-0.26464409999999999</v>
      </c>
      <c r="U4761">
        <v>-0.71896359999999904</v>
      </c>
      <c r="V4761">
        <v>-0.20575979999999999</v>
      </c>
      <c r="W4761">
        <v>0.131236299999999</v>
      </c>
      <c r="X4761">
        <v>0.96976280000000004</v>
      </c>
      <c r="Y4761">
        <v>-0.29236899999999999</v>
      </c>
      <c r="Z4761">
        <v>5.4973859999999999E-2</v>
      </c>
      <c r="AA4761">
        <v>0.95472420000000002</v>
      </c>
      <c r="AB4761">
        <v>31</v>
      </c>
      <c r="AC4761">
        <v>12.3924</v>
      </c>
      <c r="AD4761">
        <v>-1.111838749398</v>
      </c>
      <c r="AE4761">
        <v>-2.9360099999999898</v>
      </c>
      <c r="AF4761">
        <v>-3.7750128659775899</v>
      </c>
      <c r="AG4761">
        <v>-1.111838749398</v>
      </c>
      <c r="AH4761">
        <v>12.06219800451</v>
      </c>
      <c r="AI4761">
        <v>95.027257266138193</v>
      </c>
      <c r="AJ4761">
        <v>107.378151151542</v>
      </c>
      <c r="AK4761">
        <v>12.6879284456906</v>
      </c>
      <c r="AL4761">
        <v>82.458960613666406</v>
      </c>
      <c r="AM4761">
        <v>101.979102899437</v>
      </c>
      <c r="AN4761">
        <v>0.99999997499878401</v>
      </c>
    </row>
    <row r="4762" spans="1:40" x14ac:dyDescent="0.3">
      <c r="A4762" t="str">
        <f>"20200111150123392"</f>
        <v>20200111150123392</v>
      </c>
      <c r="B4762" t="str">
        <f>"1578726083382474"</f>
        <v>1578726083382474</v>
      </c>
      <c r="C4762" t="s">
        <v>40</v>
      </c>
      <c r="D4762">
        <v>4.4759699999999896</v>
      </c>
      <c r="E4762">
        <v>0.46082410000000001</v>
      </c>
      <c r="F4762" t="s">
        <v>94</v>
      </c>
      <c r="G4762">
        <v>-277.53789999999998</v>
      </c>
      <c r="H4762" s="1">
        <v>-2.7003350000000001E-6</v>
      </c>
      <c r="I4762">
        <v>-58.971139999999998</v>
      </c>
      <c r="J4762">
        <v>-289.89429999999999</v>
      </c>
      <c r="K4762">
        <v>1.1117870000000001</v>
      </c>
      <c r="L4762">
        <v>-56.097470000000001</v>
      </c>
      <c r="M4762">
        <v>0.8618538</v>
      </c>
      <c r="N4762">
        <v>0</v>
      </c>
      <c r="O4762">
        <v>-0.50699689999999997</v>
      </c>
      <c r="P4762">
        <v>0.94061700000000004</v>
      </c>
      <c r="Q4762">
        <v>0.1214118</v>
      </c>
      <c r="R4762">
        <v>-0.31701570000000001</v>
      </c>
      <c r="S4762">
        <v>2.987854</v>
      </c>
      <c r="T4762">
        <v>-0.26580219999999999</v>
      </c>
      <c r="U4762">
        <v>-0.70596309999999995</v>
      </c>
      <c r="V4762">
        <v>-0.20597380000000001</v>
      </c>
      <c r="W4762">
        <v>0.1302265</v>
      </c>
      <c r="X4762">
        <v>0.96985350000000004</v>
      </c>
      <c r="Y4762">
        <v>-0.29248879999999999</v>
      </c>
      <c r="Z4762">
        <v>5.493837E-2</v>
      </c>
      <c r="AA4762">
        <v>0.95468949999999997</v>
      </c>
      <c r="AB4762">
        <v>31</v>
      </c>
      <c r="AC4762">
        <v>12.356400000000001</v>
      </c>
      <c r="AD4762">
        <v>-1.1117897003349999</v>
      </c>
      <c r="AE4762">
        <v>-2.8736700000000099</v>
      </c>
      <c r="AF4762">
        <v>-3.7594064451079801</v>
      </c>
      <c r="AG4762">
        <v>-1.1117897003349999</v>
      </c>
      <c r="AH4762">
        <v>12.015053167271301</v>
      </c>
      <c r="AI4762">
        <v>95.046761571521699</v>
      </c>
      <c r="AJ4762">
        <v>107.374451199833</v>
      </c>
      <c r="AK4762">
        <v>12.6384617643781</v>
      </c>
      <c r="AL4762">
        <v>82.517318769681296</v>
      </c>
      <c r="AM4762">
        <v>101.990112333819</v>
      </c>
      <c r="AN4762">
        <v>0.99999997952546904</v>
      </c>
    </row>
    <row r="4763" spans="1:40" x14ac:dyDescent="0.3">
      <c r="A4763" t="str">
        <f>"20200111150123405"</f>
        <v>20200111150123405</v>
      </c>
      <c r="B4763" t="str">
        <f>"1578726083402772"</f>
        <v>1578726083402772</v>
      </c>
      <c r="C4763" t="s">
        <v>40</v>
      </c>
      <c r="D4763">
        <v>4.4088539999999998</v>
      </c>
      <c r="E4763">
        <v>0.46153690000000003</v>
      </c>
      <c r="F4763" t="s">
        <v>94</v>
      </c>
      <c r="G4763">
        <v>-277.32780000000002</v>
      </c>
      <c r="H4763" s="1">
        <v>-2.601454E-6</v>
      </c>
      <c r="I4763">
        <v>-59.01061</v>
      </c>
      <c r="J4763">
        <v>-289.7534</v>
      </c>
      <c r="K4763">
        <v>1.1117360000000001</v>
      </c>
      <c r="L4763">
        <v>-56.175960000000003</v>
      </c>
      <c r="M4763">
        <v>0.86395560000000005</v>
      </c>
      <c r="N4763">
        <v>0</v>
      </c>
      <c r="O4763">
        <v>-0.50340759999999996</v>
      </c>
      <c r="P4763">
        <v>0.94173269999999998</v>
      </c>
      <c r="Q4763">
        <v>0.12177209999999999</v>
      </c>
      <c r="R4763">
        <v>-0.31354589999999999</v>
      </c>
      <c r="S4763">
        <v>2.9899290000000001</v>
      </c>
      <c r="T4763">
        <v>-0.26452540000000002</v>
      </c>
      <c r="U4763">
        <v>-0.69311519999999904</v>
      </c>
      <c r="V4763">
        <v>-0.2054802</v>
      </c>
      <c r="W4763">
        <v>0.13060469999999999</v>
      </c>
      <c r="X4763">
        <v>0.96990730000000003</v>
      </c>
      <c r="Y4763">
        <v>-0.292587599999999</v>
      </c>
      <c r="Z4763">
        <v>5.4414240000000003E-2</v>
      </c>
      <c r="AA4763">
        <v>0.95468929999999996</v>
      </c>
      <c r="AB4763">
        <v>31</v>
      </c>
      <c r="AC4763">
        <v>12.4255999999999</v>
      </c>
      <c r="AD4763">
        <v>-1.1117386014540001</v>
      </c>
      <c r="AE4763">
        <v>-2.8346499999999999</v>
      </c>
      <c r="AF4763">
        <v>-3.7776920478701701</v>
      </c>
      <c r="AG4763">
        <v>-1.1117386014540001</v>
      </c>
      <c r="AH4763">
        <v>12.0712809480186</v>
      </c>
      <c r="AI4763">
        <v>95.023063021641704</v>
      </c>
      <c r="AJ4763">
        <v>107.377444606485</v>
      </c>
      <c r="AK4763">
        <v>12.697351836209799</v>
      </c>
      <c r="AL4763">
        <v>82.495462510006803</v>
      </c>
      <c r="AM4763">
        <v>101.961563224825</v>
      </c>
      <c r="AN4763">
        <v>0.99999993542370702</v>
      </c>
    </row>
    <row r="4764" spans="1:40" x14ac:dyDescent="0.3">
      <c r="A4764" t="str">
        <f>"20200111150123416"</f>
        <v>20200111150123416</v>
      </c>
      <c r="B4764" t="str">
        <f>"1578726083412531"</f>
        <v>1578726083412531</v>
      </c>
      <c r="C4764" t="s">
        <v>40</v>
      </c>
      <c r="D4764">
        <v>4.3960350000000004</v>
      </c>
      <c r="E4764">
        <v>0.46189200000000002</v>
      </c>
      <c r="F4764" t="s">
        <v>94</v>
      </c>
      <c r="G4764">
        <v>-277.0684</v>
      </c>
      <c r="H4764" s="1">
        <v>-2.4731679999999998E-6</v>
      </c>
      <c r="I4764">
        <v>-59.08746</v>
      </c>
      <c r="J4764">
        <v>-289.60910000000001</v>
      </c>
      <c r="K4764">
        <v>1.1116969999999999</v>
      </c>
      <c r="L4764">
        <v>-56.255429999999997</v>
      </c>
      <c r="M4764">
        <v>0.8660793</v>
      </c>
      <c r="N4764">
        <v>0</v>
      </c>
      <c r="O4764">
        <v>-0.4997452</v>
      </c>
      <c r="P4764">
        <v>0.94273359999999995</v>
      </c>
      <c r="Q4764">
        <v>0.121727</v>
      </c>
      <c r="R4764">
        <v>-0.31054159999999997</v>
      </c>
      <c r="S4764">
        <v>2.9909669999999999</v>
      </c>
      <c r="T4764">
        <v>-0.26213429999999999</v>
      </c>
      <c r="U4764">
        <v>-0.68649289999999996</v>
      </c>
      <c r="V4764">
        <v>-0.20445250000000001</v>
      </c>
      <c r="W4764">
        <v>0.1305877</v>
      </c>
      <c r="X4764">
        <v>0.97012679999999996</v>
      </c>
      <c r="Y4764">
        <v>-0.29068680000000002</v>
      </c>
      <c r="Z4764">
        <v>5.3572849999999998E-2</v>
      </c>
      <c r="AA4764">
        <v>0.95531730000000004</v>
      </c>
      <c r="AB4764">
        <v>31</v>
      </c>
      <c r="AC4764">
        <v>12.540699999999999</v>
      </c>
      <c r="AD4764">
        <v>-1.1116994731680001</v>
      </c>
      <c r="AE4764">
        <v>-2.8320299999999898</v>
      </c>
      <c r="AF4764">
        <v>-3.7863889307230401</v>
      </c>
      <c r="AG4764">
        <v>-1.1116994731680001</v>
      </c>
      <c r="AH4764">
        <v>12.1864066108309</v>
      </c>
      <c r="AI4764">
        <v>94.978831472171194</v>
      </c>
      <c r="AJ4764">
        <v>107.260330039933</v>
      </c>
      <c r="AK4764">
        <v>12.8094154018771</v>
      </c>
      <c r="AL4764">
        <v>82.496445365035498</v>
      </c>
      <c r="AM4764">
        <v>101.900832286631</v>
      </c>
      <c r="AN4764">
        <v>0.99999999011288998</v>
      </c>
    </row>
    <row r="4765" spans="1:40" x14ac:dyDescent="0.3">
      <c r="A4765" t="str">
        <f>"20200111150123428"</f>
        <v>20200111150123428</v>
      </c>
      <c r="B4765" t="str">
        <f>"1578726083422292"</f>
        <v>1578726083422292</v>
      </c>
      <c r="C4765" t="s">
        <v>40</v>
      </c>
      <c r="D4765">
        <v>4.4526490000000001</v>
      </c>
      <c r="E4765">
        <v>0.46213979999999999</v>
      </c>
      <c r="F4765" t="s">
        <v>94</v>
      </c>
      <c r="G4765">
        <v>-276.99799999999999</v>
      </c>
      <c r="H4765" s="1">
        <v>-2.436702E-6</v>
      </c>
      <c r="I4765">
        <v>-59.11598</v>
      </c>
      <c r="J4765">
        <v>-289.46719999999999</v>
      </c>
      <c r="K4765">
        <v>1.111659</v>
      </c>
      <c r="L4765">
        <v>-56.332729999999998</v>
      </c>
      <c r="M4765">
        <v>0.86814429999999998</v>
      </c>
      <c r="N4765">
        <v>0</v>
      </c>
      <c r="O4765">
        <v>-0.49614970000000003</v>
      </c>
      <c r="P4765">
        <v>0.94369700000000001</v>
      </c>
      <c r="Q4765">
        <v>0.1224003</v>
      </c>
      <c r="R4765">
        <v>-0.307334</v>
      </c>
      <c r="S4765">
        <v>2.9927060000000001</v>
      </c>
      <c r="T4765">
        <v>-0.2638162</v>
      </c>
      <c r="U4765">
        <v>-0.67883300000000002</v>
      </c>
      <c r="V4765">
        <v>-0.2036828</v>
      </c>
      <c r="W4765">
        <v>0.13128020000000001</v>
      </c>
      <c r="X4765">
        <v>0.97019520000000004</v>
      </c>
      <c r="Y4765">
        <v>-0.28914889999999999</v>
      </c>
      <c r="Z4765">
        <v>5.35722E-2</v>
      </c>
      <c r="AA4765">
        <v>0.95578399999999997</v>
      </c>
      <c r="AB4765">
        <v>31</v>
      </c>
      <c r="AC4765">
        <v>12.469200000000001</v>
      </c>
      <c r="AD4765">
        <v>-1.1116614367019999</v>
      </c>
      <c r="AE4765">
        <v>-2.7832499999999998</v>
      </c>
      <c r="AF4765">
        <v>-3.7422978175972101</v>
      </c>
      <c r="AG4765">
        <v>-1.1116614367019999</v>
      </c>
      <c r="AH4765">
        <v>12.1152318056153</v>
      </c>
      <c r="AI4765">
        <v>95.010317763066396</v>
      </c>
      <c r="AJ4765">
        <v>107.16549865752</v>
      </c>
      <c r="AK4765">
        <v>12.7286851563402</v>
      </c>
      <c r="AL4765">
        <v>82.456423187682503</v>
      </c>
      <c r="AM4765">
        <v>101.85648765067199</v>
      </c>
      <c r="AN4765">
        <v>0.99999995001545805</v>
      </c>
    </row>
    <row r="4766" spans="1:40" x14ac:dyDescent="0.3">
      <c r="A4766" t="str">
        <f>"20200111150123439"</f>
        <v>20200111150123439</v>
      </c>
      <c r="B4766" t="str">
        <f>"1578726083432051"</f>
        <v>1578726083432051</v>
      </c>
      <c r="C4766" t="s">
        <v>40</v>
      </c>
      <c r="D4766">
        <v>4.4292590000000001</v>
      </c>
      <c r="E4766">
        <v>0.46244109999999999</v>
      </c>
      <c r="F4766" t="s">
        <v>94</v>
      </c>
      <c r="G4766">
        <v>-276.67520000000002</v>
      </c>
      <c r="H4766" s="1">
        <v>-2.2804790000000001E-6</v>
      </c>
      <c r="I4766">
        <v>-59.19614</v>
      </c>
      <c r="J4766">
        <v>-289.32810000000001</v>
      </c>
      <c r="K4766">
        <v>1.1116269999999999</v>
      </c>
      <c r="L4766">
        <v>-56.408050000000003</v>
      </c>
      <c r="M4766">
        <v>0.87014899999999995</v>
      </c>
      <c r="N4766">
        <v>0</v>
      </c>
      <c r="O4766">
        <v>-0.49262600000000001</v>
      </c>
      <c r="P4766">
        <v>0.94460849999999996</v>
      </c>
      <c r="Q4766">
        <v>0.12324839999999999</v>
      </c>
      <c r="R4766">
        <v>-0.30417929999999999</v>
      </c>
      <c r="S4766">
        <v>2.9944459999999999</v>
      </c>
      <c r="T4766">
        <v>-0.26022659999999997</v>
      </c>
      <c r="U4766">
        <v>-0.67028809999999905</v>
      </c>
      <c r="V4766">
        <v>-0.20293800000000001</v>
      </c>
      <c r="W4766">
        <v>0.13214619999999999</v>
      </c>
      <c r="X4766">
        <v>0.97023380000000004</v>
      </c>
      <c r="Y4766">
        <v>-0.2880723</v>
      </c>
      <c r="Z4766">
        <v>5.25341E-2</v>
      </c>
      <c r="AA4766">
        <v>0.95616659999999998</v>
      </c>
      <c r="AB4766">
        <v>31</v>
      </c>
      <c r="AC4766">
        <v>12.652899999999899</v>
      </c>
      <c r="AD4766">
        <v>-1.111629280479</v>
      </c>
      <c r="AE4766">
        <v>-2.7880899999999902</v>
      </c>
      <c r="AF4766">
        <v>-3.77957682443071</v>
      </c>
      <c r="AG4766">
        <v>-1.111629280479</v>
      </c>
      <c r="AH4766">
        <v>12.2938890393609</v>
      </c>
      <c r="AI4766">
        <v>94.939741849886104</v>
      </c>
      <c r="AJ4766">
        <v>107.089281882951</v>
      </c>
      <c r="AK4766">
        <v>12.9097106218966</v>
      </c>
      <c r="AL4766">
        <v>82.406369633947506</v>
      </c>
      <c r="AM4766">
        <v>101.813896269144</v>
      </c>
      <c r="AN4766">
        <v>1.0000000383404299</v>
      </c>
    </row>
    <row r="4767" spans="1:40" x14ac:dyDescent="0.3">
      <c r="A4767" t="str">
        <f>"20200111150123454"</f>
        <v>20200111150123454</v>
      </c>
      <c r="B4767" t="str">
        <f>"1578726083442787"</f>
        <v>1578726083442787</v>
      </c>
      <c r="C4767" t="s">
        <v>40</v>
      </c>
      <c r="D4767">
        <v>5.0003359999999999</v>
      </c>
      <c r="E4767">
        <v>0.46244109999999999</v>
      </c>
      <c r="F4767" t="s">
        <v>94</v>
      </c>
      <c r="G4767">
        <v>-276.31119999999999</v>
      </c>
      <c r="H4767" s="1">
        <v>-2.1040819999999998E-6</v>
      </c>
      <c r="I4767">
        <v>-59.287779999999998</v>
      </c>
      <c r="J4767">
        <v>-289.15750000000003</v>
      </c>
      <c r="K4767">
        <v>1.1115919999999999</v>
      </c>
      <c r="L4767">
        <v>-56.498989999999999</v>
      </c>
      <c r="M4767">
        <v>0.87257899999999999</v>
      </c>
      <c r="N4767">
        <v>0</v>
      </c>
      <c r="O4767">
        <v>-0.48830899999999999</v>
      </c>
      <c r="P4767">
        <v>0.9455867</v>
      </c>
      <c r="Q4767">
        <v>0.1239657</v>
      </c>
      <c r="R4767">
        <v>-0.30082930000000002</v>
      </c>
      <c r="S4767">
        <v>2.9958800000000001</v>
      </c>
      <c r="T4767">
        <v>-0.25584610000000002</v>
      </c>
      <c r="U4767">
        <v>-0.66278079999999995</v>
      </c>
      <c r="V4767">
        <v>-0.20152210000000001</v>
      </c>
      <c r="W4767">
        <v>0.13289339999999999</v>
      </c>
      <c r="X4767">
        <v>0.97042680000000003</v>
      </c>
      <c r="Y4767">
        <v>-0.28581719999999999</v>
      </c>
      <c r="Z4767">
        <v>5.124049E-2</v>
      </c>
      <c r="AA4767">
        <v>0.95691320000000002</v>
      </c>
      <c r="AB4767">
        <v>31</v>
      </c>
      <c r="AC4767">
        <v>12.846299999999999</v>
      </c>
      <c r="AD4767">
        <v>-1.1115941040820001</v>
      </c>
      <c r="AE4767">
        <v>-2.7887900000000001</v>
      </c>
      <c r="AF4767">
        <v>-3.8125701150467801</v>
      </c>
      <c r="AG4767">
        <v>-1.1115941040820001</v>
      </c>
      <c r="AH4767">
        <v>12.4829505918017</v>
      </c>
      <c r="AI4767">
        <v>94.867866530393698</v>
      </c>
      <c r="AJ4767">
        <v>106.98383428210499</v>
      </c>
      <c r="AK4767">
        <v>13.099442271018299</v>
      </c>
      <c r="AL4767">
        <v>82.363176941478798</v>
      </c>
      <c r="AM4767">
        <v>101.731494723225</v>
      </c>
      <c r="AN4767">
        <v>0.99999999335510503</v>
      </c>
    </row>
    <row r="4768" spans="1:40" x14ac:dyDescent="0.3">
      <c r="A4768" t="str">
        <f>"20200111150123465"</f>
        <v>20200111150123465</v>
      </c>
      <c r="B4768" t="str">
        <f>"1578726083462307"</f>
        <v>1578726083462307</v>
      </c>
      <c r="C4768" t="s">
        <v>40</v>
      </c>
      <c r="D4768">
        <v>4.4337</v>
      </c>
      <c r="E4768">
        <v>0.46330700000000002</v>
      </c>
      <c r="F4768" t="s">
        <v>94</v>
      </c>
      <c r="G4768">
        <v>-276.02</v>
      </c>
      <c r="H4768" s="1">
        <v>-1.9636429999999998E-6</v>
      </c>
      <c r="I4768">
        <v>-59.357860000000002</v>
      </c>
      <c r="J4768">
        <v>-289.02249999999998</v>
      </c>
      <c r="K4768">
        <v>1.111567</v>
      </c>
      <c r="L4768">
        <v>-56.570430000000002</v>
      </c>
      <c r="M4768">
        <v>0.87448440000000005</v>
      </c>
      <c r="N4768">
        <v>0</v>
      </c>
      <c r="O4768">
        <v>-0.4848886</v>
      </c>
      <c r="P4768">
        <v>0.94656470000000004</v>
      </c>
      <c r="Q4768">
        <v>0.123651</v>
      </c>
      <c r="R4768">
        <v>-0.29786869999999999</v>
      </c>
      <c r="S4768">
        <v>2.9983219999999999</v>
      </c>
      <c r="T4768">
        <v>-0.25369419999999998</v>
      </c>
      <c r="U4768">
        <v>-0.65246579999999998</v>
      </c>
      <c r="V4768">
        <v>-0.20076430000000001</v>
      </c>
      <c r="W4768">
        <v>0.13259609999999999</v>
      </c>
      <c r="X4768">
        <v>0.9706245</v>
      </c>
      <c r="Y4768">
        <v>-0.28542590000000001</v>
      </c>
      <c r="Z4768">
        <v>5.0534160000000002E-2</v>
      </c>
      <c r="AA4768">
        <v>0.95706749999999996</v>
      </c>
      <c r="AB4768">
        <v>31</v>
      </c>
      <c r="AC4768">
        <v>13.0024999999999</v>
      </c>
      <c r="AD4768">
        <v>-1.111568963643</v>
      </c>
      <c r="AE4768">
        <v>-2.7874299999999899</v>
      </c>
      <c r="AF4768">
        <v>-3.84067385888387</v>
      </c>
      <c r="AG4768">
        <v>-1.111568963643</v>
      </c>
      <c r="AH4768">
        <v>12.634812472255</v>
      </c>
      <c r="AI4768">
        <v>94.811457127516306</v>
      </c>
      <c r="AJ4768">
        <v>106.907988553493</v>
      </c>
      <c r="AK4768">
        <v>13.252352525506501</v>
      </c>
      <c r="AL4768">
        <v>82.380362928622603</v>
      </c>
      <c r="AM4768">
        <v>101.686280562696</v>
      </c>
      <c r="AN4768">
        <v>0.99999997494497395</v>
      </c>
    </row>
    <row r="4769" spans="1:40" x14ac:dyDescent="0.3">
      <c r="A4769" t="str">
        <f>"20200111150123475"</f>
        <v>20200111150123475</v>
      </c>
      <c r="B4769" t="str">
        <f>"1578726083472067"</f>
        <v>1578726083472067</v>
      </c>
      <c r="C4769" t="s">
        <v>40</v>
      </c>
      <c r="D4769">
        <v>4.4854310000000002</v>
      </c>
      <c r="E4769">
        <v>0.46347559999999899</v>
      </c>
      <c r="F4769" t="s">
        <v>94</v>
      </c>
      <c r="G4769">
        <v>-276.04500000000002</v>
      </c>
      <c r="H4769" s="1">
        <v>-1.969647E-6</v>
      </c>
      <c r="I4769">
        <v>-59.379199999999997</v>
      </c>
      <c r="J4769">
        <v>-288.88479999999998</v>
      </c>
      <c r="K4769">
        <v>1.1115469999999901</v>
      </c>
      <c r="L4769">
        <v>-56.642490000000002</v>
      </c>
      <c r="M4769">
        <v>0.87640830000000003</v>
      </c>
      <c r="N4769">
        <v>0</v>
      </c>
      <c r="O4769">
        <v>-0.48140290000000002</v>
      </c>
      <c r="P4769">
        <v>0.94740040000000003</v>
      </c>
      <c r="Q4769">
        <v>0.1234619</v>
      </c>
      <c r="R4769">
        <v>-0.29527930000000002</v>
      </c>
      <c r="S4769">
        <v>2.998688</v>
      </c>
      <c r="T4769">
        <v>-0.25684889999999999</v>
      </c>
      <c r="U4769">
        <v>-0.64901730000000002</v>
      </c>
      <c r="V4769">
        <v>-0.1995527</v>
      </c>
      <c r="W4769">
        <v>0.13243170000000001</v>
      </c>
      <c r="X4769">
        <v>0.9708968</v>
      </c>
      <c r="Y4769">
        <v>-0.2826438</v>
      </c>
      <c r="Z4769">
        <v>5.0790149999999999E-2</v>
      </c>
      <c r="AA4769">
        <v>0.95787940000000005</v>
      </c>
      <c r="AB4769">
        <v>31</v>
      </c>
      <c r="AC4769">
        <v>12.839799999999901</v>
      </c>
      <c r="AD4769">
        <v>-1.11154896964699</v>
      </c>
      <c r="AE4769">
        <v>-2.7367099999999902</v>
      </c>
      <c r="AF4769">
        <v>-3.7560176536360199</v>
      </c>
      <c r="AG4769">
        <v>-1.11154896964699</v>
      </c>
      <c r="AH4769">
        <v>12.4818914871727</v>
      </c>
      <c r="AI4769">
        <v>94.874144181519895</v>
      </c>
      <c r="AJ4769">
        <v>106.74745226000999</v>
      </c>
      <c r="AK4769">
        <v>13.0820802942002</v>
      </c>
      <c r="AL4769">
        <v>82.389866474991194</v>
      </c>
      <c r="AM4769">
        <v>101.614507630687</v>
      </c>
      <c r="AN4769">
        <v>1.0000000157462099</v>
      </c>
    </row>
    <row r="4770" spans="1:40" x14ac:dyDescent="0.3">
      <c r="A4770" t="str">
        <f>"20200111150123488"</f>
        <v>20200111150123488</v>
      </c>
      <c r="B4770" t="str">
        <f>"1578726083482803"</f>
        <v>1578726083482803</v>
      </c>
      <c r="C4770" t="s">
        <v>40</v>
      </c>
      <c r="D4770">
        <v>4.453411</v>
      </c>
      <c r="E4770">
        <v>0.46297759999999999</v>
      </c>
      <c r="F4770" t="s">
        <v>94</v>
      </c>
      <c r="G4770">
        <v>-275.8879</v>
      </c>
      <c r="H4770" s="1">
        <v>-1.8932539999999999E-6</v>
      </c>
      <c r="I4770">
        <v>-59.419939999999997</v>
      </c>
      <c r="J4770">
        <v>-288.7423</v>
      </c>
      <c r="K4770">
        <v>1.1115280000000001</v>
      </c>
      <c r="L4770">
        <v>-56.71631</v>
      </c>
      <c r="M4770">
        <v>0.87838179999999999</v>
      </c>
      <c r="N4770">
        <v>0</v>
      </c>
      <c r="O4770">
        <v>-0.47779280000000002</v>
      </c>
      <c r="P4770">
        <v>0.94820110000000002</v>
      </c>
      <c r="Q4770">
        <v>0.12376180000000001</v>
      </c>
      <c r="R4770">
        <v>-0.29257119999999998</v>
      </c>
      <c r="S4770">
        <v>3.0001829999999998</v>
      </c>
      <c r="T4770">
        <v>-0.25658789999999998</v>
      </c>
      <c r="U4770">
        <v>-0.64114380000000004</v>
      </c>
      <c r="V4770">
        <v>-0.19830819999999999</v>
      </c>
      <c r="W4770">
        <v>0.1327564</v>
      </c>
      <c r="X4770">
        <v>0.97110739999999995</v>
      </c>
      <c r="Y4770">
        <v>-0.28122069999999999</v>
      </c>
      <c r="Z4770">
        <v>5.0409019999999999E-2</v>
      </c>
      <c r="AA4770">
        <v>0.95831820000000001</v>
      </c>
      <c r="AB4770">
        <v>31</v>
      </c>
      <c r="AC4770">
        <v>12.854399999999901</v>
      </c>
      <c r="AD4770">
        <v>-1.1115298932539901</v>
      </c>
      <c r="AE4770">
        <v>-2.70363</v>
      </c>
      <c r="AF4770">
        <v>-3.7404375847436002</v>
      </c>
      <c r="AG4770">
        <v>-1.1115298932539901</v>
      </c>
      <c r="AH4770">
        <v>12.4943840500612</v>
      </c>
      <c r="AI4770">
        <v>94.871276646041906</v>
      </c>
      <c r="AJ4770">
        <v>106.66609662565401</v>
      </c>
      <c r="AK4770">
        <v>13.0895379910593</v>
      </c>
      <c r="AL4770">
        <v>82.371096633915897</v>
      </c>
      <c r="AM4770">
        <v>101.541588295361</v>
      </c>
      <c r="AN4770">
        <v>0.99999999313147903</v>
      </c>
    </row>
    <row r="4771" spans="1:40" x14ac:dyDescent="0.3">
      <c r="A4771" t="str">
        <f>"20200111150127821"</f>
        <v>20200111150127821</v>
      </c>
      <c r="B4771" t="str">
        <f>"1578726087812700"</f>
        <v>1578726087812700</v>
      </c>
      <c r="C4771" t="s">
        <v>40</v>
      </c>
      <c r="D4771">
        <v>4.5922070000000001</v>
      </c>
      <c r="E4771">
        <v>0.41968879999999997</v>
      </c>
      <c r="F4771" t="s">
        <v>94</v>
      </c>
      <c r="G4771">
        <v>-275.50330000000002</v>
      </c>
      <c r="H4771" s="1">
        <v>-1.714077E-6</v>
      </c>
      <c r="I4771">
        <v>-59.48413</v>
      </c>
      <c r="J4771">
        <v>-225.33750000000001</v>
      </c>
      <c r="K4771">
        <v>1.1077250000000001</v>
      </c>
      <c r="L4771">
        <v>-63.552919999999901</v>
      </c>
      <c r="M4771">
        <v>0.99915520000000002</v>
      </c>
      <c r="N4771">
        <v>0</v>
      </c>
      <c r="O4771">
        <v>3.8958949999999999E-2</v>
      </c>
      <c r="P4771">
        <v>0.97148849999999998</v>
      </c>
      <c r="Q4771">
        <v>0.1350034</v>
      </c>
      <c r="R4771">
        <v>0.19489590000000001</v>
      </c>
      <c r="S4771">
        <v>3.0030519999999998</v>
      </c>
      <c r="T4771">
        <v>-0.252133</v>
      </c>
      <c r="U4771">
        <v>-0.62783809999999995</v>
      </c>
      <c r="V4771">
        <v>-0.157907299999999</v>
      </c>
      <c r="W4771">
        <v>0.14671419999999999</v>
      </c>
      <c r="X4771">
        <v>0.97649379999999997</v>
      </c>
      <c r="Y4771">
        <v>0.24167659999999999</v>
      </c>
      <c r="Z4771">
        <v>-1.3253259999999999E-2</v>
      </c>
      <c r="AA4771">
        <v>0.97026630000000003</v>
      </c>
      <c r="AB4771">
        <v>36</v>
      </c>
      <c r="AC4771">
        <v>-50.165799999999997</v>
      </c>
      <c r="AD4771">
        <v>-1.107726714077</v>
      </c>
      <c r="AE4771">
        <v>4.0687899999999804</v>
      </c>
      <c r="AF4771">
        <v>-6.0173597999734998</v>
      </c>
      <c r="AG4771">
        <v>-1.107726714077</v>
      </c>
      <c r="AH4771">
        <v>-49.944985612151903</v>
      </c>
      <c r="AI4771">
        <v>91.261432094276898</v>
      </c>
      <c r="AJ4771">
        <v>-96.8698697943735</v>
      </c>
      <c r="AK4771">
        <v>50.318359126997301</v>
      </c>
      <c r="AL4771">
        <v>81.563442290997898</v>
      </c>
      <c r="AM4771">
        <v>99.185695085552297</v>
      </c>
      <c r="AN4771">
        <v>0.99999995665668395</v>
      </c>
    </row>
    <row r="4772" spans="1:40" x14ac:dyDescent="0.3">
      <c r="A4772" t="str">
        <f>"20200111150127831"</f>
        <v>20200111150127831</v>
      </c>
      <c r="B4772" t="str">
        <f>"1578726087823039"</f>
        <v>1578726087823039</v>
      </c>
      <c r="C4772" t="s">
        <v>40</v>
      </c>
      <c r="D4772">
        <v>4.6238010000000003</v>
      </c>
      <c r="E4772">
        <v>0.42028149999999997</v>
      </c>
      <c r="F4772" t="s">
        <v>83</v>
      </c>
      <c r="G4772">
        <v>-202.63220000000001</v>
      </c>
      <c r="H4772" s="1">
        <v>-5.7292309999999999E-6</v>
      </c>
      <c r="I4772">
        <v>-53.871510000000001</v>
      </c>
      <c r="J4772">
        <v>-225.16120000000001</v>
      </c>
      <c r="K4772">
        <v>1.107766</v>
      </c>
      <c r="L4772">
        <v>-63.544559999999997</v>
      </c>
      <c r="M4772">
        <v>0.99909099999999995</v>
      </c>
      <c r="N4772">
        <v>0</v>
      </c>
      <c r="O4772">
        <v>4.053383E-2</v>
      </c>
      <c r="P4772">
        <v>0.97111239999999999</v>
      </c>
      <c r="Q4772">
        <v>0.13499949999999999</v>
      </c>
      <c r="R4772">
        <v>0.19676350000000001</v>
      </c>
      <c r="S4772">
        <v>2.8625639999999999</v>
      </c>
      <c r="T4772">
        <v>-0.1396568</v>
      </c>
      <c r="U4772">
        <v>1.2205809999999999</v>
      </c>
      <c r="V4772">
        <v>-0.1582605</v>
      </c>
      <c r="W4772">
        <v>0.14680009999999999</v>
      </c>
      <c r="X4772">
        <v>0.97642370000000001</v>
      </c>
      <c r="Y4772">
        <v>-0.35430080000000003</v>
      </c>
      <c r="Z4772">
        <v>6.3877480000000004E-3</v>
      </c>
      <c r="AA4772">
        <v>0.93510970000000004</v>
      </c>
      <c r="AB4772">
        <v>36</v>
      </c>
      <c r="AC4772">
        <v>22.529</v>
      </c>
      <c r="AD4772">
        <v>-1.1077717292309901</v>
      </c>
      <c r="AE4772">
        <v>9.6730499999999893</v>
      </c>
      <c r="AF4772">
        <v>-8.7340028369477203</v>
      </c>
      <c r="AG4772">
        <v>-1.1077717292309901</v>
      </c>
      <c r="AH4772">
        <v>22.855942563029298</v>
      </c>
      <c r="AI4772">
        <v>92.592269680102305</v>
      </c>
      <c r="AJ4772">
        <v>110.913491099985</v>
      </c>
      <c r="AK4772">
        <v>24.492939272459498</v>
      </c>
      <c r="AL4772">
        <v>81.558466641728003</v>
      </c>
      <c r="AM4772">
        <v>99.206539428100598</v>
      </c>
      <c r="AN4772">
        <v>0.99999994857097296</v>
      </c>
    </row>
    <row r="4773" spans="1:40" x14ac:dyDescent="0.3">
      <c r="A4773" t="str">
        <f>"20200111150127843"</f>
        <v>20200111150127843</v>
      </c>
      <c r="B4773" t="str">
        <f>"1578726087832799"</f>
        <v>1578726087832799</v>
      </c>
      <c r="C4773" t="s">
        <v>40</v>
      </c>
      <c r="D4773">
        <v>4.5974599999999999</v>
      </c>
      <c r="E4773">
        <v>0.42048629999999998</v>
      </c>
      <c r="F4773" t="s">
        <v>83</v>
      </c>
      <c r="G4773">
        <v>-202.8597</v>
      </c>
      <c r="H4773" s="1">
        <v>-5.6192609999999997E-6</v>
      </c>
      <c r="I4773">
        <v>-54.024230000000003</v>
      </c>
      <c r="J4773">
        <v>-224.9915</v>
      </c>
      <c r="K4773">
        <v>1.107812</v>
      </c>
      <c r="L4773">
        <v>-63.536349999999999</v>
      </c>
      <c r="M4773">
        <v>0.99902679999999999</v>
      </c>
      <c r="N4773">
        <v>0</v>
      </c>
      <c r="O4773">
        <v>4.2056299999999998E-2</v>
      </c>
      <c r="P4773">
        <v>0.97073670000000001</v>
      </c>
      <c r="Q4773">
        <v>0.13472129999999999</v>
      </c>
      <c r="R4773">
        <v>0.19879749999999999</v>
      </c>
      <c r="S4773">
        <v>2.8615110000000001</v>
      </c>
      <c r="T4773">
        <v>-0.14213879999999901</v>
      </c>
      <c r="U4773">
        <v>1.2215579999999999</v>
      </c>
      <c r="V4773">
        <v>-0.158829</v>
      </c>
      <c r="W4773">
        <v>0.14660479999999901</v>
      </c>
      <c r="X4773">
        <v>0.97636080000000003</v>
      </c>
      <c r="Y4773">
        <v>-0.35326109999999999</v>
      </c>
      <c r="Z4773">
        <v>6.4061229999999997E-3</v>
      </c>
      <c r="AA4773">
        <v>0.93550279999999997</v>
      </c>
      <c r="AB4773">
        <v>36</v>
      </c>
      <c r="AC4773">
        <v>22.131799999999998</v>
      </c>
      <c r="AD4773">
        <v>-1.1078176192610001</v>
      </c>
      <c r="AE4773">
        <v>9.5121199999999906</v>
      </c>
      <c r="AF4773">
        <v>-8.5547464339504398</v>
      </c>
      <c r="AG4773">
        <v>-1.1078176192610001</v>
      </c>
      <c r="AH4773">
        <v>22.464784807827002</v>
      </c>
      <c r="AI4773">
        <v>92.638615298000204</v>
      </c>
      <c r="AJ4773">
        <v>110.84718167224101</v>
      </c>
      <c r="AK4773">
        <v>24.064029232210999</v>
      </c>
      <c r="AL4773">
        <v>81.569779464948198</v>
      </c>
      <c r="AM4773">
        <v>99.239626584058897</v>
      </c>
      <c r="AN4773">
        <v>1.0000000152003301</v>
      </c>
    </row>
    <row r="4774" spans="1:40" x14ac:dyDescent="0.3">
      <c r="A4774" t="str">
        <f>"20200111150127854"</f>
        <v>20200111150127854</v>
      </c>
      <c r="B4774" t="str">
        <f>"1578726087842558"</f>
        <v>1578726087842558</v>
      </c>
      <c r="C4774" t="s">
        <v>40</v>
      </c>
      <c r="D4774">
        <v>4.5409360000000003</v>
      </c>
      <c r="E4774">
        <v>0.42062939999999999</v>
      </c>
      <c r="F4774" t="s">
        <v>83</v>
      </c>
      <c r="G4774">
        <v>-202.17619999999999</v>
      </c>
      <c r="H4774" s="1">
        <v>-5.9204449999999999E-6</v>
      </c>
      <c r="I4774">
        <v>-53.752049999999997</v>
      </c>
      <c r="J4774">
        <v>-224.81649999999999</v>
      </c>
      <c r="K4774">
        <v>1.107847</v>
      </c>
      <c r="L4774">
        <v>-63.527529999999999</v>
      </c>
      <c r="M4774">
        <v>0.99895699999999998</v>
      </c>
      <c r="N4774">
        <v>0</v>
      </c>
      <c r="O4774">
        <v>4.36519E-2</v>
      </c>
      <c r="P4774">
        <v>0.97036149999999999</v>
      </c>
      <c r="Q4774">
        <v>0.1344273</v>
      </c>
      <c r="R4774">
        <v>0.20081840000000001</v>
      </c>
      <c r="S4774">
        <v>2.8586429999999998</v>
      </c>
      <c r="T4774">
        <v>-0.13880390000000001</v>
      </c>
      <c r="U4774">
        <v>1.225922</v>
      </c>
      <c r="V4774">
        <v>-0.1593117</v>
      </c>
      <c r="W4774">
        <v>0.1463902</v>
      </c>
      <c r="X4774">
        <v>0.97631440000000003</v>
      </c>
      <c r="Y4774">
        <v>-0.35332909999999901</v>
      </c>
      <c r="Z4774">
        <v>6.1877410000000001E-3</v>
      </c>
      <c r="AA4774">
        <v>0.93547860000000005</v>
      </c>
      <c r="AB4774">
        <v>35</v>
      </c>
      <c r="AC4774">
        <v>22.6403</v>
      </c>
      <c r="AD4774">
        <v>-1.1078529204449901</v>
      </c>
      <c r="AE4774">
        <v>9.7754799999999999</v>
      </c>
      <c r="AF4774">
        <v>-8.7601001727995609</v>
      </c>
      <c r="AG4774">
        <v>-1.1078529204449901</v>
      </c>
      <c r="AH4774">
        <v>22.999055917406402</v>
      </c>
      <c r="AI4774">
        <v>92.577414863106696</v>
      </c>
      <c r="AJ4774">
        <v>110.85131450456301</v>
      </c>
      <c r="AK4774">
        <v>24.635812676321599</v>
      </c>
      <c r="AL4774">
        <v>81.582209606593096</v>
      </c>
      <c r="AM4774">
        <v>99.267653219450395</v>
      </c>
      <c r="AN4774">
        <v>1.00000005803014</v>
      </c>
    </row>
    <row r="4775" spans="1:40" x14ac:dyDescent="0.3">
      <c r="A4775" t="str">
        <f>"20200111150127865"</f>
        <v>20200111150127865</v>
      </c>
      <c r="B4775" t="str">
        <f>"1578726087863055"</f>
        <v>1578726087863055</v>
      </c>
      <c r="C4775" t="s">
        <v>40</v>
      </c>
      <c r="D4775">
        <v>4.6111190000000004</v>
      </c>
      <c r="E4775">
        <v>0.42066750000000003</v>
      </c>
      <c r="F4775" t="s">
        <v>83</v>
      </c>
      <c r="G4775">
        <v>-201.26949999999999</v>
      </c>
      <c r="H4775" s="1">
        <v>-6.32194499999999E-6</v>
      </c>
      <c r="I4775">
        <v>-53.378480000000003</v>
      </c>
      <c r="J4775">
        <v>-224.63499999999999</v>
      </c>
      <c r="K4775">
        <v>1.1078790000000001</v>
      </c>
      <c r="L4775">
        <v>-63.518099999999997</v>
      </c>
      <c r="M4775">
        <v>0.99888149999999998</v>
      </c>
      <c r="N4775">
        <v>0</v>
      </c>
      <c r="O4775">
        <v>4.5318360000000002E-2</v>
      </c>
      <c r="P4775">
        <v>0.96990670000000001</v>
      </c>
      <c r="Q4775">
        <v>0.1343017</v>
      </c>
      <c r="R4775">
        <v>0.2030863</v>
      </c>
      <c r="S4775">
        <v>2.8555450000000002</v>
      </c>
      <c r="T4775">
        <v>-0.1343492</v>
      </c>
      <c r="U4775">
        <v>1.230774</v>
      </c>
      <c r="V4775">
        <v>-0.15997629999999999</v>
      </c>
      <c r="W4775">
        <v>0.14634159999999999</v>
      </c>
      <c r="X4775">
        <v>0.976213</v>
      </c>
      <c r="Y4775">
        <v>-0.35349799999999998</v>
      </c>
      <c r="Z4775">
        <v>5.9225739999999999E-3</v>
      </c>
      <c r="AA4775">
        <v>0.93541660000000004</v>
      </c>
      <c r="AB4775">
        <v>35</v>
      </c>
      <c r="AC4775">
        <v>23.365500000000001</v>
      </c>
      <c r="AD4775">
        <v>-1.107885321945</v>
      </c>
      <c r="AE4775">
        <v>10.139619999999899</v>
      </c>
      <c r="AF4775">
        <v>-9.0530902278335805</v>
      </c>
      <c r="AG4775">
        <v>-1.107885321945</v>
      </c>
      <c r="AH4775">
        <v>23.7560975448535</v>
      </c>
      <c r="AI4775">
        <v>92.495296169624098</v>
      </c>
      <c r="AJ4775">
        <v>110.861088635011</v>
      </c>
      <c r="AK4775">
        <v>25.446768421952399</v>
      </c>
      <c r="AL4775">
        <v>81.585024435862607</v>
      </c>
      <c r="AM4775">
        <v>99.306589779459202</v>
      </c>
      <c r="AN4775">
        <v>1.0000000509106199</v>
      </c>
    </row>
    <row r="4776" spans="1:40" x14ac:dyDescent="0.3">
      <c r="A4776" t="str">
        <f>"20200111150127876"</f>
        <v>20200111150127876</v>
      </c>
      <c r="B4776" t="str">
        <f>"1578726087872817"</f>
        <v>1578726087872817</v>
      </c>
      <c r="C4776" t="s">
        <v>40</v>
      </c>
      <c r="D4776">
        <v>4.4876659999999999</v>
      </c>
      <c r="E4776">
        <v>0.42214109999999999</v>
      </c>
      <c r="F4776" t="s">
        <v>83</v>
      </c>
      <c r="G4776">
        <v>-201.80500000000001</v>
      </c>
      <c r="H4776" s="1">
        <v>-6.0817249999999998E-6</v>
      </c>
      <c r="I4776">
        <v>-53.619010000000003</v>
      </c>
      <c r="J4776">
        <v>-224.45609999999999</v>
      </c>
      <c r="K4776">
        <v>1.1079110000000001</v>
      </c>
      <c r="L4776">
        <v>-63.508540000000004</v>
      </c>
      <c r="M4776">
        <v>0.99880380000000002</v>
      </c>
      <c r="N4776">
        <v>0</v>
      </c>
      <c r="O4776">
        <v>4.697407E-2</v>
      </c>
      <c r="P4776">
        <v>0.96951359999999998</v>
      </c>
      <c r="Q4776">
        <v>0.13417809999999999</v>
      </c>
      <c r="R4776">
        <v>0.20503589999999999</v>
      </c>
      <c r="S4776">
        <v>2.8532099999999998</v>
      </c>
      <c r="T4776">
        <v>-0.13845940000000001</v>
      </c>
      <c r="U4776">
        <v>1.237152</v>
      </c>
      <c r="V4776">
        <v>-0.16032929999999901</v>
      </c>
      <c r="W4776">
        <v>0.14629200000000001</v>
      </c>
      <c r="X4776">
        <v>0.97616239999999999</v>
      </c>
      <c r="Y4776">
        <v>-0.35397040000000002</v>
      </c>
      <c r="Z4776">
        <v>6.0401319999999897E-3</v>
      </c>
      <c r="AA4776">
        <v>0.93523710000000004</v>
      </c>
      <c r="AB4776">
        <v>35</v>
      </c>
      <c r="AC4776">
        <v>22.6510999999999</v>
      </c>
      <c r="AD4776">
        <v>-1.1079170817249999</v>
      </c>
      <c r="AE4776">
        <v>9.8895300000000006</v>
      </c>
      <c r="AF4776">
        <v>-8.7968223885652392</v>
      </c>
      <c r="AG4776">
        <v>-1.1079170817249999</v>
      </c>
      <c r="AH4776">
        <v>23.044380439123501</v>
      </c>
      <c r="AI4776">
        <v>92.571779031826694</v>
      </c>
      <c r="AJ4776">
        <v>110.89355334971999</v>
      </c>
      <c r="AK4776">
        <v>24.691193454732002</v>
      </c>
      <c r="AL4776">
        <v>81.587896220117699</v>
      </c>
      <c r="AM4776">
        <v>99.327239978484897</v>
      </c>
      <c r="AN4776">
        <v>0.99999993243812202</v>
      </c>
    </row>
    <row r="4777" spans="1:40" x14ac:dyDescent="0.3">
      <c r="A4777" t="str">
        <f>"20200111150127922"</f>
        <v>20200111150127922</v>
      </c>
      <c r="B4777" t="str">
        <f>"1578726087912831"</f>
        <v>1578726087912831</v>
      </c>
      <c r="C4777" t="s">
        <v>40</v>
      </c>
      <c r="D4777">
        <v>4.5361969999999996</v>
      </c>
      <c r="E4777">
        <v>0.42329309999999998</v>
      </c>
      <c r="F4777" t="s">
        <v>83</v>
      </c>
      <c r="G4777">
        <v>-201.90280000000001</v>
      </c>
      <c r="H4777" s="1">
        <v>-6.0204479999999996E-6</v>
      </c>
      <c r="I4777">
        <v>-53.774410000000003</v>
      </c>
      <c r="J4777">
        <v>-223.74619999999999</v>
      </c>
      <c r="K4777">
        <v>1.107996</v>
      </c>
      <c r="L4777">
        <v>-63.467440000000003</v>
      </c>
      <c r="M4777">
        <v>0.99846440000000003</v>
      </c>
      <c r="N4777">
        <v>0</v>
      </c>
      <c r="O4777">
        <v>5.3630240000000003E-2</v>
      </c>
      <c r="P4777">
        <v>0.96781669999999997</v>
      </c>
      <c r="Q4777">
        <v>0.13469809999999999</v>
      </c>
      <c r="R4777">
        <v>0.2125736</v>
      </c>
      <c r="S4777">
        <v>2.8533170000000001</v>
      </c>
      <c r="T4777">
        <v>-0.14016709999999999</v>
      </c>
      <c r="U4777">
        <v>1.231506</v>
      </c>
      <c r="V4777">
        <v>-0.16145599999999999</v>
      </c>
      <c r="W4777">
        <v>0.14706559999999999</v>
      </c>
      <c r="X4777">
        <v>0.97586050000000002</v>
      </c>
      <c r="Y4777">
        <v>-0.34616059999999998</v>
      </c>
      <c r="Z4777">
        <v>5.6220849999999998E-3</v>
      </c>
      <c r="AA4777">
        <v>0.93815850000000001</v>
      </c>
      <c r="AB4777">
        <v>35</v>
      </c>
      <c r="AC4777">
        <v>21.8433999999999</v>
      </c>
      <c r="AD4777">
        <v>-1.1080020204479999</v>
      </c>
      <c r="AE4777">
        <v>9.6930300000000091</v>
      </c>
      <c r="AF4777">
        <v>-8.4892487608337497</v>
      </c>
      <c r="AG4777">
        <v>-1.1080020204479999</v>
      </c>
      <c r="AH4777">
        <v>22.283944161167</v>
      </c>
      <c r="AI4777">
        <v>92.660306382184899</v>
      </c>
      <c r="AJ4777">
        <v>110.854743588711</v>
      </c>
      <c r="AK4777">
        <v>23.871932899927501</v>
      </c>
      <c r="AL4777">
        <v>81.543088330028695</v>
      </c>
      <c r="AM4777">
        <v>99.394476198439605</v>
      </c>
      <c r="AN4777">
        <v>1.0000000230498001</v>
      </c>
    </row>
    <row r="4778" spans="1:40" x14ac:dyDescent="0.3">
      <c r="A4778" t="str">
        <f>"20200111150127932"</f>
        <v>20200111150127932</v>
      </c>
      <c r="B4778" t="str">
        <f>"1578726087922489"</f>
        <v>1578726087922489</v>
      </c>
      <c r="C4778" t="s">
        <v>40</v>
      </c>
      <c r="D4778">
        <v>4.6297680000000003</v>
      </c>
      <c r="E4778">
        <v>0.42529099999999997</v>
      </c>
      <c r="F4778" t="s">
        <v>83</v>
      </c>
      <c r="G4778">
        <v>-201.4127</v>
      </c>
      <c r="H4778" s="1">
        <v>-6.2179649999999997E-6</v>
      </c>
      <c r="I4778">
        <v>-53.6971699999999</v>
      </c>
      <c r="J4778">
        <v>-223.5797</v>
      </c>
      <c r="K4778">
        <v>1.1080049999999999</v>
      </c>
      <c r="L4778">
        <v>-63.457000000000001</v>
      </c>
      <c r="M4778">
        <v>0.99837790000000004</v>
      </c>
      <c r="N4778">
        <v>0</v>
      </c>
      <c r="O4778">
        <v>5.520303E-2</v>
      </c>
      <c r="P4778">
        <v>0.96729560000000003</v>
      </c>
      <c r="Q4778">
        <v>0.1352081</v>
      </c>
      <c r="R4778">
        <v>0.2146113</v>
      </c>
      <c r="S4778">
        <v>2.8459469999999998</v>
      </c>
      <c r="T4778">
        <v>-0.1411926</v>
      </c>
      <c r="U4778">
        <v>1.245026</v>
      </c>
      <c r="V4778">
        <v>-0.1619864</v>
      </c>
      <c r="W4778">
        <v>0.14762120000000001</v>
      </c>
      <c r="X4778">
        <v>0.97568869999999996</v>
      </c>
      <c r="Y4778">
        <v>-0.34930499999999998</v>
      </c>
      <c r="Z4778">
        <v>5.6720349999999998E-3</v>
      </c>
      <c r="AA4778">
        <v>0.93699189999999999</v>
      </c>
      <c r="AB4778">
        <v>35</v>
      </c>
      <c r="AC4778">
        <v>22.166999999999899</v>
      </c>
      <c r="AD4778">
        <v>-1.1080112179649999</v>
      </c>
      <c r="AE4778">
        <v>9.7598299999999991</v>
      </c>
      <c r="AF4778">
        <v>-8.5033447882678299</v>
      </c>
      <c r="AG4778">
        <v>-1.1080112179649999</v>
      </c>
      <c r="AH4778">
        <v>22.624668101984302</v>
      </c>
      <c r="AI4778">
        <v>92.624753794016897</v>
      </c>
      <c r="AJ4778">
        <v>110.59842703641201</v>
      </c>
      <c r="AK4778">
        <v>24.195250942535001</v>
      </c>
      <c r="AL4778">
        <v>81.510903535005696</v>
      </c>
      <c r="AM4778">
        <v>99.426414962244706</v>
      </c>
      <c r="AN4778">
        <v>1.00000002589104</v>
      </c>
    </row>
    <row r="4779" spans="1:40" x14ac:dyDescent="0.3">
      <c r="A4779" t="str">
        <f>"20200111150127943"</f>
        <v>20200111150127943</v>
      </c>
      <c r="B4779" t="str">
        <f>"1578726087933224"</f>
        <v>1578726087933224</v>
      </c>
      <c r="C4779" t="s">
        <v>40</v>
      </c>
      <c r="D4779">
        <v>4.578049</v>
      </c>
      <c r="E4779">
        <v>0.42693160000000002</v>
      </c>
      <c r="F4779" t="s">
        <v>83</v>
      </c>
      <c r="G4779">
        <v>-201.52770000000001</v>
      </c>
      <c r="H4779" s="1">
        <v>-6.1450109999999997E-6</v>
      </c>
      <c r="I4779">
        <v>-53.885570000000001</v>
      </c>
      <c r="J4779">
        <v>-223.40770000000001</v>
      </c>
      <c r="K4779">
        <v>1.1080099999999999</v>
      </c>
      <c r="L4779">
        <v>-63.446080000000002</v>
      </c>
      <c r="M4779">
        <v>0.9982858</v>
      </c>
      <c r="N4779">
        <v>0</v>
      </c>
      <c r="O4779">
        <v>5.682951E-2</v>
      </c>
      <c r="P4779">
        <v>0.96673509999999996</v>
      </c>
      <c r="Q4779">
        <v>0.1355857</v>
      </c>
      <c r="R4779">
        <v>0.216887</v>
      </c>
      <c r="S4779">
        <v>2.847229</v>
      </c>
      <c r="T4779">
        <v>-0.1430601</v>
      </c>
      <c r="U4779">
        <v>1.2358089999999999</v>
      </c>
      <c r="V4779">
        <v>-0.16270409999999999</v>
      </c>
      <c r="W4779">
        <v>0.1480437</v>
      </c>
      <c r="X4779">
        <v>0.97550519999999996</v>
      </c>
      <c r="Y4779">
        <v>-0.34506900000000001</v>
      </c>
      <c r="Z4779">
        <v>5.5687030000000004E-3</v>
      </c>
      <c r="AA4779">
        <v>0.93856079999999997</v>
      </c>
      <c r="AB4779">
        <v>35</v>
      </c>
      <c r="AC4779">
        <v>21.8799999999999</v>
      </c>
      <c r="AD4779">
        <v>-1.108016145011</v>
      </c>
      <c r="AE4779">
        <v>9.5605100000000007</v>
      </c>
      <c r="AF4779">
        <v>-8.2836671931330894</v>
      </c>
      <c r="AG4779">
        <v>-1.108016145011</v>
      </c>
      <c r="AH4779">
        <v>22.339899686203498</v>
      </c>
      <c r="AI4779">
        <v>92.662565011920094</v>
      </c>
      <c r="AJ4779">
        <v>110.34485343746</v>
      </c>
      <c r="AK4779">
        <v>23.852001172518602</v>
      </c>
      <c r="AL4779">
        <v>81.486426723534294</v>
      </c>
      <c r="AM4779">
        <v>99.469174002782097</v>
      </c>
      <c r="AN4779">
        <v>0.99999997824676901</v>
      </c>
    </row>
    <row r="4780" spans="1:40" x14ac:dyDescent="0.3">
      <c r="A4780" t="str">
        <f>"20200111150127954"</f>
        <v>20200111150127954</v>
      </c>
      <c r="B4780" t="str">
        <f>"1578726087952744"</f>
        <v>1578726087952744</v>
      </c>
      <c r="C4780" t="s">
        <v>40</v>
      </c>
      <c r="D4780">
        <v>4.5955879999999896</v>
      </c>
      <c r="E4780">
        <v>0.42932310000000001</v>
      </c>
      <c r="F4780" t="s">
        <v>83</v>
      </c>
      <c r="G4780">
        <v>-201.3775</v>
      </c>
      <c r="H4780" s="1">
        <v>-6.1945879999999996E-6</v>
      </c>
      <c r="I4780">
        <v>-53.932250000000003</v>
      </c>
      <c r="J4780">
        <v>-223.23330000000001</v>
      </c>
      <c r="K4780">
        <v>1.108017</v>
      </c>
      <c r="L4780">
        <v>-63.434660000000001</v>
      </c>
      <c r="M4780">
        <v>0.99818969999999996</v>
      </c>
      <c r="N4780">
        <v>0</v>
      </c>
      <c r="O4780">
        <v>5.8481070000000003E-2</v>
      </c>
      <c r="P4780">
        <v>0.96616179999999996</v>
      </c>
      <c r="Q4780">
        <v>0.13550219999999999</v>
      </c>
      <c r="R4780">
        <v>0.21947849999999999</v>
      </c>
      <c r="S4780">
        <v>2.8474430000000002</v>
      </c>
      <c r="T4780">
        <v>-0.1432127</v>
      </c>
      <c r="U4780">
        <v>1.2296750000000001</v>
      </c>
      <c r="V4780">
        <v>-0.1637094</v>
      </c>
      <c r="W4780">
        <v>0.1479994</v>
      </c>
      <c r="X4780">
        <v>0.97534379999999998</v>
      </c>
      <c r="Y4780">
        <v>-0.34179009999999999</v>
      </c>
      <c r="Z4780">
        <v>5.4186919999999897E-3</v>
      </c>
      <c r="AA4780">
        <v>0.9397607</v>
      </c>
      <c r="AB4780">
        <v>35</v>
      </c>
      <c r="AC4780">
        <v>21.855799999999999</v>
      </c>
      <c r="AD4780">
        <v>-1.1080231945879999</v>
      </c>
      <c r="AE4780">
        <v>9.5024099999999905</v>
      </c>
      <c r="AF4780">
        <v>-8.1901632334738892</v>
      </c>
      <c r="AG4780">
        <v>-1.1080231945879999</v>
      </c>
      <c r="AH4780">
        <v>22.3258935629052</v>
      </c>
      <c r="AI4780">
        <v>92.667668559225007</v>
      </c>
      <c r="AJ4780">
        <v>110.145356807764</v>
      </c>
      <c r="AK4780">
        <v>23.806553983574901</v>
      </c>
      <c r="AL4780">
        <v>81.488993892015003</v>
      </c>
      <c r="AM4780">
        <v>99.528159579850296</v>
      </c>
      <c r="AN4780">
        <v>1.00000005912357</v>
      </c>
    </row>
    <row r="4781" spans="1:40" x14ac:dyDescent="0.3">
      <c r="A4781" t="str">
        <f>"20200111150127966"</f>
        <v>20200111150127966</v>
      </c>
      <c r="B4781" t="str">
        <f>"1578726087962503"</f>
        <v>1578726087962503</v>
      </c>
      <c r="C4781" t="s">
        <v>40</v>
      </c>
      <c r="D4781">
        <v>4.54922</v>
      </c>
      <c r="E4781">
        <v>0.43030269999999998</v>
      </c>
      <c r="F4781" t="s">
        <v>83</v>
      </c>
      <c r="G4781">
        <v>-201.6944</v>
      </c>
      <c r="H4781" s="1">
        <v>-6.02962599999999E-6</v>
      </c>
      <c r="I4781">
        <v>-54.22063</v>
      </c>
      <c r="J4781">
        <v>-223.05869999999999</v>
      </c>
      <c r="K4781">
        <v>1.10802</v>
      </c>
      <c r="L4781">
        <v>-63.422910000000002</v>
      </c>
      <c r="M4781">
        <v>0.99809049999999999</v>
      </c>
      <c r="N4781">
        <v>0</v>
      </c>
      <c r="O4781">
        <v>6.0136580000000002E-2</v>
      </c>
      <c r="P4781">
        <v>0.96551200000000004</v>
      </c>
      <c r="Q4781">
        <v>0.13573089999999999</v>
      </c>
      <c r="R4781">
        <v>0.22217909999999999</v>
      </c>
      <c r="S4781">
        <v>2.84877</v>
      </c>
      <c r="T4781">
        <v>-0.1465484</v>
      </c>
      <c r="U4781">
        <v>1.218658</v>
      </c>
      <c r="V4781">
        <v>-0.16482769999999999</v>
      </c>
      <c r="W4781">
        <v>0.14826249999999999</v>
      </c>
      <c r="X4781">
        <v>0.97511539999999997</v>
      </c>
      <c r="Y4781">
        <v>-0.33699259999999998</v>
      </c>
      <c r="Z4781">
        <v>5.3472609999999999E-3</v>
      </c>
      <c r="AA4781">
        <v>0.94149210000000005</v>
      </c>
      <c r="AB4781">
        <v>35</v>
      </c>
      <c r="AC4781">
        <v>21.364299999999901</v>
      </c>
      <c r="AD4781">
        <v>-1.1080260296259901</v>
      </c>
      <c r="AE4781">
        <v>9.2022799999999805</v>
      </c>
      <c r="AF4781">
        <v>-7.88283311067008</v>
      </c>
      <c r="AG4781">
        <v>-1.1080260296259901</v>
      </c>
      <c r="AH4781">
        <v>21.8295465343903</v>
      </c>
      <c r="AI4781">
        <v>92.733268667412602</v>
      </c>
      <c r="AJ4781">
        <v>109.855078088403</v>
      </c>
      <c r="AK4781">
        <v>23.235659694317199</v>
      </c>
      <c r="AL4781">
        <v>81.473750631068398</v>
      </c>
      <c r="AM4781">
        <v>99.5942461260355</v>
      </c>
      <c r="AN4781">
        <v>0.99999999145534901</v>
      </c>
    </row>
    <row r="4782" spans="1:40" x14ac:dyDescent="0.3">
      <c r="A4782" t="str">
        <f>"20200111150127978"</f>
        <v>20200111150127978</v>
      </c>
      <c r="B4782" t="str">
        <f>"1578726087972264"</f>
        <v>1578726087972264</v>
      </c>
      <c r="C4782" t="s">
        <v>40</v>
      </c>
      <c r="D4782">
        <v>4.5868469999999997</v>
      </c>
      <c r="E4782">
        <v>0.43096210000000001</v>
      </c>
      <c r="F4782" t="s">
        <v>83</v>
      </c>
      <c r="G4782">
        <v>-201.49539999999999</v>
      </c>
      <c r="H4782" s="1">
        <v>-6.1092340000000004E-6</v>
      </c>
      <c r="I4782">
        <v>-54.19294</v>
      </c>
      <c r="J4782">
        <v>-222.87540000000001</v>
      </c>
      <c r="K4782">
        <v>1.1080239999999999</v>
      </c>
      <c r="L4782">
        <v>-63.410339999999998</v>
      </c>
      <c r="M4782">
        <v>0.99798370000000003</v>
      </c>
      <c r="N4782">
        <v>0</v>
      </c>
      <c r="O4782">
        <v>6.1875890000000003E-2</v>
      </c>
      <c r="P4782">
        <v>0.96496700000000002</v>
      </c>
      <c r="Q4782">
        <v>0.1352921</v>
      </c>
      <c r="R4782">
        <v>0.22479969999999999</v>
      </c>
      <c r="S4782">
        <v>2.8472749999999998</v>
      </c>
      <c r="T4782">
        <v>-0.14630670000000001</v>
      </c>
      <c r="U4782">
        <v>1.21875</v>
      </c>
      <c r="V4782">
        <v>-0.16577320000000001</v>
      </c>
      <c r="W4782">
        <v>0.1478612</v>
      </c>
      <c r="X4782">
        <v>0.97501610000000005</v>
      </c>
      <c r="Y4782">
        <v>-0.33556029999999998</v>
      </c>
      <c r="Z4782">
        <v>5.22084E-3</v>
      </c>
      <c r="AA4782">
        <v>0.94200430000000002</v>
      </c>
      <c r="AB4782">
        <v>35</v>
      </c>
      <c r="AC4782">
        <v>21.38</v>
      </c>
      <c r="AD4782">
        <v>-1.1080301092339999</v>
      </c>
      <c r="AE4782">
        <v>9.2173999999999996</v>
      </c>
      <c r="AF4782">
        <v>-7.8588960479523298</v>
      </c>
      <c r="AG4782">
        <v>-1.1080301092339999</v>
      </c>
      <c r="AH4782">
        <v>21.8599055628525</v>
      </c>
      <c r="AI4782">
        <v>92.730876442287894</v>
      </c>
      <c r="AJ4782">
        <v>109.774114693272</v>
      </c>
      <c r="AK4782">
        <v>23.2560841293697</v>
      </c>
      <c r="AL4782">
        <v>81.497000107426501</v>
      </c>
      <c r="AM4782">
        <v>99.649214022643505</v>
      </c>
      <c r="AN4782">
        <v>1.0000000417814401</v>
      </c>
    </row>
    <row r="4783" spans="1:40" x14ac:dyDescent="0.3">
      <c r="A4783" t="str">
        <f>"20200111150127989"</f>
        <v>20200111150127989</v>
      </c>
      <c r="B4783" t="str">
        <f>"1578726087982999"</f>
        <v>1578726087982999</v>
      </c>
      <c r="C4783" t="s">
        <v>40</v>
      </c>
      <c r="D4783">
        <v>4.6125189999999998</v>
      </c>
      <c r="E4783">
        <v>0.431556</v>
      </c>
      <c r="F4783" t="s">
        <v>83</v>
      </c>
      <c r="G4783">
        <v>-201.86529999999999</v>
      </c>
      <c r="H4783" s="1">
        <v>-5.9378850000000002E-6</v>
      </c>
      <c r="I4783">
        <v>-54.393700000000003</v>
      </c>
      <c r="J4783">
        <v>-222.6902</v>
      </c>
      <c r="K4783">
        <v>1.1080289999999999</v>
      </c>
      <c r="L4783">
        <v>-63.397219999999997</v>
      </c>
      <c r="M4783">
        <v>0.99787210000000004</v>
      </c>
      <c r="N4783">
        <v>0</v>
      </c>
      <c r="O4783">
        <v>6.3637739999999998E-2</v>
      </c>
      <c r="P4783">
        <v>0.96459329999999999</v>
      </c>
      <c r="Q4783">
        <v>0.13463649999999999</v>
      </c>
      <c r="R4783">
        <v>0.22678860000000001</v>
      </c>
      <c r="S4783">
        <v>2.8454739999999998</v>
      </c>
      <c r="T4783">
        <v>-0.1500649</v>
      </c>
      <c r="U4783">
        <v>1.2211609999999999</v>
      </c>
      <c r="V4783">
        <v>-0.16605420000000001</v>
      </c>
      <c r="W4783">
        <v>0.14724479999999901</v>
      </c>
      <c r="X4783">
        <v>0.97506150000000003</v>
      </c>
      <c r="Y4783">
        <v>-0.33477400000000002</v>
      </c>
      <c r="Z4783">
        <v>5.2489750000000003E-3</v>
      </c>
      <c r="AA4783">
        <v>0.9422838</v>
      </c>
      <c r="AB4783">
        <v>35</v>
      </c>
      <c r="AC4783">
        <v>20.8249</v>
      </c>
      <c r="AD4783">
        <v>-1.1080349378850001</v>
      </c>
      <c r="AE4783">
        <v>9.0035199999999893</v>
      </c>
      <c r="AF4783">
        <v>-7.6416570064739204</v>
      </c>
      <c r="AG4783">
        <v>-1.1080349378850001</v>
      </c>
      <c r="AH4783">
        <v>21.3048864114539</v>
      </c>
      <c r="AI4783">
        <v>92.802658952371402</v>
      </c>
      <c r="AJ4783">
        <v>109.73194340960001</v>
      </c>
      <c r="AK4783">
        <v>22.6609983944467</v>
      </c>
      <c r="AL4783">
        <v>81.532707540406903</v>
      </c>
      <c r="AM4783">
        <v>99.664820462162297</v>
      </c>
      <c r="AN4783">
        <v>0.99999997862346401</v>
      </c>
    </row>
    <row r="4784" spans="1:40" x14ac:dyDescent="0.3">
      <c r="A4784" t="str">
        <f>"20200111150128001"</f>
        <v>20200111150128001</v>
      </c>
      <c r="B4784" t="str">
        <f>"1578726087992760"</f>
        <v>1578726087992760</v>
      </c>
      <c r="C4784" t="s">
        <v>40</v>
      </c>
      <c r="D4784">
        <v>4.6282899999999998</v>
      </c>
      <c r="E4784">
        <v>0.43202220000000002</v>
      </c>
      <c r="F4784" t="s">
        <v>83</v>
      </c>
      <c r="G4784">
        <v>-201.93049999999999</v>
      </c>
      <c r="H4784" s="1">
        <v>-5.9009300000000001E-6</v>
      </c>
      <c r="I4784">
        <v>-54.472459999999998</v>
      </c>
      <c r="J4784">
        <v>-222.50049999999999</v>
      </c>
      <c r="K4784">
        <v>1.1080350000000001</v>
      </c>
      <c r="L4784">
        <v>-63.383580000000002</v>
      </c>
      <c r="M4784">
        <v>0.99775460000000005</v>
      </c>
      <c r="N4784">
        <v>0</v>
      </c>
      <c r="O4784">
        <v>6.5445020000000007E-2</v>
      </c>
      <c r="P4784">
        <v>0.9642809</v>
      </c>
      <c r="Q4784">
        <v>0.13349920000000001</v>
      </c>
      <c r="R4784">
        <v>0.2287805</v>
      </c>
      <c r="S4784">
        <v>2.8438569999999999</v>
      </c>
      <c r="T4784">
        <v>-0.1517888</v>
      </c>
      <c r="U4784">
        <v>1.2225950000000001</v>
      </c>
      <c r="V4784">
        <v>-0.16628699999999999</v>
      </c>
      <c r="W4784">
        <v>0.1461472</v>
      </c>
      <c r="X4784">
        <v>0.97518689999999997</v>
      </c>
      <c r="Y4784">
        <v>-0.33365860000000003</v>
      </c>
      <c r="Z4784">
        <v>5.1914149999999996E-3</v>
      </c>
      <c r="AA4784">
        <v>0.94267970000000001</v>
      </c>
      <c r="AB4784">
        <v>35</v>
      </c>
      <c r="AC4784">
        <v>20.57</v>
      </c>
      <c r="AD4784">
        <v>-1.1080409009299901</v>
      </c>
      <c r="AE4784">
        <v>8.9111200000000004</v>
      </c>
      <c r="AF4784">
        <v>-7.52728158401976</v>
      </c>
      <c r="AG4784">
        <v>-1.1080409009299901</v>
      </c>
      <c r="AH4784">
        <v>21.057693411456899</v>
      </c>
      <c r="AI4784">
        <v>92.836618043894902</v>
      </c>
      <c r="AJ4784">
        <v>109.669934223383</v>
      </c>
      <c r="AK4784">
        <v>22.390046326306901</v>
      </c>
      <c r="AL4784">
        <v>81.596282768005295</v>
      </c>
      <c r="AM4784">
        <v>99.676892999796095</v>
      </c>
      <c r="AN4784">
        <v>0.99999993018422195</v>
      </c>
    </row>
    <row r="4785" spans="1:40" x14ac:dyDescent="0.3">
      <c r="A4785" t="str">
        <f>"20200111150128011"</f>
        <v>20200111150128011</v>
      </c>
      <c r="B4785" t="str">
        <f>"1578726088002521"</f>
        <v>1578726088002521</v>
      </c>
      <c r="C4785" t="s">
        <v>40</v>
      </c>
      <c r="D4785">
        <v>4.5507010000000001</v>
      </c>
      <c r="E4785">
        <v>0.43258619999999998</v>
      </c>
      <c r="F4785" t="s">
        <v>83</v>
      </c>
      <c r="G4785">
        <v>-202.41550000000001</v>
      </c>
      <c r="H4785" s="1">
        <v>-5.6784069999999997E-6</v>
      </c>
      <c r="I4785">
        <v>-54.721780000000003</v>
      </c>
      <c r="J4785">
        <v>-222.34790000000001</v>
      </c>
      <c r="K4785">
        <v>1.1080460000000001</v>
      </c>
      <c r="L4785">
        <v>-63.372190000000003</v>
      </c>
      <c r="M4785">
        <v>0.99765709999999996</v>
      </c>
      <c r="N4785">
        <v>0</v>
      </c>
      <c r="O4785">
        <v>6.6909640000000006E-2</v>
      </c>
      <c r="P4785">
        <v>0.96408289999999996</v>
      </c>
      <c r="Q4785">
        <v>0.1325421</v>
      </c>
      <c r="R4785">
        <v>0.23016700000000001</v>
      </c>
      <c r="S4785">
        <v>2.8420260000000002</v>
      </c>
      <c r="T4785">
        <v>-0.15678810000000001</v>
      </c>
      <c r="U4785">
        <v>1.2256469999999999</v>
      </c>
      <c r="V4785">
        <v>-0.1662448</v>
      </c>
      <c r="W4785">
        <v>0.14521979999999901</v>
      </c>
      <c r="X4785">
        <v>0.97533270000000005</v>
      </c>
      <c r="Y4785">
        <v>-0.33332970000000001</v>
      </c>
      <c r="Z4785">
        <v>5.2789419999999896E-3</v>
      </c>
      <c r="AA4785">
        <v>0.94279559999999996</v>
      </c>
      <c r="AB4785">
        <v>35</v>
      </c>
      <c r="AC4785">
        <v>19.932400000000001</v>
      </c>
      <c r="AD4785">
        <v>-1.10805167840699</v>
      </c>
      <c r="AE4785">
        <v>8.6504100000000008</v>
      </c>
      <c r="AF4785">
        <v>-7.2782881997410902</v>
      </c>
      <c r="AG4785">
        <v>-1.10805167840699</v>
      </c>
      <c r="AH4785">
        <v>20.413492405923002</v>
      </c>
      <c r="AI4785">
        <v>92.926858323560097</v>
      </c>
      <c r="AJ4785">
        <v>109.623337852118</v>
      </c>
      <c r="AK4785">
        <v>21.7005052901353</v>
      </c>
      <c r="AL4785">
        <v>81.649992474234693</v>
      </c>
      <c r="AM4785">
        <v>99.673064746472804</v>
      </c>
      <c r="AN4785">
        <v>0.99999999976418497</v>
      </c>
    </row>
    <row r="4786" spans="1:40" x14ac:dyDescent="0.3">
      <c r="A4786" t="str">
        <f>"20200111150128023"</f>
        <v>20200111150128023</v>
      </c>
      <c r="B4786" t="str">
        <f>"1578726088012279"</f>
        <v>1578726088012279</v>
      </c>
      <c r="C4786" t="s">
        <v>40</v>
      </c>
      <c r="D4786">
        <v>4.606922</v>
      </c>
      <c r="E4786">
        <v>0.43287969999999998</v>
      </c>
      <c r="F4786" t="s">
        <v>83</v>
      </c>
      <c r="G4786">
        <v>-203.05179999999999</v>
      </c>
      <c r="H4786" s="1">
        <v>-5.3308200000000004E-6</v>
      </c>
      <c r="I4786">
        <v>-55.047879999999999</v>
      </c>
      <c r="J4786">
        <v>-222.16749999999999</v>
      </c>
      <c r="K4786">
        <v>1.108058</v>
      </c>
      <c r="L4786">
        <v>-63.358580000000003</v>
      </c>
      <c r="M4786">
        <v>0.99753860000000005</v>
      </c>
      <c r="N4786">
        <v>0</v>
      </c>
      <c r="O4786">
        <v>6.8645520000000002E-2</v>
      </c>
      <c r="P4786">
        <v>0.96373399999999998</v>
      </c>
      <c r="Q4786">
        <v>0.1318493</v>
      </c>
      <c r="R4786">
        <v>0.2320188</v>
      </c>
      <c r="S4786">
        <v>2.8415219999999999</v>
      </c>
      <c r="T4786">
        <v>-0.16317079999999901</v>
      </c>
      <c r="U4786">
        <v>1.22583</v>
      </c>
      <c r="V4786">
        <v>-0.1664146</v>
      </c>
      <c r="W4786">
        <v>0.1445573</v>
      </c>
      <c r="X4786">
        <v>0.97540210000000005</v>
      </c>
      <c r="Y4786">
        <v>-0.33177719999999999</v>
      </c>
      <c r="Z4786">
        <v>5.3571769999999899E-3</v>
      </c>
      <c r="AA4786">
        <v>0.94334260000000003</v>
      </c>
      <c r="AB4786">
        <v>35</v>
      </c>
      <c r="AC4786">
        <v>19.1157</v>
      </c>
      <c r="AD4786">
        <v>-1.1080633308200001</v>
      </c>
      <c r="AE4786">
        <v>8.31069999999999</v>
      </c>
      <c r="AF4786">
        <v>-6.9590847112945102</v>
      </c>
      <c r="AG4786">
        <v>-1.1080633308200001</v>
      </c>
      <c r="AH4786">
        <v>19.5858015475992</v>
      </c>
      <c r="AI4786">
        <v>93.051533275217295</v>
      </c>
      <c r="AJ4786">
        <v>109.56077371197</v>
      </c>
      <c r="AK4786">
        <v>20.814905395557801</v>
      </c>
      <c r="AL4786">
        <v>81.688355275217106</v>
      </c>
      <c r="AM4786">
        <v>99.682081836899698</v>
      </c>
      <c r="AN4786">
        <v>0.99999994438042805</v>
      </c>
    </row>
    <row r="4787" spans="1:40" x14ac:dyDescent="0.3">
      <c r="A4787" t="str">
        <f>"20200111150128034"</f>
        <v>20200111150128034</v>
      </c>
      <c r="B4787" t="str">
        <f>"1578726088022633"</f>
        <v>1578726088022633</v>
      </c>
      <c r="C4787" t="s">
        <v>40</v>
      </c>
      <c r="D4787">
        <v>4.558268</v>
      </c>
      <c r="E4787">
        <v>0.43366070000000001</v>
      </c>
      <c r="F4787" t="s">
        <v>83</v>
      </c>
      <c r="G4787">
        <v>-203.26840000000001</v>
      </c>
      <c r="H4787" s="1">
        <v>-5.1912889999999997E-6</v>
      </c>
      <c r="I4787">
        <v>-55.179340000000003</v>
      </c>
      <c r="J4787">
        <v>-221.9991</v>
      </c>
      <c r="K4787">
        <v>1.1080700000000001</v>
      </c>
      <c r="L4787">
        <v>-63.345489999999998</v>
      </c>
      <c r="M4787">
        <v>0.99742430000000004</v>
      </c>
      <c r="N4787">
        <v>0</v>
      </c>
      <c r="O4787">
        <v>7.0279880000000003E-2</v>
      </c>
      <c r="P4787">
        <v>0.9633391</v>
      </c>
      <c r="Q4787">
        <v>0.13152920000000001</v>
      </c>
      <c r="R4787">
        <v>0.23383319999999999</v>
      </c>
      <c r="S4787">
        <v>2.8397519999999998</v>
      </c>
      <c r="T4787">
        <v>-0.16649649999999999</v>
      </c>
      <c r="U4787">
        <v>1.229004</v>
      </c>
      <c r="V4787">
        <v>-0.16665360000000001</v>
      </c>
      <c r="W4787">
        <v>0.14425959999999999</v>
      </c>
      <c r="X4787">
        <v>0.97540550000000004</v>
      </c>
      <c r="Y4787">
        <v>-0.3313218</v>
      </c>
      <c r="Z4787">
        <v>5.3646020000000004E-3</v>
      </c>
      <c r="AA4787">
        <v>0.94350250000000002</v>
      </c>
      <c r="AB4787">
        <v>35</v>
      </c>
      <c r="AC4787">
        <v>18.730699999999899</v>
      </c>
      <c r="AD4787">
        <v>-1.1080751912889999</v>
      </c>
      <c r="AE4787">
        <v>8.16615</v>
      </c>
      <c r="AF4787">
        <v>-6.8094022279011801</v>
      </c>
      <c r="AG4787">
        <v>-1.1080751912889999</v>
      </c>
      <c r="AH4787">
        <v>19.201882673511101</v>
      </c>
      <c r="AI4787">
        <v>93.1131364112303</v>
      </c>
      <c r="AJ4787">
        <v>109.52560547770899</v>
      </c>
      <c r="AK4787">
        <v>20.4036292736901</v>
      </c>
      <c r="AL4787">
        <v>81.705593977922305</v>
      </c>
      <c r="AM4787">
        <v>99.695690056971998</v>
      </c>
      <c r="AN4787">
        <v>1.00000007200768</v>
      </c>
    </row>
    <row r="4788" spans="1:40" x14ac:dyDescent="0.3">
      <c r="A4788" t="str">
        <f>"20200111150128048"</f>
        <v>20200111150128048</v>
      </c>
      <c r="B4788" t="str">
        <f>"1578726088043128"</f>
        <v>1578726088043128</v>
      </c>
      <c r="C4788" t="s">
        <v>40</v>
      </c>
      <c r="D4788">
        <v>4.6471049999999998</v>
      </c>
      <c r="E4788">
        <v>0.43424479999999999</v>
      </c>
      <c r="F4788" t="s">
        <v>83</v>
      </c>
      <c r="G4788">
        <v>-203.44120000000001</v>
      </c>
      <c r="H4788" s="1">
        <v>-5.0720279999999998E-6</v>
      </c>
      <c r="I4788">
        <v>-55.320270000000001</v>
      </c>
      <c r="J4788">
        <v>-221.7878</v>
      </c>
      <c r="K4788">
        <v>1.1080989999999999</v>
      </c>
      <c r="L4788">
        <v>-63.328699999999998</v>
      </c>
      <c r="M4788">
        <v>0.99727580000000005</v>
      </c>
      <c r="N4788">
        <v>0</v>
      </c>
      <c r="O4788">
        <v>7.2350410000000004E-2</v>
      </c>
      <c r="P4788">
        <v>0.96289650000000004</v>
      </c>
      <c r="Q4788">
        <v>0.13095570000000001</v>
      </c>
      <c r="R4788">
        <v>0.2359677</v>
      </c>
      <c r="S4788">
        <v>2.839264</v>
      </c>
      <c r="T4788">
        <v>-0.1695294</v>
      </c>
      <c r="U4788">
        <v>1.227814</v>
      </c>
      <c r="V4788">
        <v>-0.16678889999999999</v>
      </c>
      <c r="W4788">
        <v>0.1437118</v>
      </c>
      <c r="X4788">
        <v>0.97546319999999997</v>
      </c>
      <c r="Y4788">
        <v>-0.32908090000000001</v>
      </c>
      <c r="Z4788">
        <v>5.2823069999999896E-3</v>
      </c>
      <c r="AA4788">
        <v>0.94428690000000004</v>
      </c>
      <c r="AB4788">
        <v>35</v>
      </c>
      <c r="AC4788">
        <v>18.346599999999899</v>
      </c>
      <c r="AD4788">
        <v>-1.108104072028</v>
      </c>
      <c r="AE4788">
        <v>8.0084300000000006</v>
      </c>
      <c r="AF4788">
        <v>-6.6395722586888697</v>
      </c>
      <c r="AG4788">
        <v>-1.108104072028</v>
      </c>
      <c r="AH4788">
        <v>18.82031388962</v>
      </c>
      <c r="AI4788">
        <v>93.178035865595902</v>
      </c>
      <c r="AJ4788">
        <v>109.432206853007</v>
      </c>
      <c r="AK4788">
        <v>19.987897070893201</v>
      </c>
      <c r="AL4788">
        <v>81.737310809148198</v>
      </c>
      <c r="AM4788">
        <v>99.702848983044902</v>
      </c>
      <c r="AN4788">
        <v>1.0000000365883399</v>
      </c>
    </row>
    <row r="4789" spans="1:40" x14ac:dyDescent="0.3">
      <c r="A4789" t="str">
        <f>"20200111150128057"</f>
        <v>20200111150128057</v>
      </c>
      <c r="B4789" t="str">
        <f>"1578726088052889"</f>
        <v>1578726088052889</v>
      </c>
      <c r="C4789" t="s">
        <v>40</v>
      </c>
      <c r="D4789">
        <v>4.6386200000000004</v>
      </c>
      <c r="E4789">
        <v>0.43458479999999999</v>
      </c>
      <c r="F4789" t="s">
        <v>83</v>
      </c>
      <c r="G4789">
        <v>-203.75489999999999</v>
      </c>
      <c r="H4789" s="1">
        <v>-4.868397E-6</v>
      </c>
      <c r="I4789">
        <v>-55.517719999999997</v>
      </c>
      <c r="J4789">
        <v>-221.62989999999999</v>
      </c>
      <c r="K4789">
        <v>1.108123</v>
      </c>
      <c r="L4789">
        <v>-63.315919999999998</v>
      </c>
      <c r="M4789">
        <v>0.99716070000000001</v>
      </c>
      <c r="N4789">
        <v>0</v>
      </c>
      <c r="O4789">
        <v>7.3911660000000004E-2</v>
      </c>
      <c r="P4789">
        <v>0.9625494</v>
      </c>
      <c r="Q4789">
        <v>0.1310549</v>
      </c>
      <c r="R4789">
        <v>0.23732519999999999</v>
      </c>
      <c r="S4789">
        <v>2.8380580000000002</v>
      </c>
      <c r="T4789">
        <v>-0.17439579999999999</v>
      </c>
      <c r="U4789">
        <v>1.229309</v>
      </c>
      <c r="V4789">
        <v>-0.1666465</v>
      </c>
      <c r="W4789">
        <v>0.14382829999999999</v>
      </c>
      <c r="X4789">
        <v>0.97547030000000001</v>
      </c>
      <c r="Y4789">
        <v>-0.32814910000000003</v>
      </c>
      <c r="Z4789">
        <v>5.317029E-3</v>
      </c>
      <c r="AA4789">
        <v>0.94461099999999998</v>
      </c>
      <c r="AB4789">
        <v>35</v>
      </c>
      <c r="AC4789">
        <v>17.875</v>
      </c>
      <c r="AD4789">
        <v>-1.1081278683969999</v>
      </c>
      <c r="AE4789">
        <v>7.7981999999999996</v>
      </c>
      <c r="AF4789">
        <v>-6.4347820786015202</v>
      </c>
      <c r="AG4789">
        <v>-1.1081278683969999</v>
      </c>
      <c r="AH4789">
        <v>18.3433114775932</v>
      </c>
      <c r="AI4789">
        <v>93.262599678754199</v>
      </c>
      <c r="AJ4789">
        <v>109.33072695844599</v>
      </c>
      <c r="AK4789">
        <v>19.470784363651401</v>
      </c>
      <c r="AL4789">
        <v>81.730565231700794</v>
      </c>
      <c r="AM4789">
        <v>99.694652998496693</v>
      </c>
      <c r="AN4789">
        <v>0.99999997101261395</v>
      </c>
    </row>
    <row r="4790" spans="1:40" x14ac:dyDescent="0.3">
      <c r="A4790" t="str">
        <f>"20200111150128069"</f>
        <v>20200111150128069</v>
      </c>
      <c r="B4790" t="str">
        <f>"1578726088062648"</f>
        <v>1578726088062648</v>
      </c>
      <c r="C4790" t="s">
        <v>40</v>
      </c>
      <c r="D4790">
        <v>4.8189380000000002</v>
      </c>
      <c r="E4790">
        <v>0.43516549999999998</v>
      </c>
      <c r="F4790" t="s">
        <v>83</v>
      </c>
      <c r="G4790">
        <v>-203.67080000000001</v>
      </c>
      <c r="H4790" s="1">
        <v>-4.9099829999999997E-6</v>
      </c>
      <c r="I4790">
        <v>-55.523479999999999</v>
      </c>
      <c r="J4790">
        <v>-221.45769999999999</v>
      </c>
      <c r="K4790">
        <v>1.10816</v>
      </c>
      <c r="L4790">
        <v>-63.30151</v>
      </c>
      <c r="M4790">
        <v>0.99703010000000003</v>
      </c>
      <c r="N4790">
        <v>0</v>
      </c>
      <c r="O4790">
        <v>7.5648999999999994E-2</v>
      </c>
      <c r="P4790">
        <v>0.96220709999999998</v>
      </c>
      <c r="Q4790">
        <v>0.13126470000000001</v>
      </c>
      <c r="R4790">
        <v>0.23859420000000001</v>
      </c>
      <c r="S4790">
        <v>2.8370359999999999</v>
      </c>
      <c r="T4790">
        <v>-0.17505309999999999</v>
      </c>
      <c r="U4790">
        <v>1.230988</v>
      </c>
      <c r="V4790">
        <v>-0.16624700000000001</v>
      </c>
      <c r="W4790">
        <v>0.1440544</v>
      </c>
      <c r="X4790">
        <v>0.97550519999999996</v>
      </c>
      <c r="Y4790">
        <v>-0.32709909999999998</v>
      </c>
      <c r="Z4790">
        <v>5.2057459999999998E-3</v>
      </c>
      <c r="AA4790">
        <v>0.94497569999999997</v>
      </c>
      <c r="AB4790">
        <v>35</v>
      </c>
      <c r="AC4790">
        <v>17.7868999999999</v>
      </c>
      <c r="AD4790">
        <v>-1.108164909983</v>
      </c>
      <c r="AE4790">
        <v>7.7780299999999896</v>
      </c>
      <c r="AF4790">
        <v>-6.3892170241563804</v>
      </c>
      <c r="AG4790">
        <v>-1.108164909983</v>
      </c>
      <c r="AH4790">
        <v>18.264866869709302</v>
      </c>
      <c r="AI4790">
        <v>93.277698961878201</v>
      </c>
      <c r="AJ4790">
        <v>109.280302598524</v>
      </c>
      <c r="AK4790">
        <v>19.381833902334701</v>
      </c>
      <c r="AL4790">
        <v>81.717475115342907</v>
      </c>
      <c r="AM4790">
        <v>99.671512122552699</v>
      </c>
      <c r="AN4790">
        <v>1.0000000651976899</v>
      </c>
    </row>
    <row r="4791" spans="1:40" x14ac:dyDescent="0.3">
      <c r="A4791" t="str">
        <f>"20200111150128080"</f>
        <v>20200111150128080</v>
      </c>
      <c r="B4791" t="str">
        <f>"1578726088072409"</f>
        <v>1578726088072409</v>
      </c>
      <c r="C4791" t="s">
        <v>40</v>
      </c>
      <c r="D4791">
        <v>4.6460900000000001</v>
      </c>
      <c r="E4791">
        <v>0.4354787</v>
      </c>
      <c r="F4791" t="s">
        <v>83</v>
      </c>
      <c r="G4791">
        <v>-203.35220000000001</v>
      </c>
      <c r="H4791" s="1">
        <v>-5.0895010000000004E-6</v>
      </c>
      <c r="I4791">
        <v>-55.445799999999998</v>
      </c>
      <c r="J4791">
        <v>-221.28380000000001</v>
      </c>
      <c r="K4791">
        <v>1.1081989999999999</v>
      </c>
      <c r="L4791">
        <v>-63.286830000000002</v>
      </c>
      <c r="M4791">
        <v>0.99689419999999995</v>
      </c>
      <c r="N4791">
        <v>0</v>
      </c>
      <c r="O4791">
        <v>7.7416109999999996E-2</v>
      </c>
      <c r="P4791">
        <v>0.96189749999999996</v>
      </c>
      <c r="Q4791">
        <v>0.13169029999999901</v>
      </c>
      <c r="R4791">
        <v>0.23960629999999999</v>
      </c>
      <c r="S4791">
        <v>2.8363489999999998</v>
      </c>
      <c r="T4791">
        <v>-0.173601799999999</v>
      </c>
      <c r="U4791">
        <v>1.2306520000000001</v>
      </c>
      <c r="V4791">
        <v>-0.1655626</v>
      </c>
      <c r="W4791">
        <v>0.14449600000000001</v>
      </c>
      <c r="X4791">
        <v>0.97555619999999998</v>
      </c>
      <c r="Y4791">
        <v>-0.32542510000000002</v>
      </c>
      <c r="Z4791">
        <v>5.0125550000000001E-3</v>
      </c>
      <c r="AA4791">
        <v>0.94555460000000002</v>
      </c>
      <c r="AB4791">
        <v>35</v>
      </c>
      <c r="AC4791">
        <v>17.9316</v>
      </c>
      <c r="AD4791">
        <v>-1.1082040895009999</v>
      </c>
      <c r="AE4791">
        <v>7.8410299999999999</v>
      </c>
      <c r="AF4791">
        <v>-6.4086051761035101</v>
      </c>
      <c r="AG4791">
        <v>-1.1082040895009999</v>
      </c>
      <c r="AH4791">
        <v>18.4257792288075</v>
      </c>
      <c r="AI4791">
        <v>93.251270862104505</v>
      </c>
      <c r="AJ4791">
        <v>109.17800520503501</v>
      </c>
      <c r="AK4791">
        <v>19.539899610692</v>
      </c>
      <c r="AL4791">
        <v>81.691905104249301</v>
      </c>
      <c r="AM4791">
        <v>99.631950124163694</v>
      </c>
      <c r="AN4791">
        <v>0.99999998394659895</v>
      </c>
    </row>
    <row r="4792" spans="1:40" x14ac:dyDescent="0.3">
      <c r="A4792" t="str">
        <f>"20200111150128090"</f>
        <v>20200111150128090</v>
      </c>
      <c r="B4792" t="str">
        <f>"1578726088083145"</f>
        <v>1578726088083145</v>
      </c>
      <c r="C4792" t="s">
        <v>40</v>
      </c>
      <c r="D4792">
        <v>4.6087749999999996</v>
      </c>
      <c r="E4792">
        <v>0.43576569999999998</v>
      </c>
      <c r="F4792" t="s">
        <v>83</v>
      </c>
      <c r="G4792">
        <v>-203.0378</v>
      </c>
      <c r="H4792" s="1">
        <v>-5.2685539999999998E-6</v>
      </c>
      <c r="I4792">
        <v>-55.360939999999999</v>
      </c>
      <c r="J4792">
        <v>-221.11680000000001</v>
      </c>
      <c r="K4792">
        <v>1.108249</v>
      </c>
      <c r="L4792">
        <v>-63.272190000000002</v>
      </c>
      <c r="M4792">
        <v>0.99675579999999997</v>
      </c>
      <c r="N4792">
        <v>0</v>
      </c>
      <c r="O4792">
        <v>7.9174099999999997E-2</v>
      </c>
      <c r="P4792">
        <v>0.96145829999999999</v>
      </c>
      <c r="Q4792">
        <v>0.13232289999999999</v>
      </c>
      <c r="R4792">
        <v>0.2410158</v>
      </c>
      <c r="S4792">
        <v>2.8355869999999999</v>
      </c>
      <c r="T4792">
        <v>-0.1722243</v>
      </c>
      <c r="U4792">
        <v>1.2317499999999999</v>
      </c>
      <c r="V4792">
        <v>-0.16530049999999999</v>
      </c>
      <c r="W4792">
        <v>0.1451334</v>
      </c>
      <c r="X4792">
        <v>0.97550610000000004</v>
      </c>
      <c r="Y4792">
        <v>-0.32416919999999999</v>
      </c>
      <c r="Z4792">
        <v>4.8362240000000001E-3</v>
      </c>
      <c r="AA4792">
        <v>0.94598669999999996</v>
      </c>
      <c r="AB4792">
        <v>35</v>
      </c>
      <c r="AC4792">
        <v>18.079000000000001</v>
      </c>
      <c r="AD4792">
        <v>-1.108254268554</v>
      </c>
      <c r="AE4792">
        <v>7.9112499999999999</v>
      </c>
      <c r="AF4792">
        <v>-6.4345777641369502</v>
      </c>
      <c r="AG4792">
        <v>-1.108254268554</v>
      </c>
      <c r="AH4792">
        <v>18.5900361418431</v>
      </c>
      <c r="AI4792">
        <v>93.224419500748795</v>
      </c>
      <c r="AJ4792">
        <v>109.092295446081</v>
      </c>
      <c r="AK4792">
        <v>19.703336323616</v>
      </c>
      <c r="AL4792">
        <v>81.654996301624607</v>
      </c>
      <c r="AM4792">
        <v>99.617471594208396</v>
      </c>
      <c r="AN4792">
        <v>1.0000000551165</v>
      </c>
    </row>
    <row r="4793" spans="1:40" x14ac:dyDescent="0.3">
      <c r="A4793" t="str">
        <f>"20200111150128101"</f>
        <v>20200111150128101</v>
      </c>
      <c r="B4793" t="str">
        <f>"1578726088092905"</f>
        <v>1578726088092905</v>
      </c>
      <c r="C4793" t="s">
        <v>40</v>
      </c>
      <c r="D4793">
        <v>4.7000449999999896</v>
      </c>
      <c r="E4793">
        <v>0.43599379999999999</v>
      </c>
      <c r="F4793" t="s">
        <v>83</v>
      </c>
      <c r="G4793">
        <v>-202.6165</v>
      </c>
      <c r="H4793" s="1">
        <v>-5.514828E-6</v>
      </c>
      <c r="I4793">
        <v>-55.218299999999999</v>
      </c>
      <c r="J4793">
        <v>-220.94880000000001</v>
      </c>
      <c r="K4793">
        <v>1.108303</v>
      </c>
      <c r="L4793">
        <v>-63.257350000000002</v>
      </c>
      <c r="M4793">
        <v>0.99661239999999995</v>
      </c>
      <c r="N4793">
        <v>0</v>
      </c>
      <c r="O4793">
        <v>8.0954460000000006E-2</v>
      </c>
      <c r="P4793">
        <v>0.96096539999999997</v>
      </c>
      <c r="Q4793">
        <v>0.1329507</v>
      </c>
      <c r="R4793">
        <v>0.24263019999999999</v>
      </c>
      <c r="S4793">
        <v>2.83432</v>
      </c>
      <c r="T4793">
        <v>-0.169789</v>
      </c>
      <c r="U4793">
        <v>1.233887</v>
      </c>
      <c r="V4793">
        <v>-0.16522500000000001</v>
      </c>
      <c r="W4793">
        <v>0.14576229999999901</v>
      </c>
      <c r="X4793">
        <v>0.97542510000000004</v>
      </c>
      <c r="Y4793">
        <v>-0.32324799999999998</v>
      </c>
      <c r="Z4793">
        <v>4.6420000000000003E-3</v>
      </c>
      <c r="AA4793">
        <v>0.94630289999999995</v>
      </c>
      <c r="AB4793">
        <v>35</v>
      </c>
      <c r="AC4793">
        <v>18.3323</v>
      </c>
      <c r="AD4793">
        <v>-1.1083085148280001</v>
      </c>
      <c r="AE4793">
        <v>8.0390499999999996</v>
      </c>
      <c r="AF4793">
        <v>-6.5084695454733197</v>
      </c>
      <c r="AG4793">
        <v>-1.1083085148280001</v>
      </c>
      <c r="AH4793">
        <v>18.865151135733999</v>
      </c>
      <c r="AI4793">
        <v>93.178756531966499</v>
      </c>
      <c r="AJ4793">
        <v>109.034413737721</v>
      </c>
      <c r="AK4793">
        <v>19.987057086086502</v>
      </c>
      <c r="AL4793">
        <v>81.618575536441497</v>
      </c>
      <c r="AM4793">
        <v>99.613944250774296</v>
      </c>
      <c r="AN4793">
        <v>1.0000000372181399</v>
      </c>
    </row>
    <row r="4794" spans="1:40" x14ac:dyDescent="0.3">
      <c r="A4794" t="str">
        <f>"20200111150128123"</f>
        <v>20200111150128123</v>
      </c>
      <c r="B4794" t="str">
        <f>"1578726088112425"</f>
        <v>1578726088112425</v>
      </c>
      <c r="C4794" t="s">
        <v>40</v>
      </c>
      <c r="D4794">
        <v>4.764812</v>
      </c>
      <c r="E4794">
        <v>0.43616949999999999</v>
      </c>
      <c r="F4794" t="s">
        <v>83</v>
      </c>
      <c r="G4794">
        <v>-202.4205</v>
      </c>
      <c r="H4794" s="1">
        <v>-5.6066060000000004E-6</v>
      </c>
      <c r="I4794">
        <v>-55.169350000000001</v>
      </c>
      <c r="J4794">
        <v>-220.6113</v>
      </c>
      <c r="K4794">
        <v>1.10843799999999</v>
      </c>
      <c r="L4794">
        <v>-63.226230000000001</v>
      </c>
      <c r="M4794">
        <v>0.99630090000000004</v>
      </c>
      <c r="N4794">
        <v>0</v>
      </c>
      <c r="O4794">
        <v>8.4695759999999995E-2</v>
      </c>
      <c r="P4794">
        <v>0.95981959999999999</v>
      </c>
      <c r="Q4794">
        <v>0.13363229999999901</v>
      </c>
      <c r="R4794">
        <v>0.2467568</v>
      </c>
      <c r="S4794">
        <v>2.8330540000000002</v>
      </c>
      <c r="T4794">
        <v>-0.16946549999999999</v>
      </c>
      <c r="U4794">
        <v>1.236694</v>
      </c>
      <c r="V4794">
        <v>-0.16581470000000001</v>
      </c>
      <c r="W4794">
        <v>0.14642459999999999</v>
      </c>
      <c r="X4794">
        <v>0.97522580000000003</v>
      </c>
      <c r="Y4794">
        <v>-0.32064769999999998</v>
      </c>
      <c r="Z4794">
        <v>4.3483940000000002E-3</v>
      </c>
      <c r="AA4794">
        <v>0.94718860000000005</v>
      </c>
      <c r="AB4794">
        <v>35</v>
      </c>
      <c r="AC4794">
        <v>18.190799999999999</v>
      </c>
      <c r="AD4794">
        <v>-1.10844360660599</v>
      </c>
      <c r="AE4794">
        <v>8.0568799999999996</v>
      </c>
      <c r="AF4794">
        <v>-6.46700404283657</v>
      </c>
      <c r="AG4794">
        <v>-1.10844360660599</v>
      </c>
      <c r="AH4794">
        <v>18.749679423027501</v>
      </c>
      <c r="AI4794">
        <v>93.198767156219105</v>
      </c>
      <c r="AJ4794">
        <v>109.02996840806099</v>
      </c>
      <c r="AK4794">
        <v>19.864573163936601</v>
      </c>
      <c r="AL4794">
        <v>81.580216836175097</v>
      </c>
      <c r="AM4794">
        <v>99.649547867081594</v>
      </c>
      <c r="AN4794">
        <v>1.00000001960344</v>
      </c>
    </row>
    <row r="4795" spans="1:40" x14ac:dyDescent="0.3">
      <c r="A4795" t="str">
        <f>"20200111150128134"</f>
        <v>20200111150128134</v>
      </c>
      <c r="B4795" t="str">
        <f>"1578726088122692"</f>
        <v>1578726088122692</v>
      </c>
      <c r="C4795" t="s">
        <v>40</v>
      </c>
      <c r="D4795">
        <v>4.6815220000000002</v>
      </c>
      <c r="E4795">
        <v>0.43376169999999997</v>
      </c>
      <c r="F4795" t="s">
        <v>83</v>
      </c>
      <c r="G4795">
        <v>-202.05</v>
      </c>
      <c r="H4795" s="1">
        <v>-5.7670769999999998E-6</v>
      </c>
      <c r="I4795">
        <v>-55.039740000000002</v>
      </c>
      <c r="J4795">
        <v>-220.44319999999999</v>
      </c>
      <c r="K4795">
        <v>1.1085130000000001</v>
      </c>
      <c r="L4795">
        <v>-63.210140000000003</v>
      </c>
      <c r="M4795">
        <v>0.99613430000000003</v>
      </c>
      <c r="N4795">
        <v>0</v>
      </c>
      <c r="O4795">
        <v>8.6628570000000002E-2</v>
      </c>
      <c r="P4795">
        <v>0.95906480000000005</v>
      </c>
      <c r="Q4795">
        <v>0.1342392</v>
      </c>
      <c r="R4795">
        <v>0.2493486</v>
      </c>
      <c r="S4795">
        <v>2.8283839999999998</v>
      </c>
      <c r="T4795">
        <v>-0.1689061</v>
      </c>
      <c r="U4795">
        <v>1.2474670000000001</v>
      </c>
      <c r="V4795">
        <v>-0.16659560000000001</v>
      </c>
      <c r="W4795">
        <v>0.1470119</v>
      </c>
      <c r="X4795">
        <v>0.97500430000000005</v>
      </c>
      <c r="Y4795">
        <v>-0.32240950000000002</v>
      </c>
      <c r="Z4795">
        <v>4.2789280000000004E-3</v>
      </c>
      <c r="AA4795">
        <v>0.94659070000000001</v>
      </c>
      <c r="AB4795">
        <v>35</v>
      </c>
      <c r="AC4795">
        <v>18.393199999999901</v>
      </c>
      <c r="AD4795">
        <v>-1.10851876707699</v>
      </c>
      <c r="AE4795">
        <v>8.1704000000000008</v>
      </c>
      <c r="AF4795">
        <v>-6.5263344091424997</v>
      </c>
      <c r="AG4795">
        <v>-1.10851876707699</v>
      </c>
      <c r="AH4795">
        <v>18.9743435212938</v>
      </c>
      <c r="AI4795">
        <v>93.162113367573895</v>
      </c>
      <c r="AJ4795">
        <v>108.98094956707099</v>
      </c>
      <c r="AK4795">
        <v>20.0959589654483</v>
      </c>
      <c r="AL4795">
        <v>81.5461986319484</v>
      </c>
      <c r="AM4795">
        <v>99.696292284794794</v>
      </c>
      <c r="AN4795">
        <v>0.99999998884972996</v>
      </c>
    </row>
    <row r="4796" spans="1:40" x14ac:dyDescent="0.3">
      <c r="A4796" t="str">
        <f>"20200111150128182"</f>
        <v>20200111150128182</v>
      </c>
      <c r="B4796" t="str">
        <f>"1578726088172468"</f>
        <v>1578726088172468</v>
      </c>
      <c r="C4796" t="s">
        <v>40</v>
      </c>
      <c r="D4796">
        <v>5.0120239999999896</v>
      </c>
      <c r="E4796">
        <v>0.43376169999999997</v>
      </c>
      <c r="F4796" t="s">
        <v>83</v>
      </c>
      <c r="G4796">
        <v>-200.81559999999999</v>
      </c>
      <c r="H4796" s="1">
        <v>-6.3424119999999999E-6</v>
      </c>
      <c r="I4796">
        <v>-54.347200000000001</v>
      </c>
      <c r="J4796">
        <v>-219.71270000000001</v>
      </c>
      <c r="K4796">
        <v>1.1088549999999999</v>
      </c>
      <c r="L4796">
        <v>-63.136229999999998</v>
      </c>
      <c r="M4796">
        <v>0.99531630000000004</v>
      </c>
      <c r="N4796">
        <v>0</v>
      </c>
      <c r="O4796">
        <v>9.5558219999999999E-2</v>
      </c>
      <c r="P4796">
        <v>0.95664700000000003</v>
      </c>
      <c r="Q4796">
        <v>0.13300279999999901</v>
      </c>
      <c r="R4796">
        <v>0.25910709999999998</v>
      </c>
      <c r="S4796">
        <v>2.819366</v>
      </c>
      <c r="T4796">
        <v>-0.15923119999999999</v>
      </c>
      <c r="U4796">
        <v>1.273102</v>
      </c>
      <c r="V4796">
        <v>-0.167879</v>
      </c>
      <c r="W4796">
        <v>0.145701</v>
      </c>
      <c r="X4796">
        <v>0.97498099999999999</v>
      </c>
      <c r="Y4796">
        <v>-0.32226259999999901</v>
      </c>
      <c r="Z4796">
        <v>3.560807E-3</v>
      </c>
      <c r="AA4796">
        <v>0.94664369999999998</v>
      </c>
      <c r="AB4796">
        <v>35</v>
      </c>
      <c r="AC4796">
        <v>18.897099999999998</v>
      </c>
      <c r="AD4796">
        <v>-1.108861342412</v>
      </c>
      <c r="AE4796">
        <v>8.7890300000000003</v>
      </c>
      <c r="AF4796">
        <v>-6.9232361554074604</v>
      </c>
      <c r="AG4796">
        <v>-1.108861342412</v>
      </c>
      <c r="AH4796">
        <v>19.595088514271399</v>
      </c>
      <c r="AI4796">
        <v>93.0541988339711</v>
      </c>
      <c r="AJ4796">
        <v>109.459071981253</v>
      </c>
      <c r="AK4796">
        <v>20.8117338591086</v>
      </c>
      <c r="AL4796">
        <v>81.622125735609302</v>
      </c>
      <c r="AM4796">
        <v>99.769784338498496</v>
      </c>
      <c r="AN4796">
        <v>1.0000000452014901</v>
      </c>
    </row>
    <row r="4797" spans="1:40" x14ac:dyDescent="0.3">
      <c r="A4797" t="str">
        <f>"20200111150128191"</f>
        <v>20200111150128191</v>
      </c>
      <c r="B4797" t="str">
        <f>"1578726088182228"</f>
        <v>1578726088182228</v>
      </c>
      <c r="C4797" t="s">
        <v>40</v>
      </c>
      <c r="D4797">
        <v>4.7226610000000004</v>
      </c>
      <c r="E4797">
        <v>0.43205250000000001</v>
      </c>
      <c r="F4797" t="s">
        <v>83</v>
      </c>
      <c r="G4797">
        <v>-200.6114</v>
      </c>
      <c r="H4797" s="1">
        <v>-6.4309459999999997E-6</v>
      </c>
      <c r="I4797">
        <v>-54.275210000000001</v>
      </c>
      <c r="J4797">
        <v>-219.56110000000001</v>
      </c>
      <c r="K4797">
        <v>1.108941</v>
      </c>
      <c r="L4797">
        <v>-63.119750000000003</v>
      </c>
      <c r="M4797">
        <v>0.99512</v>
      </c>
      <c r="N4797">
        <v>0</v>
      </c>
      <c r="O4797">
        <v>9.7579659999999999E-2</v>
      </c>
      <c r="P4797">
        <v>0.95588229999999996</v>
      </c>
      <c r="Q4797">
        <v>0.13320560000000001</v>
      </c>
      <c r="R4797">
        <v>0.26181179999999998</v>
      </c>
      <c r="S4797">
        <v>2.8060149999999999</v>
      </c>
      <c r="T4797">
        <v>-0.16289339999999999</v>
      </c>
      <c r="U4797">
        <v>1.3016970000000001</v>
      </c>
      <c r="V4797">
        <v>-0.16869239999999999</v>
      </c>
      <c r="W4797">
        <v>0.14587269999999999</v>
      </c>
      <c r="X4797">
        <v>0.97481490000000004</v>
      </c>
      <c r="Y4797">
        <v>-0.32996399999999998</v>
      </c>
      <c r="Z4797">
        <v>3.7541300000000001E-3</v>
      </c>
      <c r="AA4797">
        <v>0.94398610000000005</v>
      </c>
      <c r="AB4797">
        <v>35</v>
      </c>
      <c r="AC4797">
        <v>18.9497</v>
      </c>
      <c r="AD4797">
        <v>-1.1089474309459999</v>
      </c>
      <c r="AE4797">
        <v>8.8445400000000092</v>
      </c>
      <c r="AF4797">
        <v>-6.9335212291131301</v>
      </c>
      <c r="AG4797">
        <v>-1.1089474309459999</v>
      </c>
      <c r="AH4797">
        <v>19.6670818433325</v>
      </c>
      <c r="AI4797">
        <v>93.044009989090995</v>
      </c>
      <c r="AJ4797">
        <v>109.41982118323</v>
      </c>
      <c r="AK4797">
        <v>20.882949726307899</v>
      </c>
      <c r="AL4797">
        <v>81.612181680284607</v>
      </c>
      <c r="AM4797">
        <v>99.817841812618994</v>
      </c>
      <c r="AN4797">
        <v>1.00000002984252</v>
      </c>
    </row>
    <row r="4798" spans="1:40" x14ac:dyDescent="0.3">
      <c r="A4798" t="str">
        <f>"20200111150128201"</f>
        <v>20200111150128201</v>
      </c>
      <c r="B4798" t="str">
        <f>"1578726088192963"</f>
        <v>1578726088192963</v>
      </c>
      <c r="C4798" t="s">
        <v>40</v>
      </c>
      <c r="D4798">
        <v>4.7465270000000004</v>
      </c>
      <c r="E4798">
        <v>0.43060929999999997</v>
      </c>
      <c r="F4798" t="s">
        <v>83</v>
      </c>
      <c r="G4798">
        <v>-200.45359999999999</v>
      </c>
      <c r="H4798" s="1">
        <v>-6.5190700000000004E-6</v>
      </c>
      <c r="I4798">
        <v>-54.093310000000002</v>
      </c>
      <c r="J4798">
        <v>-219.40989999999999</v>
      </c>
      <c r="K4798">
        <v>1.1090260000000001</v>
      </c>
      <c r="L4798">
        <v>-63.10324</v>
      </c>
      <c r="M4798">
        <v>0.9949192</v>
      </c>
      <c r="N4798">
        <v>0</v>
      </c>
      <c r="O4798">
        <v>9.9605379999999993E-2</v>
      </c>
      <c r="P4798">
        <v>0.95501570000000002</v>
      </c>
      <c r="Q4798">
        <v>0.1336319</v>
      </c>
      <c r="R4798">
        <v>0.2647409</v>
      </c>
      <c r="S4798">
        <v>2.79895</v>
      </c>
      <c r="T4798">
        <v>-0.1624437</v>
      </c>
      <c r="U4798">
        <v>1.322235</v>
      </c>
      <c r="V4798">
        <v>-0.169738</v>
      </c>
      <c r="W4798">
        <v>0.14626420000000001</v>
      </c>
      <c r="X4798">
        <v>0.97457470000000002</v>
      </c>
      <c r="Y4798">
        <v>-0.3346248</v>
      </c>
      <c r="Z4798">
        <v>3.7656590000000002E-3</v>
      </c>
      <c r="AA4798">
        <v>0.94234399999999996</v>
      </c>
      <c r="AB4798">
        <v>35</v>
      </c>
      <c r="AC4798">
        <v>18.956299999999999</v>
      </c>
      <c r="AD4798">
        <v>-1.1090325190699999</v>
      </c>
      <c r="AE4798">
        <v>9.0099300000000007</v>
      </c>
      <c r="AF4798">
        <v>-7.05705845478857</v>
      </c>
      <c r="AG4798">
        <v>-1.1090325190699999</v>
      </c>
      <c r="AH4798">
        <v>19.7045282117335</v>
      </c>
      <c r="AI4798">
        <v>93.033115504909901</v>
      </c>
      <c r="AJ4798">
        <v>109.70468009781899</v>
      </c>
      <c r="AK4798">
        <v>20.959495681186102</v>
      </c>
      <c r="AL4798">
        <v>81.589507149586197</v>
      </c>
      <c r="AM4798">
        <v>99.879886903521907</v>
      </c>
      <c r="AN4798">
        <v>1.00000002536286</v>
      </c>
    </row>
    <row r="4799" spans="1:40" x14ac:dyDescent="0.3">
      <c r="A4799" t="str">
        <f>"20200111150128211"</f>
        <v>20200111150128211</v>
      </c>
      <c r="B4799" t="str">
        <f>"1578726088202724"</f>
        <v>1578726088202724</v>
      </c>
      <c r="C4799" t="s">
        <v>40</v>
      </c>
      <c r="D4799">
        <v>4.6903649999999999</v>
      </c>
      <c r="E4799">
        <v>0.42876959999999997</v>
      </c>
      <c r="F4799" t="s">
        <v>83</v>
      </c>
      <c r="G4799">
        <v>-200.31379999999999</v>
      </c>
      <c r="H4799" s="1">
        <v>-6.5978380000000004E-6</v>
      </c>
      <c r="I4799">
        <v>-53.927919999999901</v>
      </c>
      <c r="J4799">
        <v>-219.2501</v>
      </c>
      <c r="K4799">
        <v>1.109129</v>
      </c>
      <c r="L4799">
        <v>-63.085140000000003</v>
      </c>
      <c r="M4799">
        <v>0.99469160000000001</v>
      </c>
      <c r="N4799">
        <v>0</v>
      </c>
      <c r="O4799">
        <v>0.10185130000000001</v>
      </c>
      <c r="P4799">
        <v>0.95408230000000005</v>
      </c>
      <c r="Q4799">
        <v>0.1339861</v>
      </c>
      <c r="R4799">
        <v>0.26790829999999999</v>
      </c>
      <c r="S4799">
        <v>2.7921140000000002</v>
      </c>
      <c r="T4799">
        <v>-0.1621552</v>
      </c>
      <c r="U4799">
        <v>1.341553</v>
      </c>
      <c r="V4799">
        <v>-0.17081679999999999</v>
      </c>
      <c r="W4799">
        <v>0.14657879999999901</v>
      </c>
      <c r="X4799">
        <v>0.97433890000000001</v>
      </c>
      <c r="Y4799">
        <v>-0.33869470000000002</v>
      </c>
      <c r="Z4799">
        <v>3.752685E-3</v>
      </c>
      <c r="AA4799">
        <v>0.94088890000000003</v>
      </c>
      <c r="AB4799">
        <v>35</v>
      </c>
      <c r="AC4799">
        <v>18.936299999999999</v>
      </c>
      <c r="AD4799">
        <v>-1.109135597838</v>
      </c>
      <c r="AE4799">
        <v>9.1572200000000095</v>
      </c>
      <c r="AF4799">
        <v>-7.1607844901890196</v>
      </c>
      <c r="AG4799">
        <v>-1.109135597838</v>
      </c>
      <c r="AH4799">
        <v>19.7157592108477</v>
      </c>
      <c r="AI4799">
        <v>93.026792143276595</v>
      </c>
      <c r="AJ4799">
        <v>109.961074811264</v>
      </c>
      <c r="AK4799">
        <v>21.0051940612185</v>
      </c>
      <c r="AL4799">
        <v>81.571285362087096</v>
      </c>
      <c r="AM4799">
        <v>99.943789286115305</v>
      </c>
      <c r="AN4799">
        <v>1.00000000791244</v>
      </c>
    </row>
    <row r="4800" spans="1:40" x14ac:dyDescent="0.3">
      <c r="A4800" t="str">
        <f>"20200111150128224"</f>
        <v>20200111150128224</v>
      </c>
      <c r="B4800" t="str">
        <f>"1578726088212484"</f>
        <v>1578726088212484</v>
      </c>
      <c r="C4800" t="s">
        <v>40</v>
      </c>
      <c r="D4800">
        <v>4.7623419999999896</v>
      </c>
      <c r="E4800">
        <v>0.42765619999999999</v>
      </c>
      <c r="F4800" t="s">
        <v>83</v>
      </c>
      <c r="G4800">
        <v>-199.7835</v>
      </c>
      <c r="H4800" s="1">
        <v>-9.6687999999999997E-6</v>
      </c>
      <c r="I4800">
        <v>-53.54195</v>
      </c>
      <c r="J4800">
        <v>-219.07409999999999</v>
      </c>
      <c r="K4800">
        <v>1.1092409999999999</v>
      </c>
      <c r="L4800">
        <v>-63.064909999999998</v>
      </c>
      <c r="M4800">
        <v>0.99443130000000002</v>
      </c>
      <c r="N4800">
        <v>0</v>
      </c>
      <c r="O4800">
        <v>0.104358199999999</v>
      </c>
      <c r="P4800">
        <v>0.95302799999999999</v>
      </c>
      <c r="Q4800">
        <v>0.13426389999999999</v>
      </c>
      <c r="R4800">
        <v>0.27149780000000001</v>
      </c>
      <c r="S4800">
        <v>2.783493</v>
      </c>
      <c r="T4800">
        <v>-0.1585937</v>
      </c>
      <c r="U4800">
        <v>1.364563</v>
      </c>
      <c r="V4800">
        <v>-0.17207720000000001</v>
      </c>
      <c r="W4800">
        <v>0.14681</v>
      </c>
      <c r="X4800">
        <v>0.97408229999999996</v>
      </c>
      <c r="Y4800">
        <v>-0.34375699999999998</v>
      </c>
      <c r="Z4800">
        <v>3.678312E-3</v>
      </c>
      <c r="AA4800">
        <v>0.93905139999999998</v>
      </c>
      <c r="AB4800">
        <v>35</v>
      </c>
      <c r="AC4800">
        <v>19.290599999999898</v>
      </c>
      <c r="AD4800">
        <v>-1.1092506687999999</v>
      </c>
      <c r="AE4800">
        <v>9.5229599999999905</v>
      </c>
      <c r="AF4800">
        <v>-7.4378275494947097</v>
      </c>
      <c r="AG4800">
        <v>-1.1092506687999999</v>
      </c>
      <c r="AH4800">
        <v>20.125646370194598</v>
      </c>
      <c r="AI4800">
        <v>92.959481911975203</v>
      </c>
      <c r="AJ4800">
        <v>110.282781198279</v>
      </c>
      <c r="AK4800">
        <v>21.484723817642699</v>
      </c>
      <c r="AL4800">
        <v>81.557893918603298</v>
      </c>
      <c r="AM4800">
        <v>100.01826581741901</v>
      </c>
      <c r="AN4800">
        <v>1.0000000330165599</v>
      </c>
    </row>
    <row r="4801" spans="1:40" x14ac:dyDescent="0.3">
      <c r="A4801" t="str">
        <f>"20200111150128233"</f>
        <v>20200111150128233</v>
      </c>
      <c r="B4801" t="str">
        <f>"1578726088222244"</f>
        <v>1578726088222244</v>
      </c>
      <c r="C4801" t="s">
        <v>40</v>
      </c>
      <c r="D4801">
        <v>4.5032870000000003</v>
      </c>
      <c r="E4801">
        <v>0.42601840000000002</v>
      </c>
      <c r="F4801" t="s">
        <v>83</v>
      </c>
      <c r="G4801">
        <v>-199.7473</v>
      </c>
      <c r="H4801" s="1">
        <v>-9.7029259999999993E-6</v>
      </c>
      <c r="I4801">
        <v>-53.433120000000002</v>
      </c>
      <c r="J4801">
        <v>-218.90880000000001</v>
      </c>
      <c r="K4801">
        <v>1.1093550000000001</v>
      </c>
      <c r="L4801">
        <v>-63.045349999999999</v>
      </c>
      <c r="M4801">
        <v>0.99417149999999999</v>
      </c>
      <c r="N4801">
        <v>0</v>
      </c>
      <c r="O4801">
        <v>0.1068041</v>
      </c>
      <c r="P4801">
        <v>0.9521655</v>
      </c>
      <c r="Q4801">
        <v>0.1341203</v>
      </c>
      <c r="R4801">
        <v>0.27457730000000002</v>
      </c>
      <c r="S4801">
        <v>2.7761689999999999</v>
      </c>
      <c r="T4801">
        <v>-0.1593368</v>
      </c>
      <c r="U4801">
        <v>1.383545</v>
      </c>
      <c r="V4801">
        <v>-0.17286599999999999</v>
      </c>
      <c r="W4801">
        <v>0.14662549999999999</v>
      </c>
      <c r="X4801">
        <v>0.97397040000000001</v>
      </c>
      <c r="Y4801">
        <v>-0.34757559999999998</v>
      </c>
      <c r="Z4801">
        <v>3.6725569999999999E-3</v>
      </c>
      <c r="AA4801">
        <v>0.93764479999999994</v>
      </c>
      <c r="AB4801">
        <v>35</v>
      </c>
      <c r="AC4801">
        <v>19.1615</v>
      </c>
      <c r="AD4801">
        <v>-1.1093647029260001</v>
      </c>
      <c r="AE4801">
        <v>9.6122300000000003</v>
      </c>
      <c r="AF4801">
        <v>-7.4904299375554402</v>
      </c>
      <c r="AG4801">
        <v>-1.1093647029260001</v>
      </c>
      <c r="AH4801">
        <v>20.024983875431602</v>
      </c>
      <c r="AI4801">
        <v>92.970290763668601</v>
      </c>
      <c r="AJ4801">
        <v>110.508522647728</v>
      </c>
      <c r="AK4801">
        <v>21.408811501454799</v>
      </c>
      <c r="AL4801">
        <v>81.568580489437295</v>
      </c>
      <c r="AM4801">
        <v>100.064385413518</v>
      </c>
      <c r="AN4801">
        <v>1.0000000156411999</v>
      </c>
    </row>
    <row r="4802" spans="1:40" x14ac:dyDescent="0.3">
      <c r="A4802" t="str">
        <f>"20200111150128245"</f>
        <v>20200111150128245</v>
      </c>
      <c r="B4802" t="str">
        <f>"1578726088242740"</f>
        <v>1578726088242740</v>
      </c>
      <c r="C4802" t="s">
        <v>40</v>
      </c>
      <c r="D4802">
        <v>4.77562</v>
      </c>
      <c r="E4802">
        <v>0.42415979999999998</v>
      </c>
      <c r="F4802" t="s">
        <v>83</v>
      </c>
      <c r="G4802">
        <v>-199.0771</v>
      </c>
      <c r="H4802" s="1">
        <v>-9.7882900000000001E-6</v>
      </c>
      <c r="I4802">
        <v>-52.975169999999999</v>
      </c>
      <c r="J4802">
        <v>-218.73740000000001</v>
      </c>
      <c r="K4802">
        <v>1.1094729999999999</v>
      </c>
      <c r="L4802">
        <v>-63.024630000000002</v>
      </c>
      <c r="M4802">
        <v>0.99388889999999996</v>
      </c>
      <c r="N4802">
        <v>0</v>
      </c>
      <c r="O4802">
        <v>0.1094002</v>
      </c>
      <c r="P4802">
        <v>0.95126460000000002</v>
      </c>
      <c r="Q4802">
        <v>0.13422490000000001</v>
      </c>
      <c r="R4802">
        <v>0.2776323</v>
      </c>
      <c r="S4802">
        <v>2.7672880000000002</v>
      </c>
      <c r="T4802">
        <v>-0.15479960000000001</v>
      </c>
      <c r="U4802">
        <v>1.4051819999999999</v>
      </c>
      <c r="V4802">
        <v>-0.17349410000000001</v>
      </c>
      <c r="W4802">
        <v>0.14668779999999901</v>
      </c>
      <c r="X4802">
        <v>0.97384930000000003</v>
      </c>
      <c r="Y4802">
        <v>-0.35218490000000002</v>
      </c>
      <c r="Z4802">
        <v>3.5599690000000001E-3</v>
      </c>
      <c r="AA4802">
        <v>0.93592370000000003</v>
      </c>
      <c r="AB4802">
        <v>35</v>
      </c>
      <c r="AC4802">
        <v>19.660299999999999</v>
      </c>
      <c r="AD4802">
        <v>-1.10948278829</v>
      </c>
      <c r="AE4802">
        <v>10.04946</v>
      </c>
      <c r="AF4802">
        <v>-7.8183136107635303</v>
      </c>
      <c r="AG4802">
        <v>-1.10948278829</v>
      </c>
      <c r="AH4802">
        <v>20.589813099354501</v>
      </c>
      <c r="AI4802">
        <v>92.883869642658098</v>
      </c>
      <c r="AJ4802">
        <v>110.792649032375</v>
      </c>
      <c r="AK4802">
        <v>22.052151442435498</v>
      </c>
      <c r="AL4802">
        <v>81.564971695228195</v>
      </c>
      <c r="AM4802">
        <v>100.10143240249199</v>
      </c>
      <c r="AN4802">
        <v>0.99999998625706998</v>
      </c>
    </row>
    <row r="4803" spans="1:40" x14ac:dyDescent="0.3">
      <c r="A4803" t="str">
        <f>"20200111150128256"</f>
        <v>20200111150128256</v>
      </c>
      <c r="B4803" t="str">
        <f>"1578726088252500"</f>
        <v>1578726088252500</v>
      </c>
      <c r="C4803" t="s">
        <v>40</v>
      </c>
      <c r="D4803">
        <v>4.7622999999999998</v>
      </c>
      <c r="E4803">
        <v>0.42330420000000002</v>
      </c>
      <c r="F4803" t="s">
        <v>83</v>
      </c>
      <c r="G4803">
        <v>-199.26509999999999</v>
      </c>
      <c r="H4803" s="1">
        <v>-9.8211180000000008E-6</v>
      </c>
      <c r="I4803">
        <v>-52.941870000000002</v>
      </c>
      <c r="J4803">
        <v>-218.55969999999999</v>
      </c>
      <c r="K4803">
        <v>1.1095999999999999</v>
      </c>
      <c r="L4803">
        <v>-63.002589999999998</v>
      </c>
      <c r="M4803">
        <v>0.99357960000000001</v>
      </c>
      <c r="N4803">
        <v>0</v>
      </c>
      <c r="O4803">
        <v>0.1121727</v>
      </c>
      <c r="P4803">
        <v>0.95025890000000002</v>
      </c>
      <c r="Q4803">
        <v>0.13440759999999999</v>
      </c>
      <c r="R4803">
        <v>0.28096729999999998</v>
      </c>
      <c r="S4803">
        <v>2.7589109999999999</v>
      </c>
      <c r="T4803">
        <v>-0.15719530000000001</v>
      </c>
      <c r="U4803">
        <v>1.428558</v>
      </c>
      <c r="V4803">
        <v>-0.1742437</v>
      </c>
      <c r="W4803">
        <v>0.14682319999999999</v>
      </c>
      <c r="X4803">
        <v>0.97369510000000004</v>
      </c>
      <c r="Y4803">
        <v>-0.35697909999999999</v>
      </c>
      <c r="Z4803">
        <v>3.601361E-3</v>
      </c>
      <c r="AA4803">
        <v>0.93410550000000003</v>
      </c>
      <c r="AB4803">
        <v>35</v>
      </c>
      <c r="AC4803">
        <v>19.294599999999999</v>
      </c>
      <c r="AD4803">
        <v>-1.1096098211180001</v>
      </c>
      <c r="AE4803">
        <v>10.06072</v>
      </c>
      <c r="AF4803">
        <v>-7.8123338389927799</v>
      </c>
      <c r="AG4803">
        <v>-1.1096098211180001</v>
      </c>
      <c r="AH4803">
        <v>20.2488078572718</v>
      </c>
      <c r="AI4803">
        <v>92.926731911038601</v>
      </c>
      <c r="AJ4803">
        <v>111.097461119797</v>
      </c>
      <c r="AK4803">
        <v>21.731958347275199</v>
      </c>
      <c r="AL4803">
        <v>81.557129332352503</v>
      </c>
      <c r="AM4803">
        <v>100.145745376579</v>
      </c>
      <c r="AN4803">
        <v>1.00000003340596</v>
      </c>
    </row>
    <row r="4804" spans="1:40" x14ac:dyDescent="0.3">
      <c r="A4804" t="str">
        <f>"20200111150128269"</f>
        <v>20200111150128269</v>
      </c>
      <c r="B4804" t="str">
        <f>"1578726088263243"</f>
        <v>1578726088263243</v>
      </c>
      <c r="C4804" t="s">
        <v>40</v>
      </c>
      <c r="D4804">
        <v>4.7003329999999997</v>
      </c>
      <c r="E4804">
        <v>0.42200959999999899</v>
      </c>
      <c r="F4804" t="s">
        <v>83</v>
      </c>
      <c r="G4804">
        <v>-199.2423</v>
      </c>
      <c r="H4804" s="1">
        <v>-9.8472669999999994E-6</v>
      </c>
      <c r="I4804">
        <v>-52.860069999999901</v>
      </c>
      <c r="J4804">
        <v>-218.3827</v>
      </c>
      <c r="K4804">
        <v>1.109737</v>
      </c>
      <c r="L4804">
        <v>-62.98001</v>
      </c>
      <c r="M4804">
        <v>0.99325149999999995</v>
      </c>
      <c r="N4804">
        <v>0</v>
      </c>
      <c r="O4804">
        <v>0.11503960000000001</v>
      </c>
      <c r="P4804">
        <v>0.94921339999999998</v>
      </c>
      <c r="Q4804">
        <v>0.13433870000000001</v>
      </c>
      <c r="R4804">
        <v>0.28451189999999998</v>
      </c>
      <c r="S4804">
        <v>2.752151</v>
      </c>
      <c r="T4804">
        <v>-0.15808630000000001</v>
      </c>
      <c r="U4804">
        <v>1.4450069999999999</v>
      </c>
      <c r="V4804">
        <v>-0.17511409999999999</v>
      </c>
      <c r="W4804">
        <v>0.14670239999999901</v>
      </c>
      <c r="X4804">
        <v>0.97355709999999995</v>
      </c>
      <c r="Y4804">
        <v>-0.35960229999999999</v>
      </c>
      <c r="Z4804">
        <v>3.5444320000000001E-3</v>
      </c>
      <c r="AA4804">
        <v>0.93309889999999995</v>
      </c>
      <c r="AB4804">
        <v>35</v>
      </c>
      <c r="AC4804">
        <v>19.1404</v>
      </c>
      <c r="AD4804">
        <v>-1.109746847267</v>
      </c>
      <c r="AE4804">
        <v>10.11994</v>
      </c>
      <c r="AF4804">
        <v>-7.8300239471384598</v>
      </c>
      <c r="AG4804">
        <v>-1.109746847267</v>
      </c>
      <c r="AH4804">
        <v>20.1247464368405</v>
      </c>
      <c r="AI4804">
        <v>92.941881088842607</v>
      </c>
      <c r="AJ4804">
        <v>111.259738375734</v>
      </c>
      <c r="AK4804">
        <v>21.622817397945798</v>
      </c>
      <c r="AL4804">
        <v>81.564126013889407</v>
      </c>
      <c r="AM4804">
        <v>100.196780778066</v>
      </c>
      <c r="AN4804">
        <v>0.99999998457248895</v>
      </c>
    </row>
    <row r="4805" spans="1:40" x14ac:dyDescent="0.3">
      <c r="A4805" t="str">
        <f>"20200111150128279"</f>
        <v>20200111150128279</v>
      </c>
      <c r="B4805" t="str">
        <f>"1578726088272996"</f>
        <v>1578726088272996</v>
      </c>
      <c r="C4805" t="s">
        <v>40</v>
      </c>
      <c r="D4805">
        <v>4.7465630000000001</v>
      </c>
      <c r="E4805">
        <v>0.42082580000000003</v>
      </c>
      <c r="F4805" t="s">
        <v>83</v>
      </c>
      <c r="G4805">
        <v>-198.9461</v>
      </c>
      <c r="H4805" s="1">
        <v>-9.9046709999999992E-6</v>
      </c>
      <c r="I4805">
        <v>-52.601619999999997</v>
      </c>
      <c r="J4805">
        <v>-218.21510000000001</v>
      </c>
      <c r="K4805">
        <v>1.109866</v>
      </c>
      <c r="L4805">
        <v>-62.958280000000002</v>
      </c>
      <c r="M4805">
        <v>0.99292820000000004</v>
      </c>
      <c r="N4805">
        <v>0</v>
      </c>
      <c r="O4805">
        <v>0.1177964</v>
      </c>
      <c r="P4805">
        <v>0.94812859999999999</v>
      </c>
      <c r="Q4805">
        <v>0.13460259999999999</v>
      </c>
      <c r="R4805">
        <v>0.28798319999999999</v>
      </c>
      <c r="S4805">
        <v>2.743576</v>
      </c>
      <c r="T4805">
        <v>-0.1566467</v>
      </c>
      <c r="U4805">
        <v>1.464966</v>
      </c>
      <c r="V4805">
        <v>-0.17602760000000001</v>
      </c>
      <c r="W4805">
        <v>0.14691370000000001</v>
      </c>
      <c r="X4805">
        <v>0.97336049999999996</v>
      </c>
      <c r="Y4805">
        <v>-0.36351050000000001</v>
      </c>
      <c r="Z4805">
        <v>3.476832E-3</v>
      </c>
      <c r="AA4805">
        <v>0.93158359999999996</v>
      </c>
      <c r="AB4805">
        <v>35</v>
      </c>
      <c r="AC4805">
        <v>19.268999999999998</v>
      </c>
      <c r="AD4805">
        <v>-1.1098759046709901</v>
      </c>
      <c r="AE4805">
        <v>10.35666</v>
      </c>
      <c r="AF4805">
        <v>-7.9938962543688401</v>
      </c>
      <c r="AG4805">
        <v>-1.1098759046709901</v>
      </c>
      <c r="AH4805">
        <v>20.302665361443101</v>
      </c>
      <c r="AI4805">
        <v>92.911880568004307</v>
      </c>
      <c r="AJ4805">
        <v>111.49136023274799</v>
      </c>
      <c r="AK4805">
        <v>21.847938635672801</v>
      </c>
      <c r="AL4805">
        <v>81.551886995192106</v>
      </c>
      <c r="AM4805">
        <v>100.25087488365401</v>
      </c>
      <c r="AN4805">
        <v>1.00000000708485</v>
      </c>
    </row>
    <row r="4806" spans="1:40" x14ac:dyDescent="0.3">
      <c r="A4806" t="str">
        <f>"20200111150128290"</f>
        <v>20200111150128290</v>
      </c>
      <c r="B4806" t="str">
        <f>"1578726088282756"</f>
        <v>1578726088282756</v>
      </c>
      <c r="C4806" t="s">
        <v>40</v>
      </c>
      <c r="D4806">
        <v>4.6935349999999998</v>
      </c>
      <c r="E4806">
        <v>0.41957030000000001</v>
      </c>
      <c r="F4806" t="s">
        <v>83</v>
      </c>
      <c r="G4806">
        <v>-198.6319</v>
      </c>
      <c r="H4806" s="1">
        <v>-9.962196E-6</v>
      </c>
      <c r="I4806">
        <v>-52.337040000000002</v>
      </c>
      <c r="J4806">
        <v>-218.05359999999999</v>
      </c>
      <c r="K4806">
        <v>1.109998</v>
      </c>
      <c r="L4806">
        <v>-62.936489999999999</v>
      </c>
      <c r="M4806">
        <v>0.99259260000000005</v>
      </c>
      <c r="N4806">
        <v>0</v>
      </c>
      <c r="O4806">
        <v>0.1205888</v>
      </c>
      <c r="P4806">
        <v>0.94692529999999997</v>
      </c>
      <c r="Q4806">
        <v>0.1353162</v>
      </c>
      <c r="R4806">
        <v>0.2915857</v>
      </c>
      <c r="S4806">
        <v>2.7355040000000002</v>
      </c>
      <c r="T4806">
        <v>-0.15503439999999999</v>
      </c>
      <c r="U4806">
        <v>1.483643</v>
      </c>
      <c r="V4806">
        <v>-0.17705940000000001</v>
      </c>
      <c r="W4806">
        <v>0.1475707</v>
      </c>
      <c r="X4806">
        <v>0.97307390000000005</v>
      </c>
      <c r="Y4806">
        <v>-0.3669635</v>
      </c>
      <c r="Z4806">
        <v>3.3919229999999998E-3</v>
      </c>
      <c r="AA4806">
        <v>0.93022910000000003</v>
      </c>
      <c r="AB4806">
        <v>35</v>
      </c>
      <c r="AC4806">
        <v>19.421699999999898</v>
      </c>
      <c r="AD4806">
        <v>-1.110007962196</v>
      </c>
      <c r="AE4806">
        <v>10.5994499999999</v>
      </c>
      <c r="AF4806">
        <v>-8.1592534136245707</v>
      </c>
      <c r="AG4806">
        <v>-1.110007962196</v>
      </c>
      <c r="AH4806">
        <v>20.5066426202727</v>
      </c>
      <c r="AI4806">
        <v>92.8792259376782</v>
      </c>
      <c r="AJ4806">
        <v>111.696789952483</v>
      </c>
      <c r="AK4806">
        <v>22.098143032831299</v>
      </c>
      <c r="AL4806">
        <v>81.513828609329195</v>
      </c>
      <c r="AM4806">
        <v>100.31264761345</v>
      </c>
      <c r="AN4806">
        <v>0.99999997874402902</v>
      </c>
    </row>
    <row r="4807" spans="1:40" x14ac:dyDescent="0.3">
      <c r="A4807" t="str">
        <f>"20200111150128301"</f>
        <v>20200111150128301</v>
      </c>
      <c r="B4807" t="str">
        <f>"1578726088292515"</f>
        <v>1578726088292515</v>
      </c>
      <c r="C4807" t="s">
        <v>40</v>
      </c>
      <c r="D4807">
        <v>4.6654799999999996</v>
      </c>
      <c r="E4807">
        <v>0.41851290000000002</v>
      </c>
      <c r="F4807" t="s">
        <v>83</v>
      </c>
      <c r="G4807">
        <v>-198.03049999999999</v>
      </c>
      <c r="H4807" s="1">
        <v>-1.005358E-5</v>
      </c>
      <c r="I4807">
        <v>-51.89873</v>
      </c>
      <c r="J4807">
        <v>-217.88329999999999</v>
      </c>
      <c r="K4807">
        <v>1.1101399999999999</v>
      </c>
      <c r="L4807">
        <v>-62.9133</v>
      </c>
      <c r="M4807">
        <v>0.99222679999999996</v>
      </c>
      <c r="N4807">
        <v>0</v>
      </c>
      <c r="O4807">
        <v>0.1235613</v>
      </c>
      <c r="P4807">
        <v>0.94567299999999999</v>
      </c>
      <c r="Q4807">
        <v>0.13571349999999999</v>
      </c>
      <c r="R4807">
        <v>0.29543920000000001</v>
      </c>
      <c r="S4807">
        <v>2.7268520000000001</v>
      </c>
      <c r="T4807">
        <v>-0.15116599999999999</v>
      </c>
      <c r="U4807">
        <v>1.503174</v>
      </c>
      <c r="V4807">
        <v>-0.1781703</v>
      </c>
      <c r="W4807">
        <v>0.1479065</v>
      </c>
      <c r="X4807">
        <v>0.97282009999999997</v>
      </c>
      <c r="Y4807">
        <v>-0.3705502</v>
      </c>
      <c r="Z4807">
        <v>3.2541580000000001E-3</v>
      </c>
      <c r="AA4807">
        <v>0.92880680000000004</v>
      </c>
      <c r="AB4807">
        <v>35</v>
      </c>
      <c r="AC4807">
        <v>19.852799999999998</v>
      </c>
      <c r="AD4807">
        <v>-1.11015005358</v>
      </c>
      <c r="AE4807">
        <v>11.014570000000001</v>
      </c>
      <c r="AF4807">
        <v>-8.4566207841550494</v>
      </c>
      <c r="AG4807">
        <v>-1.11015005358</v>
      </c>
      <c r="AH4807">
        <v>21.011519001923801</v>
      </c>
      <c r="AI4807">
        <v>92.806072597039801</v>
      </c>
      <c r="AJ4807">
        <v>111.923575220985</v>
      </c>
      <c r="AK4807">
        <v>22.676657579914099</v>
      </c>
      <c r="AL4807">
        <v>81.494375118942401</v>
      </c>
      <c r="AM4807">
        <v>100.378597887152</v>
      </c>
      <c r="AN4807">
        <v>0.99999996775417399</v>
      </c>
    </row>
    <row r="4808" spans="1:40" x14ac:dyDescent="0.3">
      <c r="A4808" t="str">
        <f>"20200111150128312"</f>
        <v>20200111150128312</v>
      </c>
      <c r="B4808" t="str">
        <f>"1578726088303253"</f>
        <v>1578726088303253</v>
      </c>
      <c r="C4808" t="s">
        <v>40</v>
      </c>
      <c r="D4808">
        <v>4.7322699999999998</v>
      </c>
      <c r="E4808">
        <v>0.4174908</v>
      </c>
      <c r="F4808" t="s">
        <v>41</v>
      </c>
      <c r="G4808">
        <v>-216.8391</v>
      </c>
      <c r="H4808">
        <v>1.052853</v>
      </c>
      <c r="I4808">
        <v>-62.328870000000002</v>
      </c>
      <c r="J4808">
        <v>-217.71950000000001</v>
      </c>
      <c r="K4808">
        <v>1.110284</v>
      </c>
      <c r="L4808">
        <v>-62.890079999999998</v>
      </c>
      <c r="M4808">
        <v>0.9918477</v>
      </c>
      <c r="N4808">
        <v>0</v>
      </c>
      <c r="O4808">
        <v>0.12656709999999999</v>
      </c>
      <c r="P4808">
        <v>0.94444819999999996</v>
      </c>
      <c r="Q4808">
        <v>0.13602990000000001</v>
      </c>
      <c r="R4808">
        <v>0.29918820000000002</v>
      </c>
      <c r="S4808">
        <v>2.7183069999999998</v>
      </c>
      <c r="T4808">
        <v>-0.14913219999999999</v>
      </c>
      <c r="U4808">
        <v>1.52182</v>
      </c>
      <c r="V4808">
        <v>-0.17914440000000001</v>
      </c>
      <c r="W4808">
        <v>0.14816260000000001</v>
      </c>
      <c r="X4808">
        <v>0.97260219999999997</v>
      </c>
      <c r="Y4808">
        <v>-0.37383929999999999</v>
      </c>
      <c r="Z4808">
        <v>3.148704E-3</v>
      </c>
      <c r="AA4808">
        <v>0.92748810000000004</v>
      </c>
      <c r="AB4808">
        <v>35</v>
      </c>
      <c r="AC4808">
        <v>0.88040000000000795</v>
      </c>
      <c r="AD4808">
        <v>-5.7431000000000003E-2</v>
      </c>
      <c r="AE4808">
        <v>0.56121000000000898</v>
      </c>
      <c r="AF4808">
        <v>-0.44391071999005999</v>
      </c>
      <c r="AG4808">
        <v>-5.7431000000000003E-2</v>
      </c>
      <c r="AH4808">
        <v>0.94150798042919503</v>
      </c>
      <c r="AI4808">
        <v>93.158025618130694</v>
      </c>
      <c r="AJ4808">
        <v>115.243365115551</v>
      </c>
      <c r="AK4808">
        <v>1.04249332098338</v>
      </c>
      <c r="AL4808">
        <v>81.479538096023006</v>
      </c>
      <c r="AM4808">
        <v>100.436383500126</v>
      </c>
      <c r="AN4808">
        <v>0.99999995576747902</v>
      </c>
    </row>
    <row r="4809" spans="1:40" x14ac:dyDescent="0.3">
      <c r="A4809" t="str">
        <f>"20200111150128324"</f>
        <v>20200111150128324</v>
      </c>
      <c r="B4809" t="str">
        <f>"1578726088313012"</f>
        <v>1578726088313012</v>
      </c>
      <c r="C4809" t="s">
        <v>40</v>
      </c>
      <c r="D4809">
        <v>4.7592840000000001</v>
      </c>
      <c r="E4809">
        <v>0.41655449999999999</v>
      </c>
      <c r="F4809" t="s">
        <v>83</v>
      </c>
      <c r="G4809">
        <v>-197.2234</v>
      </c>
      <c r="H4809" s="1">
        <v>-1.0213560000000001E-5</v>
      </c>
      <c r="I4809">
        <v>-51.237000000000002</v>
      </c>
      <c r="J4809">
        <v>-217.5367</v>
      </c>
      <c r="K4809">
        <v>1.1104430000000001</v>
      </c>
      <c r="L4809">
        <v>-62.863770000000002</v>
      </c>
      <c r="M4809">
        <v>0.99140660000000003</v>
      </c>
      <c r="N4809">
        <v>0</v>
      </c>
      <c r="O4809">
        <v>0.12997510000000001</v>
      </c>
      <c r="P4809">
        <v>0.94311369999999894</v>
      </c>
      <c r="Q4809">
        <v>0.13668849999999999</v>
      </c>
      <c r="R4809">
        <v>0.30307240000000002</v>
      </c>
      <c r="S4809">
        <v>2.7095639999999999</v>
      </c>
      <c r="T4809">
        <v>-0.14677999999999999</v>
      </c>
      <c r="U4809">
        <v>1.540527</v>
      </c>
      <c r="V4809">
        <v>-0.17988309999999999</v>
      </c>
      <c r="W4809">
        <v>0.14875720000000001</v>
      </c>
      <c r="X4809">
        <v>0.97237510000000005</v>
      </c>
      <c r="Y4809">
        <v>-0.3767875</v>
      </c>
      <c r="Z4809">
        <v>3.0101080000000001E-3</v>
      </c>
      <c r="AA4809">
        <v>0.92629490000000003</v>
      </c>
      <c r="AB4809">
        <v>35</v>
      </c>
      <c r="AC4809">
        <v>20.313300000000002</v>
      </c>
      <c r="AD4809">
        <v>-1.11045321356</v>
      </c>
      <c r="AE4809">
        <v>11.62677</v>
      </c>
      <c r="AF4809">
        <v>-8.8676476811555407</v>
      </c>
      <c r="AG4809">
        <v>-1.11045321356</v>
      </c>
      <c r="AH4809">
        <v>21.603676806700499</v>
      </c>
      <c r="AI4809">
        <v>92.722429401137902</v>
      </c>
      <c r="AJ4809">
        <v>112.31664832014</v>
      </c>
      <c r="AK4809">
        <v>23.3792030083358</v>
      </c>
      <c r="AL4809">
        <v>81.445088514185002</v>
      </c>
      <c r="AM4809">
        <v>100.48085958027301</v>
      </c>
      <c r="AN4809">
        <v>0.99999998465872997</v>
      </c>
    </row>
    <row r="4810" spans="1:40" x14ac:dyDescent="0.3">
      <c r="A4810" t="str">
        <f>"20200111150128334"</f>
        <v>20200111150128334</v>
      </c>
      <c r="B4810" t="str">
        <f>"1578726088322772"</f>
        <v>1578726088322772</v>
      </c>
      <c r="C4810" t="s">
        <v>40</v>
      </c>
      <c r="D4810">
        <v>4.8045309999999999</v>
      </c>
      <c r="E4810">
        <v>0.41584270000000001</v>
      </c>
      <c r="F4810" t="s">
        <v>83</v>
      </c>
      <c r="G4810">
        <v>-196.6635</v>
      </c>
      <c r="H4810" s="1">
        <v>-1.031061E-5</v>
      </c>
      <c r="I4810">
        <v>-50.816229999999997</v>
      </c>
      <c r="J4810">
        <v>-217.3818</v>
      </c>
      <c r="K4810">
        <v>1.1105799999999999</v>
      </c>
      <c r="L4810">
        <v>-62.840789999999998</v>
      </c>
      <c r="M4810">
        <v>0.99101050000000002</v>
      </c>
      <c r="N4810">
        <v>0</v>
      </c>
      <c r="O4810">
        <v>0.13295989999999999</v>
      </c>
      <c r="P4810">
        <v>0.94199840000000001</v>
      </c>
      <c r="Q4810">
        <v>0.1368354</v>
      </c>
      <c r="R4810">
        <v>0.3064557</v>
      </c>
      <c r="S4810">
        <v>2.7008510000000001</v>
      </c>
      <c r="T4810">
        <v>-0.14368499999999901</v>
      </c>
      <c r="U4810">
        <v>1.5588679999999999</v>
      </c>
      <c r="V4810">
        <v>-0.18049999999999999</v>
      </c>
      <c r="W4810">
        <v>0.14885010000000001</v>
      </c>
      <c r="X4810">
        <v>0.97224659999999996</v>
      </c>
      <c r="Y4810">
        <v>-0.38002200000000003</v>
      </c>
      <c r="Z4810">
        <v>2.8870179999999999E-3</v>
      </c>
      <c r="AA4810">
        <v>0.92497300000000005</v>
      </c>
      <c r="AB4810">
        <v>34</v>
      </c>
      <c r="AC4810">
        <v>20.718299999999999</v>
      </c>
      <c r="AD4810">
        <v>-1.1105903106099999</v>
      </c>
      <c r="AE4810">
        <v>12.024559999999999</v>
      </c>
      <c r="AF4810">
        <v>-9.14311714141569</v>
      </c>
      <c r="AG4810">
        <v>-1.1105903106099999</v>
      </c>
      <c r="AH4810">
        <v>22.085798964850699</v>
      </c>
      <c r="AI4810">
        <v>92.660125516565103</v>
      </c>
      <c r="AJ4810">
        <v>112.48866103570499</v>
      </c>
      <c r="AK4810">
        <v>23.9293233881669</v>
      </c>
      <c r="AL4810">
        <v>81.439706172188906</v>
      </c>
      <c r="AM4810">
        <v>100.517361562272</v>
      </c>
      <c r="AN4810">
        <v>1.00000002674078</v>
      </c>
    </row>
    <row r="4811" spans="1:40" x14ac:dyDescent="0.3">
      <c r="A4811" t="str">
        <f>"20200111150128346"</f>
        <v>20200111150128346</v>
      </c>
      <c r="B4811" t="str">
        <f>"1578726088343269"</f>
        <v>1578726088343269</v>
      </c>
      <c r="C4811" t="s">
        <v>40</v>
      </c>
      <c r="D4811">
        <v>4.7994560000000002</v>
      </c>
      <c r="E4811">
        <v>0.41409269999999998</v>
      </c>
      <c r="F4811" t="s">
        <v>83</v>
      </c>
      <c r="G4811">
        <v>-196.387</v>
      </c>
      <c r="H4811" s="1">
        <v>-1.0372350000000001E-5</v>
      </c>
      <c r="I4811">
        <v>-50.570450000000001</v>
      </c>
      <c r="J4811">
        <v>-217.2098</v>
      </c>
      <c r="K4811">
        <v>1.1107309999999999</v>
      </c>
      <c r="L4811">
        <v>-62.8146699999999</v>
      </c>
      <c r="M4811">
        <v>0.99054880000000001</v>
      </c>
      <c r="N4811">
        <v>0</v>
      </c>
      <c r="O4811">
        <v>0.13635459999999999</v>
      </c>
      <c r="P4811">
        <v>0.94063269999999999</v>
      </c>
      <c r="Q4811">
        <v>0.13702739999999999</v>
      </c>
      <c r="R4811">
        <v>0.31053789999999998</v>
      </c>
      <c r="S4811">
        <v>2.693314</v>
      </c>
      <c r="T4811">
        <v>-0.14247179999999901</v>
      </c>
      <c r="U4811">
        <v>1.5740970000000001</v>
      </c>
      <c r="V4811">
        <v>-0.1814482</v>
      </c>
      <c r="W4811">
        <v>0.14897739999999901</v>
      </c>
      <c r="X4811">
        <v>0.97205050000000004</v>
      </c>
      <c r="Y4811">
        <v>-0.38188610000000001</v>
      </c>
      <c r="Z4811">
        <v>2.7498639999999999E-3</v>
      </c>
      <c r="AA4811">
        <v>0.92420530000000001</v>
      </c>
      <c r="AB4811">
        <v>34</v>
      </c>
      <c r="AC4811">
        <v>20.822800000000001</v>
      </c>
      <c r="AD4811">
        <v>-1.1107413723499999</v>
      </c>
      <c r="AE4811">
        <v>12.244219999999901</v>
      </c>
      <c r="AF4811">
        <v>-9.2706357548070795</v>
      </c>
      <c r="AG4811">
        <v>-1.1107413723499999</v>
      </c>
      <c r="AH4811">
        <v>22.250967324655999</v>
      </c>
      <c r="AI4811">
        <v>92.638284605685698</v>
      </c>
      <c r="AJ4811">
        <v>112.618547113023</v>
      </c>
      <c r="AK4811">
        <v>24.130561132668799</v>
      </c>
      <c r="AL4811">
        <v>81.432329471150993</v>
      </c>
      <c r="AM4811">
        <v>100.573453549421</v>
      </c>
      <c r="AN4811">
        <v>0.99999994477212295</v>
      </c>
    </row>
    <row r="4812" spans="1:40" x14ac:dyDescent="0.3">
      <c r="A4812" t="str">
        <f>"20200111150128357"</f>
        <v>20200111150128357</v>
      </c>
      <c r="B4812" t="str">
        <f>"1578726088353027"</f>
        <v>1578726088353027</v>
      </c>
      <c r="C4812" t="s">
        <v>40</v>
      </c>
      <c r="D4812">
        <v>4.7757250000000004</v>
      </c>
      <c r="E4812">
        <v>0.41343200000000002</v>
      </c>
      <c r="F4812" t="s">
        <v>83</v>
      </c>
      <c r="G4812">
        <v>-195.70330000000001</v>
      </c>
      <c r="H4812" s="1">
        <v>-2.3811540000000002E-6</v>
      </c>
      <c r="I4812">
        <v>-49.994349999999997</v>
      </c>
      <c r="J4812">
        <v>-217.03280000000001</v>
      </c>
      <c r="K4812">
        <v>1.110887</v>
      </c>
      <c r="L4812">
        <v>-62.787230000000001</v>
      </c>
      <c r="M4812">
        <v>0.99004919999999996</v>
      </c>
      <c r="N4812">
        <v>0</v>
      </c>
      <c r="O4812">
        <v>0.13993340000000001</v>
      </c>
      <c r="P4812">
        <v>0.93917130000000004</v>
      </c>
      <c r="Q4812">
        <v>0.1368721</v>
      </c>
      <c r="R4812">
        <v>0.31499739999999998</v>
      </c>
      <c r="S4812">
        <v>2.6817630000000001</v>
      </c>
      <c r="T4812">
        <v>-0.1385033</v>
      </c>
      <c r="U4812">
        <v>1.598633</v>
      </c>
      <c r="V4812">
        <v>-0.18260100000000001</v>
      </c>
      <c r="W4812">
        <v>0.148752</v>
      </c>
      <c r="X4812">
        <v>0.97186919999999999</v>
      </c>
      <c r="Y4812">
        <v>-0.38655020000000001</v>
      </c>
      <c r="Z4812">
        <v>2.6234029999999998E-3</v>
      </c>
      <c r="AA4812">
        <v>0.92226459999999999</v>
      </c>
      <c r="AB4812">
        <v>34</v>
      </c>
      <c r="AC4812">
        <v>21.329499999999999</v>
      </c>
      <c r="AD4812">
        <v>-1.1108893811539999</v>
      </c>
      <c r="AE4812">
        <v>12.79288</v>
      </c>
      <c r="AF4812">
        <v>-9.6626658030132795</v>
      </c>
      <c r="AG4812">
        <v>-1.1108893811539999</v>
      </c>
      <c r="AH4812">
        <v>22.864327109693701</v>
      </c>
      <c r="AI4812">
        <v>92.562491532920802</v>
      </c>
      <c r="AJ4812">
        <v>112.909347074161</v>
      </c>
      <c r="AK4812">
        <v>24.847105260310599</v>
      </c>
      <c r="AL4812">
        <v>81.445390042646693</v>
      </c>
      <c r="AM4812">
        <v>100.64104067453501</v>
      </c>
      <c r="AN4812">
        <v>1.00000001230682</v>
      </c>
    </row>
    <row r="4813" spans="1:40" x14ac:dyDescent="0.3">
      <c r="A4813" t="str">
        <f>"20200111150128369"</f>
        <v>20200111150128369</v>
      </c>
      <c r="B4813" t="str">
        <f>"1578726088362787"</f>
        <v>1578726088362787</v>
      </c>
      <c r="C4813" t="s">
        <v>40</v>
      </c>
      <c r="D4813">
        <v>4.793158</v>
      </c>
      <c r="E4813">
        <v>0.41288320000000001</v>
      </c>
      <c r="F4813" t="s">
        <v>83</v>
      </c>
      <c r="G4813">
        <v>-195.68549999999999</v>
      </c>
      <c r="H4813" s="1">
        <v>-2.4456719999999998E-6</v>
      </c>
      <c r="I4813">
        <v>-49.87867</v>
      </c>
      <c r="J4813">
        <v>-216.8646</v>
      </c>
      <c r="K4813">
        <v>1.1110370000000001</v>
      </c>
      <c r="L4813">
        <v>-62.760129999999997</v>
      </c>
      <c r="M4813">
        <v>0.98954370000000003</v>
      </c>
      <c r="N4813">
        <v>0</v>
      </c>
      <c r="O4813">
        <v>0.1434636</v>
      </c>
      <c r="P4813">
        <v>0.93774460000000004</v>
      </c>
      <c r="Q4813">
        <v>0.13685839999999999</v>
      </c>
      <c r="R4813">
        <v>0.31922590000000001</v>
      </c>
      <c r="S4813">
        <v>2.6725310000000002</v>
      </c>
      <c r="T4813">
        <v>-0.13907530000000001</v>
      </c>
      <c r="U4813">
        <v>1.616058</v>
      </c>
      <c r="V4813">
        <v>-0.18356990000000001</v>
      </c>
      <c r="W4813">
        <v>0.14867230000000001</v>
      </c>
      <c r="X4813">
        <v>0.97169879999999997</v>
      </c>
      <c r="Y4813">
        <v>-0.38907439999999999</v>
      </c>
      <c r="Z4813">
        <v>2.5344399999999998E-3</v>
      </c>
      <c r="AA4813">
        <v>0.92120290000000005</v>
      </c>
      <c r="AB4813">
        <v>34</v>
      </c>
      <c r="AC4813">
        <v>21.179099999999998</v>
      </c>
      <c r="AD4813">
        <v>-1.1110394456720001</v>
      </c>
      <c r="AE4813">
        <v>12.881460000000001</v>
      </c>
      <c r="AF4813">
        <v>-9.6899472311083397</v>
      </c>
      <c r="AG4813">
        <v>-1.1110394456720001</v>
      </c>
      <c r="AH4813">
        <v>22.762465007927599</v>
      </c>
      <c r="AI4813">
        <v>92.5714367304559</v>
      </c>
      <c r="AJ4813">
        <v>113.059381761327</v>
      </c>
      <c r="AK4813">
        <v>24.764072751238501</v>
      </c>
      <c r="AL4813">
        <v>81.450007408624899</v>
      </c>
      <c r="AM4813">
        <v>100.698036159</v>
      </c>
      <c r="AN4813">
        <v>0.99999995944736897</v>
      </c>
    </row>
    <row r="4814" spans="1:40" x14ac:dyDescent="0.3">
      <c r="A4814" t="str">
        <f>"20200111150128380"</f>
        <v>20200111150128380</v>
      </c>
      <c r="B4814" t="str">
        <f>"1578726088372548"</f>
        <v>1578726088372548</v>
      </c>
      <c r="C4814" t="s">
        <v>40</v>
      </c>
      <c r="D4814">
        <v>4.7391399999999999</v>
      </c>
      <c r="E4814">
        <v>0.4122748</v>
      </c>
      <c r="F4814" t="s">
        <v>83</v>
      </c>
      <c r="G4814">
        <v>-195.6729</v>
      </c>
      <c r="H4814" s="1">
        <v>-2.5011410000000001E-6</v>
      </c>
      <c r="I4814">
        <v>-49.78022</v>
      </c>
      <c r="J4814">
        <v>-216.69370000000001</v>
      </c>
      <c r="K4814">
        <v>1.111192</v>
      </c>
      <c r="L4814">
        <v>-62.73236</v>
      </c>
      <c r="M4814">
        <v>0.98901090000000003</v>
      </c>
      <c r="N4814">
        <v>0</v>
      </c>
      <c r="O4814">
        <v>0.14709</v>
      </c>
      <c r="P4814">
        <v>0.93617810000000001</v>
      </c>
      <c r="Q4814">
        <v>0.13661379999999901</v>
      </c>
      <c r="R4814">
        <v>0.32389410000000002</v>
      </c>
      <c r="S4814">
        <v>2.6640779999999999</v>
      </c>
      <c r="T4814">
        <v>-0.1396723</v>
      </c>
      <c r="U4814">
        <v>1.6317440000000001</v>
      </c>
      <c r="V4814">
        <v>-0.1848987</v>
      </c>
      <c r="W4814">
        <v>0.14835309999999999</v>
      </c>
      <c r="X4814">
        <v>0.97149569999999996</v>
      </c>
      <c r="Y4814">
        <v>-0.39094420000000002</v>
      </c>
      <c r="Z4814">
        <v>2.4243799999999999E-3</v>
      </c>
      <c r="AA4814">
        <v>0.92041119999999998</v>
      </c>
      <c r="AB4814">
        <v>34</v>
      </c>
      <c r="AC4814">
        <v>21.020800000000001</v>
      </c>
      <c r="AD4814">
        <v>-1.111194501141</v>
      </c>
      <c r="AE4814">
        <v>12.95214</v>
      </c>
      <c r="AF4814">
        <v>-9.6992918704911695</v>
      </c>
      <c r="AG4814">
        <v>-1.111194501141</v>
      </c>
      <c r="AH4814">
        <v>22.6515711688523</v>
      </c>
      <c r="AI4814">
        <v>92.582042863637298</v>
      </c>
      <c r="AJ4814">
        <v>113.180372016173</v>
      </c>
      <c r="AK4814">
        <v>24.665860869345799</v>
      </c>
      <c r="AL4814">
        <v>81.468501945432607</v>
      </c>
      <c r="AM4814">
        <v>100.775868958587</v>
      </c>
      <c r="AN4814">
        <v>1.00000003332989</v>
      </c>
    </row>
    <row r="4815" spans="1:40" x14ac:dyDescent="0.3">
      <c r="A4815" t="str">
        <f>"20200111150128402"</f>
        <v>20200111150128402</v>
      </c>
      <c r="B4815" t="str">
        <f>"1578726088393045"</f>
        <v>1578726088393045</v>
      </c>
      <c r="C4815" t="s">
        <v>40</v>
      </c>
      <c r="D4815">
        <v>4.7737319999999999</v>
      </c>
      <c r="E4815">
        <v>0.41166269999999999</v>
      </c>
      <c r="F4815" t="s">
        <v>83</v>
      </c>
      <c r="G4815">
        <v>-195.76400000000001</v>
      </c>
      <c r="H4815" s="1">
        <v>-2.5510459999999998E-6</v>
      </c>
      <c r="I4815">
        <v>-49.730150000000002</v>
      </c>
      <c r="J4815">
        <v>-216.36799999999999</v>
      </c>
      <c r="K4815">
        <v>1.111499</v>
      </c>
      <c r="L4815">
        <v>-62.6768199999999</v>
      </c>
      <c r="M4815">
        <v>0.98790040000000001</v>
      </c>
      <c r="N4815">
        <v>0</v>
      </c>
      <c r="O4815">
        <v>0.15436830000000001</v>
      </c>
      <c r="P4815">
        <v>0.93324759999999995</v>
      </c>
      <c r="Q4815">
        <v>0.13651559999999999</v>
      </c>
      <c r="R4815">
        <v>0.33228390000000002</v>
      </c>
      <c r="S4815">
        <v>2.6545260000000002</v>
      </c>
      <c r="T4815">
        <v>-0.14093349999999999</v>
      </c>
      <c r="U4815">
        <v>1.6490779999999901</v>
      </c>
      <c r="V4815">
        <v>-0.18657489999999999</v>
      </c>
      <c r="W4815">
        <v>0.14812249999999999</v>
      </c>
      <c r="X4815">
        <v>0.97121040000000003</v>
      </c>
      <c r="Y4815">
        <v>-0.38999400000000001</v>
      </c>
      <c r="Z4815">
        <v>2.083246E-3</v>
      </c>
      <c r="AA4815">
        <v>0.9208151</v>
      </c>
      <c r="AB4815">
        <v>34</v>
      </c>
      <c r="AC4815">
        <v>20.6039999999999</v>
      </c>
      <c r="AD4815">
        <v>-1.111501551046</v>
      </c>
      <c r="AE4815">
        <v>12.9466699999999</v>
      </c>
      <c r="AF4815">
        <v>-9.5904792863767199</v>
      </c>
      <c r="AG4815">
        <v>-1.111501551046</v>
      </c>
      <c r="AH4815">
        <v>22.309204985554601</v>
      </c>
      <c r="AI4815">
        <v>92.620729818944397</v>
      </c>
      <c r="AJ4815">
        <v>113.26233169802001</v>
      </c>
      <c r="AK4815">
        <v>24.3087094624107</v>
      </c>
      <c r="AL4815">
        <v>81.481862139894901</v>
      </c>
      <c r="AM4815">
        <v>100.874357325818</v>
      </c>
      <c r="AN4815">
        <v>1.0000000546922001</v>
      </c>
    </row>
    <row r="4816" spans="1:40" x14ac:dyDescent="0.3">
      <c r="A4816" t="str">
        <f>"20200111150128435"</f>
        <v>20200111150128435</v>
      </c>
      <c r="B4816" t="str">
        <f>"1578726088433060"</f>
        <v>1578726088433060</v>
      </c>
      <c r="C4816" t="s">
        <v>40</v>
      </c>
      <c r="D4816">
        <v>4.2098120000000003</v>
      </c>
      <c r="E4816">
        <v>0.41071550000000001</v>
      </c>
      <c r="F4816" t="s">
        <v>41</v>
      </c>
      <c r="G4816">
        <v>-215.44489999999999</v>
      </c>
      <c r="H4816">
        <v>1.063115</v>
      </c>
      <c r="I4816">
        <v>-62.09</v>
      </c>
      <c r="J4816">
        <v>-215.86689999999999</v>
      </c>
      <c r="K4816">
        <v>1.1119859999999999</v>
      </c>
      <c r="L4816">
        <v>-62.585749999999997</v>
      </c>
      <c r="M4816">
        <v>0.98596159999999999</v>
      </c>
      <c r="N4816">
        <v>0</v>
      </c>
      <c r="O4816">
        <v>0.1662978</v>
      </c>
      <c r="P4816">
        <v>0.92866700000000002</v>
      </c>
      <c r="Q4816">
        <v>0.13656979999999999</v>
      </c>
      <c r="R4816">
        <v>0.34485710000000003</v>
      </c>
      <c r="S4816">
        <v>2.637756</v>
      </c>
      <c r="T4816">
        <v>-0.1382535</v>
      </c>
      <c r="U4816">
        <v>1.6768189999999901</v>
      </c>
      <c r="V4816">
        <v>-0.18813279999999999</v>
      </c>
      <c r="W4816">
        <v>0.1479857</v>
      </c>
      <c r="X4816">
        <v>0.97093059999999998</v>
      </c>
      <c r="Y4816">
        <v>-0.38843450000000002</v>
      </c>
      <c r="Z4816">
        <v>1.4599789999999999E-3</v>
      </c>
      <c r="AA4816">
        <v>0.92147520000000005</v>
      </c>
      <c r="AB4816">
        <v>34</v>
      </c>
      <c r="AC4816">
        <v>0.42199999999999599</v>
      </c>
      <c r="AD4816">
        <v>-4.8871000000000102E-2</v>
      </c>
      <c r="AE4816">
        <v>0.49574999999999297</v>
      </c>
      <c r="AF4816">
        <v>-0.41631394637159402</v>
      </c>
      <c r="AG4816">
        <v>-4.8871000000000102E-2</v>
      </c>
      <c r="AH4816">
        <v>0.49578027894157101</v>
      </c>
      <c r="AI4816">
        <v>94.317020662842097</v>
      </c>
      <c r="AJ4816">
        <v>130.020671081269</v>
      </c>
      <c r="AK4816">
        <v>0.64923321046590998</v>
      </c>
      <c r="AL4816">
        <v>81.489786853495602</v>
      </c>
      <c r="AM4816">
        <v>100.966049611242</v>
      </c>
      <c r="AN4816">
        <v>0.99999997392834405</v>
      </c>
    </row>
    <row r="4817" spans="1:40" x14ac:dyDescent="0.3">
      <c r="A4817" t="str">
        <f>"20200111150128446"</f>
        <v>20200111150128446</v>
      </c>
      <c r="B4817" t="str">
        <f>"1578726088442819"</f>
        <v>1578726088442819</v>
      </c>
      <c r="C4817" t="s">
        <v>40</v>
      </c>
      <c r="D4817">
        <v>5.6456850000000003</v>
      </c>
      <c r="E4817">
        <v>0.40995910000000002</v>
      </c>
      <c r="F4817" t="s">
        <v>83</v>
      </c>
      <c r="G4817">
        <v>-194.58009999999999</v>
      </c>
      <c r="H4817" s="1">
        <v>-2.979268E-6</v>
      </c>
      <c r="I4817">
        <v>-48.561950000000003</v>
      </c>
      <c r="J4817">
        <v>-215.70490000000001</v>
      </c>
      <c r="K4817">
        <v>1.112141</v>
      </c>
      <c r="L4817">
        <v>-62.554810000000003</v>
      </c>
      <c r="M4817">
        <v>0.98527129999999996</v>
      </c>
      <c r="N4817">
        <v>0</v>
      </c>
      <c r="O4817">
        <v>0.1703382</v>
      </c>
      <c r="P4817">
        <v>0.92698469999999999</v>
      </c>
      <c r="Q4817">
        <v>0.13645669999999999</v>
      </c>
      <c r="R4817">
        <v>0.3493984</v>
      </c>
      <c r="S4817">
        <v>2.6115879999999998</v>
      </c>
      <c r="T4817">
        <v>-0.13642509999999999</v>
      </c>
      <c r="U4817">
        <v>1.72052</v>
      </c>
      <c r="V4817">
        <v>-0.18895790000000001</v>
      </c>
      <c r="W4817">
        <v>0.14780509999999999</v>
      </c>
      <c r="X4817">
        <v>0.97079789999999999</v>
      </c>
      <c r="Y4817">
        <v>-0.39962989999999998</v>
      </c>
      <c r="Z4817">
        <v>1.5303139999999901E-3</v>
      </c>
      <c r="AA4817">
        <v>0.91667529999999997</v>
      </c>
      <c r="AB4817">
        <v>34</v>
      </c>
      <c r="AC4817">
        <v>21.1248</v>
      </c>
      <c r="AD4817">
        <v>-1.1121439792679999</v>
      </c>
      <c r="AE4817">
        <v>13.992859999999901</v>
      </c>
      <c r="AF4817">
        <v>-10.1699597041068</v>
      </c>
      <c r="AG4817">
        <v>-1.1121439792679999</v>
      </c>
      <c r="AH4817">
        <v>23.155185746910501</v>
      </c>
      <c r="AI4817">
        <v>92.517983370668404</v>
      </c>
      <c r="AJ4817">
        <v>113.71150043788199</v>
      </c>
      <c r="AK4817">
        <v>25.3145723169029</v>
      </c>
      <c r="AL4817">
        <v>81.500249745075394</v>
      </c>
      <c r="AM4817">
        <v>101.01443894181401</v>
      </c>
      <c r="AN4817">
        <v>0.99999999910141402</v>
      </c>
    </row>
    <row r="4818" spans="1:40" x14ac:dyDescent="0.3">
      <c r="A4818" t="str">
        <f>"20200111150128469"</f>
        <v>20200111150128469</v>
      </c>
      <c r="B4818" t="str">
        <f>"1578726088463316"</f>
        <v>1578726088463316</v>
      </c>
      <c r="C4818" t="s">
        <v>40</v>
      </c>
      <c r="D4818">
        <v>4.6839259999999996</v>
      </c>
      <c r="E4818">
        <v>0.40958119999999998</v>
      </c>
      <c r="F4818" t="s">
        <v>41</v>
      </c>
      <c r="G4818">
        <v>-214.7962</v>
      </c>
      <c r="H4818">
        <v>1.0650660000000001</v>
      </c>
      <c r="I4818">
        <v>-61.947180000000003</v>
      </c>
      <c r="J4818">
        <v>-215.36689999999999</v>
      </c>
      <c r="K4818">
        <v>1.112463</v>
      </c>
      <c r="L4818">
        <v>-62.487760000000002</v>
      </c>
      <c r="M4818">
        <v>0.98372349999999997</v>
      </c>
      <c r="N4818">
        <v>0</v>
      </c>
      <c r="O4818">
        <v>0.17905689999999999</v>
      </c>
      <c r="P4818">
        <v>0.92316089999999995</v>
      </c>
      <c r="Q4818">
        <v>0.1359987</v>
      </c>
      <c r="R4818">
        <v>0.35955300000000001</v>
      </c>
      <c r="S4818">
        <v>2.6007389999999999</v>
      </c>
      <c r="T4818">
        <v>-0.13472819999999999</v>
      </c>
      <c r="U4818">
        <v>1.738861</v>
      </c>
      <c r="V4818">
        <v>-0.1911187</v>
      </c>
      <c r="W4818">
        <v>0.14719670000000001</v>
      </c>
      <c r="X4818">
        <v>0.97046730000000003</v>
      </c>
      <c r="Y4818">
        <v>-0.39776289999999997</v>
      </c>
      <c r="Z4818">
        <v>1.0765429999999999E-3</v>
      </c>
      <c r="AA4818">
        <v>0.91748759999999996</v>
      </c>
      <c r="AB4818">
        <v>34</v>
      </c>
      <c r="AC4818">
        <v>0.570699999999987</v>
      </c>
      <c r="AD4818">
        <v>-4.7396999999999898E-2</v>
      </c>
      <c r="AE4818">
        <v>0.54057999999999096</v>
      </c>
      <c r="AF4818">
        <v>-0.42808586792907799</v>
      </c>
      <c r="AG4818">
        <v>-4.7396999999999898E-2</v>
      </c>
      <c r="AH4818">
        <v>0.65589568371107798</v>
      </c>
      <c r="AI4818">
        <v>93.462998115108206</v>
      </c>
      <c r="AJ4818">
        <v>123.13142823878501</v>
      </c>
      <c r="AK4818">
        <v>0.78466753076727602</v>
      </c>
      <c r="AL4818">
        <v>81.535494037137298</v>
      </c>
      <c r="AM4818">
        <v>101.140960318842</v>
      </c>
      <c r="AN4818">
        <v>1.0000000031749301</v>
      </c>
    </row>
    <row r="4819" spans="1:40" x14ac:dyDescent="0.3">
      <c r="A4819" t="str">
        <f>"20200111150128480"</f>
        <v>20200111150128480</v>
      </c>
      <c r="B4819" t="str">
        <f>"1578726088473076"</f>
        <v>1578726088473076</v>
      </c>
      <c r="C4819" t="s">
        <v>40</v>
      </c>
      <c r="D4819">
        <v>4.6814039999999997</v>
      </c>
      <c r="E4819">
        <v>0.40921079999999999</v>
      </c>
      <c r="F4819" t="s">
        <v>83</v>
      </c>
      <c r="G4819">
        <v>-194.28800000000001</v>
      </c>
      <c r="H4819" s="1">
        <v>-3.225306E-6</v>
      </c>
      <c r="I4819">
        <v>-48.036560000000001</v>
      </c>
      <c r="J4819">
        <v>-215.2028</v>
      </c>
      <c r="K4819">
        <v>1.112619</v>
      </c>
      <c r="L4819">
        <v>-62.454349999999998</v>
      </c>
      <c r="M4819">
        <v>0.98292440000000003</v>
      </c>
      <c r="N4819">
        <v>0</v>
      </c>
      <c r="O4819">
        <v>0.1833909</v>
      </c>
      <c r="P4819">
        <v>0.92115080000000005</v>
      </c>
      <c r="Q4819">
        <v>0.1360181</v>
      </c>
      <c r="R4819">
        <v>0.36466480000000001</v>
      </c>
      <c r="S4819">
        <v>2.580673</v>
      </c>
      <c r="T4819">
        <v>-0.13619890000000001</v>
      </c>
      <c r="U4819">
        <v>1.7692570000000001</v>
      </c>
      <c r="V4819">
        <v>-0.1922808</v>
      </c>
      <c r="W4819">
        <v>0.1471382</v>
      </c>
      <c r="X4819">
        <v>0.97024659999999996</v>
      </c>
      <c r="Y4819">
        <v>-0.4043815</v>
      </c>
      <c r="Z4819">
        <v>1.053619E-3</v>
      </c>
      <c r="AA4819">
        <v>0.91458980000000001</v>
      </c>
      <c r="AB4819">
        <v>34</v>
      </c>
      <c r="AC4819">
        <v>20.9148</v>
      </c>
      <c r="AD4819">
        <v>-1.1126222253059901</v>
      </c>
      <c r="AE4819">
        <v>14.41779</v>
      </c>
      <c r="AF4819">
        <v>-10.3173964019441</v>
      </c>
      <c r="AG4819">
        <v>-1.1126222253059901</v>
      </c>
      <c r="AH4819">
        <v>23.159967806904199</v>
      </c>
      <c r="AI4819">
        <v>92.512712556683496</v>
      </c>
      <c r="AJ4819">
        <v>114.012209932766</v>
      </c>
      <c r="AK4819">
        <v>25.3785481371164</v>
      </c>
      <c r="AL4819">
        <v>81.538882799190802</v>
      </c>
      <c r="AM4819">
        <v>101.209478076374</v>
      </c>
      <c r="AN4819">
        <v>1.00000001037972</v>
      </c>
    </row>
    <row r="4820" spans="1:40" x14ac:dyDescent="0.3">
      <c r="A4820" t="str">
        <f>"20200111150128491"</f>
        <v>20200111150128491</v>
      </c>
      <c r="B4820" t="str">
        <f>"1578726088482836"</f>
        <v>1578726088482836</v>
      </c>
      <c r="C4820" t="s">
        <v>40</v>
      </c>
      <c r="D4820">
        <v>5.2642939999999996</v>
      </c>
      <c r="E4820">
        <v>0.40871990000000002</v>
      </c>
      <c r="F4820" t="s">
        <v>41</v>
      </c>
      <c r="G4820">
        <v>-214.2852</v>
      </c>
      <c r="H4820">
        <v>1.0639459999999901</v>
      </c>
      <c r="I4820">
        <v>-61.816780000000001</v>
      </c>
      <c r="J4820">
        <v>-215.03630000000001</v>
      </c>
      <c r="K4820">
        <v>1.112778</v>
      </c>
      <c r="L4820">
        <v>-62.418909999999997</v>
      </c>
      <c r="M4820">
        <v>0.98205880000000001</v>
      </c>
      <c r="N4820">
        <v>0</v>
      </c>
      <c r="O4820">
        <v>0.18796959999999999</v>
      </c>
      <c r="P4820">
        <v>0.91900190000000004</v>
      </c>
      <c r="Q4820">
        <v>0.13630210000000001</v>
      </c>
      <c r="R4820">
        <v>0.36994270000000001</v>
      </c>
      <c r="S4820">
        <v>2.5700069999999999</v>
      </c>
      <c r="T4820">
        <v>-0.13632230000000001</v>
      </c>
      <c r="U4820">
        <v>1.785706</v>
      </c>
      <c r="V4820">
        <v>-0.19339799999999999</v>
      </c>
      <c r="W4820">
        <v>0.1473448</v>
      </c>
      <c r="X4820">
        <v>0.9699932</v>
      </c>
      <c r="Y4820">
        <v>-0.40584870000000001</v>
      </c>
      <c r="Z4820">
        <v>8.8288820000000004E-4</v>
      </c>
      <c r="AA4820">
        <v>0.91393979999999997</v>
      </c>
      <c r="AB4820">
        <v>34</v>
      </c>
      <c r="AC4820">
        <v>0.75110000000000798</v>
      </c>
      <c r="AD4820">
        <v>-4.8832000000000202E-2</v>
      </c>
      <c r="AE4820">
        <v>0.60212999999999495</v>
      </c>
      <c r="AF4820">
        <v>-0.449038968268756</v>
      </c>
      <c r="AG4820">
        <v>-4.8832000000000202E-2</v>
      </c>
      <c r="AH4820">
        <v>0.84871960503436406</v>
      </c>
      <c r="AI4820">
        <v>92.911366473345197</v>
      </c>
      <c r="AJ4820">
        <v>117.882337234819</v>
      </c>
      <c r="AK4820">
        <v>0.96142889868027004</v>
      </c>
      <c r="AL4820">
        <v>81.526915321800701</v>
      </c>
      <c r="AM4820">
        <v>101.27581424168601</v>
      </c>
      <c r="AN4820">
        <v>1.0000000422686299</v>
      </c>
    </row>
    <row r="4821" spans="1:40" x14ac:dyDescent="0.3">
      <c r="A4821" t="str">
        <f>"20200111150128502"</f>
        <v>20200111150128502</v>
      </c>
      <c r="B4821" t="str">
        <f>"1578726088492596"</f>
        <v>1578726088492596</v>
      </c>
      <c r="C4821" t="s">
        <v>40</v>
      </c>
      <c r="D4821">
        <v>4.70791</v>
      </c>
      <c r="E4821">
        <v>0.40838859999999999</v>
      </c>
      <c r="F4821" t="s">
        <v>83</v>
      </c>
      <c r="G4821">
        <v>-193.74780000000001</v>
      </c>
      <c r="H4821" s="1">
        <v>-3.4763329999999999E-6</v>
      </c>
      <c r="I4821">
        <v>-47.409489999999998</v>
      </c>
      <c r="J4821">
        <v>-214.88030000000001</v>
      </c>
      <c r="K4821">
        <v>1.112927</v>
      </c>
      <c r="L4821">
        <v>-62.38541</v>
      </c>
      <c r="M4821">
        <v>0.9812227</v>
      </c>
      <c r="N4821">
        <v>0</v>
      </c>
      <c r="O4821">
        <v>0.19228429999999999</v>
      </c>
      <c r="P4821">
        <v>0.91686800000000002</v>
      </c>
      <c r="Q4821">
        <v>0.13662959999999999</v>
      </c>
      <c r="R4821">
        <v>0.37508069999999999</v>
      </c>
      <c r="S4821">
        <v>2.5581969999999998</v>
      </c>
      <c r="T4821">
        <v>-0.13372049999999999</v>
      </c>
      <c r="U4821">
        <v>1.80365</v>
      </c>
      <c r="V4821">
        <v>-0.19463610000000001</v>
      </c>
      <c r="W4821">
        <v>0.14759340000000001</v>
      </c>
      <c r="X4821">
        <v>0.96970769999999995</v>
      </c>
      <c r="Y4821">
        <v>-0.40811009999999998</v>
      </c>
      <c r="Z4821">
        <v>7.2825979999999895E-4</v>
      </c>
      <c r="AA4821">
        <v>0.91293250000000004</v>
      </c>
      <c r="AB4821">
        <v>34</v>
      </c>
      <c r="AC4821">
        <v>21.1325</v>
      </c>
      <c r="AD4821">
        <v>-1.1129304763329999</v>
      </c>
      <c r="AE4821">
        <v>14.975919999999901</v>
      </c>
      <c r="AF4821">
        <v>-10.612886269284701</v>
      </c>
      <c r="AG4821">
        <v>-1.1129304763329999</v>
      </c>
      <c r="AH4821">
        <v>23.5744988573291</v>
      </c>
      <c r="AI4821">
        <v>92.464946676848996</v>
      </c>
      <c r="AJ4821">
        <v>114.236560455833</v>
      </c>
      <c r="AK4821">
        <v>25.877190063531501</v>
      </c>
      <c r="AL4821">
        <v>81.512513976361404</v>
      </c>
      <c r="AM4821">
        <v>101.349387136494</v>
      </c>
      <c r="AN4821">
        <v>1.00000002329302</v>
      </c>
    </row>
    <row r="4822" spans="1:40" x14ac:dyDescent="0.3">
      <c r="A4822" t="str">
        <f>"20200111150128513"</f>
        <v>20200111150128513</v>
      </c>
      <c r="B4822" t="str">
        <f>"1578726088503333"</f>
        <v>1578726088503333</v>
      </c>
      <c r="C4822" t="s">
        <v>40</v>
      </c>
      <c r="D4822">
        <v>4.6913460000000002</v>
      </c>
      <c r="E4822">
        <v>0.40802379999999999</v>
      </c>
      <c r="F4822" t="s">
        <v>41</v>
      </c>
      <c r="G4822">
        <v>-213.9939</v>
      </c>
      <c r="H4822">
        <v>1.066759</v>
      </c>
      <c r="I4822">
        <v>-61.752110000000002</v>
      </c>
      <c r="J4822">
        <v>-214.71789999999999</v>
      </c>
      <c r="K4822">
        <v>1.113081</v>
      </c>
      <c r="L4822">
        <v>-62.349269999999997</v>
      </c>
      <c r="M4822">
        <v>0.98030419999999996</v>
      </c>
      <c r="N4822">
        <v>0</v>
      </c>
      <c r="O4822">
        <v>0.19691149999999999</v>
      </c>
      <c r="P4822">
        <v>0.91466670000000005</v>
      </c>
      <c r="Q4822">
        <v>0.1369657</v>
      </c>
      <c r="R4822">
        <v>0.38029629999999998</v>
      </c>
      <c r="S4822">
        <v>2.5472109999999999</v>
      </c>
      <c r="T4822">
        <v>-0.1326785</v>
      </c>
      <c r="U4822">
        <v>1.820068</v>
      </c>
      <c r="V4822">
        <v>-0.195658</v>
      </c>
      <c r="W4822">
        <v>0.1478565</v>
      </c>
      <c r="X4822">
        <v>0.96946189999999999</v>
      </c>
      <c r="Y4822">
        <v>-0.40956740000000003</v>
      </c>
      <c r="Z4822">
        <v>5.5279299999999999E-4</v>
      </c>
      <c r="AA4822">
        <v>0.91227970000000003</v>
      </c>
      <c r="AB4822">
        <v>34</v>
      </c>
      <c r="AC4822">
        <v>0.72399999999998899</v>
      </c>
      <c r="AD4822">
        <v>-4.6321999999999898E-2</v>
      </c>
      <c r="AE4822">
        <v>0.59716000000000202</v>
      </c>
      <c r="AF4822">
        <v>-0.44180903653521197</v>
      </c>
      <c r="AG4822">
        <v>-4.6321999999999898E-2</v>
      </c>
      <c r="AH4822">
        <v>0.82541202851057005</v>
      </c>
      <c r="AI4822">
        <v>92.832565078220597</v>
      </c>
      <c r="AJ4822">
        <v>118.158307569274</v>
      </c>
      <c r="AK4822">
        <v>0.93736117332547297</v>
      </c>
      <c r="AL4822">
        <v>81.497271917321697</v>
      </c>
      <c r="AM4822">
        <v>101.410233012231</v>
      </c>
      <c r="AN4822">
        <v>0.99999998655392897</v>
      </c>
    </row>
    <row r="4823" spans="1:40" x14ac:dyDescent="0.3">
      <c r="A4823" t="str">
        <f>"20200111150128525"</f>
        <v>20200111150128525</v>
      </c>
      <c r="B4823" t="str">
        <f>"1578726088522852"</f>
        <v>1578726088522852</v>
      </c>
      <c r="C4823" t="s">
        <v>40</v>
      </c>
      <c r="D4823">
        <v>4.696574</v>
      </c>
      <c r="E4823">
        <v>0.40752939999999999</v>
      </c>
      <c r="F4823" t="s">
        <v>83</v>
      </c>
      <c r="G4823">
        <v>-193.13749999999999</v>
      </c>
      <c r="H4823" s="1">
        <v>-3.7288900000000001E-6</v>
      </c>
      <c r="I4823">
        <v>-46.714790000000001</v>
      </c>
      <c r="J4823">
        <v>-214.5504</v>
      </c>
      <c r="K4823">
        <v>1.1132390000000001</v>
      </c>
      <c r="L4823">
        <v>-62.311369999999997</v>
      </c>
      <c r="M4823">
        <v>0.97932030000000003</v>
      </c>
      <c r="N4823">
        <v>0</v>
      </c>
      <c r="O4823">
        <v>0.2017468</v>
      </c>
      <c r="P4823">
        <v>0.91227480000000005</v>
      </c>
      <c r="Q4823">
        <v>0.137243</v>
      </c>
      <c r="R4823">
        <v>0.38590059999999998</v>
      </c>
      <c r="S4823">
        <v>2.5356749999999999</v>
      </c>
      <c r="T4823">
        <v>-0.1307864</v>
      </c>
      <c r="U4823">
        <v>1.8370359999999999</v>
      </c>
      <c r="V4823">
        <v>-0.19689499999999999</v>
      </c>
      <c r="W4823">
        <v>0.14805270000000001</v>
      </c>
      <c r="X4823">
        <v>0.96918150000000003</v>
      </c>
      <c r="Y4823">
        <v>-0.4110491</v>
      </c>
      <c r="Z4823">
        <v>3.688699E-4</v>
      </c>
      <c r="AA4823">
        <v>0.91161309999999995</v>
      </c>
      <c r="AB4823">
        <v>34</v>
      </c>
      <c r="AC4823">
        <v>21.4129</v>
      </c>
      <c r="AD4823">
        <v>-1.11324272889</v>
      </c>
      <c r="AE4823">
        <v>15.5965799999999</v>
      </c>
      <c r="AF4823">
        <v>-10.9360103096052</v>
      </c>
      <c r="AG4823">
        <v>-1.11324272889</v>
      </c>
      <c r="AH4823">
        <v>24.076901882442499</v>
      </c>
      <c r="AI4823">
        <v>92.410606848652293</v>
      </c>
      <c r="AJ4823">
        <v>114.42810405649401</v>
      </c>
      <c r="AK4823">
        <v>26.467580832444401</v>
      </c>
      <c r="AL4823">
        <v>81.485905600654803</v>
      </c>
      <c r="AM4823">
        <v>101.48369504305801</v>
      </c>
      <c r="AN4823">
        <v>1.00000001147227</v>
      </c>
    </row>
    <row r="4824" spans="1:40" x14ac:dyDescent="0.3">
      <c r="A4824" t="str">
        <f>"20200111150128535"</f>
        <v>20200111150128535</v>
      </c>
      <c r="B4824" t="str">
        <f>"1578726088532611"</f>
        <v>1578726088532611</v>
      </c>
      <c r="C4824" t="s">
        <v>40</v>
      </c>
      <c r="D4824">
        <v>4.6646580000000002</v>
      </c>
      <c r="E4824">
        <v>0.40726309999999999</v>
      </c>
      <c r="F4824" t="s">
        <v>41</v>
      </c>
      <c r="G4824">
        <v>-213.70249999999999</v>
      </c>
      <c r="H4824">
        <v>1.069474</v>
      </c>
      <c r="I4824">
        <v>-61.687719999999999</v>
      </c>
      <c r="J4824">
        <v>-214.38890000000001</v>
      </c>
      <c r="K4824">
        <v>1.1133869999999999</v>
      </c>
      <c r="L4824">
        <v>-62.273829999999997</v>
      </c>
      <c r="M4824">
        <v>0.97832770000000002</v>
      </c>
      <c r="N4824">
        <v>0</v>
      </c>
      <c r="O4824">
        <v>0.20650489999999999</v>
      </c>
      <c r="P4824">
        <v>0.90979779999999999</v>
      </c>
      <c r="Q4824">
        <v>0.1373566</v>
      </c>
      <c r="R4824">
        <v>0.39166489999999998</v>
      </c>
      <c r="S4824">
        <v>2.5230100000000002</v>
      </c>
      <c r="T4824">
        <v>-0.13023289999999901</v>
      </c>
      <c r="U4824">
        <v>1.8558650000000001</v>
      </c>
      <c r="V4824">
        <v>-0.19837879999999999</v>
      </c>
      <c r="W4824">
        <v>0.148082399999999</v>
      </c>
      <c r="X4824">
        <v>0.96887429999999997</v>
      </c>
      <c r="Y4824">
        <v>-0.4132209</v>
      </c>
      <c r="Z4824">
        <v>2.1126869999999999E-4</v>
      </c>
      <c r="AA4824">
        <v>0.91063079999999996</v>
      </c>
      <c r="AB4824">
        <v>34</v>
      </c>
      <c r="AC4824">
        <v>0.68640000000001999</v>
      </c>
      <c r="AD4824">
        <v>-4.3913000000000001E-2</v>
      </c>
      <c r="AE4824">
        <v>0.58611000000000502</v>
      </c>
      <c r="AF4824">
        <v>-0.43069300722505199</v>
      </c>
      <c r="AG4824">
        <v>-4.3913000000000001E-2</v>
      </c>
      <c r="AH4824">
        <v>0.79077833355673699</v>
      </c>
      <c r="AI4824">
        <v>92.791950724534999</v>
      </c>
      <c r="AJ4824">
        <v>118.574674071782</v>
      </c>
      <c r="AK4824">
        <v>0.90152936217537005</v>
      </c>
      <c r="AL4824">
        <v>81.484184656892893</v>
      </c>
      <c r="AM4824">
        <v>101.57148071968599</v>
      </c>
      <c r="AN4824">
        <v>0.99999997733984403</v>
      </c>
    </row>
    <row r="4825" spans="1:40" x14ac:dyDescent="0.3">
      <c r="A4825" t="str">
        <f>"20200111150128548"</f>
        <v>20200111150128548</v>
      </c>
      <c r="B4825" t="str">
        <f>"1578726088543348"</f>
        <v>1578726088543348</v>
      </c>
      <c r="C4825" t="s">
        <v>40</v>
      </c>
      <c r="D4825">
        <v>4.6420079999999997</v>
      </c>
      <c r="E4825">
        <v>0.40706550000000002</v>
      </c>
      <c r="F4825" t="s">
        <v>83</v>
      </c>
      <c r="G4825">
        <v>-192.9366</v>
      </c>
      <c r="H4825" s="1">
        <v>-3.9181580000000001E-6</v>
      </c>
      <c r="I4825">
        <v>-46.267600000000002</v>
      </c>
      <c r="J4825">
        <v>-214.22040000000001</v>
      </c>
      <c r="K4825">
        <v>1.1135409999999999</v>
      </c>
      <c r="L4825">
        <v>-62.233640000000001</v>
      </c>
      <c r="M4825">
        <v>0.97724279999999997</v>
      </c>
      <c r="N4825">
        <v>0</v>
      </c>
      <c r="O4825">
        <v>0.2115773</v>
      </c>
      <c r="P4825">
        <v>0.90714209999999995</v>
      </c>
      <c r="Q4825">
        <v>0.137325</v>
      </c>
      <c r="R4825">
        <v>0.39778770000000002</v>
      </c>
      <c r="S4825">
        <v>2.5106809999999999</v>
      </c>
      <c r="T4825">
        <v>-0.1303058</v>
      </c>
      <c r="U4825">
        <v>1.873291</v>
      </c>
      <c r="V4825">
        <v>-0.1999409</v>
      </c>
      <c r="W4825">
        <v>0.1479626</v>
      </c>
      <c r="X4825">
        <v>0.96857150000000003</v>
      </c>
      <c r="Y4825">
        <v>-0.41470360000000001</v>
      </c>
      <c r="Z4825" s="1">
        <v>2.5316139999999999E-5</v>
      </c>
      <c r="AA4825">
        <v>0.9099566</v>
      </c>
      <c r="AB4825">
        <v>34</v>
      </c>
      <c r="AC4825">
        <v>21.283799999999999</v>
      </c>
      <c r="AD4825">
        <v>-1.1135449181579999</v>
      </c>
      <c r="AE4825">
        <v>15.96604</v>
      </c>
      <c r="AF4825">
        <v>-11.081403827999299</v>
      </c>
      <c r="AG4825">
        <v>-1.1135449181579999</v>
      </c>
      <c r="AH4825">
        <v>24.138011538294599</v>
      </c>
      <c r="AI4825">
        <v>92.400743293617495</v>
      </c>
      <c r="AJ4825">
        <v>114.659154853834</v>
      </c>
      <c r="AK4825">
        <v>26.5834740789611</v>
      </c>
      <c r="AL4825">
        <v>81.491125535493296</v>
      </c>
      <c r="AM4825">
        <v>101.66365806434</v>
      </c>
      <c r="AN4825">
        <v>1.0000000225518999</v>
      </c>
    </row>
    <row r="4826" spans="1:40" x14ac:dyDescent="0.3">
      <c r="A4826" t="str">
        <f>"20200111150128558"</f>
        <v>20200111150128558</v>
      </c>
      <c r="B4826" t="str">
        <f>"1578726088553107"</f>
        <v>1578726088553107</v>
      </c>
      <c r="C4826" t="s">
        <v>40</v>
      </c>
      <c r="D4826">
        <v>4.7179859999999998</v>
      </c>
      <c r="E4826">
        <v>0.40697220000000001</v>
      </c>
      <c r="F4826" t="s">
        <v>41</v>
      </c>
      <c r="G4826">
        <v>-213.399</v>
      </c>
      <c r="H4826">
        <v>1.070319</v>
      </c>
      <c r="I4826">
        <v>-61.611890000000002</v>
      </c>
      <c r="J4826">
        <v>-214.0497</v>
      </c>
      <c r="K4826">
        <v>1.113696</v>
      </c>
      <c r="L4826">
        <v>-62.192259999999997</v>
      </c>
      <c r="M4826">
        <v>0.97610249999999998</v>
      </c>
      <c r="N4826">
        <v>0</v>
      </c>
      <c r="O4826">
        <v>0.216776</v>
      </c>
      <c r="P4826">
        <v>0.90430809999999995</v>
      </c>
      <c r="Q4826">
        <v>0.13732759999999999</v>
      </c>
      <c r="R4826">
        <v>0.4041883</v>
      </c>
      <c r="S4826">
        <v>2.4977109999999998</v>
      </c>
      <c r="T4826">
        <v>-0.1314372</v>
      </c>
      <c r="U4826">
        <v>1.8911439999999999</v>
      </c>
      <c r="V4826">
        <v>-0.20169100000000001</v>
      </c>
      <c r="W4826">
        <v>0.14787069999999999</v>
      </c>
      <c r="X4826">
        <v>0.96822260000000004</v>
      </c>
      <c r="Y4826">
        <v>-0.41626819999999998</v>
      </c>
      <c r="Z4826">
        <v>-1.66017599999999E-4</v>
      </c>
      <c r="AA4826">
        <v>0.90924190000000005</v>
      </c>
      <c r="AB4826">
        <v>34</v>
      </c>
      <c r="AC4826">
        <v>0.65069999999999995</v>
      </c>
      <c r="AD4826">
        <v>-4.3376999999999999E-2</v>
      </c>
      <c r="AE4826">
        <v>0.58036999999999495</v>
      </c>
      <c r="AF4826">
        <v>-0.42444336002086802</v>
      </c>
      <c r="AG4826">
        <v>-4.3376999999999999E-2</v>
      </c>
      <c r="AH4826">
        <v>0.75916958396122503</v>
      </c>
      <c r="AI4826">
        <v>92.855095862801804</v>
      </c>
      <c r="AJ4826">
        <v>119.20907527769999</v>
      </c>
      <c r="AK4826">
        <v>0.87084567358784304</v>
      </c>
      <c r="AL4826">
        <v>81.496449417800306</v>
      </c>
      <c r="AM4826">
        <v>101.767038840433</v>
      </c>
      <c r="AN4826">
        <v>1.00000000327512</v>
      </c>
    </row>
    <row r="4827" spans="1:40" x14ac:dyDescent="0.3">
      <c r="A4827" t="str">
        <f>"20200111150128570"</f>
        <v>20200111150128570</v>
      </c>
      <c r="B4827" t="str">
        <f>"1578726088562868"</f>
        <v>1578726088562868</v>
      </c>
      <c r="C4827" t="s">
        <v>40</v>
      </c>
      <c r="D4827">
        <v>4.7339900000000004</v>
      </c>
      <c r="E4827">
        <v>0.4069507</v>
      </c>
      <c r="F4827" t="s">
        <v>83</v>
      </c>
      <c r="G4827">
        <v>-193.19890000000001</v>
      </c>
      <c r="H4827" s="1">
        <v>-4.0139239999999996E-6</v>
      </c>
      <c r="I4827">
        <v>-46.170090000000002</v>
      </c>
      <c r="J4827">
        <v>-213.8888</v>
      </c>
      <c r="K4827">
        <v>1.1138440000000001</v>
      </c>
      <c r="L4827">
        <v>-62.151730000000001</v>
      </c>
      <c r="M4827">
        <v>0.97496709999999998</v>
      </c>
      <c r="N4827">
        <v>0</v>
      </c>
      <c r="O4827">
        <v>0.2218252</v>
      </c>
      <c r="P4827">
        <v>0.90150889999999995</v>
      </c>
      <c r="Q4827">
        <v>0.1371629</v>
      </c>
      <c r="R4827">
        <v>0.4104487</v>
      </c>
      <c r="S4827">
        <v>2.4843600000000001</v>
      </c>
      <c r="T4827">
        <v>-0.13269639999999999</v>
      </c>
      <c r="U4827">
        <v>1.909027</v>
      </c>
      <c r="V4827">
        <v>-0.20344090000000001</v>
      </c>
      <c r="W4827">
        <v>0.14761459999999901</v>
      </c>
      <c r="X4827">
        <v>0.96789550000000002</v>
      </c>
      <c r="Y4827">
        <v>-0.4180373</v>
      </c>
      <c r="Z4827">
        <v>-3.4976009999999999E-4</v>
      </c>
      <c r="AA4827">
        <v>0.90842979999999995</v>
      </c>
      <c r="AB4827">
        <v>34</v>
      </c>
      <c r="AC4827">
        <v>20.689899999999898</v>
      </c>
      <c r="AD4827">
        <v>-1.1138480139239999</v>
      </c>
      <c r="AE4827">
        <v>15.981640000000001</v>
      </c>
      <c r="AF4827">
        <v>-10.9733924996877</v>
      </c>
      <c r="AG4827">
        <v>-1.1138480139239999</v>
      </c>
      <c r="AH4827">
        <v>23.6768845319198</v>
      </c>
      <c r="AI4827">
        <v>92.444039577960893</v>
      </c>
      <c r="AJ4827">
        <v>114.866042650623</v>
      </c>
      <c r="AK4827">
        <v>26.119932264234301</v>
      </c>
      <c r="AL4827">
        <v>81.511285521281195</v>
      </c>
      <c r="AM4827">
        <v>101.87014529864101</v>
      </c>
      <c r="AN4827">
        <v>0.99999998442311</v>
      </c>
    </row>
    <row r="4828" spans="1:40" x14ac:dyDescent="0.3">
      <c r="A4828" t="str">
        <f>"20200111150128581"</f>
        <v>20200111150128581</v>
      </c>
      <c r="B4828" t="str">
        <f>"1578726088572629"</f>
        <v>1578726088572629</v>
      </c>
      <c r="C4828" t="s">
        <v>40</v>
      </c>
      <c r="D4828">
        <v>4.7249339999999904</v>
      </c>
      <c r="E4828">
        <v>0.4068254</v>
      </c>
      <c r="F4828" t="s">
        <v>41</v>
      </c>
      <c r="G4828">
        <v>-213.06399999999999</v>
      </c>
      <c r="H4828">
        <v>1.0687040000000001</v>
      </c>
      <c r="I4828">
        <v>-61.508929999999999</v>
      </c>
      <c r="J4828">
        <v>-213.73509999999999</v>
      </c>
      <c r="K4828">
        <v>1.1139840000000001</v>
      </c>
      <c r="L4828">
        <v>-62.112760000000002</v>
      </c>
      <c r="M4828">
        <v>0.97385219999999995</v>
      </c>
      <c r="N4828">
        <v>0</v>
      </c>
      <c r="O4828">
        <v>0.2266677</v>
      </c>
      <c r="P4828">
        <v>0.89878340000000001</v>
      </c>
      <c r="Q4828">
        <v>0.1370442</v>
      </c>
      <c r="R4828">
        <v>0.41642220000000002</v>
      </c>
      <c r="S4828">
        <v>2.4714809999999998</v>
      </c>
      <c r="T4828">
        <v>-0.1352546</v>
      </c>
      <c r="U4828">
        <v>1.9259949999999999</v>
      </c>
      <c r="V4828">
        <v>-0.2051017</v>
      </c>
      <c r="W4828">
        <v>0.14740710000000001</v>
      </c>
      <c r="X4828">
        <v>0.96757660000000001</v>
      </c>
      <c r="Y4828">
        <v>-0.41969390000000001</v>
      </c>
      <c r="Z4828">
        <v>-5.3579919999999996E-4</v>
      </c>
      <c r="AA4828">
        <v>0.90766559999999996</v>
      </c>
      <c r="AB4828">
        <v>34</v>
      </c>
      <c r="AC4828">
        <v>0.67109999999996695</v>
      </c>
      <c r="AD4828">
        <v>-4.5279999999999897E-2</v>
      </c>
      <c r="AE4828">
        <v>0.60382999999998699</v>
      </c>
      <c r="AF4828">
        <v>-0.43488137455430298</v>
      </c>
      <c r="AG4828">
        <v>-4.5279999999999897E-2</v>
      </c>
      <c r="AH4828">
        <v>0.78852960262750504</v>
      </c>
      <c r="AI4828">
        <v>92.878588451088604</v>
      </c>
      <c r="AJ4828">
        <v>118.877142219406</v>
      </c>
      <c r="AK4828">
        <v>0.90163796645556804</v>
      </c>
      <c r="AL4828">
        <v>81.523306185794496</v>
      </c>
      <c r="AM4828">
        <v>101.96809575811901</v>
      </c>
      <c r="AN4828">
        <v>1.0000000186704201</v>
      </c>
    </row>
    <row r="4829" spans="1:40" x14ac:dyDescent="0.3">
      <c r="A4829" t="str">
        <f>"20200111150128592"</f>
        <v>20200111150128592</v>
      </c>
      <c r="B4829" t="str">
        <f>"1578726088582388"</f>
        <v>1578726088582388</v>
      </c>
      <c r="C4829" t="s">
        <v>40</v>
      </c>
      <c r="D4829">
        <v>4.8397629999999996</v>
      </c>
      <c r="E4829">
        <v>0.40670719999999999</v>
      </c>
      <c r="F4829" t="s">
        <v>41</v>
      </c>
      <c r="G4829">
        <v>-212.86199999999999</v>
      </c>
      <c r="H4829">
        <v>1.065699</v>
      </c>
      <c r="I4829">
        <v>-61.422840000000001</v>
      </c>
      <c r="J4829">
        <v>-213.57409999999999</v>
      </c>
      <c r="K4829">
        <v>1.114131</v>
      </c>
      <c r="L4829">
        <v>-62.070309999999999</v>
      </c>
      <c r="M4829">
        <v>0.97262000000000004</v>
      </c>
      <c r="N4829">
        <v>0</v>
      </c>
      <c r="O4829">
        <v>0.23189650000000001</v>
      </c>
      <c r="P4829">
        <v>0.89589580000000002</v>
      </c>
      <c r="Q4829">
        <v>0.13687149999999901</v>
      </c>
      <c r="R4829">
        <v>0.42265469999999999</v>
      </c>
      <c r="S4829">
        <v>2.4583439999999999</v>
      </c>
      <c r="T4829">
        <v>-0.13595989999999999</v>
      </c>
      <c r="U4829">
        <v>1.943085</v>
      </c>
      <c r="V4829">
        <v>-0.2066703</v>
      </c>
      <c r="W4829">
        <v>0.14714630000000001</v>
      </c>
      <c r="X4829">
        <v>0.96728250000000005</v>
      </c>
      <c r="Y4829">
        <v>-0.4210623</v>
      </c>
      <c r="Z4829">
        <v>-7.4374679999999896E-4</v>
      </c>
      <c r="AA4829">
        <v>0.90703140000000004</v>
      </c>
      <c r="AB4829">
        <v>34</v>
      </c>
      <c r="AC4829">
        <v>0.71209999999999196</v>
      </c>
      <c r="AD4829">
        <v>-4.8432000000000003E-2</v>
      </c>
      <c r="AE4829">
        <v>0.64746999999999799</v>
      </c>
      <c r="AF4829">
        <v>-0.46348953930034498</v>
      </c>
      <c r="AG4829">
        <v>-4.8432000000000003E-2</v>
      </c>
      <c r="AH4829">
        <v>0.84071856183484595</v>
      </c>
      <c r="AI4829">
        <v>92.8880761283163</v>
      </c>
      <c r="AJ4829">
        <v>118.868021127555</v>
      </c>
      <c r="AK4829">
        <v>0.96123665758152299</v>
      </c>
      <c r="AL4829">
        <v>81.538413854332305</v>
      </c>
      <c r="AM4829">
        <v>102.06051668154301</v>
      </c>
      <c r="AN4829">
        <v>1.0000000406560099</v>
      </c>
    </row>
    <row r="4830" spans="1:40" x14ac:dyDescent="0.3">
      <c r="A4830" t="str">
        <f>"20200111150128602"</f>
        <v>20200111150128602</v>
      </c>
      <c r="B4830" t="str">
        <f>"1578726088593124"</f>
        <v>1578726088593124</v>
      </c>
      <c r="C4830" t="s">
        <v>40</v>
      </c>
      <c r="D4830">
        <v>4.6321009999999996</v>
      </c>
      <c r="E4830">
        <v>0.40653309999999998</v>
      </c>
      <c r="F4830" t="s">
        <v>41</v>
      </c>
      <c r="G4830">
        <v>-212.7559</v>
      </c>
      <c r="H4830">
        <v>1.0685690000000001</v>
      </c>
      <c r="I4830">
        <v>-61.41413</v>
      </c>
      <c r="J4830">
        <v>-213.41929999999999</v>
      </c>
      <c r="K4830">
        <v>1.114269</v>
      </c>
      <c r="L4830">
        <v>-62.02908</v>
      </c>
      <c r="M4830">
        <v>0.97139969999999998</v>
      </c>
      <c r="N4830">
        <v>0</v>
      </c>
      <c r="O4830">
        <v>0.23695459999999999</v>
      </c>
      <c r="P4830">
        <v>0.89309910000000003</v>
      </c>
      <c r="Q4830">
        <v>0.13682649999999999</v>
      </c>
      <c r="R4830">
        <v>0.42854700000000001</v>
      </c>
      <c r="S4830">
        <v>2.4443820000000001</v>
      </c>
      <c r="T4830">
        <v>-0.13611289999999901</v>
      </c>
      <c r="U4830">
        <v>1.9607540000000001</v>
      </c>
      <c r="V4830">
        <v>-0.20805969999999999</v>
      </c>
      <c r="W4830">
        <v>0.14701800000000001</v>
      </c>
      <c r="X4830">
        <v>0.96700410000000003</v>
      </c>
      <c r="Y4830">
        <v>-0.42286249999999997</v>
      </c>
      <c r="Z4830">
        <v>-9.3196520000000005E-4</v>
      </c>
      <c r="AA4830">
        <v>0.90619340000000004</v>
      </c>
      <c r="AB4830">
        <v>34</v>
      </c>
      <c r="AC4830">
        <v>0.66339999999999499</v>
      </c>
      <c r="AD4830">
        <v>-4.5699999999999803E-2</v>
      </c>
      <c r="AE4830">
        <v>0.61495</v>
      </c>
      <c r="AF4830">
        <v>-0.43909759472393101</v>
      </c>
      <c r="AG4830">
        <v>-4.5699999999999803E-2</v>
      </c>
      <c r="AH4830">
        <v>0.78822288865711299</v>
      </c>
      <c r="AI4830">
        <v>92.899535632326206</v>
      </c>
      <c r="AJ4830">
        <v>119.120993753433</v>
      </c>
      <c r="AK4830">
        <v>0.90343262609632702</v>
      </c>
      <c r="AL4830">
        <v>81.545845640940897</v>
      </c>
      <c r="AM4830">
        <v>102.142591082021</v>
      </c>
      <c r="AN4830">
        <v>1.0000000302524401</v>
      </c>
    </row>
    <row r="4831" spans="1:40" x14ac:dyDescent="0.3">
      <c r="A4831" t="str">
        <f>"20200111150128614"</f>
        <v>20200111150128614</v>
      </c>
      <c r="B4831" t="str">
        <f>"1578726088602884"</f>
        <v>1578726088602884</v>
      </c>
      <c r="C4831" t="s">
        <v>40</v>
      </c>
      <c r="D4831">
        <v>4.6848650000000003</v>
      </c>
      <c r="E4831">
        <v>0.40635300000000002</v>
      </c>
      <c r="F4831" t="s">
        <v>41</v>
      </c>
      <c r="G4831">
        <v>-212.57759999999999</v>
      </c>
      <c r="H4831">
        <v>1.067286</v>
      </c>
      <c r="I4831">
        <v>-61.344140000000003</v>
      </c>
      <c r="J4831">
        <v>-213.249</v>
      </c>
      <c r="K4831">
        <v>1.1144160000000001</v>
      </c>
      <c r="L4831">
        <v>-61.982239999999997</v>
      </c>
      <c r="M4831">
        <v>0.96999380000000002</v>
      </c>
      <c r="N4831">
        <v>0</v>
      </c>
      <c r="O4831">
        <v>0.2426439</v>
      </c>
      <c r="P4831">
        <v>0.88989130000000005</v>
      </c>
      <c r="Q4831">
        <v>0.13673869999999999</v>
      </c>
      <c r="R4831">
        <v>0.43519669999999999</v>
      </c>
      <c r="S4831">
        <v>2.4306950000000001</v>
      </c>
      <c r="T4831">
        <v>-0.13568079999999999</v>
      </c>
      <c r="U4831">
        <v>1.978119</v>
      </c>
      <c r="V4831">
        <v>-0.20965819999999999</v>
      </c>
      <c r="W4831">
        <v>0.14683969999999999</v>
      </c>
      <c r="X4831">
        <v>0.96668589999999999</v>
      </c>
      <c r="Y4831">
        <v>-0.42394910000000002</v>
      </c>
      <c r="Z4831">
        <v>-1.162242E-3</v>
      </c>
      <c r="AA4831">
        <v>0.90568519999999997</v>
      </c>
      <c r="AB4831">
        <v>34</v>
      </c>
      <c r="AC4831">
        <v>0.67140000000003397</v>
      </c>
      <c r="AD4831">
        <v>-4.7130000000000102E-2</v>
      </c>
      <c r="AE4831">
        <v>0.638100000000001</v>
      </c>
      <c r="AF4831">
        <v>-0.45491795849155597</v>
      </c>
      <c r="AG4831">
        <v>-4.7130000000000102E-2</v>
      </c>
      <c r="AH4831">
        <v>0.80409821556082495</v>
      </c>
      <c r="AI4831">
        <v>92.920356116503399</v>
      </c>
      <c r="AJ4831">
        <v>119.498978594267</v>
      </c>
      <c r="AK4831">
        <v>0.925065146963298</v>
      </c>
      <c r="AL4831">
        <v>81.556173681600299</v>
      </c>
      <c r="AM4831">
        <v>102.236987497635</v>
      </c>
      <c r="AN4831">
        <v>1.0000000437910599</v>
      </c>
    </row>
    <row r="4832" spans="1:40" x14ac:dyDescent="0.3">
      <c r="A4832" t="str">
        <f>"20200111150128625"</f>
        <v>20200111150128625</v>
      </c>
      <c r="B4832" t="str">
        <f>"1578726088622405"</f>
        <v>1578726088622405</v>
      </c>
      <c r="C4832" t="s">
        <v>40</v>
      </c>
      <c r="D4832">
        <v>4.5275449999999999</v>
      </c>
      <c r="E4832">
        <v>0.40608030000000001</v>
      </c>
      <c r="F4832" t="s">
        <v>83</v>
      </c>
      <c r="G4832">
        <v>-193.41800000000001</v>
      </c>
      <c r="H4832" s="1">
        <v>-4.3498439999999998E-6</v>
      </c>
      <c r="I4832">
        <v>-45.580080000000002</v>
      </c>
      <c r="J4832">
        <v>-213.0959</v>
      </c>
      <c r="K4832">
        <v>1.11454599999999</v>
      </c>
      <c r="L4832">
        <v>-61.939329999999998</v>
      </c>
      <c r="M4832">
        <v>0.96868319999999997</v>
      </c>
      <c r="N4832">
        <v>0</v>
      </c>
      <c r="O4832">
        <v>0.2478225</v>
      </c>
      <c r="P4832">
        <v>0.88684169999999996</v>
      </c>
      <c r="Q4832">
        <v>0.13629530000000001</v>
      </c>
      <c r="R4832">
        <v>0.44151499999999999</v>
      </c>
      <c r="S4832">
        <v>2.415146</v>
      </c>
      <c r="T4832">
        <v>-0.13572119999999999</v>
      </c>
      <c r="U4832">
        <v>1.9975590000000001</v>
      </c>
      <c r="V4832">
        <v>-0.21139359999999999</v>
      </c>
      <c r="W4832">
        <v>0.1463062</v>
      </c>
      <c r="X4832">
        <v>0.96638880000000005</v>
      </c>
      <c r="Y4832">
        <v>-0.42630449999999998</v>
      </c>
      <c r="Z4832">
        <v>-1.3419910000000001E-3</v>
      </c>
      <c r="AA4832">
        <v>0.90457869999999996</v>
      </c>
      <c r="AB4832">
        <v>34</v>
      </c>
      <c r="AC4832">
        <v>19.677899999999902</v>
      </c>
      <c r="AD4832">
        <v>-1.1145503498439999</v>
      </c>
      <c r="AE4832">
        <v>16.359249999999999</v>
      </c>
      <c r="AF4832">
        <v>-10.950830324563601</v>
      </c>
      <c r="AG4832">
        <v>-1.1145503498439999</v>
      </c>
      <c r="AH4832">
        <v>23.074807274540799</v>
      </c>
      <c r="AI4832">
        <v>92.498623176272204</v>
      </c>
      <c r="AJ4832">
        <v>115.388056928335</v>
      </c>
      <c r="AK4832">
        <v>25.565790385531201</v>
      </c>
      <c r="AL4832">
        <v>81.587074644295498</v>
      </c>
      <c r="AM4832">
        <v>102.33886378299999</v>
      </c>
      <c r="AN4832">
        <v>1.0000000355224099</v>
      </c>
    </row>
    <row r="4833" spans="1:40" x14ac:dyDescent="0.3">
      <c r="A4833" t="str">
        <f>"20200111150128636"</f>
        <v>20200111150128636</v>
      </c>
      <c r="B4833" t="str">
        <f>"1578726088633140"</f>
        <v>1578726088633140</v>
      </c>
      <c r="C4833" t="s">
        <v>40</v>
      </c>
      <c r="D4833">
        <v>4.5696440000000003</v>
      </c>
      <c r="E4833">
        <v>0.40596880000000002</v>
      </c>
      <c r="F4833" t="s">
        <v>41</v>
      </c>
      <c r="G4833">
        <v>-212.29329999999999</v>
      </c>
      <c r="H4833">
        <v>1.0681959999999999</v>
      </c>
      <c r="I4833">
        <v>-61.265309999999999</v>
      </c>
      <c r="J4833">
        <v>-212.93610000000001</v>
      </c>
      <c r="K4833">
        <v>1.114679</v>
      </c>
      <c r="L4833">
        <v>-61.893520000000002</v>
      </c>
      <c r="M4833">
        <v>0.96726290000000004</v>
      </c>
      <c r="N4833">
        <v>0</v>
      </c>
      <c r="O4833">
        <v>0.25330819999999998</v>
      </c>
      <c r="P4833">
        <v>0.88359209999999999</v>
      </c>
      <c r="Q4833">
        <v>0.13567370000000001</v>
      </c>
      <c r="R4833">
        <v>0.4481716</v>
      </c>
      <c r="S4833">
        <v>2.4004669999999999</v>
      </c>
      <c r="T4833">
        <v>-0.138617299999999</v>
      </c>
      <c r="U4833">
        <v>2.0159609999999999</v>
      </c>
      <c r="V4833">
        <v>-0.21319840000000001</v>
      </c>
      <c r="W4833">
        <v>0.145592</v>
      </c>
      <c r="X4833">
        <v>0.96610010000000002</v>
      </c>
      <c r="Y4833">
        <v>-0.4279655</v>
      </c>
      <c r="Z4833">
        <v>-1.5856760000000001E-3</v>
      </c>
      <c r="AA4833">
        <v>0.90379370000000003</v>
      </c>
      <c r="AB4833">
        <v>34</v>
      </c>
      <c r="AC4833">
        <v>0.64280000000002202</v>
      </c>
      <c r="AD4833">
        <v>-4.6483000000000198E-2</v>
      </c>
      <c r="AE4833">
        <v>0.62820999999999505</v>
      </c>
      <c r="AF4833">
        <v>-0.44368384463912902</v>
      </c>
      <c r="AG4833">
        <v>-4.6483000000000198E-2</v>
      </c>
      <c r="AH4833">
        <v>0.778896801160196</v>
      </c>
      <c r="AI4833">
        <v>92.968420436287502</v>
      </c>
      <c r="AJ4833">
        <v>119.667184600395</v>
      </c>
      <c r="AK4833">
        <v>0.897605843419229</v>
      </c>
      <c r="AL4833">
        <v>81.628437870776295</v>
      </c>
      <c r="AM4833">
        <v>102.444543448188</v>
      </c>
      <c r="AN4833">
        <v>0.99999999572328502</v>
      </c>
    </row>
    <row r="4834" spans="1:40" x14ac:dyDescent="0.3">
      <c r="A4834" t="str">
        <f>"20200111150128649"</f>
        <v>20200111150128649</v>
      </c>
      <c r="B4834" t="str">
        <f>"1578726088642903"</f>
        <v>1578726088642903</v>
      </c>
      <c r="C4834" t="s">
        <v>40</v>
      </c>
      <c r="D4834">
        <v>4.6538740000000001</v>
      </c>
      <c r="E4834">
        <v>0.405802</v>
      </c>
      <c r="F4834" t="s">
        <v>83</v>
      </c>
      <c r="G4834">
        <v>-194.1574</v>
      </c>
      <c r="H4834" s="1">
        <v>-4.332937E-6</v>
      </c>
      <c r="I4834">
        <v>-45.875239999999998</v>
      </c>
      <c r="J4834">
        <v>-212.75649999999999</v>
      </c>
      <c r="K4834">
        <v>1.114825</v>
      </c>
      <c r="L4834">
        <v>-61.840609999999998</v>
      </c>
      <c r="M4834">
        <v>0.96559569999999995</v>
      </c>
      <c r="N4834">
        <v>0</v>
      </c>
      <c r="O4834">
        <v>0.25958949999999997</v>
      </c>
      <c r="P4834">
        <v>0.87994719999999904</v>
      </c>
      <c r="Q4834">
        <v>0.135298</v>
      </c>
      <c r="R4834">
        <v>0.45539819999999998</v>
      </c>
      <c r="S4834">
        <v>2.3850560000000001</v>
      </c>
      <c r="T4834">
        <v>-0.14157400000000001</v>
      </c>
      <c r="U4834">
        <v>2.0344540000000002</v>
      </c>
      <c r="V4834">
        <v>-0.21487200000000001</v>
      </c>
      <c r="W4834">
        <v>0.1451202</v>
      </c>
      <c r="X4834">
        <v>0.96580029999999994</v>
      </c>
      <c r="Y4834">
        <v>-0.4290292</v>
      </c>
      <c r="Z4834">
        <v>-1.892887E-3</v>
      </c>
      <c r="AA4834">
        <v>0.90328869999999895</v>
      </c>
      <c r="AB4834">
        <v>34</v>
      </c>
      <c r="AC4834">
        <v>18.5991</v>
      </c>
      <c r="AD4834">
        <v>-1.114829332937</v>
      </c>
      <c r="AE4834">
        <v>15.965369999999901</v>
      </c>
      <c r="AF4834">
        <v>-10.5673635352143</v>
      </c>
      <c r="AG4834">
        <v>-1.114829332937</v>
      </c>
      <c r="AH4834">
        <v>22.060652543316699</v>
      </c>
      <c r="AI4834">
        <v>92.609492218470393</v>
      </c>
      <c r="AJ4834">
        <v>115.59507778399799</v>
      </c>
      <c r="AK4834">
        <v>24.4864127050881</v>
      </c>
      <c r="AL4834">
        <v>81.655760522346</v>
      </c>
      <c r="AM4834">
        <v>102.54292383331899</v>
      </c>
      <c r="AN4834">
        <v>1.00000003415606</v>
      </c>
    </row>
    <row r="4835" spans="1:40" x14ac:dyDescent="0.3">
      <c r="A4835" t="str">
        <f>"20200111150128659"</f>
        <v>20200111150128659</v>
      </c>
      <c r="B4835" t="str">
        <f>"1578726088652660"</f>
        <v>1578726088652660</v>
      </c>
      <c r="C4835" t="s">
        <v>40</v>
      </c>
      <c r="D4835">
        <v>4.5660999999999996</v>
      </c>
      <c r="E4835">
        <v>0.405802</v>
      </c>
      <c r="F4835" t="s">
        <v>41</v>
      </c>
      <c r="G4835">
        <v>-212.0061</v>
      </c>
      <c r="H4835">
        <v>1.069542</v>
      </c>
      <c r="I4835">
        <v>-61.189399999999999</v>
      </c>
      <c r="J4835">
        <v>-212.6046</v>
      </c>
      <c r="K4835">
        <v>1.1149480000000001</v>
      </c>
      <c r="L4835">
        <v>-61.795290000000001</v>
      </c>
      <c r="M4835">
        <v>0.96414069999999996</v>
      </c>
      <c r="N4835">
        <v>0</v>
      </c>
      <c r="O4835">
        <v>0.26494060000000003</v>
      </c>
      <c r="P4835">
        <v>0.87690749999999995</v>
      </c>
      <c r="Q4835">
        <v>0.13453319999999999</v>
      </c>
      <c r="R4835">
        <v>0.46144800000000002</v>
      </c>
      <c r="S4835">
        <v>2.3678439999999998</v>
      </c>
      <c r="T4835">
        <v>-0.1428856</v>
      </c>
      <c r="U4835">
        <v>2.0548099999999998</v>
      </c>
      <c r="V4835">
        <v>-0.2161661</v>
      </c>
      <c r="W4835">
        <v>0.1442775</v>
      </c>
      <c r="X4835">
        <v>0.96563770000000004</v>
      </c>
      <c r="Y4835">
        <v>-0.4316971</v>
      </c>
      <c r="Z4835">
        <v>-2.1007600000000001E-3</v>
      </c>
      <c r="AA4835">
        <v>0.90201620000000005</v>
      </c>
      <c r="AB4835">
        <v>34</v>
      </c>
      <c r="AC4835">
        <v>0.59850000000000103</v>
      </c>
      <c r="AD4835">
        <v>-4.5406000000000002E-2</v>
      </c>
      <c r="AE4835">
        <v>0.60589000000000204</v>
      </c>
      <c r="AF4835">
        <v>-0.42444068016556502</v>
      </c>
      <c r="AG4835">
        <v>-4.5406000000000002E-2</v>
      </c>
      <c r="AH4835">
        <v>0.73556043698391604</v>
      </c>
      <c r="AI4835">
        <v>93.060518259596506</v>
      </c>
      <c r="AJ4835">
        <v>119.986249632428</v>
      </c>
      <c r="AK4835">
        <v>0.85044738359958305</v>
      </c>
      <c r="AL4835">
        <v>81.704556719918401</v>
      </c>
      <c r="AM4835">
        <v>102.618110602047</v>
      </c>
      <c r="AN4835">
        <v>0.99999997372837401</v>
      </c>
    </row>
    <row r="4836" spans="1:40" x14ac:dyDescent="0.3">
      <c r="A4836" t="str">
        <f>"20200111150128671"</f>
        <v>20200111150128671</v>
      </c>
      <c r="B4836" t="str">
        <f>"1578726088662420"</f>
        <v>1578726088662420</v>
      </c>
      <c r="C4836" t="s">
        <v>40</v>
      </c>
      <c r="D4836">
        <v>4.6801620000000002</v>
      </c>
      <c r="E4836">
        <v>0.37632070000000001</v>
      </c>
      <c r="F4836" t="s">
        <v>83</v>
      </c>
      <c r="G4836">
        <v>-194.45599999999999</v>
      </c>
      <c r="H4836" s="1">
        <v>-4.412933E-6</v>
      </c>
      <c r="I4836">
        <v>-45.821919999999999</v>
      </c>
      <c r="J4836">
        <v>-212.4504</v>
      </c>
      <c r="K4836">
        <v>1.115073</v>
      </c>
      <c r="L4836">
        <v>-61.747529999999998</v>
      </c>
      <c r="M4836">
        <v>0.962592</v>
      </c>
      <c r="N4836">
        <v>0</v>
      </c>
      <c r="O4836">
        <v>0.27051190000000003</v>
      </c>
      <c r="P4836">
        <v>0.87398109999999996</v>
      </c>
      <c r="Q4836">
        <v>0.13359279999999901</v>
      </c>
      <c r="R4836">
        <v>0.46723680000000001</v>
      </c>
      <c r="S4836">
        <v>2.353348</v>
      </c>
      <c r="T4836">
        <v>-0.1445775</v>
      </c>
      <c r="U4836">
        <v>2.0712890000000002</v>
      </c>
      <c r="V4836">
        <v>-0.21695310000000001</v>
      </c>
      <c r="W4836">
        <v>0.14327479999999901</v>
      </c>
      <c r="X4836">
        <v>0.96561050000000004</v>
      </c>
      <c r="Y4836">
        <v>-0.4327954</v>
      </c>
      <c r="Z4836">
        <v>-2.370264E-3</v>
      </c>
      <c r="AA4836">
        <v>0.90148910000000004</v>
      </c>
      <c r="AB4836">
        <v>34</v>
      </c>
      <c r="AC4836">
        <v>17.994399999999999</v>
      </c>
      <c r="AD4836">
        <v>-1.1150774129329999</v>
      </c>
      <c r="AE4836">
        <v>15.925610000000001</v>
      </c>
      <c r="AF4836">
        <v>-10.4409378465917</v>
      </c>
      <c r="AG4836">
        <v>-1.1150774129329999</v>
      </c>
      <c r="AH4836">
        <v>21.585446862887999</v>
      </c>
      <c r="AI4836">
        <v>92.662574896296505</v>
      </c>
      <c r="AJ4836">
        <v>115.813177132665</v>
      </c>
      <c r="AK4836">
        <v>24.003918368128701</v>
      </c>
      <c r="AL4836">
        <v>81.762610391467405</v>
      </c>
      <c r="AM4836">
        <v>102.662916023668</v>
      </c>
      <c r="AN4836">
        <v>0.99999997681244901</v>
      </c>
    </row>
    <row r="4837" spans="1:40" x14ac:dyDescent="0.3">
      <c r="A4837" t="str">
        <f>"20200111150128682"</f>
        <v>20200111150128682</v>
      </c>
      <c r="B4837" t="str">
        <f>"1578726088673155"</f>
        <v>1578726088673155</v>
      </c>
      <c r="C4837" t="s">
        <v>40</v>
      </c>
      <c r="D4837">
        <v>4.6047630000000002</v>
      </c>
      <c r="E4837">
        <v>0.3761002</v>
      </c>
      <c r="F4837" t="s">
        <v>51</v>
      </c>
      <c r="G4837">
        <v>-157.93819999999999</v>
      </c>
      <c r="H4837">
        <v>5.8689910000000003</v>
      </c>
      <c r="I4837">
        <v>-4.8339299999999996</v>
      </c>
      <c r="J4837">
        <v>-212.28620000000001</v>
      </c>
      <c r="K4837">
        <v>1.1152029999999999</v>
      </c>
      <c r="L4837">
        <v>-61.696260000000002</v>
      </c>
      <c r="M4837">
        <v>0.96089769999999997</v>
      </c>
      <c r="N4837">
        <v>0</v>
      </c>
      <c r="O4837">
        <v>0.27646890000000002</v>
      </c>
      <c r="P4837">
        <v>0.87087060000000005</v>
      </c>
      <c r="Q4837">
        <v>0.13271849999999999</v>
      </c>
      <c r="R4837">
        <v>0.47325499999999998</v>
      </c>
      <c r="S4837">
        <v>2.1842649999999999</v>
      </c>
      <c r="T4837">
        <v>0.19048599999999999</v>
      </c>
      <c r="U4837">
        <v>2.2804869999999999</v>
      </c>
      <c r="V4837">
        <v>-0.2176246</v>
      </c>
      <c r="W4837">
        <v>0.14233699999999999</v>
      </c>
      <c r="X4837">
        <v>0.96559810000000001</v>
      </c>
      <c r="Y4837">
        <v>-0.50236950000000002</v>
      </c>
      <c r="Z4837">
        <v>1.060088E-3</v>
      </c>
      <c r="AA4837">
        <v>0.86465239999999999</v>
      </c>
      <c r="AB4837">
        <v>34</v>
      </c>
      <c r="AC4837">
        <v>54.347999999999999</v>
      </c>
      <c r="AD4837">
        <v>4.7537880000000001</v>
      </c>
      <c r="AE4837">
        <v>56.862329999999901</v>
      </c>
      <c r="AF4837">
        <v>-39.473934903568598</v>
      </c>
      <c r="AG4837">
        <v>4.7537880000000001</v>
      </c>
      <c r="AH4837">
        <v>67.704413196247998</v>
      </c>
      <c r="AI4837">
        <v>86.528853407803197</v>
      </c>
      <c r="AJ4837">
        <v>120.243614016104</v>
      </c>
      <c r="AK4837">
        <v>78.515460919288998</v>
      </c>
      <c r="AL4837">
        <v>81.816898898079501</v>
      </c>
      <c r="AM4837">
        <v>102.70099780671499</v>
      </c>
      <c r="AN4837">
        <v>0.99999998940888402</v>
      </c>
    </row>
    <row r="4838" spans="1:40" x14ac:dyDescent="0.3">
      <c r="A4838" t="str">
        <f>"20200111150128697"</f>
        <v>20200111150128697</v>
      </c>
      <c r="B4838" t="str">
        <f>"1578726088692676"</f>
        <v>1578726088692676</v>
      </c>
      <c r="C4838" t="s">
        <v>40</v>
      </c>
      <c r="D4838">
        <v>6.7766970000000004</v>
      </c>
      <c r="E4838">
        <v>0.37782880000000002</v>
      </c>
      <c r="F4838" t="s">
        <v>51</v>
      </c>
      <c r="G4838">
        <v>-157.93819999999999</v>
      </c>
      <c r="H4838">
        <v>5.7224729999999999</v>
      </c>
      <c r="I4838">
        <v>-4.1208450000000001</v>
      </c>
      <c r="J4838">
        <v>-212.072</v>
      </c>
      <c r="K4838">
        <v>1.1153740000000001</v>
      </c>
      <c r="L4838">
        <v>-61.627040000000001</v>
      </c>
      <c r="M4838">
        <v>0.95857559999999997</v>
      </c>
      <c r="N4838">
        <v>0</v>
      </c>
      <c r="O4838">
        <v>0.28441329999999998</v>
      </c>
      <c r="P4838">
        <v>0.86662969999999895</v>
      </c>
      <c r="Q4838">
        <v>0.13239300000000001</v>
      </c>
      <c r="R4838">
        <v>0.48106680000000002</v>
      </c>
      <c r="S4838">
        <v>2.1684420000000002</v>
      </c>
      <c r="T4838">
        <v>0.18382609999999999</v>
      </c>
      <c r="U4838">
        <v>2.2972109999999999</v>
      </c>
      <c r="V4838">
        <v>-0.21835570000000001</v>
      </c>
      <c r="W4838">
        <v>0.14193349999999999</v>
      </c>
      <c r="X4838">
        <v>0.96549249999999998</v>
      </c>
      <c r="Y4838">
        <v>-0.50154730000000003</v>
      </c>
      <c r="Z4838">
        <v>1.5494599999999999E-3</v>
      </c>
      <c r="AA4838">
        <v>0.86512880000000003</v>
      </c>
      <c r="AB4838">
        <v>34</v>
      </c>
      <c r="AC4838">
        <v>54.133800000000001</v>
      </c>
      <c r="AD4838">
        <v>4.6070989999999998</v>
      </c>
      <c r="AE4838">
        <v>57.506194999999998</v>
      </c>
      <c r="AF4838">
        <v>-39.5977213501411</v>
      </c>
      <c r="AG4838">
        <v>4.6070989999999998</v>
      </c>
      <c r="AH4838">
        <v>68.023644505116096</v>
      </c>
      <c r="AI4838">
        <v>86.650134141721097</v>
      </c>
      <c r="AJ4838">
        <v>120.20441331286101</v>
      </c>
      <c r="AK4838">
        <v>78.844283934078803</v>
      </c>
      <c r="AL4838">
        <v>81.840255361331501</v>
      </c>
      <c r="AM4838">
        <v>102.743623563046</v>
      </c>
      <c r="AN4838">
        <v>1.0000000488504901</v>
      </c>
    </row>
    <row r="4839" spans="1:40" x14ac:dyDescent="0.3">
      <c r="A4839" t="str">
        <f>"20200111150128708"</f>
        <v>20200111150128708</v>
      </c>
      <c r="B4839" t="str">
        <f>"1578726088702435"</f>
        <v>1578726088702435</v>
      </c>
      <c r="C4839" t="s">
        <v>40</v>
      </c>
      <c r="D4839">
        <v>4.333151</v>
      </c>
      <c r="E4839">
        <v>0.3784689</v>
      </c>
      <c r="F4839" t="s">
        <v>51</v>
      </c>
      <c r="G4839">
        <v>-157.93819999999999</v>
      </c>
      <c r="H4839">
        <v>5.6723629999999998</v>
      </c>
      <c r="I4839">
        <v>-3.7235680000000002</v>
      </c>
      <c r="J4839">
        <v>-211.9264</v>
      </c>
      <c r="K4839">
        <v>1.115486</v>
      </c>
      <c r="L4839">
        <v>-61.578670000000002</v>
      </c>
      <c r="M4839">
        <v>0.95692940000000004</v>
      </c>
      <c r="N4839">
        <v>0</v>
      </c>
      <c r="O4839">
        <v>0.2899022</v>
      </c>
      <c r="P4839">
        <v>0.86353119999999906</v>
      </c>
      <c r="Q4839">
        <v>0.13198760000000001</v>
      </c>
      <c r="R4839">
        <v>0.4867167</v>
      </c>
      <c r="S4839">
        <v>2.1546479999999999</v>
      </c>
      <c r="T4839">
        <v>0.18137819999999999</v>
      </c>
      <c r="U4839">
        <v>2.3046880000000001</v>
      </c>
      <c r="V4839">
        <v>-0.2191428</v>
      </c>
      <c r="W4839">
        <v>0.1414695</v>
      </c>
      <c r="X4839">
        <v>0.96538219999999997</v>
      </c>
      <c r="Y4839">
        <v>-0.50076500000000002</v>
      </c>
      <c r="Z4839">
        <v>1.8981989999999999E-3</v>
      </c>
      <c r="AA4839">
        <v>0.86558119999999905</v>
      </c>
      <c r="AB4839">
        <v>34</v>
      </c>
      <c r="AC4839">
        <v>53.988199999999999</v>
      </c>
      <c r="AD4839">
        <v>4.5568770000000001</v>
      </c>
      <c r="AE4839">
        <v>57.855102000000002</v>
      </c>
      <c r="AF4839">
        <v>-39.585503807989497</v>
      </c>
      <c r="AG4839">
        <v>4.5568770000000001</v>
      </c>
      <c r="AH4839">
        <v>68.217313537080102</v>
      </c>
      <c r="AI4839">
        <v>86.693330660196295</v>
      </c>
      <c r="AJ4839">
        <v>120.12596308949</v>
      </c>
      <c r="AK4839">
        <v>79.002399368258295</v>
      </c>
      <c r="AL4839">
        <v>81.867111107779394</v>
      </c>
      <c r="AM4839">
        <v>102.789465292861</v>
      </c>
      <c r="AN4839">
        <v>0.99999998914946397</v>
      </c>
    </row>
    <row r="4840" spans="1:40" x14ac:dyDescent="0.3">
      <c r="A4840" t="str">
        <f>"20200111150128720"</f>
        <v>20200111150128720</v>
      </c>
      <c r="B4840" t="str">
        <f>"1578726088713172"</f>
        <v>1578726088713172</v>
      </c>
      <c r="C4840" t="s">
        <v>40</v>
      </c>
      <c r="D4840">
        <v>4.8122030000000002</v>
      </c>
      <c r="E4840">
        <v>0.3784689</v>
      </c>
      <c r="F4840" t="s">
        <v>51</v>
      </c>
      <c r="G4840">
        <v>-157.3501</v>
      </c>
      <c r="H4840">
        <v>5.6404310000000004</v>
      </c>
      <c r="I4840">
        <v>-2.633289</v>
      </c>
      <c r="J4840">
        <v>-211.7561</v>
      </c>
      <c r="K4840">
        <v>1.115615</v>
      </c>
      <c r="L4840">
        <v>-61.521509999999999</v>
      </c>
      <c r="M4840">
        <v>0.95495030000000003</v>
      </c>
      <c r="N4840">
        <v>0</v>
      </c>
      <c r="O4840">
        <v>0.29635489999999998</v>
      </c>
      <c r="P4840">
        <v>0.86014570000000001</v>
      </c>
      <c r="Q4840">
        <v>0.13148489999999999</v>
      </c>
      <c r="R4840">
        <v>0.49280950000000001</v>
      </c>
      <c r="S4840">
        <v>2.1426240000000001</v>
      </c>
      <c r="T4840">
        <v>0.17764569999999999</v>
      </c>
      <c r="U4840">
        <v>2.3141479999999999</v>
      </c>
      <c r="V4840">
        <v>-0.21946370000000001</v>
      </c>
      <c r="W4840">
        <v>0.14091429999999999</v>
      </c>
      <c r="X4840">
        <v>0.96539050000000004</v>
      </c>
      <c r="Y4840">
        <v>-0.49913079999999999</v>
      </c>
      <c r="Z4840">
        <v>2.3074340000000001E-3</v>
      </c>
      <c r="AA4840">
        <v>0.86652359999999995</v>
      </c>
      <c r="AB4840">
        <v>34</v>
      </c>
      <c r="AC4840">
        <v>54.405999999999999</v>
      </c>
      <c r="AD4840">
        <v>4.5248160000000004</v>
      </c>
      <c r="AE4840">
        <v>58.888220999999902</v>
      </c>
      <c r="AF4840">
        <v>-39.989353892515602</v>
      </c>
      <c r="AG4840">
        <v>4.5248160000000004</v>
      </c>
      <c r="AH4840">
        <v>69.194897772187105</v>
      </c>
      <c r="AI4840">
        <v>86.759523356259706</v>
      </c>
      <c r="AJ4840">
        <v>120.024624424465</v>
      </c>
      <c r="AK4840">
        <v>80.047212707739803</v>
      </c>
      <c r="AL4840">
        <v>81.899243599579407</v>
      </c>
      <c r="AM4840">
        <v>102.807469727038</v>
      </c>
      <c r="AN4840">
        <v>0.99999998652621402</v>
      </c>
    </row>
    <row r="4841" spans="1:40" x14ac:dyDescent="0.3">
      <c r="A4841" t="str">
        <f>"20200111150128729"</f>
        <v>20200111150128729</v>
      </c>
      <c r="B4841" t="str">
        <f>"1578726088722932"</f>
        <v>1578726088722932</v>
      </c>
      <c r="C4841" t="s">
        <v>40</v>
      </c>
      <c r="D4841">
        <v>4.7398949999999997</v>
      </c>
      <c r="E4841">
        <v>0.40498719999999999</v>
      </c>
      <c r="F4841" t="s">
        <v>51</v>
      </c>
      <c r="G4841">
        <v>-157.3501</v>
      </c>
      <c r="H4841">
        <v>5.6090019999999896</v>
      </c>
      <c r="I4841">
        <v>-1.933848</v>
      </c>
      <c r="J4841">
        <v>-211.61779999999999</v>
      </c>
      <c r="K4841">
        <v>1.1157159999999999</v>
      </c>
      <c r="L4841">
        <v>-61.47336</v>
      </c>
      <c r="M4841">
        <v>0.95327240000000002</v>
      </c>
      <c r="N4841">
        <v>0</v>
      </c>
      <c r="O4841">
        <v>0.30170770000000002</v>
      </c>
      <c r="P4841">
        <v>0.85708189999999995</v>
      </c>
      <c r="Q4841">
        <v>0.13166449999999999</v>
      </c>
      <c r="R4841">
        <v>0.49807170000000001</v>
      </c>
      <c r="S4841">
        <v>2.126541</v>
      </c>
      <c r="T4841">
        <v>0.1756306</v>
      </c>
      <c r="U4841">
        <v>2.3290709999999999</v>
      </c>
      <c r="V4841">
        <v>-0.22001470000000001</v>
      </c>
      <c r="W4841">
        <v>0.14104559999999999</v>
      </c>
      <c r="X4841">
        <v>0.96524589999999999</v>
      </c>
      <c r="Y4841">
        <v>-0.50030980000000003</v>
      </c>
      <c r="Z4841">
        <v>2.5653870000000001E-3</v>
      </c>
      <c r="AA4841">
        <v>0.86584259999999902</v>
      </c>
      <c r="AB4841">
        <v>34</v>
      </c>
      <c r="AC4841">
        <v>54.267699999999898</v>
      </c>
      <c r="AD4841">
        <v>4.4932860000000003</v>
      </c>
      <c r="AE4841">
        <v>59.539512000000002</v>
      </c>
      <c r="AF4841">
        <v>-40.264064345311098</v>
      </c>
      <c r="AG4841">
        <v>4.4932860000000003</v>
      </c>
      <c r="AH4841">
        <v>69.487770740983393</v>
      </c>
      <c r="AI4841">
        <v>86.797693669545495</v>
      </c>
      <c r="AJ4841">
        <v>120.089761807727</v>
      </c>
      <c r="AK4841">
        <v>80.435904789046901</v>
      </c>
      <c r="AL4841">
        <v>81.891644785896702</v>
      </c>
      <c r="AM4841">
        <v>102.840420236157</v>
      </c>
      <c r="AN4841">
        <v>0.99999998848112903</v>
      </c>
    </row>
    <row r="4842" spans="1:40" x14ac:dyDescent="0.3">
      <c r="A4842" t="str">
        <f>"20200111150128741"</f>
        <v>20200111150128741</v>
      </c>
      <c r="B4842" t="str">
        <f>"1578726088732691"</f>
        <v>1578726088732691</v>
      </c>
      <c r="C4842" t="s">
        <v>40</v>
      </c>
      <c r="D4842">
        <v>4.6394520000000004</v>
      </c>
      <c r="E4842">
        <v>0.40498719999999999</v>
      </c>
      <c r="F4842" t="s">
        <v>41</v>
      </c>
      <c r="G4842">
        <v>-210.91040000000001</v>
      </c>
      <c r="H4842">
        <v>1.0665340000000001</v>
      </c>
      <c r="I4842">
        <v>-60.793109999999999</v>
      </c>
      <c r="J4842">
        <v>-211.4512</v>
      </c>
      <c r="K4842">
        <v>1.115837</v>
      </c>
      <c r="L4842">
        <v>-61.414949999999997</v>
      </c>
      <c r="M4842">
        <v>0.95120159999999998</v>
      </c>
      <c r="N4842">
        <v>0</v>
      </c>
      <c r="O4842">
        <v>0.30817240000000001</v>
      </c>
      <c r="P4842">
        <v>0.85346</v>
      </c>
      <c r="Q4842">
        <v>0.1318482</v>
      </c>
      <c r="R4842">
        <v>0.5042044</v>
      </c>
      <c r="S4842">
        <v>2.2610169999999998</v>
      </c>
      <c r="T4842">
        <v>-0.15719229999999901</v>
      </c>
      <c r="U4842">
        <v>2.174042</v>
      </c>
      <c r="V4842">
        <v>-0.2204409</v>
      </c>
      <c r="W4842">
        <v>0.14117639999999901</v>
      </c>
      <c r="X4842">
        <v>0.96512960000000003</v>
      </c>
      <c r="Y4842">
        <v>-0.43703530000000002</v>
      </c>
      <c r="Z4842">
        <v>-4.473632E-3</v>
      </c>
      <c r="AA4842">
        <v>0.89943329999999999</v>
      </c>
      <c r="AB4842">
        <v>34</v>
      </c>
      <c r="AC4842">
        <v>0.54079999999998996</v>
      </c>
      <c r="AD4842">
        <v>-4.9303000000000097E-2</v>
      </c>
      <c r="AE4842">
        <v>0.62183999999999795</v>
      </c>
      <c r="AF4842">
        <v>-0.42337236432497799</v>
      </c>
      <c r="AG4842">
        <v>-4.9303000000000097E-2</v>
      </c>
      <c r="AH4842">
        <v>0.703612017823947</v>
      </c>
      <c r="AI4842">
        <v>93.435926314857099</v>
      </c>
      <c r="AJ4842">
        <v>121.03586140374</v>
      </c>
      <c r="AK4842">
        <v>0.82264501232877396</v>
      </c>
      <c r="AL4842">
        <v>81.884075298426893</v>
      </c>
      <c r="AM4842">
        <v>102.865965759055</v>
      </c>
      <c r="AN4842">
        <v>1.00000005555296</v>
      </c>
    </row>
    <row r="4843" spans="1:40" x14ac:dyDescent="0.3">
      <c r="A4843" t="str">
        <f>"20200111150128775"</f>
        <v>20200111150128775</v>
      </c>
      <c r="B4843" t="str">
        <f>"1578726088772708"</f>
        <v>1578726088772708</v>
      </c>
      <c r="C4843" t="s">
        <v>40</v>
      </c>
      <c r="D4843">
        <v>6.821231</v>
      </c>
      <c r="E4843">
        <v>0.40737099999999998</v>
      </c>
      <c r="F4843" t="s">
        <v>41</v>
      </c>
      <c r="G4843">
        <v>-210.66499999999999</v>
      </c>
      <c r="H4843">
        <v>1.061137</v>
      </c>
      <c r="I4843">
        <v>-60.647880000000001</v>
      </c>
      <c r="J4843">
        <v>-210.98179999999999</v>
      </c>
      <c r="K4843">
        <v>1.1161140000000001</v>
      </c>
      <c r="L4843">
        <v>-61.241909999999997</v>
      </c>
      <c r="M4843">
        <v>0.9450809</v>
      </c>
      <c r="N4843">
        <v>0</v>
      </c>
      <c r="O4843">
        <v>0.32646429999999999</v>
      </c>
      <c r="P4843">
        <v>0.84254810000000002</v>
      </c>
      <c r="Q4843">
        <v>0.13214970000000001</v>
      </c>
      <c r="R4843">
        <v>0.52215820000000002</v>
      </c>
      <c r="S4843">
        <v>2.2451629999999998</v>
      </c>
      <c r="T4843">
        <v>-0.15620229999999999</v>
      </c>
      <c r="U4843">
        <v>2.1904300000000001</v>
      </c>
      <c r="V4843">
        <v>-0.2223956</v>
      </c>
      <c r="W4843">
        <v>0.1411683</v>
      </c>
      <c r="X4843">
        <v>0.96468220000000005</v>
      </c>
      <c r="Y4843">
        <v>-0.42622599999999999</v>
      </c>
      <c r="Z4843">
        <v>-5.7222840000000002E-3</v>
      </c>
      <c r="AA4843">
        <v>0.90459860000000003</v>
      </c>
      <c r="AB4843">
        <v>33</v>
      </c>
      <c r="AC4843">
        <v>0.31680000000000003</v>
      </c>
      <c r="AD4843">
        <v>-5.4976999999999998E-2</v>
      </c>
      <c r="AE4843">
        <v>0.59402999999998896</v>
      </c>
      <c r="AF4843">
        <v>-0.45500393248687598</v>
      </c>
      <c r="AG4843">
        <v>-5.4976999999999998E-2</v>
      </c>
      <c r="AH4843">
        <v>0.49012273534282602</v>
      </c>
      <c r="AI4843">
        <v>94.6995209100225</v>
      </c>
      <c r="AJ4843">
        <v>132.871995408402</v>
      </c>
      <c r="AK4843">
        <v>0.67102261124902196</v>
      </c>
      <c r="AL4843">
        <v>81.884543793848096</v>
      </c>
      <c r="AM4843">
        <v>102.98202027586299</v>
      </c>
      <c r="AN4843">
        <v>1.0000000194105401</v>
      </c>
    </row>
    <row r="4844" spans="1:40" x14ac:dyDescent="0.3">
      <c r="A4844" t="str">
        <f>"20200111150128785"</f>
        <v>20200111150128785</v>
      </c>
      <c r="B4844" t="str">
        <f>"1578726088782468"</f>
        <v>1578726088782468</v>
      </c>
      <c r="C4844" t="s">
        <v>40</v>
      </c>
      <c r="D4844">
        <v>7.2944360000000001</v>
      </c>
      <c r="E4844">
        <v>0.26476129999999998</v>
      </c>
      <c r="F4844" t="s">
        <v>83</v>
      </c>
      <c r="G4844">
        <v>-195.89080000000001</v>
      </c>
      <c r="H4844" s="1">
        <v>-4.5424599999999999E-6</v>
      </c>
      <c r="I4844">
        <v>-46.072090000000003</v>
      </c>
      <c r="J4844">
        <v>-210.84899999999999</v>
      </c>
      <c r="K4844">
        <v>1.1161540000000001</v>
      </c>
      <c r="L4844">
        <v>-61.191070000000003</v>
      </c>
      <c r="M4844">
        <v>0.94328339999999999</v>
      </c>
      <c r="N4844">
        <v>0</v>
      </c>
      <c r="O4844">
        <v>0.33162249999999999</v>
      </c>
      <c r="P4844">
        <v>0.83915419999999996</v>
      </c>
      <c r="Q4844">
        <v>0.13179199999999999</v>
      </c>
      <c r="R4844">
        <v>0.52768479999999995</v>
      </c>
      <c r="S4844">
        <v>2.2096710000000002</v>
      </c>
      <c r="T4844">
        <v>-0.1634263</v>
      </c>
      <c r="U4844">
        <v>2.221222</v>
      </c>
      <c r="V4844">
        <v>-0.22345870000000001</v>
      </c>
      <c r="W4844">
        <v>0.1407486</v>
      </c>
      <c r="X4844">
        <v>0.96449779999999996</v>
      </c>
      <c r="Y4844">
        <v>-0.43476769999999998</v>
      </c>
      <c r="Z4844">
        <v>-6.0386119999999996E-3</v>
      </c>
      <c r="AA4844">
        <v>0.90052239999999995</v>
      </c>
      <c r="AB4844">
        <v>33</v>
      </c>
      <c r="AC4844">
        <v>14.9582</v>
      </c>
      <c r="AD4844">
        <v>-1.11615854246</v>
      </c>
      <c r="AE4844">
        <v>15.118979999999899</v>
      </c>
      <c r="AF4844">
        <v>-9.2765876433945191</v>
      </c>
      <c r="AG4844">
        <v>-1.11615854246</v>
      </c>
      <c r="AH4844">
        <v>19.073407177022801</v>
      </c>
      <c r="AI4844">
        <v>93.012411220965703</v>
      </c>
      <c r="AJ4844">
        <v>115.936545105145</v>
      </c>
      <c r="AK4844">
        <v>21.2390147967836</v>
      </c>
      <c r="AL4844">
        <v>81.908833051214401</v>
      </c>
      <c r="AM4844">
        <v>103.04436869018799</v>
      </c>
      <c r="AN4844">
        <v>0.99999998260624401</v>
      </c>
    </row>
    <row r="4845" spans="1:40" x14ac:dyDescent="0.3">
      <c r="A4845" t="str">
        <f>"20200111150128805"</f>
        <v>20200111150128805</v>
      </c>
      <c r="B4845" t="str">
        <f>"1578726088802964"</f>
        <v>1578726088802964</v>
      </c>
      <c r="C4845" t="s">
        <v>40</v>
      </c>
      <c r="D4845">
        <v>4.7891009999999996</v>
      </c>
      <c r="E4845">
        <v>0.26476129999999998</v>
      </c>
      <c r="F4845" t="s">
        <v>54</v>
      </c>
      <c r="G4845">
        <v>-169.08539999999999</v>
      </c>
      <c r="H4845">
        <v>10.63664</v>
      </c>
      <c r="I4845">
        <v>25.76144</v>
      </c>
      <c r="J4845">
        <v>-210.58240000000001</v>
      </c>
      <c r="K4845">
        <v>1.11615</v>
      </c>
      <c r="L4845">
        <v>-61.086239999999997</v>
      </c>
      <c r="M4845">
        <v>0.93947049999999999</v>
      </c>
      <c r="N4845">
        <v>0</v>
      </c>
      <c r="O4845">
        <v>0.34226820000000002</v>
      </c>
      <c r="P4845">
        <v>0.83234839999999999</v>
      </c>
      <c r="Q4845">
        <v>0.1302864</v>
      </c>
      <c r="R4845">
        <v>0.53872240000000005</v>
      </c>
      <c r="S4845">
        <v>1.5245059999999999</v>
      </c>
      <c r="T4845">
        <v>0.34752769999999999</v>
      </c>
      <c r="U4845">
        <v>3.174042</v>
      </c>
      <c r="V4845">
        <v>-0.22517980000000001</v>
      </c>
      <c r="W4845">
        <v>0.13933129999999999</v>
      </c>
      <c r="X4845">
        <v>0.96430329999999997</v>
      </c>
      <c r="Y4845">
        <v>-0.69718780000000002</v>
      </c>
      <c r="Z4845">
        <v>-3.8649069999999999E-3</v>
      </c>
      <c r="AA4845">
        <v>0.71687809999999996</v>
      </c>
      <c r="AB4845">
        <v>33</v>
      </c>
      <c r="AC4845">
        <v>41.497</v>
      </c>
      <c r="AD4845">
        <v>9.5204899999999899</v>
      </c>
      <c r="AE4845">
        <v>86.847679999999997</v>
      </c>
      <c r="AF4845">
        <v>-66.743092832581397</v>
      </c>
      <c r="AG4845">
        <v>9.5204899999999899</v>
      </c>
      <c r="AH4845">
        <v>68.053116578775104</v>
      </c>
      <c r="AI4845">
        <v>84.296245973937204</v>
      </c>
      <c r="AJ4845">
        <v>134.44318561276501</v>
      </c>
      <c r="AK4845">
        <v>95.794085656594902</v>
      </c>
      <c r="AL4845">
        <v>81.990846713184695</v>
      </c>
      <c r="AM4845">
        <v>103.14392221726401</v>
      </c>
      <c r="AN4845">
        <v>1.00000000393931</v>
      </c>
    </row>
    <row r="4846" spans="1:40" x14ac:dyDescent="0.3">
      <c r="A4846" t="str">
        <f>"20200111150128816"</f>
        <v>20200111150128816</v>
      </c>
      <c r="B4846" t="str">
        <f>"1578726088802964"</f>
        <v>1578726088802964</v>
      </c>
      <c r="C4846" t="s">
        <v>40</v>
      </c>
      <c r="D4846">
        <v>4.7891009999999996</v>
      </c>
      <c r="E4846">
        <v>0.26476129999999998</v>
      </c>
      <c r="F4846" t="s">
        <v>54</v>
      </c>
      <c r="G4846">
        <v>-168.50360000000001</v>
      </c>
      <c r="H4846">
        <v>10.850350000000001</v>
      </c>
      <c r="I4846">
        <v>29.531749999999999</v>
      </c>
      <c r="J4846">
        <v>-210.4299</v>
      </c>
      <c r="K4846">
        <v>1.1161140000000001</v>
      </c>
      <c r="L4846">
        <v>-61.024720000000002</v>
      </c>
      <c r="M4846">
        <v>0.9371313</v>
      </c>
      <c r="N4846">
        <v>0</v>
      </c>
      <c r="O4846">
        <v>0.34861609999999998</v>
      </c>
      <c r="P4846">
        <v>0.82834300000000005</v>
      </c>
      <c r="Q4846">
        <v>0.13032949999999999</v>
      </c>
      <c r="R4846">
        <v>0.54485050000000002</v>
      </c>
      <c r="S4846">
        <v>1.483215</v>
      </c>
      <c r="T4846">
        <v>0.34311649999999999</v>
      </c>
      <c r="U4846">
        <v>3.194153</v>
      </c>
      <c r="V4846">
        <v>-0.22576760000000001</v>
      </c>
      <c r="W4846">
        <v>0.1394975</v>
      </c>
      <c r="X4846">
        <v>0.96414180000000005</v>
      </c>
      <c r="Y4846">
        <v>-0.70171470000000002</v>
      </c>
      <c r="Z4846">
        <v>-3.4423320000000002E-3</v>
      </c>
      <c r="AA4846">
        <v>0.71244980000000002</v>
      </c>
      <c r="AB4846">
        <v>33</v>
      </c>
      <c r="AC4846">
        <v>41.926299999999998</v>
      </c>
      <c r="AD4846">
        <v>9.7342359999999992</v>
      </c>
      <c r="AE4846">
        <v>90.556470000000004</v>
      </c>
      <c r="AF4846">
        <v>-69.593762735482201</v>
      </c>
      <c r="AG4846">
        <v>9.7342359999999992</v>
      </c>
      <c r="AH4846">
        <v>70.200835608939698</v>
      </c>
      <c r="AI4846">
        <v>84.375977213353295</v>
      </c>
      <c r="AJ4846">
        <v>134.751188563266</v>
      </c>
      <c r="AK4846">
        <v>99.3287696610588</v>
      </c>
      <c r="AL4846">
        <v>81.9812300975113</v>
      </c>
      <c r="AM4846">
        <v>103.17916715228699</v>
      </c>
      <c r="AN4846">
        <v>0.99999998611162499</v>
      </c>
    </row>
    <row r="4847" spans="1:40" x14ac:dyDescent="0.3">
      <c r="A4847" t="str">
        <f>"20200111150128839"</f>
        <v>20200111150128839</v>
      </c>
      <c r="B4847" t="str">
        <f>"1578726088833220"</f>
        <v>1578726088833220</v>
      </c>
      <c r="C4847" t="s">
        <v>40</v>
      </c>
      <c r="D4847">
        <v>4.921583</v>
      </c>
      <c r="E4847">
        <v>0.26476129999999998</v>
      </c>
      <c r="F4847" t="s">
        <v>54</v>
      </c>
      <c r="G4847">
        <v>-168.56059999999999</v>
      </c>
      <c r="H4847">
        <v>10.972939999999999</v>
      </c>
      <c r="I4847">
        <v>30.905819999999999</v>
      </c>
      <c r="J4847">
        <v>-210.11609999999999</v>
      </c>
      <c r="K4847">
        <v>1.1161289999999999</v>
      </c>
      <c r="L4847">
        <v>-60.894590000000001</v>
      </c>
      <c r="M4847">
        <v>0.93201820000000002</v>
      </c>
      <c r="N4847">
        <v>0</v>
      </c>
      <c r="O4847">
        <v>0.36205500000000002</v>
      </c>
      <c r="P4847">
        <v>0.81985649999999999</v>
      </c>
      <c r="Q4847">
        <v>0.1303561</v>
      </c>
      <c r="R4847">
        <v>0.55753280000000005</v>
      </c>
      <c r="S4847">
        <v>1.4596100000000001</v>
      </c>
      <c r="T4847">
        <v>0.34362029999999999</v>
      </c>
      <c r="U4847">
        <v>3.2048030000000001</v>
      </c>
      <c r="V4847">
        <v>-0.2267622</v>
      </c>
      <c r="W4847">
        <v>0.13967360000000001</v>
      </c>
      <c r="X4847">
        <v>0.96388289999999999</v>
      </c>
      <c r="Y4847">
        <v>-0.69677449999999996</v>
      </c>
      <c r="Z4847">
        <v>-1.5684329999999999E-3</v>
      </c>
      <c r="AA4847">
        <v>0.71728859999999905</v>
      </c>
      <c r="AB4847">
        <v>33</v>
      </c>
      <c r="AC4847">
        <v>41.555500000000002</v>
      </c>
      <c r="AD4847">
        <v>9.8568110000000004</v>
      </c>
      <c r="AE4847">
        <v>91.800409999999999</v>
      </c>
      <c r="AF4847">
        <v>-69.854999825342702</v>
      </c>
      <c r="AG4847">
        <v>9.8568110000000004</v>
      </c>
      <c r="AH4847">
        <v>71.294418319927701</v>
      </c>
      <c r="AI4847">
        <v>84.360163016396498</v>
      </c>
      <c r="AJ4847">
        <v>134.41572734043899</v>
      </c>
      <c r="AK4847">
        <v>100.298413782398</v>
      </c>
      <c r="AL4847">
        <v>81.971040888799493</v>
      </c>
      <c r="AM4847">
        <v>103.23861746182099</v>
      </c>
      <c r="AN4847">
        <v>1.0000000273991001</v>
      </c>
    </row>
    <row r="4848" spans="1:40" x14ac:dyDescent="0.3">
      <c r="A4848" t="str">
        <f>"20200111150128850"</f>
        <v>20200111150128850</v>
      </c>
      <c r="B4848" t="str">
        <f>"1578726088842980"</f>
        <v>1578726088842980</v>
      </c>
      <c r="C4848" t="s">
        <v>40</v>
      </c>
      <c r="D4848">
        <v>5.0417690000000004</v>
      </c>
      <c r="E4848">
        <v>0.37611410000000001</v>
      </c>
      <c r="F4848" t="s">
        <v>54</v>
      </c>
      <c r="G4848">
        <v>-169.0856</v>
      </c>
      <c r="H4848">
        <v>11.1205</v>
      </c>
      <c r="I4848">
        <v>32.99483</v>
      </c>
      <c r="J4848">
        <v>-209.9648</v>
      </c>
      <c r="K4848">
        <v>1.1162049999999999</v>
      </c>
      <c r="L4848">
        <v>-60.829469999999901</v>
      </c>
      <c r="M4848">
        <v>0.92943659999999995</v>
      </c>
      <c r="N4848">
        <v>0</v>
      </c>
      <c r="O4848">
        <v>0.36862899999999998</v>
      </c>
      <c r="P4848">
        <v>0.81571660000000001</v>
      </c>
      <c r="Q4848">
        <v>0.13055449999999999</v>
      </c>
      <c r="R4848">
        <v>0.56352630000000004</v>
      </c>
      <c r="S4848">
        <v>1.4101410000000001</v>
      </c>
      <c r="T4848">
        <v>0.34383180000000002</v>
      </c>
      <c r="U4848">
        <v>3.226807</v>
      </c>
      <c r="V4848">
        <v>-0.22706889999999999</v>
      </c>
      <c r="W4848">
        <v>0.1398672</v>
      </c>
      <c r="X4848">
        <v>0.96378260000000004</v>
      </c>
      <c r="Y4848">
        <v>-0.70270509999999997</v>
      </c>
      <c r="Z4848">
        <v>-1.2652500000000001E-3</v>
      </c>
      <c r="AA4848">
        <v>0.71148009999999995</v>
      </c>
      <c r="AB4848">
        <v>33</v>
      </c>
      <c r="AC4848">
        <v>40.879199999999997</v>
      </c>
      <c r="AD4848">
        <v>10.004295000000001</v>
      </c>
      <c r="AE4848">
        <v>93.824299999999994</v>
      </c>
      <c r="AF4848">
        <v>-71.461019012070594</v>
      </c>
      <c r="AG4848">
        <v>10.004295000000001</v>
      </c>
      <c r="AH4848">
        <v>71.903353150980706</v>
      </c>
      <c r="AI4848">
        <v>84.363923763310595</v>
      </c>
      <c r="AJ4848">
        <v>134.82322108002799</v>
      </c>
      <c r="AK4848">
        <v>101.866851090259</v>
      </c>
      <c r="AL4848">
        <v>81.959838317811204</v>
      </c>
      <c r="AM4848">
        <v>103.257222008808</v>
      </c>
      <c r="AN4848">
        <v>1.0000000095229</v>
      </c>
    </row>
    <row r="4849" spans="1:40" x14ac:dyDescent="0.3">
      <c r="A4849" t="str">
        <f>"20200111150128862"</f>
        <v>20200111150128862</v>
      </c>
      <c r="B4849" t="str">
        <f>"1578726088852740"</f>
        <v>1578726088852740</v>
      </c>
      <c r="C4849" t="s">
        <v>40</v>
      </c>
      <c r="D4849">
        <v>4.8157139999999998</v>
      </c>
      <c r="E4849">
        <v>0.37855759999999999</v>
      </c>
      <c r="F4849" t="s">
        <v>41</v>
      </c>
      <c r="G4849">
        <v>-209.36279999999999</v>
      </c>
      <c r="H4849">
        <v>1.0812389999999901</v>
      </c>
      <c r="I4849">
        <v>-60.047370000000001</v>
      </c>
      <c r="J4849">
        <v>-209.8159</v>
      </c>
      <c r="K4849">
        <v>1.116287</v>
      </c>
      <c r="L4849">
        <v>-60.764800000000001</v>
      </c>
      <c r="M4849">
        <v>0.92684469999999997</v>
      </c>
      <c r="N4849">
        <v>0</v>
      </c>
      <c r="O4849">
        <v>0.37509589999999998</v>
      </c>
      <c r="P4849">
        <v>0.8117084</v>
      </c>
      <c r="Q4849">
        <v>0.13035630000000001</v>
      </c>
      <c r="R4849">
        <v>0.56933</v>
      </c>
      <c r="S4849">
        <v>1.9477230000000001</v>
      </c>
      <c r="T4849">
        <v>-0.11312750000000001</v>
      </c>
      <c r="U4849">
        <v>2.5304570000000002</v>
      </c>
      <c r="V4849">
        <v>-0.2272467</v>
      </c>
      <c r="W4849">
        <v>0.13965610000000001</v>
      </c>
      <c r="X4849">
        <v>0.9637713</v>
      </c>
      <c r="Y4849">
        <v>-0.50566169999999999</v>
      </c>
      <c r="Z4849">
        <v>-4.3741079999999998E-3</v>
      </c>
      <c r="AA4849">
        <v>0.86272070000000001</v>
      </c>
      <c r="AB4849">
        <v>33</v>
      </c>
      <c r="AC4849">
        <v>0.453100000000006</v>
      </c>
      <c r="AD4849">
        <v>-3.50480000000001E-2</v>
      </c>
      <c r="AE4849">
        <v>0.71743000000000701</v>
      </c>
      <c r="AF4849">
        <v>-0.49421194107760602</v>
      </c>
      <c r="AG4849">
        <v>-3.50480000000001E-2</v>
      </c>
      <c r="AH4849">
        <v>0.68797494158233397</v>
      </c>
      <c r="AI4849">
        <v>92.369248700379202</v>
      </c>
      <c r="AJ4849">
        <v>125.69185937168</v>
      </c>
      <c r="AK4849">
        <v>0.84781090182475904</v>
      </c>
      <c r="AL4849">
        <v>81.972053299008493</v>
      </c>
      <c r="AM4849">
        <v>103.267385791336</v>
      </c>
      <c r="AN4849">
        <v>1.00000000381589</v>
      </c>
    </row>
    <row r="4850" spans="1:40" x14ac:dyDescent="0.3">
      <c r="A4850" t="str">
        <f>"20200111150128873"</f>
        <v>20200111150128873</v>
      </c>
      <c r="B4850" t="str">
        <f>"1578726088862500"</f>
        <v>1578726088862500</v>
      </c>
      <c r="C4850" t="s">
        <v>40</v>
      </c>
      <c r="D4850">
        <v>6.9277939999999996</v>
      </c>
      <c r="E4850">
        <v>0.37855759999999999</v>
      </c>
      <c r="F4850" t="s">
        <v>41</v>
      </c>
      <c r="G4850">
        <v>-209.13589999999999</v>
      </c>
      <c r="H4850">
        <v>1.0705209999999901</v>
      </c>
      <c r="I4850">
        <v>-59.87979</v>
      </c>
      <c r="J4850">
        <v>-209.66460000000001</v>
      </c>
      <c r="K4850">
        <v>1.1163959999999999</v>
      </c>
      <c r="L4850">
        <v>-60.6971699999999</v>
      </c>
      <c r="M4850">
        <v>0.92416100000000001</v>
      </c>
      <c r="N4850">
        <v>0</v>
      </c>
      <c r="O4850">
        <v>0.38165929999999998</v>
      </c>
      <c r="P4850">
        <v>0.8077396</v>
      </c>
      <c r="Q4850">
        <v>0.13003149999999999</v>
      </c>
      <c r="R4850">
        <v>0.57502059999999999</v>
      </c>
      <c r="S4850">
        <v>1.9428859999999999</v>
      </c>
      <c r="T4850">
        <v>-0.13078020000000001</v>
      </c>
      <c r="U4850">
        <v>2.5292970000000001</v>
      </c>
      <c r="V4850">
        <v>-0.2272016</v>
      </c>
      <c r="W4850">
        <v>0.13929069999999999</v>
      </c>
      <c r="X4850">
        <v>0.96383479999999999</v>
      </c>
      <c r="Y4850">
        <v>-0.50036009999999997</v>
      </c>
      <c r="Z4850">
        <v>-5.4857600000000001E-3</v>
      </c>
      <c r="AA4850">
        <v>0.86580000000000001</v>
      </c>
      <c r="AB4850">
        <v>33</v>
      </c>
      <c r="AC4850">
        <v>0.52870000000001405</v>
      </c>
      <c r="AD4850">
        <v>-4.5875000000000103E-2</v>
      </c>
      <c r="AE4850">
        <v>0.817379999999992</v>
      </c>
      <c r="AF4850">
        <v>-0.55245326174147402</v>
      </c>
      <c r="AG4850">
        <v>-4.5875000000000103E-2</v>
      </c>
      <c r="AH4850">
        <v>0.79889554794958295</v>
      </c>
      <c r="AI4850">
        <v>92.704078233229396</v>
      </c>
      <c r="AJ4850">
        <v>124.664682546853</v>
      </c>
      <c r="AK4850">
        <v>0.97239046610271596</v>
      </c>
      <c r="AL4850">
        <v>81.993195748056806</v>
      </c>
      <c r="AM4850">
        <v>103.26400277105699</v>
      </c>
      <c r="AN4850">
        <v>0.99999999392004502</v>
      </c>
    </row>
    <row r="4851" spans="1:40" x14ac:dyDescent="0.3">
      <c r="A4851" t="str">
        <f>"20200111150128882"</f>
        <v>20200111150128882</v>
      </c>
      <c r="B4851" t="str">
        <f>"1578726088873236"</f>
        <v>1578726088873236</v>
      </c>
      <c r="C4851" t="s">
        <v>40</v>
      </c>
      <c r="D4851">
        <v>4.8034619999999997</v>
      </c>
      <c r="E4851">
        <v>0.37711349999999999</v>
      </c>
      <c r="F4851" t="s">
        <v>41</v>
      </c>
      <c r="G4851">
        <v>-209.09280000000001</v>
      </c>
      <c r="H4851">
        <v>1.0772790000000001</v>
      </c>
      <c r="I4851">
        <v>-59.941969999999998</v>
      </c>
      <c r="J4851">
        <v>-209.5368</v>
      </c>
      <c r="K4851">
        <v>1.1164879999999999</v>
      </c>
      <c r="L4851">
        <v>-60.639499999999998</v>
      </c>
      <c r="M4851">
        <v>0.92185349999999999</v>
      </c>
      <c r="N4851">
        <v>0</v>
      </c>
      <c r="O4851">
        <v>0.38719819999999999</v>
      </c>
      <c r="P4851">
        <v>0.80464060000000004</v>
      </c>
      <c r="Q4851">
        <v>0.12953019999999901</v>
      </c>
      <c r="R4851">
        <v>0.57946140000000002</v>
      </c>
      <c r="S4851">
        <v>1.925049</v>
      </c>
      <c r="T4851">
        <v>-0.1316909</v>
      </c>
      <c r="U4851">
        <v>2.5428160000000002</v>
      </c>
      <c r="V4851">
        <v>-0.2267197</v>
      </c>
      <c r="W4851">
        <v>0.13876649999999999</v>
      </c>
      <c r="X4851">
        <v>0.96402390000000004</v>
      </c>
      <c r="Y4851">
        <v>-0.50124159999999995</v>
      </c>
      <c r="Z4851">
        <v>-5.7574339999999996E-3</v>
      </c>
      <c r="AA4851">
        <v>0.86528819999999995</v>
      </c>
      <c r="AB4851">
        <v>33</v>
      </c>
      <c r="AC4851">
        <v>0.44399999999998802</v>
      </c>
      <c r="AD4851">
        <v>-3.92089999999998E-2</v>
      </c>
      <c r="AE4851">
        <v>0.69752999999999998</v>
      </c>
      <c r="AF4851">
        <v>-0.470109495818058</v>
      </c>
      <c r="AG4851">
        <v>-3.92089999999998E-2</v>
      </c>
      <c r="AH4851">
        <v>0.67795044892092704</v>
      </c>
      <c r="AI4851">
        <v>92.721005740788399</v>
      </c>
      <c r="AJ4851">
        <v>124.738503758878</v>
      </c>
      <c r="AK4851">
        <v>0.82592802042998603</v>
      </c>
      <c r="AL4851">
        <v>82.0235249643777</v>
      </c>
      <c r="AM4851">
        <v>103.23435579265799</v>
      </c>
      <c r="AN4851">
        <v>1.0000000218307701</v>
      </c>
    </row>
    <row r="4852" spans="1:40" x14ac:dyDescent="0.3">
      <c r="A4852" t="str">
        <f>"20200111150128893"</f>
        <v>20200111150128893</v>
      </c>
      <c r="B4852" t="str">
        <f>"1578726088882996"</f>
        <v>1578726088882996</v>
      </c>
      <c r="C4852" t="s">
        <v>40</v>
      </c>
      <c r="D4852">
        <v>4.790521</v>
      </c>
      <c r="E4852">
        <v>0.37756719999999999</v>
      </c>
      <c r="F4852" t="s">
        <v>41</v>
      </c>
      <c r="G4852">
        <v>-208.87979999999999</v>
      </c>
      <c r="H4852">
        <v>1.075418</v>
      </c>
      <c r="I4852">
        <v>-59.754910000000002</v>
      </c>
      <c r="J4852">
        <v>-209.3946</v>
      </c>
      <c r="K4852">
        <v>1.116595</v>
      </c>
      <c r="L4852">
        <v>-60.573700000000002</v>
      </c>
      <c r="M4852">
        <v>0.91923960000000005</v>
      </c>
      <c r="N4852">
        <v>0</v>
      </c>
      <c r="O4852">
        <v>0.39336310000000002</v>
      </c>
      <c r="P4852">
        <v>0.801129599999999</v>
      </c>
      <c r="Q4852">
        <v>0.1290645</v>
      </c>
      <c r="R4852">
        <v>0.58440899999999996</v>
      </c>
      <c r="S4852">
        <v>1.902679</v>
      </c>
      <c r="T4852">
        <v>-0.1189438</v>
      </c>
      <c r="U4852">
        <v>2.5617369999999999</v>
      </c>
      <c r="V4852">
        <v>-0.22620199999999999</v>
      </c>
      <c r="W4852">
        <v>0.13826550000000001</v>
      </c>
      <c r="X4852">
        <v>0.96421749999999995</v>
      </c>
      <c r="Y4852">
        <v>-0.50339909999999999</v>
      </c>
      <c r="Z4852">
        <v>-5.4078449999999997E-3</v>
      </c>
      <c r="AA4852">
        <v>0.864037099999999</v>
      </c>
      <c r="AB4852">
        <v>33</v>
      </c>
      <c r="AC4852">
        <v>0.51480000000000803</v>
      </c>
      <c r="AD4852">
        <v>-4.1176999999999998E-2</v>
      </c>
      <c r="AE4852">
        <v>0.81879000000000701</v>
      </c>
      <c r="AF4852">
        <v>-0.54923797849364098</v>
      </c>
      <c r="AG4852">
        <v>-4.1176999999999998E-2</v>
      </c>
      <c r="AH4852">
        <v>0.79397219981841405</v>
      </c>
      <c r="AI4852">
        <v>92.442269618362801</v>
      </c>
      <c r="AJ4852">
        <v>124.673923656212</v>
      </c>
      <c r="AK4852">
        <v>0.96630727847474795</v>
      </c>
      <c r="AL4852">
        <v>82.052509703110999</v>
      </c>
      <c r="AM4852">
        <v>103.20263744008</v>
      </c>
      <c r="AN4852">
        <v>1.00000004030024</v>
      </c>
    </row>
    <row r="4853" spans="1:40" x14ac:dyDescent="0.3">
      <c r="A4853" t="str">
        <f>"20200111150128905"</f>
        <v>20200111150128905</v>
      </c>
      <c r="B4853" t="str">
        <f>"1578726088902515"</f>
        <v>1578726088902515</v>
      </c>
      <c r="C4853" t="s">
        <v>40</v>
      </c>
      <c r="D4853">
        <v>7.3699039999999902</v>
      </c>
      <c r="E4853">
        <v>0.37756719999999999</v>
      </c>
      <c r="F4853" t="s">
        <v>41</v>
      </c>
      <c r="G4853">
        <v>-208.83699999999999</v>
      </c>
      <c r="H4853">
        <v>1.0809519999999999</v>
      </c>
      <c r="I4853">
        <v>-59.814909999999998</v>
      </c>
      <c r="J4853">
        <v>-209.24690000000001</v>
      </c>
      <c r="K4853">
        <v>1.1166959999999999</v>
      </c>
      <c r="L4853">
        <v>-60.504330000000003</v>
      </c>
      <c r="M4853">
        <v>0.9164679</v>
      </c>
      <c r="N4853">
        <v>0</v>
      </c>
      <c r="O4853">
        <v>0.39977750000000001</v>
      </c>
      <c r="P4853">
        <v>0.79766999999999999</v>
      </c>
      <c r="Q4853">
        <v>0.12883049999999999</v>
      </c>
      <c r="R4853">
        <v>0.58917339999999996</v>
      </c>
      <c r="S4853">
        <v>1.889008</v>
      </c>
      <c r="T4853">
        <v>-0.12075379999999999</v>
      </c>
      <c r="U4853">
        <v>2.5705260000000001</v>
      </c>
      <c r="V4853">
        <v>-0.2252265</v>
      </c>
      <c r="W4853">
        <v>0.13800950000000001</v>
      </c>
      <c r="X4853">
        <v>0.96448239999999996</v>
      </c>
      <c r="Y4853">
        <v>-0.50175449999999999</v>
      </c>
      <c r="Z4853">
        <v>-5.7983380000000001E-3</v>
      </c>
      <c r="AA4853">
        <v>0.864990699999999</v>
      </c>
      <c r="AB4853">
        <v>33</v>
      </c>
      <c r="AC4853">
        <v>0.40989999999999299</v>
      </c>
      <c r="AD4853">
        <v>-3.57439999999997E-2</v>
      </c>
      <c r="AE4853">
        <v>0.68942000000000503</v>
      </c>
      <c r="AF4853">
        <v>-0.46709675463460698</v>
      </c>
      <c r="AG4853">
        <v>-3.57439999999997E-2</v>
      </c>
      <c r="AH4853">
        <v>0.65006991408283499</v>
      </c>
      <c r="AI4853">
        <v>92.556737896946004</v>
      </c>
      <c r="AJ4853">
        <v>125.69849651593999</v>
      </c>
      <c r="AK4853">
        <v>0.80127891830613296</v>
      </c>
      <c r="AL4853">
        <v>82.0673186740744</v>
      </c>
      <c r="AM4853">
        <v>103.144196977965</v>
      </c>
      <c r="AN4853">
        <v>0.999999949151128</v>
      </c>
    </row>
    <row r="4854" spans="1:40" x14ac:dyDescent="0.3">
      <c r="A4854" t="str">
        <f>"20200111150128916"</f>
        <v>20200111150128916</v>
      </c>
      <c r="B4854" t="str">
        <f>"1578726088913252"</f>
        <v>1578726088913252</v>
      </c>
      <c r="C4854" t="s">
        <v>40</v>
      </c>
      <c r="D4854">
        <v>4.9843630000000001</v>
      </c>
      <c r="E4854">
        <v>0.27744059999999998</v>
      </c>
      <c r="F4854" t="s">
        <v>41</v>
      </c>
      <c r="G4854">
        <v>-208.61789999999999</v>
      </c>
      <c r="H4854">
        <v>1.0761620000000001</v>
      </c>
      <c r="I4854">
        <v>-59.637560000000001</v>
      </c>
      <c r="J4854">
        <v>-209.09639999999999</v>
      </c>
      <c r="K4854">
        <v>1.1167830000000001</v>
      </c>
      <c r="L4854">
        <v>-60.432279999999999</v>
      </c>
      <c r="M4854">
        <v>0.91357980000000005</v>
      </c>
      <c r="N4854">
        <v>0</v>
      </c>
      <c r="O4854">
        <v>0.40633399999999997</v>
      </c>
      <c r="P4854">
        <v>0.79391849999999997</v>
      </c>
      <c r="Q4854">
        <v>0.1287845</v>
      </c>
      <c r="R4854">
        <v>0.59422889999999995</v>
      </c>
      <c r="S4854">
        <v>1.8733219999999999</v>
      </c>
      <c r="T4854">
        <v>-0.12072430000000001</v>
      </c>
      <c r="U4854">
        <v>2.582001</v>
      </c>
      <c r="V4854">
        <v>-0.22447320000000001</v>
      </c>
      <c r="W4854">
        <v>0.13793440000000001</v>
      </c>
      <c r="X4854">
        <v>0.96466879999999999</v>
      </c>
      <c r="Y4854">
        <v>-0.50083049999999996</v>
      </c>
      <c r="Z4854">
        <v>-6.0941240000000002E-3</v>
      </c>
      <c r="AA4854">
        <v>0.86552390000000001</v>
      </c>
      <c r="AB4854">
        <v>33</v>
      </c>
      <c r="AC4854">
        <v>0.47849999999999598</v>
      </c>
      <c r="AD4854">
        <v>-4.0620999999999997E-2</v>
      </c>
      <c r="AE4854">
        <v>0.79472000000000498</v>
      </c>
      <c r="AF4854">
        <v>-0.53066214343949702</v>
      </c>
      <c r="AG4854">
        <v>-4.0620999999999997E-2</v>
      </c>
      <c r="AH4854">
        <v>0.75871546332879203</v>
      </c>
      <c r="AI4854">
        <v>92.512121897329195</v>
      </c>
      <c r="AJ4854">
        <v>124.969780745222</v>
      </c>
      <c r="AK4854">
        <v>0.92676940520014195</v>
      </c>
      <c r="AL4854">
        <v>82.071663582488696</v>
      </c>
      <c r="AM4854">
        <v>103.09930913193</v>
      </c>
      <c r="AN4854">
        <v>1.00000000495752</v>
      </c>
    </row>
    <row r="4855" spans="1:40" x14ac:dyDescent="0.3">
      <c r="A4855" t="str">
        <f>"20200111150128928"</f>
        <v>20200111150128928</v>
      </c>
      <c r="B4855" t="str">
        <f>"1578726088923011"</f>
        <v>1578726088923011</v>
      </c>
      <c r="C4855" t="s">
        <v>40</v>
      </c>
      <c r="D4855">
        <v>4.9315300000000004</v>
      </c>
      <c r="E4855">
        <v>0.27744059999999998</v>
      </c>
      <c r="F4855" t="s">
        <v>54</v>
      </c>
      <c r="G4855">
        <v>-168.81219999999999</v>
      </c>
      <c r="H4855">
        <v>12.32175</v>
      </c>
      <c r="I4855">
        <v>37.368319999999997</v>
      </c>
      <c r="J4855">
        <v>-208.94370000000001</v>
      </c>
      <c r="K4855">
        <v>1.1168640000000001</v>
      </c>
      <c r="L4855">
        <v>-60.35754</v>
      </c>
      <c r="M4855">
        <v>0.91057109999999997</v>
      </c>
      <c r="N4855">
        <v>0</v>
      </c>
      <c r="O4855">
        <v>0.41303240000000002</v>
      </c>
      <c r="P4855">
        <v>0.78999919999999901</v>
      </c>
      <c r="Q4855">
        <v>0.1287267</v>
      </c>
      <c r="R4855">
        <v>0.59944189999999997</v>
      </c>
      <c r="S4855">
        <v>1.32019</v>
      </c>
      <c r="T4855">
        <v>0.36720789999999998</v>
      </c>
      <c r="U4855">
        <v>3.2051090000000002</v>
      </c>
      <c r="V4855">
        <v>-0.22376180000000001</v>
      </c>
      <c r="W4855">
        <v>0.13785269999999999</v>
      </c>
      <c r="X4855">
        <v>0.96484570000000003</v>
      </c>
      <c r="Y4855">
        <v>-0.68333889999999997</v>
      </c>
      <c r="Z4855">
        <v>5.6413899999999996E-3</v>
      </c>
      <c r="AA4855">
        <v>0.73007959999999905</v>
      </c>
      <c r="AB4855">
        <v>33</v>
      </c>
      <c r="AC4855">
        <v>40.131500000000003</v>
      </c>
      <c r="AD4855">
        <v>11.204886</v>
      </c>
      <c r="AE4855">
        <v>97.725859999999997</v>
      </c>
      <c r="AF4855">
        <v>-71.614714064341698</v>
      </c>
      <c r="AG4855">
        <v>11.204886</v>
      </c>
      <c r="AH4855">
        <v>76.061087745433596</v>
      </c>
      <c r="AI4855">
        <v>83.8781610594245</v>
      </c>
      <c r="AJ4855">
        <v>133.27540124535199</v>
      </c>
      <c r="AK4855">
        <v>105.069052578811</v>
      </c>
      <c r="AL4855">
        <v>82.0763894975955</v>
      </c>
      <c r="AM4855">
        <v>103.056907591268</v>
      </c>
      <c r="AN4855">
        <v>0.99999996742250896</v>
      </c>
    </row>
    <row r="4856" spans="1:40" x14ac:dyDescent="0.3">
      <c r="A4856" t="str">
        <f>"20200111150128983"</f>
        <v>20200111150128983</v>
      </c>
      <c r="B4856" t="str">
        <f>"1578726088972788"</f>
        <v>1578726088972788</v>
      </c>
      <c r="C4856" t="s">
        <v>40</v>
      </c>
      <c r="D4856">
        <v>7.3169699999999898</v>
      </c>
      <c r="E4856">
        <v>0.28289209999999998</v>
      </c>
      <c r="F4856" t="s">
        <v>54</v>
      </c>
      <c r="G4856">
        <v>-169.08599999999899</v>
      </c>
      <c r="H4856">
        <v>12.388949999999999</v>
      </c>
      <c r="I4856">
        <v>38.257300000000001</v>
      </c>
      <c r="J4856">
        <v>-208.23159999999999</v>
      </c>
      <c r="K4856">
        <v>1.1169560000000001</v>
      </c>
      <c r="L4856">
        <v>-59.990600000000001</v>
      </c>
      <c r="M4856">
        <v>0.89553799999999995</v>
      </c>
      <c r="N4856">
        <v>0</v>
      </c>
      <c r="O4856">
        <v>0.44469120000000001</v>
      </c>
      <c r="P4856">
        <v>0.76899519999999899</v>
      </c>
      <c r="Q4856">
        <v>0.12808119999999901</v>
      </c>
      <c r="R4856">
        <v>0.62629199999999996</v>
      </c>
      <c r="S4856">
        <v>1.2989649999999999</v>
      </c>
      <c r="T4856">
        <v>0.36735839999999997</v>
      </c>
      <c r="U4856">
        <v>3.213867</v>
      </c>
      <c r="V4856">
        <v>-0.22315789999999999</v>
      </c>
      <c r="W4856">
        <v>0.13705209999999901</v>
      </c>
      <c r="X4856">
        <v>0.96509959999999995</v>
      </c>
      <c r="Y4856">
        <v>-0.66257600000000005</v>
      </c>
      <c r="Z4856">
        <v>1.114333E-2</v>
      </c>
      <c r="AA4856">
        <v>0.74891180000000002</v>
      </c>
      <c r="AB4856">
        <v>33</v>
      </c>
      <c r="AC4856">
        <v>39.145600000000002</v>
      </c>
      <c r="AD4856">
        <v>11.271993999999999</v>
      </c>
      <c r="AE4856">
        <v>98.247900000000001</v>
      </c>
      <c r="AF4856">
        <v>-69.793423310648294</v>
      </c>
      <c r="AG4856">
        <v>11.271993999999999</v>
      </c>
      <c r="AH4856">
        <v>77.872045995985303</v>
      </c>
      <c r="AI4856">
        <v>83.847709651901098</v>
      </c>
      <c r="AJ4856">
        <v>131.868529844834</v>
      </c>
      <c r="AK4856">
        <v>105.177161654782</v>
      </c>
      <c r="AL4856">
        <v>82.122700181138597</v>
      </c>
      <c r="AM4856">
        <v>103.019562307942</v>
      </c>
      <c r="AN4856">
        <v>0.99999998218348896</v>
      </c>
    </row>
    <row r="4857" spans="1:40" x14ac:dyDescent="0.3">
      <c r="A4857" t="str">
        <f>"20200111150128995"</f>
        <v>20200111150128995</v>
      </c>
      <c r="B4857" t="str">
        <f>"1578726088993284"</f>
        <v>1578726088993284</v>
      </c>
      <c r="C4857" t="s">
        <v>40</v>
      </c>
      <c r="D4857">
        <v>4.8567429999999998</v>
      </c>
      <c r="E4857">
        <v>0.28347329999999998</v>
      </c>
      <c r="F4857" t="s">
        <v>54</v>
      </c>
      <c r="G4857">
        <v>-168.9957</v>
      </c>
      <c r="H4857">
        <v>12.463010000000001</v>
      </c>
      <c r="I4857">
        <v>43.941409999999998</v>
      </c>
      <c r="J4857">
        <v>-208.08199999999999</v>
      </c>
      <c r="K4857">
        <v>1.116933</v>
      </c>
      <c r="L4857">
        <v>-59.909179999999999</v>
      </c>
      <c r="M4857">
        <v>0.89210639999999997</v>
      </c>
      <c r="N4857">
        <v>0</v>
      </c>
      <c r="O4857">
        <v>0.45153559999999998</v>
      </c>
      <c r="P4857">
        <v>0.76443649999999996</v>
      </c>
      <c r="Q4857">
        <v>0.12753429999999999</v>
      </c>
      <c r="R4857">
        <v>0.63195880000000004</v>
      </c>
      <c r="S4857">
        <v>1.2170259999999999</v>
      </c>
      <c r="T4857">
        <v>0.35193439999999998</v>
      </c>
      <c r="U4857">
        <v>3.2237849999999999</v>
      </c>
      <c r="V4857">
        <v>-0.22283990000000001</v>
      </c>
      <c r="W4857">
        <v>0.1365307</v>
      </c>
      <c r="X4857">
        <v>0.96524699999999997</v>
      </c>
      <c r="Y4857">
        <v>-0.67413069999999997</v>
      </c>
      <c r="Z4857">
        <v>1.076154E-2</v>
      </c>
      <c r="AA4857">
        <v>0.73853359999999901</v>
      </c>
      <c r="AB4857">
        <v>33</v>
      </c>
      <c r="AC4857">
        <v>39.086300000000001</v>
      </c>
      <c r="AD4857">
        <v>11.346076999999999</v>
      </c>
      <c r="AE4857">
        <v>103.85059</v>
      </c>
      <c r="AF4857">
        <v>-74.230630585550003</v>
      </c>
      <c r="AG4857">
        <v>11.346076999999999</v>
      </c>
      <c r="AH4857">
        <v>80.925970774508897</v>
      </c>
      <c r="AI4857">
        <v>84.101102593983001</v>
      </c>
      <c r="AJ4857">
        <v>132.52909713858099</v>
      </c>
      <c r="AK4857">
        <v>110.398970675523</v>
      </c>
      <c r="AL4857">
        <v>82.152857921566905</v>
      </c>
      <c r="AM4857">
        <v>102.99972223295801</v>
      </c>
      <c r="AN4857">
        <v>1.00000001204175</v>
      </c>
    </row>
    <row r="4858" spans="1:40" x14ac:dyDescent="0.3">
      <c r="A4858" t="str">
        <f>"20200111150129007"</f>
        <v>20200111150129007</v>
      </c>
      <c r="B4858" t="str">
        <f>"1578726089003044"</f>
        <v>1578726089003044</v>
      </c>
      <c r="C4858" t="s">
        <v>40</v>
      </c>
      <c r="D4858">
        <v>4.6117010000000001</v>
      </c>
      <c r="E4858">
        <v>0.3731661</v>
      </c>
      <c r="F4858" t="s">
        <v>54</v>
      </c>
      <c r="G4858">
        <v>-169.08619999999999</v>
      </c>
      <c r="H4858">
        <v>12.57878</v>
      </c>
      <c r="I4858">
        <v>45.351680000000002</v>
      </c>
      <c r="J4858">
        <v>-207.93369999999999</v>
      </c>
      <c r="K4858">
        <v>1.1169209999999901</v>
      </c>
      <c r="L4858">
        <v>-59.827120000000001</v>
      </c>
      <c r="M4858">
        <v>0.88862419999999998</v>
      </c>
      <c r="N4858">
        <v>0</v>
      </c>
      <c r="O4858">
        <v>0.45835039999999999</v>
      </c>
      <c r="P4858">
        <v>0.75976259999999995</v>
      </c>
      <c r="Q4858">
        <v>0.12730730000000001</v>
      </c>
      <c r="R4858">
        <v>0.63761559999999995</v>
      </c>
      <c r="S4858">
        <v>1.1962889999999999</v>
      </c>
      <c r="T4858">
        <v>0.35161949999999997</v>
      </c>
      <c r="U4858">
        <v>3.2291259999999999</v>
      </c>
      <c r="V4858">
        <v>-0.22259380000000001</v>
      </c>
      <c r="W4858">
        <v>0.13632049999999901</v>
      </c>
      <c r="X4858">
        <v>0.96533349999999996</v>
      </c>
      <c r="Y4858">
        <v>-0.67307539999999999</v>
      </c>
      <c r="Z4858">
        <v>1.1664549999999999E-2</v>
      </c>
      <c r="AA4858">
        <v>0.73948190000000003</v>
      </c>
      <c r="AB4858">
        <v>33</v>
      </c>
      <c r="AC4858">
        <v>38.847499999999997</v>
      </c>
      <c r="AD4858">
        <v>11.461859</v>
      </c>
      <c r="AE4858">
        <v>105.1788</v>
      </c>
      <c r="AF4858">
        <v>-74.886012874974</v>
      </c>
      <c r="AG4858">
        <v>11.461859</v>
      </c>
      <c r="AH4858">
        <v>81.884716583394706</v>
      </c>
      <c r="AI4858">
        <v>84.1026365671744</v>
      </c>
      <c r="AJ4858">
        <v>132.44384611745301</v>
      </c>
      <c r="AK4858">
        <v>111.55445282905301</v>
      </c>
      <c r="AL4858">
        <v>82.165015242030094</v>
      </c>
      <c r="AM4858">
        <v>102.98472829638899</v>
      </c>
      <c r="AN4858">
        <v>1.0000000223704599</v>
      </c>
    </row>
    <row r="4859" spans="1:40" x14ac:dyDescent="0.3">
      <c r="A4859" t="str">
        <f>"20200111150129061"</f>
        <v>20200111150129061</v>
      </c>
      <c r="B4859" t="str">
        <f>"1578726089052821"</f>
        <v>1578726089052821</v>
      </c>
      <c r="C4859" t="s">
        <v>40</v>
      </c>
      <c r="D4859">
        <v>4.3322909999999997</v>
      </c>
      <c r="E4859">
        <v>0.37476759999999998</v>
      </c>
      <c r="F4859" t="s">
        <v>51</v>
      </c>
      <c r="G4859">
        <v>-166.47799999999901</v>
      </c>
      <c r="H4859">
        <v>1.201848</v>
      </c>
      <c r="I4859">
        <v>7.3802320000000003</v>
      </c>
      <c r="J4859">
        <v>-207.25540000000001</v>
      </c>
      <c r="K4859">
        <v>1.1170199999999999</v>
      </c>
      <c r="L4859">
        <v>-59.432830000000003</v>
      </c>
      <c r="M4859">
        <v>0.871779999999999</v>
      </c>
      <c r="N4859">
        <v>0</v>
      </c>
      <c r="O4859">
        <v>0.48962929999999999</v>
      </c>
      <c r="P4859">
        <v>0.73608079999999998</v>
      </c>
      <c r="Q4859">
        <v>0.1248022</v>
      </c>
      <c r="R4859">
        <v>0.66528889999999996</v>
      </c>
      <c r="S4859">
        <v>1.67250099999999</v>
      </c>
      <c r="T4859">
        <v>3.426194E-3</v>
      </c>
      <c r="U4859">
        <v>2.7114259999999999</v>
      </c>
      <c r="V4859">
        <v>-0.22377730000000001</v>
      </c>
      <c r="W4859">
        <v>0.13372519999999999</v>
      </c>
      <c r="X4859">
        <v>0.96542289999999997</v>
      </c>
      <c r="Y4859">
        <v>-0.48499029999999999</v>
      </c>
      <c r="Z4859">
        <v>2.8404279999999998E-4</v>
      </c>
      <c r="AA4859">
        <v>0.87451950000000001</v>
      </c>
      <c r="AB4859">
        <v>33</v>
      </c>
      <c r="AC4859">
        <v>40.7774</v>
      </c>
      <c r="AD4859">
        <v>8.4827999999999903E-2</v>
      </c>
      <c r="AE4859">
        <v>66.813062000000002</v>
      </c>
      <c r="AF4859">
        <v>-38.285467074393203</v>
      </c>
      <c r="AG4859">
        <v>8.4827999999999903E-2</v>
      </c>
      <c r="AH4859">
        <v>68.271445157676098</v>
      </c>
      <c r="AI4859">
        <v>89.937906520008795</v>
      </c>
      <c r="AJ4859">
        <v>119.28296813288</v>
      </c>
      <c r="AK4859">
        <v>78.273714673647703</v>
      </c>
      <c r="AL4859">
        <v>82.315089481221506</v>
      </c>
      <c r="AM4859">
        <v>103.05024145780401</v>
      </c>
      <c r="AN4859">
        <v>1.0000000424773601</v>
      </c>
    </row>
    <row r="4860" spans="1:40" x14ac:dyDescent="0.3">
      <c r="A4860" t="str">
        <f>"20200111150129074"</f>
        <v>20200111150129074</v>
      </c>
      <c r="B4860" t="str">
        <f>"1578726089062580"</f>
        <v>1578726089062580</v>
      </c>
      <c r="C4860" t="s">
        <v>40</v>
      </c>
      <c r="D4860">
        <v>5.5595850000000002</v>
      </c>
      <c r="E4860">
        <v>0.36608469999999999</v>
      </c>
      <c r="F4860" t="s">
        <v>51</v>
      </c>
      <c r="G4860">
        <v>-168.45050000000001</v>
      </c>
      <c r="H4860">
        <v>2.8707509999999998</v>
      </c>
      <c r="I4860">
        <v>8.6366420000000002</v>
      </c>
      <c r="J4860">
        <v>-207.10900000000001</v>
      </c>
      <c r="K4860">
        <v>1.1170530000000001</v>
      </c>
      <c r="L4860">
        <v>-59.342959999999998</v>
      </c>
      <c r="M4860">
        <v>0.86796090000000004</v>
      </c>
      <c r="N4860">
        <v>0</v>
      </c>
      <c r="O4860">
        <v>0.49636829999999998</v>
      </c>
      <c r="P4860">
        <v>0.73092290000000004</v>
      </c>
      <c r="Q4860">
        <v>0.1239003</v>
      </c>
      <c r="R4860">
        <v>0.67111880000000002</v>
      </c>
      <c r="S4860">
        <v>1.5717319999999999</v>
      </c>
      <c r="T4860">
        <v>7.1032049999999999E-2</v>
      </c>
      <c r="U4860">
        <v>2.75705</v>
      </c>
      <c r="V4860">
        <v>-0.2238801</v>
      </c>
      <c r="W4860">
        <v>0.13279749999999901</v>
      </c>
      <c r="X4860">
        <v>0.96552709999999997</v>
      </c>
      <c r="Y4860">
        <v>-0.50826669999999996</v>
      </c>
      <c r="Z4860">
        <v>5.8045129999999999E-3</v>
      </c>
      <c r="AA4860">
        <v>0.861180099999999</v>
      </c>
      <c r="AB4860">
        <v>33</v>
      </c>
      <c r="AC4860">
        <v>38.658499999999997</v>
      </c>
      <c r="AD4860">
        <v>1.75369799999999</v>
      </c>
      <c r="AE4860">
        <v>67.979602</v>
      </c>
      <c r="AF4860">
        <v>-39.799992515054498</v>
      </c>
      <c r="AG4860">
        <v>1.75369799999999</v>
      </c>
      <c r="AH4860">
        <v>67.271986959009794</v>
      </c>
      <c r="AI4860">
        <v>88.714714439355404</v>
      </c>
      <c r="AJ4860">
        <v>120.60974829153101</v>
      </c>
      <c r="AK4860">
        <v>78.183342792993898</v>
      </c>
      <c r="AL4860">
        <v>82.368721008812201</v>
      </c>
      <c r="AM4860">
        <v>103.054670458316</v>
      </c>
      <c r="AN4860">
        <v>1.0000000280083301</v>
      </c>
    </row>
    <row r="4861" spans="1:40" x14ac:dyDescent="0.3">
      <c r="A4861" t="str">
        <f>"20200111150132664"</f>
        <v>20200111150132664</v>
      </c>
      <c r="B4861" t="str">
        <f>"1578726092653277"</f>
        <v>1578726092653277</v>
      </c>
      <c r="C4861" t="s">
        <v>40</v>
      </c>
      <c r="D4861">
        <v>4.8103109999999996</v>
      </c>
      <c r="E4861">
        <v>0.53262229999999999</v>
      </c>
      <c r="F4861" t="s">
        <v>54</v>
      </c>
      <c r="G4861">
        <v>-162.5231</v>
      </c>
      <c r="H4861">
        <v>4.7283619999999997</v>
      </c>
      <c r="I4861">
        <v>24.523309999999999</v>
      </c>
      <c r="J4861">
        <v>-188.0547</v>
      </c>
      <c r="K4861">
        <v>1.1083940000000001</v>
      </c>
      <c r="L4861">
        <v>-17.187619999999999</v>
      </c>
      <c r="M4861">
        <v>1.0161450000000001E-2</v>
      </c>
      <c r="N4861">
        <v>0</v>
      </c>
      <c r="O4861">
        <v>0.99985979999999997</v>
      </c>
      <c r="P4861">
        <v>-0.1054621</v>
      </c>
      <c r="Q4861">
        <v>0.113931</v>
      </c>
      <c r="R4861">
        <v>0.98787519999999995</v>
      </c>
      <c r="S4861">
        <v>1.497498</v>
      </c>
      <c r="T4861">
        <v>0.1212925</v>
      </c>
      <c r="U4861">
        <v>2.8168030000000002</v>
      </c>
      <c r="V4861">
        <v>-0.11656660000000001</v>
      </c>
      <c r="W4861">
        <v>0.12607019999999999</v>
      </c>
      <c r="X4861">
        <v>0.98514900000000005</v>
      </c>
      <c r="Y4861">
        <v>0.46007949999999997</v>
      </c>
      <c r="Z4861">
        <v>3.808599E-2</v>
      </c>
      <c r="AA4861">
        <v>0.88706049999999903</v>
      </c>
      <c r="AB4861">
        <v>28</v>
      </c>
      <c r="AC4861">
        <v>25.531600000000001</v>
      </c>
      <c r="AD4861">
        <v>3.6199680000000001</v>
      </c>
      <c r="AE4861">
        <v>41.710929999999998</v>
      </c>
      <c r="AF4861">
        <v>24.969589643078699</v>
      </c>
      <c r="AG4861">
        <v>3.6199680000000001</v>
      </c>
      <c r="AH4861">
        <v>41.739542052163699</v>
      </c>
      <c r="AI4861">
        <v>85.743522669536702</v>
      </c>
      <c r="AJ4861">
        <v>59.111129872321897</v>
      </c>
      <c r="AK4861">
        <v>48.772676223364101</v>
      </c>
      <c r="AL4861">
        <v>82.757437400894403</v>
      </c>
      <c r="AM4861">
        <v>96.748080403153395</v>
      </c>
      <c r="AN4861">
        <v>1.0000000098823001</v>
      </c>
    </row>
    <row r="4862" spans="1:40" x14ac:dyDescent="0.3">
      <c r="A4862" t="str">
        <f>"20200111150132686"</f>
        <v>20200111150132686</v>
      </c>
      <c r="B4862" t="str">
        <f>"1578726092682558"</f>
        <v>1578726092682558</v>
      </c>
      <c r="C4862" t="s">
        <v>40</v>
      </c>
      <c r="D4862">
        <v>6.4056769999999998</v>
      </c>
      <c r="E4862">
        <v>0.52721039999999997</v>
      </c>
      <c r="F4862" t="s">
        <v>41</v>
      </c>
      <c r="G4862">
        <v>-188.07380000000001</v>
      </c>
      <c r="H4862">
        <v>1.0229060000000001</v>
      </c>
      <c r="I4862">
        <v>-16.272120000000001</v>
      </c>
      <c r="J4862">
        <v>-188.0564</v>
      </c>
      <c r="K4862">
        <v>1.1081240000000001</v>
      </c>
      <c r="L4862">
        <v>-16.917999999999999</v>
      </c>
      <c r="M4862">
        <v>6.2153549999999997E-3</v>
      </c>
      <c r="N4862">
        <v>0</v>
      </c>
      <c r="O4862">
        <v>0.99989249999999996</v>
      </c>
      <c r="P4862">
        <v>-0.1083778</v>
      </c>
      <c r="Q4862">
        <v>0.1121192</v>
      </c>
      <c r="R4862">
        <v>0.9877669</v>
      </c>
      <c r="S4862">
        <v>-6.3995360000000001E-2</v>
      </c>
      <c r="T4862">
        <v>-0.2860529</v>
      </c>
      <c r="U4862">
        <v>3.0629879999999998</v>
      </c>
      <c r="V4862">
        <v>-0.1154902</v>
      </c>
      <c r="W4862">
        <v>0.1243235</v>
      </c>
      <c r="X4862">
        <v>0.98549770000000003</v>
      </c>
      <c r="Y4862">
        <v>-2.701226E-2</v>
      </c>
      <c r="Z4862">
        <v>-9.2955830000000003E-2</v>
      </c>
      <c r="AA4862">
        <v>0.99530379999999996</v>
      </c>
      <c r="AB4862">
        <v>28</v>
      </c>
      <c r="AC4862">
        <v>-1.7400000000009099E-2</v>
      </c>
      <c r="AD4862">
        <v>-8.5218000000000002E-2</v>
      </c>
      <c r="AE4862">
        <v>0.64587999999999801</v>
      </c>
      <c r="AF4862">
        <v>-2.10482407898211E-2</v>
      </c>
      <c r="AG4862">
        <v>-8.5218000000000002E-2</v>
      </c>
      <c r="AH4862">
        <v>0.63471795137353504</v>
      </c>
      <c r="AI4862">
        <v>97.642720332477197</v>
      </c>
      <c r="AJ4862">
        <v>91.899321716302893</v>
      </c>
      <c r="AK4862">
        <v>0.64075893576302401</v>
      </c>
      <c r="AL4862">
        <v>82.858309679141499</v>
      </c>
      <c r="AM4862">
        <v>96.683989608835503</v>
      </c>
      <c r="AN4862">
        <v>1.0000000178267801</v>
      </c>
    </row>
    <row r="4863" spans="1:40" x14ac:dyDescent="0.3">
      <c r="A4863" t="str">
        <f>"20200111150132708"</f>
        <v>20200111150132708</v>
      </c>
      <c r="B4863" t="str">
        <f>"1578726092703054"</f>
        <v>1578726092703054</v>
      </c>
      <c r="C4863" t="s">
        <v>40</v>
      </c>
      <c r="D4863">
        <v>4.8761479999999997</v>
      </c>
      <c r="E4863">
        <v>0.53379619999999905</v>
      </c>
      <c r="F4863" t="s">
        <v>42</v>
      </c>
      <c r="G4863">
        <v>-189.86259999999999</v>
      </c>
      <c r="H4863" s="1">
        <v>-8.3605660000000004E-7</v>
      </c>
      <c r="I4863">
        <v>31.524809999999999</v>
      </c>
      <c r="J4863">
        <v>-188.05889999999999</v>
      </c>
      <c r="K4863">
        <v>1.1078490000000001</v>
      </c>
      <c r="L4863">
        <v>-16.638369999999998</v>
      </c>
      <c r="M4863">
        <v>2.5058659999999998E-3</v>
      </c>
      <c r="N4863">
        <v>0</v>
      </c>
      <c r="O4863">
        <v>0.99990889999999999</v>
      </c>
      <c r="P4863">
        <v>-0.1107606</v>
      </c>
      <c r="Q4863">
        <v>0.11061550000000001</v>
      </c>
      <c r="R4863">
        <v>0.9876722</v>
      </c>
      <c r="S4863">
        <v>-0.1130676</v>
      </c>
      <c r="T4863">
        <v>-6.9370989999999993E-2</v>
      </c>
      <c r="U4863">
        <v>3.0326230000000001</v>
      </c>
      <c r="V4863">
        <v>-0.1141144</v>
      </c>
      <c r="W4863">
        <v>0.12288979999999999</v>
      </c>
      <c r="X4863">
        <v>0.98583770000000004</v>
      </c>
      <c r="Y4863">
        <v>-3.9752389999999999E-2</v>
      </c>
      <c r="Z4863">
        <v>-2.285185E-2</v>
      </c>
      <c r="AA4863">
        <v>0.99894819999999995</v>
      </c>
      <c r="AB4863">
        <v>28</v>
      </c>
      <c r="AC4863">
        <v>-1.8036999999999901</v>
      </c>
      <c r="AD4863">
        <v>-1.1078498360566</v>
      </c>
      <c r="AE4863">
        <v>48.163179999999997</v>
      </c>
      <c r="AF4863">
        <v>-1.9233792080310399</v>
      </c>
      <c r="AG4863">
        <v>-1.1078498360566</v>
      </c>
      <c r="AH4863">
        <v>48.1330773514726</v>
      </c>
      <c r="AI4863">
        <v>91.317458347377297</v>
      </c>
      <c r="AJ4863">
        <v>92.288299807494994</v>
      </c>
      <c r="AK4863">
        <v>48.184228271914598</v>
      </c>
      <c r="AL4863">
        <v>82.941089225049396</v>
      </c>
      <c r="AM4863">
        <v>96.602815139482004</v>
      </c>
      <c r="AN4863">
        <v>0.99999998498634401</v>
      </c>
    </row>
    <row r="4864" spans="1:40" x14ac:dyDescent="0.3">
      <c r="A4864" t="str">
        <f>"20200111150132731"</f>
        <v>20200111150132731</v>
      </c>
      <c r="B4864" t="str">
        <f>"1578726092722574"</f>
        <v>1578726092722574</v>
      </c>
      <c r="C4864" t="s">
        <v>40</v>
      </c>
      <c r="D4864">
        <v>4.2925370000000003</v>
      </c>
      <c r="E4864">
        <v>0.53348339999999905</v>
      </c>
      <c r="F4864" t="s">
        <v>52</v>
      </c>
      <c r="G4864">
        <v>-193.51490000000001</v>
      </c>
      <c r="H4864" s="1">
        <v>8.8331879999999999E-7</v>
      </c>
      <c r="I4864">
        <v>226.2251</v>
      </c>
      <c r="J4864">
        <v>-188.06209999999999</v>
      </c>
      <c r="K4864">
        <v>1.10755</v>
      </c>
      <c r="L4864">
        <v>-16.354949999999999</v>
      </c>
      <c r="M4864">
        <v>-7.8895229999999998E-4</v>
      </c>
      <c r="N4864">
        <v>0</v>
      </c>
      <c r="O4864">
        <v>0.99991209999999997</v>
      </c>
      <c r="P4864">
        <v>-0.1135018</v>
      </c>
      <c r="Q4864">
        <v>0.1108537</v>
      </c>
      <c r="R4864">
        <v>0.98733419999999905</v>
      </c>
      <c r="S4864">
        <v>-6.8099980000000004E-2</v>
      </c>
      <c r="T4864">
        <v>-1.3827799999999999E-2</v>
      </c>
      <c r="U4864">
        <v>3.031342</v>
      </c>
      <c r="V4864">
        <v>-0.11350979999999999</v>
      </c>
      <c r="W4864">
        <v>0.1231945</v>
      </c>
      <c r="X4864">
        <v>0.98586949999999995</v>
      </c>
      <c r="Y4864">
        <v>-2.167057E-2</v>
      </c>
      <c r="Z4864">
        <v>-4.5604510000000001E-3</v>
      </c>
      <c r="AA4864">
        <v>0.99975480000000005</v>
      </c>
      <c r="AB4864">
        <v>28</v>
      </c>
      <c r="AC4864">
        <v>-5.4528000000000203</v>
      </c>
      <c r="AD4864">
        <v>-1.1075491166811999</v>
      </c>
      <c r="AE4864">
        <v>242.58005</v>
      </c>
      <c r="AF4864">
        <v>-5.2612878300494499</v>
      </c>
      <c r="AG4864">
        <v>-1.1075491166811999</v>
      </c>
      <c r="AH4864">
        <v>242.57922269392901</v>
      </c>
      <c r="AI4864">
        <v>90.261533235597398</v>
      </c>
      <c r="AJ4864">
        <v>91.242490305285898</v>
      </c>
      <c r="AK4864">
        <v>242.638799653863</v>
      </c>
      <c r="AL4864">
        <v>82.9234977446947</v>
      </c>
      <c r="AM4864">
        <v>96.567928627948007</v>
      </c>
      <c r="AN4864">
        <v>1.00000001527826</v>
      </c>
    </row>
    <row r="4865" spans="1:40" x14ac:dyDescent="0.3">
      <c r="A4865" t="str">
        <f>"20200111150132753"</f>
        <v>20200111150132753</v>
      </c>
      <c r="B4865" t="str">
        <f>"1578726092743142"</f>
        <v>1578726092743142</v>
      </c>
      <c r="C4865" t="s">
        <v>40</v>
      </c>
      <c r="D4865">
        <v>5.4371179999999999</v>
      </c>
      <c r="E4865">
        <v>0.53363549999999904</v>
      </c>
      <c r="F4865" t="s">
        <v>96</v>
      </c>
      <c r="G4865">
        <v>-198.5958</v>
      </c>
      <c r="H4865">
        <v>4.7335409999999998</v>
      </c>
      <c r="I4865">
        <v>391.87</v>
      </c>
      <c r="J4865">
        <v>-188.06549999999999</v>
      </c>
      <c r="K4865">
        <v>1.107219</v>
      </c>
      <c r="L4865">
        <v>-16.07968</v>
      </c>
      <c r="M4865">
        <v>-3.4975900000000001E-3</v>
      </c>
      <c r="N4865">
        <v>0</v>
      </c>
      <c r="O4865">
        <v>0.99990650000000003</v>
      </c>
      <c r="P4865">
        <v>-0.11818579999999999</v>
      </c>
      <c r="Q4865">
        <v>0.1130589</v>
      </c>
      <c r="R4865">
        <v>0.98653420000000003</v>
      </c>
      <c r="S4865">
        <v>-7.8094479999999994E-2</v>
      </c>
      <c r="T4865">
        <v>2.688229E-2</v>
      </c>
      <c r="U4865">
        <v>3.0264890000000002</v>
      </c>
      <c r="V4865">
        <v>-0.1154308</v>
      </c>
      <c r="W4865">
        <v>0.1254537</v>
      </c>
      <c r="X4865">
        <v>0.98536140000000005</v>
      </c>
      <c r="Y4865">
        <v>-2.229716E-2</v>
      </c>
      <c r="Z4865">
        <v>8.8793209999999904E-3</v>
      </c>
      <c r="AA4865">
        <v>0.99971189999999999</v>
      </c>
      <c r="AB4865">
        <v>28</v>
      </c>
      <c r="AC4865">
        <v>-10.5303</v>
      </c>
      <c r="AD4865">
        <v>3.626322</v>
      </c>
      <c r="AE4865">
        <v>407.94968</v>
      </c>
      <c r="AF4865">
        <v>-9.1025513899063206</v>
      </c>
      <c r="AG4865">
        <v>3.626322</v>
      </c>
      <c r="AH4865">
        <v>407.95180460533697</v>
      </c>
      <c r="AI4865">
        <v>89.490832560319802</v>
      </c>
      <c r="AJ4865">
        <v>91.278217785051993</v>
      </c>
      <c r="AK4865">
        <v>408.06945675191702</v>
      </c>
      <c r="AL4865">
        <v>82.793042829959703</v>
      </c>
      <c r="AM4865">
        <v>96.681498654475803</v>
      </c>
      <c r="AN4865">
        <v>0.99999999452114496</v>
      </c>
    </row>
    <row r="4866" spans="1:40" x14ac:dyDescent="0.3">
      <c r="A4866" t="str">
        <f>"20200111150132776"</f>
        <v>20200111150132776</v>
      </c>
      <c r="B4866" t="str">
        <f>"1578726092773398"</f>
        <v>1578726092773398</v>
      </c>
      <c r="C4866" t="s">
        <v>40</v>
      </c>
      <c r="D4866">
        <v>5.0559310000000002</v>
      </c>
      <c r="E4866">
        <v>0.53420330000000005</v>
      </c>
      <c r="F4866" t="s">
        <v>96</v>
      </c>
      <c r="G4866">
        <v>-200.23339999999999</v>
      </c>
      <c r="H4866">
        <v>7.7943910000000001</v>
      </c>
      <c r="I4866">
        <v>391.87</v>
      </c>
      <c r="J4866">
        <v>-188.0693</v>
      </c>
      <c r="K4866">
        <v>1.1068420000000001</v>
      </c>
      <c r="L4866">
        <v>-15.79749</v>
      </c>
      <c r="M4866">
        <v>-5.7552899999999997E-3</v>
      </c>
      <c r="N4866">
        <v>0</v>
      </c>
      <c r="O4866">
        <v>0.99989640000000002</v>
      </c>
      <c r="P4866">
        <v>-0.123863</v>
      </c>
      <c r="Q4866">
        <v>0.1150297</v>
      </c>
      <c r="R4866">
        <v>0.98560950000000003</v>
      </c>
      <c r="S4866">
        <v>-9.0209960000000006E-2</v>
      </c>
      <c r="T4866">
        <v>4.9577120000000002E-2</v>
      </c>
      <c r="U4866">
        <v>3.0244450000000001</v>
      </c>
      <c r="V4866">
        <v>-0.11877359999999999</v>
      </c>
      <c r="W4866">
        <v>0.12748860000000001</v>
      </c>
      <c r="X4866">
        <v>0.98470279999999999</v>
      </c>
      <c r="Y4866">
        <v>-2.4055969999999999E-2</v>
      </c>
      <c r="Z4866">
        <v>1.6383519999999999E-2</v>
      </c>
      <c r="AA4866">
        <v>0.99957629999999997</v>
      </c>
      <c r="AB4866">
        <v>28</v>
      </c>
      <c r="AC4866">
        <v>-12.1640999999999</v>
      </c>
      <c r="AD4866">
        <v>6.6875489999999997</v>
      </c>
      <c r="AE4866">
        <v>407.66748999999999</v>
      </c>
      <c r="AF4866">
        <v>-9.8148107841430399</v>
      </c>
      <c r="AG4866">
        <v>6.6875489999999997</v>
      </c>
      <c r="AH4866">
        <v>407.62115580338099</v>
      </c>
      <c r="AI4866">
        <v>89.060345717642306</v>
      </c>
      <c r="AJ4866">
        <v>91.379316525677396</v>
      </c>
      <c r="AK4866">
        <v>407.79413983141097</v>
      </c>
      <c r="AL4866">
        <v>82.675508319604305</v>
      </c>
      <c r="AM4866">
        <v>96.877718159286999</v>
      </c>
      <c r="AN4866">
        <v>1.00000005775737</v>
      </c>
    </row>
    <row r="4867" spans="1:40" x14ac:dyDescent="0.3">
      <c r="A4867" t="str">
        <f>"20200111150132797"</f>
        <v>20200111150132797</v>
      </c>
      <c r="B4867" t="str">
        <f>"1578726092792918"</f>
        <v>1578726092792918</v>
      </c>
      <c r="C4867" t="s">
        <v>40</v>
      </c>
      <c r="D4867">
        <v>4.8202759999999998</v>
      </c>
      <c r="E4867">
        <v>0.53413739999999998</v>
      </c>
      <c r="F4867" t="s">
        <v>96</v>
      </c>
      <c r="G4867">
        <v>-201.9014</v>
      </c>
      <c r="H4867">
        <v>19.766749999999998</v>
      </c>
      <c r="I4867">
        <v>391.00349999999997</v>
      </c>
      <c r="J4867">
        <v>-188.0729</v>
      </c>
      <c r="K4867">
        <v>1.1064560000000001</v>
      </c>
      <c r="L4867">
        <v>-15.531890000000001</v>
      </c>
      <c r="M4867">
        <v>-7.3722709999999997E-3</v>
      </c>
      <c r="N4867">
        <v>0</v>
      </c>
      <c r="O4867">
        <v>0.99988600000000005</v>
      </c>
      <c r="P4867">
        <v>-0.128446</v>
      </c>
      <c r="Q4867">
        <v>0.115241899999999</v>
      </c>
      <c r="R4867">
        <v>0.98499789999999998</v>
      </c>
      <c r="S4867">
        <v>-0.1025085</v>
      </c>
      <c r="T4867">
        <v>0.1382871</v>
      </c>
      <c r="U4867">
        <v>3.0147710000000001</v>
      </c>
      <c r="V4867">
        <v>-0.121643</v>
      </c>
      <c r="W4867">
        <v>0.12778139999999999</v>
      </c>
      <c r="X4867">
        <v>0.98431440000000003</v>
      </c>
      <c r="Y4867">
        <v>-2.6577239999999999E-2</v>
      </c>
      <c r="Z4867">
        <v>4.5798510000000001E-2</v>
      </c>
      <c r="AA4867">
        <v>0.99859710000000002</v>
      </c>
      <c r="AB4867">
        <v>28</v>
      </c>
      <c r="AC4867">
        <v>-13.828499999999901</v>
      </c>
      <c r="AD4867">
        <v>18.660294</v>
      </c>
      <c r="AE4867">
        <v>406.53539000000001</v>
      </c>
      <c r="AF4867">
        <v>-10.8080299068421</v>
      </c>
      <c r="AG4867">
        <v>18.660294</v>
      </c>
      <c r="AH4867">
        <v>405.77237002379701</v>
      </c>
      <c r="AI4867">
        <v>87.367920599300106</v>
      </c>
      <c r="AJ4867">
        <v>91.525752271595294</v>
      </c>
      <c r="AK4867">
        <v>406.34497210789101</v>
      </c>
      <c r="AL4867">
        <v>82.658593141511403</v>
      </c>
      <c r="AM4867">
        <v>97.044975866569004</v>
      </c>
      <c r="AN4867">
        <v>0.99999997184115896</v>
      </c>
    </row>
    <row r="4868" spans="1:40" x14ac:dyDescent="0.3">
      <c r="A4868" t="str">
        <f>"20200111150132820"</f>
        <v>20200111150132820</v>
      </c>
      <c r="B4868" t="str">
        <f>"1578726092813416"</f>
        <v>1578726092813416</v>
      </c>
      <c r="C4868" t="s">
        <v>40</v>
      </c>
      <c r="D4868">
        <v>5.127148</v>
      </c>
      <c r="E4868">
        <v>0.54346319999999904</v>
      </c>
      <c r="F4868" t="s">
        <v>96</v>
      </c>
      <c r="G4868">
        <v>-203.85769999999999</v>
      </c>
      <c r="H4868">
        <v>22.52814</v>
      </c>
      <c r="I4868">
        <v>391.00349999999997</v>
      </c>
      <c r="J4868">
        <v>-188.07660000000001</v>
      </c>
      <c r="K4868">
        <v>1.1060219999999901</v>
      </c>
      <c r="L4868">
        <v>-15.248810000000001</v>
      </c>
      <c r="M4868">
        <v>-8.5464619999999995E-3</v>
      </c>
      <c r="N4868">
        <v>0</v>
      </c>
      <c r="O4868">
        <v>0.99987689999999996</v>
      </c>
      <c r="P4868">
        <v>-0.13128139999999999</v>
      </c>
      <c r="Q4868">
        <v>0.1152098</v>
      </c>
      <c r="R4868">
        <v>0.98462780000000005</v>
      </c>
      <c r="S4868">
        <v>-0.1169434</v>
      </c>
      <c r="T4868">
        <v>0.1587054</v>
      </c>
      <c r="U4868">
        <v>3.0118710000000002</v>
      </c>
      <c r="V4868">
        <v>-0.1231868</v>
      </c>
      <c r="W4868">
        <v>0.12785469999999999</v>
      </c>
      <c r="X4868">
        <v>0.98411289999999996</v>
      </c>
      <c r="Y4868">
        <v>-3.0202380000000001E-2</v>
      </c>
      <c r="Z4868">
        <v>5.2585640000000003E-2</v>
      </c>
      <c r="AA4868">
        <v>0.99815960000000004</v>
      </c>
      <c r="AB4868">
        <v>28</v>
      </c>
      <c r="AC4868">
        <v>-15.781099999999901</v>
      </c>
      <c r="AD4868">
        <v>21.422117999999902</v>
      </c>
      <c r="AE4868">
        <v>406.25231000000002</v>
      </c>
      <c r="AF4868">
        <v>-12.274125414303001</v>
      </c>
      <c r="AG4868">
        <v>21.422117999999902</v>
      </c>
      <c r="AH4868">
        <v>405.247235967601</v>
      </c>
      <c r="AI4868">
        <v>86.9754400405117</v>
      </c>
      <c r="AJ4868">
        <v>91.734843800459004</v>
      </c>
      <c r="AK4868">
        <v>405.99862506377099</v>
      </c>
      <c r="AL4868">
        <v>82.654358879846299</v>
      </c>
      <c r="AM4868">
        <v>97.134915451914594</v>
      </c>
      <c r="AN4868">
        <v>1.0000000059763601</v>
      </c>
    </row>
    <row r="4869" spans="1:40" x14ac:dyDescent="0.3">
      <c r="A4869" t="str">
        <f>"20200111150132843"</f>
        <v>20200111150132843</v>
      </c>
      <c r="B4869" t="str">
        <f>"1578726092832935"</f>
        <v>1578726092832935</v>
      </c>
      <c r="C4869" t="s">
        <v>40</v>
      </c>
      <c r="D4869">
        <v>4.8086029999999997</v>
      </c>
      <c r="E4869">
        <v>0.53169390000000005</v>
      </c>
      <c r="F4869" t="s">
        <v>41</v>
      </c>
      <c r="G4869">
        <v>-188.0898</v>
      </c>
      <c r="H4869">
        <v>1.039504</v>
      </c>
      <c r="I4869">
        <v>-14.51149</v>
      </c>
      <c r="J4869">
        <v>-188.08</v>
      </c>
      <c r="K4869">
        <v>1.1056159999999999</v>
      </c>
      <c r="L4869">
        <v>-14.9649</v>
      </c>
      <c r="M4869">
        <v>-9.1391170000000004E-3</v>
      </c>
      <c r="N4869">
        <v>0</v>
      </c>
      <c r="O4869">
        <v>0.99987190000000004</v>
      </c>
      <c r="P4869">
        <v>-0.13164400000000001</v>
      </c>
      <c r="Q4869">
        <v>0.1179127</v>
      </c>
      <c r="R4869">
        <v>0.98425940000000001</v>
      </c>
      <c r="S4869">
        <v>-5.5358890000000001E-2</v>
      </c>
      <c r="T4869">
        <v>-0.27711469999999999</v>
      </c>
      <c r="U4869">
        <v>3.071869</v>
      </c>
      <c r="V4869">
        <v>-0.12284150000000001</v>
      </c>
      <c r="W4869">
        <v>0.13066520000000001</v>
      </c>
      <c r="X4869">
        <v>0.98378679999999996</v>
      </c>
      <c r="Y4869">
        <v>-8.8062890000000001E-3</v>
      </c>
      <c r="Z4869">
        <v>-8.9831060000000004E-2</v>
      </c>
      <c r="AA4869">
        <v>0.99591810000000003</v>
      </c>
      <c r="AB4869">
        <v>28</v>
      </c>
      <c r="AC4869">
        <v>-9.7999999999842605E-3</v>
      </c>
      <c r="AD4869">
        <v>-6.6111999999999893E-2</v>
      </c>
      <c r="AE4869">
        <v>0.45340999999999898</v>
      </c>
      <c r="AF4869">
        <v>-5.5377834350664604E-3</v>
      </c>
      <c r="AG4869">
        <v>-6.6111999999999893E-2</v>
      </c>
      <c r="AH4869">
        <v>0.44404432894570001</v>
      </c>
      <c r="AI4869">
        <v>98.467685550834602</v>
      </c>
      <c r="AJ4869">
        <v>90.714512380613698</v>
      </c>
      <c r="AK4869">
        <v>0.448973083445111</v>
      </c>
      <c r="AL4869">
        <v>82.491966249950707</v>
      </c>
      <c r="AM4869">
        <v>97.117455413039295</v>
      </c>
      <c r="AN4869">
        <v>0.99999994823376304</v>
      </c>
    </row>
    <row r="4870" spans="1:40" x14ac:dyDescent="0.3">
      <c r="A4870" t="str">
        <f>"20200111150132865"</f>
        <v>20200111150132865</v>
      </c>
      <c r="B4870" t="str">
        <f>"1578726092852530"</f>
        <v>1578726092852530</v>
      </c>
      <c r="C4870" t="s">
        <v>40</v>
      </c>
      <c r="D4870">
        <v>4.7951129999999997</v>
      </c>
      <c r="E4870">
        <v>0.54683159999999997</v>
      </c>
      <c r="F4870" t="s">
        <v>96</v>
      </c>
      <c r="G4870">
        <v>-207.72890000000001</v>
      </c>
      <c r="H4870">
        <v>62.645339999999997</v>
      </c>
      <c r="I4870">
        <v>391.87</v>
      </c>
      <c r="J4870">
        <v>-188.0829</v>
      </c>
      <c r="K4870">
        <v>1.1052550000000001</v>
      </c>
      <c r="L4870">
        <v>-14.68835</v>
      </c>
      <c r="M4870">
        <v>-9.2200029999999992E-3</v>
      </c>
      <c r="N4870">
        <v>0</v>
      </c>
      <c r="O4870">
        <v>0.99987130000000002</v>
      </c>
      <c r="P4870">
        <v>-0.12946489999999999</v>
      </c>
      <c r="Q4870">
        <v>0.11944539999999999</v>
      </c>
      <c r="R4870">
        <v>0.98436360000000001</v>
      </c>
      <c r="S4870">
        <v>-0.14367679999999999</v>
      </c>
      <c r="T4870">
        <v>0.44999</v>
      </c>
      <c r="U4870">
        <v>2.9748540000000001</v>
      </c>
      <c r="V4870">
        <v>-0.12046460000000001</v>
      </c>
      <c r="W4870">
        <v>0.13229929999999901</v>
      </c>
      <c r="X4870">
        <v>0.98386229999999997</v>
      </c>
      <c r="Y4870">
        <v>-3.8487250000000001E-2</v>
      </c>
      <c r="Z4870">
        <v>0.1494134</v>
      </c>
      <c r="AA4870">
        <v>0.9880255</v>
      </c>
      <c r="AB4870">
        <v>28</v>
      </c>
      <c r="AC4870">
        <v>-19.646000000000001</v>
      </c>
      <c r="AD4870">
        <v>61.540084999999998</v>
      </c>
      <c r="AE4870">
        <v>406.55835000000002</v>
      </c>
      <c r="AF4870">
        <v>-15.541117859943499</v>
      </c>
      <c r="AG4870">
        <v>61.540084999999998</v>
      </c>
      <c r="AH4870">
        <v>397.63272619958502</v>
      </c>
      <c r="AI4870">
        <v>81.2089588349682</v>
      </c>
      <c r="AJ4870">
        <v>92.238214855748097</v>
      </c>
      <c r="AK4870">
        <v>402.666727395073</v>
      </c>
      <c r="AL4870">
        <v>82.397519083685495</v>
      </c>
      <c r="AM4870">
        <v>96.980579200807497</v>
      </c>
      <c r="AN4870">
        <v>0.99999992499746704</v>
      </c>
    </row>
    <row r="4871" spans="1:40" x14ac:dyDescent="0.3">
      <c r="A4871" t="str">
        <f>"20200111150132886"</f>
        <v>20200111150132886</v>
      </c>
      <c r="B4871" t="str">
        <f>"1578726092882786"</f>
        <v>1578726092882786</v>
      </c>
      <c r="C4871" t="s">
        <v>40</v>
      </c>
      <c r="D4871">
        <v>4.7245710000000001</v>
      </c>
      <c r="E4871">
        <v>0.54756890000000003</v>
      </c>
      <c r="F4871" t="s">
        <v>42</v>
      </c>
      <c r="G4871">
        <v>-188.21100000000001</v>
      </c>
      <c r="H4871" s="1">
        <v>-1.7904390000000001E-6</v>
      </c>
      <c r="I4871">
        <v>3.0666129999999998</v>
      </c>
      <c r="J4871">
        <v>-188.08529999999999</v>
      </c>
      <c r="K4871">
        <v>1.104959</v>
      </c>
      <c r="L4871">
        <v>-14.41595</v>
      </c>
      <c r="M4871">
        <v>-8.9298639999999992E-3</v>
      </c>
      <c r="N4871">
        <v>0</v>
      </c>
      <c r="O4871">
        <v>0.99987409999999999</v>
      </c>
      <c r="P4871">
        <v>-0.1266245</v>
      </c>
      <c r="Q4871">
        <v>0.1206547</v>
      </c>
      <c r="R4871">
        <v>0.9845855</v>
      </c>
      <c r="S4871">
        <v>-2.21405E-2</v>
      </c>
      <c r="T4871">
        <v>-0.1909786</v>
      </c>
      <c r="U4871">
        <v>3.0679020000000001</v>
      </c>
      <c r="V4871">
        <v>-0.11781079999999999</v>
      </c>
      <c r="W4871">
        <v>0.13358809999999999</v>
      </c>
      <c r="X4871">
        <v>0.98400960000000004</v>
      </c>
      <c r="Y4871">
        <v>1.727992E-3</v>
      </c>
      <c r="Z4871">
        <v>-6.2125739999999999E-2</v>
      </c>
      <c r="AA4871">
        <v>0.99806680000000003</v>
      </c>
      <c r="AB4871">
        <v>28</v>
      </c>
      <c r="AC4871">
        <v>-0.12569999999999401</v>
      </c>
      <c r="AD4871">
        <v>-1.104960790439</v>
      </c>
      <c r="AE4871">
        <v>17.482562999999999</v>
      </c>
      <c r="AF4871">
        <v>3.0314263827032801E-2</v>
      </c>
      <c r="AG4871">
        <v>-1.104960790439</v>
      </c>
      <c r="AH4871">
        <v>17.413430661972502</v>
      </c>
      <c r="AI4871">
        <v>93.630802493193499</v>
      </c>
      <c r="AJ4871">
        <v>89.900256436800305</v>
      </c>
      <c r="AK4871">
        <v>17.448479152130201</v>
      </c>
      <c r="AL4871">
        <v>82.323015745746801</v>
      </c>
      <c r="AM4871">
        <v>96.827254626502096</v>
      </c>
      <c r="AN4871">
        <v>1.0000000289752</v>
      </c>
    </row>
    <row r="4872" spans="1:40" x14ac:dyDescent="0.3">
      <c r="A4872" t="str">
        <f>"20200111150132910"</f>
        <v>20200111150132910</v>
      </c>
      <c r="B4872" t="str">
        <f>"1578726092903283"</f>
        <v>1578726092903283</v>
      </c>
      <c r="C4872" t="s">
        <v>40</v>
      </c>
      <c r="D4872">
        <v>4.8125349999999996</v>
      </c>
      <c r="E4872">
        <v>0.54756890000000003</v>
      </c>
      <c r="F4872" t="s">
        <v>42</v>
      </c>
      <c r="G4872">
        <v>-188.13239999999999</v>
      </c>
      <c r="H4872" s="1">
        <v>-1.513072E-6</v>
      </c>
      <c r="I4872">
        <v>2.3875639999999998</v>
      </c>
      <c r="J4872">
        <v>-188.08750000000001</v>
      </c>
      <c r="K4872">
        <v>1.104687</v>
      </c>
      <c r="L4872">
        <v>-14.12064</v>
      </c>
      <c r="M4872">
        <v>-8.2489839999999991E-3</v>
      </c>
      <c r="N4872">
        <v>0</v>
      </c>
      <c r="O4872">
        <v>0.99988010000000005</v>
      </c>
      <c r="P4872">
        <v>-0.1239103</v>
      </c>
      <c r="Q4872">
        <v>0.1208354</v>
      </c>
      <c r="R4872">
        <v>0.98490860000000002</v>
      </c>
      <c r="S4872">
        <v>-8.6059569999999991E-3</v>
      </c>
      <c r="T4872">
        <v>-0.2019167</v>
      </c>
      <c r="U4872">
        <v>3.0706180000000001</v>
      </c>
      <c r="V4872">
        <v>-0.1156759</v>
      </c>
      <c r="W4872">
        <v>0.13383619999999999</v>
      </c>
      <c r="X4872">
        <v>0.98422909999999997</v>
      </c>
      <c r="Y4872">
        <v>5.4531270000000003E-3</v>
      </c>
      <c r="Z4872">
        <v>-6.5612000000000004E-2</v>
      </c>
      <c r="AA4872">
        <v>0.99783029999999995</v>
      </c>
      <c r="AB4872">
        <v>28</v>
      </c>
      <c r="AC4872">
        <v>-4.4899999999984098E-2</v>
      </c>
      <c r="AD4872">
        <v>-1.1046885130719999</v>
      </c>
      <c r="AE4872">
        <v>16.508203999999999</v>
      </c>
      <c r="AF4872">
        <v>9.0882169968746707E-2</v>
      </c>
      <c r="AG4872">
        <v>-1.1046885130719999</v>
      </c>
      <c r="AH4872">
        <v>16.434420547090699</v>
      </c>
      <c r="AI4872">
        <v>93.845463082394005</v>
      </c>
      <c r="AJ4872">
        <v>89.683158181419898</v>
      </c>
      <c r="AK4872">
        <v>16.471756888637302</v>
      </c>
      <c r="AL4872">
        <v>82.308671492965203</v>
      </c>
      <c r="AM4872">
        <v>96.703189945436193</v>
      </c>
      <c r="AN4872">
        <v>0.99999998177902905</v>
      </c>
    </row>
    <row r="4873" spans="1:40" x14ac:dyDescent="0.3">
      <c r="A4873" t="str">
        <f>"20200111150132931"</f>
        <v>20200111150132931</v>
      </c>
      <c r="B4873" t="str">
        <f>"1578726092922802"</f>
        <v>1578726092922802</v>
      </c>
      <c r="C4873" t="s">
        <v>40</v>
      </c>
      <c r="D4873">
        <v>4.698893</v>
      </c>
      <c r="E4873">
        <v>0.54679480000000003</v>
      </c>
      <c r="F4873" t="s">
        <v>42</v>
      </c>
      <c r="G4873">
        <v>-188.0932</v>
      </c>
      <c r="H4873" s="1">
        <v>-1.6462950000000001E-6</v>
      </c>
      <c r="I4873">
        <v>2.6819220000000001</v>
      </c>
      <c r="J4873">
        <v>-188.089</v>
      </c>
      <c r="K4873">
        <v>1.1044700000000001</v>
      </c>
      <c r="L4873">
        <v>-13.84625</v>
      </c>
      <c r="M4873">
        <v>-7.3290819999999998E-3</v>
      </c>
      <c r="N4873">
        <v>0</v>
      </c>
      <c r="O4873">
        <v>0.99988739999999998</v>
      </c>
      <c r="P4873">
        <v>-0.1218014</v>
      </c>
      <c r="Q4873">
        <v>0.1208118</v>
      </c>
      <c r="R4873">
        <v>0.98517449999999995</v>
      </c>
      <c r="S4873">
        <v>-1.052856E-3</v>
      </c>
      <c r="T4873">
        <v>-0.20187659999999999</v>
      </c>
      <c r="U4873">
        <v>3.0705870000000002</v>
      </c>
      <c r="V4873">
        <v>-0.1144003</v>
      </c>
      <c r="W4873">
        <v>0.13386500000000001</v>
      </c>
      <c r="X4873">
        <v>0.98437430000000004</v>
      </c>
      <c r="Y4873">
        <v>6.9875730000000004E-3</v>
      </c>
      <c r="Z4873">
        <v>-6.5600199999999997E-2</v>
      </c>
      <c r="AA4873">
        <v>0.99782150000000003</v>
      </c>
      <c r="AB4873">
        <v>28</v>
      </c>
      <c r="AC4873">
        <v>-4.1999999999688901E-3</v>
      </c>
      <c r="AD4873">
        <v>-1.1044716462949999</v>
      </c>
      <c r="AE4873">
        <v>16.528171999999898</v>
      </c>
      <c r="AF4873">
        <v>0.116426936032427</v>
      </c>
      <c r="AG4873">
        <v>-1.1044716462949999</v>
      </c>
      <c r="AH4873">
        <v>16.454283986356</v>
      </c>
      <c r="AI4873">
        <v>93.840045725758799</v>
      </c>
      <c r="AJ4873">
        <v>89.594594286975493</v>
      </c>
      <c r="AK4873">
        <v>16.4917213883983</v>
      </c>
      <c r="AL4873">
        <v>82.307006645762897</v>
      </c>
      <c r="AM4873">
        <v>96.628963887471102</v>
      </c>
      <c r="AN4873">
        <v>1.0000000146827801</v>
      </c>
    </row>
    <row r="4874" spans="1:40" x14ac:dyDescent="0.3">
      <c r="A4874" t="str">
        <f>"20200111150132955"</f>
        <v>20200111150132955</v>
      </c>
      <c r="B4874" t="str">
        <f>"1578726092943301"</f>
        <v>1578726092943301</v>
      </c>
      <c r="C4874" t="s">
        <v>40</v>
      </c>
      <c r="D4874">
        <v>4.7583580000000003</v>
      </c>
      <c r="E4874">
        <v>0.54723440000000001</v>
      </c>
      <c r="F4874" t="s">
        <v>41</v>
      </c>
      <c r="G4874">
        <v>-188.08930000000001</v>
      </c>
      <c r="H4874">
        <v>1.042592</v>
      </c>
      <c r="I4874">
        <v>-13.00961</v>
      </c>
      <c r="J4874">
        <v>-188.09</v>
      </c>
      <c r="K4874">
        <v>1.104268</v>
      </c>
      <c r="L4874">
        <v>-13.567379999999901</v>
      </c>
      <c r="M4874">
        <v>-6.1707180000000004E-3</v>
      </c>
      <c r="N4874">
        <v>0</v>
      </c>
      <c r="O4874">
        <v>0.99989530000000004</v>
      </c>
      <c r="P4874">
        <v>-0.120505399999999</v>
      </c>
      <c r="Q4874">
        <v>0.1212642</v>
      </c>
      <c r="R4874">
        <v>0.9852784</v>
      </c>
      <c r="S4874">
        <v>-1.205444E-3</v>
      </c>
      <c r="T4874">
        <v>-0.2272575</v>
      </c>
      <c r="U4874">
        <v>3.0728759999999999</v>
      </c>
      <c r="V4874">
        <v>-0.1141798</v>
      </c>
      <c r="W4874">
        <v>0.1343645</v>
      </c>
      <c r="X4874">
        <v>0.98433179999999998</v>
      </c>
      <c r="Y4874">
        <v>5.7800359999999997E-3</v>
      </c>
      <c r="Z4874">
        <v>-7.3751810000000001E-2</v>
      </c>
      <c r="AA4874">
        <v>0.99725989999999998</v>
      </c>
      <c r="AB4874">
        <v>28</v>
      </c>
      <c r="AC4874">
        <v>6.9999999999481501E-4</v>
      </c>
      <c r="AD4874">
        <v>-6.1676000000000002E-2</v>
      </c>
      <c r="AE4874">
        <v>0.55776999999999699</v>
      </c>
      <c r="AF4874">
        <v>4.0920887582013401E-3</v>
      </c>
      <c r="AG4874">
        <v>-6.1676000000000002E-2</v>
      </c>
      <c r="AH4874">
        <v>0.55101774169636097</v>
      </c>
      <c r="AI4874">
        <v>96.386419604614801</v>
      </c>
      <c r="AJ4874">
        <v>89.574505342822405</v>
      </c>
      <c r="AK4874">
        <v>0.55447382790404298</v>
      </c>
      <c r="AL4874">
        <v>82.278126140597607</v>
      </c>
      <c r="AM4874">
        <v>96.616583466779204</v>
      </c>
      <c r="AN4874">
        <v>0.99999996903976396</v>
      </c>
    </row>
    <row r="4875" spans="1:40" x14ac:dyDescent="0.3">
      <c r="A4875" t="str">
        <f>"20200111150132976"</f>
        <v>20200111150132976</v>
      </c>
      <c r="B4875" t="str">
        <f>"1578726092973554"</f>
        <v>1578726092973554</v>
      </c>
      <c r="C4875" t="s">
        <v>40</v>
      </c>
      <c r="D4875">
        <v>4.707325</v>
      </c>
      <c r="E4875">
        <v>0.54818359999999899</v>
      </c>
      <c r="F4875" t="s">
        <v>42</v>
      </c>
      <c r="G4875">
        <v>-188.06200000000001</v>
      </c>
      <c r="H4875" s="1">
        <v>-1.124356E-6</v>
      </c>
      <c r="I4875">
        <v>1.436809</v>
      </c>
      <c r="J4875">
        <v>-188.09049999999999</v>
      </c>
      <c r="K4875">
        <v>1.1041049999999999</v>
      </c>
      <c r="L4875">
        <v>-13.2991299999999</v>
      </c>
      <c r="M4875">
        <v>-4.9017560000000002E-3</v>
      </c>
      <c r="N4875">
        <v>0</v>
      </c>
      <c r="O4875">
        <v>0.99990239999999997</v>
      </c>
      <c r="P4875">
        <v>-0.1195519</v>
      </c>
      <c r="Q4875">
        <v>0.1222521</v>
      </c>
      <c r="R4875">
        <v>0.9852725</v>
      </c>
      <c r="S4875">
        <v>5.7373049999999998E-3</v>
      </c>
      <c r="T4875">
        <v>-0.22619149999999999</v>
      </c>
      <c r="U4875">
        <v>3.0733640000000002</v>
      </c>
      <c r="V4875">
        <v>-0.11442049999999999</v>
      </c>
      <c r="W4875">
        <v>0.13539029999999999</v>
      </c>
      <c r="X4875">
        <v>0.98416329999999996</v>
      </c>
      <c r="Y4875">
        <v>6.7638890000000004E-3</v>
      </c>
      <c r="Z4875">
        <v>-7.3396610000000001E-2</v>
      </c>
      <c r="AA4875">
        <v>0.9972799</v>
      </c>
      <c r="AB4875">
        <v>28</v>
      </c>
      <c r="AC4875">
        <v>2.8499999999979701E-2</v>
      </c>
      <c r="AD4875">
        <v>-1.104106124356</v>
      </c>
      <c r="AE4875">
        <v>14.735938999999901</v>
      </c>
      <c r="AF4875">
        <v>0.10017544293993901</v>
      </c>
      <c r="AG4875">
        <v>-1.104106124356</v>
      </c>
      <c r="AH4875">
        <v>14.653359783157599</v>
      </c>
      <c r="AI4875">
        <v>94.308898457712999</v>
      </c>
      <c r="AJ4875">
        <v>89.608312307643104</v>
      </c>
      <c r="AK4875">
        <v>14.695238629837601</v>
      </c>
      <c r="AL4875">
        <v>82.218810297511595</v>
      </c>
      <c r="AM4875">
        <v>96.631532771026698</v>
      </c>
      <c r="AN4875">
        <v>0.99999999261061401</v>
      </c>
    </row>
    <row r="4876" spans="1:40" x14ac:dyDescent="0.3">
      <c r="A4876" t="str">
        <f>"20200111150132998"</f>
        <v>20200111150132998</v>
      </c>
      <c r="B4876" t="str">
        <f>"1578726092993075"</f>
        <v>1578726092993075</v>
      </c>
      <c r="C4876" t="s">
        <v>40</v>
      </c>
      <c r="D4876">
        <v>4.6955489999999998</v>
      </c>
      <c r="E4876">
        <v>0.54848710000000001</v>
      </c>
      <c r="F4876" t="s">
        <v>42</v>
      </c>
      <c r="G4876">
        <v>-188.01609999999999</v>
      </c>
      <c r="H4876" s="1">
        <v>-1.145796E-6</v>
      </c>
      <c r="I4876">
        <v>1.463938</v>
      </c>
      <c r="J4876">
        <v>-188.09039999999999</v>
      </c>
      <c r="K4876">
        <v>1.1039779999999999</v>
      </c>
      <c r="L4876">
        <v>-13.01932</v>
      </c>
      <c r="M4876">
        <v>-3.4709419999999999E-3</v>
      </c>
      <c r="N4876">
        <v>0</v>
      </c>
      <c r="O4876">
        <v>0.99990849999999998</v>
      </c>
      <c r="P4876">
        <v>-0.11852509999999999</v>
      </c>
      <c r="Q4876">
        <v>0.12328550000000001</v>
      </c>
      <c r="R4876">
        <v>0.98526769999999997</v>
      </c>
      <c r="S4876">
        <v>1.548767E-2</v>
      </c>
      <c r="T4876">
        <v>-0.22999349999999999</v>
      </c>
      <c r="U4876">
        <v>3.075256</v>
      </c>
      <c r="V4876">
        <v>-0.114757399999999</v>
      </c>
      <c r="W4876">
        <v>0.13645370000000001</v>
      </c>
      <c r="X4876">
        <v>0.9839772</v>
      </c>
      <c r="Y4876">
        <v>8.4932959999999991E-3</v>
      </c>
      <c r="Z4876">
        <v>-7.4577599999999994E-2</v>
      </c>
      <c r="AA4876">
        <v>0.99717900000000004</v>
      </c>
      <c r="AB4876">
        <v>28</v>
      </c>
      <c r="AC4876">
        <v>7.4299999999993802E-2</v>
      </c>
      <c r="AD4876">
        <v>-1.103979145796</v>
      </c>
      <c r="AE4876">
        <v>14.483257999999999</v>
      </c>
      <c r="AF4876">
        <v>0.12385479902383401</v>
      </c>
      <c r="AG4876">
        <v>-1.103979145796</v>
      </c>
      <c r="AH4876">
        <v>14.399252853091101</v>
      </c>
      <c r="AI4876">
        <v>94.384082817904698</v>
      </c>
      <c r="AJ4876">
        <v>89.507183995736597</v>
      </c>
      <c r="AK4876">
        <v>14.4420425388116</v>
      </c>
      <c r="AL4876">
        <v>82.157311293431405</v>
      </c>
      <c r="AM4876">
        <v>96.652130608022503</v>
      </c>
      <c r="AN4876">
        <v>1.0000000016091399</v>
      </c>
    </row>
    <row r="4877" spans="1:40" x14ac:dyDescent="0.3">
      <c r="A4877" t="str">
        <f>"20200111150133021"</f>
        <v>20200111150133021</v>
      </c>
      <c r="B4877" t="str">
        <f>"1578726093013570"</f>
        <v>1578726093013570</v>
      </c>
      <c r="C4877" t="s">
        <v>40</v>
      </c>
      <c r="D4877">
        <v>4.9189569999999998</v>
      </c>
      <c r="E4877">
        <v>0.54843229999999998</v>
      </c>
      <c r="F4877" t="s">
        <v>42</v>
      </c>
      <c r="G4877">
        <v>-187.99209999999999</v>
      </c>
      <c r="H4877" s="1">
        <v>-1.259426E-6</v>
      </c>
      <c r="I4877">
        <v>1.738283</v>
      </c>
      <c r="J4877">
        <v>-188.0898</v>
      </c>
      <c r="K4877">
        <v>1.1038920000000001</v>
      </c>
      <c r="L4877">
        <v>-12.73535</v>
      </c>
      <c r="M4877">
        <v>-1.9448709999999999E-3</v>
      </c>
      <c r="N4877">
        <v>0</v>
      </c>
      <c r="O4877">
        <v>0.99991269999999999</v>
      </c>
      <c r="P4877">
        <v>-0.1167777</v>
      </c>
      <c r="Q4877">
        <v>0.1236753</v>
      </c>
      <c r="R4877">
        <v>0.98542750000000001</v>
      </c>
      <c r="S4877">
        <v>2.0507810000000001E-2</v>
      </c>
      <c r="T4877">
        <v>-0.23011619999999999</v>
      </c>
      <c r="U4877">
        <v>3.076111</v>
      </c>
      <c r="V4877">
        <v>-0.1144835</v>
      </c>
      <c r="W4877">
        <v>0.13685990000000001</v>
      </c>
      <c r="X4877">
        <v>0.98395270000000001</v>
      </c>
      <c r="Y4877">
        <v>8.5930580000000006E-3</v>
      </c>
      <c r="Z4877">
        <v>-7.4596670000000004E-2</v>
      </c>
      <c r="AA4877">
        <v>0.99717679999999997</v>
      </c>
      <c r="AB4877">
        <v>28</v>
      </c>
      <c r="AC4877">
        <v>9.7700000000003201E-2</v>
      </c>
      <c r="AD4877">
        <v>-1.103893259426</v>
      </c>
      <c r="AE4877">
        <v>14.473633</v>
      </c>
      <c r="AF4877">
        <v>0.12512375697056899</v>
      </c>
      <c r="AG4877">
        <v>-1.103893259426</v>
      </c>
      <c r="AH4877">
        <v>14.389714439296499</v>
      </c>
      <c r="AI4877">
        <v>94.386634015160993</v>
      </c>
      <c r="AJ4877">
        <v>89.501805088136805</v>
      </c>
      <c r="AK4877">
        <v>14.4325367807348</v>
      </c>
      <c r="AL4877">
        <v>82.133817403785997</v>
      </c>
      <c r="AM4877">
        <v>96.636559034075503</v>
      </c>
      <c r="AN4877">
        <v>1.00000000991877</v>
      </c>
    </row>
    <row r="4878" spans="1:40" x14ac:dyDescent="0.3">
      <c r="A4878" t="str">
        <f>"20200111150133043"</f>
        <v>20200111150133043</v>
      </c>
      <c r="B4878" t="str">
        <f>"1578726093033093"</f>
        <v>1578726093033093</v>
      </c>
      <c r="C4878" t="s">
        <v>40</v>
      </c>
      <c r="D4878">
        <v>3.812929</v>
      </c>
      <c r="E4878">
        <v>0.54819989999999996</v>
      </c>
      <c r="F4878" t="s">
        <v>41</v>
      </c>
      <c r="G4878">
        <v>-188.08160000000001</v>
      </c>
      <c r="H4878">
        <v>1.035264</v>
      </c>
      <c r="I4878">
        <v>-11.76796</v>
      </c>
      <c r="J4878">
        <v>-188.08860000000001</v>
      </c>
      <c r="K4878">
        <v>1.103858</v>
      </c>
      <c r="L4878">
        <v>-12.44946</v>
      </c>
      <c r="M4878">
        <v>-3.7151239999999998E-4</v>
      </c>
      <c r="N4878">
        <v>0</v>
      </c>
      <c r="O4878">
        <v>0.99991459999999999</v>
      </c>
      <c r="P4878">
        <v>-0.1146363</v>
      </c>
      <c r="Q4878">
        <v>0.12384770000000001</v>
      </c>
      <c r="R4878">
        <v>0.98565729999999996</v>
      </c>
      <c r="S4878">
        <v>2.529907E-2</v>
      </c>
      <c r="T4878">
        <v>-0.21802840000000001</v>
      </c>
      <c r="U4878">
        <v>3.074738</v>
      </c>
      <c r="V4878">
        <v>-0.1138815</v>
      </c>
      <c r="W4878">
        <v>0.13703470000000001</v>
      </c>
      <c r="X4878">
        <v>0.98399820000000005</v>
      </c>
      <c r="Y4878">
        <v>8.5786869999999998E-3</v>
      </c>
      <c r="Z4878">
        <v>-7.0729490000000006E-2</v>
      </c>
      <c r="AA4878">
        <v>0.99745859999999997</v>
      </c>
      <c r="AB4878">
        <v>28</v>
      </c>
      <c r="AC4878">
        <v>7.0000000000049996E-3</v>
      </c>
      <c r="AD4878">
        <v>-6.8594000000000002E-2</v>
      </c>
      <c r="AE4878">
        <v>0.681499999999999</v>
      </c>
      <c r="AF4878">
        <v>7.1804711175413403E-3</v>
      </c>
      <c r="AG4878">
        <v>-6.8594000000000002E-2</v>
      </c>
      <c r="AH4878">
        <v>0.67466324518738396</v>
      </c>
      <c r="AI4878">
        <v>95.805070483095406</v>
      </c>
      <c r="AJ4878">
        <v>89.390221477394704</v>
      </c>
      <c r="AK4878">
        <v>0.678179320245201</v>
      </c>
      <c r="AL4878">
        <v>82.123706616652797</v>
      </c>
      <c r="AM4878">
        <v>96.601667650204206</v>
      </c>
      <c r="AN4878">
        <v>0.99999998132478896</v>
      </c>
    </row>
    <row r="4879" spans="1:40" x14ac:dyDescent="0.3">
      <c r="A4879" t="str">
        <f>"20200111150133065"</f>
        <v>20200111150133065</v>
      </c>
      <c r="B4879" t="str">
        <f>"1578726093063347"</f>
        <v>1578726093063347</v>
      </c>
      <c r="C4879" t="s">
        <v>40</v>
      </c>
      <c r="D4879">
        <v>4.7988900000000001</v>
      </c>
      <c r="E4879">
        <v>0.54749689999999995</v>
      </c>
      <c r="F4879" t="s">
        <v>41</v>
      </c>
      <c r="G4879">
        <v>-188.07939999999999</v>
      </c>
      <c r="H4879">
        <v>1.040124</v>
      </c>
      <c r="I4879">
        <v>-11.514519999999999</v>
      </c>
      <c r="J4879">
        <v>-188.08709999999999</v>
      </c>
      <c r="K4879">
        <v>1.1038539999999999</v>
      </c>
      <c r="L4879">
        <v>-12.178890000000001</v>
      </c>
      <c r="M4879">
        <v>1.119238E-3</v>
      </c>
      <c r="N4879">
        <v>0</v>
      </c>
      <c r="O4879">
        <v>0.99991419999999998</v>
      </c>
      <c r="P4879">
        <v>-0.1123408</v>
      </c>
      <c r="Q4879">
        <v>0.1241588</v>
      </c>
      <c r="R4879">
        <v>0.98588240000000005</v>
      </c>
      <c r="S4879">
        <v>2.990723E-2</v>
      </c>
      <c r="T4879">
        <v>-0.20946790000000001</v>
      </c>
      <c r="U4879">
        <v>3.0734560000000002</v>
      </c>
      <c r="V4879">
        <v>-0.1130541</v>
      </c>
      <c r="W4879">
        <v>0.13733879999999901</v>
      </c>
      <c r="X4879">
        <v>0.98405120000000001</v>
      </c>
      <c r="Y4879">
        <v>8.5885500000000004E-3</v>
      </c>
      <c r="Z4879">
        <v>-6.7993230000000002E-2</v>
      </c>
      <c r="AA4879">
        <v>0.9976488</v>
      </c>
      <c r="AB4879">
        <v>28</v>
      </c>
      <c r="AC4879">
        <v>7.6999999999998103E-3</v>
      </c>
      <c r="AD4879">
        <v>-6.3729999999999995E-2</v>
      </c>
      <c r="AE4879">
        <v>0.66436999999999902</v>
      </c>
      <c r="AF4879">
        <v>6.8929256098619104E-3</v>
      </c>
      <c r="AG4879">
        <v>-6.3729999999999995E-2</v>
      </c>
      <c r="AH4879">
        <v>0.65832134437576995</v>
      </c>
      <c r="AI4879">
        <v>95.529091321950006</v>
      </c>
      <c r="AJ4879">
        <v>89.400108901311498</v>
      </c>
      <c r="AK4879">
        <v>0.66143481748709299</v>
      </c>
      <c r="AL4879">
        <v>82.106116569175398</v>
      </c>
      <c r="AM4879">
        <v>96.553772485002497</v>
      </c>
      <c r="AN4879">
        <v>0.99999996986684403</v>
      </c>
    </row>
    <row r="4880" spans="1:40" x14ac:dyDescent="0.3">
      <c r="A4880" t="str">
        <f>"20200111150133088"</f>
        <v>20200111150133088</v>
      </c>
      <c r="B4880" t="str">
        <f>"1578726093082866"</f>
        <v>1578726093082866</v>
      </c>
      <c r="C4880" t="s">
        <v>40</v>
      </c>
      <c r="D4880">
        <v>4.826835</v>
      </c>
      <c r="E4880">
        <v>0.54711149999999997</v>
      </c>
      <c r="F4880" t="s">
        <v>42</v>
      </c>
      <c r="G4880">
        <v>-187.899</v>
      </c>
      <c r="H4880" s="1">
        <v>-3.0605799999999998E-6</v>
      </c>
      <c r="I4880">
        <v>5.8983589999999904</v>
      </c>
      <c r="J4880">
        <v>-188.08500000000001</v>
      </c>
      <c r="K4880">
        <v>1.10388</v>
      </c>
      <c r="L4880">
        <v>-11.889889999999999</v>
      </c>
      <c r="M4880">
        <v>2.6784019999999999E-3</v>
      </c>
      <c r="N4880">
        <v>0</v>
      </c>
      <c r="O4880">
        <v>0.9999112</v>
      </c>
      <c r="P4880">
        <v>-0.10959530000000001</v>
      </c>
      <c r="Q4880">
        <v>0.1246921</v>
      </c>
      <c r="R4880">
        <v>0.98612409999999995</v>
      </c>
      <c r="S4880">
        <v>3.1936649999999997E-2</v>
      </c>
      <c r="T4880">
        <v>-0.1874778</v>
      </c>
      <c r="U4880">
        <v>3.0702210000000001</v>
      </c>
      <c r="V4880">
        <v>-0.1118517</v>
      </c>
      <c r="W4880">
        <v>0.13785890000000001</v>
      </c>
      <c r="X4880">
        <v>0.98411590000000004</v>
      </c>
      <c r="Y4880">
        <v>7.7036459999999998E-3</v>
      </c>
      <c r="Z4880">
        <v>-6.0946899999999998E-2</v>
      </c>
      <c r="AA4880">
        <v>0.99811130000000003</v>
      </c>
      <c r="AB4880">
        <v>28</v>
      </c>
      <c r="AC4880">
        <v>0.18600000000000699</v>
      </c>
      <c r="AD4880">
        <v>-1.1038830605800001</v>
      </c>
      <c r="AE4880">
        <v>17.788249</v>
      </c>
      <c r="AF4880">
        <v>0.13782049448890701</v>
      </c>
      <c r="AG4880">
        <v>-1.1038830605800001</v>
      </c>
      <c r="AH4880">
        <v>17.720448445497201</v>
      </c>
      <c r="AI4880">
        <v>93.564487230325298</v>
      </c>
      <c r="AJ4880">
        <v>89.554392007840903</v>
      </c>
      <c r="AK4880">
        <v>17.7553328723981</v>
      </c>
      <c r="AL4880">
        <v>82.076031034338897</v>
      </c>
      <c r="AM4880">
        <v>96.484243243571498</v>
      </c>
      <c r="AN4880">
        <v>0.99999999186745403</v>
      </c>
    </row>
    <row r="4881" spans="1:40" x14ac:dyDescent="0.3">
      <c r="A4881" t="str">
        <f>"20200111150133112"</f>
        <v>20200111150133112</v>
      </c>
      <c r="B4881" t="str">
        <f>"1578726093103363"</f>
        <v>1578726093103363</v>
      </c>
      <c r="C4881" t="s">
        <v>40</v>
      </c>
      <c r="D4881">
        <v>4.7471059999999996</v>
      </c>
      <c r="E4881">
        <v>0.54725170000000001</v>
      </c>
      <c r="F4881" t="s">
        <v>42</v>
      </c>
      <c r="G4881">
        <v>-187.84729999999999</v>
      </c>
      <c r="H4881" s="1">
        <v>-3.8386150000000002E-6</v>
      </c>
      <c r="I4881">
        <v>7.6905799999999997</v>
      </c>
      <c r="J4881">
        <v>-188.08260000000001</v>
      </c>
      <c r="K4881">
        <v>1.1039159999999999</v>
      </c>
      <c r="L4881">
        <v>-11.6098</v>
      </c>
      <c r="M4881">
        <v>4.1348050000000001E-3</v>
      </c>
      <c r="N4881">
        <v>0</v>
      </c>
      <c r="O4881">
        <v>0.99990639999999997</v>
      </c>
      <c r="P4881">
        <v>-0.1070728</v>
      </c>
      <c r="Q4881">
        <v>0.1255887</v>
      </c>
      <c r="R4881">
        <v>0.98628740000000004</v>
      </c>
      <c r="S4881">
        <v>3.7246700000000001E-2</v>
      </c>
      <c r="T4881">
        <v>-0.172977399999999</v>
      </c>
      <c r="U4881">
        <v>3.0682369999999999</v>
      </c>
      <c r="V4881">
        <v>-0.110775</v>
      </c>
      <c r="W4881">
        <v>0.13873859999999999</v>
      </c>
      <c r="X4881">
        <v>0.98411409999999999</v>
      </c>
      <c r="Y4881">
        <v>7.9843540000000008E-3</v>
      </c>
      <c r="Z4881">
        <v>-5.6283729999999997E-2</v>
      </c>
      <c r="AA4881">
        <v>0.99838289999999996</v>
      </c>
      <c r="AB4881">
        <v>28</v>
      </c>
      <c r="AC4881">
        <v>0.23530000000002299</v>
      </c>
      <c r="AD4881">
        <v>-1.103919838615</v>
      </c>
      <c r="AE4881">
        <v>19.300380000000001</v>
      </c>
      <c r="AF4881">
        <v>0.154980951912804</v>
      </c>
      <c r="AG4881">
        <v>-1.103919838615</v>
      </c>
      <c r="AH4881">
        <v>19.238259890995</v>
      </c>
      <c r="AI4881">
        <v>93.284009035688698</v>
      </c>
      <c r="AJ4881">
        <v>89.538442540161796</v>
      </c>
      <c r="AK4881">
        <v>19.2705293580382</v>
      </c>
      <c r="AL4881">
        <v>82.025139202173193</v>
      </c>
      <c r="AM4881">
        <v>96.422360686948096</v>
      </c>
      <c r="AN4881">
        <v>1.0000000307868799</v>
      </c>
    </row>
    <row r="4882" spans="1:40" x14ac:dyDescent="0.3">
      <c r="A4882" t="str">
        <f>"20200111150133135"</f>
        <v>20200111150133135</v>
      </c>
      <c r="B4882" t="str">
        <f>"1578726093132642"</f>
        <v>1578726093132642</v>
      </c>
      <c r="C4882" t="s">
        <v>40</v>
      </c>
      <c r="D4882">
        <v>4.7924089999999904</v>
      </c>
      <c r="E4882">
        <v>0.54730649999999903</v>
      </c>
      <c r="F4882" t="s">
        <v>42</v>
      </c>
      <c r="G4882">
        <v>-187.7842</v>
      </c>
      <c r="H4882" s="1">
        <v>-3.9888139999999998E-6</v>
      </c>
      <c r="I4882">
        <v>8.0146179999999898</v>
      </c>
      <c r="J4882">
        <v>-188.0797</v>
      </c>
      <c r="K4882">
        <v>1.103961</v>
      </c>
      <c r="L4882">
        <v>-11.31461</v>
      </c>
      <c r="M4882">
        <v>5.6050989999999997E-3</v>
      </c>
      <c r="N4882">
        <v>0</v>
      </c>
      <c r="O4882">
        <v>0.99989930000000005</v>
      </c>
      <c r="P4882">
        <v>-0.10437680000000001</v>
      </c>
      <c r="Q4882">
        <v>0.12638859999999999</v>
      </c>
      <c r="R4882">
        <v>0.98647419999999997</v>
      </c>
      <c r="S4882">
        <v>4.6661380000000002E-2</v>
      </c>
      <c r="T4882">
        <v>-0.17262479999999999</v>
      </c>
      <c r="U4882">
        <v>3.068756</v>
      </c>
      <c r="V4882">
        <v>-0.10954179999999999</v>
      </c>
      <c r="W4882">
        <v>0.1395197</v>
      </c>
      <c r="X4882">
        <v>0.98414170000000001</v>
      </c>
      <c r="Y4882">
        <v>9.5743900000000003E-3</v>
      </c>
      <c r="Z4882">
        <v>-5.6157749999999999E-2</v>
      </c>
      <c r="AA4882">
        <v>0.99837600000000004</v>
      </c>
      <c r="AB4882">
        <v>28</v>
      </c>
      <c r="AC4882">
        <v>0.29550000000000398</v>
      </c>
      <c r="AD4882">
        <v>-1.103964988814</v>
      </c>
      <c r="AE4882">
        <v>19.329228000000001</v>
      </c>
      <c r="AF4882">
        <v>0.18653557841799601</v>
      </c>
      <c r="AG4882">
        <v>-1.103964988814</v>
      </c>
      <c r="AH4882">
        <v>19.267744406093399</v>
      </c>
      <c r="AI4882">
        <v>93.279081303999106</v>
      </c>
      <c r="AJ4882">
        <v>89.4453233725975</v>
      </c>
      <c r="AK4882">
        <v>19.300246338248801</v>
      </c>
      <c r="AL4882">
        <v>81.979945836380296</v>
      </c>
      <c r="AM4882">
        <v>96.351274778742805</v>
      </c>
      <c r="AN4882">
        <v>1.0000000191571099</v>
      </c>
    </row>
    <row r="4883" spans="1:40" x14ac:dyDescent="0.3">
      <c r="A4883" t="str">
        <f>"20200111150133155"</f>
        <v>20200111150133155</v>
      </c>
      <c r="B4883" t="str">
        <f>"1578726093143381"</f>
        <v>1578726093143381</v>
      </c>
      <c r="C4883" t="s">
        <v>40</v>
      </c>
      <c r="D4883">
        <v>4.8199529999999999</v>
      </c>
      <c r="E4883">
        <v>0.54755849999999995</v>
      </c>
      <c r="F4883" t="s">
        <v>42</v>
      </c>
      <c r="G4883">
        <v>-187.7396</v>
      </c>
      <c r="H4883" s="1">
        <v>-3.8038459999999999E-6</v>
      </c>
      <c r="I4883">
        <v>7.5650199999999996</v>
      </c>
      <c r="J4883">
        <v>-188.077</v>
      </c>
      <c r="K4883">
        <v>1.1039840000000001</v>
      </c>
      <c r="L4883">
        <v>-11.06729</v>
      </c>
      <c r="M4883">
        <v>6.7891239999999997E-3</v>
      </c>
      <c r="N4883">
        <v>0</v>
      </c>
      <c r="O4883">
        <v>0.999892</v>
      </c>
      <c r="P4883">
        <v>-0.1019924</v>
      </c>
      <c r="Q4883">
        <v>0.12636</v>
      </c>
      <c r="R4883">
        <v>0.98672729999999997</v>
      </c>
      <c r="S4883">
        <v>5.5297850000000003E-2</v>
      </c>
      <c r="T4883">
        <v>-0.17951339999999999</v>
      </c>
      <c r="U4883">
        <v>3.0699770000000002</v>
      </c>
      <c r="V4883">
        <v>-0.1083368</v>
      </c>
      <c r="W4883">
        <v>0.13947770000000001</v>
      </c>
      <c r="X4883">
        <v>0.98428099999999996</v>
      </c>
      <c r="Y4883">
        <v>1.118983E-2</v>
      </c>
      <c r="Z4883">
        <v>-5.8365590000000002E-2</v>
      </c>
      <c r="AA4883">
        <v>0.99823249999999997</v>
      </c>
      <c r="AB4883">
        <v>28</v>
      </c>
      <c r="AC4883">
        <v>0.33740000000000198</v>
      </c>
      <c r="AD4883">
        <v>-1.103987803846</v>
      </c>
      <c r="AE4883">
        <v>18.63231</v>
      </c>
      <c r="AF4883">
        <v>0.21014688951663499</v>
      </c>
      <c r="AG4883">
        <v>-1.103987803846</v>
      </c>
      <c r="AH4883">
        <v>18.569002323672802</v>
      </c>
      <c r="AI4883">
        <v>93.402198715996803</v>
      </c>
      <c r="AJ4883">
        <v>89.351606745413093</v>
      </c>
      <c r="AK4883">
        <v>18.602978204652601</v>
      </c>
      <c r="AL4883">
        <v>81.982375777389393</v>
      </c>
      <c r="AM4883">
        <v>96.281088116483701</v>
      </c>
      <c r="AN4883">
        <v>0.99999998899626397</v>
      </c>
    </row>
    <row r="4884" spans="1:40" x14ac:dyDescent="0.3">
      <c r="A4884" t="str">
        <f>"20200111150133177"</f>
        <v>20200111150133177</v>
      </c>
      <c r="B4884" t="str">
        <f>"1578726093172660"</f>
        <v>1578726093172660</v>
      </c>
      <c r="C4884" t="s">
        <v>40</v>
      </c>
      <c r="D4884">
        <v>6.0739619999999999</v>
      </c>
      <c r="E4884">
        <v>0.54747100000000004</v>
      </c>
      <c r="F4884" t="s">
        <v>42</v>
      </c>
      <c r="G4884">
        <v>-187.68780000000001</v>
      </c>
      <c r="H4884" s="1">
        <v>-3.790746E-6</v>
      </c>
      <c r="I4884">
        <v>7.5130419999999898</v>
      </c>
      <c r="J4884">
        <v>-188.0737</v>
      </c>
      <c r="K4884">
        <v>1.104012</v>
      </c>
      <c r="L4884">
        <v>-10.795439999999999</v>
      </c>
      <c r="M4884">
        <v>8.0517999999999996E-3</v>
      </c>
      <c r="N4884">
        <v>0</v>
      </c>
      <c r="O4884">
        <v>0.99988259999999995</v>
      </c>
      <c r="P4884">
        <v>-9.984403E-2</v>
      </c>
      <c r="Q4884">
        <v>0.12532309999999999</v>
      </c>
      <c r="R4884">
        <v>0.98707909999999999</v>
      </c>
      <c r="S4884">
        <v>6.4315800000000006E-2</v>
      </c>
      <c r="T4884">
        <v>-0.1824325</v>
      </c>
      <c r="U4884">
        <v>3.0703740000000002</v>
      </c>
      <c r="V4884">
        <v>-0.1074497</v>
      </c>
      <c r="W4884">
        <v>0.13842979999999899</v>
      </c>
      <c r="X4884">
        <v>0.98452620000000002</v>
      </c>
      <c r="Y4884">
        <v>1.285437E-2</v>
      </c>
      <c r="Z4884">
        <v>-5.9300619999999998E-2</v>
      </c>
      <c r="AA4884">
        <v>0.99815739999999997</v>
      </c>
      <c r="AB4884">
        <v>28</v>
      </c>
      <c r="AC4884">
        <v>0.38589999999999203</v>
      </c>
      <c r="AD4884">
        <v>-1.104015790746</v>
      </c>
      <c r="AE4884">
        <v>18.308482000000001</v>
      </c>
      <c r="AF4884">
        <v>0.23759516824142901</v>
      </c>
      <c r="AG4884">
        <v>-1.104015790746</v>
      </c>
      <c r="AH4884">
        <v>18.244684284464501</v>
      </c>
      <c r="AI4884">
        <v>93.462546316290499</v>
      </c>
      <c r="AJ4884">
        <v>89.253896056475199</v>
      </c>
      <c r="AK4884">
        <v>18.279600842741999</v>
      </c>
      <c r="AL4884">
        <v>82.043004625082006</v>
      </c>
      <c r="AM4884">
        <v>96.228523010635698</v>
      </c>
      <c r="AN4884">
        <v>1.00000004302228</v>
      </c>
    </row>
    <row r="4885" spans="1:40" x14ac:dyDescent="0.3">
      <c r="A4885" t="str">
        <f>"20200111150133199"</f>
        <v>20200111150133199</v>
      </c>
      <c r="B4885" t="str">
        <f>"1578726093193154"</f>
        <v>1578726093193154</v>
      </c>
      <c r="C4885" t="s">
        <v>40</v>
      </c>
      <c r="D4885">
        <v>4.7810449999999998</v>
      </c>
      <c r="E4885">
        <v>0.54725429999999997</v>
      </c>
      <c r="F4885" t="s">
        <v>42</v>
      </c>
      <c r="G4885">
        <v>-187.64060000000001</v>
      </c>
      <c r="H4885" s="1">
        <v>-4.0571200000000002E-6</v>
      </c>
      <c r="I4885">
        <v>8.114471</v>
      </c>
      <c r="J4885">
        <v>-188.06989999999999</v>
      </c>
      <c r="K4885">
        <v>1.104039</v>
      </c>
      <c r="L4885">
        <v>-10.508509999999999</v>
      </c>
      <c r="M4885">
        <v>9.3532179999999999E-3</v>
      </c>
      <c r="N4885">
        <v>0</v>
      </c>
      <c r="O4885">
        <v>0.99987139999999997</v>
      </c>
      <c r="P4885">
        <v>-9.851596E-2</v>
      </c>
      <c r="Q4885">
        <v>0.1244731</v>
      </c>
      <c r="R4885">
        <v>0.98732010000000003</v>
      </c>
      <c r="S4885">
        <v>7.0281979999999994E-2</v>
      </c>
      <c r="T4885">
        <v>-0.17918429999999999</v>
      </c>
      <c r="U4885">
        <v>3.0691220000000001</v>
      </c>
      <c r="V4885">
        <v>-0.107418</v>
      </c>
      <c r="W4885">
        <v>0.1375712</v>
      </c>
      <c r="X4885">
        <v>0.98465000000000003</v>
      </c>
      <c r="Y4885">
        <v>1.350224E-2</v>
      </c>
      <c r="Z4885">
        <v>-5.8269599999999998E-2</v>
      </c>
      <c r="AA4885">
        <v>0.99820960000000003</v>
      </c>
      <c r="AB4885">
        <v>28</v>
      </c>
      <c r="AC4885">
        <v>0.42929999999998297</v>
      </c>
      <c r="AD4885">
        <v>-1.1040430571199999</v>
      </c>
      <c r="AE4885">
        <v>18.622980999999999</v>
      </c>
      <c r="AF4885">
        <v>0.25418874303634797</v>
      </c>
      <c r="AG4885">
        <v>-1.1040430571199999</v>
      </c>
      <c r="AH4885">
        <v>18.560982487953002</v>
      </c>
      <c r="AI4885">
        <v>93.403734273548693</v>
      </c>
      <c r="AJ4885">
        <v>89.215395423607902</v>
      </c>
      <c r="AK4885">
        <v>18.595526179895</v>
      </c>
      <c r="AL4885">
        <v>82.092674002640095</v>
      </c>
      <c r="AM4885">
        <v>96.225923162890695</v>
      </c>
      <c r="AN4885">
        <v>1.0000000421467099</v>
      </c>
    </row>
    <row r="4886" spans="1:40" x14ac:dyDescent="0.3">
      <c r="A4886" t="str">
        <f>"20200111150133222"</f>
        <v>20200111150133222</v>
      </c>
      <c r="B4886" t="str">
        <f>"1578726093212675"</f>
        <v>1578726093212675</v>
      </c>
      <c r="C4886" t="s">
        <v>40</v>
      </c>
      <c r="D4886">
        <v>4.7847080000000002</v>
      </c>
      <c r="E4886">
        <v>0.54728869999999996</v>
      </c>
      <c r="F4886" t="s">
        <v>42</v>
      </c>
      <c r="G4886">
        <v>-187.6114</v>
      </c>
      <c r="H4886" s="1">
        <v>-4.3948830000000002E-6</v>
      </c>
      <c r="I4886">
        <v>8.8896979999999992</v>
      </c>
      <c r="J4886">
        <v>-188.0659</v>
      </c>
      <c r="K4886">
        <v>1.1040570000000001</v>
      </c>
      <c r="L4886">
        <v>-10.238770000000001</v>
      </c>
      <c r="M4886">
        <v>1.055764E-2</v>
      </c>
      <c r="N4886">
        <v>0</v>
      </c>
      <c r="O4886">
        <v>0.99985950000000001</v>
      </c>
      <c r="P4886">
        <v>-9.7142160000000005E-2</v>
      </c>
      <c r="Q4886">
        <v>0.1248404</v>
      </c>
      <c r="R4886">
        <v>0.98740989999999995</v>
      </c>
      <c r="S4886">
        <v>7.2509770000000001E-2</v>
      </c>
      <c r="T4886">
        <v>-0.174601799999999</v>
      </c>
      <c r="U4886">
        <v>3.06778</v>
      </c>
      <c r="V4886">
        <v>-0.107238</v>
      </c>
      <c r="W4886">
        <v>0.1379302</v>
      </c>
      <c r="X4886">
        <v>0.98461940000000003</v>
      </c>
      <c r="Y4886">
        <v>1.3034250000000001E-2</v>
      </c>
      <c r="Z4886">
        <v>-5.6807700000000003E-2</v>
      </c>
      <c r="AA4886">
        <v>0.99830010000000002</v>
      </c>
      <c r="AB4886">
        <v>28</v>
      </c>
      <c r="AC4886">
        <v>0.45449999999999502</v>
      </c>
      <c r="AD4886">
        <v>-1.104061394883</v>
      </c>
      <c r="AE4886">
        <v>19.128468000000002</v>
      </c>
      <c r="AF4886">
        <v>0.25166813394336401</v>
      </c>
      <c r="AG4886">
        <v>-1.104061394883</v>
      </c>
      <c r="AH4886">
        <v>19.068711021580199</v>
      </c>
      <c r="AI4886">
        <v>93.313387202233898</v>
      </c>
      <c r="AJ4886">
        <v>89.243856348929796</v>
      </c>
      <c r="AK4886">
        <v>19.102304270371398</v>
      </c>
      <c r="AL4886">
        <v>82.071906872875303</v>
      </c>
      <c r="AM4886">
        <v>96.215763785233094</v>
      </c>
      <c r="AN4886">
        <v>1.00000004578619</v>
      </c>
    </row>
    <row r="4887" spans="1:40" x14ac:dyDescent="0.3">
      <c r="A4887" t="str">
        <f>"20200111150133445"</f>
        <v>20200111150133445</v>
      </c>
      <c r="B4887" t="str">
        <f>"1578726093443168"</f>
        <v>1578726093443168</v>
      </c>
      <c r="C4887" t="s">
        <v>40</v>
      </c>
      <c r="D4887">
        <v>4.738226</v>
      </c>
      <c r="E4887">
        <v>0.54741410000000001</v>
      </c>
      <c r="F4887" t="s">
        <v>42</v>
      </c>
      <c r="G4887">
        <v>-187.58439999999999</v>
      </c>
      <c r="H4887" s="1">
        <v>-4.4829779999999999E-6</v>
      </c>
      <c r="I4887">
        <v>9.0838859999999997</v>
      </c>
      <c r="J4887">
        <v>-188.01</v>
      </c>
      <c r="K4887">
        <v>1.10449</v>
      </c>
      <c r="L4887">
        <v>-7.4848939999999997</v>
      </c>
      <c r="M4887">
        <v>2.107709E-2</v>
      </c>
      <c r="N4887">
        <v>0</v>
      </c>
      <c r="O4887">
        <v>0.99969330000000001</v>
      </c>
      <c r="P4887">
        <v>-9.1601210000000002E-2</v>
      </c>
      <c r="Q4887">
        <v>0.1227509</v>
      </c>
      <c r="R4887">
        <v>0.98820110000000005</v>
      </c>
      <c r="S4887">
        <v>7.6461790000000002E-2</v>
      </c>
      <c r="T4887">
        <v>-0.17529610000000001</v>
      </c>
      <c r="U4887">
        <v>3.0679319999999999</v>
      </c>
      <c r="V4887">
        <v>-0.112245</v>
      </c>
      <c r="W4887">
        <v>0.13569589999999901</v>
      </c>
      <c r="X4887">
        <v>0.98437169999999896</v>
      </c>
      <c r="Y4887">
        <v>3.7967719999999999E-3</v>
      </c>
      <c r="Z4887">
        <v>-5.7017140000000001E-2</v>
      </c>
      <c r="AA4887">
        <v>0.99836599999999998</v>
      </c>
      <c r="AB4887">
        <v>28</v>
      </c>
      <c r="AC4887">
        <v>0.42560000000000198</v>
      </c>
      <c r="AD4887">
        <v>-1.1044944829779999</v>
      </c>
      <c r="AE4887">
        <v>16.56878</v>
      </c>
      <c r="AF4887">
        <v>7.5917115899004906E-2</v>
      </c>
      <c r="AG4887">
        <v>-1.1044944829779999</v>
      </c>
      <c r="AH4887">
        <v>16.5007934008738</v>
      </c>
      <c r="AI4887">
        <v>93.829388461330197</v>
      </c>
      <c r="AJ4887">
        <v>89.736394515248406</v>
      </c>
      <c r="AK4887">
        <v>16.537891471700298</v>
      </c>
      <c r="AL4887">
        <v>82.201137519068894</v>
      </c>
      <c r="AM4887">
        <v>96.505171969112098</v>
      </c>
      <c r="AN4887">
        <v>0.99999998053134898</v>
      </c>
    </row>
    <row r="4888" spans="1:40" x14ac:dyDescent="0.3">
      <c r="A4888" t="str">
        <f>"20200111150133467"</f>
        <v>20200111150133467</v>
      </c>
      <c r="B4888" t="str">
        <f>"1578726093462687"</f>
        <v>1578726093462687</v>
      </c>
      <c r="C4888" t="s">
        <v>40</v>
      </c>
      <c r="D4888">
        <v>4.7239079999999998</v>
      </c>
      <c r="E4888">
        <v>0.52517910000000001</v>
      </c>
      <c r="F4888" t="s">
        <v>42</v>
      </c>
      <c r="G4888">
        <v>-187.48050000000001</v>
      </c>
      <c r="H4888" s="1">
        <v>-9.2298799999999998E-7</v>
      </c>
      <c r="I4888">
        <v>10.390409999999999</v>
      </c>
      <c r="J4888">
        <v>-188.00360000000001</v>
      </c>
      <c r="K4888">
        <v>1.104619</v>
      </c>
      <c r="L4888">
        <v>-7.2108759999999998</v>
      </c>
      <c r="M4888">
        <v>2.1505130000000001E-2</v>
      </c>
      <c r="N4888">
        <v>0</v>
      </c>
      <c r="O4888">
        <v>0.99968429999999997</v>
      </c>
      <c r="P4888">
        <v>-9.2484849999999993E-2</v>
      </c>
      <c r="Q4888">
        <v>0.12219240000000001</v>
      </c>
      <c r="R4888">
        <v>0.98818799999999996</v>
      </c>
      <c r="S4888">
        <v>9.0866089999999997E-2</v>
      </c>
      <c r="T4888">
        <v>-0.1895539</v>
      </c>
      <c r="U4888">
        <v>3.06778</v>
      </c>
      <c r="V4888">
        <v>-0.113593899999999</v>
      </c>
      <c r="W4888">
        <v>0.13509969999999999</v>
      </c>
      <c r="X4888">
        <v>0.98429900000000004</v>
      </c>
      <c r="Y4888">
        <v>8.0458479999999995E-3</v>
      </c>
      <c r="Z4888">
        <v>-6.1635200000000001E-2</v>
      </c>
      <c r="AA4888">
        <v>0.99806629999999996</v>
      </c>
      <c r="AB4888">
        <v>28</v>
      </c>
      <c r="AC4888">
        <v>0.52309999999999901</v>
      </c>
      <c r="AD4888">
        <v>-1.104619922988</v>
      </c>
      <c r="AE4888">
        <v>17.601285999999899</v>
      </c>
      <c r="AF4888">
        <v>0.14386299387264401</v>
      </c>
      <c r="AG4888">
        <v>-1.104619922988</v>
      </c>
      <c r="AH4888">
        <v>17.539445969705401</v>
      </c>
      <c r="AI4888">
        <v>93.603560817101993</v>
      </c>
      <c r="AJ4888">
        <v>89.530055992087895</v>
      </c>
      <c r="AK4888">
        <v>17.5747843986628</v>
      </c>
      <c r="AL4888">
        <v>82.2356150015613</v>
      </c>
      <c r="AM4888">
        <v>96.583147460744996</v>
      </c>
      <c r="AN4888">
        <v>1.0000000122291499</v>
      </c>
    </row>
    <row r="4889" spans="1:40" x14ac:dyDescent="0.3">
      <c r="A4889" t="str">
        <f>"20200111150133490"</f>
        <v>20200111150133490</v>
      </c>
      <c r="B4889" t="str">
        <f>"1578726093483184"</f>
        <v>1578726093483184</v>
      </c>
      <c r="C4889" t="s">
        <v>40</v>
      </c>
      <c r="D4889">
        <v>4.6481079999999997</v>
      </c>
      <c r="E4889">
        <v>0.52424090000000001</v>
      </c>
      <c r="F4889" t="s">
        <v>42</v>
      </c>
      <c r="G4889">
        <v>-188.5292</v>
      </c>
      <c r="H4889" s="1">
        <v>-8.8462839999999997E-7</v>
      </c>
      <c r="I4889">
        <v>11.08671</v>
      </c>
      <c r="J4889">
        <v>-187.99719999999999</v>
      </c>
      <c r="K4889">
        <v>1.1047610000000001</v>
      </c>
      <c r="L4889">
        <v>-6.9278869999999904</v>
      </c>
      <c r="M4889">
        <v>2.173628E-2</v>
      </c>
      <c r="N4889">
        <v>0</v>
      </c>
      <c r="O4889">
        <v>0.99967930000000005</v>
      </c>
      <c r="P4889">
        <v>-9.3308050000000003E-2</v>
      </c>
      <c r="Q4889">
        <v>0.1214359</v>
      </c>
      <c r="R4889">
        <v>0.98820390000000002</v>
      </c>
      <c r="S4889">
        <v>-8.7615970000000001E-2</v>
      </c>
      <c r="T4889">
        <v>-0.1841527</v>
      </c>
      <c r="U4889">
        <v>3.0504150000000001</v>
      </c>
      <c r="V4889">
        <v>-0.1146929</v>
      </c>
      <c r="W4889">
        <v>0.134300799999999</v>
      </c>
      <c r="X4889">
        <v>0.98428090000000001</v>
      </c>
      <c r="Y4889">
        <v>-5.0381080000000002E-2</v>
      </c>
      <c r="Z4889">
        <v>-6.018801E-2</v>
      </c>
      <c r="AA4889">
        <v>0.99691479999999999</v>
      </c>
      <c r="AB4889">
        <v>27</v>
      </c>
      <c r="AC4889">
        <v>-0.53200000000001002</v>
      </c>
      <c r="AD4889">
        <v>-1.1047618846284</v>
      </c>
      <c r="AE4889">
        <v>18.014596999999998</v>
      </c>
      <c r="AF4889">
        <v>-0.920020608854213</v>
      </c>
      <c r="AG4889">
        <v>-1.1047618846284</v>
      </c>
      <c r="AH4889">
        <v>17.931396580038498</v>
      </c>
      <c r="AI4889">
        <v>93.520944229058301</v>
      </c>
      <c r="AJ4889">
        <v>92.937145184521</v>
      </c>
      <c r="AK4889">
        <v>17.988938825096401</v>
      </c>
      <c r="AL4889">
        <v>82.281809723608603</v>
      </c>
      <c r="AM4889">
        <v>96.646392207006102</v>
      </c>
      <c r="AN4889">
        <v>1.00000002814792</v>
      </c>
    </row>
    <row r="4890" spans="1:40" x14ac:dyDescent="0.3">
      <c r="A4890" t="str">
        <f>"20200111150133512"</f>
        <v>20200111150133512</v>
      </c>
      <c r="B4890" t="str">
        <f>"1578726093502702"</f>
        <v>1578726093502702</v>
      </c>
      <c r="C4890" t="s">
        <v>40</v>
      </c>
      <c r="D4890">
        <v>4.7321920000000004</v>
      </c>
      <c r="E4890">
        <v>0.51696339999999996</v>
      </c>
      <c r="F4890" t="s">
        <v>42</v>
      </c>
      <c r="G4890">
        <v>-188.59899999999999</v>
      </c>
      <c r="H4890" s="1">
        <v>-1.2641709999999999E-6</v>
      </c>
      <c r="I4890">
        <v>12.00029</v>
      </c>
      <c r="J4890">
        <v>-187.99100000000001</v>
      </c>
      <c r="K4890">
        <v>1.1049089999999999</v>
      </c>
      <c r="L4890">
        <v>-6.6513669999999996</v>
      </c>
      <c r="M4890">
        <v>2.174879E-2</v>
      </c>
      <c r="N4890">
        <v>0</v>
      </c>
      <c r="O4890">
        <v>0.99967899999999998</v>
      </c>
      <c r="P4890">
        <v>-9.5168349999999999E-2</v>
      </c>
      <c r="Q4890">
        <v>0.1209621</v>
      </c>
      <c r="R4890">
        <v>0.98808459999999998</v>
      </c>
      <c r="S4890">
        <v>-9.6923830000000002E-2</v>
      </c>
      <c r="T4890">
        <v>-0.17793010000000001</v>
      </c>
      <c r="U4890">
        <v>3.0485229999999999</v>
      </c>
      <c r="V4890">
        <v>-0.1166126</v>
      </c>
      <c r="W4890">
        <v>0.13378090000000001</v>
      </c>
      <c r="X4890">
        <v>0.9841261</v>
      </c>
      <c r="Y4890">
        <v>-5.3455889999999999E-2</v>
      </c>
      <c r="Z4890">
        <v>-5.8189869999999998E-2</v>
      </c>
      <c r="AA4890">
        <v>0.99687329999999996</v>
      </c>
      <c r="AB4890">
        <v>27</v>
      </c>
      <c r="AC4890">
        <v>-0.60800000000003196</v>
      </c>
      <c r="AD4890">
        <v>-1.104910264171</v>
      </c>
      <c r="AE4890">
        <v>18.651657</v>
      </c>
      <c r="AF4890">
        <v>-1.0100007712496699</v>
      </c>
      <c r="AG4890">
        <v>-1.104910264171</v>
      </c>
      <c r="AH4890">
        <v>18.568925580505599</v>
      </c>
      <c r="AI4890">
        <v>93.400252111782706</v>
      </c>
      <c r="AJ4890">
        <v>93.113363468247499</v>
      </c>
      <c r="AK4890">
        <v>18.629168673458</v>
      </c>
      <c r="AL4890">
        <v>82.311868874844393</v>
      </c>
      <c r="AM4890">
        <v>96.757670622238606</v>
      </c>
      <c r="AN4890">
        <v>1.00000000419239</v>
      </c>
    </row>
    <row r="4891" spans="1:40" x14ac:dyDescent="0.3">
      <c r="A4891" t="str">
        <f>"20200111150133534"</f>
        <v>20200111150133534</v>
      </c>
      <c r="B4891" t="str">
        <f>"1578726093523198"</f>
        <v>1578726093523198</v>
      </c>
      <c r="C4891" t="s">
        <v>40</v>
      </c>
      <c r="D4891">
        <v>4.6822339999999896</v>
      </c>
      <c r="E4891">
        <v>0.52578749999999996</v>
      </c>
      <c r="F4891" t="s">
        <v>96</v>
      </c>
      <c r="G4891">
        <v>-208.345</v>
      </c>
      <c r="H4891">
        <v>31.724229999999999</v>
      </c>
      <c r="I4891">
        <v>391.87</v>
      </c>
      <c r="J4891">
        <v>-187.98519999999999</v>
      </c>
      <c r="K4891">
        <v>1.105064</v>
      </c>
      <c r="L4891">
        <v>-6.3811039999999997</v>
      </c>
      <c r="M4891">
        <v>2.155611E-2</v>
      </c>
      <c r="N4891">
        <v>0</v>
      </c>
      <c r="O4891">
        <v>0.99968330000000005</v>
      </c>
      <c r="P4891">
        <v>-9.7717689999999996E-2</v>
      </c>
      <c r="Q4891">
        <v>0.1213151</v>
      </c>
      <c r="R4891">
        <v>0.98779240000000001</v>
      </c>
      <c r="S4891">
        <v>-0.15287779999999901</v>
      </c>
      <c r="T4891">
        <v>0.22998109999999999</v>
      </c>
      <c r="U4891">
        <v>2.9932859999999999</v>
      </c>
      <c r="V4891">
        <v>-0.1190147</v>
      </c>
      <c r="W4891">
        <v>0.13408429999999999</v>
      </c>
      <c r="X4891">
        <v>0.98379720000000004</v>
      </c>
      <c r="Y4891">
        <v>-7.2375780000000001E-2</v>
      </c>
      <c r="Z4891">
        <v>7.6429830000000004E-2</v>
      </c>
      <c r="AA4891">
        <v>0.99444469999999996</v>
      </c>
      <c r="AB4891">
        <v>27</v>
      </c>
      <c r="AC4891">
        <v>-20.3598</v>
      </c>
      <c r="AD4891">
        <v>30.6191659999999</v>
      </c>
      <c r="AE4891">
        <v>398.251104</v>
      </c>
      <c r="AF4891">
        <v>-28.770910798924799</v>
      </c>
      <c r="AG4891">
        <v>30.6191659999999</v>
      </c>
      <c r="AH4891">
        <v>395.38852325523499</v>
      </c>
      <c r="AI4891">
        <v>85.583443195763493</v>
      </c>
      <c r="AJ4891">
        <v>94.161859542649907</v>
      </c>
      <c r="AK4891">
        <v>397.61461612557798</v>
      </c>
      <c r="AL4891">
        <v>82.294327373575101</v>
      </c>
      <c r="AM4891">
        <v>96.897827872520097</v>
      </c>
      <c r="AN4891">
        <v>1.0000000145252099</v>
      </c>
    </row>
    <row r="4892" spans="1:40" x14ac:dyDescent="0.3">
      <c r="A4892" t="str">
        <f>"20200111150133556"</f>
        <v>20200111150133556</v>
      </c>
      <c r="B4892" t="str">
        <f>"1578726093553454"</f>
        <v>1578726093553454</v>
      </c>
      <c r="C4892" t="s">
        <v>40</v>
      </c>
      <c r="D4892">
        <v>4.7340309999999999</v>
      </c>
      <c r="E4892">
        <v>0.52484010000000003</v>
      </c>
      <c r="F4892" t="s">
        <v>42</v>
      </c>
      <c r="G4892">
        <v>-188.53309999999999</v>
      </c>
      <c r="H4892" s="1">
        <v>-8.3702459999999997E-7</v>
      </c>
      <c r="I4892">
        <v>10.96073</v>
      </c>
      <c r="J4892">
        <v>-187.97980000000001</v>
      </c>
      <c r="K4892">
        <v>1.1052169999999999</v>
      </c>
      <c r="L4892">
        <v>-6.1148379999999998</v>
      </c>
      <c r="M4892">
        <v>2.1180020000000001E-2</v>
      </c>
      <c r="N4892">
        <v>0</v>
      </c>
      <c r="O4892">
        <v>0.99969129999999995</v>
      </c>
      <c r="P4892">
        <v>-0.10005459999999999</v>
      </c>
      <c r="Q4892">
        <v>0.12314899999999999</v>
      </c>
      <c r="R4892">
        <v>0.98733139999999997</v>
      </c>
      <c r="S4892">
        <v>-9.638977E-2</v>
      </c>
      <c r="T4892">
        <v>-0.19444420000000001</v>
      </c>
      <c r="U4892">
        <v>3.0514220000000001</v>
      </c>
      <c r="V4892">
        <v>-0.12101969999999999</v>
      </c>
      <c r="W4892">
        <v>0.13586699999999999</v>
      </c>
      <c r="X4892">
        <v>0.98330790000000001</v>
      </c>
      <c r="Y4892">
        <v>-5.26731E-2</v>
      </c>
      <c r="Z4892">
        <v>-6.3512180000000001E-2</v>
      </c>
      <c r="AA4892">
        <v>0.99659010000000003</v>
      </c>
      <c r="AB4892">
        <v>27</v>
      </c>
      <c r="AC4892">
        <v>-0.55329999999997803</v>
      </c>
      <c r="AD4892">
        <v>-1.1052178370246</v>
      </c>
      <c r="AE4892">
        <v>17.075568000000001</v>
      </c>
      <c r="AF4892">
        <v>-0.91105453293973304</v>
      </c>
      <c r="AG4892">
        <v>-1.1052178370246</v>
      </c>
      <c r="AH4892">
        <v>16.988919353481201</v>
      </c>
      <c r="AI4892">
        <v>93.716818802079999</v>
      </c>
      <c r="AJ4892">
        <v>93.069625935041202</v>
      </c>
      <c r="AK4892">
        <v>17.0491908203397</v>
      </c>
      <c r="AL4892">
        <v>82.191242865192905</v>
      </c>
      <c r="AM4892">
        <v>97.016340409530102</v>
      </c>
      <c r="AN4892">
        <v>1.0000000178397499</v>
      </c>
    </row>
    <row r="4893" spans="1:40" x14ac:dyDescent="0.3">
      <c r="A4893" t="str">
        <f>"20200111150133579"</f>
        <v>20200111150133579</v>
      </c>
      <c r="B4893" t="str">
        <f>"1578726093572976"</f>
        <v>1578726093572976</v>
      </c>
      <c r="C4893" t="s">
        <v>40</v>
      </c>
      <c r="D4893">
        <v>4.6690339999999999</v>
      </c>
      <c r="E4893">
        <v>0.5255512</v>
      </c>
      <c r="F4893" t="s">
        <v>42</v>
      </c>
      <c r="G4893">
        <v>-188.6078</v>
      </c>
      <c r="H4893" s="1">
        <v>-9.2750009999999995E-7</v>
      </c>
      <c r="I4893">
        <v>11.21913</v>
      </c>
      <c r="J4893">
        <v>-187.9743</v>
      </c>
      <c r="K4893">
        <v>1.1053710000000001</v>
      </c>
      <c r="L4893">
        <v>-5.830292</v>
      </c>
      <c r="M4893">
        <v>2.060756E-2</v>
      </c>
      <c r="N4893">
        <v>0</v>
      </c>
      <c r="O4893">
        <v>0.99970329999999996</v>
      </c>
      <c r="P4893">
        <v>-0.1009053</v>
      </c>
      <c r="Q4893">
        <v>0.12515519999999999</v>
      </c>
      <c r="R4893">
        <v>0.98699250000000005</v>
      </c>
      <c r="S4893">
        <v>-0.11054990000000001</v>
      </c>
      <c r="T4893">
        <v>-0.1945672</v>
      </c>
      <c r="U4893">
        <v>3.0515439999999998</v>
      </c>
      <c r="V4893">
        <v>-0.1213467</v>
      </c>
      <c r="W4893">
        <v>0.13782720000000001</v>
      </c>
      <c r="X4893">
        <v>0.9829947</v>
      </c>
      <c r="Y4893">
        <v>-5.671868E-2</v>
      </c>
      <c r="Z4893">
        <v>-6.3538769999999994E-2</v>
      </c>
      <c r="AA4893">
        <v>0.99636630000000004</v>
      </c>
      <c r="AB4893">
        <v>27</v>
      </c>
      <c r="AC4893">
        <v>-0.63349999999999795</v>
      </c>
      <c r="AD4893">
        <v>-1.1053719275000999</v>
      </c>
      <c r="AE4893">
        <v>17.049422</v>
      </c>
      <c r="AF4893">
        <v>-0.98062581514208702</v>
      </c>
      <c r="AG4893">
        <v>-1.1053719275000999</v>
      </c>
      <c r="AH4893">
        <v>16.961547462272499</v>
      </c>
      <c r="AI4893">
        <v>93.7224538974871</v>
      </c>
      <c r="AJ4893">
        <v>93.308851682781295</v>
      </c>
      <c r="AK4893">
        <v>17.025791212227102</v>
      </c>
      <c r="AL4893">
        <v>82.077864636907194</v>
      </c>
      <c r="AM4893">
        <v>97.037328155941097</v>
      </c>
      <c r="AN4893">
        <v>0.99999996944440905</v>
      </c>
    </row>
    <row r="4894" spans="1:40" x14ac:dyDescent="0.3">
      <c r="A4894" t="str">
        <f>"20200111150133603"</f>
        <v>20200111150133603</v>
      </c>
      <c r="B4894" t="str">
        <f>"1578726093593470"</f>
        <v>1578726093593470</v>
      </c>
      <c r="C4894" t="s">
        <v>40</v>
      </c>
      <c r="D4894">
        <v>4.6771659999999997</v>
      </c>
      <c r="E4894">
        <v>0.52580930000000003</v>
      </c>
      <c r="F4894" t="s">
        <v>42</v>
      </c>
      <c r="G4894">
        <v>-188.5883</v>
      </c>
      <c r="H4894" s="1">
        <v>-1.127408E-6</v>
      </c>
      <c r="I4894">
        <v>11.677060000000001</v>
      </c>
      <c r="J4894">
        <v>-187.9693</v>
      </c>
      <c r="K4894">
        <v>1.1054870000000001</v>
      </c>
      <c r="L4894">
        <v>-5.5547180000000003</v>
      </c>
      <c r="M4894">
        <v>1.991704E-2</v>
      </c>
      <c r="N4894">
        <v>0</v>
      </c>
      <c r="O4894">
        <v>0.99971730000000003</v>
      </c>
      <c r="P4894">
        <v>-9.9969920000000004E-2</v>
      </c>
      <c r="Q4894">
        <v>0.1273598</v>
      </c>
      <c r="R4894">
        <v>0.98680570000000001</v>
      </c>
      <c r="S4894">
        <v>-0.107070899999999</v>
      </c>
      <c r="T4894">
        <v>-0.19276160000000001</v>
      </c>
      <c r="U4894">
        <v>3.0530400000000002</v>
      </c>
      <c r="V4894">
        <v>-0.1197642</v>
      </c>
      <c r="W4894">
        <v>0.14000079999999901</v>
      </c>
      <c r="X4894">
        <v>0.98288160000000002</v>
      </c>
      <c r="Y4894">
        <v>-5.4878749999999997E-2</v>
      </c>
      <c r="Z4894">
        <v>-6.2926629999999997E-2</v>
      </c>
      <c r="AA4894">
        <v>0.99650819999999996</v>
      </c>
      <c r="AB4894">
        <v>27</v>
      </c>
      <c r="AC4894">
        <v>-0.618999999999999</v>
      </c>
      <c r="AD4894">
        <v>-1.105488127408</v>
      </c>
      <c r="AE4894">
        <v>17.231777999999998</v>
      </c>
      <c r="AF4894">
        <v>-0.95817363326737404</v>
      </c>
      <c r="AG4894">
        <v>-1.105488127408</v>
      </c>
      <c r="AH4894">
        <v>17.145553863950799</v>
      </c>
      <c r="AI4894">
        <v>93.683402745169104</v>
      </c>
      <c r="AJ4894">
        <v>93.198628669392207</v>
      </c>
      <c r="AK4894">
        <v>17.207853381900001</v>
      </c>
      <c r="AL4894">
        <v>81.952107165349602</v>
      </c>
      <c r="AM4894">
        <v>96.947247359166298</v>
      </c>
      <c r="AN4894">
        <v>0.99999996361041898</v>
      </c>
    </row>
    <row r="4895" spans="1:40" x14ac:dyDescent="0.3">
      <c r="A4895" t="str">
        <f>"20200111150133624"</f>
        <v>20200111150133624</v>
      </c>
      <c r="B4895" t="str">
        <f>"1578726093612994"</f>
        <v>1578726093612994</v>
      </c>
      <c r="C4895" t="s">
        <v>40</v>
      </c>
      <c r="D4895">
        <v>4.6925080000000001</v>
      </c>
      <c r="E4895">
        <v>0.52659929999999999</v>
      </c>
      <c r="F4895" t="s">
        <v>42</v>
      </c>
      <c r="G4895">
        <v>-188.5796</v>
      </c>
      <c r="H4895" s="1">
        <v>-1.6075939999999999E-6</v>
      </c>
      <c r="I4895">
        <v>12.7928</v>
      </c>
      <c r="J4895">
        <v>-187.96469999999999</v>
      </c>
      <c r="K4895">
        <v>1.1055569999999999</v>
      </c>
      <c r="L4895">
        <v>-5.2836610000000004</v>
      </c>
      <c r="M4895">
        <v>1.9161939999999999E-2</v>
      </c>
      <c r="N4895">
        <v>0</v>
      </c>
      <c r="O4895">
        <v>0.99973210000000001</v>
      </c>
      <c r="P4895">
        <v>-9.8678600000000005E-2</v>
      </c>
      <c r="Q4895">
        <v>0.12885279999999999</v>
      </c>
      <c r="R4895">
        <v>0.9867418</v>
      </c>
      <c r="S4895">
        <v>-0.1015778</v>
      </c>
      <c r="T4895">
        <v>-0.18398539999999999</v>
      </c>
      <c r="U4895">
        <v>3.0535580000000002</v>
      </c>
      <c r="V4895">
        <v>-0.1177528</v>
      </c>
      <c r="W4895">
        <v>0.14147609999999999</v>
      </c>
      <c r="X4895">
        <v>0.98291340000000005</v>
      </c>
      <c r="Y4895">
        <v>-5.2333770000000002E-2</v>
      </c>
      <c r="Z4895">
        <v>-6.0069360000000002E-2</v>
      </c>
      <c r="AA4895">
        <v>0.99682130000000002</v>
      </c>
      <c r="AB4895">
        <v>27</v>
      </c>
      <c r="AC4895">
        <v>-0.614900000000005</v>
      </c>
      <c r="AD4895">
        <v>-1.1055586075939901</v>
      </c>
      <c r="AE4895">
        <v>18.076460999999998</v>
      </c>
      <c r="AF4895">
        <v>-0.95761844681282304</v>
      </c>
      <c r="AG4895">
        <v>-1.1055586075939901</v>
      </c>
      <c r="AH4895">
        <v>17.9941274743543</v>
      </c>
      <c r="AI4895">
        <v>93.510875565388801</v>
      </c>
      <c r="AJ4895">
        <v>93.046315237828296</v>
      </c>
      <c r="AK4895">
        <v>18.0534738066616</v>
      </c>
      <c r="AL4895">
        <v>81.866729041446902</v>
      </c>
      <c r="AM4895">
        <v>96.831463710537804</v>
      </c>
      <c r="AN4895">
        <v>0.99999998033930404</v>
      </c>
    </row>
    <row r="4896" spans="1:40" x14ac:dyDescent="0.3">
      <c r="A4896" t="str">
        <f>"20200111150133645"</f>
        <v>20200111150133645</v>
      </c>
      <c r="B4896" t="str">
        <f>"1578726093643246"</f>
        <v>1578726093643246</v>
      </c>
      <c r="C4896" t="s">
        <v>40</v>
      </c>
      <c r="D4896">
        <v>4.6690559999999897</v>
      </c>
      <c r="E4896">
        <v>0.52726280000000003</v>
      </c>
      <c r="F4896" t="s">
        <v>42</v>
      </c>
      <c r="G4896">
        <v>-188.5206</v>
      </c>
      <c r="H4896" s="1">
        <v>-1.8719470000000001E-6</v>
      </c>
      <c r="I4896">
        <v>13.38461</v>
      </c>
      <c r="J4896">
        <v>-187.9606</v>
      </c>
      <c r="K4896">
        <v>1.105604</v>
      </c>
      <c r="L4896">
        <v>-5.0302119999999997</v>
      </c>
      <c r="M4896">
        <v>1.8423930000000002E-2</v>
      </c>
      <c r="N4896">
        <v>0</v>
      </c>
      <c r="O4896">
        <v>0.99974600000000002</v>
      </c>
      <c r="P4896">
        <v>-9.7471260000000004E-2</v>
      </c>
      <c r="Q4896">
        <v>0.13147629999999999</v>
      </c>
      <c r="R4896">
        <v>0.98651580000000005</v>
      </c>
      <c r="S4896">
        <v>-9.0972899999999995E-2</v>
      </c>
      <c r="T4896">
        <v>-0.1809115</v>
      </c>
      <c r="U4896">
        <v>3.05484</v>
      </c>
      <c r="V4896">
        <v>-0.1158304</v>
      </c>
      <c r="W4896">
        <v>0.14408969999999999</v>
      </c>
      <c r="X4896">
        <v>0.98276220000000003</v>
      </c>
      <c r="Y4896">
        <v>-4.8127000000000003E-2</v>
      </c>
      <c r="Z4896">
        <v>-5.9055339999999998E-2</v>
      </c>
      <c r="AA4896">
        <v>0.99709389999999998</v>
      </c>
      <c r="AB4896">
        <v>27</v>
      </c>
      <c r="AC4896">
        <v>-0.56000000000000205</v>
      </c>
      <c r="AD4896">
        <v>-1.1056058719470001</v>
      </c>
      <c r="AE4896">
        <v>18.414822000000001</v>
      </c>
      <c r="AF4896">
        <v>-0.89598018062850404</v>
      </c>
      <c r="AG4896">
        <v>-1.1056058719470001</v>
      </c>
      <c r="AH4896">
        <v>18.335345740933999</v>
      </c>
      <c r="AI4896">
        <v>93.446606231621004</v>
      </c>
      <c r="AJ4896">
        <v>92.797606337176802</v>
      </c>
      <c r="AK4896">
        <v>18.390487983404601</v>
      </c>
      <c r="AL4896">
        <v>81.715430978275606</v>
      </c>
      <c r="AM4896">
        <v>96.721988292181805</v>
      </c>
      <c r="AN4896">
        <v>1.0000000324795399</v>
      </c>
    </row>
    <row r="4897" spans="1:40" x14ac:dyDescent="0.3">
      <c r="A4897" t="str">
        <f>"20200111150133668"</f>
        <v>20200111150133668</v>
      </c>
      <c r="B4897" t="str">
        <f>"1578726093662766"</f>
        <v>1578726093662766</v>
      </c>
      <c r="C4897" t="s">
        <v>40</v>
      </c>
      <c r="D4897">
        <v>4.6262559999999997</v>
      </c>
      <c r="E4897">
        <v>0.52755209999999997</v>
      </c>
      <c r="F4897" t="s">
        <v>42</v>
      </c>
      <c r="G4897">
        <v>-188.4812</v>
      </c>
      <c r="H4897" s="1">
        <v>-2.280093E-6</v>
      </c>
      <c r="I4897">
        <v>14.3197299999999</v>
      </c>
      <c r="J4897">
        <v>-187.9564</v>
      </c>
      <c r="K4897">
        <v>1.105639</v>
      </c>
      <c r="L4897">
        <v>-4.7536009999999997</v>
      </c>
      <c r="M4897">
        <v>1.7608039999999998E-2</v>
      </c>
      <c r="N4897">
        <v>0</v>
      </c>
      <c r="O4897">
        <v>0.9997606</v>
      </c>
      <c r="P4897">
        <v>-9.6136120000000005E-2</v>
      </c>
      <c r="Q4897">
        <v>0.13464779999999901</v>
      </c>
      <c r="R4897">
        <v>0.98621890000000001</v>
      </c>
      <c r="S4897">
        <v>-8.2229609999999995E-2</v>
      </c>
      <c r="T4897">
        <v>-0.17462069999999999</v>
      </c>
      <c r="U4897">
        <v>3.056152</v>
      </c>
      <c r="V4897">
        <v>-0.1136963</v>
      </c>
      <c r="W4897">
        <v>0.1472627</v>
      </c>
      <c r="X4897">
        <v>0.982541</v>
      </c>
      <c r="Y4897">
        <v>-4.4451770000000002E-2</v>
      </c>
      <c r="Z4897">
        <v>-5.6992679999999997E-2</v>
      </c>
      <c r="AA4897">
        <v>0.99738450000000001</v>
      </c>
      <c r="AB4897">
        <v>27</v>
      </c>
      <c r="AC4897">
        <v>-0.52479999999999805</v>
      </c>
      <c r="AD4897">
        <v>-1.105641280093</v>
      </c>
      <c r="AE4897">
        <v>19.073331</v>
      </c>
      <c r="AF4897">
        <v>-0.85771096358796295</v>
      </c>
      <c r="AG4897">
        <v>-1.105641280093</v>
      </c>
      <c r="AH4897">
        <v>18.997343922861798</v>
      </c>
      <c r="AI4897">
        <v>93.327462474230501</v>
      </c>
      <c r="AJ4897">
        <v>92.585091239000704</v>
      </c>
      <c r="AK4897">
        <v>19.048810641633299</v>
      </c>
      <c r="AL4897">
        <v>81.5316706888472</v>
      </c>
      <c r="AM4897">
        <v>96.600715123828806</v>
      </c>
      <c r="AN4897">
        <v>0.99999998406298896</v>
      </c>
    </row>
    <row r="4898" spans="1:40" x14ac:dyDescent="0.3">
      <c r="A4898" t="str">
        <f>"20200111150133692"</f>
        <v>20200111150133692</v>
      </c>
      <c r="B4898" t="str">
        <f>"1578726093683263"</f>
        <v>1578726093683263</v>
      </c>
      <c r="C4898" t="s">
        <v>40</v>
      </c>
      <c r="D4898">
        <v>4.6665729999999996</v>
      </c>
      <c r="E4898">
        <v>0.52737060000000002</v>
      </c>
      <c r="F4898" t="s">
        <v>42</v>
      </c>
      <c r="G4898">
        <v>-188.46619999999999</v>
      </c>
      <c r="H4898" s="1">
        <v>-2.8694809999999999E-6</v>
      </c>
      <c r="I4898">
        <v>15.68741</v>
      </c>
      <c r="J4898">
        <v>-187.9522</v>
      </c>
      <c r="K4898">
        <v>1.1056549999999901</v>
      </c>
      <c r="L4898">
        <v>-4.4584659999999996</v>
      </c>
      <c r="M4898">
        <v>1.6744160000000001E-2</v>
      </c>
      <c r="N4898">
        <v>0</v>
      </c>
      <c r="O4898">
        <v>0.99977530000000003</v>
      </c>
      <c r="P4898">
        <v>-9.5375080000000001E-2</v>
      </c>
      <c r="Q4898">
        <v>0.13815740000000001</v>
      </c>
      <c r="R4898">
        <v>0.9858074</v>
      </c>
      <c r="S4898">
        <v>-7.6248170000000004E-2</v>
      </c>
      <c r="T4898">
        <v>-0.165355</v>
      </c>
      <c r="U4898">
        <v>3.0570680000000001</v>
      </c>
      <c r="V4898">
        <v>-0.1120815</v>
      </c>
      <c r="W4898">
        <v>0.15077929999999901</v>
      </c>
      <c r="X4898">
        <v>0.98219310000000004</v>
      </c>
      <c r="Y4898">
        <v>-4.1634369999999997E-2</v>
      </c>
      <c r="Z4898">
        <v>-5.3967300000000003E-2</v>
      </c>
      <c r="AA4898">
        <v>0.99767430000000001</v>
      </c>
      <c r="AB4898">
        <v>27</v>
      </c>
      <c r="AC4898">
        <v>-0.51399999999998103</v>
      </c>
      <c r="AD4898">
        <v>-1.10565786948099</v>
      </c>
      <c r="AE4898">
        <v>20.145876000000001</v>
      </c>
      <c r="AF4898">
        <v>-0.84872741652005401</v>
      </c>
      <c r="AG4898">
        <v>-1.10565786948099</v>
      </c>
      <c r="AH4898">
        <v>20.0740183891808</v>
      </c>
      <c r="AI4898">
        <v>93.149803324394995</v>
      </c>
      <c r="AJ4898">
        <v>92.421017709883202</v>
      </c>
      <c r="AK4898">
        <v>20.122351548491199</v>
      </c>
      <c r="AL4898">
        <v>81.327908939447894</v>
      </c>
      <c r="AM4898">
        <v>96.510062068703107</v>
      </c>
      <c r="AN4898">
        <v>0.99999997281917397</v>
      </c>
    </row>
    <row r="4899" spans="1:40" x14ac:dyDescent="0.3">
      <c r="A4899" t="str">
        <f>"20200111150133715"</f>
        <v>20200111150133715</v>
      </c>
      <c r="B4899" t="str">
        <f>"1578726093712542"</f>
        <v>1578726093712542</v>
      </c>
      <c r="C4899" t="s">
        <v>40</v>
      </c>
      <c r="D4899">
        <v>4.7281789999999999</v>
      </c>
      <c r="E4899">
        <v>0.52755739999999995</v>
      </c>
      <c r="F4899" t="s">
        <v>42</v>
      </c>
      <c r="G4899">
        <v>-188.48849999999999</v>
      </c>
      <c r="H4899" s="1">
        <v>-3.4835050000000001E-6</v>
      </c>
      <c r="I4899">
        <v>17.12792</v>
      </c>
      <c r="J4899">
        <v>-187.94829999999999</v>
      </c>
      <c r="K4899">
        <v>1.1056589999999999</v>
      </c>
      <c r="L4899">
        <v>-4.1727290000000004</v>
      </c>
      <c r="M4899">
        <v>1.592526E-2</v>
      </c>
      <c r="N4899">
        <v>0</v>
      </c>
      <c r="O4899">
        <v>0.99978860000000003</v>
      </c>
      <c r="P4899">
        <v>-9.4716239999999993E-2</v>
      </c>
      <c r="Q4899">
        <v>0.1413567</v>
      </c>
      <c r="R4899">
        <v>0.98541719999999999</v>
      </c>
      <c r="S4899">
        <v>-7.5973509999999994E-2</v>
      </c>
      <c r="T4899">
        <v>-0.15662100000000001</v>
      </c>
      <c r="U4899">
        <v>3.0577999999999999</v>
      </c>
      <c r="V4899">
        <v>-0.1106116</v>
      </c>
      <c r="W4899">
        <v>0.15398719999999999</v>
      </c>
      <c r="X4899">
        <v>0.98186200000000001</v>
      </c>
      <c r="Y4899">
        <v>-4.0724200000000002E-2</v>
      </c>
      <c r="Z4899">
        <v>-5.111429E-2</v>
      </c>
      <c r="AA4899">
        <v>0.99786220000000003</v>
      </c>
      <c r="AB4899">
        <v>27</v>
      </c>
      <c r="AC4899">
        <v>-0.54019999999999802</v>
      </c>
      <c r="AD4899">
        <v>-1.105662483505</v>
      </c>
      <c r="AE4899">
        <v>21.300649</v>
      </c>
      <c r="AF4899">
        <v>-0.87701704624566601</v>
      </c>
      <c r="AG4899">
        <v>-1.105662483505</v>
      </c>
      <c r="AH4899">
        <v>21.232172893718602</v>
      </c>
      <c r="AI4899">
        <v>92.978441957477202</v>
      </c>
      <c r="AJ4899">
        <v>92.365317316747905</v>
      </c>
      <c r="AK4899">
        <v>21.279022867970099</v>
      </c>
      <c r="AL4899">
        <v>81.141937962064802</v>
      </c>
      <c r="AM4899">
        <v>96.427552766147002</v>
      </c>
      <c r="AN4899">
        <v>0.99999998543119994</v>
      </c>
    </row>
    <row r="4900" spans="1:40" x14ac:dyDescent="0.3">
      <c r="A4900" t="str">
        <f>"20200111150133736"</f>
        <v>20200111150133736</v>
      </c>
      <c r="B4900" t="str">
        <f>"1578726093733039"</f>
        <v>1578726093733039</v>
      </c>
      <c r="C4900" t="s">
        <v>40</v>
      </c>
      <c r="D4900">
        <v>4.8342289999999997</v>
      </c>
      <c r="E4900">
        <v>0.52762559999999903</v>
      </c>
      <c r="F4900" t="s">
        <v>42</v>
      </c>
      <c r="G4900">
        <v>-188.4854</v>
      </c>
      <c r="H4900" s="1">
        <v>-4.0226360000000004E-6</v>
      </c>
      <c r="I4900">
        <v>18.38335</v>
      </c>
      <c r="J4900">
        <v>-187.94499999999999</v>
      </c>
      <c r="K4900">
        <v>1.105661</v>
      </c>
      <c r="L4900">
        <v>-3.9141849999999998</v>
      </c>
      <c r="M4900">
        <v>1.520326E-2</v>
      </c>
      <c r="N4900">
        <v>0</v>
      </c>
      <c r="O4900">
        <v>0.99979969999999996</v>
      </c>
      <c r="P4900">
        <v>-9.3304429999999994E-2</v>
      </c>
      <c r="Q4900">
        <v>0.14425170000000001</v>
      </c>
      <c r="R4900">
        <v>0.98513229999999996</v>
      </c>
      <c r="S4900">
        <v>-7.2830199999999998E-2</v>
      </c>
      <c r="T4900">
        <v>-0.149942299999999</v>
      </c>
      <c r="U4900">
        <v>3.0588989999999998</v>
      </c>
      <c r="V4900">
        <v>-0.1084857</v>
      </c>
      <c r="W4900">
        <v>0.15689210000000001</v>
      </c>
      <c r="X4900">
        <v>0.98163929999999999</v>
      </c>
      <c r="Y4900">
        <v>-3.8971520000000003E-2</v>
      </c>
      <c r="Z4900">
        <v>-4.8925620000000003E-2</v>
      </c>
      <c r="AA4900">
        <v>0.99804179999999998</v>
      </c>
      <c r="AB4900">
        <v>27</v>
      </c>
      <c r="AC4900">
        <v>-0.54040000000000499</v>
      </c>
      <c r="AD4900">
        <v>-1.1056650226360001</v>
      </c>
      <c r="AE4900">
        <v>22.297535</v>
      </c>
      <c r="AF4900">
        <v>-0.87720581576887302</v>
      </c>
      <c r="AG4900">
        <v>-1.1056650226360001</v>
      </c>
      <c r="AH4900">
        <v>22.232107457473798</v>
      </c>
      <c r="AI4900">
        <v>92.844923913784598</v>
      </c>
      <c r="AJ4900">
        <v>92.259530870673899</v>
      </c>
      <c r="AK4900">
        <v>22.276862148564799</v>
      </c>
      <c r="AL4900">
        <v>80.973451600847199</v>
      </c>
      <c r="AM4900">
        <v>96.306441768070201</v>
      </c>
      <c r="AN4900">
        <v>0.99999999672569495</v>
      </c>
    </row>
    <row r="4901" spans="1:40" x14ac:dyDescent="0.3">
      <c r="A4901" t="str">
        <f>"20200111150133758"</f>
        <v>20200111150133758</v>
      </c>
      <c r="B4901" t="str">
        <f>"1578726093752558"</f>
        <v>1578726093752558</v>
      </c>
      <c r="C4901" t="s">
        <v>40</v>
      </c>
      <c r="D4901">
        <v>4.7519900000000002</v>
      </c>
      <c r="E4901">
        <v>0.52853760000000005</v>
      </c>
      <c r="F4901" t="s">
        <v>42</v>
      </c>
      <c r="G4901">
        <v>-188.4641</v>
      </c>
      <c r="H4901" s="1">
        <v>-4.4229639999999997E-6</v>
      </c>
      <c r="I4901">
        <v>19.307729999999999</v>
      </c>
      <c r="J4901">
        <v>-187.9418</v>
      </c>
      <c r="K4901">
        <v>1.1056569999999999</v>
      </c>
      <c r="L4901">
        <v>-3.6505429999999999</v>
      </c>
      <c r="M4901">
        <v>1.4483599999999999E-2</v>
      </c>
      <c r="N4901">
        <v>0</v>
      </c>
      <c r="O4901">
        <v>0.99981030000000004</v>
      </c>
      <c r="P4901">
        <v>-9.2357510000000004E-2</v>
      </c>
      <c r="Q4901">
        <v>0.14530100000000001</v>
      </c>
      <c r="R4901">
        <v>0.98506740000000004</v>
      </c>
      <c r="S4901">
        <v>-6.8405149999999998E-2</v>
      </c>
      <c r="T4901">
        <v>-0.14570150000000001</v>
      </c>
      <c r="U4901">
        <v>3.06012</v>
      </c>
      <c r="V4901">
        <v>-0.10682800000000001</v>
      </c>
      <c r="W4901">
        <v>0.1579526</v>
      </c>
      <c r="X4901">
        <v>0.98165100000000005</v>
      </c>
      <c r="Y4901">
        <v>-3.6801769999999998E-2</v>
      </c>
      <c r="Z4901">
        <v>-4.7529630000000003E-2</v>
      </c>
      <c r="AA4901">
        <v>0.99819170000000002</v>
      </c>
      <c r="AB4901">
        <v>27</v>
      </c>
      <c r="AC4901">
        <v>-0.52230000000000099</v>
      </c>
      <c r="AD4901">
        <v>-1.1056614229639901</v>
      </c>
      <c r="AE4901">
        <v>22.958272999999998</v>
      </c>
      <c r="AF4901">
        <v>-0.85281489620224904</v>
      </c>
      <c r="AG4901">
        <v>-1.1056614229639901</v>
      </c>
      <c r="AH4901">
        <v>22.895224487607599</v>
      </c>
      <c r="AI4901">
        <v>92.762879890183001</v>
      </c>
      <c r="AJ4901">
        <v>92.133200955156198</v>
      </c>
      <c r="AK4901">
        <v>22.937765470231898</v>
      </c>
      <c r="AL4901">
        <v>80.9119219512298</v>
      </c>
      <c r="AM4901">
        <v>96.210762536207596</v>
      </c>
      <c r="AN4901">
        <v>0.99999996561587901</v>
      </c>
    </row>
    <row r="4902" spans="1:40" x14ac:dyDescent="0.3">
      <c r="A4902" t="str">
        <f>"20200111150133781"</f>
        <v>20200111150133781</v>
      </c>
      <c r="B4902" t="str">
        <f>"1578726093773055"</f>
        <v>1578726093773055</v>
      </c>
      <c r="C4902" t="s">
        <v>40</v>
      </c>
      <c r="D4902">
        <v>4.7371749999999997</v>
      </c>
      <c r="E4902">
        <v>0.52916529999999995</v>
      </c>
      <c r="F4902" t="s">
        <v>42</v>
      </c>
      <c r="G4902">
        <v>-188.39269999999999</v>
      </c>
      <c r="H4902" s="1">
        <v>-6.2740439999999999E-7</v>
      </c>
      <c r="I4902">
        <v>20.235029999999998</v>
      </c>
      <c r="J4902">
        <v>-187.93870000000001</v>
      </c>
      <c r="K4902">
        <v>1.1056440000000001</v>
      </c>
      <c r="L4902">
        <v>-3.3779300000000001</v>
      </c>
      <c r="M4902">
        <v>1.375151E-2</v>
      </c>
      <c r="N4902">
        <v>0</v>
      </c>
      <c r="O4902">
        <v>0.99982059999999995</v>
      </c>
      <c r="P4902">
        <v>-9.2104489999999997E-2</v>
      </c>
      <c r="Q4902">
        <v>0.14595749999999999</v>
      </c>
      <c r="R4902">
        <v>0.98499400000000004</v>
      </c>
      <c r="S4902">
        <v>-5.7785030000000001E-2</v>
      </c>
      <c r="T4902">
        <v>-0.14169179999999901</v>
      </c>
      <c r="U4902">
        <v>3.0609739999999999</v>
      </c>
      <c r="V4902">
        <v>-0.1058518</v>
      </c>
      <c r="W4902">
        <v>0.15861829999999999</v>
      </c>
      <c r="X4902">
        <v>0.98164949999999995</v>
      </c>
      <c r="Y4902">
        <v>-3.2602899999999997E-2</v>
      </c>
      <c r="Z4902">
        <v>-4.6217300000000003E-2</v>
      </c>
      <c r="AA4902">
        <v>0.99839920000000004</v>
      </c>
      <c r="AB4902">
        <v>27</v>
      </c>
      <c r="AC4902">
        <v>-0.45399999999997898</v>
      </c>
      <c r="AD4902">
        <v>-1.1056446274044001</v>
      </c>
      <c r="AE4902">
        <v>23.612960000000001</v>
      </c>
      <c r="AF4902">
        <v>-0.77699557260638497</v>
      </c>
      <c r="AG4902">
        <v>-1.1056446274044001</v>
      </c>
      <c r="AH4902">
        <v>23.552863686937801</v>
      </c>
      <c r="AI4902">
        <v>92.686209736399604</v>
      </c>
      <c r="AJ4902">
        <v>91.889469928134602</v>
      </c>
      <c r="AK4902">
        <v>23.5915993526812</v>
      </c>
      <c r="AL4902">
        <v>80.873293991396693</v>
      </c>
      <c r="AM4902">
        <v>96.154455120047601</v>
      </c>
      <c r="AN4902">
        <v>1.0000000547541801</v>
      </c>
    </row>
    <row r="4903" spans="1:40" x14ac:dyDescent="0.3">
      <c r="A4903" t="str">
        <f>"20200111150133803"</f>
        <v>20200111150133803</v>
      </c>
      <c r="B4903" t="str">
        <f>"1578726093793551"</f>
        <v>1578726093793551</v>
      </c>
      <c r="C4903" t="s">
        <v>40</v>
      </c>
      <c r="D4903">
        <v>4.7734100000000002</v>
      </c>
      <c r="E4903">
        <v>0.52971349999999995</v>
      </c>
      <c r="F4903" t="s">
        <v>42</v>
      </c>
      <c r="G4903">
        <v>-188.35050000000001</v>
      </c>
      <c r="H4903" s="1">
        <v>-9.2572369999999998E-7</v>
      </c>
      <c r="I4903">
        <v>21.07863</v>
      </c>
      <c r="J4903">
        <v>-187.9359</v>
      </c>
      <c r="K4903">
        <v>1.10564</v>
      </c>
      <c r="L4903">
        <v>-3.1073</v>
      </c>
      <c r="M4903">
        <v>1.3030379999999999E-2</v>
      </c>
      <c r="N4903">
        <v>0</v>
      </c>
      <c r="O4903">
        <v>0.9998302</v>
      </c>
      <c r="P4903">
        <v>-9.230911E-2</v>
      </c>
      <c r="Q4903">
        <v>0.1460166</v>
      </c>
      <c r="R4903">
        <v>0.98496609999999996</v>
      </c>
      <c r="S4903">
        <v>-5.1544189999999997E-2</v>
      </c>
      <c r="T4903">
        <v>-0.13840139999999901</v>
      </c>
      <c r="U4903">
        <v>3.061401</v>
      </c>
      <c r="V4903">
        <v>-0.1053446</v>
      </c>
      <c r="W4903">
        <v>0.15868570000000001</v>
      </c>
      <c r="X4903">
        <v>0.98169309999999999</v>
      </c>
      <c r="Y4903">
        <v>-2.9845449999999999E-2</v>
      </c>
      <c r="Z4903">
        <v>-4.51434E-2</v>
      </c>
      <c r="AA4903">
        <v>0.99853460000000005</v>
      </c>
      <c r="AB4903">
        <v>27</v>
      </c>
      <c r="AC4903">
        <v>-0.41460000000000702</v>
      </c>
      <c r="AD4903">
        <v>-1.1056409257237001</v>
      </c>
      <c r="AE4903">
        <v>24.185929999999999</v>
      </c>
      <c r="AF4903">
        <v>-0.72822202617561405</v>
      </c>
      <c r="AG4903">
        <v>-1.1056409257237001</v>
      </c>
      <c r="AH4903">
        <v>24.128065660019701</v>
      </c>
      <c r="AI4903">
        <v>92.622485459989605</v>
      </c>
      <c r="AJ4903">
        <v>91.728749705701105</v>
      </c>
      <c r="AK4903">
        <v>24.164360154373298</v>
      </c>
      <c r="AL4903">
        <v>80.869382115905296</v>
      </c>
      <c r="AM4903">
        <v>96.124920136914</v>
      </c>
      <c r="AN4903">
        <v>0.99999998936062895</v>
      </c>
    </row>
    <row r="4904" spans="1:40" x14ac:dyDescent="0.3">
      <c r="A4904" t="str">
        <f>"20200111150133825"</f>
        <v>20200111150133825</v>
      </c>
      <c r="B4904" t="str">
        <f>"1578726093822830"</f>
        <v>1578726093822830</v>
      </c>
      <c r="C4904" t="s">
        <v>40</v>
      </c>
      <c r="D4904">
        <v>4.7391240000000003</v>
      </c>
      <c r="E4904">
        <v>0.53038459999999998</v>
      </c>
      <c r="F4904" t="s">
        <v>42</v>
      </c>
      <c r="G4904">
        <v>-188.31460000000001</v>
      </c>
      <c r="H4904" s="1">
        <v>-1.0647820000000001E-6</v>
      </c>
      <c r="I4904">
        <v>21.417919999999999</v>
      </c>
      <c r="J4904">
        <v>-187.9332</v>
      </c>
      <c r="K4904">
        <v>1.105634</v>
      </c>
      <c r="L4904">
        <v>-2.8407900000000001</v>
      </c>
      <c r="M4904">
        <v>1.2320930000000001E-2</v>
      </c>
      <c r="N4904">
        <v>0</v>
      </c>
      <c r="O4904">
        <v>0.99983909999999998</v>
      </c>
      <c r="P4904">
        <v>-9.1872919999999997E-2</v>
      </c>
      <c r="Q4904">
        <v>0.14674619999999999</v>
      </c>
      <c r="R4904">
        <v>0.98489839999999995</v>
      </c>
      <c r="S4904">
        <v>-4.7286990000000001E-2</v>
      </c>
      <c r="T4904">
        <v>-0.13803270000000001</v>
      </c>
      <c r="U4904">
        <v>3.0618289999999999</v>
      </c>
      <c r="V4904">
        <v>-0.1042081</v>
      </c>
      <c r="W4904">
        <v>0.15942339999999999</v>
      </c>
      <c r="X4904">
        <v>0.98169490000000004</v>
      </c>
      <c r="Y4904">
        <v>-2.7745880000000001E-2</v>
      </c>
      <c r="Z4904">
        <v>-4.5019570000000002E-2</v>
      </c>
      <c r="AA4904">
        <v>0.99860070000000001</v>
      </c>
      <c r="AB4904">
        <v>27</v>
      </c>
      <c r="AC4904">
        <v>-0.38140000000001301</v>
      </c>
      <c r="AD4904">
        <v>-1.1056350647819999</v>
      </c>
      <c r="AE4904">
        <v>24.258710000000001</v>
      </c>
      <c r="AF4904">
        <v>-0.67887647090352699</v>
      </c>
      <c r="AG4904">
        <v>-1.1056350647819999</v>
      </c>
      <c r="AH4904">
        <v>24.2019077907777</v>
      </c>
      <c r="AI4904">
        <v>92.614643168918406</v>
      </c>
      <c r="AJ4904">
        <v>91.606755963152693</v>
      </c>
      <c r="AK4904">
        <v>24.236659069940501</v>
      </c>
      <c r="AL4904">
        <v>80.826570226307993</v>
      </c>
      <c r="AM4904">
        <v>96.059325237171095</v>
      </c>
      <c r="AN4904">
        <v>1.00000001262958</v>
      </c>
    </row>
    <row r="4905" spans="1:40" x14ac:dyDescent="0.3">
      <c r="A4905" t="str">
        <f>"20200111150133847"</f>
        <v>20200111150133847</v>
      </c>
      <c r="B4905" t="str">
        <f>"1578726093843327"</f>
        <v>1578726093843327</v>
      </c>
      <c r="C4905" t="s">
        <v>40</v>
      </c>
      <c r="D4905">
        <v>4.7572999999999999</v>
      </c>
      <c r="E4905">
        <v>0.53077549999999996</v>
      </c>
      <c r="F4905" t="s">
        <v>42</v>
      </c>
      <c r="G4905">
        <v>-188.2576</v>
      </c>
      <c r="H4905" s="1">
        <v>-1.1199489999999999E-6</v>
      </c>
      <c r="I4905">
        <v>21.522960000000001</v>
      </c>
      <c r="J4905">
        <v>-187.9308</v>
      </c>
      <c r="K4905">
        <v>1.1056239999999999</v>
      </c>
      <c r="L4905">
        <v>-2.5765380000000002</v>
      </c>
      <c r="M4905">
        <v>1.16162E-2</v>
      </c>
      <c r="N4905">
        <v>0</v>
      </c>
      <c r="O4905">
        <v>0.9998475</v>
      </c>
      <c r="P4905">
        <v>-9.0669230000000003E-2</v>
      </c>
      <c r="Q4905">
        <v>0.1469356</v>
      </c>
      <c r="R4905">
        <v>0.98498169999999996</v>
      </c>
      <c r="S4905">
        <v>-4.0786740000000002E-2</v>
      </c>
      <c r="T4905">
        <v>-0.13899520000000001</v>
      </c>
      <c r="U4905">
        <v>3.062897</v>
      </c>
      <c r="V4905">
        <v>-0.1023106</v>
      </c>
      <c r="W4905">
        <v>0.15962290000000001</v>
      </c>
      <c r="X4905">
        <v>0.98186209999999996</v>
      </c>
      <c r="Y4905">
        <v>-2.4916790000000001E-2</v>
      </c>
      <c r="Z4905">
        <v>-4.5320029999999997E-2</v>
      </c>
      <c r="AA4905">
        <v>0.99866180000000004</v>
      </c>
      <c r="AB4905">
        <v>27</v>
      </c>
      <c r="AC4905">
        <v>-0.32679999999999099</v>
      </c>
      <c r="AD4905">
        <v>-1.1056251199489999</v>
      </c>
      <c r="AE4905">
        <v>24.099498000000001</v>
      </c>
      <c r="AF4905">
        <v>-0.60547220839345905</v>
      </c>
      <c r="AG4905">
        <v>-1.1056251199489999</v>
      </c>
      <c r="AH4905">
        <v>24.0434791001652</v>
      </c>
      <c r="AI4905">
        <v>92.632024439212003</v>
      </c>
      <c r="AJ4905">
        <v>91.442539645266194</v>
      </c>
      <c r="AK4905">
        <v>24.076500799349599</v>
      </c>
      <c r="AL4905">
        <v>80.814991846784906</v>
      </c>
      <c r="AM4905">
        <v>95.948785263238804</v>
      </c>
      <c r="AN4905">
        <v>1.0000000562465801</v>
      </c>
    </row>
    <row r="4906" spans="1:40" x14ac:dyDescent="0.3">
      <c r="A4906" t="str">
        <f>"20200111150133871"</f>
        <v>20200111150133871</v>
      </c>
      <c r="B4906" t="str">
        <f>"1578726093862846"</f>
        <v>1578726093862846</v>
      </c>
      <c r="C4906" t="s">
        <v>40</v>
      </c>
      <c r="D4906">
        <v>4.7719760000000004</v>
      </c>
      <c r="E4906">
        <v>0.53100400000000003</v>
      </c>
      <c r="F4906" t="s">
        <v>42</v>
      </c>
      <c r="G4906">
        <v>-188.1969</v>
      </c>
      <c r="H4906" s="1">
        <v>-1.0739429999999999E-6</v>
      </c>
      <c r="I4906">
        <v>21.39059</v>
      </c>
      <c r="J4906">
        <v>-187.92840000000001</v>
      </c>
      <c r="K4906">
        <v>1.10562</v>
      </c>
      <c r="L4906">
        <v>-2.2921749999999999</v>
      </c>
      <c r="M4906">
        <v>1.085594E-2</v>
      </c>
      <c r="N4906">
        <v>0</v>
      </c>
      <c r="O4906">
        <v>0.99985599999999997</v>
      </c>
      <c r="P4906">
        <v>-9.008302E-2</v>
      </c>
      <c r="Q4906">
        <v>0.1464462</v>
      </c>
      <c r="R4906">
        <v>0.9851084</v>
      </c>
      <c r="S4906">
        <v>-3.4011840000000002E-2</v>
      </c>
      <c r="T4906">
        <v>-0.14133080000000001</v>
      </c>
      <c r="U4906">
        <v>3.0636899999999998</v>
      </c>
      <c r="V4906">
        <v>-0.1009757</v>
      </c>
      <c r="W4906">
        <v>0.15914229999999999</v>
      </c>
      <c r="X4906">
        <v>0.98207829999999996</v>
      </c>
      <c r="Y4906">
        <v>-2.1944660000000001E-2</v>
      </c>
      <c r="Z4906">
        <v>-4.6070880000000002E-2</v>
      </c>
      <c r="AA4906">
        <v>0.9986971</v>
      </c>
      <c r="AB4906">
        <v>27</v>
      </c>
      <c r="AC4906">
        <v>-0.26849999999998803</v>
      </c>
      <c r="AD4906">
        <v>-1.1056210739429999</v>
      </c>
      <c r="AE4906">
        <v>23.682765</v>
      </c>
      <c r="AF4906">
        <v>-0.52446182998345903</v>
      </c>
      <c r="AG4906">
        <v>-1.1056210739429999</v>
      </c>
      <c r="AH4906">
        <v>23.6269668485861</v>
      </c>
      <c r="AI4906">
        <v>92.678535798883402</v>
      </c>
      <c r="AJ4906">
        <v>91.271619652708495</v>
      </c>
      <c r="AK4906">
        <v>23.658635223411402</v>
      </c>
      <c r="AL4906">
        <v>80.842884932942198</v>
      </c>
      <c r="AM4906">
        <v>95.870430584308096</v>
      </c>
      <c r="AN4906">
        <v>1.00000007548533</v>
      </c>
    </row>
    <row r="4907" spans="1:40" x14ac:dyDescent="0.3">
      <c r="A4907" t="str">
        <f>"20200111150133895"</f>
        <v>20200111150133895</v>
      </c>
      <c r="B4907" t="str">
        <f>"1578726093883343"</f>
        <v>1578726093883343</v>
      </c>
      <c r="C4907" t="s">
        <v>40</v>
      </c>
      <c r="D4907">
        <v>4.759385</v>
      </c>
      <c r="E4907">
        <v>0.53125489999999997</v>
      </c>
      <c r="F4907" t="s">
        <v>42</v>
      </c>
      <c r="G4907">
        <v>-188.154</v>
      </c>
      <c r="H4907" s="1">
        <v>-9.7326070000000002E-7</v>
      </c>
      <c r="I4907">
        <v>21.064720000000001</v>
      </c>
      <c r="J4907">
        <v>-187.92609999999999</v>
      </c>
      <c r="K4907">
        <v>1.1056140000000001</v>
      </c>
      <c r="L4907">
        <v>-1.997986</v>
      </c>
      <c r="M4907">
        <v>1.006778E-2</v>
      </c>
      <c r="N4907">
        <v>0</v>
      </c>
      <c r="O4907">
        <v>0.99986419999999998</v>
      </c>
      <c r="P4907">
        <v>-9.0110590000000004E-2</v>
      </c>
      <c r="Q4907">
        <v>0.14651879999999901</v>
      </c>
      <c r="R4907">
        <v>0.9850951</v>
      </c>
      <c r="S4907">
        <v>-2.9602050000000001E-2</v>
      </c>
      <c r="T4907">
        <v>-0.14504719999999999</v>
      </c>
      <c r="U4907">
        <v>3.064209</v>
      </c>
      <c r="V4907">
        <v>-0.1002265</v>
      </c>
      <c r="W4907">
        <v>0.15922049999999999</v>
      </c>
      <c r="X4907">
        <v>0.98214230000000002</v>
      </c>
      <c r="Y4907">
        <v>-1.971701E-2</v>
      </c>
      <c r="Z4907">
        <v>-4.7273700000000002E-2</v>
      </c>
      <c r="AA4907">
        <v>0.9986874</v>
      </c>
      <c r="AB4907">
        <v>27</v>
      </c>
      <c r="AC4907">
        <v>-0.22790000000003299</v>
      </c>
      <c r="AD4907">
        <v>-1.1056149732606999</v>
      </c>
      <c r="AE4907">
        <v>23.062705999999999</v>
      </c>
      <c r="AF4907">
        <v>-0.45904359264460198</v>
      </c>
      <c r="AG4907">
        <v>-1.1056149732606999</v>
      </c>
      <c r="AH4907">
        <v>23.006374285556301</v>
      </c>
      <c r="AI4907">
        <v>92.750793995751593</v>
      </c>
      <c r="AJ4907">
        <v>91.143064554441096</v>
      </c>
      <c r="AK4907">
        <v>23.037499066872499</v>
      </c>
      <c r="AL4907">
        <v>80.838345913939904</v>
      </c>
      <c r="AM4907">
        <v>95.826798028788602</v>
      </c>
      <c r="AN4907">
        <v>1.00000000818589</v>
      </c>
    </row>
    <row r="4908" spans="1:40" x14ac:dyDescent="0.3">
      <c r="A4908" t="str">
        <f>"20200111150133916"</f>
        <v>20200111150133916</v>
      </c>
      <c r="B4908" t="str">
        <f>"1578726093912623"</f>
        <v>1578726093912623</v>
      </c>
      <c r="C4908" t="s">
        <v>40</v>
      </c>
      <c r="D4908">
        <v>4.7744619999999998</v>
      </c>
      <c r="E4908">
        <v>0.53151459999999995</v>
      </c>
      <c r="F4908" t="s">
        <v>42</v>
      </c>
      <c r="G4908">
        <v>-188.13310000000001</v>
      </c>
      <c r="H4908" s="1">
        <v>-9.5818269999999992E-7</v>
      </c>
      <c r="I4908">
        <v>21.00403</v>
      </c>
      <c r="J4908">
        <v>-187.92429999999999</v>
      </c>
      <c r="K4908">
        <v>1.105607</v>
      </c>
      <c r="L4908">
        <v>-1.7396849999999999</v>
      </c>
      <c r="M4908">
        <v>9.3750190000000001E-3</v>
      </c>
      <c r="N4908">
        <v>0</v>
      </c>
      <c r="O4908">
        <v>0.99987090000000001</v>
      </c>
      <c r="P4908">
        <v>-9.0138419999999997E-2</v>
      </c>
      <c r="Q4908">
        <v>0.146350799999999</v>
      </c>
      <c r="R4908">
        <v>0.98511749999999998</v>
      </c>
      <c r="S4908">
        <v>-2.7572630000000001E-2</v>
      </c>
      <c r="T4908">
        <v>-0.1473122</v>
      </c>
      <c r="U4908">
        <v>3.0647890000000002</v>
      </c>
      <c r="V4908">
        <v>-9.9571119999999999E-2</v>
      </c>
      <c r="W4908">
        <v>0.15905759999999999</v>
      </c>
      <c r="X4908">
        <v>0.98223539999999998</v>
      </c>
      <c r="Y4908">
        <v>-1.8360890000000001E-2</v>
      </c>
      <c r="Z4908">
        <v>-4.8002419999999997E-2</v>
      </c>
      <c r="AA4908">
        <v>0.99867839999999997</v>
      </c>
      <c r="AB4908">
        <v>27</v>
      </c>
      <c r="AC4908">
        <v>-0.20880000000002399</v>
      </c>
      <c r="AD4908">
        <v>-1.1056079581827001</v>
      </c>
      <c r="AE4908">
        <v>22.743714999999899</v>
      </c>
      <c r="AF4908">
        <v>-0.421036877648506</v>
      </c>
      <c r="AG4908">
        <v>-1.1056079581827001</v>
      </c>
      <c r="AH4908">
        <v>22.687150486870902</v>
      </c>
      <c r="AI4908">
        <v>92.789495934956804</v>
      </c>
      <c r="AJ4908">
        <v>91.063195097660198</v>
      </c>
      <c r="AK4908">
        <v>22.717976103153699</v>
      </c>
      <c r="AL4908">
        <v>80.847800303792894</v>
      </c>
      <c r="AM4908">
        <v>95.788411300957407</v>
      </c>
      <c r="AN4908">
        <v>1.00000005453448</v>
      </c>
    </row>
    <row r="4909" spans="1:40" x14ac:dyDescent="0.3">
      <c r="A4909" t="str">
        <f>"20200111150133937"</f>
        <v>20200111150133937</v>
      </c>
      <c r="B4909" t="str">
        <f>"1578726093933121"</f>
        <v>1578726093933121</v>
      </c>
      <c r="C4909" t="s">
        <v>40</v>
      </c>
      <c r="D4909">
        <v>4.7968699999999904</v>
      </c>
      <c r="E4909">
        <v>0.53159480000000003</v>
      </c>
      <c r="F4909" t="s">
        <v>42</v>
      </c>
      <c r="G4909">
        <v>-188.1069</v>
      </c>
      <c r="H4909" s="1">
        <v>-8.8996870000000002E-7</v>
      </c>
      <c r="I4909">
        <v>20.783080000000002</v>
      </c>
      <c r="J4909">
        <v>-187.92269999999999</v>
      </c>
      <c r="K4909">
        <v>1.1056029999999999</v>
      </c>
      <c r="L4909">
        <v>-1.4748840000000001</v>
      </c>
      <c r="M4909">
        <v>8.6641759999999905E-3</v>
      </c>
      <c r="N4909">
        <v>0</v>
      </c>
      <c r="O4909">
        <v>0.99987729999999997</v>
      </c>
      <c r="P4909">
        <v>-8.9689480000000002E-2</v>
      </c>
      <c r="Q4909">
        <v>0.14522750000000001</v>
      </c>
      <c r="R4909">
        <v>0.98532470000000005</v>
      </c>
      <c r="S4909">
        <v>-2.4841309999999998E-2</v>
      </c>
      <c r="T4909">
        <v>-0.15047569999999999</v>
      </c>
      <c r="U4909">
        <v>3.0653990000000002</v>
      </c>
      <c r="V4909">
        <v>-9.8423150000000001E-2</v>
      </c>
      <c r="W4909">
        <v>0.15794169999999999</v>
      </c>
      <c r="X4909">
        <v>0.98253109999999999</v>
      </c>
      <c r="Y4909">
        <v>-1.675809E-2</v>
      </c>
      <c r="Z4909">
        <v>-4.9022400000000001E-2</v>
      </c>
      <c r="AA4909">
        <v>0.99865709999999996</v>
      </c>
      <c r="AB4909">
        <v>27</v>
      </c>
      <c r="AC4909">
        <v>-0.184200000000004</v>
      </c>
      <c r="AD4909">
        <v>-1.1056038899687</v>
      </c>
      <c r="AE4909">
        <v>22.257964000000001</v>
      </c>
      <c r="AF4909">
        <v>-0.37612845546788798</v>
      </c>
      <c r="AG4909">
        <v>-1.1056038899687</v>
      </c>
      <c r="AH4909">
        <v>22.200759359866801</v>
      </c>
      <c r="AI4909">
        <v>92.850581763502802</v>
      </c>
      <c r="AJ4909">
        <v>90.970620469644899</v>
      </c>
      <c r="AK4909">
        <v>22.2314540399687</v>
      </c>
      <c r="AL4909">
        <v>80.912555002050397</v>
      </c>
      <c r="AM4909">
        <v>95.720410585353207</v>
      </c>
      <c r="AN4909">
        <v>1.0000000297610101</v>
      </c>
    </row>
    <row r="4910" spans="1:40" x14ac:dyDescent="0.3">
      <c r="A4910" t="str">
        <f>"20200111150133960"</f>
        <v>20200111150133960</v>
      </c>
      <c r="B4910" t="str">
        <f>"1578726093952639"</f>
        <v>1578726093952639</v>
      </c>
      <c r="C4910" t="s">
        <v>40</v>
      </c>
      <c r="D4910">
        <v>4.7689110000000001</v>
      </c>
      <c r="E4910">
        <v>0.53155330000000001</v>
      </c>
      <c r="F4910" t="s">
        <v>42</v>
      </c>
      <c r="G4910">
        <v>-188.08539999999999</v>
      </c>
      <c r="H4910" s="1">
        <v>-7.7088819999999997E-7</v>
      </c>
      <c r="I4910">
        <v>20.416419999999999</v>
      </c>
      <c r="J4910">
        <v>-187.9211</v>
      </c>
      <c r="K4910">
        <v>1.105602</v>
      </c>
      <c r="L4910">
        <v>-1.2040409999999999</v>
      </c>
      <c r="M4910">
        <v>7.9366119999999991E-3</v>
      </c>
      <c r="N4910">
        <v>0</v>
      </c>
      <c r="O4910">
        <v>0.99988330000000003</v>
      </c>
      <c r="P4910">
        <v>-8.7486170000000002E-2</v>
      </c>
      <c r="Q4910">
        <v>0.1441257</v>
      </c>
      <c r="R4910">
        <v>0.98568449999999996</v>
      </c>
      <c r="S4910">
        <v>-2.2796629999999998E-2</v>
      </c>
      <c r="T4910">
        <v>-0.15481719999999999</v>
      </c>
      <c r="U4910">
        <v>3.0654300000000001</v>
      </c>
      <c r="V4910">
        <v>-9.5504309999999995E-2</v>
      </c>
      <c r="W4910">
        <v>0.1568512</v>
      </c>
      <c r="X4910">
        <v>0.98299369999999997</v>
      </c>
      <c r="Y4910">
        <v>-1.536385E-2</v>
      </c>
      <c r="Z4910">
        <v>-5.043392E-2</v>
      </c>
      <c r="AA4910">
        <v>0.99860919999999997</v>
      </c>
      <c r="AB4910">
        <v>27</v>
      </c>
      <c r="AC4910">
        <v>-0.164299999999997</v>
      </c>
      <c r="AD4910">
        <v>-1.1056027708881999</v>
      </c>
      <c r="AE4910">
        <v>21.620460999999999</v>
      </c>
      <c r="AF4910">
        <v>-0.33502661871033501</v>
      </c>
      <c r="AG4910">
        <v>-1.1056027708881999</v>
      </c>
      <c r="AH4910">
        <v>21.562094656554201</v>
      </c>
      <c r="AI4910">
        <v>92.934933734743893</v>
      </c>
      <c r="AJ4910">
        <v>90.890176351549499</v>
      </c>
      <c r="AK4910">
        <v>21.593020314454499</v>
      </c>
      <c r="AL4910">
        <v>80.975824343527606</v>
      </c>
      <c r="AM4910">
        <v>95.5492454319822</v>
      </c>
      <c r="AN4910">
        <v>0.999999993204853</v>
      </c>
    </row>
    <row r="4911" spans="1:40" x14ac:dyDescent="0.3">
      <c r="A4911" t="str">
        <f>"20200111150134462"</f>
        <v>20200111150134462</v>
      </c>
      <c r="B4911" t="str">
        <f>"1578726094453326"</f>
        <v>1578726094453326</v>
      </c>
      <c r="C4911" t="s">
        <v>40</v>
      </c>
      <c r="D4911">
        <v>5.8934230000000003</v>
      </c>
      <c r="E4911">
        <v>0.53159730000000005</v>
      </c>
      <c r="F4911" t="s">
        <v>42</v>
      </c>
      <c r="G4911">
        <v>-188.05160000000001</v>
      </c>
      <c r="H4911" s="1">
        <v>-6.5588339999999997E-7</v>
      </c>
      <c r="I4911">
        <v>20.052</v>
      </c>
      <c r="J4911">
        <v>-187.9263</v>
      </c>
      <c r="K4911">
        <v>1.104956</v>
      </c>
      <c r="L4911">
        <v>4.8162839999999996</v>
      </c>
      <c r="M4911">
        <v>-2.5731199999999999E-3</v>
      </c>
      <c r="N4911">
        <v>0</v>
      </c>
      <c r="O4911">
        <v>0.99991269999999999</v>
      </c>
      <c r="P4911">
        <v>-4.8332100000000003E-2</v>
      </c>
      <c r="Q4911">
        <v>0.1346559</v>
      </c>
      <c r="R4911">
        <v>0.98971299999999995</v>
      </c>
      <c r="S4911">
        <v>-1.8814089999999999E-2</v>
      </c>
      <c r="T4911">
        <v>-0.15943280000000001</v>
      </c>
      <c r="U4911">
        <v>3.0652159999999999</v>
      </c>
      <c r="V4911">
        <v>-4.5766309999999998E-2</v>
      </c>
      <c r="W4911">
        <v>0.14747639999999901</v>
      </c>
      <c r="X4911">
        <v>0.98800619999999995</v>
      </c>
      <c r="Y4911">
        <v>-3.5562229999999998E-3</v>
      </c>
      <c r="Z4911">
        <v>-5.1942439999999999E-2</v>
      </c>
      <c r="AA4911">
        <v>0.99864379999999997</v>
      </c>
      <c r="AB4911">
        <v>27</v>
      </c>
      <c r="AC4911">
        <v>-0.12530000000000899</v>
      </c>
      <c r="AD4911">
        <v>-1.1049566558833901</v>
      </c>
      <c r="AE4911">
        <v>15.235716</v>
      </c>
      <c r="AF4911">
        <v>-8.5642539127226802E-2</v>
      </c>
      <c r="AG4911">
        <v>-1.1049566558833901</v>
      </c>
      <c r="AH4911">
        <v>15.156275230976499</v>
      </c>
      <c r="AI4911">
        <v>94.169661694388296</v>
      </c>
      <c r="AJ4911">
        <v>90.323753939487403</v>
      </c>
      <c r="AK4911">
        <v>15.1967411879324</v>
      </c>
      <c r="AL4911">
        <v>81.519291959119201</v>
      </c>
      <c r="AM4911">
        <v>92.652152695278005</v>
      </c>
      <c r="AN4911">
        <v>1.0000000474632</v>
      </c>
    </row>
    <row r="4912" spans="1:40" x14ac:dyDescent="0.3">
      <c r="A4912" t="str">
        <f>"20200111150134484"</f>
        <v>20200111150134484</v>
      </c>
      <c r="B4912" t="str">
        <f>"1578726094472846"</f>
        <v>1578726094472846</v>
      </c>
      <c r="C4912" t="s">
        <v>40</v>
      </c>
      <c r="D4912">
        <v>4.850155</v>
      </c>
      <c r="E4912">
        <v>0.51913509999999996</v>
      </c>
      <c r="F4912" t="s">
        <v>41</v>
      </c>
      <c r="G4912">
        <v>-187.8955</v>
      </c>
      <c r="H4912">
        <v>1.0455909999999999</v>
      </c>
      <c r="I4912">
        <v>5.7655779999999996</v>
      </c>
      <c r="J4912">
        <v>-187.92679999999999</v>
      </c>
      <c r="K4912">
        <v>1.1049230000000001</v>
      </c>
      <c r="L4912">
        <v>5.0853270000000004</v>
      </c>
      <c r="M4912">
        <v>-2.4757730000000001E-3</v>
      </c>
      <c r="N4912">
        <v>0</v>
      </c>
      <c r="O4912">
        <v>0.99991300000000005</v>
      </c>
      <c r="P4912">
        <v>-4.6932939999999999E-2</v>
      </c>
      <c r="Q4912">
        <v>0.1335933</v>
      </c>
      <c r="R4912">
        <v>0.98992429999999998</v>
      </c>
      <c r="S4912">
        <v>9.8724370000000006E-2</v>
      </c>
      <c r="T4912">
        <v>-0.19147330000000001</v>
      </c>
      <c r="U4912">
        <v>3.0620419999999999</v>
      </c>
      <c r="V4912">
        <v>-4.4451400000000002E-2</v>
      </c>
      <c r="W4912">
        <v>0.14641419999999999</v>
      </c>
      <c r="X4912">
        <v>0.98822410000000005</v>
      </c>
      <c r="Y4912">
        <v>3.4636449999999999E-2</v>
      </c>
      <c r="Z4912">
        <v>-6.2374190000000003E-2</v>
      </c>
      <c r="AA4912">
        <v>0.99745170000000005</v>
      </c>
      <c r="AB4912">
        <v>27</v>
      </c>
      <c r="AC4912">
        <v>3.12999999999874E-2</v>
      </c>
      <c r="AD4912">
        <v>-5.9331999999999899E-2</v>
      </c>
      <c r="AE4912">
        <v>0.68025100000000005</v>
      </c>
      <c r="AF4912">
        <v>3.2735683261717698E-2</v>
      </c>
      <c r="AG4912">
        <v>-5.9331999999999899E-2</v>
      </c>
      <c r="AH4912">
        <v>0.67504687489194104</v>
      </c>
      <c r="AI4912">
        <v>95.017133141057798</v>
      </c>
      <c r="AJ4912">
        <v>87.223676815708899</v>
      </c>
      <c r="AK4912">
        <v>0.67843952898102</v>
      </c>
      <c r="AL4912">
        <v>81.580818684969799</v>
      </c>
      <c r="AM4912">
        <v>92.575490718777104</v>
      </c>
      <c r="AN4912">
        <v>0.99999995837220401</v>
      </c>
    </row>
    <row r="4913" spans="1:40" x14ac:dyDescent="0.3">
      <c r="A4913" t="str">
        <f>"20200111150134506"</f>
        <v>20200111150134506</v>
      </c>
      <c r="B4913" t="str">
        <f>"1578726094503102"</f>
        <v>1578726094503102</v>
      </c>
      <c r="C4913" t="s">
        <v>40</v>
      </c>
      <c r="D4913">
        <v>5.4244130000000004</v>
      </c>
      <c r="E4913">
        <v>0.5157079</v>
      </c>
      <c r="F4913" t="s">
        <v>96</v>
      </c>
      <c r="G4913">
        <v>-186.97569999999999</v>
      </c>
      <c r="H4913">
        <v>15.734450000000001</v>
      </c>
      <c r="I4913">
        <v>391.87</v>
      </c>
      <c r="J4913">
        <v>-187.9273</v>
      </c>
      <c r="K4913">
        <v>1.104884</v>
      </c>
      <c r="L4913">
        <v>5.3359990000000002</v>
      </c>
      <c r="M4913">
        <v>-2.3569419999999999E-3</v>
      </c>
      <c r="N4913">
        <v>0</v>
      </c>
      <c r="O4913">
        <v>0.99991350000000001</v>
      </c>
      <c r="P4913">
        <v>-4.4703479999999997E-2</v>
      </c>
      <c r="Q4913">
        <v>0.13327910000000001</v>
      </c>
      <c r="R4913">
        <v>0.9900698</v>
      </c>
      <c r="S4913">
        <v>7.4157709999999998E-3</v>
      </c>
      <c r="T4913">
        <v>0.1140567</v>
      </c>
      <c r="U4913">
        <v>3.0155029999999998</v>
      </c>
      <c r="V4913">
        <v>-4.2327139999999999E-2</v>
      </c>
      <c r="W4913">
        <v>0.14609820000000001</v>
      </c>
      <c r="X4913">
        <v>0.98836420000000003</v>
      </c>
      <c r="Y4913">
        <v>4.8145769999999996E-3</v>
      </c>
      <c r="Z4913">
        <v>3.779598E-2</v>
      </c>
      <c r="AA4913">
        <v>0.99927390000000005</v>
      </c>
      <c r="AB4913">
        <v>27</v>
      </c>
      <c r="AC4913">
        <v>0.95160000000001299</v>
      </c>
      <c r="AD4913">
        <v>14.629566000000001</v>
      </c>
      <c r="AE4913">
        <v>386.53400099999999</v>
      </c>
      <c r="AF4913">
        <v>1.8600474003879399</v>
      </c>
      <c r="AG4913">
        <v>14.629566000000001</v>
      </c>
      <c r="AH4913">
        <v>385.97778341162098</v>
      </c>
      <c r="AI4913">
        <v>87.829404550041701</v>
      </c>
      <c r="AJ4913">
        <v>89.723890738436197</v>
      </c>
      <c r="AK4913">
        <v>386.25941187889299</v>
      </c>
      <c r="AL4913">
        <v>81.599121578540704</v>
      </c>
      <c r="AM4913">
        <v>92.452219040011897</v>
      </c>
      <c r="AN4913">
        <v>1.00000003133272</v>
      </c>
    </row>
    <row r="4914" spans="1:40" x14ac:dyDescent="0.3">
      <c r="A4914" t="str">
        <f>"20200111150134528"</f>
        <v>20200111150134528</v>
      </c>
      <c r="B4914" t="str">
        <f>"1578726094523600"</f>
        <v>1578726094523600</v>
      </c>
      <c r="C4914" t="s">
        <v>40</v>
      </c>
      <c r="D4914">
        <v>4.7251010000000004</v>
      </c>
      <c r="E4914">
        <v>0.51698080000000002</v>
      </c>
      <c r="F4914" t="s">
        <v>96</v>
      </c>
      <c r="G4914">
        <v>-189.8168</v>
      </c>
      <c r="H4914">
        <v>8.4397339999999996</v>
      </c>
      <c r="I4914">
        <v>391.87</v>
      </c>
      <c r="J4914">
        <v>-187.92779999999999</v>
      </c>
      <c r="K4914">
        <v>1.104843</v>
      </c>
      <c r="L4914">
        <v>5.6014099999999996</v>
      </c>
      <c r="M4914">
        <v>-2.1909550000000001E-3</v>
      </c>
      <c r="N4914">
        <v>0</v>
      </c>
      <c r="O4914">
        <v>0.99991390000000002</v>
      </c>
      <c r="P4914">
        <v>-4.2171260000000002E-2</v>
      </c>
      <c r="Q4914">
        <v>0.13433419999999999</v>
      </c>
      <c r="R4914">
        <v>0.99003830000000004</v>
      </c>
      <c r="S4914">
        <v>-1.4770510000000001E-2</v>
      </c>
      <c r="T4914">
        <v>5.7339550000000003E-2</v>
      </c>
      <c r="U4914">
        <v>3.0216980000000002</v>
      </c>
      <c r="V4914">
        <v>-3.9946410000000002E-2</v>
      </c>
      <c r="W4914">
        <v>0.14714389999999999</v>
      </c>
      <c r="X4914">
        <v>0.98830810000000002</v>
      </c>
      <c r="Y4914">
        <v>-2.6960859999999999E-3</v>
      </c>
      <c r="Z4914">
        <v>1.8972309999999999E-2</v>
      </c>
      <c r="AA4914">
        <v>0.99981640000000005</v>
      </c>
      <c r="AB4914">
        <v>27</v>
      </c>
      <c r="AC4914">
        <v>-1.88900000000001</v>
      </c>
      <c r="AD4914">
        <v>7.3348909999999998</v>
      </c>
      <c r="AE4914">
        <v>386.26859000000002</v>
      </c>
      <c r="AF4914">
        <v>-1.0422517139489</v>
      </c>
      <c r="AG4914">
        <v>7.3348909999999998</v>
      </c>
      <c r="AH4914">
        <v>386.13257123796802</v>
      </c>
      <c r="AI4914">
        <v>88.911756581272599</v>
      </c>
      <c r="AJ4914">
        <v>90.154652789798504</v>
      </c>
      <c r="AK4914">
        <v>386.20363732810898</v>
      </c>
      <c r="AL4914">
        <v>81.538552290175403</v>
      </c>
      <c r="AM4914">
        <v>92.314577348439798</v>
      </c>
      <c r="AN4914">
        <v>0.999999971752353</v>
      </c>
    </row>
    <row r="4915" spans="1:40" x14ac:dyDescent="0.3">
      <c r="A4915" t="str">
        <f>"20200111150134550"</f>
        <v>20200111150134550</v>
      </c>
      <c r="B4915" t="str">
        <f>"1578726094543118"</f>
        <v>1578726094543118</v>
      </c>
      <c r="C4915" t="s">
        <v>40</v>
      </c>
      <c r="D4915">
        <v>4.7018230000000001</v>
      </c>
      <c r="E4915">
        <v>0.51788120000000004</v>
      </c>
      <c r="F4915" t="s">
        <v>96</v>
      </c>
      <c r="G4915">
        <v>-187.57320000000001</v>
      </c>
      <c r="H4915">
        <v>5.8673070000000003</v>
      </c>
      <c r="I4915">
        <v>391.87</v>
      </c>
      <c r="J4915">
        <v>-187.9281</v>
      </c>
      <c r="K4915">
        <v>1.104822</v>
      </c>
      <c r="L4915">
        <v>5.8739319999999999</v>
      </c>
      <c r="M4915">
        <v>-1.9678730000000002E-3</v>
      </c>
      <c r="N4915">
        <v>0</v>
      </c>
      <c r="O4915">
        <v>0.99991459999999999</v>
      </c>
      <c r="P4915">
        <v>-4.0679060000000003E-2</v>
      </c>
      <c r="Q4915">
        <v>0.13489960000000001</v>
      </c>
      <c r="R4915">
        <v>0.99002389999999996</v>
      </c>
      <c r="S4915">
        <v>2.7770999999999998E-3</v>
      </c>
      <c r="T4915">
        <v>3.7299390000000002E-2</v>
      </c>
      <c r="U4915">
        <v>3.0252379999999999</v>
      </c>
      <c r="V4915">
        <v>-3.8664619999999997E-2</v>
      </c>
      <c r="W4915">
        <v>0.14769660000000001</v>
      </c>
      <c r="X4915">
        <v>0.98827670000000001</v>
      </c>
      <c r="Y4915">
        <v>2.8859419999999998E-3</v>
      </c>
      <c r="Z4915">
        <v>1.232841E-2</v>
      </c>
      <c r="AA4915">
        <v>0.99991980000000003</v>
      </c>
      <c r="AB4915">
        <v>27</v>
      </c>
      <c r="AC4915">
        <v>0.354899999999986</v>
      </c>
      <c r="AD4915">
        <v>4.7624849999999999</v>
      </c>
      <c r="AE4915">
        <v>385.99606799999998</v>
      </c>
      <c r="AF4915">
        <v>1.1143843134582401</v>
      </c>
      <c r="AG4915">
        <v>4.7624849999999999</v>
      </c>
      <c r="AH4915">
        <v>385.93587089378798</v>
      </c>
      <c r="AI4915">
        <v>89.293003516198496</v>
      </c>
      <c r="AJ4915">
        <v>89.834559715012404</v>
      </c>
      <c r="AK4915">
        <v>385.96686329051602</v>
      </c>
      <c r="AL4915">
        <v>81.5065356491735</v>
      </c>
      <c r="AM4915">
        <v>92.240455836680695</v>
      </c>
      <c r="AN4915">
        <v>1.0000000371270901</v>
      </c>
    </row>
    <row r="4916" spans="1:40" x14ac:dyDescent="0.3">
      <c r="A4916" t="str">
        <f>"20200111150134663"</f>
        <v>20200111150134663</v>
      </c>
      <c r="B4916" t="str">
        <f>"1578726094653406"</f>
        <v>1578726094653406</v>
      </c>
      <c r="C4916" t="s">
        <v>40</v>
      </c>
      <c r="D4916">
        <v>4.8248150000000001</v>
      </c>
      <c r="E4916">
        <v>0.51678999999999997</v>
      </c>
      <c r="F4916" t="s">
        <v>96</v>
      </c>
      <c r="G4916">
        <v>-185.9581</v>
      </c>
      <c r="H4916">
        <v>11.583589999999999</v>
      </c>
      <c r="I4916">
        <v>391.87</v>
      </c>
      <c r="J4916">
        <v>-187.9281</v>
      </c>
      <c r="K4916">
        <v>1.1047199999999999</v>
      </c>
      <c r="L4916">
        <v>7.2044979999999903</v>
      </c>
      <c r="M4916">
        <v>-2.9365119999999998E-4</v>
      </c>
      <c r="N4916">
        <v>0</v>
      </c>
      <c r="O4916">
        <v>0.99991739999999996</v>
      </c>
      <c r="P4916">
        <v>-3.9369080000000001E-2</v>
      </c>
      <c r="Q4916">
        <v>0.13873740000000001</v>
      </c>
      <c r="R4916">
        <v>0.98954640000000005</v>
      </c>
      <c r="S4916">
        <v>1.5411380000000001E-2</v>
      </c>
      <c r="T4916">
        <v>8.197641E-2</v>
      </c>
      <c r="U4916">
        <v>3.0196839999999998</v>
      </c>
      <c r="V4916">
        <v>-3.8963999999999999E-2</v>
      </c>
      <c r="W4916">
        <v>0.15146609999999999</v>
      </c>
      <c r="X4916">
        <v>0.98769419999999997</v>
      </c>
      <c r="Y4916">
        <v>5.3953650000000001E-3</v>
      </c>
      <c r="Z4916">
        <v>2.7136980000000002E-2</v>
      </c>
      <c r="AA4916">
        <v>0.99961719999999998</v>
      </c>
      <c r="AB4916">
        <v>27</v>
      </c>
      <c r="AC4916">
        <v>1.96999999999999</v>
      </c>
      <c r="AD4916">
        <v>10.478870000000001</v>
      </c>
      <c r="AE4916">
        <v>384.665502</v>
      </c>
      <c r="AF4916">
        <v>2.0814221446518899</v>
      </c>
      <c r="AG4916">
        <v>10.478870000000001</v>
      </c>
      <c r="AH4916">
        <v>384.37966620574701</v>
      </c>
      <c r="AI4916">
        <v>88.438425313128505</v>
      </c>
      <c r="AJ4916">
        <v>89.689745454434799</v>
      </c>
      <c r="AK4916">
        <v>384.52810928079401</v>
      </c>
      <c r="AL4916">
        <v>81.2881012650722</v>
      </c>
      <c r="AM4916">
        <v>92.259115959875999</v>
      </c>
      <c r="AN4916">
        <v>1.00000000272942</v>
      </c>
    </row>
    <row r="4917" spans="1:40" x14ac:dyDescent="0.3">
      <c r="A4917" t="str">
        <f>"20200111150135423"</f>
        <v>20200111150135423</v>
      </c>
      <c r="B4917" t="str">
        <f>"1578726095413278"</f>
        <v>1578726095413278</v>
      </c>
      <c r="C4917" t="s">
        <v>40</v>
      </c>
      <c r="D4917">
        <v>4.6773400000000001</v>
      </c>
      <c r="E4917">
        <v>0.51752100000000001</v>
      </c>
      <c r="F4917" t="s">
        <v>96</v>
      </c>
      <c r="G4917">
        <v>-186.39420000000001</v>
      </c>
      <c r="H4917">
        <v>19.985189999999999</v>
      </c>
      <c r="I4917">
        <v>391.87</v>
      </c>
      <c r="J4917">
        <v>-187.8766</v>
      </c>
      <c r="K4917">
        <v>1.105091</v>
      </c>
      <c r="L4917">
        <v>16.146609999999999</v>
      </c>
      <c r="M4917">
        <v>6.5864909999999999E-3</v>
      </c>
      <c r="N4917">
        <v>0</v>
      </c>
      <c r="O4917">
        <v>0.99989830000000002</v>
      </c>
      <c r="P4917">
        <v>-5.5090750000000001E-2</v>
      </c>
      <c r="Q4917">
        <v>0.13042100000000001</v>
      </c>
      <c r="R4917">
        <v>0.98992690000000005</v>
      </c>
      <c r="S4917">
        <v>1.2008670000000001E-2</v>
      </c>
      <c r="T4917">
        <v>0.1478101</v>
      </c>
      <c r="U4917">
        <v>3.011444</v>
      </c>
      <c r="V4917">
        <v>-6.1644200000000003E-2</v>
      </c>
      <c r="W4917">
        <v>0.14291329999999999</v>
      </c>
      <c r="X4917">
        <v>0.98781370000000002</v>
      </c>
      <c r="Y4917">
        <v>-2.604201E-3</v>
      </c>
      <c r="Z4917">
        <v>4.9021910000000002E-2</v>
      </c>
      <c r="AA4917">
        <v>0.99879430000000002</v>
      </c>
      <c r="AB4917">
        <v>26</v>
      </c>
      <c r="AC4917">
        <v>1.48239999999998</v>
      </c>
      <c r="AD4917">
        <v>18.880099000000001</v>
      </c>
      <c r="AE4917">
        <v>375.72338999999999</v>
      </c>
      <c r="AF4917">
        <v>-0.99002905020286702</v>
      </c>
      <c r="AG4917">
        <v>18.880099000000001</v>
      </c>
      <c r="AH4917">
        <v>374.77867869119098</v>
      </c>
      <c r="AI4917">
        <v>87.116077872807907</v>
      </c>
      <c r="AJ4917">
        <v>90.151354272406394</v>
      </c>
      <c r="AK4917">
        <v>375.25524153205998</v>
      </c>
      <c r="AL4917">
        <v>81.783538889615201</v>
      </c>
      <c r="AM4917">
        <v>93.570894284071997</v>
      </c>
      <c r="AN4917">
        <v>1.0000000623091001</v>
      </c>
    </row>
    <row r="4918" spans="1:40" x14ac:dyDescent="0.3">
      <c r="A4918" t="str">
        <f>"20200111150135444"</f>
        <v>20200111150135444</v>
      </c>
      <c r="B4918" t="str">
        <f>"1578726095432798"</f>
        <v>1578726095432798</v>
      </c>
      <c r="C4918" t="s">
        <v>40</v>
      </c>
      <c r="D4918">
        <v>4.9425499999999998</v>
      </c>
      <c r="E4918">
        <v>0.4998803</v>
      </c>
      <c r="F4918" t="s">
        <v>96</v>
      </c>
      <c r="G4918">
        <v>-191.2089</v>
      </c>
      <c r="H4918">
        <v>18.305299999999999</v>
      </c>
      <c r="I4918">
        <v>391.87</v>
      </c>
      <c r="J4918">
        <v>-187.8751</v>
      </c>
      <c r="K4918">
        <v>1.105105</v>
      </c>
      <c r="L4918">
        <v>16.40588</v>
      </c>
      <c r="M4918">
        <v>6.4318760000000004E-3</v>
      </c>
      <c r="N4918">
        <v>0</v>
      </c>
      <c r="O4918">
        <v>0.99989930000000005</v>
      </c>
      <c r="P4918">
        <v>-5.5025369999999997E-2</v>
      </c>
      <c r="Q4918">
        <v>0.13086420000000001</v>
      </c>
      <c r="R4918">
        <v>0.98987210000000003</v>
      </c>
      <c r="S4918">
        <v>-2.6702879999999998E-2</v>
      </c>
      <c r="T4918">
        <v>0.13783409999999999</v>
      </c>
      <c r="U4918">
        <v>3.0108640000000002</v>
      </c>
      <c r="V4918">
        <v>-6.1428759999999999E-2</v>
      </c>
      <c r="W4918">
        <v>0.1433536</v>
      </c>
      <c r="X4918">
        <v>0.98776330000000001</v>
      </c>
      <c r="Y4918">
        <v>-1.529117E-2</v>
      </c>
      <c r="Z4918">
        <v>4.5726019999999999E-2</v>
      </c>
      <c r="AA4918">
        <v>0.99883699999999997</v>
      </c>
      <c r="AB4918">
        <v>26</v>
      </c>
      <c r="AC4918">
        <v>-3.3337999999999899</v>
      </c>
      <c r="AD4918">
        <v>17.200195000000001</v>
      </c>
      <c r="AE4918">
        <v>375.46411999999998</v>
      </c>
      <c r="AF4918">
        <v>-5.7368245797120103</v>
      </c>
      <c r="AG4918">
        <v>17.200195000000001</v>
      </c>
      <c r="AH4918">
        <v>374.64873188873298</v>
      </c>
      <c r="AI4918">
        <v>87.371693258972499</v>
      </c>
      <c r="AJ4918">
        <v>90.877275489434993</v>
      </c>
      <c r="AK4918">
        <v>375.08723008139401</v>
      </c>
      <c r="AL4918">
        <v>81.758048932576102</v>
      </c>
      <c r="AM4918">
        <v>93.558627607933701</v>
      </c>
      <c r="AN4918">
        <v>1.0000000420074899</v>
      </c>
    </row>
    <row r="4919" spans="1:40" x14ac:dyDescent="0.3">
      <c r="A4919" t="str">
        <f>"20200111150135477"</f>
        <v>20200111150135477</v>
      </c>
      <c r="B4919" t="str">
        <f>"1578726095462800"</f>
        <v>1578726095462800</v>
      </c>
      <c r="C4919" t="s">
        <v>40</v>
      </c>
      <c r="D4919">
        <v>4.3709419999999897</v>
      </c>
      <c r="E4919">
        <v>0.53080399999999905</v>
      </c>
      <c r="F4919" t="s">
        <v>41</v>
      </c>
      <c r="G4919">
        <v>-187.92429999999999</v>
      </c>
      <c r="H4919">
        <v>1.000812</v>
      </c>
      <c r="I4919">
        <v>17.301179999999999</v>
      </c>
      <c r="J4919">
        <v>-187.87299999999999</v>
      </c>
      <c r="K4919">
        <v>1.105119</v>
      </c>
      <c r="L4919">
        <v>16.784879999999902</v>
      </c>
      <c r="M4919">
        <v>6.2057029999999999E-3</v>
      </c>
      <c r="N4919">
        <v>0</v>
      </c>
      <c r="O4919">
        <v>0.99990080000000003</v>
      </c>
      <c r="P4919">
        <v>-5.5018539999999998E-2</v>
      </c>
      <c r="Q4919">
        <v>0.13176470000000001</v>
      </c>
      <c r="R4919">
        <v>0.98975299999999999</v>
      </c>
      <c r="S4919">
        <v>-0.16854859999999999</v>
      </c>
      <c r="T4919">
        <v>-0.35746230000000001</v>
      </c>
      <c r="U4919">
        <v>3.0685730000000002</v>
      </c>
      <c r="V4919">
        <v>-6.1199799999999999E-2</v>
      </c>
      <c r="W4919">
        <v>0.1442502</v>
      </c>
      <c r="X4919">
        <v>0.98764689999999999</v>
      </c>
      <c r="Y4919">
        <v>-6.0673299999999999E-2</v>
      </c>
      <c r="Z4919">
        <v>-0.115513</v>
      </c>
      <c r="AA4919">
        <v>0.99145119999999998</v>
      </c>
      <c r="AB4919">
        <v>26</v>
      </c>
      <c r="AC4919">
        <v>-5.1299999999997598E-2</v>
      </c>
      <c r="AD4919">
        <v>-0.104306999999999</v>
      </c>
      <c r="AE4919">
        <v>0.51630000000000098</v>
      </c>
      <c r="AF4919">
        <v>-5.2386025621498897E-2</v>
      </c>
      <c r="AG4919">
        <v>-0.104306999999999</v>
      </c>
      <c r="AH4919">
        <v>0.49592812081514998</v>
      </c>
      <c r="AI4919">
        <v>101.81384851368399</v>
      </c>
      <c r="AJ4919">
        <v>96.029923377484195</v>
      </c>
      <c r="AK4919">
        <v>0.50947909372678102</v>
      </c>
      <c r="AL4919">
        <v>81.706137377286495</v>
      </c>
      <c r="AM4919">
        <v>93.545814408497506</v>
      </c>
      <c r="AN4919">
        <v>0.99999996739984398</v>
      </c>
    </row>
    <row r="4920" spans="1:40" x14ac:dyDescent="0.3">
      <c r="A4920" t="str">
        <f>"20200111150135499"</f>
        <v>20200111150135499</v>
      </c>
      <c r="B4920" t="str">
        <f>"1578726095493057"</f>
        <v>1578726095493057</v>
      </c>
      <c r="C4920" t="s">
        <v>40</v>
      </c>
      <c r="D4920">
        <v>4.4298409999999997</v>
      </c>
      <c r="E4920">
        <v>0.52825269999999902</v>
      </c>
      <c r="F4920" t="s">
        <v>41</v>
      </c>
      <c r="G4920">
        <v>-187.85560000000001</v>
      </c>
      <c r="H4920">
        <v>0.92022660000000001</v>
      </c>
      <c r="I4920">
        <v>17.492379999999901</v>
      </c>
      <c r="J4920">
        <v>-187.8716</v>
      </c>
      <c r="K4920">
        <v>1.105127</v>
      </c>
      <c r="L4920">
        <v>17.04684</v>
      </c>
      <c r="M4920">
        <v>6.0499569999999999E-3</v>
      </c>
      <c r="N4920">
        <v>0</v>
      </c>
      <c r="O4920">
        <v>0.9999017</v>
      </c>
      <c r="P4920">
        <v>-5.5472250000000001E-2</v>
      </c>
      <c r="Q4920">
        <v>0.13277849999999999</v>
      </c>
      <c r="R4920">
        <v>0.98959219999999903</v>
      </c>
      <c r="S4920">
        <v>7.6889040000000006E-2</v>
      </c>
      <c r="T4920">
        <v>-0.82182509999999998</v>
      </c>
      <c r="U4920">
        <v>3.1447449999999999</v>
      </c>
      <c r="V4920">
        <v>-6.1497669999999997E-2</v>
      </c>
      <c r="W4920">
        <v>0.1452608</v>
      </c>
      <c r="X4920">
        <v>0.98748029999999998</v>
      </c>
      <c r="Y4920">
        <v>1.7599819999999999E-2</v>
      </c>
      <c r="Z4920">
        <v>-0.25278010000000001</v>
      </c>
      <c r="AA4920">
        <v>0.96736369999999905</v>
      </c>
      <c r="AB4920">
        <v>26</v>
      </c>
      <c r="AC4920">
        <v>1.5999999999991101E-2</v>
      </c>
      <c r="AD4920">
        <v>-0.18490039999999999</v>
      </c>
      <c r="AE4920">
        <v>0.44553999999999699</v>
      </c>
      <c r="AF4920">
        <v>1.13514761972765E-2</v>
      </c>
      <c r="AG4920">
        <v>-0.18490039999999999</v>
      </c>
      <c r="AH4920">
        <v>0.38022740916386399</v>
      </c>
      <c r="AI4920">
        <v>115.92310816912401</v>
      </c>
      <c r="AJ4920">
        <v>88.289974535570096</v>
      </c>
      <c r="AK4920">
        <v>0.42295377597496597</v>
      </c>
      <c r="AL4920">
        <v>81.647618199702706</v>
      </c>
      <c r="AM4920">
        <v>93.563627725592298</v>
      </c>
      <c r="AN4920">
        <v>1.00000000316007</v>
      </c>
    </row>
    <row r="4921" spans="1:40" x14ac:dyDescent="0.3">
      <c r="A4921" t="str">
        <f>"20200111150135524"</f>
        <v>20200111150135524</v>
      </c>
      <c r="B4921" t="str">
        <f>"1578726095513553"</f>
        <v>1578726095513553</v>
      </c>
      <c r="C4921" t="s">
        <v>40</v>
      </c>
      <c r="D4921">
        <v>3.8219370000000001</v>
      </c>
      <c r="E4921">
        <v>0.52183009999999996</v>
      </c>
      <c r="F4921" t="s">
        <v>41</v>
      </c>
      <c r="G4921">
        <v>-187.8596</v>
      </c>
      <c r="H4921">
        <v>0.92382500000000001</v>
      </c>
      <c r="I4921">
        <v>17.727429999999998</v>
      </c>
      <c r="J4921">
        <v>-187.87010000000001</v>
      </c>
      <c r="K4921">
        <v>1.1051329999999999</v>
      </c>
      <c r="L4921">
        <v>17.324619999999999</v>
      </c>
      <c r="M4921">
        <v>5.886573E-3</v>
      </c>
      <c r="N4921">
        <v>0</v>
      </c>
      <c r="O4921">
        <v>0.99990270000000003</v>
      </c>
      <c r="P4921">
        <v>-5.7270410000000001E-2</v>
      </c>
      <c r="Q4921">
        <v>0.13402059999999999</v>
      </c>
      <c r="R4921">
        <v>0.98932229999999999</v>
      </c>
      <c r="S4921">
        <v>5.528259E-2</v>
      </c>
      <c r="T4921">
        <v>-0.83837269999999897</v>
      </c>
      <c r="U4921">
        <v>3.147125</v>
      </c>
      <c r="V4921">
        <v>-6.3131140000000002E-2</v>
      </c>
      <c r="W4921">
        <v>0.14649860000000001</v>
      </c>
      <c r="X4921">
        <v>0.98719429999999997</v>
      </c>
      <c r="Y4921">
        <v>1.108519E-2</v>
      </c>
      <c r="Z4921">
        <v>-0.25738309999999998</v>
      </c>
      <c r="AA4921">
        <v>0.96624580000000004</v>
      </c>
      <c r="AB4921">
        <v>26</v>
      </c>
      <c r="AC4921">
        <v>1.05000000000075E-2</v>
      </c>
      <c r="AD4921">
        <v>-0.181307999999999</v>
      </c>
      <c r="AE4921">
        <v>0.402809999999998</v>
      </c>
      <c r="AF4921">
        <v>6.7598592828450304E-3</v>
      </c>
      <c r="AG4921">
        <v>-0.181307999999999</v>
      </c>
      <c r="AH4921">
        <v>0.33503397672105001</v>
      </c>
      <c r="AI4921">
        <v>118.415732917944</v>
      </c>
      <c r="AJ4921">
        <v>88.844120629500097</v>
      </c>
      <c r="AK4921">
        <v>0.38100663001980101</v>
      </c>
      <c r="AL4921">
        <v>81.575930420640702</v>
      </c>
      <c r="AM4921">
        <v>93.6590861928983</v>
      </c>
      <c r="AN4921">
        <v>0.99999998329607398</v>
      </c>
    </row>
    <row r="4922" spans="1:40" x14ac:dyDescent="0.3">
      <c r="A4922" t="str">
        <f>"20200111150135679"</f>
        <v>20200111150135679</v>
      </c>
      <c r="B4922" t="str">
        <f>"1578726095673621"</f>
        <v>1578726095673621</v>
      </c>
      <c r="C4922" t="s">
        <v>40</v>
      </c>
      <c r="D4922">
        <v>4.223071</v>
      </c>
      <c r="E4922">
        <v>0.51952969999999998</v>
      </c>
      <c r="F4922" t="s">
        <v>42</v>
      </c>
      <c r="G4922">
        <v>-187.86940000000001</v>
      </c>
      <c r="H4922" s="1">
        <v>-2.2435970000000001E-6</v>
      </c>
      <c r="I4922">
        <v>33.981679999999997</v>
      </c>
      <c r="J4922">
        <v>-187.86160000000001</v>
      </c>
      <c r="K4922">
        <v>1.1051519999999999</v>
      </c>
      <c r="L4922">
        <v>19.134519999999998</v>
      </c>
      <c r="M4922">
        <v>4.8812300000000003E-3</v>
      </c>
      <c r="N4922">
        <v>0</v>
      </c>
      <c r="O4922">
        <v>0.99990820000000002</v>
      </c>
      <c r="P4922">
        <v>-6.6142110000000004E-2</v>
      </c>
      <c r="Q4922">
        <v>0.1372487</v>
      </c>
      <c r="R4922">
        <v>0.98832589999999998</v>
      </c>
      <c r="S4922">
        <v>1.3732910000000001E-4</v>
      </c>
      <c r="T4922">
        <v>-0.20301359999999999</v>
      </c>
      <c r="U4922">
        <v>3.0599059999999998</v>
      </c>
      <c r="V4922">
        <v>-7.099809E-2</v>
      </c>
      <c r="W4922">
        <v>0.1497087</v>
      </c>
      <c r="X4922">
        <v>0.98617770000000005</v>
      </c>
      <c r="Y4922">
        <v>-4.8368389999999999E-3</v>
      </c>
      <c r="Z4922">
        <v>-6.6199240000000006E-2</v>
      </c>
      <c r="AA4922">
        <v>0.99779470000000003</v>
      </c>
      <c r="AB4922">
        <v>26</v>
      </c>
      <c r="AC4922">
        <v>-7.80000000000313E-3</v>
      </c>
      <c r="AD4922">
        <v>-1.1051542435969901</v>
      </c>
      <c r="AE4922">
        <v>14.847159999999899</v>
      </c>
      <c r="AF4922">
        <v>-7.9835759699635703E-2</v>
      </c>
      <c r="AG4922">
        <v>-1.1051542435969901</v>
      </c>
      <c r="AH4922">
        <v>14.7651369044028</v>
      </c>
      <c r="AI4922">
        <v>94.280481879186397</v>
      </c>
      <c r="AJ4922">
        <v>90.309797839165896</v>
      </c>
      <c r="AK4922">
        <v>14.8066541614378</v>
      </c>
      <c r="AL4922">
        <v>81.389953797239201</v>
      </c>
      <c r="AM4922">
        <v>94.117802194789903</v>
      </c>
      <c r="AN4922">
        <v>0.99999993980831203</v>
      </c>
    </row>
    <row r="4923" spans="1:40" x14ac:dyDescent="0.3">
      <c r="A4923" t="str">
        <f>"20200111150135701"</f>
        <v>20200111150135701</v>
      </c>
      <c r="B4923" t="str">
        <f>"1578726095693141"</f>
        <v>1578726095693141</v>
      </c>
      <c r="C4923" t="s">
        <v>40</v>
      </c>
      <c r="D4923">
        <v>4.9971030000000001</v>
      </c>
      <c r="E4923">
        <v>0.50746049999999998</v>
      </c>
      <c r="F4923" t="s">
        <v>41</v>
      </c>
      <c r="G4923">
        <v>-187.87180000000001</v>
      </c>
      <c r="H4923">
        <v>0.89190539999999996</v>
      </c>
      <c r="I4923">
        <v>19.809139999999999</v>
      </c>
      <c r="J4923">
        <v>-187.86060000000001</v>
      </c>
      <c r="K4923">
        <v>1.1051550000000001</v>
      </c>
      <c r="L4923">
        <v>19.393830000000001</v>
      </c>
      <c r="M4923">
        <v>4.7388580000000003E-3</v>
      </c>
      <c r="N4923">
        <v>0</v>
      </c>
      <c r="O4923">
        <v>0.99990889999999999</v>
      </c>
      <c r="P4923">
        <v>-6.5518690000000004E-2</v>
      </c>
      <c r="Q4923">
        <v>0.1388479</v>
      </c>
      <c r="R4923">
        <v>0.98814400000000002</v>
      </c>
      <c r="S4923">
        <v>-4.795837E-2</v>
      </c>
      <c r="T4923">
        <v>-1.0024850000000001</v>
      </c>
      <c r="U4923">
        <v>3.1714479999999998</v>
      </c>
      <c r="V4923">
        <v>-7.0233110000000001E-2</v>
      </c>
      <c r="W4923">
        <v>0.15130439999999901</v>
      </c>
      <c r="X4923">
        <v>0.985989</v>
      </c>
      <c r="Y4923">
        <v>-1.9155800000000001E-2</v>
      </c>
      <c r="Z4923">
        <v>-0.30134949999999999</v>
      </c>
      <c r="AA4923">
        <v>0.95332130000000004</v>
      </c>
      <c r="AB4923">
        <v>26</v>
      </c>
      <c r="AC4923">
        <v>-1.12000000000023E-2</v>
      </c>
      <c r="AD4923">
        <v>-0.21324960000000001</v>
      </c>
      <c r="AE4923">
        <v>0.41531000000000101</v>
      </c>
      <c r="AF4923">
        <v>-1.04222679061277E-2</v>
      </c>
      <c r="AG4923">
        <v>-0.21324960000000001</v>
      </c>
      <c r="AH4923">
        <v>0.32866256653709502</v>
      </c>
      <c r="AI4923">
        <v>122.96399598547301</v>
      </c>
      <c r="AJ4923">
        <v>91.816306390482396</v>
      </c>
      <c r="AK4923">
        <v>0.39192231144860501</v>
      </c>
      <c r="AL4923">
        <v>81.297474075847703</v>
      </c>
      <c r="AM4923">
        <v>94.074361448937395</v>
      </c>
      <c r="AN4923">
        <v>1.0000000096603101</v>
      </c>
    </row>
    <row r="4924" spans="1:40" x14ac:dyDescent="0.3">
      <c r="A4924" t="str">
        <f>"20200111150135723"</f>
        <v>20200111150135723</v>
      </c>
      <c r="B4924" t="str">
        <f>"1578726095713637"</f>
        <v>1578726095713637</v>
      </c>
      <c r="C4924" t="s">
        <v>40</v>
      </c>
      <c r="D4924">
        <v>5.7521370000000003</v>
      </c>
      <c r="E4924">
        <v>0.51105780000000001</v>
      </c>
      <c r="F4924" t="s">
        <v>41</v>
      </c>
      <c r="G4924">
        <v>-187.89940000000001</v>
      </c>
      <c r="H4924">
        <v>0.84510839999999998</v>
      </c>
      <c r="I4924">
        <v>20.254940000000001</v>
      </c>
      <c r="J4924">
        <v>-187.8595</v>
      </c>
      <c r="K4924">
        <v>1.105164</v>
      </c>
      <c r="L4924">
        <v>19.652830000000002</v>
      </c>
      <c r="M4924">
        <v>4.5948350000000002E-3</v>
      </c>
      <c r="N4924">
        <v>0</v>
      </c>
      <c r="O4924">
        <v>0.99990959999999995</v>
      </c>
      <c r="P4924">
        <v>-6.5174339999999997E-2</v>
      </c>
      <c r="Q4924">
        <v>0.13916700000000001</v>
      </c>
      <c r="R4924">
        <v>0.9881219</v>
      </c>
      <c r="S4924">
        <v>-0.14303589999999999</v>
      </c>
      <c r="T4924">
        <v>-0.9544646</v>
      </c>
      <c r="U4924">
        <v>3.1606139999999998</v>
      </c>
      <c r="V4924">
        <v>-6.9746349999999999E-2</v>
      </c>
      <c r="W4924">
        <v>0.15162300000000001</v>
      </c>
      <c r="X4924">
        <v>0.98597460000000003</v>
      </c>
      <c r="Y4924">
        <v>-4.787313E-2</v>
      </c>
      <c r="Z4924">
        <v>-0.2887863</v>
      </c>
      <c r="AA4924">
        <v>0.95619600000000005</v>
      </c>
      <c r="AB4924">
        <v>26</v>
      </c>
      <c r="AC4924">
        <v>-3.9900000000017102E-2</v>
      </c>
      <c r="AD4924">
        <v>-0.260055599999999</v>
      </c>
      <c r="AE4924">
        <v>0.60210999999999903</v>
      </c>
      <c r="AF4924">
        <v>-3.5983285724658899E-2</v>
      </c>
      <c r="AG4924">
        <v>-0.260055599999999</v>
      </c>
      <c r="AH4924">
        <v>0.50763767493982404</v>
      </c>
      <c r="AI4924">
        <v>117.06720009265401</v>
      </c>
      <c r="AJ4924">
        <v>94.054560728473305</v>
      </c>
      <c r="AK4924">
        <v>0.57150653623665004</v>
      </c>
      <c r="AL4924">
        <v>81.279006489825406</v>
      </c>
      <c r="AM4924">
        <v>94.046276554432694</v>
      </c>
      <c r="AN4924">
        <v>0.99999999965624098</v>
      </c>
    </row>
    <row r="4925" spans="1:40" x14ac:dyDescent="0.3">
      <c r="A4925" t="str">
        <f>"20200111150135745"</f>
        <v>20200111150135745</v>
      </c>
      <c r="B4925" t="str">
        <f>"1578726095742917"</f>
        <v>1578726095742917</v>
      </c>
      <c r="C4925" t="s">
        <v>40</v>
      </c>
      <c r="D4925">
        <v>4.5357659999999997</v>
      </c>
      <c r="E4925">
        <v>0.51402979999999998</v>
      </c>
      <c r="F4925" t="s">
        <v>96</v>
      </c>
      <c r="G4925">
        <v>-201.30019999999999</v>
      </c>
      <c r="H4925">
        <v>14.73429</v>
      </c>
      <c r="I4925">
        <v>391.87</v>
      </c>
      <c r="J4925">
        <v>-187.85849999999999</v>
      </c>
      <c r="K4925">
        <v>1.105167</v>
      </c>
      <c r="L4925">
        <v>19.90259</v>
      </c>
      <c r="M4925">
        <v>4.4554690000000001E-3</v>
      </c>
      <c r="N4925">
        <v>0</v>
      </c>
      <c r="O4925">
        <v>0.99991019999999997</v>
      </c>
      <c r="P4925">
        <v>-6.4752409999999996E-2</v>
      </c>
      <c r="Q4925">
        <v>0.1399166</v>
      </c>
      <c r="R4925">
        <v>0.98804380000000003</v>
      </c>
      <c r="S4925">
        <v>-0.1088104</v>
      </c>
      <c r="T4925">
        <v>0.1103364</v>
      </c>
      <c r="U4925">
        <v>3.0133359999999998</v>
      </c>
      <c r="V4925">
        <v>-6.9186800000000007E-2</v>
      </c>
      <c r="W4925">
        <v>0.15237049999999999</v>
      </c>
      <c r="X4925">
        <v>0.98589879999999996</v>
      </c>
      <c r="Y4925">
        <v>-4.0514540000000002E-2</v>
      </c>
      <c r="Z4925">
        <v>3.6564050000000001E-2</v>
      </c>
      <c r="AA4925">
        <v>0.99850969999999994</v>
      </c>
      <c r="AB4925">
        <v>26</v>
      </c>
      <c r="AC4925">
        <v>-13.4416999999999</v>
      </c>
      <c r="AD4925">
        <v>13.629123</v>
      </c>
      <c r="AE4925">
        <v>371.96740999999997</v>
      </c>
      <c r="AF4925">
        <v>-15.078770813364001</v>
      </c>
      <c r="AG4925">
        <v>13.629123</v>
      </c>
      <c r="AH4925">
        <v>371.40584798235898</v>
      </c>
      <c r="AI4925">
        <v>87.900143233793699</v>
      </c>
      <c r="AJ4925">
        <v>92.324884544964704</v>
      </c>
      <c r="AK4925">
        <v>371.96159242384999</v>
      </c>
      <c r="AL4925">
        <v>81.235674537561394</v>
      </c>
      <c r="AM4925">
        <v>94.014228858869203</v>
      </c>
      <c r="AN4925">
        <v>1.0000000132029601</v>
      </c>
    </row>
    <row r="4926" spans="1:40" x14ac:dyDescent="0.3">
      <c r="A4926" t="str">
        <f>"20200111150135768"</f>
        <v>20200111150135768</v>
      </c>
      <c r="B4926" t="str">
        <f>"1578726095763413"</f>
        <v>1578726095763413</v>
      </c>
      <c r="C4926" t="s">
        <v>40</v>
      </c>
      <c r="D4926">
        <v>4.5987099999999996</v>
      </c>
      <c r="E4926">
        <v>0.51512829999999998</v>
      </c>
      <c r="F4926" t="s">
        <v>96</v>
      </c>
      <c r="G4926">
        <v>-198.20869999999999</v>
      </c>
      <c r="H4926">
        <v>9.6342800000000004</v>
      </c>
      <c r="I4926">
        <v>391.87</v>
      </c>
      <c r="J4926">
        <v>-187.85749999999999</v>
      </c>
      <c r="K4926">
        <v>1.1051759999999999</v>
      </c>
      <c r="L4926">
        <v>20.163640000000001</v>
      </c>
      <c r="M4926">
        <v>4.3107450000000004E-3</v>
      </c>
      <c r="N4926">
        <v>0</v>
      </c>
      <c r="O4926">
        <v>0.99991090000000005</v>
      </c>
      <c r="P4926">
        <v>-6.4745709999999998E-2</v>
      </c>
      <c r="Q4926">
        <v>0.14063699999999901</v>
      </c>
      <c r="R4926">
        <v>0.98794190000000004</v>
      </c>
      <c r="S4926">
        <v>-8.4060670000000004E-2</v>
      </c>
      <c r="T4926">
        <v>6.9270609999999996E-2</v>
      </c>
      <c r="U4926">
        <v>3.0209959999999998</v>
      </c>
      <c r="V4926">
        <v>-6.9036609999999998E-2</v>
      </c>
      <c r="W4926">
        <v>0.15308869999999999</v>
      </c>
      <c r="X4926">
        <v>0.98579810000000001</v>
      </c>
      <c r="Y4926">
        <v>-3.2116569999999997E-2</v>
      </c>
      <c r="Z4926">
        <v>2.2913039999999999E-2</v>
      </c>
      <c r="AA4926">
        <v>0.99922140000000004</v>
      </c>
      <c r="AB4926">
        <v>26</v>
      </c>
      <c r="AC4926">
        <v>-10.3512</v>
      </c>
      <c r="AD4926">
        <v>8.5291040000000002</v>
      </c>
      <c r="AE4926">
        <v>371.70636000000002</v>
      </c>
      <c r="AF4926">
        <v>-11.947277540554399</v>
      </c>
      <c r="AG4926">
        <v>8.5291040000000002</v>
      </c>
      <c r="AH4926">
        <v>371.462853418191</v>
      </c>
      <c r="AI4926">
        <v>88.685350691037797</v>
      </c>
      <c r="AJ4926">
        <v>91.842156447864895</v>
      </c>
      <c r="AK4926">
        <v>371.75278684262599</v>
      </c>
      <c r="AL4926">
        <v>81.1940365237827</v>
      </c>
      <c r="AM4926">
        <v>94.005951044512699</v>
      </c>
      <c r="AN4926">
        <v>1.0000000487757901</v>
      </c>
    </row>
    <row r="4927" spans="1:40" x14ac:dyDescent="0.3">
      <c r="A4927" t="str">
        <f>"20200111150135791"</f>
        <v>20200111150135791</v>
      </c>
      <c r="B4927" t="str">
        <f>"1578726095782933"</f>
        <v>1578726095782933</v>
      </c>
      <c r="C4927" t="s">
        <v>40</v>
      </c>
      <c r="D4927">
        <v>4.6039719999999997</v>
      </c>
      <c r="E4927">
        <v>0.51567739999999995</v>
      </c>
      <c r="F4927" t="s">
        <v>96</v>
      </c>
      <c r="G4927">
        <v>-197.13339999999999</v>
      </c>
      <c r="H4927">
        <v>4.8381809999999996</v>
      </c>
      <c r="I4927">
        <v>391.87</v>
      </c>
      <c r="J4927">
        <v>-187.85650000000001</v>
      </c>
      <c r="K4927">
        <v>1.1051869999999999</v>
      </c>
      <c r="L4927">
        <v>20.439330000000002</v>
      </c>
      <c r="M4927">
        <v>4.1585830000000004E-3</v>
      </c>
      <c r="N4927">
        <v>0</v>
      </c>
      <c r="O4927">
        <v>0.99991149999999995</v>
      </c>
      <c r="P4927">
        <v>-6.387553E-2</v>
      </c>
      <c r="Q4927">
        <v>0.1416876</v>
      </c>
      <c r="R4927">
        <v>0.98784850000000002</v>
      </c>
      <c r="S4927">
        <v>-7.5546260000000004E-2</v>
      </c>
      <c r="T4927">
        <v>3.0403260000000001E-2</v>
      </c>
      <c r="U4927">
        <v>3.0273439999999998</v>
      </c>
      <c r="V4927">
        <v>-6.8016110000000005E-2</v>
      </c>
      <c r="W4927">
        <v>0.154137</v>
      </c>
      <c r="X4927">
        <v>0.98570559999999996</v>
      </c>
      <c r="Y4927">
        <v>-2.910302E-2</v>
      </c>
      <c r="Z4927">
        <v>1.003856E-2</v>
      </c>
      <c r="AA4927">
        <v>0.99952600000000003</v>
      </c>
      <c r="AB4927">
        <v>26</v>
      </c>
      <c r="AC4927">
        <v>-9.2768999999999799</v>
      </c>
      <c r="AD4927">
        <v>3.7329940000000001</v>
      </c>
      <c r="AE4927">
        <v>371.43067000000002</v>
      </c>
      <c r="AF4927">
        <v>-10.8204761105745</v>
      </c>
      <c r="AG4927">
        <v>3.7329940000000001</v>
      </c>
      <c r="AH4927">
        <v>371.35138954652598</v>
      </c>
      <c r="AI4927">
        <v>89.424300345084006</v>
      </c>
      <c r="AJ4927">
        <v>91.669018248913801</v>
      </c>
      <c r="AK4927">
        <v>371.52775463698498</v>
      </c>
      <c r="AL4927">
        <v>81.133251189667803</v>
      </c>
      <c r="AM4927">
        <v>93.947292796644206</v>
      </c>
      <c r="AN4927">
        <v>0.99999996792994506</v>
      </c>
    </row>
    <row r="4928" spans="1:40" x14ac:dyDescent="0.3">
      <c r="A4928" t="str">
        <f>"20200111150135813"</f>
        <v>20200111150135813</v>
      </c>
      <c r="B4928" t="str">
        <f>"1578726095803429"</f>
        <v>1578726095803429</v>
      </c>
      <c r="C4928" t="s">
        <v>40</v>
      </c>
      <c r="D4928">
        <v>4.6308129999999998</v>
      </c>
      <c r="E4928">
        <v>0.51618469999999905</v>
      </c>
      <c r="F4928" t="s">
        <v>96</v>
      </c>
      <c r="G4928">
        <v>-196.3597</v>
      </c>
      <c r="H4928">
        <v>1.997913</v>
      </c>
      <c r="I4928">
        <v>391.87</v>
      </c>
      <c r="J4928">
        <v>-187.85570000000001</v>
      </c>
      <c r="K4928">
        <v>1.1051930000000001</v>
      </c>
      <c r="L4928">
        <v>20.691040000000001</v>
      </c>
      <c r="M4928">
        <v>4.0189889999999997E-3</v>
      </c>
      <c r="N4928">
        <v>0</v>
      </c>
      <c r="O4928">
        <v>0.99991209999999997</v>
      </c>
      <c r="P4928">
        <v>-6.2692830000000005E-2</v>
      </c>
      <c r="Q4928">
        <v>0.14247899999999999</v>
      </c>
      <c r="R4928">
        <v>0.98781039999999998</v>
      </c>
      <c r="S4928">
        <v>-6.9396970000000002E-2</v>
      </c>
      <c r="T4928">
        <v>7.2858330000000002E-3</v>
      </c>
      <c r="U4928">
        <v>3.0313720000000002</v>
      </c>
      <c r="V4928">
        <v>-6.6695409999999997E-2</v>
      </c>
      <c r="W4928">
        <v>0.1549276</v>
      </c>
      <c r="X4928">
        <v>0.98567190000000005</v>
      </c>
      <c r="Y4928">
        <v>-2.6904939999999999E-2</v>
      </c>
      <c r="Z4928">
        <v>2.4026910000000002E-3</v>
      </c>
      <c r="AA4928">
        <v>0.9996351</v>
      </c>
      <c r="AB4928">
        <v>26</v>
      </c>
      <c r="AC4928">
        <v>-8.5039999999999907</v>
      </c>
      <c r="AD4928">
        <v>0.89271999999999996</v>
      </c>
      <c r="AE4928">
        <v>371.17896000000002</v>
      </c>
      <c r="AF4928">
        <v>-9.9957567635845503</v>
      </c>
      <c r="AG4928">
        <v>0.89271999999999996</v>
      </c>
      <c r="AH4928">
        <v>371.13963588551201</v>
      </c>
      <c r="AI4928">
        <v>89.862233930280297</v>
      </c>
      <c r="AJ4928">
        <v>91.542751581107098</v>
      </c>
      <c r="AK4928">
        <v>371.27529062342097</v>
      </c>
      <c r="AL4928">
        <v>81.087402384802104</v>
      </c>
      <c r="AM4928">
        <v>93.871013652543496</v>
      </c>
      <c r="AN4928">
        <v>0.999999966703218</v>
      </c>
    </row>
    <row r="4929" spans="1:40" x14ac:dyDescent="0.3">
      <c r="A4929" t="str">
        <f>"20200111150135834"</f>
        <v>20200111150135834</v>
      </c>
      <c r="B4929" t="str">
        <f>"1578726095822948"</f>
        <v>1578726095822948</v>
      </c>
      <c r="C4929" t="s">
        <v>40</v>
      </c>
      <c r="D4929">
        <v>4.5942660000000002</v>
      </c>
      <c r="E4929">
        <v>0.51575569999999904</v>
      </c>
      <c r="F4929" t="s">
        <v>96</v>
      </c>
      <c r="G4929">
        <v>-195.5163</v>
      </c>
      <c r="H4929">
        <v>0.1240911</v>
      </c>
      <c r="I4929">
        <v>391.87</v>
      </c>
      <c r="J4929">
        <v>-187.85480000000001</v>
      </c>
      <c r="K4929">
        <v>1.105189</v>
      </c>
      <c r="L4929">
        <v>20.942990000000002</v>
      </c>
      <c r="M4929">
        <v>3.8793830000000001E-3</v>
      </c>
      <c r="N4929">
        <v>0</v>
      </c>
      <c r="O4929">
        <v>0.99991269999999999</v>
      </c>
      <c r="P4929">
        <v>-6.2050719999999997E-2</v>
      </c>
      <c r="Q4929">
        <v>0.14353529999999901</v>
      </c>
      <c r="R4929">
        <v>0.98769799999999996</v>
      </c>
      <c r="S4929">
        <v>-6.2622070000000002E-2</v>
      </c>
      <c r="T4929">
        <v>-8.0200429999999993E-3</v>
      </c>
      <c r="U4929">
        <v>3.0342099999999999</v>
      </c>
      <c r="V4929">
        <v>-6.5914920000000002E-2</v>
      </c>
      <c r="W4929">
        <v>0.15598229999999999</v>
      </c>
      <c r="X4929">
        <v>0.98555809999999999</v>
      </c>
      <c r="Y4929">
        <v>-2.4512920000000001E-2</v>
      </c>
      <c r="Z4929">
        <v>-2.642489E-3</v>
      </c>
      <c r="AA4929">
        <v>0.99969600000000003</v>
      </c>
      <c r="AB4929">
        <v>26</v>
      </c>
      <c r="AC4929">
        <v>-7.6614999999999798</v>
      </c>
      <c r="AD4929">
        <v>-0.98109789999999997</v>
      </c>
      <c r="AE4929">
        <v>370.92701</v>
      </c>
      <c r="AF4929">
        <v>-9.1004614389344702</v>
      </c>
      <c r="AG4929">
        <v>-0.98109789999999997</v>
      </c>
      <c r="AH4929">
        <v>370.89190048503701</v>
      </c>
      <c r="AI4929">
        <v>90.1515151021012</v>
      </c>
      <c r="AJ4929">
        <v>91.405567038182298</v>
      </c>
      <c r="AK4929">
        <v>371.00482853582002</v>
      </c>
      <c r="AL4929">
        <v>81.026229238700296</v>
      </c>
      <c r="AM4929">
        <v>93.826289646593494</v>
      </c>
      <c r="AN4929">
        <v>1.00000001153375</v>
      </c>
    </row>
    <row r="4930" spans="1:40" x14ac:dyDescent="0.3">
      <c r="A4930" t="str">
        <f>"20200111150135857"</f>
        <v>20200111150135857</v>
      </c>
      <c r="B4930" t="str">
        <f>"1578726095853205"</f>
        <v>1578726095853205</v>
      </c>
      <c r="C4930" t="s">
        <v>40</v>
      </c>
      <c r="D4930">
        <v>4.6849619999999996</v>
      </c>
      <c r="E4930">
        <v>0.51603840000000001</v>
      </c>
      <c r="F4930" t="s">
        <v>42</v>
      </c>
      <c r="G4930">
        <v>-191.14179999999999</v>
      </c>
      <c r="H4930" s="1">
        <v>-3.908624E-6</v>
      </c>
      <c r="I4930">
        <v>177.99199999999999</v>
      </c>
      <c r="J4930">
        <v>-187.85400000000001</v>
      </c>
      <c r="K4930">
        <v>1.1051869999999999</v>
      </c>
      <c r="L4930">
        <v>21.202179999999998</v>
      </c>
      <c r="M4930">
        <v>3.7367809999999998E-3</v>
      </c>
      <c r="N4930">
        <v>0</v>
      </c>
      <c r="O4930">
        <v>0.9999133</v>
      </c>
      <c r="P4930">
        <v>-6.1914820000000002E-2</v>
      </c>
      <c r="Q4930">
        <v>0.14393819999999999</v>
      </c>
      <c r="R4930">
        <v>0.98764790000000002</v>
      </c>
      <c r="S4930">
        <v>-6.3552860000000003E-2</v>
      </c>
      <c r="T4930">
        <v>-2.1368379999999999E-2</v>
      </c>
      <c r="U4930">
        <v>3.0364689999999999</v>
      </c>
      <c r="V4930">
        <v>-6.563861E-2</v>
      </c>
      <c r="W4930">
        <v>0.15638299999999999</v>
      </c>
      <c r="X4930">
        <v>0.98551299999999997</v>
      </c>
      <c r="Y4930">
        <v>-2.466088E-2</v>
      </c>
      <c r="Z4930">
        <v>-7.0351609999999998E-3</v>
      </c>
      <c r="AA4930">
        <v>0.99967110000000003</v>
      </c>
      <c r="AB4930">
        <v>26</v>
      </c>
      <c r="AC4930">
        <v>-3.2877999999999701</v>
      </c>
      <c r="AD4930">
        <v>-1.1051909086239999</v>
      </c>
      <c r="AE4930">
        <v>156.78981999999999</v>
      </c>
      <c r="AF4930">
        <v>-3.8735205941140798</v>
      </c>
      <c r="AG4930">
        <v>-1.1051909086239999</v>
      </c>
      <c r="AH4930">
        <v>156.76865251307899</v>
      </c>
      <c r="AI4930">
        <v>90.403795049457798</v>
      </c>
      <c r="AJ4930">
        <v>91.415405631378306</v>
      </c>
      <c r="AK4930">
        <v>156.82039414407899</v>
      </c>
      <c r="AL4930">
        <v>81.002985214934199</v>
      </c>
      <c r="AM4930">
        <v>93.810471354934805</v>
      </c>
      <c r="AN4930">
        <v>0.99999997149036501</v>
      </c>
    </row>
    <row r="4931" spans="1:40" x14ac:dyDescent="0.3">
      <c r="A4931" t="str">
        <f>"20200111150135880"</f>
        <v>20200111150135880</v>
      </c>
      <c r="B4931" t="str">
        <f>"1578726095872725"</f>
        <v>1578726095872725</v>
      </c>
      <c r="C4931" t="s">
        <v>40</v>
      </c>
      <c r="D4931">
        <v>4.6366300000000003</v>
      </c>
      <c r="E4931">
        <v>0.5158604</v>
      </c>
      <c r="F4931" t="s">
        <v>42</v>
      </c>
      <c r="G4931">
        <v>-189.72499999999999</v>
      </c>
      <c r="H4931" s="1">
        <v>-2.1875440000000002E-6</v>
      </c>
      <c r="I4931">
        <v>114.6183</v>
      </c>
      <c r="J4931">
        <v>-187.85319999999999</v>
      </c>
      <c r="K4931">
        <v>1.1051879999999901</v>
      </c>
      <c r="L4931">
        <v>21.46472</v>
      </c>
      <c r="M4931">
        <v>3.590925E-3</v>
      </c>
      <c r="N4931">
        <v>0</v>
      </c>
      <c r="O4931">
        <v>0.99991379999999996</v>
      </c>
      <c r="P4931">
        <v>-6.143701E-2</v>
      </c>
      <c r="Q4931">
        <v>0.1436317</v>
      </c>
      <c r="R4931">
        <v>0.98772230000000005</v>
      </c>
      <c r="S4931">
        <v>-6.0867310000000001E-2</v>
      </c>
      <c r="T4931">
        <v>-3.5953159999999998E-2</v>
      </c>
      <c r="U4931">
        <v>3.0389400000000002</v>
      </c>
      <c r="V4931">
        <v>-6.5016290000000004E-2</v>
      </c>
      <c r="W4931">
        <v>0.15607739999999901</v>
      </c>
      <c r="X4931">
        <v>0.98560270000000005</v>
      </c>
      <c r="Y4931">
        <v>-2.3614070000000001E-2</v>
      </c>
      <c r="Z4931">
        <v>-1.182704E-2</v>
      </c>
      <c r="AA4931">
        <v>0.99965119999999996</v>
      </c>
      <c r="AB4931">
        <v>26</v>
      </c>
      <c r="AC4931">
        <v>-1.8717999999999999</v>
      </c>
      <c r="AD4931">
        <v>-1.10519018754399</v>
      </c>
      <c r="AE4931">
        <v>93.153580000000005</v>
      </c>
      <c r="AF4931">
        <v>-2.2060117391073701</v>
      </c>
      <c r="AG4931">
        <v>-1.10519018754399</v>
      </c>
      <c r="AH4931">
        <v>93.133153275533203</v>
      </c>
      <c r="AI4931">
        <v>90.679693590215805</v>
      </c>
      <c r="AJ4931">
        <v>91.356890939670507</v>
      </c>
      <c r="AK4931">
        <v>93.165831570311695</v>
      </c>
      <c r="AL4931">
        <v>81.020712539135701</v>
      </c>
      <c r="AM4931">
        <v>93.774106663257896</v>
      </c>
      <c r="AN4931">
        <v>0.99999997750170599</v>
      </c>
    </row>
    <row r="4932" spans="1:40" x14ac:dyDescent="0.3">
      <c r="A4932" t="str">
        <f>"20200111150135902"</f>
        <v>20200111150135902</v>
      </c>
      <c r="B4932" t="str">
        <f>"1578726095893221"</f>
        <v>1578726095893221</v>
      </c>
      <c r="C4932" t="s">
        <v>40</v>
      </c>
      <c r="D4932">
        <v>4.6743079999999999</v>
      </c>
      <c r="E4932">
        <v>0.51525259999999995</v>
      </c>
      <c r="F4932" t="s">
        <v>42</v>
      </c>
      <c r="G4932">
        <v>-189.4837</v>
      </c>
      <c r="H4932" s="1">
        <v>-1.382734E-6</v>
      </c>
      <c r="I4932">
        <v>102.6425</v>
      </c>
      <c r="J4932">
        <v>-187.85239999999999</v>
      </c>
      <c r="K4932">
        <v>1.1051979999999999</v>
      </c>
      <c r="L4932">
        <v>21.719639999999998</v>
      </c>
      <c r="M4932">
        <v>3.4482520000000002E-3</v>
      </c>
      <c r="N4932">
        <v>0</v>
      </c>
      <c r="O4932">
        <v>0.99991430000000003</v>
      </c>
      <c r="P4932">
        <v>-6.195026E-2</v>
      </c>
      <c r="Q4932">
        <v>0.14413779999999901</v>
      </c>
      <c r="R4932">
        <v>0.98761650000000001</v>
      </c>
      <c r="S4932">
        <v>-6.1050420000000001E-2</v>
      </c>
      <c r="T4932">
        <v>-4.1381359999999999E-2</v>
      </c>
      <c r="U4932">
        <v>3.03952</v>
      </c>
      <c r="V4932">
        <v>-6.5388399999999999E-2</v>
      </c>
      <c r="W4932">
        <v>0.15658129999999901</v>
      </c>
      <c r="X4932">
        <v>0.98549819999999999</v>
      </c>
      <c r="Y4932">
        <v>-2.3527349999999999E-2</v>
      </c>
      <c r="Z4932">
        <v>-1.3609799999999899E-2</v>
      </c>
      <c r="AA4932">
        <v>0.99963060000000004</v>
      </c>
      <c r="AB4932">
        <v>26</v>
      </c>
      <c r="AC4932">
        <v>-1.63130000000001</v>
      </c>
      <c r="AD4932">
        <v>-1.1051993827340001</v>
      </c>
      <c r="AE4932">
        <v>80.92286</v>
      </c>
      <c r="AF4932">
        <v>-1.90999885115771</v>
      </c>
      <c r="AG4932">
        <v>-1.1051993827340001</v>
      </c>
      <c r="AH4932">
        <v>80.901669119765202</v>
      </c>
      <c r="AI4932">
        <v>90.782452144544706</v>
      </c>
      <c r="AJ4932">
        <v>91.352438692180002</v>
      </c>
      <c r="AK4932">
        <v>80.931759079183394</v>
      </c>
      <c r="AL4932">
        <v>80.991482227389497</v>
      </c>
      <c r="AM4932">
        <v>93.796045481443201</v>
      </c>
      <c r="AN4932">
        <v>1.0000000242837399</v>
      </c>
    </row>
    <row r="4933" spans="1:40" x14ac:dyDescent="0.3">
      <c r="A4933" t="str">
        <f>"20200111150135924"</f>
        <v>20200111150135924</v>
      </c>
      <c r="B4933" t="str">
        <f>"1578726095912740"</f>
        <v>1578726095912740</v>
      </c>
      <c r="C4933" t="s">
        <v>40</v>
      </c>
      <c r="D4933">
        <v>4.7156949999999904</v>
      </c>
      <c r="E4933">
        <v>0.51492789999999999</v>
      </c>
      <c r="F4933" t="s">
        <v>42</v>
      </c>
      <c r="G4933">
        <v>-189.5805</v>
      </c>
      <c r="H4933" s="1">
        <v>-4.3360749999999998E-6</v>
      </c>
      <c r="I4933">
        <v>99.566800000000001</v>
      </c>
      <c r="J4933">
        <v>-187.85169999999999</v>
      </c>
      <c r="K4933">
        <v>1.105194</v>
      </c>
      <c r="L4933">
        <v>21.97916</v>
      </c>
      <c r="M4933">
        <v>3.3044060000000002E-3</v>
      </c>
      <c r="N4933">
        <v>0</v>
      </c>
      <c r="O4933">
        <v>0.99991479999999999</v>
      </c>
      <c r="P4933">
        <v>-6.2269829999999998E-2</v>
      </c>
      <c r="Q4933">
        <v>0.14538389999999901</v>
      </c>
      <c r="R4933">
        <v>0.98741380000000001</v>
      </c>
      <c r="S4933">
        <v>-6.7474370000000006E-2</v>
      </c>
      <c r="T4933">
        <v>-4.3154480000000002E-2</v>
      </c>
      <c r="U4933">
        <v>3.0396730000000001</v>
      </c>
      <c r="V4933">
        <v>-6.5565590000000007E-2</v>
      </c>
      <c r="W4933">
        <v>0.15782360000000001</v>
      </c>
      <c r="X4933">
        <v>0.98528819999999995</v>
      </c>
      <c r="Y4933">
        <v>-2.549394E-2</v>
      </c>
      <c r="Z4933">
        <v>-1.4191479999999999E-2</v>
      </c>
      <c r="AA4933">
        <v>0.99957419999999997</v>
      </c>
      <c r="AB4933">
        <v>26</v>
      </c>
      <c r="AC4933">
        <v>-1.7287999999999999</v>
      </c>
      <c r="AD4933">
        <v>-1.105198336075</v>
      </c>
      <c r="AE4933">
        <v>77.587639999999993</v>
      </c>
      <c r="AF4933">
        <v>-1.9847895423014199</v>
      </c>
      <c r="AG4933">
        <v>-1.105198336075</v>
      </c>
      <c r="AH4933">
        <v>77.565772457417793</v>
      </c>
      <c r="AI4933">
        <v>90.816058381304799</v>
      </c>
      <c r="AJ4933">
        <v>91.465791546746999</v>
      </c>
      <c r="AK4933">
        <v>77.599032917976501</v>
      </c>
      <c r="AL4933">
        <v>80.919407180189395</v>
      </c>
      <c r="AM4933">
        <v>93.807110710670997</v>
      </c>
      <c r="AN4933">
        <v>0.999999986184123</v>
      </c>
    </row>
    <row r="4934" spans="1:40" x14ac:dyDescent="0.3">
      <c r="A4934" t="str">
        <f>"20200111150135945"</f>
        <v>20200111150135945</v>
      </c>
      <c r="B4934" t="str">
        <f>"1578726095942996"</f>
        <v>1578726095942996</v>
      </c>
      <c r="C4934" t="s">
        <v>40</v>
      </c>
      <c r="D4934">
        <v>4.657508</v>
      </c>
      <c r="E4934">
        <v>0.51427749999999905</v>
      </c>
      <c r="F4934" t="s">
        <v>42</v>
      </c>
      <c r="G4934">
        <v>-189.6002</v>
      </c>
      <c r="H4934" s="1">
        <v>-2.7925119999999999E-6</v>
      </c>
      <c r="I4934">
        <v>95.976849999999999</v>
      </c>
      <c r="J4934">
        <v>-187.8511</v>
      </c>
      <c r="K4934">
        <v>1.105192</v>
      </c>
      <c r="L4934">
        <v>22.228670000000001</v>
      </c>
      <c r="M4934">
        <v>3.167291E-3</v>
      </c>
      <c r="N4934">
        <v>0</v>
      </c>
      <c r="O4934">
        <v>0.99991529999999995</v>
      </c>
      <c r="P4934">
        <v>-6.2342519999999998E-2</v>
      </c>
      <c r="Q4934">
        <v>0.14548949999999999</v>
      </c>
      <c r="R4934">
        <v>0.98739370000000004</v>
      </c>
      <c r="S4934">
        <v>-7.1838379999999993E-2</v>
      </c>
      <c r="T4934">
        <v>-4.5410159999999998E-2</v>
      </c>
      <c r="U4934">
        <v>3.0404049999999998</v>
      </c>
      <c r="V4934">
        <v>-6.5502930000000001E-2</v>
      </c>
      <c r="W4934">
        <v>0.15792809999999999</v>
      </c>
      <c r="X4934">
        <v>0.98527560000000003</v>
      </c>
      <c r="Y4934">
        <v>-2.6785219999999998E-2</v>
      </c>
      <c r="Z4934">
        <v>-1.4929019999999999E-2</v>
      </c>
      <c r="AA4934">
        <v>0.99952969999999997</v>
      </c>
      <c r="AB4934">
        <v>26</v>
      </c>
      <c r="AC4934">
        <v>-1.7490999999999901</v>
      </c>
      <c r="AD4934">
        <v>-1.105194792512</v>
      </c>
      <c r="AE4934">
        <v>73.748179999999905</v>
      </c>
      <c r="AF4934">
        <v>-1.9822468594768701</v>
      </c>
      <c r="AG4934">
        <v>-1.105194792512</v>
      </c>
      <c r="AH4934">
        <v>73.725721513552699</v>
      </c>
      <c r="AI4934">
        <v>90.858525121005599</v>
      </c>
      <c r="AJ4934">
        <v>91.540127664346301</v>
      </c>
      <c r="AK4934">
        <v>73.760645135703797</v>
      </c>
      <c r="AL4934">
        <v>80.913343519349297</v>
      </c>
      <c r="AM4934">
        <v>93.803531496984206</v>
      </c>
      <c r="AN4934">
        <v>0.99999996328177598</v>
      </c>
    </row>
    <row r="4935" spans="1:40" x14ac:dyDescent="0.3">
      <c r="A4935" t="str">
        <f>"20200111150135969"</f>
        <v>20200111150135969</v>
      </c>
      <c r="B4935" t="str">
        <f>"1578726095963493"</f>
        <v>1578726095963493</v>
      </c>
      <c r="C4935" t="s">
        <v>40</v>
      </c>
      <c r="D4935">
        <v>4.761431</v>
      </c>
      <c r="E4935">
        <v>0.51464399999999999</v>
      </c>
      <c r="F4935" t="s">
        <v>42</v>
      </c>
      <c r="G4935">
        <v>-189.31809999999999</v>
      </c>
      <c r="H4935" s="1">
        <v>-1.9058E-7</v>
      </c>
      <c r="I4935">
        <v>79.674899999999994</v>
      </c>
      <c r="J4935">
        <v>-187.85050000000001</v>
      </c>
      <c r="K4935">
        <v>1.1051979999999999</v>
      </c>
      <c r="L4935">
        <v>22.48837</v>
      </c>
      <c r="M4935">
        <v>3.0241370000000001E-3</v>
      </c>
      <c r="N4935">
        <v>0</v>
      </c>
      <c r="O4935">
        <v>0.99991569999999996</v>
      </c>
      <c r="P4935">
        <v>-6.2896610000000006E-2</v>
      </c>
      <c r="Q4935">
        <v>0.14397380000000001</v>
      </c>
      <c r="R4935">
        <v>0.98758069999999998</v>
      </c>
      <c r="S4935">
        <v>-7.7682500000000002E-2</v>
      </c>
      <c r="T4935">
        <v>-5.8524609999999998E-2</v>
      </c>
      <c r="U4935">
        <v>3.0420229999999999</v>
      </c>
      <c r="V4935">
        <v>-6.5915539999999995E-2</v>
      </c>
      <c r="W4935">
        <v>0.1564141</v>
      </c>
      <c r="X4935">
        <v>0.98548959999999997</v>
      </c>
      <c r="Y4935">
        <v>-2.8546700000000001E-2</v>
      </c>
      <c r="Z4935">
        <v>-1.922797E-2</v>
      </c>
      <c r="AA4935">
        <v>0.9994075</v>
      </c>
      <c r="AB4935">
        <v>26</v>
      </c>
      <c r="AC4935">
        <v>-1.46759999999997</v>
      </c>
      <c r="AD4935">
        <v>-1.1051981905799999</v>
      </c>
      <c r="AE4935">
        <v>57.186529999999898</v>
      </c>
      <c r="AF4935">
        <v>-1.6399348626792301</v>
      </c>
      <c r="AG4935">
        <v>-1.1051981905799999</v>
      </c>
      <c r="AH4935">
        <v>57.160494380658797</v>
      </c>
      <c r="AI4935">
        <v>91.107220432012795</v>
      </c>
      <c r="AJ4935">
        <v>91.643365399056506</v>
      </c>
      <c r="AK4935">
        <v>57.1946935233996</v>
      </c>
      <c r="AL4935">
        <v>81.001181286515305</v>
      </c>
      <c r="AM4935">
        <v>93.826590702388799</v>
      </c>
      <c r="AN4935">
        <v>0.99999999040023002</v>
      </c>
    </row>
    <row r="4936" spans="1:40" x14ac:dyDescent="0.3">
      <c r="A4936" t="str">
        <f>"20200111150135992"</f>
        <v>20200111150135992</v>
      </c>
      <c r="B4936" t="str">
        <f>"1578726095983013"</f>
        <v>1578726095983013</v>
      </c>
      <c r="C4936" t="s">
        <v>40</v>
      </c>
      <c r="D4936">
        <v>4.7385929999999998</v>
      </c>
      <c r="E4936">
        <v>0.51518439999999999</v>
      </c>
      <c r="F4936" t="s">
        <v>42</v>
      </c>
      <c r="G4936">
        <v>-189.12309999999999</v>
      </c>
      <c r="H4936" s="1">
        <v>-1.7950759999999999E-6</v>
      </c>
      <c r="I4936">
        <v>73.454560000000001</v>
      </c>
      <c r="J4936">
        <v>-187.84979999999999</v>
      </c>
      <c r="K4936">
        <v>1.1051930000000001</v>
      </c>
      <c r="L4936">
        <v>22.759830000000001</v>
      </c>
      <c r="M4936">
        <v>2.8732889999999998E-3</v>
      </c>
      <c r="N4936">
        <v>0</v>
      </c>
      <c r="O4936">
        <v>0.99991620000000003</v>
      </c>
      <c r="P4936">
        <v>-6.3442109999999996E-2</v>
      </c>
      <c r="Q4936">
        <v>0.1431077</v>
      </c>
      <c r="R4936">
        <v>0.98767169999999904</v>
      </c>
      <c r="S4936">
        <v>-7.5973509999999994E-2</v>
      </c>
      <c r="T4936">
        <v>-6.5976740000000006E-2</v>
      </c>
      <c r="U4936">
        <v>3.0425110000000002</v>
      </c>
      <c r="V4936">
        <v>-6.6312389999999999E-2</v>
      </c>
      <c r="W4936">
        <v>0.1555484</v>
      </c>
      <c r="X4936">
        <v>0.98560000000000003</v>
      </c>
      <c r="Y4936">
        <v>-2.7829530000000002E-2</v>
      </c>
      <c r="Z4936">
        <v>-2.1672159999999999E-2</v>
      </c>
      <c r="AA4936">
        <v>0.99937770000000004</v>
      </c>
      <c r="AB4936">
        <v>26</v>
      </c>
      <c r="AC4936">
        <v>-1.2733000000000001</v>
      </c>
      <c r="AD4936">
        <v>-1.1051947950759999</v>
      </c>
      <c r="AE4936">
        <v>50.69473</v>
      </c>
      <c r="AF4936">
        <v>-1.41829329381682</v>
      </c>
      <c r="AG4936">
        <v>-1.1051947950759999</v>
      </c>
      <c r="AH4936">
        <v>50.666795982536598</v>
      </c>
      <c r="AI4936">
        <v>91.2491055077884</v>
      </c>
      <c r="AJ4936">
        <v>91.603436787423206</v>
      </c>
      <c r="AK4936">
        <v>50.698690580115901</v>
      </c>
      <c r="AL4936">
        <v>81.051396959852894</v>
      </c>
      <c r="AM4936">
        <v>93.849130042535094</v>
      </c>
      <c r="AN4936">
        <v>0.99999999890503599</v>
      </c>
    </row>
    <row r="4937" spans="1:40" x14ac:dyDescent="0.3">
      <c r="A4937" t="str">
        <f>"20200111150136014"</f>
        <v>20200111150136014</v>
      </c>
      <c r="B4937" t="str">
        <f>"1578726096003509"</f>
        <v>1578726096003509</v>
      </c>
      <c r="C4937" t="s">
        <v>40</v>
      </c>
      <c r="D4937">
        <v>4.7221060000000001</v>
      </c>
      <c r="E4937">
        <v>0.51522879999999904</v>
      </c>
      <c r="F4937" t="s">
        <v>42</v>
      </c>
      <c r="G4937">
        <v>-188.97980000000001</v>
      </c>
      <c r="H4937" s="1">
        <v>-3.6824890000000001E-7</v>
      </c>
      <c r="I4937">
        <v>69.932490000000001</v>
      </c>
      <c r="J4937">
        <v>-187.8493</v>
      </c>
      <c r="K4937">
        <v>1.1051979999999999</v>
      </c>
      <c r="L4937">
        <v>23.017579999999999</v>
      </c>
      <c r="M4937">
        <v>2.7303969999999999E-3</v>
      </c>
      <c r="N4937">
        <v>0</v>
      </c>
      <c r="O4937">
        <v>0.99991660000000004</v>
      </c>
      <c r="P4937">
        <v>-6.4335290000000003E-2</v>
      </c>
      <c r="Q4937">
        <v>0.14274400000000001</v>
      </c>
      <c r="R4937">
        <v>0.9876665</v>
      </c>
      <c r="S4937">
        <v>-7.2891239999999996E-2</v>
      </c>
      <c r="T4937">
        <v>-7.1295620000000004E-2</v>
      </c>
      <c r="U4937">
        <v>3.043091</v>
      </c>
      <c r="V4937">
        <v>-6.7064460000000006E-2</v>
      </c>
      <c r="W4937">
        <v>0.155183399999999</v>
      </c>
      <c r="X4937">
        <v>0.98560669999999995</v>
      </c>
      <c r="Y4937">
        <v>-2.666934E-2</v>
      </c>
      <c r="Z4937">
        <v>-2.3414609999999999E-2</v>
      </c>
      <c r="AA4937">
        <v>0.99936999999999998</v>
      </c>
      <c r="AB4937">
        <v>26</v>
      </c>
      <c r="AC4937">
        <v>-1.1305000000000101</v>
      </c>
      <c r="AD4937">
        <v>-1.1051983682488999</v>
      </c>
      <c r="AE4937">
        <v>46.914909999999999</v>
      </c>
      <c r="AF4937">
        <v>-1.2579046445370901</v>
      </c>
      <c r="AG4937">
        <v>-1.1051983682488999</v>
      </c>
      <c r="AH4937">
        <v>46.885643756815199</v>
      </c>
      <c r="AI4937">
        <v>91.349852685951802</v>
      </c>
      <c r="AJ4937">
        <v>91.536831662629496</v>
      </c>
      <c r="AK4937">
        <v>46.915534506375501</v>
      </c>
      <c r="AL4937">
        <v>81.0725674315281</v>
      </c>
      <c r="AM4937">
        <v>93.892624416248196</v>
      </c>
      <c r="AN4937">
        <v>1.00000004825776</v>
      </c>
    </row>
    <row r="4938" spans="1:40" x14ac:dyDescent="0.3">
      <c r="A4938" t="str">
        <f>"20200111150136035"</f>
        <v>20200111150136035</v>
      </c>
      <c r="B4938" t="str">
        <f>"1578726096032789"</f>
        <v>1578726096032789</v>
      </c>
      <c r="C4938" t="s">
        <v>40</v>
      </c>
      <c r="D4938">
        <v>4.7209029999999998</v>
      </c>
      <c r="E4938">
        <v>0.51564160000000003</v>
      </c>
      <c r="F4938" t="s">
        <v>42</v>
      </c>
      <c r="G4938">
        <v>-188.9058</v>
      </c>
      <c r="H4938" s="1">
        <v>-2.8220369999999998E-6</v>
      </c>
      <c r="I4938">
        <v>65.758560000000003</v>
      </c>
      <c r="J4938">
        <v>-187.84880000000001</v>
      </c>
      <c r="K4938">
        <v>1.105202</v>
      </c>
      <c r="L4938">
        <v>23.262119999999999</v>
      </c>
      <c r="M4938">
        <v>2.5953920000000002E-3</v>
      </c>
      <c r="N4938">
        <v>0</v>
      </c>
      <c r="O4938">
        <v>0.99991699999999994</v>
      </c>
      <c r="P4938">
        <v>-6.5064810000000001E-2</v>
      </c>
      <c r="Q4938">
        <v>0.1430495</v>
      </c>
      <c r="R4938">
        <v>0.98757450000000002</v>
      </c>
      <c r="S4938">
        <v>-7.5241089999999997E-2</v>
      </c>
      <c r="T4938">
        <v>-7.8710680000000005E-2</v>
      </c>
      <c r="U4938">
        <v>3.0439449999999999</v>
      </c>
      <c r="V4938">
        <v>-6.7660380000000006E-2</v>
      </c>
      <c r="W4938">
        <v>0.15548770000000001</v>
      </c>
      <c r="X4938">
        <v>0.98551800000000001</v>
      </c>
      <c r="Y4938">
        <v>-2.7297200000000001E-2</v>
      </c>
      <c r="Z4938">
        <v>-2.5840579999999998E-2</v>
      </c>
      <c r="AA4938">
        <v>0.99929330000000005</v>
      </c>
      <c r="AB4938">
        <v>26</v>
      </c>
      <c r="AC4938">
        <v>-1.05699999999998</v>
      </c>
      <c r="AD4938">
        <v>-1.1052048220370001</v>
      </c>
      <c r="AE4938">
        <v>42.49644</v>
      </c>
      <c r="AF4938">
        <v>-1.16651164489296</v>
      </c>
      <c r="AG4938">
        <v>-1.1052048220370001</v>
      </c>
      <c r="AH4938">
        <v>42.4648493649293</v>
      </c>
      <c r="AI4938">
        <v>91.490301232182205</v>
      </c>
      <c r="AJ4938">
        <v>91.573522360187695</v>
      </c>
      <c r="AK4938">
        <v>42.495242777309301</v>
      </c>
      <c r="AL4938">
        <v>81.054918021231202</v>
      </c>
      <c r="AM4938">
        <v>93.927458011649804</v>
      </c>
      <c r="AN4938">
        <v>1.0000000400985101</v>
      </c>
    </row>
    <row r="4939" spans="1:40" x14ac:dyDescent="0.3">
      <c r="A4939" t="str">
        <f>"20200111150136059"</f>
        <v>20200111150136059</v>
      </c>
      <c r="B4939" t="str">
        <f>"1578726096053285"</f>
        <v>1578726096053285</v>
      </c>
      <c r="C4939" t="s">
        <v>40</v>
      </c>
      <c r="D4939">
        <v>4.8111810000000004</v>
      </c>
      <c r="E4939">
        <v>0.51583299999999999</v>
      </c>
      <c r="F4939" t="s">
        <v>42</v>
      </c>
      <c r="G4939">
        <v>-188.86429999999999</v>
      </c>
      <c r="H4939" s="1">
        <v>-2.4034020000000002E-6</v>
      </c>
      <c r="I4939">
        <v>64.765559999999994</v>
      </c>
      <c r="J4939">
        <v>-187.84829999999999</v>
      </c>
      <c r="K4939">
        <v>1.1052040000000001</v>
      </c>
      <c r="L4939">
        <v>23.526119999999999</v>
      </c>
      <c r="M4939">
        <v>2.4496779999999998E-3</v>
      </c>
      <c r="N4939">
        <v>0</v>
      </c>
      <c r="O4939">
        <v>0.99991730000000001</v>
      </c>
      <c r="P4939">
        <v>-6.5593780000000004E-2</v>
      </c>
      <c r="Q4939">
        <v>0.14358119999999999</v>
      </c>
      <c r="R4939">
        <v>0.98746230000000002</v>
      </c>
      <c r="S4939">
        <v>-7.4493409999999996E-2</v>
      </c>
      <c r="T4939">
        <v>-8.1074950000000007E-2</v>
      </c>
      <c r="U4939">
        <v>3.0445859999999998</v>
      </c>
      <c r="V4939">
        <v>-6.8045149999999999E-2</v>
      </c>
      <c r="W4939">
        <v>0.15601660000000001</v>
      </c>
      <c r="X4939">
        <v>0.9854079</v>
      </c>
      <c r="Y4939">
        <v>-2.6900589999999999E-2</v>
      </c>
      <c r="Z4939">
        <v>-2.6610869999999998E-2</v>
      </c>
      <c r="AA4939">
        <v>0.9992839</v>
      </c>
      <c r="AB4939">
        <v>26</v>
      </c>
      <c r="AC4939">
        <v>-1.01599999999999</v>
      </c>
      <c r="AD4939">
        <v>-1.1052064034019999</v>
      </c>
      <c r="AE4939">
        <v>41.239439999999902</v>
      </c>
      <c r="AF4939">
        <v>-1.1162271347660599</v>
      </c>
      <c r="AG4939">
        <v>-1.1052064034019999</v>
      </c>
      <c r="AH4939">
        <v>41.207248996953297</v>
      </c>
      <c r="AI4939">
        <v>91.535780320990796</v>
      </c>
      <c r="AJ4939">
        <v>91.551655825965</v>
      </c>
      <c r="AK4939">
        <v>41.237177572033502</v>
      </c>
      <c r="AL4939">
        <v>81.024239762786195</v>
      </c>
      <c r="AM4939">
        <v>93.950162034132603</v>
      </c>
      <c r="AN4939">
        <v>1.00000002564824</v>
      </c>
    </row>
    <row r="4940" spans="1:40" x14ac:dyDescent="0.3">
      <c r="A4940" t="str">
        <f>"20200111150136082"</f>
        <v>20200111150136082</v>
      </c>
      <c r="B4940" t="str">
        <f>"1578726096072805"</f>
        <v>1578726096072805</v>
      </c>
      <c r="C4940" t="s">
        <v>40</v>
      </c>
      <c r="D4940">
        <v>4.7524189999999997</v>
      </c>
      <c r="E4940">
        <v>0.51595869999999999</v>
      </c>
      <c r="F4940" t="s">
        <v>42</v>
      </c>
      <c r="G4940">
        <v>-188.86089999999999</v>
      </c>
      <c r="H4940" s="1">
        <v>-2.2927570000000002E-6</v>
      </c>
      <c r="I4940">
        <v>64.506240000000005</v>
      </c>
      <c r="J4940">
        <v>-187.84790000000001</v>
      </c>
      <c r="K4940">
        <v>1.105208</v>
      </c>
      <c r="L4940">
        <v>23.791899999999998</v>
      </c>
      <c r="M4940">
        <v>2.3025630000000001E-3</v>
      </c>
      <c r="N4940">
        <v>0</v>
      </c>
      <c r="O4940">
        <v>0.99991770000000002</v>
      </c>
      <c r="P4940">
        <v>-6.6036399999999995E-2</v>
      </c>
      <c r="Q4940">
        <v>0.14409459999999999</v>
      </c>
      <c r="R4940">
        <v>0.98735810000000002</v>
      </c>
      <c r="S4940">
        <v>-7.5241089999999997E-2</v>
      </c>
      <c r="T4940">
        <v>-8.2122799999999996E-2</v>
      </c>
      <c r="U4940">
        <v>3.0450439999999999</v>
      </c>
      <c r="V4940">
        <v>-6.8342630000000001E-2</v>
      </c>
      <c r="W4940">
        <v>0.1565281</v>
      </c>
      <c r="X4940">
        <v>0.98530609999999996</v>
      </c>
      <c r="Y4940">
        <v>-2.6994830000000001E-2</v>
      </c>
      <c r="Z4940">
        <v>-2.6950399999999999E-2</v>
      </c>
      <c r="AA4940">
        <v>0.99927220000000005</v>
      </c>
      <c r="AB4940">
        <v>26</v>
      </c>
      <c r="AC4940">
        <v>-1.0129999999999699</v>
      </c>
      <c r="AD4940">
        <v>-1.105210292757</v>
      </c>
      <c r="AE4940">
        <v>40.71434</v>
      </c>
      <c r="AF4940">
        <v>-1.10593767858407</v>
      </c>
      <c r="AG4940">
        <v>-1.105210292757</v>
      </c>
      <c r="AH4940">
        <v>40.681940327986602</v>
      </c>
      <c r="AI4940">
        <v>91.555602908144095</v>
      </c>
      <c r="AJ4940">
        <v>91.557201014930897</v>
      </c>
      <c r="AK4940">
        <v>40.7119743661492</v>
      </c>
      <c r="AL4940">
        <v>80.994567615431293</v>
      </c>
      <c r="AM4940">
        <v>93.967784929148294</v>
      </c>
      <c r="AN4940">
        <v>0.99999993593106595</v>
      </c>
    </row>
    <row r="4941" spans="1:40" x14ac:dyDescent="0.3">
      <c r="A4941" t="str">
        <f>"20200111150136105"</f>
        <v>20200111150136105</v>
      </c>
      <c r="B4941" t="str">
        <f>"1578726096093300"</f>
        <v>1578726096093300</v>
      </c>
      <c r="C4941" t="s">
        <v>40</v>
      </c>
      <c r="D4941">
        <v>4.6971499999999997</v>
      </c>
      <c r="E4941">
        <v>0.51597420000000005</v>
      </c>
      <c r="F4941" t="s">
        <v>42</v>
      </c>
      <c r="G4941">
        <v>-188.84020000000001</v>
      </c>
      <c r="H4941" s="1">
        <v>-1.9757189999999999E-6</v>
      </c>
      <c r="I4941">
        <v>63.758670000000002</v>
      </c>
      <c r="J4941">
        <v>-187.84739999999999</v>
      </c>
      <c r="K4941">
        <v>1.1052090000000001</v>
      </c>
      <c r="L4941">
        <v>24.056239999999999</v>
      </c>
      <c r="M4941">
        <v>2.1562790000000001E-3</v>
      </c>
      <c r="N4941">
        <v>0</v>
      </c>
      <c r="O4941">
        <v>0.99991799999999997</v>
      </c>
      <c r="P4941">
        <v>-6.6331360000000006E-2</v>
      </c>
      <c r="Q4941">
        <v>0.14451459999999999</v>
      </c>
      <c r="R4941">
        <v>0.98727690000000001</v>
      </c>
      <c r="S4941">
        <v>-7.5622560000000005E-2</v>
      </c>
      <c r="T4941">
        <v>-8.4222199999999997E-2</v>
      </c>
      <c r="U4941">
        <v>3.0456539999999999</v>
      </c>
      <c r="V4941">
        <v>-6.8492579999999997E-2</v>
      </c>
      <c r="W4941">
        <v>0.15694629999999901</v>
      </c>
      <c r="X4941">
        <v>0.98522929999999997</v>
      </c>
      <c r="Y4941">
        <v>-2.6968249999999999E-2</v>
      </c>
      <c r="Z4941">
        <v>-2.7633290000000001E-2</v>
      </c>
      <c r="AA4941">
        <v>0.99925430000000004</v>
      </c>
      <c r="AB4941">
        <v>26</v>
      </c>
      <c r="AC4941">
        <v>-0.992800000000016</v>
      </c>
      <c r="AD4941">
        <v>-1.1052109757189901</v>
      </c>
      <c r="AE4941">
        <v>39.7024299999999</v>
      </c>
      <c r="AF4941">
        <v>-1.07757951433355</v>
      </c>
      <c r="AG4941">
        <v>-1.1052109757189901</v>
      </c>
      <c r="AH4941">
        <v>39.669475349456903</v>
      </c>
      <c r="AI4941">
        <v>91.595287449372904</v>
      </c>
      <c r="AJ4941">
        <v>91.5559968635838</v>
      </c>
      <c r="AK4941">
        <v>39.699495505758399</v>
      </c>
      <c r="AL4941">
        <v>80.970307919594305</v>
      </c>
      <c r="AM4941">
        <v>93.976771691885602</v>
      </c>
      <c r="AN4941">
        <v>1.0000000740886099</v>
      </c>
    </row>
    <row r="4942" spans="1:40" x14ac:dyDescent="0.3">
      <c r="A4942" t="str">
        <f>"20200111150136129"</f>
        <v>20200111150136129</v>
      </c>
      <c r="B4942" t="str">
        <f>"1578726096123557"</f>
        <v>1578726096123557</v>
      </c>
      <c r="C4942" t="s">
        <v>40</v>
      </c>
      <c r="D4942">
        <v>4.6699739999999998</v>
      </c>
      <c r="E4942">
        <v>0.51546380000000003</v>
      </c>
      <c r="F4942" t="s">
        <v>42</v>
      </c>
      <c r="G4942">
        <v>-188.8289</v>
      </c>
      <c r="H4942" s="1">
        <v>-1.733239E-6</v>
      </c>
      <c r="I4942">
        <v>63.188780000000001</v>
      </c>
      <c r="J4942">
        <v>-187.84710000000001</v>
      </c>
      <c r="K4942">
        <v>1.1052139999999999</v>
      </c>
      <c r="L4942">
        <v>24.323550000000001</v>
      </c>
      <c r="M4942">
        <v>2.0084220000000002E-3</v>
      </c>
      <c r="N4942">
        <v>0</v>
      </c>
      <c r="O4942">
        <v>0.99991830000000004</v>
      </c>
      <c r="P4942">
        <v>-6.6070030000000002E-2</v>
      </c>
      <c r="Q4942">
        <v>0.14468399999999901</v>
      </c>
      <c r="R4942">
        <v>0.98726959999999997</v>
      </c>
      <c r="S4942">
        <v>-7.6400759999999998E-2</v>
      </c>
      <c r="T4942">
        <v>-8.6030599999999999E-2</v>
      </c>
      <c r="U4942">
        <v>3.0461119999999999</v>
      </c>
      <c r="V4942">
        <v>-6.8085300000000001E-2</v>
      </c>
      <c r="W4942">
        <v>0.1571149</v>
      </c>
      <c r="X4942">
        <v>0.98523059999999996</v>
      </c>
      <c r="Y4942">
        <v>-2.707143E-2</v>
      </c>
      <c r="Z4942">
        <v>-2.822181E-2</v>
      </c>
      <c r="AA4942">
        <v>0.99923499999999998</v>
      </c>
      <c r="AB4942">
        <v>26</v>
      </c>
      <c r="AC4942">
        <v>-0.98179999999999201</v>
      </c>
      <c r="AD4942">
        <v>-1.105215733239</v>
      </c>
      <c r="AE4942">
        <v>38.865229999999997</v>
      </c>
      <c r="AF4942">
        <v>-1.0590061818810499</v>
      </c>
      <c r="AG4942">
        <v>-1.105215733239</v>
      </c>
      <c r="AH4942">
        <v>38.831797470185897</v>
      </c>
      <c r="AI4942">
        <v>91.629684801440703</v>
      </c>
      <c r="AJ4942">
        <v>91.562161753945404</v>
      </c>
      <c r="AK4942">
        <v>38.861954282766</v>
      </c>
      <c r="AL4942">
        <v>80.960525985475101</v>
      </c>
      <c r="AM4942">
        <v>93.953194465451404</v>
      </c>
      <c r="AN4942">
        <v>1.0000000175272199</v>
      </c>
    </row>
    <row r="4943" spans="1:40" x14ac:dyDescent="0.3">
      <c r="A4943" t="str">
        <f>"20200111150136148"</f>
        <v>20200111150136148</v>
      </c>
      <c r="B4943" t="str">
        <f>"1578726096143077"</f>
        <v>1578726096143077</v>
      </c>
      <c r="C4943" t="s">
        <v>40</v>
      </c>
      <c r="D4943">
        <v>4.6819610000000003</v>
      </c>
      <c r="E4943">
        <v>0.51528569999999996</v>
      </c>
      <c r="F4943" t="s">
        <v>42</v>
      </c>
      <c r="G4943">
        <v>-188.8348</v>
      </c>
      <c r="H4943" s="1">
        <v>-1.256478E-6</v>
      </c>
      <c r="I4943">
        <v>62.079859999999996</v>
      </c>
      <c r="J4943">
        <v>-187.8468</v>
      </c>
      <c r="K4943">
        <v>1.1052139999999999</v>
      </c>
      <c r="L4943">
        <v>24.558990000000001</v>
      </c>
      <c r="M4943">
        <v>1.8781799999999999E-3</v>
      </c>
      <c r="N4943">
        <v>0</v>
      </c>
      <c r="O4943">
        <v>0.99991859999999999</v>
      </c>
      <c r="P4943">
        <v>-6.6035960000000005E-2</v>
      </c>
      <c r="Q4943">
        <v>0.1446692</v>
      </c>
      <c r="R4943">
        <v>0.98727410000000004</v>
      </c>
      <c r="S4943">
        <v>-7.9696660000000002E-2</v>
      </c>
      <c r="T4943">
        <v>-8.9175699999999997E-2</v>
      </c>
      <c r="U4943">
        <v>3.0464169999999999</v>
      </c>
      <c r="V4943">
        <v>-6.7922930000000006E-2</v>
      </c>
      <c r="W4943">
        <v>0.1570993</v>
      </c>
      <c r="X4943">
        <v>0.98524429999999996</v>
      </c>
      <c r="Y4943">
        <v>-2.8018290000000001E-2</v>
      </c>
      <c r="Z4943">
        <v>-2.9248969999999999E-2</v>
      </c>
      <c r="AA4943">
        <v>0.99917940000000005</v>
      </c>
      <c r="AB4943">
        <v>26</v>
      </c>
      <c r="AC4943">
        <v>-0.98799999999999899</v>
      </c>
      <c r="AD4943">
        <v>-1.105215256478</v>
      </c>
      <c r="AE4943">
        <v>37.520870000000002</v>
      </c>
      <c r="AF4943">
        <v>-1.0575578557998999</v>
      </c>
      <c r="AG4943">
        <v>-1.105215256478</v>
      </c>
      <c r="AH4943">
        <v>37.486445191162098</v>
      </c>
      <c r="AI4943">
        <v>91.6880946609147</v>
      </c>
      <c r="AJ4943">
        <v>91.615985019729294</v>
      </c>
      <c r="AK4943">
        <v>37.517642549226302</v>
      </c>
      <c r="AL4943">
        <v>80.961431085027101</v>
      </c>
      <c r="AM4943">
        <v>93.943741995889695</v>
      </c>
      <c r="AN4943">
        <v>1.0000000225813801</v>
      </c>
    </row>
    <row r="4944" spans="1:40" x14ac:dyDescent="0.3">
      <c r="A4944" t="str">
        <f>"20200111150136170"</f>
        <v>20200111150136170</v>
      </c>
      <c r="B4944" t="str">
        <f>"1578726096163573"</f>
        <v>1578726096163573</v>
      </c>
      <c r="C4944" t="s">
        <v>40</v>
      </c>
      <c r="D4944">
        <v>4.6732069999999997</v>
      </c>
      <c r="E4944">
        <v>0.51528859999999999</v>
      </c>
      <c r="F4944" t="s">
        <v>42</v>
      </c>
      <c r="G4944">
        <v>-188.8263</v>
      </c>
      <c r="H4944" s="1">
        <v>-9.2444280000000003E-7</v>
      </c>
      <c r="I4944">
        <v>61.302379999999999</v>
      </c>
      <c r="J4944">
        <v>-187.84649999999999</v>
      </c>
      <c r="K4944">
        <v>1.1052109999999999</v>
      </c>
      <c r="L4944">
        <v>24.810420000000001</v>
      </c>
      <c r="M4944">
        <v>1.739123E-3</v>
      </c>
      <c r="N4944">
        <v>0</v>
      </c>
      <c r="O4944">
        <v>0.99991890000000005</v>
      </c>
      <c r="P4944">
        <v>-6.5892350000000002E-2</v>
      </c>
      <c r="Q4944">
        <v>0.14471779999999901</v>
      </c>
      <c r="R4944">
        <v>0.98727659999999995</v>
      </c>
      <c r="S4944">
        <v>-8.1222530000000001E-2</v>
      </c>
      <c r="T4944">
        <v>-9.1641429999999996E-2</v>
      </c>
      <c r="U4944">
        <v>3.0466609999999998</v>
      </c>
      <c r="V4944">
        <v>-6.764191E-2</v>
      </c>
      <c r="W4944">
        <v>0.15714739999999999</v>
      </c>
      <c r="X4944">
        <v>0.98525600000000002</v>
      </c>
      <c r="Y4944">
        <v>-2.8376620000000002E-2</v>
      </c>
      <c r="Z4944">
        <v>-3.0054239999999999E-2</v>
      </c>
      <c r="AA4944">
        <v>0.99914539999999996</v>
      </c>
      <c r="AB4944">
        <v>26</v>
      </c>
      <c r="AC4944">
        <v>-0.979800000000011</v>
      </c>
      <c r="AD4944">
        <v>-1.1052119244428</v>
      </c>
      <c r="AE4944">
        <v>36.491959999999999</v>
      </c>
      <c r="AF4944">
        <v>-1.04231218437339</v>
      </c>
      <c r="AG4944">
        <v>-1.1052119244428</v>
      </c>
      <c r="AH4944">
        <v>36.456784087307099</v>
      </c>
      <c r="AI4944">
        <v>91.735719448444002</v>
      </c>
      <c r="AJ4944">
        <v>91.637660223633205</v>
      </c>
      <c r="AK4944">
        <v>36.488423014377503</v>
      </c>
      <c r="AL4944">
        <v>80.958640832066294</v>
      </c>
      <c r="AM4944">
        <v>93.927430085222397</v>
      </c>
      <c r="AN4944">
        <v>1.0000000594256</v>
      </c>
    </row>
    <row r="4945" spans="1:40" x14ac:dyDescent="0.3">
      <c r="A4945" t="str">
        <f>"20200111150136192"</f>
        <v>20200111150136192</v>
      </c>
      <c r="B4945" t="str">
        <f>"1578726096183099"</f>
        <v>1578726096183099</v>
      </c>
      <c r="C4945" t="s">
        <v>40</v>
      </c>
      <c r="D4945">
        <v>4.5490389999999996</v>
      </c>
      <c r="E4945">
        <v>0.51518090000000005</v>
      </c>
      <c r="F4945" t="s">
        <v>42</v>
      </c>
      <c r="G4945">
        <v>-188.80199999999999</v>
      </c>
      <c r="H4945" s="1">
        <v>-7.0271429999999995E-7</v>
      </c>
      <c r="I4945">
        <v>60.775449999999999</v>
      </c>
      <c r="J4945">
        <v>-187.84620000000001</v>
      </c>
      <c r="K4945">
        <v>1.105208</v>
      </c>
      <c r="L4945">
        <v>25.073329999999999</v>
      </c>
      <c r="M4945">
        <v>1.5937099999999999E-3</v>
      </c>
      <c r="N4945">
        <v>0</v>
      </c>
      <c r="O4945">
        <v>0.99991909999999895</v>
      </c>
      <c r="P4945">
        <v>-6.5503149999999996E-2</v>
      </c>
      <c r="Q4945">
        <v>0.1443642</v>
      </c>
      <c r="R4945">
        <v>0.98735419999999996</v>
      </c>
      <c r="S4945">
        <v>-8.094788E-2</v>
      </c>
      <c r="T4945">
        <v>-9.3634720000000005E-2</v>
      </c>
      <c r="U4945">
        <v>3.0469970000000002</v>
      </c>
      <c r="V4945">
        <v>-6.710874E-2</v>
      </c>
      <c r="W4945">
        <v>0.15679419999999999</v>
      </c>
      <c r="X4945">
        <v>0.98534869999999997</v>
      </c>
      <c r="Y4945">
        <v>-2.8137789999999999E-2</v>
      </c>
      <c r="Z4945">
        <v>-3.070411E-2</v>
      </c>
      <c r="AA4945">
        <v>0.99913240000000003</v>
      </c>
      <c r="AB4945">
        <v>26</v>
      </c>
      <c r="AC4945">
        <v>-0.95580000000000997</v>
      </c>
      <c r="AD4945">
        <v>-1.1052087027143001</v>
      </c>
      <c r="AE4945">
        <v>35.702120000000001</v>
      </c>
      <c r="AF4945">
        <v>-1.01173329525303</v>
      </c>
      <c r="AG4945">
        <v>-1.1052087027143001</v>
      </c>
      <c r="AH4945">
        <v>35.666396705777998</v>
      </c>
      <c r="AI4945">
        <v>91.774165771702002</v>
      </c>
      <c r="AJ4945">
        <v>91.624848945591495</v>
      </c>
      <c r="AK4945">
        <v>35.697856301341297</v>
      </c>
      <c r="AL4945">
        <v>80.979131474668705</v>
      </c>
      <c r="AM4945">
        <v>93.896203412552495</v>
      </c>
      <c r="AN4945">
        <v>1.0000000323648499</v>
      </c>
    </row>
    <row r="4946" spans="1:40" x14ac:dyDescent="0.3">
      <c r="A4946" t="str">
        <f>"20200111150136216"</f>
        <v>20200111150136216</v>
      </c>
      <c r="B4946" t="str">
        <f>"1578726096213349"</f>
        <v>1578726096213349</v>
      </c>
      <c r="C4946" t="s">
        <v>40</v>
      </c>
      <c r="D4946">
        <v>4.5162440000000004</v>
      </c>
      <c r="E4946">
        <v>0.51476339999999998</v>
      </c>
      <c r="F4946" t="s">
        <v>42</v>
      </c>
      <c r="G4946">
        <v>-188.76179999999999</v>
      </c>
      <c r="H4946" s="1">
        <v>-3.3706360000000001E-7</v>
      </c>
      <c r="I4946">
        <v>59.670419999999901</v>
      </c>
      <c r="J4946">
        <v>-187.846</v>
      </c>
      <c r="K4946">
        <v>1.1052040000000001</v>
      </c>
      <c r="L4946">
        <v>25.334230000000002</v>
      </c>
      <c r="M4946">
        <v>1.4495179999999999E-3</v>
      </c>
      <c r="N4946">
        <v>0</v>
      </c>
      <c r="O4946">
        <v>0.99991940000000001</v>
      </c>
      <c r="P4946">
        <v>-6.5288150000000003E-2</v>
      </c>
      <c r="Q4946">
        <v>0.1436933</v>
      </c>
      <c r="R4946">
        <v>0.98746630000000002</v>
      </c>
      <c r="S4946">
        <v>-8.0642699999999998E-2</v>
      </c>
      <c r="T4946">
        <v>-9.7346429999999998E-2</v>
      </c>
      <c r="U4946">
        <v>3.0473020000000002</v>
      </c>
      <c r="V4946">
        <v>-6.6751770000000002E-2</v>
      </c>
      <c r="W4946">
        <v>0.15612400000000001</v>
      </c>
      <c r="X4946">
        <v>0.98547940000000001</v>
      </c>
      <c r="Y4946">
        <v>-2.7890000000000002E-2</v>
      </c>
      <c r="Z4946">
        <v>-3.1916989999999999E-2</v>
      </c>
      <c r="AA4946">
        <v>0.99910129999999997</v>
      </c>
      <c r="AB4946">
        <v>26</v>
      </c>
      <c r="AC4946">
        <v>-0.91580000000001804</v>
      </c>
      <c r="AD4946">
        <v>-1.1052043370636</v>
      </c>
      <c r="AE4946">
        <v>34.336189999999903</v>
      </c>
      <c r="AF4946">
        <v>-0.96457528439897</v>
      </c>
      <c r="AG4946">
        <v>-1.1052043370636</v>
      </c>
      <c r="AH4946">
        <v>34.299315783686097</v>
      </c>
      <c r="AI4946">
        <v>91.8448368728547</v>
      </c>
      <c r="AJ4946">
        <v>91.610863924255</v>
      </c>
      <c r="AK4946">
        <v>34.330670621689798</v>
      </c>
      <c r="AL4946">
        <v>81.018010301555194</v>
      </c>
      <c r="AM4946">
        <v>93.875029320807599</v>
      </c>
      <c r="AN4946">
        <v>1.0000000749992399</v>
      </c>
    </row>
    <row r="4947" spans="1:40" x14ac:dyDescent="0.3">
      <c r="A4947" t="str">
        <f>"20200111150136237"</f>
        <v>20200111150136237</v>
      </c>
      <c r="B4947" t="str">
        <f>"1578726096232869"</f>
        <v>1578726096232869</v>
      </c>
      <c r="C4947" t="s">
        <v>40</v>
      </c>
      <c r="D4947">
        <v>4.5203870000000004</v>
      </c>
      <c r="E4947">
        <v>0.51447330000000002</v>
      </c>
      <c r="F4947" t="s">
        <v>42</v>
      </c>
      <c r="G4947">
        <v>-188.76339999999999</v>
      </c>
      <c r="H4947" s="1">
        <v>-4.1680090000000002E-6</v>
      </c>
      <c r="I4947">
        <v>58.837169999999901</v>
      </c>
      <c r="J4947">
        <v>-187.8458</v>
      </c>
      <c r="K4947">
        <v>1.105202</v>
      </c>
      <c r="L4947">
        <v>25.583400000000001</v>
      </c>
      <c r="M4947">
        <v>1.3118989999999901E-3</v>
      </c>
      <c r="N4947">
        <v>0</v>
      </c>
      <c r="O4947">
        <v>0.99991960000000002</v>
      </c>
      <c r="P4947">
        <v>-6.541843E-2</v>
      </c>
      <c r="Q4947">
        <v>0.14249970000000001</v>
      </c>
      <c r="R4947">
        <v>0.98763060000000003</v>
      </c>
      <c r="S4947">
        <v>-8.3435060000000005E-2</v>
      </c>
      <c r="T4947">
        <v>-0.1005216</v>
      </c>
      <c r="U4947">
        <v>3.04718</v>
      </c>
      <c r="V4947">
        <v>-6.6746130000000001E-2</v>
      </c>
      <c r="W4947">
        <v>0.15493180000000001</v>
      </c>
      <c r="X4947">
        <v>0.98566779999999998</v>
      </c>
      <c r="Y4947">
        <v>-2.8667430000000001E-2</v>
      </c>
      <c r="Z4947">
        <v>-3.2957470000000003E-2</v>
      </c>
      <c r="AA4947">
        <v>0.99904559999999998</v>
      </c>
      <c r="AB4947">
        <v>26</v>
      </c>
      <c r="AC4947">
        <v>-0.91759999999999298</v>
      </c>
      <c r="AD4947">
        <v>-1.105206168009</v>
      </c>
      <c r="AE4947">
        <v>33.253769999999903</v>
      </c>
      <c r="AF4947">
        <v>-0.96016847346340395</v>
      </c>
      <c r="AG4947">
        <v>-1.105206168009</v>
      </c>
      <c r="AH4947">
        <v>33.215875163008498</v>
      </c>
      <c r="AI4947">
        <v>91.904929013664301</v>
      </c>
      <c r="AJ4947">
        <v>91.655783123552993</v>
      </c>
      <c r="AK4947">
        <v>33.248124263119003</v>
      </c>
      <c r="AL4947">
        <v>81.087158743287603</v>
      </c>
      <c r="AM4947">
        <v>93.873964555382599</v>
      </c>
      <c r="AN4947">
        <v>0.99999996023902704</v>
      </c>
    </row>
    <row r="4948" spans="1:40" x14ac:dyDescent="0.3">
      <c r="A4948" t="str">
        <f>"20200111150136260"</f>
        <v>20200111150136260</v>
      </c>
      <c r="B4948" t="str">
        <f>"1578726096253366"</f>
        <v>1578726096253366</v>
      </c>
      <c r="C4948" t="s">
        <v>40</v>
      </c>
      <c r="D4948">
        <v>4.5421239999999896</v>
      </c>
      <c r="E4948">
        <v>0.51409659999999902</v>
      </c>
      <c r="F4948" t="s">
        <v>42</v>
      </c>
      <c r="G4948">
        <v>-188.73310000000001</v>
      </c>
      <c r="H4948" s="1">
        <v>-3.4643789999999999E-6</v>
      </c>
      <c r="I4948">
        <v>57.184469999999997</v>
      </c>
      <c r="J4948">
        <v>-187.84569999999999</v>
      </c>
      <c r="K4948">
        <v>1.1052040000000001</v>
      </c>
      <c r="L4948">
        <v>25.841460000000001</v>
      </c>
      <c r="M4948">
        <v>1.1696949999999999E-3</v>
      </c>
      <c r="N4948">
        <v>0</v>
      </c>
      <c r="O4948">
        <v>0.99991980000000003</v>
      </c>
      <c r="P4948">
        <v>-6.5551880000000007E-2</v>
      </c>
      <c r="Q4948">
        <v>0.14193610000000001</v>
      </c>
      <c r="R4948">
        <v>0.987703</v>
      </c>
      <c r="S4948">
        <v>-8.5556030000000005E-2</v>
      </c>
      <c r="T4948">
        <v>-0.1065743</v>
      </c>
      <c r="U4948">
        <v>3.047272</v>
      </c>
      <c r="V4948">
        <v>-6.6738919999999993E-2</v>
      </c>
      <c r="W4948">
        <v>0.1543688</v>
      </c>
      <c r="X4948">
        <v>0.98575659999999998</v>
      </c>
      <c r="Y4948">
        <v>-2.9217389999999999E-2</v>
      </c>
      <c r="Z4948">
        <v>-3.4937940000000001E-2</v>
      </c>
      <c r="AA4948">
        <v>0.99896229999999997</v>
      </c>
      <c r="AB4948">
        <v>26</v>
      </c>
      <c r="AC4948">
        <v>-0.88740000000001296</v>
      </c>
      <c r="AD4948">
        <v>-1.105207464379</v>
      </c>
      <c r="AE4948">
        <v>31.34301</v>
      </c>
      <c r="AF4948">
        <v>-0.92291744620288296</v>
      </c>
      <c r="AG4948">
        <v>-1.105207464379</v>
      </c>
      <c r="AH4948">
        <v>31.3030598516944</v>
      </c>
      <c r="AI4948">
        <v>92.021206886726702</v>
      </c>
      <c r="AJ4948">
        <v>91.688779330563193</v>
      </c>
      <c r="AK4948">
        <v>31.336158287680799</v>
      </c>
      <c r="AL4948">
        <v>81.119808914238405</v>
      </c>
      <c r="AM4948">
        <v>93.873199479937696</v>
      </c>
      <c r="AN4948">
        <v>0.99999994214988097</v>
      </c>
    </row>
    <row r="4949" spans="1:40" x14ac:dyDescent="0.3">
      <c r="A4949" t="str">
        <f>"20200111150136282"</f>
        <v>20200111150136282</v>
      </c>
      <c r="B4949" t="str">
        <f>"1578726096272885"</f>
        <v>1578726096272885</v>
      </c>
      <c r="C4949" t="s">
        <v>40</v>
      </c>
      <c r="D4949">
        <v>4.463997</v>
      </c>
      <c r="E4949">
        <v>0.51374039999999999</v>
      </c>
      <c r="F4949" t="s">
        <v>42</v>
      </c>
      <c r="G4949">
        <v>-188.75069999999999</v>
      </c>
      <c r="H4949" s="1">
        <v>-3.3631780000000001E-6</v>
      </c>
      <c r="I4949">
        <v>56.955829999999999</v>
      </c>
      <c r="J4949">
        <v>-187.84559999999999</v>
      </c>
      <c r="K4949">
        <v>1.1052040000000001</v>
      </c>
      <c r="L4949">
        <v>26.099789999999999</v>
      </c>
      <c r="M4949">
        <v>1.0271880000000001E-3</v>
      </c>
      <c r="N4949">
        <v>0</v>
      </c>
      <c r="O4949">
        <v>0.99992000000000003</v>
      </c>
      <c r="P4949">
        <v>-6.5807569999999996E-2</v>
      </c>
      <c r="Q4949">
        <v>0.14222570000000001</v>
      </c>
      <c r="R4949">
        <v>0.98764430000000003</v>
      </c>
      <c r="S4949">
        <v>-8.8623049999999995E-2</v>
      </c>
      <c r="T4949">
        <v>-0.10823290000000001</v>
      </c>
      <c r="U4949">
        <v>3.0470280000000001</v>
      </c>
      <c r="V4949">
        <v>-6.6853850000000006E-2</v>
      </c>
      <c r="W4949">
        <v>0.15465670000000001</v>
      </c>
      <c r="X4949">
        <v>0.98570380000000002</v>
      </c>
      <c r="Y4949">
        <v>-3.0081299999999998E-2</v>
      </c>
      <c r="Z4949">
        <v>-3.5482859999999998E-2</v>
      </c>
      <c r="AA4949">
        <v>0.99891750000000001</v>
      </c>
      <c r="AB4949">
        <v>26</v>
      </c>
      <c r="AC4949">
        <v>-0.90510000000000401</v>
      </c>
      <c r="AD4949">
        <v>-1.1052073631779999</v>
      </c>
      <c r="AE4949">
        <v>30.85604</v>
      </c>
      <c r="AF4949">
        <v>-0.93559770943689702</v>
      </c>
      <c r="AG4949">
        <v>-1.1052073631779999</v>
      </c>
      <c r="AH4949">
        <v>30.815593293132999</v>
      </c>
      <c r="AI4949">
        <v>92.053098833605702</v>
      </c>
      <c r="AJ4949">
        <v>91.739033137265196</v>
      </c>
      <c r="AK4949">
        <v>30.849596697482198</v>
      </c>
      <c r="AL4949">
        <v>81.1031139806787</v>
      </c>
      <c r="AM4949">
        <v>93.880056291758194</v>
      </c>
      <c r="AN4949">
        <v>1.0000000567245699</v>
      </c>
    </row>
    <row r="4950" spans="1:40" x14ac:dyDescent="0.3">
      <c r="A4950" t="str">
        <f>"20200111150136305"</f>
        <v>20200111150136305</v>
      </c>
      <c r="B4950" t="str">
        <f>"1578726096293380"</f>
        <v>1578726096293380</v>
      </c>
      <c r="C4950" t="s">
        <v>40</v>
      </c>
      <c r="D4950">
        <v>4.4552740000000002</v>
      </c>
      <c r="E4950">
        <v>0.513351</v>
      </c>
      <c r="F4950" t="s">
        <v>42</v>
      </c>
      <c r="G4950">
        <v>-188.77889999999999</v>
      </c>
      <c r="H4950" s="1">
        <v>-3.3362660000000001E-6</v>
      </c>
      <c r="I4950">
        <v>56.9047699999999</v>
      </c>
      <c r="J4950">
        <v>-187.84549999999999</v>
      </c>
      <c r="K4950">
        <v>1.105202</v>
      </c>
      <c r="L4950">
        <v>26.36063</v>
      </c>
      <c r="M4950">
        <v>8.8310820000000003E-4</v>
      </c>
      <c r="N4950">
        <v>0</v>
      </c>
      <c r="O4950">
        <v>0.99992009999999998</v>
      </c>
      <c r="P4950">
        <v>-6.6264149999999994E-2</v>
      </c>
      <c r="Q4950">
        <v>0.14236979999999999</v>
      </c>
      <c r="R4950">
        <v>0.98759300000000005</v>
      </c>
      <c r="S4950">
        <v>-9.2315670000000002E-2</v>
      </c>
      <c r="T4950">
        <v>-0.10932310000000001</v>
      </c>
      <c r="U4950">
        <v>3.0471189999999999</v>
      </c>
      <c r="V4950">
        <v>-6.7168199999999997E-2</v>
      </c>
      <c r="W4950">
        <v>0.1547994</v>
      </c>
      <c r="X4950">
        <v>0.98565999999999998</v>
      </c>
      <c r="Y4950">
        <v>-3.1145470000000001E-2</v>
      </c>
      <c r="Z4950">
        <v>-3.5837550000000003E-2</v>
      </c>
      <c r="AA4950">
        <v>0.99887219999999999</v>
      </c>
      <c r="AB4950">
        <v>26</v>
      </c>
      <c r="AC4950">
        <v>-0.933400000000006</v>
      </c>
      <c r="AD4950">
        <v>-1.1052053362659999</v>
      </c>
      <c r="AE4950">
        <v>30.544139999999899</v>
      </c>
      <c r="AF4950">
        <v>-0.95912098191459005</v>
      </c>
      <c r="AG4950">
        <v>-1.1052053362659999</v>
      </c>
      <c r="AH4950">
        <v>30.503403713285401</v>
      </c>
      <c r="AI4950">
        <v>92.074020166343999</v>
      </c>
      <c r="AJ4950">
        <v>91.800962452813593</v>
      </c>
      <c r="AK4950">
        <v>30.538484408839501</v>
      </c>
      <c r="AL4950">
        <v>81.094837955421497</v>
      </c>
      <c r="AM4950">
        <v>93.898417075775995</v>
      </c>
      <c r="AN4950">
        <v>1.0000000284657899</v>
      </c>
    </row>
    <row r="4951" spans="1:40" x14ac:dyDescent="0.3">
      <c r="A4951" t="str">
        <f>"20200111150136326"</f>
        <v>20200111150136326</v>
      </c>
      <c r="B4951" t="str">
        <f>"1578726096323637"</f>
        <v>1578726096323637</v>
      </c>
      <c r="C4951" t="s">
        <v>40</v>
      </c>
      <c r="D4951">
        <v>4.3714360000000001</v>
      </c>
      <c r="E4951">
        <v>0.51288710000000004</v>
      </c>
      <c r="F4951" t="s">
        <v>42</v>
      </c>
      <c r="G4951">
        <v>-188.8271</v>
      </c>
      <c r="H4951" s="1">
        <v>-3.484405E-6</v>
      </c>
      <c r="I4951">
        <v>57.270020000000002</v>
      </c>
      <c r="J4951">
        <v>-187.84549999999999</v>
      </c>
      <c r="K4951">
        <v>1.105194</v>
      </c>
      <c r="L4951">
        <v>26.60641</v>
      </c>
      <c r="M4951">
        <v>7.4748809999999996E-4</v>
      </c>
      <c r="N4951">
        <v>0</v>
      </c>
      <c r="O4951">
        <v>0.99992020000000004</v>
      </c>
      <c r="P4951">
        <v>-6.6237899999999905E-2</v>
      </c>
      <c r="Q4951">
        <v>0.14183879999999999</v>
      </c>
      <c r="R4951">
        <v>0.98767110000000002</v>
      </c>
      <c r="S4951">
        <v>-9.6755980000000005E-2</v>
      </c>
      <c r="T4951">
        <v>-0.1089461</v>
      </c>
      <c r="U4951">
        <v>3.0469059999999999</v>
      </c>
      <c r="V4951">
        <v>-6.7007890000000001E-2</v>
      </c>
      <c r="W4951">
        <v>0.15426899999999999</v>
      </c>
      <c r="X4951">
        <v>0.98575409999999997</v>
      </c>
      <c r="Y4951">
        <v>-3.2466399999999999E-2</v>
      </c>
      <c r="Z4951">
        <v>-3.5715049999999998E-2</v>
      </c>
      <c r="AA4951">
        <v>0.99883449999999996</v>
      </c>
      <c r="AB4951">
        <v>26</v>
      </c>
      <c r="AC4951">
        <v>-0.98160000000001402</v>
      </c>
      <c r="AD4951">
        <v>-1.1051974844050001</v>
      </c>
      <c r="AE4951">
        <v>30.663609999999998</v>
      </c>
      <c r="AF4951">
        <v>-1.0032203108953699</v>
      </c>
      <c r="AG4951">
        <v>-1.1051974844050001</v>
      </c>
      <c r="AH4951">
        <v>30.623126719060799</v>
      </c>
      <c r="AI4951">
        <v>92.065816848096702</v>
      </c>
      <c r="AJ4951">
        <v>91.876351173016403</v>
      </c>
      <c r="AK4951">
        <v>30.659481445767899</v>
      </c>
      <c r="AL4951">
        <v>81.125597447837805</v>
      </c>
      <c r="AM4951">
        <v>93.888771212973893</v>
      </c>
      <c r="AN4951">
        <v>1.0000000636750199</v>
      </c>
    </row>
    <row r="4952" spans="1:40" x14ac:dyDescent="0.3">
      <c r="A4952" t="str">
        <f>"20200111150136349"</f>
        <v>20200111150136349</v>
      </c>
      <c r="B4952" t="str">
        <f>"1578726096343156"</f>
        <v>1578726096343156</v>
      </c>
      <c r="C4952" t="s">
        <v>40</v>
      </c>
      <c r="D4952">
        <v>4.5324429999999998</v>
      </c>
      <c r="E4952">
        <v>0.51268359999999902</v>
      </c>
      <c r="F4952" t="s">
        <v>42</v>
      </c>
      <c r="G4952">
        <v>-188.84700000000001</v>
      </c>
      <c r="H4952" s="1">
        <v>-3.3413379999999999E-6</v>
      </c>
      <c r="I4952">
        <v>56.944760000000002</v>
      </c>
      <c r="J4952">
        <v>-187.84549999999999</v>
      </c>
      <c r="K4952">
        <v>1.1051930000000001</v>
      </c>
      <c r="L4952">
        <v>26.86224</v>
      </c>
      <c r="M4952">
        <v>6.0638879999999997E-4</v>
      </c>
      <c r="N4952">
        <v>0</v>
      </c>
      <c r="O4952">
        <v>0.99992029999999998</v>
      </c>
      <c r="P4952">
        <v>-6.6100930000000002E-2</v>
      </c>
      <c r="Q4952">
        <v>0.14087769999999999</v>
      </c>
      <c r="R4952">
        <v>0.98781790000000003</v>
      </c>
      <c r="S4952">
        <v>-0.1005707</v>
      </c>
      <c r="T4952">
        <v>-0.1109859</v>
      </c>
      <c r="U4952">
        <v>3.0466310000000001</v>
      </c>
      <c r="V4952">
        <v>-6.6731730000000003E-2</v>
      </c>
      <c r="W4952">
        <v>0.15330869999999999</v>
      </c>
      <c r="X4952">
        <v>0.98592259999999998</v>
      </c>
      <c r="Y4952">
        <v>-3.3576750000000002E-2</v>
      </c>
      <c r="Z4952">
        <v>-3.6384739999999999E-2</v>
      </c>
      <c r="AA4952">
        <v>0.99877360000000004</v>
      </c>
      <c r="AB4952">
        <v>26</v>
      </c>
      <c r="AC4952">
        <v>-1.00150000000002</v>
      </c>
      <c r="AD4952">
        <v>-1.1051963413379999</v>
      </c>
      <c r="AE4952">
        <v>30.082519999999899</v>
      </c>
      <c r="AF4952">
        <v>-1.0183699557283901</v>
      </c>
      <c r="AG4952">
        <v>-1.1051963413379999</v>
      </c>
      <c r="AH4952">
        <v>30.041403897712801</v>
      </c>
      <c r="AI4952">
        <v>92.105701797333296</v>
      </c>
      <c r="AJ4952">
        <v>91.941519312313304</v>
      </c>
      <c r="AK4952">
        <v>30.078970801294901</v>
      </c>
      <c r="AL4952">
        <v>81.181280686200694</v>
      </c>
      <c r="AM4952">
        <v>93.872133399861795</v>
      </c>
      <c r="AN4952">
        <v>1.0000000272376199</v>
      </c>
    </row>
    <row r="4953" spans="1:40" x14ac:dyDescent="0.3">
      <c r="A4953" t="str">
        <f>"20200111150136371"</f>
        <v>20200111150136371</v>
      </c>
      <c r="B4953" t="str">
        <f>"1578726096362676"</f>
        <v>1578726096362676</v>
      </c>
      <c r="C4953" t="s">
        <v>40</v>
      </c>
      <c r="D4953">
        <v>4.3249139999999997</v>
      </c>
      <c r="E4953">
        <v>0.51262969999999997</v>
      </c>
      <c r="F4953" t="s">
        <v>42</v>
      </c>
      <c r="G4953">
        <v>-188.86410000000001</v>
      </c>
      <c r="H4953" s="1">
        <v>-3.5397530000000002E-6</v>
      </c>
      <c r="I4953">
        <v>57.41433</v>
      </c>
      <c r="J4953">
        <v>-187.84549999999999</v>
      </c>
      <c r="K4953">
        <v>1.1051879999999901</v>
      </c>
      <c r="L4953">
        <v>27.12238</v>
      </c>
      <c r="M4953">
        <v>4.6283210000000002E-4</v>
      </c>
      <c r="N4953">
        <v>0</v>
      </c>
      <c r="O4953">
        <v>0.99992040000000004</v>
      </c>
      <c r="P4953">
        <v>-6.5773280000000003E-2</v>
      </c>
      <c r="Q4953">
        <v>0.140495799999999</v>
      </c>
      <c r="R4953">
        <v>0.9878941</v>
      </c>
      <c r="S4953">
        <v>-0.1015472</v>
      </c>
      <c r="T4953">
        <v>-0.110184</v>
      </c>
      <c r="U4953">
        <v>3.0459290000000001</v>
      </c>
      <c r="V4953">
        <v>-6.6261810000000004E-2</v>
      </c>
      <c r="W4953">
        <v>0.15292709999999901</v>
      </c>
      <c r="X4953">
        <v>0.98601349999999999</v>
      </c>
      <c r="Y4953">
        <v>-3.3761020000000003E-2</v>
      </c>
      <c r="Z4953">
        <v>-3.613019E-2</v>
      </c>
      <c r="AA4953">
        <v>0.99877669999999996</v>
      </c>
      <c r="AB4953">
        <v>26</v>
      </c>
      <c r="AC4953">
        <v>-1.0186000000000199</v>
      </c>
      <c r="AD4953">
        <v>-1.1051915397530001</v>
      </c>
      <c r="AE4953">
        <v>30.29195</v>
      </c>
      <c r="AF4953">
        <v>-1.03124991447697</v>
      </c>
      <c r="AG4953">
        <v>-1.1051915397530001</v>
      </c>
      <c r="AH4953">
        <v>30.251252392031802</v>
      </c>
      <c r="AI4953">
        <v>92.091085267062297</v>
      </c>
      <c r="AJ4953">
        <v>91.952428116928402</v>
      </c>
      <c r="AK4953">
        <v>30.288994635214699</v>
      </c>
      <c r="AL4953">
        <v>81.203405180450005</v>
      </c>
      <c r="AM4953">
        <v>93.844594794706097</v>
      </c>
      <c r="AN4953">
        <v>0.99999997378056704</v>
      </c>
    </row>
    <row r="4954" spans="1:40" x14ac:dyDescent="0.3">
      <c r="A4954" t="str">
        <f>"20200111150141073"</f>
        <v>20200111150141073</v>
      </c>
      <c r="B4954" t="str">
        <f>"1578726101063740"</f>
        <v>1578726101063740</v>
      </c>
      <c r="C4954" t="s">
        <v>40</v>
      </c>
      <c r="D4954">
        <v>4.6774990000000001</v>
      </c>
      <c r="E4954">
        <v>0.53778099999999995</v>
      </c>
      <c r="F4954" t="s">
        <v>96</v>
      </c>
      <c r="G4954">
        <v>-199.8811</v>
      </c>
      <c r="H4954">
        <v>14.35106</v>
      </c>
      <c r="I4954">
        <v>391.87</v>
      </c>
      <c r="J4954">
        <v>-187.66149999999999</v>
      </c>
      <c r="K4954">
        <v>1.1049880000000001</v>
      </c>
      <c r="L4954">
        <v>84.067080000000004</v>
      </c>
      <c r="M4954">
        <v>1.316874E-2</v>
      </c>
      <c r="N4954">
        <v>0</v>
      </c>
      <c r="O4954">
        <v>0.99982769999999999</v>
      </c>
      <c r="P4954">
        <v>-2.4958040000000001E-2</v>
      </c>
      <c r="Q4954">
        <v>0.1064619</v>
      </c>
      <c r="R4954">
        <v>0.99400350000000004</v>
      </c>
      <c r="S4954">
        <v>-9.9472050000000006E-2</v>
      </c>
      <c r="T4954">
        <v>0.1094753</v>
      </c>
      <c r="U4954">
        <v>3.0145870000000001</v>
      </c>
      <c r="V4954">
        <v>-3.806321E-2</v>
      </c>
      <c r="W4954">
        <v>0.11944399999999999</v>
      </c>
      <c r="X4954">
        <v>0.99211099999999997</v>
      </c>
      <c r="Y4954">
        <v>-4.6117119999999998E-2</v>
      </c>
      <c r="Z4954">
        <v>3.6257369999999997E-2</v>
      </c>
      <c r="AA4954">
        <v>0.99827779999999999</v>
      </c>
      <c r="AB4954">
        <v>28</v>
      </c>
      <c r="AC4954">
        <v>-12.2196</v>
      </c>
      <c r="AD4954">
        <v>13.246072</v>
      </c>
      <c r="AE4954">
        <v>307.80291999999997</v>
      </c>
      <c r="AF4954">
        <v>-16.2422313507378</v>
      </c>
      <c r="AG4954">
        <v>13.246072</v>
      </c>
      <c r="AH4954">
        <v>307.04755356491501</v>
      </c>
      <c r="AI4954">
        <v>87.533228753219703</v>
      </c>
      <c r="AJ4954">
        <v>93.028015481709204</v>
      </c>
      <c r="AK4954">
        <v>307.76203250706402</v>
      </c>
      <c r="AL4954">
        <v>83.1399843650116</v>
      </c>
      <c r="AM4954">
        <v>92.197125320620103</v>
      </c>
      <c r="AN4954">
        <v>0.99999995670625097</v>
      </c>
    </row>
    <row r="4955" spans="1:40" x14ac:dyDescent="0.3">
      <c r="A4955" t="str">
        <f>"20200111150141095"</f>
        <v>20200111150141095</v>
      </c>
      <c r="B4955" t="str">
        <f>"1578726101093020"</f>
        <v>1578726101093020</v>
      </c>
      <c r="C4955" t="s">
        <v>40</v>
      </c>
      <c r="D4955">
        <v>6.4066979999999996</v>
      </c>
      <c r="E4955">
        <v>0.54118929999999998</v>
      </c>
      <c r="F4955" t="s">
        <v>41</v>
      </c>
      <c r="G4955">
        <v>-187.60249999999999</v>
      </c>
      <c r="H4955">
        <v>1.040594</v>
      </c>
      <c r="I4955">
        <v>84.883099999999999</v>
      </c>
      <c r="J4955">
        <v>-187.65790000000001</v>
      </c>
      <c r="K4955">
        <v>1.105002</v>
      </c>
      <c r="L4955">
        <v>84.345830000000007</v>
      </c>
      <c r="M4955">
        <v>1.304949E-2</v>
      </c>
      <c r="N4955">
        <v>0</v>
      </c>
      <c r="O4955">
        <v>0.99982919999999997</v>
      </c>
      <c r="P4955">
        <v>-2.551631E-2</v>
      </c>
      <c r="Q4955">
        <v>0.1073114</v>
      </c>
      <c r="R4955">
        <v>0.99389799999999995</v>
      </c>
      <c r="S4955">
        <v>0.22004699999999999</v>
      </c>
      <c r="T4955">
        <v>-0.2406431</v>
      </c>
      <c r="U4955">
        <v>3.0494080000000001</v>
      </c>
      <c r="V4955">
        <v>-3.85058E-2</v>
      </c>
      <c r="W4955">
        <v>0.1202961</v>
      </c>
      <c r="X4955">
        <v>0.99199099999999996</v>
      </c>
      <c r="Y4955">
        <v>5.8728490000000001E-2</v>
      </c>
      <c r="Z4955">
        <v>-7.8490840000000006E-2</v>
      </c>
      <c r="AA4955">
        <v>0.9951835</v>
      </c>
      <c r="AB4955">
        <v>28</v>
      </c>
      <c r="AC4955">
        <v>5.54000000000201E-2</v>
      </c>
      <c r="AD4955">
        <v>-6.4408000000000007E-2</v>
      </c>
      <c r="AE4955">
        <v>0.53726999999999203</v>
      </c>
      <c r="AF4955">
        <v>4.7705211370942101E-2</v>
      </c>
      <c r="AG4955">
        <v>-6.4408000000000007E-2</v>
      </c>
      <c r="AH4955">
        <v>0.530404863314481</v>
      </c>
      <c r="AI4955">
        <v>96.896062684153094</v>
      </c>
      <c r="AJ4955">
        <v>84.860581509715402</v>
      </c>
      <c r="AK4955">
        <v>0.53642659953026195</v>
      </c>
      <c r="AL4955">
        <v>83.090808320351201</v>
      </c>
      <c r="AM4955">
        <v>92.222916099697201</v>
      </c>
      <c r="AN4955">
        <v>0.99999999619492397</v>
      </c>
    </row>
    <row r="4956" spans="1:40" x14ac:dyDescent="0.3">
      <c r="A4956" t="str">
        <f>"20200111150141118"</f>
        <v>20200111150141118</v>
      </c>
      <c r="B4956" t="str">
        <f>"1578726101113517"</f>
        <v>1578726101113517</v>
      </c>
      <c r="C4956" t="s">
        <v>40</v>
      </c>
      <c r="D4956">
        <v>6.9738309999999997</v>
      </c>
      <c r="E4956">
        <v>0.54118929999999998</v>
      </c>
      <c r="F4956" t="s">
        <v>41</v>
      </c>
      <c r="G4956">
        <v>-187.5968</v>
      </c>
      <c r="H4956">
        <v>1.0052620000000001</v>
      </c>
      <c r="I4956">
        <v>85.114140000000006</v>
      </c>
      <c r="J4956">
        <v>-187.65450000000001</v>
      </c>
      <c r="K4956">
        <v>1.1050310000000001</v>
      </c>
      <c r="L4956">
        <v>84.617369999999994</v>
      </c>
      <c r="M4956">
        <v>1.290434E-2</v>
      </c>
      <c r="N4956">
        <v>0</v>
      </c>
      <c r="O4956">
        <v>0.99983109999999997</v>
      </c>
      <c r="P4956">
        <v>-2.5233180000000001E-2</v>
      </c>
      <c r="Q4956">
        <v>0.1073629</v>
      </c>
      <c r="R4956">
        <v>0.99389959999999999</v>
      </c>
      <c r="S4956">
        <v>0.243927</v>
      </c>
      <c r="T4956">
        <v>-0.398256</v>
      </c>
      <c r="U4956">
        <v>3.067688</v>
      </c>
      <c r="V4956">
        <v>-3.8084090000000001E-2</v>
      </c>
      <c r="W4956">
        <v>0.12035</v>
      </c>
      <c r="X4956">
        <v>0.99200080000000002</v>
      </c>
      <c r="Y4956">
        <v>6.5737370000000003E-2</v>
      </c>
      <c r="Z4956">
        <v>-0.12838820000000001</v>
      </c>
      <c r="AA4956">
        <v>0.98954279999999994</v>
      </c>
      <c r="AB4956">
        <v>28</v>
      </c>
      <c r="AC4956">
        <v>5.7700000000011097E-2</v>
      </c>
      <c r="AD4956">
        <v>-9.9768999999999705E-2</v>
      </c>
      <c r="AE4956">
        <v>0.49677000000001198</v>
      </c>
      <c r="AF4956">
        <v>4.9321271544620397E-2</v>
      </c>
      <c r="AG4956">
        <v>-9.9768999999999705E-2</v>
      </c>
      <c r="AH4956">
        <v>0.478432637324262</v>
      </c>
      <c r="AI4956">
        <v>101.71887831451799</v>
      </c>
      <c r="AJ4956">
        <v>84.114211333109097</v>
      </c>
      <c r="AK4956">
        <v>0.49120691123479399</v>
      </c>
      <c r="AL4956">
        <v>83.087697877060293</v>
      </c>
      <c r="AM4956">
        <v>92.198573365878701</v>
      </c>
      <c r="AN4956">
        <v>1.00000005380588</v>
      </c>
    </row>
    <row r="4957" spans="1:40" x14ac:dyDescent="0.3">
      <c r="A4957" t="str">
        <f>"20200111150141162"</f>
        <v>20200111150141162</v>
      </c>
      <c r="B4957" t="str">
        <f>"1578726101153532"</f>
        <v>1578726101153532</v>
      </c>
      <c r="C4957" t="s">
        <v>40</v>
      </c>
      <c r="D4957">
        <v>4.6999279999999999</v>
      </c>
      <c r="E4957">
        <v>0.54237809999999997</v>
      </c>
      <c r="F4957" t="s">
        <v>41</v>
      </c>
      <c r="G4957">
        <v>-187.595</v>
      </c>
      <c r="H4957">
        <v>1.008105</v>
      </c>
      <c r="I4957">
        <v>85.363959999999906</v>
      </c>
      <c r="J4957">
        <v>-187.64779999999999</v>
      </c>
      <c r="K4957">
        <v>1.105094</v>
      </c>
      <c r="L4957">
        <v>85.174530000000004</v>
      </c>
      <c r="M4957">
        <v>1.246972E-2</v>
      </c>
      <c r="N4957">
        <v>0</v>
      </c>
      <c r="O4957">
        <v>0.99983650000000002</v>
      </c>
      <c r="P4957">
        <v>-2.3522189999999998E-2</v>
      </c>
      <c r="Q4957">
        <v>0.1064785</v>
      </c>
      <c r="R4957">
        <v>0.9940367</v>
      </c>
      <c r="S4957">
        <v>0.244339</v>
      </c>
      <c r="T4957">
        <v>-0.39829779999999998</v>
      </c>
      <c r="U4957">
        <v>3.0676269999999999</v>
      </c>
      <c r="V4957">
        <v>-3.5963040000000002E-2</v>
      </c>
      <c r="W4957">
        <v>0.11946909999999999</v>
      </c>
      <c r="X4957">
        <v>0.99218640000000002</v>
      </c>
      <c r="Y4957">
        <v>6.6304580000000002E-2</v>
      </c>
      <c r="Z4957">
        <v>-0.12840199999999999</v>
      </c>
      <c r="AA4957">
        <v>0.98950320000000003</v>
      </c>
      <c r="AB4957">
        <v>28</v>
      </c>
      <c r="AC4957">
        <v>5.2799999999990598E-2</v>
      </c>
      <c r="AD4957">
        <v>-9.6989000000000006E-2</v>
      </c>
      <c r="AE4957">
        <v>0.189429999999987</v>
      </c>
      <c r="AF4957">
        <v>4.0565891118641999E-2</v>
      </c>
      <c r="AG4957">
        <v>-9.6989000000000006E-2</v>
      </c>
      <c r="AH4957">
        <v>0.15288453288064399</v>
      </c>
      <c r="AI4957">
        <v>121.515626370559</v>
      </c>
      <c r="AJ4957">
        <v>75.139744016221201</v>
      </c>
      <c r="AK4957">
        <v>0.18554281995642499</v>
      </c>
      <c r="AL4957">
        <v>83.138536368786205</v>
      </c>
      <c r="AM4957">
        <v>92.075848603045102</v>
      </c>
      <c r="AN4957">
        <v>1.0000000292229001</v>
      </c>
    </row>
    <row r="4958" spans="1:40" x14ac:dyDescent="0.3">
      <c r="A4958" t="str">
        <f>"20200111150141184"</f>
        <v>20200111150141184</v>
      </c>
      <c r="B4958" t="str">
        <f>"1578726101173052"</f>
        <v>1578726101173052</v>
      </c>
      <c r="C4958" t="s">
        <v>40</v>
      </c>
      <c r="D4958">
        <v>5.4372740000000004</v>
      </c>
      <c r="E4958">
        <v>0.54063359999999905</v>
      </c>
      <c r="F4958" t="s">
        <v>41</v>
      </c>
      <c r="G4958">
        <v>-187.5684</v>
      </c>
      <c r="H4958">
        <v>1.005741</v>
      </c>
      <c r="I4958">
        <v>86.106610000000003</v>
      </c>
      <c r="J4958">
        <v>-187.6447</v>
      </c>
      <c r="K4958">
        <v>1.105121</v>
      </c>
      <c r="L4958">
        <v>85.444819999999893</v>
      </c>
      <c r="M4958">
        <v>1.218583E-2</v>
      </c>
      <c r="N4958">
        <v>0</v>
      </c>
      <c r="O4958">
        <v>0.99983999999999995</v>
      </c>
      <c r="P4958">
        <v>-2.2672749999999998E-2</v>
      </c>
      <c r="Q4958">
        <v>0.1054259</v>
      </c>
      <c r="R4958">
        <v>0.99416859999999996</v>
      </c>
      <c r="S4958">
        <v>0.26023859999999999</v>
      </c>
      <c r="T4958">
        <v>-0.32610430000000001</v>
      </c>
      <c r="U4958">
        <v>3.0590820000000001</v>
      </c>
      <c r="V4958">
        <v>-3.4843329999999999E-2</v>
      </c>
      <c r="W4958">
        <v>0.11841749999999999</v>
      </c>
      <c r="X4958">
        <v>0.99235240000000002</v>
      </c>
      <c r="Y4958">
        <v>7.2140889999999999E-2</v>
      </c>
      <c r="Z4958">
        <v>-0.10566300000000001</v>
      </c>
      <c r="AA4958">
        <v>0.99178169999999999</v>
      </c>
      <c r="AB4958">
        <v>28</v>
      </c>
      <c r="AC4958">
        <v>7.6300000000003296E-2</v>
      </c>
      <c r="AD4958">
        <v>-9.9379999999999996E-2</v>
      </c>
      <c r="AE4958">
        <v>0.66179000000000998</v>
      </c>
      <c r="AF4958">
        <v>6.6743814837802298E-2</v>
      </c>
      <c r="AG4958">
        <v>-9.9379999999999996E-2</v>
      </c>
      <c r="AH4958">
        <v>0.64824419932575605</v>
      </c>
      <c r="AI4958">
        <v>98.670814399945996</v>
      </c>
      <c r="AJ4958">
        <v>84.121488413320805</v>
      </c>
      <c r="AK4958">
        <v>0.65920532702534596</v>
      </c>
      <c r="AL4958">
        <v>83.199219360989503</v>
      </c>
      <c r="AM4958">
        <v>92.010934778957093</v>
      </c>
      <c r="AN4958">
        <v>1.0000000238687401</v>
      </c>
    </row>
    <row r="4959" spans="1:40" x14ac:dyDescent="0.3">
      <c r="A4959" t="str">
        <f>"20200111150146943"</f>
        <v>20200111150146943</v>
      </c>
      <c r="B4959" t="str">
        <f>"1578726106933909"</f>
        <v>1578726106933909</v>
      </c>
      <c r="C4959" t="s">
        <v>40</v>
      </c>
      <c r="D4959">
        <v>4.6793620000000002</v>
      </c>
      <c r="E4959">
        <v>0.53998359999999901</v>
      </c>
      <c r="F4959" t="s">
        <v>41</v>
      </c>
      <c r="G4959">
        <v>-165.28280000000001</v>
      </c>
      <c r="H4959">
        <v>1.0089870000000001</v>
      </c>
      <c r="I4959">
        <v>137.06970000000001</v>
      </c>
      <c r="J4959">
        <v>-165.97280000000001</v>
      </c>
      <c r="K4959">
        <v>1.1038870000000001</v>
      </c>
      <c r="L4959">
        <v>137.1275</v>
      </c>
      <c r="M4959">
        <v>0.99443539999999997</v>
      </c>
      <c r="N4959">
        <v>0</v>
      </c>
      <c r="O4959">
        <v>0.1044706</v>
      </c>
      <c r="P4959">
        <v>0.98688069999999894</v>
      </c>
      <c r="Q4959">
        <v>0.11275549999999999</v>
      </c>
      <c r="R4959">
        <v>0.1155535</v>
      </c>
      <c r="S4959">
        <v>3.0970149999999999</v>
      </c>
      <c r="T4959">
        <v>-0.35641869999999998</v>
      </c>
      <c r="U4959">
        <v>-0.16975399999999999</v>
      </c>
      <c r="V4959">
        <v>-1.141499E-2</v>
      </c>
      <c r="W4959">
        <v>0.1262664</v>
      </c>
      <c r="X4959">
        <v>0.99193070000000005</v>
      </c>
      <c r="Y4959">
        <v>0.15703259999999999</v>
      </c>
      <c r="Z4959">
        <v>-2.0967280000000001E-2</v>
      </c>
      <c r="AA4959">
        <v>0.98737079999999999</v>
      </c>
      <c r="AB4959">
        <v>21</v>
      </c>
      <c r="AC4959">
        <v>0.68999999999999695</v>
      </c>
      <c r="AD4959">
        <v>-9.4899999999999901E-2</v>
      </c>
      <c r="AE4959">
        <v>-5.7799999999986001E-2</v>
      </c>
      <c r="AF4959">
        <v>0.12718589873507</v>
      </c>
      <c r="AG4959">
        <v>-9.4899999999999901E-2</v>
      </c>
      <c r="AH4959">
        <v>0.66764336692005599</v>
      </c>
      <c r="AI4959">
        <v>97.948858062620303</v>
      </c>
      <c r="AJ4959">
        <v>79.214399184951802</v>
      </c>
      <c r="AK4959">
        <v>0.68624334476145998</v>
      </c>
      <c r="AL4959">
        <v>82.746105411999594</v>
      </c>
      <c r="AM4959">
        <v>90.659322149466306</v>
      </c>
      <c r="AN4959">
        <v>1.00000000968407</v>
      </c>
    </row>
    <row r="4960" spans="1:40" x14ac:dyDescent="0.3">
      <c r="A4960" t="str">
        <f>"20200111150146977"</f>
        <v>20200111150146977</v>
      </c>
      <c r="B4960" t="str">
        <f>"1578726106973926"</f>
        <v>1578726106973926</v>
      </c>
      <c r="C4960" t="s">
        <v>40</v>
      </c>
      <c r="D4960">
        <v>4.8716140000000001</v>
      </c>
      <c r="E4960">
        <v>0.53049919999999995</v>
      </c>
      <c r="F4960" t="s">
        <v>41</v>
      </c>
      <c r="G4960">
        <v>-165.09360000000001</v>
      </c>
      <c r="H4960">
        <v>1.0212159999999999</v>
      </c>
      <c r="I4960">
        <v>137.13050000000001</v>
      </c>
      <c r="J4960">
        <v>-165.65389999999999</v>
      </c>
      <c r="K4960">
        <v>1.103891</v>
      </c>
      <c r="L4960">
        <v>137.15610000000001</v>
      </c>
      <c r="M4960">
        <v>0.99483339999999998</v>
      </c>
      <c r="N4960">
        <v>0</v>
      </c>
      <c r="O4960">
        <v>0.10061059999999999</v>
      </c>
      <c r="P4960">
        <v>0.98645570000000005</v>
      </c>
      <c r="Q4960">
        <v>0.1141095</v>
      </c>
      <c r="R4960">
        <v>0.1178318</v>
      </c>
      <c r="S4960">
        <v>3.0715789999999998</v>
      </c>
      <c r="T4960">
        <v>-0.2888135</v>
      </c>
      <c r="U4960">
        <v>1.0971069999999999E-2</v>
      </c>
      <c r="V4960">
        <v>-1.7571839999999998E-2</v>
      </c>
      <c r="W4960">
        <v>0.12763530000000001</v>
      </c>
      <c r="X4960">
        <v>0.99166549999999998</v>
      </c>
      <c r="Y4960">
        <v>9.6198690000000003E-2</v>
      </c>
      <c r="Z4960">
        <v>-1.394046E-2</v>
      </c>
      <c r="AA4960">
        <v>0.9952645</v>
      </c>
      <c r="AB4960">
        <v>21</v>
      </c>
      <c r="AC4960">
        <v>0.56029999999998303</v>
      </c>
      <c r="AD4960">
        <v>-8.2674999999999998E-2</v>
      </c>
      <c r="AE4960">
        <v>-2.5599999999997101E-2</v>
      </c>
      <c r="AF4960">
        <v>8.0106895629590502E-2</v>
      </c>
      <c r="AG4960">
        <v>-8.2674999999999998E-2</v>
      </c>
      <c r="AH4960">
        <v>0.54308100970541096</v>
      </c>
      <c r="AI4960">
        <v>98.564591153371794</v>
      </c>
      <c r="AJ4960">
        <v>81.609120353325395</v>
      </c>
      <c r="AK4960">
        <v>0.55514795636393999</v>
      </c>
      <c r="AL4960">
        <v>82.667033383664304</v>
      </c>
      <c r="AM4960">
        <v>91.015147666970606</v>
      </c>
      <c r="AN4960">
        <v>1.0000000016286601</v>
      </c>
    </row>
    <row r="4961" spans="1:40" x14ac:dyDescent="0.3">
      <c r="A4961" t="str">
        <f>"20200111150147000"</f>
        <v>20200111150147000</v>
      </c>
      <c r="B4961" t="str">
        <f>"1578726106993445"</f>
        <v>1578726106993445</v>
      </c>
      <c r="C4961" t="s">
        <v>40</v>
      </c>
      <c r="D4961">
        <v>6.4239220000000001</v>
      </c>
      <c r="E4961">
        <v>0.52822080000000005</v>
      </c>
      <c r="F4961" t="s">
        <v>41</v>
      </c>
      <c r="G4961">
        <v>-164.93389999999999</v>
      </c>
      <c r="H4961">
        <v>0.96938489999999999</v>
      </c>
      <c r="I4961">
        <v>137.1754</v>
      </c>
      <c r="J4961">
        <v>-165.44130000000001</v>
      </c>
      <c r="K4961">
        <v>1.1038619999999999</v>
      </c>
      <c r="L4961">
        <v>137.1746</v>
      </c>
      <c r="M4961">
        <v>0.99509289999999995</v>
      </c>
      <c r="N4961">
        <v>0</v>
      </c>
      <c r="O4961">
        <v>9.8009639999999995E-2</v>
      </c>
      <c r="P4961">
        <v>0.98659839999999999</v>
      </c>
      <c r="Q4961">
        <v>0.114118899999999</v>
      </c>
      <c r="R4961">
        <v>0.11662110000000001</v>
      </c>
      <c r="S4961">
        <v>3.0982210000000001</v>
      </c>
      <c r="T4961">
        <v>-0.57872049999999997</v>
      </c>
      <c r="U4961">
        <v>8.3084110000000003E-2</v>
      </c>
      <c r="V4961">
        <v>-1.8940709999999999E-2</v>
      </c>
      <c r="W4961">
        <v>0.12765460000000001</v>
      </c>
      <c r="X4961">
        <v>0.99163780000000001</v>
      </c>
      <c r="Y4961">
        <v>6.8434560000000005E-2</v>
      </c>
      <c r="Z4961">
        <v>-2.4456450000000001E-2</v>
      </c>
      <c r="AA4961">
        <v>0.99735580000000001</v>
      </c>
      <c r="AB4961">
        <v>21</v>
      </c>
      <c r="AC4961">
        <v>0.50740000000001795</v>
      </c>
      <c r="AD4961">
        <v>-0.13447709999999999</v>
      </c>
      <c r="AE4961">
        <v>7.9999999999813499E-4</v>
      </c>
      <c r="AF4961">
        <v>4.57266127827438E-2</v>
      </c>
      <c r="AG4961">
        <v>-0.13447709999999999</v>
      </c>
      <c r="AH4961">
        <v>0.47188882239628999</v>
      </c>
      <c r="AI4961">
        <v>105.835862886256</v>
      </c>
      <c r="AJ4961">
        <v>84.465248159685501</v>
      </c>
      <c r="AK4961">
        <v>0.49280226688150502</v>
      </c>
      <c r="AL4961">
        <v>82.665918346253306</v>
      </c>
      <c r="AM4961">
        <v>91.0942410628098</v>
      </c>
      <c r="AN4961">
        <v>0.99999998689265102</v>
      </c>
    </row>
    <row r="4962" spans="1:40" x14ac:dyDescent="0.3">
      <c r="A4962" t="str">
        <f>"20200111150147021"</f>
        <v>20200111150147021</v>
      </c>
      <c r="B4962" t="str">
        <f>"1578726107013944"</f>
        <v>1578726107013944</v>
      </c>
      <c r="C4962" t="s">
        <v>40</v>
      </c>
      <c r="D4962">
        <v>5.118633</v>
      </c>
      <c r="E4962">
        <v>0.524350599999999</v>
      </c>
      <c r="F4962" t="s">
        <v>41</v>
      </c>
      <c r="G4962">
        <v>-164.74189999999999</v>
      </c>
      <c r="H4962">
        <v>0.97811870000000001</v>
      </c>
      <c r="I4962">
        <v>137.19659999999999</v>
      </c>
      <c r="J4962">
        <v>-165.23670000000001</v>
      </c>
      <c r="K4962">
        <v>1.103828</v>
      </c>
      <c r="L4962">
        <v>137.1918</v>
      </c>
      <c r="M4962">
        <v>0.99533870000000002</v>
      </c>
      <c r="N4962">
        <v>0</v>
      </c>
      <c r="O4962">
        <v>9.5481209999999997E-2</v>
      </c>
      <c r="P4962">
        <v>0.986819</v>
      </c>
      <c r="Q4962">
        <v>0.11418209999999999</v>
      </c>
      <c r="R4962">
        <v>0.114676399999999</v>
      </c>
      <c r="S4962">
        <v>3.0934910000000002</v>
      </c>
      <c r="T4962">
        <v>-0.55610159999999997</v>
      </c>
      <c r="U4962">
        <v>9.8052979999999998E-2</v>
      </c>
      <c r="V4962">
        <v>-1.949565E-2</v>
      </c>
      <c r="W4962">
        <v>0.12772600000000001</v>
      </c>
      <c r="X4962">
        <v>0.99161790000000005</v>
      </c>
      <c r="Y4962">
        <v>6.1399339999999997E-2</v>
      </c>
      <c r="Z4962">
        <v>-2.2472590000000001E-2</v>
      </c>
      <c r="AA4962">
        <v>0.99786030000000003</v>
      </c>
      <c r="AB4962">
        <v>21</v>
      </c>
      <c r="AC4962">
        <v>0.494800000000026</v>
      </c>
      <c r="AD4962">
        <v>-0.1257093</v>
      </c>
      <c r="AE4962">
        <v>4.7999999999888097E-3</v>
      </c>
      <c r="AF4962">
        <v>3.9895500075649702E-2</v>
      </c>
      <c r="AG4962">
        <v>-0.1257093</v>
      </c>
      <c r="AH4962">
        <v>0.46310793642447901</v>
      </c>
      <c r="AI4962">
        <v>105.133358308968</v>
      </c>
      <c r="AJ4962">
        <v>85.076279297253706</v>
      </c>
      <c r="AK4962">
        <v>0.48152200345582902</v>
      </c>
      <c r="AL4962">
        <v>82.661794022074105</v>
      </c>
      <c r="AM4962">
        <v>91.126315464540895</v>
      </c>
      <c r="AN4962">
        <v>1.0000000355226599</v>
      </c>
    </row>
    <row r="4963" spans="1:40" x14ac:dyDescent="0.3">
      <c r="A4963" t="str">
        <f>"20200111150147044"</f>
        <v>20200111150147044</v>
      </c>
      <c r="B4963" t="str">
        <f>"1578726107033461"</f>
        <v>1578726107033461</v>
      </c>
      <c r="C4963" t="s">
        <v>40</v>
      </c>
      <c r="D4963">
        <v>5.2366669999999997</v>
      </c>
      <c r="E4963">
        <v>0.52526349999999999</v>
      </c>
      <c r="F4963" t="s">
        <v>41</v>
      </c>
      <c r="G4963">
        <v>-164.37950000000001</v>
      </c>
      <c r="H4963">
        <v>0.95073030000000003</v>
      </c>
      <c r="I4963">
        <v>137.22550000000001</v>
      </c>
      <c r="J4963">
        <v>-165.02770000000001</v>
      </c>
      <c r="K4963">
        <v>1.103791</v>
      </c>
      <c r="L4963">
        <v>137.20869999999999</v>
      </c>
      <c r="M4963">
        <v>0.99558500000000005</v>
      </c>
      <c r="N4963">
        <v>0</v>
      </c>
      <c r="O4963">
        <v>9.2876139999999996E-2</v>
      </c>
      <c r="P4963">
        <v>0.98715359999999996</v>
      </c>
      <c r="Q4963">
        <v>0.1140979</v>
      </c>
      <c r="R4963">
        <v>0.1118455</v>
      </c>
      <c r="S4963">
        <v>3.089737</v>
      </c>
      <c r="T4963">
        <v>-0.55178139999999998</v>
      </c>
      <c r="U4963">
        <v>0.1222229</v>
      </c>
      <c r="V4963">
        <v>-1.9233420000000001E-2</v>
      </c>
      <c r="W4963">
        <v>0.1276466</v>
      </c>
      <c r="X4963">
        <v>0.99163319999999999</v>
      </c>
      <c r="Y4963">
        <v>5.1185679999999997E-2</v>
      </c>
      <c r="Z4963">
        <v>-2.095882E-2</v>
      </c>
      <c r="AA4963">
        <v>0.99846919999999995</v>
      </c>
      <c r="AB4963">
        <v>21</v>
      </c>
      <c r="AC4963">
        <v>0.648200000000002</v>
      </c>
      <c r="AD4963">
        <v>-0.15306069999999899</v>
      </c>
      <c r="AE4963">
        <v>1.6800000000017599E-2</v>
      </c>
      <c r="AF4963">
        <v>4.1185601317235997E-2</v>
      </c>
      <c r="AG4963">
        <v>-0.15306069999999899</v>
      </c>
      <c r="AH4963">
        <v>0.61281181765299197</v>
      </c>
      <c r="AI4963">
        <v>103.993401773624</v>
      </c>
      <c r="AJ4963">
        <v>86.155071166779095</v>
      </c>
      <c r="AK4963">
        <v>0.632978795454884</v>
      </c>
      <c r="AL4963">
        <v>82.666380524542603</v>
      </c>
      <c r="AM4963">
        <v>91.111152425382997</v>
      </c>
      <c r="AN4963">
        <v>0.99999999113934801</v>
      </c>
    </row>
    <row r="4964" spans="1:40" x14ac:dyDescent="0.3">
      <c r="A4964" t="str">
        <f>"20200111150147066"</f>
        <v>20200111150147066</v>
      </c>
      <c r="B4964" t="str">
        <f>"1578726107063718"</f>
        <v>1578726107063718</v>
      </c>
      <c r="C4964" t="s">
        <v>40</v>
      </c>
      <c r="D4964">
        <v>4.6536839999999904</v>
      </c>
      <c r="E4964">
        <v>0.52262509999999995</v>
      </c>
      <c r="F4964" t="s">
        <v>46</v>
      </c>
      <c r="G4964">
        <v>0</v>
      </c>
      <c r="H4964">
        <v>0</v>
      </c>
      <c r="I4964">
        <v>0</v>
      </c>
      <c r="J4964">
        <v>-164.81729999999999</v>
      </c>
      <c r="K4964">
        <v>1.1037589999999999</v>
      </c>
      <c r="L4964">
        <v>137.2252</v>
      </c>
      <c r="M4964">
        <v>0.99582800000000005</v>
      </c>
      <c r="N4964">
        <v>0</v>
      </c>
      <c r="O4964">
        <v>9.0232519999999997E-2</v>
      </c>
      <c r="P4964">
        <v>0.98746219999999996</v>
      </c>
      <c r="Q4964">
        <v>0.1142994</v>
      </c>
      <c r="R4964">
        <v>0.10887810000000001</v>
      </c>
      <c r="S4964">
        <v>3.0164789999999999</v>
      </c>
      <c r="T4964">
        <v>7.1097019999999997E-2</v>
      </c>
      <c r="U4964">
        <v>0.12657169999999901</v>
      </c>
      <c r="V4964">
        <v>-1.8875920000000001E-2</v>
      </c>
      <c r="W4964">
        <v>0.12785089999999999</v>
      </c>
      <c r="X4964">
        <v>0.99161370000000004</v>
      </c>
      <c r="Y4964">
        <v>4.837106E-2</v>
      </c>
      <c r="Z4964">
        <v>2.6922389999999999E-3</v>
      </c>
      <c r="AA4964">
        <v>0.99882579999999999</v>
      </c>
      <c r="AB4964">
        <v>21</v>
      </c>
      <c r="AC4964">
        <v>3.0164789999999999</v>
      </c>
      <c r="AD4964">
        <v>7.1097019999999997E-2</v>
      </c>
      <c r="AE4964">
        <v>0.12657169999999901</v>
      </c>
      <c r="AF4964">
        <v>0.146073351327385</v>
      </c>
      <c r="AG4964">
        <v>7.1097019999999997E-2</v>
      </c>
      <c r="AH4964">
        <v>3.01392225502607</v>
      </c>
      <c r="AI4964">
        <v>88.6502536504983</v>
      </c>
      <c r="AJ4964">
        <v>87.225262667443104</v>
      </c>
      <c r="AK4964">
        <v>3.0182974620739902</v>
      </c>
      <c r="AL4964">
        <v>82.654577929254501</v>
      </c>
      <c r="AM4964">
        <v>91.090525422835299</v>
      </c>
      <c r="AN4964">
        <v>0.99999994150717098</v>
      </c>
    </row>
    <row r="4965" spans="1:40" x14ac:dyDescent="0.3">
      <c r="A4965" t="str">
        <f>"20200111150147090"</f>
        <v>20200111150147090</v>
      </c>
      <c r="B4965" t="str">
        <f>"1578726107083237"</f>
        <v>1578726107083237</v>
      </c>
      <c r="C4965" t="s">
        <v>40</v>
      </c>
      <c r="D4965">
        <v>4.5099580000000001</v>
      </c>
      <c r="E4965">
        <v>0.50909759999999904</v>
      </c>
      <c r="F4965" t="s">
        <v>46</v>
      </c>
      <c r="G4965">
        <v>0</v>
      </c>
      <c r="H4965">
        <v>0</v>
      </c>
      <c r="I4965">
        <v>0</v>
      </c>
      <c r="J4965">
        <v>-164.6001</v>
      </c>
      <c r="K4965">
        <v>1.103731</v>
      </c>
      <c r="L4965">
        <v>137.24170000000001</v>
      </c>
      <c r="M4965">
        <v>0.99607290000000004</v>
      </c>
      <c r="N4965">
        <v>0</v>
      </c>
      <c r="O4965">
        <v>8.7487469999999998E-2</v>
      </c>
      <c r="P4965">
        <v>0.98782890000000001</v>
      </c>
      <c r="Q4965">
        <v>0.11385489999999999</v>
      </c>
      <c r="R4965">
        <v>0.10597860000000001</v>
      </c>
      <c r="S4965">
        <v>3.0066830000000002</v>
      </c>
      <c r="T4965">
        <v>0.13742460000000001</v>
      </c>
      <c r="U4965">
        <v>0.14076229999999901</v>
      </c>
      <c r="V4965">
        <v>-1.8685480000000001E-2</v>
      </c>
      <c r="W4965">
        <v>0.12741150000000001</v>
      </c>
      <c r="X4965">
        <v>0.9916739</v>
      </c>
      <c r="Y4965">
        <v>4.0680699999999903E-2</v>
      </c>
      <c r="Z4965">
        <v>4.9176439999999997E-3</v>
      </c>
      <c r="AA4965">
        <v>0.9991601</v>
      </c>
      <c r="AB4965">
        <v>21</v>
      </c>
      <c r="AC4965">
        <v>3.0066830000000002</v>
      </c>
      <c r="AD4965">
        <v>0.13742460000000001</v>
      </c>
      <c r="AE4965">
        <v>0.14076229999999901</v>
      </c>
      <c r="AF4965">
        <v>0.122593376821951</v>
      </c>
      <c r="AG4965">
        <v>0.13742460000000001</v>
      </c>
      <c r="AH4965">
        <v>3.0012121357294799</v>
      </c>
      <c r="AI4965">
        <v>87.380456275093906</v>
      </c>
      <c r="AJ4965">
        <v>87.660885006934294</v>
      </c>
      <c r="AK4965">
        <v>3.00685698701745</v>
      </c>
      <c r="AL4965">
        <v>82.679961577916899</v>
      </c>
      <c r="AM4965">
        <v>91.079460162484196</v>
      </c>
      <c r="AN4965">
        <v>0.999999980718145</v>
      </c>
    </row>
    <row r="4966" spans="1:40" x14ac:dyDescent="0.3">
      <c r="A4966" t="str">
        <f>"20200111150147112"</f>
        <v>20200111150147112</v>
      </c>
      <c r="B4966" t="str">
        <f>"1578726107103733"</f>
        <v>1578726107103733</v>
      </c>
      <c r="C4966" t="s">
        <v>40</v>
      </c>
      <c r="D4966">
        <v>4.9109629999999997</v>
      </c>
      <c r="E4966">
        <v>0.51271729999999904</v>
      </c>
      <c r="F4966" t="s">
        <v>41</v>
      </c>
      <c r="G4966">
        <v>-163.78659999999999</v>
      </c>
      <c r="H4966">
        <v>1.0185789999999999</v>
      </c>
      <c r="I4966">
        <v>137.30160000000001</v>
      </c>
      <c r="J4966">
        <v>-164.39340000000001</v>
      </c>
      <c r="K4966">
        <v>1.1036999999999999</v>
      </c>
      <c r="L4966">
        <v>137.2568</v>
      </c>
      <c r="M4966">
        <v>0.99629999999999996</v>
      </c>
      <c r="N4966">
        <v>0</v>
      </c>
      <c r="O4966">
        <v>8.4862610000000005E-2</v>
      </c>
      <c r="P4966">
        <v>0.98821429999999999</v>
      </c>
      <c r="Q4966">
        <v>0.1135303</v>
      </c>
      <c r="R4966">
        <v>0.1026807</v>
      </c>
      <c r="S4966">
        <v>3.0496370000000002</v>
      </c>
      <c r="T4966">
        <v>-0.31917960000000001</v>
      </c>
      <c r="U4966">
        <v>0.22460939999999999</v>
      </c>
      <c r="V4966">
        <v>-1.7979769999999999E-2</v>
      </c>
      <c r="W4966">
        <v>0.12708900000000001</v>
      </c>
      <c r="X4966">
        <v>0.99172839999999995</v>
      </c>
      <c r="Y4966">
        <v>1.0935139999999999E-2</v>
      </c>
      <c r="Z4966">
        <v>-9.4016250000000003E-3</v>
      </c>
      <c r="AA4966">
        <v>0.99989600000000001</v>
      </c>
      <c r="AB4966">
        <v>21</v>
      </c>
      <c r="AC4966">
        <v>0.60680000000002099</v>
      </c>
      <c r="AD4966">
        <v>-8.5120999999999697E-2</v>
      </c>
      <c r="AE4966">
        <v>4.4800000000009201E-2</v>
      </c>
      <c r="AF4966">
        <v>6.7293230760846401E-3</v>
      </c>
      <c r="AG4966">
        <v>-8.5120999999999697E-2</v>
      </c>
      <c r="AH4966">
        <v>0.59673395175638599</v>
      </c>
      <c r="AI4966">
        <v>98.117670167341601</v>
      </c>
      <c r="AJ4966">
        <v>89.353907268867601</v>
      </c>
      <c r="AK4966">
        <v>0.60281197533630204</v>
      </c>
      <c r="AL4966">
        <v>82.698591440243703</v>
      </c>
      <c r="AM4966">
        <v>91.038643334741593</v>
      </c>
      <c r="AN4966">
        <v>1.0000000527084001</v>
      </c>
    </row>
    <row r="4967" spans="1:40" x14ac:dyDescent="0.3">
      <c r="A4967" t="str">
        <f>"20200111150147133"</f>
        <v>20200111150147133</v>
      </c>
      <c r="B4967" t="str">
        <f>"1578726107124230"</f>
        <v>1578726107124230</v>
      </c>
      <c r="C4967" t="s">
        <v>40</v>
      </c>
      <c r="D4967">
        <v>4.8790879999999897</v>
      </c>
      <c r="E4967">
        <v>0.52253629999999995</v>
      </c>
      <c r="F4967" t="s">
        <v>41</v>
      </c>
      <c r="G4967">
        <v>-163.5949</v>
      </c>
      <c r="H4967">
        <v>1.026832</v>
      </c>
      <c r="I4967">
        <v>137.30520000000001</v>
      </c>
      <c r="J4967">
        <v>-164.18729999999999</v>
      </c>
      <c r="K4967">
        <v>1.10368</v>
      </c>
      <c r="L4967">
        <v>137.27119999999999</v>
      </c>
      <c r="M4967">
        <v>0.99651999999999996</v>
      </c>
      <c r="N4967">
        <v>0</v>
      </c>
      <c r="O4967">
        <v>8.223838E-2</v>
      </c>
      <c r="P4967">
        <v>0.98864779999999997</v>
      </c>
      <c r="Q4967">
        <v>0.112434199999999</v>
      </c>
      <c r="R4967">
        <v>9.9672079999999996E-2</v>
      </c>
      <c r="S4967">
        <v>3.0502009999999999</v>
      </c>
      <c r="T4967">
        <v>-0.29355969999999998</v>
      </c>
      <c r="U4967">
        <v>0.1856689</v>
      </c>
      <c r="V4967">
        <v>-1.756278E-2</v>
      </c>
      <c r="W4967">
        <v>0.12599540000000001</v>
      </c>
      <c r="X4967">
        <v>0.99187539999999996</v>
      </c>
      <c r="Y4967">
        <v>2.1066919999999999E-2</v>
      </c>
      <c r="Z4967">
        <v>-8.8889609999999904E-3</v>
      </c>
      <c r="AA4967">
        <v>0.99973860000000003</v>
      </c>
      <c r="AB4967">
        <v>21</v>
      </c>
      <c r="AC4967">
        <v>0.59239999999999704</v>
      </c>
      <c r="AD4967">
        <v>-7.6848E-2</v>
      </c>
      <c r="AE4967">
        <v>3.4000000000020202E-2</v>
      </c>
      <c r="AF4967">
        <v>1.4592941729891199E-2</v>
      </c>
      <c r="AG4967">
        <v>-7.6848E-2</v>
      </c>
      <c r="AH4967">
        <v>0.58340400128013203</v>
      </c>
      <c r="AI4967">
        <v>97.501677462585704</v>
      </c>
      <c r="AJ4967">
        <v>88.567134168375404</v>
      </c>
      <c r="AK4967">
        <v>0.58862449639986902</v>
      </c>
      <c r="AL4967">
        <v>82.761757870153403</v>
      </c>
      <c r="AM4967">
        <v>91.014409699380906</v>
      </c>
      <c r="AN4967">
        <v>1.00000005059382</v>
      </c>
    </row>
    <row r="4968" spans="1:40" x14ac:dyDescent="0.3">
      <c r="A4968" t="str">
        <f>"20200111150147156"</f>
        <v>20200111150147156</v>
      </c>
      <c r="B4968" t="str">
        <f>"1578726107153509"</f>
        <v>1578726107153509</v>
      </c>
      <c r="C4968" t="s">
        <v>40</v>
      </c>
      <c r="D4968">
        <v>4.942825</v>
      </c>
      <c r="E4968">
        <v>0.52197959999999999</v>
      </c>
      <c r="F4968" t="s">
        <v>41</v>
      </c>
      <c r="G4968">
        <v>-163.40809999999999</v>
      </c>
      <c r="H4968">
        <v>1.02383</v>
      </c>
      <c r="I4968">
        <v>137.29570000000001</v>
      </c>
      <c r="J4968">
        <v>-163.9768</v>
      </c>
      <c r="K4968">
        <v>1.1036699999999999</v>
      </c>
      <c r="L4968">
        <v>137.28540000000001</v>
      </c>
      <c r="M4968">
        <v>0.99673750000000005</v>
      </c>
      <c r="N4968">
        <v>0</v>
      </c>
      <c r="O4968">
        <v>7.9557779999999995E-2</v>
      </c>
      <c r="P4968">
        <v>0.98907849999999997</v>
      </c>
      <c r="Q4968">
        <v>0.110365</v>
      </c>
      <c r="R4968">
        <v>9.769005E-2</v>
      </c>
      <c r="S4968">
        <v>3.0603639999999999</v>
      </c>
      <c r="T4968">
        <v>-0.31354769999999998</v>
      </c>
      <c r="U4968">
        <v>9.6694950000000002E-2</v>
      </c>
      <c r="V4968">
        <v>-1.8230639999999999E-2</v>
      </c>
      <c r="W4968">
        <v>0.1239336</v>
      </c>
      <c r="X4968">
        <v>0.99212299999999998</v>
      </c>
      <c r="Y4968">
        <v>4.7382639999999997E-2</v>
      </c>
      <c r="Z4968">
        <v>-1.053983E-2</v>
      </c>
      <c r="AA4968">
        <v>0.99882119999999996</v>
      </c>
      <c r="AB4968">
        <v>21</v>
      </c>
      <c r="AC4968">
        <v>0.56870000000000598</v>
      </c>
      <c r="AD4968">
        <v>-7.9840000000000105E-2</v>
      </c>
      <c r="AE4968">
        <v>1.03000000000008E-2</v>
      </c>
      <c r="AF4968">
        <v>3.4305428137253499E-2</v>
      </c>
      <c r="AG4968">
        <v>-7.9840000000000105E-2</v>
      </c>
      <c r="AH4968">
        <v>0.55674697295758702</v>
      </c>
      <c r="AI4968">
        <v>98.145591117006006</v>
      </c>
      <c r="AJ4968">
        <v>86.474027826059498</v>
      </c>
      <c r="AK4968">
        <v>0.56348778149762602</v>
      </c>
      <c r="AL4968">
        <v>82.880823081129705</v>
      </c>
      <c r="AM4968">
        <v>91.052713412717097</v>
      </c>
      <c r="AN4968">
        <v>0.99999997028638399</v>
      </c>
    </row>
    <row r="4969" spans="1:40" x14ac:dyDescent="0.3">
      <c r="A4969" t="str">
        <f>"20200111150147178"</f>
        <v>20200111150147178</v>
      </c>
      <c r="B4969" t="str">
        <f>"1578726107174008"</f>
        <v>1578726107174008</v>
      </c>
      <c r="C4969" t="s">
        <v>40</v>
      </c>
      <c r="D4969">
        <v>4.9853399999999999</v>
      </c>
      <c r="E4969">
        <v>0.52191520000000002</v>
      </c>
      <c r="F4969" t="s">
        <v>41</v>
      </c>
      <c r="G4969">
        <v>-163.21789999999999</v>
      </c>
      <c r="H4969">
        <v>1.0313559999999999</v>
      </c>
      <c r="I4969">
        <v>137.30869999999999</v>
      </c>
      <c r="J4969">
        <v>-163.77180000000001</v>
      </c>
      <c r="K4969">
        <v>1.1036729999999999</v>
      </c>
      <c r="L4969">
        <v>137.2987</v>
      </c>
      <c r="M4969">
        <v>0.99694210000000005</v>
      </c>
      <c r="N4969">
        <v>0</v>
      </c>
      <c r="O4969">
        <v>7.6952610000000005E-2</v>
      </c>
      <c r="P4969">
        <v>0.98945729999999998</v>
      </c>
      <c r="Q4969">
        <v>0.1086693</v>
      </c>
      <c r="R4969">
        <v>9.5735970000000004E-2</v>
      </c>
      <c r="S4969">
        <v>3.0562740000000002</v>
      </c>
      <c r="T4969">
        <v>-0.2911765</v>
      </c>
      <c r="U4969">
        <v>9.4482419999999998E-2</v>
      </c>
      <c r="V4969">
        <v>-1.8856250000000001E-2</v>
      </c>
      <c r="W4969">
        <v>0.1222443</v>
      </c>
      <c r="X4969">
        <v>0.99232089999999995</v>
      </c>
      <c r="Y4969">
        <v>4.5561709999999998E-2</v>
      </c>
      <c r="Z4969">
        <v>-9.471129E-3</v>
      </c>
      <c r="AA4969">
        <v>0.99891660000000004</v>
      </c>
      <c r="AB4969">
        <v>21</v>
      </c>
      <c r="AC4969">
        <v>0.55390000000002704</v>
      </c>
      <c r="AD4969">
        <v>-7.2316999999999895E-2</v>
      </c>
      <c r="AE4969">
        <v>9.9999999999908998E-3</v>
      </c>
      <c r="AF4969">
        <v>3.21104752315041E-2</v>
      </c>
      <c r="AG4969">
        <v>-7.2316999999999895E-2</v>
      </c>
      <c r="AH4969">
        <v>0.54376100627702395</v>
      </c>
      <c r="AI4969">
        <v>97.562523123323402</v>
      </c>
      <c r="AJ4969">
        <v>86.620462719068996</v>
      </c>
      <c r="AK4969">
        <v>0.54948781884223397</v>
      </c>
      <c r="AL4969">
        <v>82.978354714828498</v>
      </c>
      <c r="AM4969">
        <v>91.088613103647901</v>
      </c>
      <c r="AN4969">
        <v>0.99999999781168103</v>
      </c>
    </row>
    <row r="4970" spans="1:40" x14ac:dyDescent="0.3">
      <c r="A4970" t="str">
        <f>"20200111150147201"</f>
        <v>20200111150147201</v>
      </c>
      <c r="B4970" t="str">
        <f>"1578726107193525"</f>
        <v>1578726107193525</v>
      </c>
      <c r="C4970" t="s">
        <v>40</v>
      </c>
      <c r="D4970">
        <v>4.9742309999999996</v>
      </c>
      <c r="E4970">
        <v>0.52159560000000005</v>
      </c>
      <c r="F4970" t="s">
        <v>41</v>
      </c>
      <c r="G4970">
        <v>-163.0301</v>
      </c>
      <c r="H4970">
        <v>1.0344709999999999</v>
      </c>
      <c r="I4970">
        <v>137.32069999999999</v>
      </c>
      <c r="J4970">
        <v>-163.5624</v>
      </c>
      <c r="K4970">
        <v>1.103674</v>
      </c>
      <c r="L4970">
        <v>137.31180000000001</v>
      </c>
      <c r="M4970">
        <v>0.99714380000000002</v>
      </c>
      <c r="N4970">
        <v>0</v>
      </c>
      <c r="O4970">
        <v>7.4293490000000004E-2</v>
      </c>
      <c r="P4970">
        <v>0.98961690000000002</v>
      </c>
      <c r="Q4970">
        <v>0.1087023</v>
      </c>
      <c r="R4970">
        <v>9.4036560000000005E-2</v>
      </c>
      <c r="S4970">
        <v>3.0545040000000001</v>
      </c>
      <c r="T4970">
        <v>-0.28494550000000002</v>
      </c>
      <c r="U4970">
        <v>9.0423580000000003E-2</v>
      </c>
      <c r="V4970">
        <v>-1.9801079999999999E-2</v>
      </c>
      <c r="W4970">
        <v>0.12228120000000001</v>
      </c>
      <c r="X4970">
        <v>0.99229789999999995</v>
      </c>
      <c r="Y4970">
        <v>4.4245680000000003E-2</v>
      </c>
      <c r="Z4970">
        <v>-8.9668990000000004E-3</v>
      </c>
      <c r="AA4970">
        <v>0.99898050000000005</v>
      </c>
      <c r="AB4970">
        <v>21</v>
      </c>
      <c r="AC4970">
        <v>0.532299999999992</v>
      </c>
      <c r="AD4970">
        <v>-6.9203000000000098E-2</v>
      </c>
      <c r="AE4970">
        <v>8.8999999999828001E-3</v>
      </c>
      <c r="AF4970">
        <v>3.0164973641187101E-2</v>
      </c>
      <c r="AG4970">
        <v>-6.9203000000000098E-2</v>
      </c>
      <c r="AH4970">
        <v>0.52265846693768703</v>
      </c>
      <c r="AI4970">
        <v>97.530033663447995</v>
      </c>
      <c r="AJ4970">
        <v>86.696866850248895</v>
      </c>
      <c r="AK4970">
        <v>0.52808224161149997</v>
      </c>
      <c r="AL4970">
        <v>82.976224171193905</v>
      </c>
      <c r="AM4970">
        <v>91.143172593654299</v>
      </c>
      <c r="AN4970">
        <v>0.99999994849350604</v>
      </c>
    </row>
    <row r="4971" spans="1:40" x14ac:dyDescent="0.3">
      <c r="A4971" t="str">
        <f>"20200111150147223"</f>
        <v>20200111150147223</v>
      </c>
      <c r="B4971" t="str">
        <f>"1578726107213777"</f>
        <v>1578726107213777</v>
      </c>
      <c r="C4971" t="s">
        <v>40</v>
      </c>
      <c r="D4971">
        <v>4.967632</v>
      </c>
      <c r="E4971">
        <v>0.52313889999999996</v>
      </c>
      <c r="F4971" t="s">
        <v>41</v>
      </c>
      <c r="G4971">
        <v>-162.6652</v>
      </c>
      <c r="H4971">
        <v>1.019593</v>
      </c>
      <c r="I4971">
        <v>137.3374</v>
      </c>
      <c r="J4971">
        <v>-163.35749999999999</v>
      </c>
      <c r="K4971">
        <v>1.1036779999999999</v>
      </c>
      <c r="L4971">
        <v>137.32390000000001</v>
      </c>
      <c r="M4971">
        <v>0.99733380000000005</v>
      </c>
      <c r="N4971">
        <v>0</v>
      </c>
      <c r="O4971">
        <v>7.1696499999999996E-2</v>
      </c>
      <c r="P4971">
        <v>0.98977890000000002</v>
      </c>
      <c r="Q4971">
        <v>0.1088851</v>
      </c>
      <c r="R4971">
        <v>9.2096739999999996E-2</v>
      </c>
      <c r="S4971">
        <v>3.0546419999999999</v>
      </c>
      <c r="T4971">
        <v>-0.2862808</v>
      </c>
      <c r="U4971">
        <v>8.7417599999999998E-2</v>
      </c>
      <c r="V4971">
        <v>-2.0442689999999999E-2</v>
      </c>
      <c r="W4971">
        <v>0.1224662</v>
      </c>
      <c r="X4971">
        <v>0.99226210000000004</v>
      </c>
      <c r="Y4971">
        <v>4.2641180000000001E-2</v>
      </c>
      <c r="Z4971">
        <v>-8.6913029999999992E-3</v>
      </c>
      <c r="AA4971">
        <v>0.99905259999999996</v>
      </c>
      <c r="AB4971">
        <v>21</v>
      </c>
      <c r="AC4971">
        <v>0.69229999999998804</v>
      </c>
      <c r="AD4971">
        <v>-8.4085000000000104E-2</v>
      </c>
      <c r="AE4971">
        <v>1.3499999999993399E-2</v>
      </c>
      <c r="AF4971">
        <v>3.5649132167047397E-2</v>
      </c>
      <c r="AG4971">
        <v>-8.4085000000000104E-2</v>
      </c>
      <c r="AH4971">
        <v>0.68143734001080203</v>
      </c>
      <c r="AI4971">
        <v>97.024863874047597</v>
      </c>
      <c r="AJ4971">
        <v>87.005323318761498</v>
      </c>
      <c r="AK4971">
        <v>0.68753036020983105</v>
      </c>
      <c r="AL4971">
        <v>82.965544364826002</v>
      </c>
      <c r="AM4971">
        <v>91.1802468175987</v>
      </c>
      <c r="AN4971">
        <v>0.99999997440664201</v>
      </c>
    </row>
    <row r="4972" spans="1:40" x14ac:dyDescent="0.3">
      <c r="A4972" t="str">
        <f>"20200111150147245"</f>
        <v>20200111150147245</v>
      </c>
      <c r="B4972" t="str">
        <f>"1578726107233296"</f>
        <v>1578726107233296</v>
      </c>
      <c r="C4972" t="s">
        <v>40</v>
      </c>
      <c r="D4972">
        <v>5.0185170000000001</v>
      </c>
      <c r="E4972">
        <v>0.52303500000000003</v>
      </c>
      <c r="F4972" t="s">
        <v>41</v>
      </c>
      <c r="G4972">
        <v>-162.4778</v>
      </c>
      <c r="H4972">
        <v>1.02281</v>
      </c>
      <c r="I4972">
        <v>137.3434</v>
      </c>
      <c r="J4972">
        <v>-163.15039999999999</v>
      </c>
      <c r="K4972">
        <v>1.1036699999999999</v>
      </c>
      <c r="L4972">
        <v>137.3356</v>
      </c>
      <c r="M4972">
        <v>0.99751900000000004</v>
      </c>
      <c r="N4972">
        <v>0</v>
      </c>
      <c r="O4972">
        <v>6.9072629999999996E-2</v>
      </c>
      <c r="P4972">
        <v>0.99015759999999997</v>
      </c>
      <c r="Q4972">
        <v>0.10774449999999999</v>
      </c>
      <c r="R4972">
        <v>8.9327820000000002E-2</v>
      </c>
      <c r="S4972">
        <v>3.0554960000000002</v>
      </c>
      <c r="T4972">
        <v>-0.28078219999999998</v>
      </c>
      <c r="U4972">
        <v>6.8511959999999997E-2</v>
      </c>
      <c r="V4972">
        <v>-2.027379E-2</v>
      </c>
      <c r="W4972">
        <v>0.12132660000000001</v>
      </c>
      <c r="X4972">
        <v>0.9924056</v>
      </c>
      <c r="Y4972">
        <v>4.6213329999999997E-2</v>
      </c>
      <c r="Z4972">
        <v>-8.4474430000000007E-3</v>
      </c>
      <c r="AA4972">
        <v>0.99889589999999995</v>
      </c>
      <c r="AB4972">
        <v>21</v>
      </c>
      <c r="AC4972">
        <v>0.67259999999998799</v>
      </c>
      <c r="AD4972">
        <v>-8.0860000000000098E-2</v>
      </c>
      <c r="AE4972">
        <v>7.80000000000313E-3</v>
      </c>
      <c r="AF4972">
        <v>3.8130161637949099E-2</v>
      </c>
      <c r="AG4972">
        <v>-8.0860000000000098E-2</v>
      </c>
      <c r="AH4972">
        <v>0.66196608820818603</v>
      </c>
      <c r="AI4972">
        <v>96.952839576230701</v>
      </c>
      <c r="AJ4972">
        <v>86.703326718445695</v>
      </c>
      <c r="AK4972">
        <v>0.66797556150220305</v>
      </c>
      <c r="AL4972">
        <v>83.031329547430104</v>
      </c>
      <c r="AM4972">
        <v>91.170328993742302</v>
      </c>
      <c r="AN4972">
        <v>1.0000000226699399</v>
      </c>
    </row>
    <row r="4973" spans="1:40" x14ac:dyDescent="0.3">
      <c r="A4973" t="str">
        <f>"20200111150147268"</f>
        <v>20200111150147268</v>
      </c>
      <c r="B4973" t="str">
        <f>"1578726107263551"</f>
        <v>1578726107263551</v>
      </c>
      <c r="C4973" t="s">
        <v>40</v>
      </c>
      <c r="D4973">
        <v>4.9932420000000004</v>
      </c>
      <c r="E4973">
        <v>0.52238359999999995</v>
      </c>
      <c r="F4973" t="s">
        <v>41</v>
      </c>
      <c r="G4973">
        <v>-162.29140000000001</v>
      </c>
      <c r="H4973">
        <v>1.0246390000000001</v>
      </c>
      <c r="I4973">
        <v>137.3526</v>
      </c>
      <c r="J4973">
        <v>-162.94239999999999</v>
      </c>
      <c r="K4973">
        <v>1.103675</v>
      </c>
      <c r="L4973">
        <v>137.34690000000001</v>
      </c>
      <c r="M4973">
        <v>0.99769790000000003</v>
      </c>
      <c r="N4973">
        <v>0</v>
      </c>
      <c r="O4973">
        <v>6.6436750000000003E-2</v>
      </c>
      <c r="P4973">
        <v>0.99051369999999905</v>
      </c>
      <c r="Q4973">
        <v>0.10692749999999999</v>
      </c>
      <c r="R4973">
        <v>8.6307560000000005E-2</v>
      </c>
      <c r="S4973">
        <v>3.0549469999999999</v>
      </c>
      <c r="T4973">
        <v>-0.28104559999999901</v>
      </c>
      <c r="U4973">
        <v>6.0607910000000001E-2</v>
      </c>
      <c r="V4973">
        <v>-1.9866450000000001E-2</v>
      </c>
      <c r="W4973">
        <v>0.12050959999999999</v>
      </c>
      <c r="X4973">
        <v>0.99251339999999999</v>
      </c>
      <c r="Y4973">
        <v>4.616344E-2</v>
      </c>
      <c r="Z4973">
        <v>-8.2134459999999992E-3</v>
      </c>
      <c r="AA4973">
        <v>0.99890009999999996</v>
      </c>
      <c r="AB4973">
        <v>21</v>
      </c>
      <c r="AC4973">
        <v>0.65099999999998204</v>
      </c>
      <c r="AD4973">
        <v>-7.9036000000000106E-2</v>
      </c>
      <c r="AE4973">
        <v>5.6999999999902597E-3</v>
      </c>
      <c r="AF4973">
        <v>3.7021282553794298E-2</v>
      </c>
      <c r="AG4973">
        <v>-7.9036000000000106E-2</v>
      </c>
      <c r="AH4973">
        <v>0.64050012327130201</v>
      </c>
      <c r="AI4973">
        <v>97.022980186918105</v>
      </c>
      <c r="AJ4973">
        <v>86.691951046057994</v>
      </c>
      <c r="AK4973">
        <v>0.64641911525610096</v>
      </c>
      <c r="AL4973">
        <v>83.078486363055106</v>
      </c>
      <c r="AM4973">
        <v>91.146696618299401</v>
      </c>
      <c r="AN4973">
        <v>1.0000000443536601</v>
      </c>
    </row>
    <row r="4974" spans="1:40" x14ac:dyDescent="0.3">
      <c r="A4974" t="str">
        <f>"20200111150147290"</f>
        <v>20200111150147290</v>
      </c>
      <c r="B4974" t="str">
        <f>"1578726107284050"</f>
        <v>1578726107284050</v>
      </c>
      <c r="C4974" t="s">
        <v>40</v>
      </c>
      <c r="D4974">
        <v>4.9814489999999996</v>
      </c>
      <c r="E4974">
        <v>0.52197570000000004</v>
      </c>
      <c r="F4974" t="s">
        <v>41</v>
      </c>
      <c r="G4974">
        <v>-162.10499999999999</v>
      </c>
      <c r="H4974">
        <v>1.0271410000000001</v>
      </c>
      <c r="I4974">
        <v>137.36179999999999</v>
      </c>
      <c r="J4974">
        <v>-162.72980000000001</v>
      </c>
      <c r="K4974">
        <v>1.1036729999999999</v>
      </c>
      <c r="L4974">
        <v>137.3578</v>
      </c>
      <c r="M4974">
        <v>0.99787400000000004</v>
      </c>
      <c r="N4974">
        <v>0</v>
      </c>
      <c r="O4974">
        <v>6.374059E-2</v>
      </c>
      <c r="P4974">
        <v>0.99056880000000003</v>
      </c>
      <c r="Q4974">
        <v>0.1073944</v>
      </c>
      <c r="R4974">
        <v>8.5089529999999997E-2</v>
      </c>
      <c r="S4974">
        <v>3.0540769999999999</v>
      </c>
      <c r="T4974">
        <v>-0.27909430000000002</v>
      </c>
      <c r="U4974">
        <v>5.4840090000000001E-2</v>
      </c>
      <c r="V4974">
        <v>-2.1332799999999999E-2</v>
      </c>
      <c r="W4974">
        <v>0.12098009999999999</v>
      </c>
      <c r="X4974">
        <v>0.99242569999999997</v>
      </c>
      <c r="Y4974">
        <v>4.5365160000000002E-2</v>
      </c>
      <c r="Z4974">
        <v>-7.8774020000000004E-3</v>
      </c>
      <c r="AA4974">
        <v>0.99893940000000003</v>
      </c>
      <c r="AB4974">
        <v>21</v>
      </c>
      <c r="AC4974">
        <v>0.62480000000002101</v>
      </c>
      <c r="AD4974">
        <v>-7.6531999999999795E-2</v>
      </c>
      <c r="AE4974">
        <v>3.9999999999906699E-3</v>
      </c>
      <c r="AF4974">
        <v>3.5307208818718801E-2</v>
      </c>
      <c r="AG4974">
        <v>-7.6531999999999795E-2</v>
      </c>
      <c r="AH4974">
        <v>0.61456374743782904</v>
      </c>
      <c r="AI4974">
        <v>97.086967791908094</v>
      </c>
      <c r="AJ4974">
        <v>86.711923208448596</v>
      </c>
      <c r="AK4974">
        <v>0.62031632711335005</v>
      </c>
      <c r="AL4974">
        <v>83.051329852673902</v>
      </c>
      <c r="AM4974">
        <v>91.231418333194995</v>
      </c>
      <c r="AN4974">
        <v>1.00000002148616</v>
      </c>
    </row>
    <row r="4975" spans="1:40" x14ac:dyDescent="0.3">
      <c r="A4975" t="str">
        <f>"20200111150147312"</f>
        <v>20200111150147312</v>
      </c>
      <c r="B4975" t="str">
        <f>"1578726107303665"</f>
        <v>1578726107303665</v>
      </c>
      <c r="C4975" t="s">
        <v>40</v>
      </c>
      <c r="D4975">
        <v>4.9863280000000003</v>
      </c>
      <c r="E4975">
        <v>0.52153320000000003</v>
      </c>
      <c r="F4975" t="s">
        <v>41</v>
      </c>
      <c r="G4975">
        <v>-161.91829999999999</v>
      </c>
      <c r="H4975">
        <v>1.0309429999999999</v>
      </c>
      <c r="I4975">
        <v>137.37190000000001</v>
      </c>
      <c r="J4975">
        <v>-162.53020000000001</v>
      </c>
      <c r="K4975">
        <v>1.1036589999999999</v>
      </c>
      <c r="L4975">
        <v>137.36760000000001</v>
      </c>
      <c r="M4975">
        <v>0.99803249999999999</v>
      </c>
      <c r="N4975">
        <v>0</v>
      </c>
      <c r="O4975">
        <v>6.1207270000000001E-2</v>
      </c>
      <c r="P4975">
        <v>0.99080179999999995</v>
      </c>
      <c r="Q4975">
        <v>0.1052599</v>
      </c>
      <c r="R4975">
        <v>8.5043590000000002E-2</v>
      </c>
      <c r="S4975">
        <v>3.0536500000000002</v>
      </c>
      <c r="T4975">
        <v>-0.27368490000000001</v>
      </c>
      <c r="U4975">
        <v>5.3207400000000002E-2</v>
      </c>
      <c r="V4975">
        <v>-2.3804860000000001E-2</v>
      </c>
      <c r="W4975">
        <v>0.118856</v>
      </c>
      <c r="X4975">
        <v>0.99262609999999996</v>
      </c>
      <c r="Y4975">
        <v>4.3395910000000003E-2</v>
      </c>
      <c r="Z4975">
        <v>-7.412203E-3</v>
      </c>
      <c r="AA4975">
        <v>0.99903050000000004</v>
      </c>
      <c r="AB4975">
        <v>21</v>
      </c>
      <c r="AC4975">
        <v>0.61190000000001898</v>
      </c>
      <c r="AD4975">
        <v>-7.2716000000000003E-2</v>
      </c>
      <c r="AE4975">
        <v>4.3000000000006297E-3</v>
      </c>
      <c r="AF4975">
        <v>3.27024490563858E-2</v>
      </c>
      <c r="AG4975">
        <v>-7.2716000000000003E-2</v>
      </c>
      <c r="AH4975">
        <v>0.60250749173907903</v>
      </c>
      <c r="AI4975">
        <v>96.871666467077006</v>
      </c>
      <c r="AJ4975">
        <v>86.8931912314915</v>
      </c>
      <c r="AK4975">
        <v>0.607760104343813</v>
      </c>
      <c r="AL4975">
        <v>83.173916283435304</v>
      </c>
      <c r="AM4975">
        <v>91.373786793501097</v>
      </c>
      <c r="AN4975">
        <v>0.99999999724841404</v>
      </c>
    </row>
    <row r="4976" spans="1:40" x14ac:dyDescent="0.3">
      <c r="A4976" t="str">
        <f>"20200111150147334"</f>
        <v>20200111150147334</v>
      </c>
      <c r="B4976" t="str">
        <f>"1578726107324162"</f>
        <v>1578726107324162</v>
      </c>
      <c r="C4976" t="s">
        <v>40</v>
      </c>
      <c r="D4976">
        <v>5.0207509999999997</v>
      </c>
      <c r="E4976">
        <v>0.52112219999999998</v>
      </c>
      <c r="F4976" t="s">
        <v>41</v>
      </c>
      <c r="G4976">
        <v>-161.7336</v>
      </c>
      <c r="H4976">
        <v>1.0310569999999999</v>
      </c>
      <c r="I4976">
        <v>137.38210000000001</v>
      </c>
      <c r="J4976">
        <v>-162.32579999999999</v>
      </c>
      <c r="K4976">
        <v>1.1036280000000001</v>
      </c>
      <c r="L4976">
        <v>137.37700000000001</v>
      </c>
      <c r="M4976">
        <v>0.99818830000000003</v>
      </c>
      <c r="N4976">
        <v>0</v>
      </c>
      <c r="O4976">
        <v>5.8609170000000002E-2</v>
      </c>
      <c r="P4976">
        <v>0.99138499999999996</v>
      </c>
      <c r="Q4976">
        <v>0.1003343</v>
      </c>
      <c r="R4976">
        <v>8.4195329999999999E-2</v>
      </c>
      <c r="S4976">
        <v>3.0525669999999998</v>
      </c>
      <c r="T4976">
        <v>-0.27817330000000001</v>
      </c>
      <c r="U4976">
        <v>5.6274409999999997E-2</v>
      </c>
      <c r="V4976">
        <v>-2.552973E-2</v>
      </c>
      <c r="W4976">
        <v>0.1139424</v>
      </c>
      <c r="X4976">
        <v>0.99315929999999997</v>
      </c>
      <c r="Y4976">
        <v>3.9797029999999997E-2</v>
      </c>
      <c r="Z4976">
        <v>-7.1363069999999997E-3</v>
      </c>
      <c r="AA4976">
        <v>0.99918229999999997</v>
      </c>
      <c r="AB4976">
        <v>21</v>
      </c>
      <c r="AC4976">
        <v>0.59219999999999096</v>
      </c>
      <c r="AD4976">
        <v>-7.2571000000000094E-2</v>
      </c>
      <c r="AE4976">
        <v>5.0999999999987696E-3</v>
      </c>
      <c r="AF4976">
        <v>2.9182129555182099E-2</v>
      </c>
      <c r="AG4976">
        <v>-7.2571000000000094E-2</v>
      </c>
      <c r="AH4976">
        <v>0.58273041785153801</v>
      </c>
      <c r="AI4976">
        <v>97.090052641143998</v>
      </c>
      <c r="AJ4976">
        <v>87.133121595643203</v>
      </c>
      <c r="AK4976">
        <v>0.58795653463143305</v>
      </c>
      <c r="AL4976">
        <v>83.457372037992698</v>
      </c>
      <c r="AM4976">
        <v>91.472496633806401</v>
      </c>
      <c r="AN4976">
        <v>1.0000000164040601</v>
      </c>
    </row>
    <row r="4977" spans="1:40" x14ac:dyDescent="0.3">
      <c r="A4977" t="str">
        <f>"20200111150147357"</f>
        <v>20200111150147357</v>
      </c>
      <c r="B4977" t="str">
        <f>"1578726107353442"</f>
        <v>1578726107353442</v>
      </c>
      <c r="C4977" t="s">
        <v>40</v>
      </c>
      <c r="D4977">
        <v>5.0757379999999896</v>
      </c>
      <c r="E4977">
        <v>0.52066670000000004</v>
      </c>
      <c r="F4977" t="s">
        <v>41</v>
      </c>
      <c r="G4977">
        <v>-161.5498</v>
      </c>
      <c r="H4977">
        <v>1.0295989999999999</v>
      </c>
      <c r="I4977">
        <v>137.3914</v>
      </c>
      <c r="J4977">
        <v>-162.11799999999999</v>
      </c>
      <c r="K4977">
        <v>1.1036079999999999</v>
      </c>
      <c r="L4977">
        <v>137.386</v>
      </c>
      <c r="M4977">
        <v>0.99834009999999995</v>
      </c>
      <c r="N4977">
        <v>0</v>
      </c>
      <c r="O4977">
        <v>5.5966130000000003E-2</v>
      </c>
      <c r="P4977">
        <v>0.99210790000000004</v>
      </c>
      <c r="Q4977">
        <v>9.4741660000000005E-2</v>
      </c>
      <c r="R4977">
        <v>8.2132700000000003E-2</v>
      </c>
      <c r="S4977">
        <v>3.0507049999999998</v>
      </c>
      <c r="T4977">
        <v>-0.29106860000000001</v>
      </c>
      <c r="U4977">
        <v>5.6854250000000002E-2</v>
      </c>
      <c r="V4977">
        <v>-2.6084099999999999E-2</v>
      </c>
      <c r="W4977">
        <v>0.1083587</v>
      </c>
      <c r="X4977">
        <v>0.99376960000000003</v>
      </c>
      <c r="Y4977">
        <v>3.6936139999999999E-2</v>
      </c>
      <c r="Z4977">
        <v>-7.0827919999999897E-3</v>
      </c>
      <c r="AA4977">
        <v>0.99929259999999998</v>
      </c>
      <c r="AB4977">
        <v>21</v>
      </c>
      <c r="AC4977">
        <v>0.56819999999999005</v>
      </c>
      <c r="AD4977">
        <v>-7.4008999999999894E-2</v>
      </c>
      <c r="AE4977">
        <v>5.4000000000087303E-3</v>
      </c>
      <c r="AF4977">
        <v>2.5970791910149001E-2</v>
      </c>
      <c r="AG4977">
        <v>-7.4008999999999894E-2</v>
      </c>
      <c r="AH4977">
        <v>0.55814319997196704</v>
      </c>
      <c r="AI4977">
        <v>97.5452074350288</v>
      </c>
      <c r="AJ4977">
        <v>87.335909036403194</v>
      </c>
      <c r="AK4977">
        <v>0.56362722236278395</v>
      </c>
      <c r="AL4977">
        <v>83.779289566491599</v>
      </c>
      <c r="AM4977">
        <v>91.503533390530393</v>
      </c>
      <c r="AN4977">
        <v>1.0000000030113201</v>
      </c>
    </row>
    <row r="4978" spans="1:40" x14ac:dyDescent="0.3">
      <c r="A4978" t="str">
        <f>"20200111150147402"</f>
        <v>20200111150147402</v>
      </c>
      <c r="B4978" t="str">
        <f>"1578726107393458"</f>
        <v>1578726107393458</v>
      </c>
      <c r="C4978" t="s">
        <v>40</v>
      </c>
      <c r="D4978">
        <v>5.0943860000000001</v>
      </c>
      <c r="E4978">
        <v>0.54000150000000002</v>
      </c>
      <c r="F4978" t="s">
        <v>41</v>
      </c>
      <c r="G4978">
        <v>-161.36680000000001</v>
      </c>
      <c r="H4978">
        <v>1.0270189999999999</v>
      </c>
      <c r="I4978">
        <v>137.3991</v>
      </c>
      <c r="J4978">
        <v>-161.7063</v>
      </c>
      <c r="K4978">
        <v>1.1036109999999999</v>
      </c>
      <c r="L4978">
        <v>137.4024</v>
      </c>
      <c r="M4978">
        <v>0.99862019999999996</v>
      </c>
      <c r="N4978">
        <v>0</v>
      </c>
      <c r="O4978">
        <v>5.0722219999999998E-2</v>
      </c>
      <c r="P4978">
        <v>0.99221009999999998</v>
      </c>
      <c r="Q4978">
        <v>9.5310039999999999E-2</v>
      </c>
      <c r="R4978">
        <v>8.0217360000000001E-2</v>
      </c>
      <c r="S4978">
        <v>3.0491489999999999</v>
      </c>
      <c r="T4978">
        <v>-0.31089290000000003</v>
      </c>
      <c r="U4978">
        <v>5.3192139999999999E-2</v>
      </c>
      <c r="V4978">
        <v>-2.9392519999999998E-2</v>
      </c>
      <c r="W4978">
        <v>0.10893360000000001</v>
      </c>
      <c r="X4978">
        <v>0.99361440000000001</v>
      </c>
      <c r="Y4978">
        <v>3.2866390000000002E-2</v>
      </c>
      <c r="Z4978">
        <v>-6.8272280000000003E-3</v>
      </c>
      <c r="AA4978">
        <v>0.9994364</v>
      </c>
      <c r="AB4978">
        <v>21</v>
      </c>
      <c r="AC4978">
        <v>0.33949999999998598</v>
      </c>
      <c r="AD4978">
        <v>-7.6591999999999993E-2</v>
      </c>
      <c r="AE4978">
        <v>-3.2999999999958601E-3</v>
      </c>
      <c r="AF4978">
        <v>1.9523933327313E-2</v>
      </c>
      <c r="AG4978">
        <v>-7.6591999999999993E-2</v>
      </c>
      <c r="AH4978">
        <v>0.32248379473073602</v>
      </c>
      <c r="AI4978">
        <v>103.33702606555499</v>
      </c>
      <c r="AJ4978">
        <v>86.535406584100201</v>
      </c>
      <c r="AK4978">
        <v>0.33202908953961402</v>
      </c>
      <c r="AL4978">
        <v>83.746154137109599</v>
      </c>
      <c r="AM4978">
        <v>91.694396118800299</v>
      </c>
      <c r="AN4978">
        <v>1.00000001266413</v>
      </c>
    </row>
    <row r="4979" spans="1:40" x14ac:dyDescent="0.3">
      <c r="A4979" t="str">
        <f>"20200111150147424"</f>
        <v>20200111150147424</v>
      </c>
      <c r="B4979" t="str">
        <f>"1578726107413953"</f>
        <v>1578726107413953</v>
      </c>
      <c r="C4979" t="s">
        <v>40</v>
      </c>
      <c r="D4979">
        <v>5.1513770000000001</v>
      </c>
      <c r="E4979">
        <v>0.53955839999999999</v>
      </c>
      <c r="F4979" t="s">
        <v>41</v>
      </c>
      <c r="G4979">
        <v>-160.8586</v>
      </c>
      <c r="H4979">
        <v>0.9348805</v>
      </c>
      <c r="I4979">
        <v>137.36770000000001</v>
      </c>
      <c r="J4979">
        <v>-161.499</v>
      </c>
      <c r="K4979">
        <v>1.10362</v>
      </c>
      <c r="L4979">
        <v>137.40969999999999</v>
      </c>
      <c r="M4979">
        <v>0.99875100000000006</v>
      </c>
      <c r="N4979">
        <v>0</v>
      </c>
      <c r="O4979">
        <v>4.8081939999999997E-2</v>
      </c>
      <c r="P4979">
        <v>0.99228989999999995</v>
      </c>
      <c r="Q4979">
        <v>9.5944039999999994E-2</v>
      </c>
      <c r="R4979">
        <v>7.845866E-2</v>
      </c>
      <c r="S4979">
        <v>3.0928960000000001</v>
      </c>
      <c r="T4979">
        <v>-0.61564269999999999</v>
      </c>
      <c r="U4979">
        <v>-0.1264496</v>
      </c>
      <c r="V4979">
        <v>-3.026121E-2</v>
      </c>
      <c r="W4979">
        <v>0.10956780000000001</v>
      </c>
      <c r="X4979">
        <v>0.99351860000000003</v>
      </c>
      <c r="Y4979">
        <v>8.6217569999999993E-2</v>
      </c>
      <c r="Z4979">
        <v>-1.7968370000000001E-2</v>
      </c>
      <c r="AA4979">
        <v>0.99611430000000001</v>
      </c>
      <c r="AB4979">
        <v>20</v>
      </c>
      <c r="AC4979">
        <v>0.64039999999999897</v>
      </c>
      <c r="AD4979">
        <v>-0.16873949999999999</v>
      </c>
      <c r="AE4979">
        <v>-4.1999999999973101E-2</v>
      </c>
      <c r="AF4979">
        <v>6.8042171340917196E-2</v>
      </c>
      <c r="AG4979">
        <v>-0.16873949999999999</v>
      </c>
      <c r="AH4979">
        <v>0.59640971295789602</v>
      </c>
      <c r="AI4979">
        <v>105.70078039484601</v>
      </c>
      <c r="AJ4979">
        <v>83.491477368573101</v>
      </c>
      <c r="AK4979">
        <v>0.623544145711878</v>
      </c>
      <c r="AL4979">
        <v>83.709598423653603</v>
      </c>
      <c r="AM4979">
        <v>91.744611260565904</v>
      </c>
      <c r="AN4979">
        <v>1.0000000260867301</v>
      </c>
    </row>
    <row r="4980" spans="1:40" x14ac:dyDescent="0.3">
      <c r="A4980" t="str">
        <f>"20200111150147446"</f>
        <v>20200111150147446</v>
      </c>
      <c r="B4980" t="str">
        <f>"1578726107444210"</f>
        <v>1578726107444210</v>
      </c>
      <c r="C4980" t="s">
        <v>40</v>
      </c>
      <c r="D4980">
        <v>5.139589</v>
      </c>
      <c r="E4980">
        <v>0.5405179</v>
      </c>
      <c r="F4980" t="s">
        <v>41</v>
      </c>
      <c r="G4980">
        <v>-160.6754</v>
      </c>
      <c r="H4980">
        <v>0.93494140000000003</v>
      </c>
      <c r="I4980">
        <v>137.37549999999999</v>
      </c>
      <c r="J4980">
        <v>-161.29849999999999</v>
      </c>
      <c r="K4980">
        <v>1.1036159999999999</v>
      </c>
      <c r="L4980">
        <v>137.41630000000001</v>
      </c>
      <c r="M4980">
        <v>0.9988707</v>
      </c>
      <c r="N4980">
        <v>0</v>
      </c>
      <c r="O4980">
        <v>4.5527730000000002E-2</v>
      </c>
      <c r="P4980">
        <v>0.99263109999999999</v>
      </c>
      <c r="Q4980">
        <v>9.4847630000000002E-2</v>
      </c>
      <c r="R4980">
        <v>7.5416910000000004E-2</v>
      </c>
      <c r="S4980">
        <v>3.0947269999999998</v>
      </c>
      <c r="T4980">
        <v>-0.63372869999999903</v>
      </c>
      <c r="U4980">
        <v>-0.12808230000000001</v>
      </c>
      <c r="V4980">
        <v>-2.975649E-2</v>
      </c>
      <c r="W4980">
        <v>0.1084691</v>
      </c>
      <c r="X4980">
        <v>0.99365440000000005</v>
      </c>
      <c r="Y4980">
        <v>8.4115369999999995E-2</v>
      </c>
      <c r="Z4980">
        <v>-1.7744510000000002E-2</v>
      </c>
      <c r="AA4980">
        <v>0.99629800000000002</v>
      </c>
      <c r="AB4980">
        <v>20</v>
      </c>
      <c r="AC4980">
        <v>0.62309999999999299</v>
      </c>
      <c r="AD4980">
        <v>-0.16867459999999901</v>
      </c>
      <c r="AE4980">
        <v>-4.0800000000018599E-2</v>
      </c>
      <c r="AF4980">
        <v>6.4427554241869397E-2</v>
      </c>
      <c r="AG4980">
        <v>-0.16867459999999901</v>
      </c>
      <c r="AH4980">
        <v>0.57839256541737505</v>
      </c>
      <c r="AI4980">
        <v>106.163381695532</v>
      </c>
      <c r="AJ4980">
        <v>83.643984686315505</v>
      </c>
      <c r="AK4980">
        <v>0.60592077878287198</v>
      </c>
      <c r="AL4980">
        <v>83.772926779995302</v>
      </c>
      <c r="AM4980">
        <v>91.715296495238903</v>
      </c>
      <c r="AN4980">
        <v>1.00000003049564</v>
      </c>
    </row>
    <row r="4981" spans="1:40" x14ac:dyDescent="0.3">
      <c r="A4981" t="str">
        <f>"20200111150147468"</f>
        <v>20200111150147468</v>
      </c>
      <c r="B4981" t="str">
        <f>"1578726107463729"</f>
        <v>1578726107463729</v>
      </c>
      <c r="C4981" t="s">
        <v>40</v>
      </c>
      <c r="D4981">
        <v>5.1548410000000002</v>
      </c>
      <c r="E4981">
        <v>0.54067559999999903</v>
      </c>
      <c r="F4981" t="s">
        <v>41</v>
      </c>
      <c r="G4981">
        <v>-160.49299999999999</v>
      </c>
      <c r="H4981">
        <v>0.933419</v>
      </c>
      <c r="I4981">
        <v>137.37899999999999</v>
      </c>
      <c r="J4981">
        <v>-161.09049999999999</v>
      </c>
      <c r="K4981">
        <v>1.1036220000000001</v>
      </c>
      <c r="L4981">
        <v>137.42259999999999</v>
      </c>
      <c r="M4981">
        <v>0.99898750000000003</v>
      </c>
      <c r="N4981">
        <v>0</v>
      </c>
      <c r="O4981">
        <v>4.2880750000000002E-2</v>
      </c>
      <c r="P4981">
        <v>0.99310679999999996</v>
      </c>
      <c r="Q4981">
        <v>9.2829969999999998E-2</v>
      </c>
      <c r="R4981">
        <v>7.156274E-2</v>
      </c>
      <c r="S4981">
        <v>3.0956419999999998</v>
      </c>
      <c r="T4981">
        <v>-0.65410950000000001</v>
      </c>
      <c r="U4981">
        <v>-0.14300539999999901</v>
      </c>
      <c r="V4981">
        <v>-2.853029E-2</v>
      </c>
      <c r="W4981">
        <v>0.10646659999999999</v>
      </c>
      <c r="X4981">
        <v>0.99390690000000004</v>
      </c>
      <c r="Y4981">
        <v>8.6100090000000004E-2</v>
      </c>
      <c r="Z4981">
        <v>-1.7950589999999999E-2</v>
      </c>
      <c r="AA4981">
        <v>0.99612469999999997</v>
      </c>
      <c r="AB4981">
        <v>20</v>
      </c>
      <c r="AC4981">
        <v>0.59749999999999603</v>
      </c>
      <c r="AD4981">
        <v>-0.17020299999999899</v>
      </c>
      <c r="AE4981">
        <v>-4.35999999999978E-2</v>
      </c>
      <c r="AF4981">
        <v>6.4016446812788799E-2</v>
      </c>
      <c r="AG4981">
        <v>-0.17020299999999899</v>
      </c>
      <c r="AH4981">
        <v>0.55063615136112798</v>
      </c>
      <c r="AI4981">
        <v>107.06829155196399</v>
      </c>
      <c r="AJ4981">
        <v>83.368616008295803</v>
      </c>
      <c r="AK4981">
        <v>0.57988562480659001</v>
      </c>
      <c r="AL4981">
        <v>83.888329881805006</v>
      </c>
      <c r="AM4981">
        <v>91.6442349334189</v>
      </c>
      <c r="AN4981">
        <v>1.0000000201153201</v>
      </c>
    </row>
    <row r="4982" spans="1:40" x14ac:dyDescent="0.3">
      <c r="A4982" t="str">
        <f>"20200111150147493"</f>
        <v>20200111150147493</v>
      </c>
      <c r="B4982" t="str">
        <f>"1578726107484226"</f>
        <v>1578726107484226</v>
      </c>
      <c r="C4982" t="s">
        <v>40</v>
      </c>
      <c r="D4982">
        <v>5.1318039999999998</v>
      </c>
      <c r="E4982">
        <v>0.54061400000000004</v>
      </c>
      <c r="F4982" t="s">
        <v>41</v>
      </c>
      <c r="G4982">
        <v>-160.31059999999999</v>
      </c>
      <c r="H4982">
        <v>0.93292359999999996</v>
      </c>
      <c r="I4982">
        <v>137.38319999999999</v>
      </c>
      <c r="J4982">
        <v>-160.876</v>
      </c>
      <c r="K4982">
        <v>1.103674</v>
      </c>
      <c r="L4982">
        <v>137.42850000000001</v>
      </c>
      <c r="M4982">
        <v>0.99909809999999999</v>
      </c>
      <c r="N4982">
        <v>0</v>
      </c>
      <c r="O4982">
        <v>4.0165729999999997E-2</v>
      </c>
      <c r="P4982">
        <v>0.9934404</v>
      </c>
      <c r="Q4982">
        <v>9.1763650000000002E-2</v>
      </c>
      <c r="R4982">
        <v>6.8233299999999997E-2</v>
      </c>
      <c r="S4982">
        <v>3.0953979999999999</v>
      </c>
      <c r="T4982">
        <v>-0.67742789999999997</v>
      </c>
      <c r="U4982">
        <v>-0.1560059</v>
      </c>
      <c r="V4982">
        <v>-2.7901249999999999E-2</v>
      </c>
      <c r="W4982">
        <v>0.1055605</v>
      </c>
      <c r="X4982">
        <v>0.99402140000000005</v>
      </c>
      <c r="Y4982">
        <v>8.7400530000000004E-2</v>
      </c>
      <c r="Z4982">
        <v>-1.8129530000000001E-2</v>
      </c>
      <c r="AA4982">
        <v>0.99600829999999996</v>
      </c>
      <c r="AB4982">
        <v>20</v>
      </c>
      <c r="AC4982">
        <v>0.565400000000011</v>
      </c>
      <c r="AD4982">
        <v>-0.1707504</v>
      </c>
      <c r="AE4982">
        <v>-4.5300000000025799E-2</v>
      </c>
      <c r="AF4982">
        <v>6.23270986189371E-2</v>
      </c>
      <c r="AG4982">
        <v>-0.1707504</v>
      </c>
      <c r="AH4982">
        <v>0.51633292913671403</v>
      </c>
      <c r="AI4982">
        <v>108.17578108185199</v>
      </c>
      <c r="AJ4982">
        <v>83.117067198372794</v>
      </c>
      <c r="AK4982">
        <v>0.54739388015697998</v>
      </c>
      <c r="AL4982">
        <v>83.940539814904</v>
      </c>
      <c r="AM4982">
        <v>91.607816722376498</v>
      </c>
      <c r="AN4982">
        <v>1.0000000212848801</v>
      </c>
    </row>
    <row r="4983" spans="1:40" x14ac:dyDescent="0.3">
      <c r="A4983" t="str">
        <f>"20200111150147513"</f>
        <v>20200111150147513</v>
      </c>
      <c r="B4983" t="str">
        <f>"1578726107503746"</f>
        <v>1578726107503746</v>
      </c>
      <c r="C4983" t="s">
        <v>40</v>
      </c>
      <c r="D4983">
        <v>5.1621090000000001</v>
      </c>
      <c r="E4983">
        <v>0.54012859999999996</v>
      </c>
      <c r="F4983" t="s">
        <v>41</v>
      </c>
      <c r="G4983">
        <v>-160.1266</v>
      </c>
      <c r="H4983">
        <v>0.93765209999999999</v>
      </c>
      <c r="I4983">
        <v>137.38839999999999</v>
      </c>
      <c r="J4983">
        <v>-160.68469999999999</v>
      </c>
      <c r="K4983">
        <v>1.1038079999999999</v>
      </c>
      <c r="L4983">
        <v>137.4333</v>
      </c>
      <c r="M4983">
        <v>0.99918709999999999</v>
      </c>
      <c r="N4983">
        <v>0</v>
      </c>
      <c r="O4983">
        <v>3.7750939999999997E-2</v>
      </c>
      <c r="P4983">
        <v>0.9937066</v>
      </c>
      <c r="Q4983">
        <v>9.0987970000000001E-2</v>
      </c>
      <c r="R4983">
        <v>6.5331470000000003E-2</v>
      </c>
      <c r="S4983">
        <v>3.0945429999999998</v>
      </c>
      <c r="T4983">
        <v>-0.6856042</v>
      </c>
      <c r="U4983">
        <v>-0.16595460000000001</v>
      </c>
      <c r="V4983">
        <v>-2.740426E-2</v>
      </c>
      <c r="W4983">
        <v>0.1051584</v>
      </c>
      <c r="X4983">
        <v>0.99407780000000001</v>
      </c>
      <c r="Y4983">
        <v>8.8167519999999999E-2</v>
      </c>
      <c r="Z4983">
        <v>-1.790249E-2</v>
      </c>
      <c r="AA4983">
        <v>0.99594479999999996</v>
      </c>
      <c r="AB4983">
        <v>20</v>
      </c>
      <c r="AC4983">
        <v>0.55809999999999504</v>
      </c>
      <c r="AD4983">
        <v>-0.166155899999999</v>
      </c>
      <c r="AE4983">
        <v>-4.4900000000012603E-2</v>
      </c>
      <c r="AF4983">
        <v>6.0601955815340197E-2</v>
      </c>
      <c r="AG4983">
        <v>-0.166155899999999</v>
      </c>
      <c r="AH4983">
        <v>0.511005017447551</v>
      </c>
      <c r="AI4983">
        <v>107.894873806235</v>
      </c>
      <c r="AJ4983">
        <v>83.236673200458398</v>
      </c>
      <c r="AK4983">
        <v>0.54074625103649698</v>
      </c>
      <c r="AL4983">
        <v>83.963707128274905</v>
      </c>
      <c r="AM4983">
        <v>91.579102627244794</v>
      </c>
      <c r="AN4983">
        <v>0.99999997750477299</v>
      </c>
    </row>
    <row r="4984" spans="1:40" x14ac:dyDescent="0.3">
      <c r="A4984" t="str">
        <f>"20200111150147535"</f>
        <v>20200111150147535</v>
      </c>
      <c r="B4984" t="str">
        <f>"1578726107534003"</f>
        <v>1578726107534003</v>
      </c>
      <c r="C4984" t="s">
        <v>40</v>
      </c>
      <c r="D4984">
        <v>5.1302899999999996</v>
      </c>
      <c r="E4984">
        <v>0.53939340000000002</v>
      </c>
      <c r="F4984" t="s">
        <v>41</v>
      </c>
      <c r="G4984">
        <v>-159.94560000000001</v>
      </c>
      <c r="H4984">
        <v>0.93909810000000005</v>
      </c>
      <c r="I4984">
        <v>137.39189999999999</v>
      </c>
      <c r="J4984">
        <v>-160.4864</v>
      </c>
      <c r="K4984">
        <v>1.103966</v>
      </c>
      <c r="L4984">
        <v>137.43780000000001</v>
      </c>
      <c r="M4984">
        <v>0.99927160000000004</v>
      </c>
      <c r="N4984">
        <v>0</v>
      </c>
      <c r="O4984">
        <v>3.523457E-2</v>
      </c>
      <c r="P4984">
        <v>0.99392749999999996</v>
      </c>
      <c r="Q4984">
        <v>9.0377750000000007E-2</v>
      </c>
      <c r="R4984">
        <v>6.2771549999999995E-2</v>
      </c>
      <c r="S4984">
        <v>3.0934910000000002</v>
      </c>
      <c r="T4984">
        <v>-0.68930130000000001</v>
      </c>
      <c r="U4984">
        <v>-0.17303470000000001</v>
      </c>
      <c r="V4984">
        <v>-2.7350989999999999E-2</v>
      </c>
      <c r="W4984">
        <v>0.1050579</v>
      </c>
      <c r="X4984">
        <v>0.99408989999999997</v>
      </c>
      <c r="Y4984">
        <v>8.7982630000000006E-2</v>
      </c>
      <c r="Z4984">
        <v>-1.742788E-2</v>
      </c>
      <c r="AA4984">
        <v>0.99596949999999995</v>
      </c>
      <c r="AB4984">
        <v>20</v>
      </c>
      <c r="AC4984">
        <v>0.54079999999998996</v>
      </c>
      <c r="AD4984">
        <v>-0.16486790000000001</v>
      </c>
      <c r="AE4984">
        <v>-4.5900000000017302E-2</v>
      </c>
      <c r="AF4984">
        <v>5.9443296699046799E-2</v>
      </c>
      <c r="AG4984">
        <v>-0.16486790000000001</v>
      </c>
      <c r="AH4984">
        <v>0.49332535277429002</v>
      </c>
      <c r="AI4984">
        <v>108.355693722198</v>
      </c>
      <c r="AJ4984">
        <v>83.1292627465251</v>
      </c>
      <c r="AK4984">
        <v>0.52353112005184399</v>
      </c>
      <c r="AL4984">
        <v>83.969497468081997</v>
      </c>
      <c r="AM4984">
        <v>91.576015451301004</v>
      </c>
      <c r="AN4984">
        <v>0.99999998414419999</v>
      </c>
    </row>
    <row r="4985" spans="1:40" x14ac:dyDescent="0.3">
      <c r="A4985" t="str">
        <f>"20200111150147558"</f>
        <v>20200111150147558</v>
      </c>
      <c r="B4985" t="str">
        <f>"1578726107553521"</f>
        <v>1578726107553521</v>
      </c>
      <c r="C4985" t="s">
        <v>40</v>
      </c>
      <c r="D4985">
        <v>5.0822710000000004</v>
      </c>
      <c r="E4985">
        <v>0.53912579999999999</v>
      </c>
      <c r="F4985" t="s">
        <v>41</v>
      </c>
      <c r="G4985">
        <v>-159.76400000000001</v>
      </c>
      <c r="H4985">
        <v>0.94410320000000003</v>
      </c>
      <c r="I4985">
        <v>137.39680000000001</v>
      </c>
      <c r="J4985">
        <v>-160.28489999999999</v>
      </c>
      <c r="K4985">
        <v>1.1040859999999999</v>
      </c>
      <c r="L4985">
        <v>137.4418</v>
      </c>
      <c r="M4985">
        <v>0.99935229999999997</v>
      </c>
      <c r="N4985">
        <v>0</v>
      </c>
      <c r="O4985">
        <v>3.2667630000000003E-2</v>
      </c>
      <c r="P4985">
        <v>0.99424959999999996</v>
      </c>
      <c r="Q4985">
        <v>8.9471120000000001E-2</v>
      </c>
      <c r="R4985">
        <v>5.8844710000000001E-2</v>
      </c>
      <c r="S4985">
        <v>3.0916139999999999</v>
      </c>
      <c r="T4985">
        <v>-0.6841161</v>
      </c>
      <c r="U4985">
        <v>-0.17509459999999999</v>
      </c>
      <c r="V4985">
        <v>-2.5974299999999999E-2</v>
      </c>
      <c r="W4985">
        <v>0.1045794</v>
      </c>
      <c r="X4985">
        <v>0.99417730000000004</v>
      </c>
      <c r="Y4985">
        <v>8.6264519999999997E-2</v>
      </c>
      <c r="Z4985">
        <v>-1.6561329999999999E-2</v>
      </c>
      <c r="AA4985">
        <v>0.99613459999999998</v>
      </c>
      <c r="AB4985">
        <v>20</v>
      </c>
      <c r="AC4985">
        <v>0.52089999999998304</v>
      </c>
      <c r="AD4985">
        <v>-0.15998280000000001</v>
      </c>
      <c r="AE4985">
        <v>-4.4999999999987397E-2</v>
      </c>
      <c r="AF4985">
        <v>5.6686960363055802E-2</v>
      </c>
      <c r="AG4985">
        <v>-0.15998280000000001</v>
      </c>
      <c r="AH4985">
        <v>0.47470565786951102</v>
      </c>
      <c r="AI4985">
        <v>108.502159252862</v>
      </c>
      <c r="AJ4985">
        <v>83.190272970312904</v>
      </c>
      <c r="AK4985">
        <v>0.50413626073152795</v>
      </c>
      <c r="AL4985">
        <v>83.997065513859994</v>
      </c>
      <c r="AM4985">
        <v>91.496593505158003</v>
      </c>
      <c r="AN4985">
        <v>1.0000000095000701</v>
      </c>
    </row>
    <row r="4986" spans="1:40" x14ac:dyDescent="0.3">
      <c r="A4986" t="str">
        <f>"20200111150147581"</f>
        <v>20200111150147581</v>
      </c>
      <c r="B4986" t="str">
        <f>"1578726107574017"</f>
        <v>1578726107574017</v>
      </c>
      <c r="C4986" t="s">
        <v>40</v>
      </c>
      <c r="D4986">
        <v>5.1228870000000004</v>
      </c>
      <c r="E4986">
        <v>0.53912230000000005</v>
      </c>
      <c r="F4986" t="s">
        <v>41</v>
      </c>
      <c r="G4986">
        <v>-159.5838</v>
      </c>
      <c r="H4986">
        <v>0.94771150000000004</v>
      </c>
      <c r="I4986">
        <v>137.39959999999999</v>
      </c>
      <c r="J4986">
        <v>-160.0814</v>
      </c>
      <c r="K4986">
        <v>1.104117</v>
      </c>
      <c r="L4986">
        <v>137.4453</v>
      </c>
      <c r="M4986">
        <v>0.99943020000000005</v>
      </c>
      <c r="N4986">
        <v>0</v>
      </c>
      <c r="O4986">
        <v>3.0083220000000001E-2</v>
      </c>
      <c r="P4986">
        <v>0.99422630000000001</v>
      </c>
      <c r="Q4986">
        <v>9.2403369999999999E-2</v>
      </c>
      <c r="R4986">
        <v>5.4551259999999997E-2</v>
      </c>
      <c r="S4986">
        <v>3.0903320000000001</v>
      </c>
      <c r="T4986">
        <v>-0.68909569999999998</v>
      </c>
      <c r="U4986">
        <v>-0.1854095</v>
      </c>
      <c r="V4986">
        <v>-2.4240049999999999E-2</v>
      </c>
      <c r="W4986">
        <v>0.1077149</v>
      </c>
      <c r="X4986">
        <v>0.9938863</v>
      </c>
      <c r="Y4986">
        <v>8.7027389999999996E-2</v>
      </c>
      <c r="Z4986">
        <v>-1.619934E-2</v>
      </c>
      <c r="AA4986">
        <v>0.99607420000000002</v>
      </c>
      <c r="AB4986">
        <v>20</v>
      </c>
      <c r="AC4986">
        <v>0.49760000000000498</v>
      </c>
      <c r="AD4986">
        <v>-0.1564055</v>
      </c>
      <c r="AE4986">
        <v>-4.5700000000010697E-2</v>
      </c>
      <c r="AF4986">
        <v>5.5238709133681299E-2</v>
      </c>
      <c r="AG4986">
        <v>-0.1564055</v>
      </c>
      <c r="AH4986">
        <v>0.45174232828856298</v>
      </c>
      <c r="AI4986">
        <v>108.966179270453</v>
      </c>
      <c r="AJ4986">
        <v>83.028524416611802</v>
      </c>
      <c r="AK4986">
        <v>0.481232923421265</v>
      </c>
      <c r="AL4986">
        <v>83.816393922977397</v>
      </c>
      <c r="AM4986">
        <v>91.397118846385396</v>
      </c>
      <c r="AN4986">
        <v>1.00000002851685</v>
      </c>
    </row>
    <row r="4987" spans="1:40" x14ac:dyDescent="0.3">
      <c r="A4987" t="str">
        <f>"20200111150147603"</f>
        <v>20200111150147603</v>
      </c>
      <c r="B4987" t="str">
        <f>"1578726107593537"</f>
        <v>1578726107593537</v>
      </c>
      <c r="C4987" t="s">
        <v>40</v>
      </c>
      <c r="D4987">
        <v>5.2086519999999998</v>
      </c>
      <c r="E4987">
        <v>0.53881599999999996</v>
      </c>
      <c r="F4987" t="s">
        <v>41</v>
      </c>
      <c r="G4987">
        <v>-159.24100000000001</v>
      </c>
      <c r="H4987">
        <v>0.92052750000000005</v>
      </c>
      <c r="I4987">
        <v>137.39160000000001</v>
      </c>
      <c r="J4987">
        <v>-159.88730000000001</v>
      </c>
      <c r="K4987">
        <v>1.1041019999999999</v>
      </c>
      <c r="L4987">
        <v>137.44810000000001</v>
      </c>
      <c r="M4987">
        <v>0.99950119999999998</v>
      </c>
      <c r="N4987">
        <v>0</v>
      </c>
      <c r="O4987">
        <v>2.76239E-2</v>
      </c>
      <c r="P4987">
        <v>0.99416420000000005</v>
      </c>
      <c r="Q4987">
        <v>9.5770809999999998E-2</v>
      </c>
      <c r="R4987">
        <v>4.9654660000000003E-2</v>
      </c>
      <c r="S4987">
        <v>3.0909879999999998</v>
      </c>
      <c r="T4987">
        <v>-0.6751587</v>
      </c>
      <c r="U4987">
        <v>-0.19726560000000001</v>
      </c>
      <c r="V4987">
        <v>-2.1780290000000001E-2</v>
      </c>
      <c r="W4987">
        <v>0.11107210000000001</v>
      </c>
      <c r="X4987">
        <v>0.9935737</v>
      </c>
      <c r="Y4987">
        <v>8.8508470000000006E-2</v>
      </c>
      <c r="Z4987">
        <v>-1.550347E-2</v>
      </c>
      <c r="AA4987">
        <v>0.99595480000000003</v>
      </c>
      <c r="AB4987">
        <v>20</v>
      </c>
      <c r="AC4987">
        <v>0.64629999999999599</v>
      </c>
      <c r="AD4987">
        <v>-0.1835745</v>
      </c>
      <c r="AE4987">
        <v>-5.6499999999999703E-2</v>
      </c>
      <c r="AF4987">
        <v>6.8823413281295501E-2</v>
      </c>
      <c r="AG4987">
        <v>-0.1835745</v>
      </c>
      <c r="AH4987">
        <v>0.59671554362860102</v>
      </c>
      <c r="AI4987">
        <v>106.993966004458</v>
      </c>
      <c r="AJ4987">
        <v>83.4207445839928</v>
      </c>
      <c r="AK4987">
        <v>0.62809688685259002</v>
      </c>
      <c r="AL4987">
        <v>83.622879172484502</v>
      </c>
      <c r="AM4987">
        <v>91.255788937120101</v>
      </c>
      <c r="AN4987">
        <v>1.00000004488129</v>
      </c>
    </row>
    <row r="4988" spans="1:40" x14ac:dyDescent="0.3">
      <c r="A4988" t="str">
        <f>"20200111150147625"</f>
        <v>20200111150147625</v>
      </c>
      <c r="B4988" t="str">
        <f>"1578726107614034"</f>
        <v>1578726107614034</v>
      </c>
      <c r="C4988" t="s">
        <v>40</v>
      </c>
      <c r="D4988">
        <v>5.1219039999999998</v>
      </c>
      <c r="E4988">
        <v>0.53802079999999997</v>
      </c>
      <c r="F4988" t="s">
        <v>41</v>
      </c>
      <c r="G4988">
        <v>-159.06</v>
      </c>
      <c r="H4988">
        <v>0.92747630000000003</v>
      </c>
      <c r="I4988">
        <v>137.39240000000001</v>
      </c>
      <c r="J4988">
        <v>-159.6883</v>
      </c>
      <c r="K4988">
        <v>1.1040779999999999</v>
      </c>
      <c r="L4988">
        <v>137.4504</v>
      </c>
      <c r="M4988">
        <v>0.99956920000000005</v>
      </c>
      <c r="N4988">
        <v>0</v>
      </c>
      <c r="O4988">
        <v>2.5092139999999999E-2</v>
      </c>
      <c r="P4988">
        <v>0.99434069999999997</v>
      </c>
      <c r="Q4988">
        <v>9.7095790000000001E-2</v>
      </c>
      <c r="R4988">
        <v>4.3117530000000001E-2</v>
      </c>
      <c r="S4988">
        <v>3.091599</v>
      </c>
      <c r="T4988">
        <v>-0.66002700000000003</v>
      </c>
      <c r="U4988">
        <v>-0.20819090000000001</v>
      </c>
      <c r="V4988">
        <v>-1.7759589999999999E-2</v>
      </c>
      <c r="W4988">
        <v>0.11229600000000001</v>
      </c>
      <c r="X4988">
        <v>0.99351610000000001</v>
      </c>
      <c r="Y4988">
        <v>8.963103E-2</v>
      </c>
      <c r="Z4988">
        <v>-1.474348E-2</v>
      </c>
      <c r="AA4988">
        <v>0.99586589999999997</v>
      </c>
      <c r="AB4988">
        <v>20</v>
      </c>
      <c r="AC4988">
        <v>0.62829999999999497</v>
      </c>
      <c r="AD4988">
        <v>-0.1766017</v>
      </c>
      <c r="AE4988">
        <v>-5.7999999999992703E-2</v>
      </c>
      <c r="AF4988">
        <v>6.83913377865695E-2</v>
      </c>
      <c r="AG4988">
        <v>-0.1766017</v>
      </c>
      <c r="AH4988">
        <v>0.58112283096758999</v>
      </c>
      <c r="AI4988">
        <v>106.794571059239</v>
      </c>
      <c r="AJ4988">
        <v>83.287834488989802</v>
      </c>
      <c r="AK4988">
        <v>0.61120314151590605</v>
      </c>
      <c r="AL4988">
        <v>83.552313215186103</v>
      </c>
      <c r="AM4988">
        <v>91.024081233663495</v>
      </c>
      <c r="AN4988">
        <v>1.0000000178060799</v>
      </c>
    </row>
    <row r="4989" spans="1:40" x14ac:dyDescent="0.3">
      <c r="A4989" t="str">
        <f>"20200111150147647"</f>
        <v>20200111150147647</v>
      </c>
      <c r="B4989" t="str">
        <f>"1578726107643316"</f>
        <v>1578726107643316</v>
      </c>
      <c r="C4989" t="s">
        <v>40</v>
      </c>
      <c r="D4989">
        <v>5.1752940000000001</v>
      </c>
      <c r="E4989">
        <v>0.53682450000000004</v>
      </c>
      <c r="F4989" t="s">
        <v>41</v>
      </c>
      <c r="G4989">
        <v>-158.87950000000001</v>
      </c>
      <c r="H4989">
        <v>0.9337666</v>
      </c>
      <c r="I4989">
        <v>137.39230000000001</v>
      </c>
      <c r="J4989">
        <v>-159.49299999999999</v>
      </c>
      <c r="K4989">
        <v>1.1040490000000001</v>
      </c>
      <c r="L4989">
        <v>137.4522</v>
      </c>
      <c r="M4989">
        <v>0.99963080000000004</v>
      </c>
      <c r="N4989">
        <v>0</v>
      </c>
      <c r="O4989">
        <v>2.2580030000000001E-2</v>
      </c>
      <c r="P4989">
        <v>0.99470650000000005</v>
      </c>
      <c r="Q4989">
        <v>9.6794160000000004E-2</v>
      </c>
      <c r="R4989">
        <v>3.4496150000000003E-2</v>
      </c>
      <c r="S4989">
        <v>3.090195</v>
      </c>
      <c r="T4989">
        <v>-0.65063800000000005</v>
      </c>
      <c r="U4989">
        <v>-0.2214661</v>
      </c>
      <c r="V4989">
        <v>-1.1641439999999999E-2</v>
      </c>
      <c r="W4989">
        <v>0.1118663</v>
      </c>
      <c r="X4989">
        <v>0.99365510000000001</v>
      </c>
      <c r="Y4989">
        <v>9.1501009999999994E-2</v>
      </c>
      <c r="Z4989">
        <v>-1.421446E-2</v>
      </c>
      <c r="AA4989">
        <v>0.99570349999999996</v>
      </c>
      <c r="AB4989">
        <v>20</v>
      </c>
      <c r="AC4989">
        <v>0.61349999999998694</v>
      </c>
      <c r="AD4989">
        <v>-0.1702824</v>
      </c>
      <c r="AE4989">
        <v>-5.9899999999998899E-2</v>
      </c>
      <c r="AF4989">
        <v>6.8510980224661899E-2</v>
      </c>
      <c r="AG4989">
        <v>-0.1702824</v>
      </c>
      <c r="AH4989">
        <v>0.56860012577033103</v>
      </c>
      <c r="AI4989">
        <v>106.55858404745101</v>
      </c>
      <c r="AJ4989">
        <v>83.129516931903794</v>
      </c>
      <c r="AK4989">
        <v>0.59749138335806995</v>
      </c>
      <c r="AL4989">
        <v>83.577089370511501</v>
      </c>
      <c r="AM4989">
        <v>90.671233775565696</v>
      </c>
      <c r="AN4989">
        <v>1.00000002497848</v>
      </c>
    </row>
    <row r="4990" spans="1:40" x14ac:dyDescent="0.3">
      <c r="A4990" t="str">
        <f>"20200111150147669"</f>
        <v>20200111150147669</v>
      </c>
      <c r="B4990" t="str">
        <f>"1578726107663809"</f>
        <v>1578726107663809</v>
      </c>
      <c r="C4990" t="s">
        <v>40</v>
      </c>
      <c r="D4990">
        <v>5.1530259999999997</v>
      </c>
      <c r="E4990">
        <v>0.53607680000000002</v>
      </c>
      <c r="F4990" t="s">
        <v>41</v>
      </c>
      <c r="G4990">
        <v>-158.70060000000001</v>
      </c>
      <c r="H4990">
        <v>0.9375192</v>
      </c>
      <c r="I4990">
        <v>137.39160000000001</v>
      </c>
      <c r="J4990">
        <v>-159.29310000000001</v>
      </c>
      <c r="K4990">
        <v>1.1040209999999999</v>
      </c>
      <c r="L4990">
        <v>137.45359999999999</v>
      </c>
      <c r="M4990">
        <v>0.99968829999999997</v>
      </c>
      <c r="N4990">
        <v>0</v>
      </c>
      <c r="O4990">
        <v>1.9969259999999999E-2</v>
      </c>
      <c r="P4990">
        <v>0.99508629999999998</v>
      </c>
      <c r="Q4990">
        <v>9.538104E-2</v>
      </c>
      <c r="R4990">
        <v>2.657354E-2</v>
      </c>
      <c r="S4990">
        <v>3.0872799999999998</v>
      </c>
      <c r="T4990">
        <v>-0.64876679999999998</v>
      </c>
      <c r="U4990">
        <v>-0.23591609999999999</v>
      </c>
      <c r="V4990">
        <v>-6.3252859999999899E-3</v>
      </c>
      <c r="W4990">
        <v>0.1103143</v>
      </c>
      <c r="X4990">
        <v>0.9938766</v>
      </c>
      <c r="Y4990">
        <v>9.3623910000000005E-2</v>
      </c>
      <c r="Z4990">
        <v>-1.3863399999999901E-2</v>
      </c>
      <c r="AA4990">
        <v>0.99551109999999998</v>
      </c>
      <c r="AB4990">
        <v>20</v>
      </c>
      <c r="AC4990">
        <v>0.59250000000000103</v>
      </c>
      <c r="AD4990">
        <v>-0.16650180000000001</v>
      </c>
      <c r="AE4990">
        <v>-6.1999999999983402E-2</v>
      </c>
      <c r="AF4990">
        <v>6.8472087471579804E-2</v>
      </c>
      <c r="AG4990">
        <v>-0.16650180000000001</v>
      </c>
      <c r="AH4990">
        <v>0.54831244925723599</v>
      </c>
      <c r="AI4990">
        <v>106.768703171515</v>
      </c>
      <c r="AJ4990">
        <v>82.881873971933004</v>
      </c>
      <c r="AK4990">
        <v>0.57711161674014599</v>
      </c>
      <c r="AL4990">
        <v>83.666565943415904</v>
      </c>
      <c r="AM4990">
        <v>90.3646401365245</v>
      </c>
      <c r="AN4990">
        <v>0.99999997502751503</v>
      </c>
    </row>
    <row r="4991" spans="1:40" x14ac:dyDescent="0.3">
      <c r="A4991" t="str">
        <f>"20200111150147693"</f>
        <v>20200111150147693</v>
      </c>
      <c r="B4991" t="str">
        <f>"1578726107683330"</f>
        <v>1578726107683330</v>
      </c>
      <c r="C4991" t="s">
        <v>40</v>
      </c>
      <c r="D4991">
        <v>5.185238</v>
      </c>
      <c r="E4991">
        <v>0.53534040000000005</v>
      </c>
      <c r="F4991" t="s">
        <v>41</v>
      </c>
      <c r="G4991">
        <v>-158.52209999999999</v>
      </c>
      <c r="H4991">
        <v>0.9409883</v>
      </c>
      <c r="I4991">
        <v>137.38999999999999</v>
      </c>
      <c r="J4991">
        <v>-159.09299999999999</v>
      </c>
      <c r="K4991">
        <v>1.1039620000000001</v>
      </c>
      <c r="L4991">
        <v>137.45439999999999</v>
      </c>
      <c r="M4991">
        <v>0.99973979999999996</v>
      </c>
      <c r="N4991">
        <v>0</v>
      </c>
      <c r="O4991">
        <v>1.731742E-2</v>
      </c>
      <c r="P4991">
        <v>0.99556880000000003</v>
      </c>
      <c r="Q4991">
        <v>9.1785790000000006E-2</v>
      </c>
      <c r="R4991">
        <v>2.0460760000000001E-2</v>
      </c>
      <c r="S4991">
        <v>3.084076</v>
      </c>
      <c r="T4991">
        <v>-0.65206370000000002</v>
      </c>
      <c r="U4991">
        <v>-0.25364690000000001</v>
      </c>
      <c r="V4991">
        <v>-2.8601970000000001E-3</v>
      </c>
      <c r="W4991">
        <v>0.10657419999999999</v>
      </c>
      <c r="X4991">
        <v>0.99430070000000004</v>
      </c>
      <c r="Y4991">
        <v>9.6711060000000001E-2</v>
      </c>
      <c r="Z4991">
        <v>-1.3711879999999999E-2</v>
      </c>
      <c r="AA4991">
        <v>0.99521800000000005</v>
      </c>
      <c r="AB4991">
        <v>20</v>
      </c>
      <c r="AC4991">
        <v>0.57089999999999397</v>
      </c>
      <c r="AD4991">
        <v>-0.1629737</v>
      </c>
      <c r="AE4991">
        <v>-6.4400000000006202E-2</v>
      </c>
      <c r="AF4991">
        <v>6.8746081945190898E-2</v>
      </c>
      <c r="AG4991">
        <v>-0.1629737</v>
      </c>
      <c r="AH4991">
        <v>0.52727056772259695</v>
      </c>
      <c r="AI4991">
        <v>107.040051084426</v>
      </c>
      <c r="AJ4991">
        <v>82.571620087537198</v>
      </c>
      <c r="AK4991">
        <v>0.55614809382125396</v>
      </c>
      <c r="AL4991">
        <v>83.882129833239205</v>
      </c>
      <c r="AM4991">
        <v>90.164816101067103</v>
      </c>
      <c r="AN4991">
        <v>1.0000000614265001</v>
      </c>
    </row>
    <row r="4992" spans="1:40" x14ac:dyDescent="0.3">
      <c r="A4992" t="str">
        <f>"20200111150147714"</f>
        <v>20200111150147714</v>
      </c>
      <c r="B4992" t="str">
        <f>"1578726107703826"</f>
        <v>1578726107703826</v>
      </c>
      <c r="C4992" t="s">
        <v>40</v>
      </c>
      <c r="D4992">
        <v>5.156822</v>
      </c>
      <c r="E4992">
        <v>0.53465220000000002</v>
      </c>
      <c r="F4992" t="s">
        <v>41</v>
      </c>
      <c r="G4992">
        <v>-158.3443</v>
      </c>
      <c r="H4992">
        <v>0.94347910000000001</v>
      </c>
      <c r="I4992">
        <v>137.38929999999999</v>
      </c>
      <c r="J4992">
        <v>-158.8989</v>
      </c>
      <c r="K4992">
        <v>1.1038539999999999</v>
      </c>
      <c r="L4992">
        <v>137.45480000000001</v>
      </c>
      <c r="M4992">
        <v>0.99978370000000005</v>
      </c>
      <c r="N4992">
        <v>0</v>
      </c>
      <c r="O4992">
        <v>1.471182E-2</v>
      </c>
      <c r="P4992">
        <v>0.99596359999999995</v>
      </c>
      <c r="Q4992">
        <v>8.8317950000000006E-2</v>
      </c>
      <c r="R4992">
        <v>1.601882E-2</v>
      </c>
      <c r="S4992">
        <v>3.0797119999999998</v>
      </c>
      <c r="T4992">
        <v>-0.66010769999999996</v>
      </c>
      <c r="U4992">
        <v>-0.26762390000000003</v>
      </c>
      <c r="V4992">
        <v>-1.014834E-3</v>
      </c>
      <c r="W4992">
        <v>0.1029636</v>
      </c>
      <c r="X4992">
        <v>0.99468460000000003</v>
      </c>
      <c r="Y4992">
        <v>9.8664669999999996E-2</v>
      </c>
      <c r="Z4992">
        <v>-1.3549189999999999E-2</v>
      </c>
      <c r="AA4992">
        <v>0.99502849999999998</v>
      </c>
      <c r="AB4992">
        <v>20</v>
      </c>
      <c r="AC4992">
        <v>0.55459999999999299</v>
      </c>
      <c r="AD4992">
        <v>-0.16037489999999999</v>
      </c>
      <c r="AE4992">
        <v>-6.5500000000014297E-2</v>
      </c>
      <c r="AF4992">
        <v>6.8041563204266298E-2</v>
      </c>
      <c r="AG4992">
        <v>-0.16037489999999999</v>
      </c>
      <c r="AH4992">
        <v>0.51140088589707</v>
      </c>
      <c r="AI4992">
        <v>107.268369695339</v>
      </c>
      <c r="AJ4992">
        <v>82.421343209039904</v>
      </c>
      <c r="AK4992">
        <v>0.54025977915221302</v>
      </c>
      <c r="AL4992">
        <v>84.0901464763798</v>
      </c>
      <c r="AM4992">
        <v>90.058456404101605</v>
      </c>
      <c r="AN4992">
        <v>0.99999999314508303</v>
      </c>
    </row>
    <row r="4993" spans="1:40" x14ac:dyDescent="0.3">
      <c r="A4993" t="str">
        <f>"20200111150147737"</f>
        <v>20200111150147737</v>
      </c>
      <c r="B4993" t="str">
        <f>"1578726107734082"</f>
        <v>1578726107734082</v>
      </c>
      <c r="C4993" t="s">
        <v>40</v>
      </c>
      <c r="D4993">
        <v>5.0879409999999998</v>
      </c>
      <c r="E4993">
        <v>0.53392919999999999</v>
      </c>
      <c r="F4993" t="s">
        <v>41</v>
      </c>
      <c r="G4993">
        <v>-158.16749999999999</v>
      </c>
      <c r="H4993">
        <v>0.94453819999999999</v>
      </c>
      <c r="I4993">
        <v>137.3895</v>
      </c>
      <c r="J4993">
        <v>-158.703</v>
      </c>
      <c r="K4993">
        <v>1.1037140000000001</v>
      </c>
      <c r="L4993">
        <v>137.4545</v>
      </c>
      <c r="M4993">
        <v>0.99982139999999997</v>
      </c>
      <c r="N4993">
        <v>0</v>
      </c>
      <c r="O4993">
        <v>1.204152E-2</v>
      </c>
      <c r="P4993">
        <v>0.99640390000000001</v>
      </c>
      <c r="Q4993">
        <v>8.3867170000000005E-2</v>
      </c>
      <c r="R4993">
        <v>1.2072619999999999E-2</v>
      </c>
      <c r="S4993">
        <v>3.0759889999999999</v>
      </c>
      <c r="T4993">
        <v>-0.6699119</v>
      </c>
      <c r="U4993">
        <v>-0.27412409999999998</v>
      </c>
      <c r="V4993">
        <v>2.7183399999999999E-4</v>
      </c>
      <c r="W4993">
        <v>9.8379309999999998E-2</v>
      </c>
      <c r="X4993">
        <v>0.99514899999999995</v>
      </c>
      <c r="Y4993">
        <v>9.8189940000000003E-2</v>
      </c>
      <c r="Z4993">
        <v>-1.313595E-2</v>
      </c>
      <c r="AA4993">
        <v>0.99508099999999999</v>
      </c>
      <c r="AB4993">
        <v>20</v>
      </c>
      <c r="AC4993">
        <v>0.53550000000001297</v>
      </c>
      <c r="AD4993">
        <v>-0.15917579999999901</v>
      </c>
      <c r="AE4993">
        <v>-6.4999999999997699E-2</v>
      </c>
      <c r="AF4993">
        <v>6.5721630281167398E-2</v>
      </c>
      <c r="AG4993">
        <v>-0.15917579999999901</v>
      </c>
      <c r="AH4993">
        <v>0.49185144395678498</v>
      </c>
      <c r="AI4993">
        <v>107.784931301114</v>
      </c>
      <c r="AJ4993">
        <v>82.389168948243906</v>
      </c>
      <c r="AK4993">
        <v>0.52112772994231404</v>
      </c>
      <c r="AL4993">
        <v>84.354148696326007</v>
      </c>
      <c r="AM4993">
        <v>89.984349137123402</v>
      </c>
      <c r="AN4993">
        <v>1.0000000473653901</v>
      </c>
    </row>
    <row r="4994" spans="1:40" x14ac:dyDescent="0.3">
      <c r="A4994" t="str">
        <f>"20200111150147759"</f>
        <v>20200111150147759</v>
      </c>
      <c r="B4994" t="str">
        <f>"1578726107753602"</f>
        <v>1578726107753602</v>
      </c>
      <c r="C4994" t="s">
        <v>40</v>
      </c>
      <c r="D4994">
        <v>5.037382</v>
      </c>
      <c r="E4994">
        <v>0.53331039999999996</v>
      </c>
      <c r="F4994" t="s">
        <v>41</v>
      </c>
      <c r="G4994">
        <v>-157.9907</v>
      </c>
      <c r="H4994">
        <v>0.94580509999999995</v>
      </c>
      <c r="I4994">
        <v>137.3897</v>
      </c>
      <c r="J4994">
        <v>-158.50290000000001</v>
      </c>
      <c r="K4994">
        <v>1.103572</v>
      </c>
      <c r="L4994">
        <v>137.4537</v>
      </c>
      <c r="M4994">
        <v>0.99985279999999999</v>
      </c>
      <c r="N4994">
        <v>0</v>
      </c>
      <c r="O4994">
        <v>9.2510700000000001E-3</v>
      </c>
      <c r="P4994">
        <v>0.99712679999999998</v>
      </c>
      <c r="Q4994">
        <v>7.5301010000000002E-2</v>
      </c>
      <c r="R4994">
        <v>8.2530569999999994E-3</v>
      </c>
      <c r="S4994">
        <v>3.0715330000000001</v>
      </c>
      <c r="T4994">
        <v>-0.68094860000000001</v>
      </c>
      <c r="U4994">
        <v>-0.27960210000000002</v>
      </c>
      <c r="V4994">
        <v>1.3002409999999999E-3</v>
      </c>
      <c r="W4994">
        <v>8.9696170000000006E-2</v>
      </c>
      <c r="X4994">
        <v>0.99596830000000003</v>
      </c>
      <c r="Y4994">
        <v>9.7298770000000007E-2</v>
      </c>
      <c r="Z4994">
        <v>-1.265753E-2</v>
      </c>
      <c r="AA4994">
        <v>0.99517469999999997</v>
      </c>
      <c r="AB4994">
        <v>20</v>
      </c>
      <c r="AC4994">
        <v>0.51220000000000698</v>
      </c>
      <c r="AD4994">
        <v>-0.15776689999999999</v>
      </c>
      <c r="AE4994">
        <v>-6.3999999999992896E-2</v>
      </c>
      <c r="AF4994">
        <v>6.2863640405919602E-2</v>
      </c>
      <c r="AG4994">
        <v>-0.15776689999999999</v>
      </c>
      <c r="AH4994">
        <v>0.46787830495539601</v>
      </c>
      <c r="AI4994">
        <v>108.47929030583001</v>
      </c>
      <c r="AJ4994">
        <v>82.347627022190494</v>
      </c>
      <c r="AK4994">
        <v>0.49774726545570203</v>
      </c>
      <c r="AL4994">
        <v>84.853871645734202</v>
      </c>
      <c r="AM4994">
        <v>89.925200150118798</v>
      </c>
      <c r="AN4994">
        <v>0.99999997407210806</v>
      </c>
    </row>
    <row r="4995" spans="1:40" x14ac:dyDescent="0.3">
      <c r="A4995" t="str">
        <f>"20200111150147782"</f>
        <v>20200111150147782</v>
      </c>
      <c r="B4995" t="str">
        <f>"1578726107774097"</f>
        <v>1578726107774097</v>
      </c>
      <c r="C4995" t="s">
        <v>40</v>
      </c>
      <c r="D4995">
        <v>5.0369390000000003</v>
      </c>
      <c r="E4995">
        <v>0.52036949999999904</v>
      </c>
      <c r="F4995" t="s">
        <v>41</v>
      </c>
      <c r="G4995">
        <v>-157.815</v>
      </c>
      <c r="H4995">
        <v>0.94539550000000006</v>
      </c>
      <c r="I4995">
        <v>137.38939999999999</v>
      </c>
      <c r="J4995">
        <v>-158.2997</v>
      </c>
      <c r="K4995">
        <v>1.1034600000000001</v>
      </c>
      <c r="L4995">
        <v>137.4521</v>
      </c>
      <c r="M4995">
        <v>0.99987729999999997</v>
      </c>
      <c r="N4995">
        <v>0</v>
      </c>
      <c r="O4995">
        <v>6.3230639999999998E-3</v>
      </c>
      <c r="P4995">
        <v>0.99776969999999998</v>
      </c>
      <c r="Q4995">
        <v>6.6609639999999998E-2</v>
      </c>
      <c r="R4995">
        <v>4.3474350000000002E-3</v>
      </c>
      <c r="S4995">
        <v>3.0642239999999998</v>
      </c>
      <c r="T4995">
        <v>-0.70445780000000002</v>
      </c>
      <c r="U4995">
        <v>-0.285705599999999</v>
      </c>
      <c r="V4995">
        <v>2.2702040000000001E-3</v>
      </c>
      <c r="W4995">
        <v>8.0897830000000004E-2</v>
      </c>
      <c r="X4995">
        <v>0.99671980000000004</v>
      </c>
      <c r="Y4995">
        <v>9.6471879999999996E-2</v>
      </c>
      <c r="Z4995">
        <v>-1.2355949999999999E-2</v>
      </c>
      <c r="AA4995">
        <v>0.995259</v>
      </c>
      <c r="AB4995">
        <v>20</v>
      </c>
      <c r="AC4995">
        <v>0.48470000000000302</v>
      </c>
      <c r="AD4995">
        <v>-0.1580645</v>
      </c>
      <c r="AE4995">
        <v>-6.2700000000006598E-2</v>
      </c>
      <c r="AF4995">
        <v>5.95365586594786E-2</v>
      </c>
      <c r="AG4995">
        <v>-0.1580645</v>
      </c>
      <c r="AH4995">
        <v>0.43843520134340103</v>
      </c>
      <c r="AI4995">
        <v>109.65880864831701</v>
      </c>
      <c r="AJ4995">
        <v>82.2669182758262</v>
      </c>
      <c r="AK4995">
        <v>0.46984509548817499</v>
      </c>
      <c r="AL4995">
        <v>85.359825049602307</v>
      </c>
      <c r="AM4995">
        <v>89.869499047873703</v>
      </c>
      <c r="AN4995">
        <v>0.99999998621847497</v>
      </c>
    </row>
    <row r="4996" spans="1:40" x14ac:dyDescent="0.3">
      <c r="A4996" t="str">
        <f>"20200111150147803"</f>
        <v>20200111150147803</v>
      </c>
      <c r="B4996" t="str">
        <f>"1578726107793618"</f>
        <v>1578726107793618</v>
      </c>
      <c r="C4996" t="s">
        <v>40</v>
      </c>
      <c r="D4996">
        <v>5.059113</v>
      </c>
      <c r="E4996">
        <v>0.51895930000000001</v>
      </c>
      <c r="F4996" t="s">
        <v>41</v>
      </c>
      <c r="G4996">
        <v>-157.46379999999999</v>
      </c>
      <c r="H4996">
        <v>0.94510629999999995</v>
      </c>
      <c r="I4996">
        <v>137.4006</v>
      </c>
      <c r="J4996">
        <v>-158.11340000000001</v>
      </c>
      <c r="K4996">
        <v>1.1034120000000001</v>
      </c>
      <c r="L4996">
        <v>137.44999999999999</v>
      </c>
      <c r="M4996">
        <v>0.99989240000000001</v>
      </c>
      <c r="N4996">
        <v>0</v>
      </c>
      <c r="O4996">
        <v>3.5578110000000001E-3</v>
      </c>
      <c r="P4996">
        <v>0.9981061</v>
      </c>
      <c r="Q4996">
        <v>6.151044E-2</v>
      </c>
      <c r="R4996">
        <v>1.010803E-3</v>
      </c>
      <c r="S4996">
        <v>3.046036</v>
      </c>
      <c r="T4996">
        <v>-0.57696559999999997</v>
      </c>
      <c r="U4996">
        <v>-0.18728639999999999</v>
      </c>
      <c r="V4996">
        <v>2.8372879999999999E-3</v>
      </c>
      <c r="W4996">
        <v>7.5707250000000004E-2</v>
      </c>
      <c r="X4996">
        <v>0.99712599999999996</v>
      </c>
      <c r="Y4996">
        <v>6.3728450000000006E-2</v>
      </c>
      <c r="Z4996">
        <v>-6.6443229999999997E-3</v>
      </c>
      <c r="AA4996">
        <v>0.99794510000000003</v>
      </c>
      <c r="AB4996">
        <v>20</v>
      </c>
      <c r="AC4996">
        <v>0.64960000000002005</v>
      </c>
      <c r="AD4996">
        <v>-0.15830569999999999</v>
      </c>
      <c r="AE4996">
        <v>-4.9399999999991402E-2</v>
      </c>
      <c r="AF4996">
        <v>4.8827939385359398E-2</v>
      </c>
      <c r="AG4996">
        <v>-0.15830569999999999</v>
      </c>
      <c r="AH4996">
        <v>0.61321188420673001</v>
      </c>
      <c r="AI4996">
        <v>104.431566273603</v>
      </c>
      <c r="AJ4996">
        <v>85.447341093073703</v>
      </c>
      <c r="AK4996">
        <v>0.63519577867731403</v>
      </c>
      <c r="AL4996">
        <v>85.658139493170196</v>
      </c>
      <c r="AM4996">
        <v>89.836967254969906</v>
      </c>
      <c r="AN4996">
        <v>0.99999994889087696</v>
      </c>
    </row>
    <row r="4997" spans="1:40" x14ac:dyDescent="0.3">
      <c r="A4997" t="str">
        <f>"20200111150147848"</f>
        <v>20200111150147848</v>
      </c>
      <c r="B4997" t="str">
        <f>"1578726107843398"</f>
        <v>1578726107843398</v>
      </c>
      <c r="C4997" t="s">
        <v>40</v>
      </c>
      <c r="D4997">
        <v>5.0241030000000002</v>
      </c>
      <c r="E4997">
        <v>0.51895930000000001</v>
      </c>
      <c r="F4997" t="s">
        <v>41</v>
      </c>
      <c r="G4997">
        <v>-157.29230000000001</v>
      </c>
      <c r="H4997">
        <v>0.93714140000000001</v>
      </c>
      <c r="I4997">
        <v>137.39869999999999</v>
      </c>
      <c r="J4997">
        <v>-157.72059999999999</v>
      </c>
      <c r="K4997">
        <v>1.103445</v>
      </c>
      <c r="L4997">
        <v>137.44370000000001</v>
      </c>
      <c r="M4997">
        <v>0.99989810000000001</v>
      </c>
      <c r="N4997">
        <v>0</v>
      </c>
      <c r="O4997">
        <v>-2.4393209999999999E-3</v>
      </c>
      <c r="P4997">
        <v>0.99766489999999997</v>
      </c>
      <c r="Q4997">
        <v>6.8279800000000002E-2</v>
      </c>
      <c r="R4997">
        <v>-1.7400549999999999E-3</v>
      </c>
      <c r="S4997">
        <v>3.0438839999999998</v>
      </c>
      <c r="T4997">
        <v>-0.61632900000000002</v>
      </c>
      <c r="U4997">
        <v>-0.18960569999999999</v>
      </c>
      <c r="V4997">
        <v>-3.6431860000000002E-4</v>
      </c>
      <c r="W4997">
        <v>8.2313109999999995E-2</v>
      </c>
      <c r="X4997">
        <v>0.99660649999999995</v>
      </c>
      <c r="Y4997">
        <v>5.8599909999999998E-2</v>
      </c>
      <c r="Z4997">
        <v>-5.3790419999999997E-3</v>
      </c>
      <c r="AA4997">
        <v>0.99826709999999996</v>
      </c>
      <c r="AB4997">
        <v>20</v>
      </c>
      <c r="AC4997">
        <v>0.42829999999997798</v>
      </c>
      <c r="AD4997">
        <v>-0.1663036</v>
      </c>
      <c r="AE4997">
        <v>-4.5000000000015902E-2</v>
      </c>
      <c r="AF4997">
        <v>3.8250972429814303E-2</v>
      </c>
      <c r="AG4997">
        <v>-0.1663036</v>
      </c>
      <c r="AH4997">
        <v>0.372814045455858</v>
      </c>
      <c r="AI4997">
        <v>113.92911193398599</v>
      </c>
      <c r="AJ4997">
        <v>84.141912832515303</v>
      </c>
      <c r="AK4997">
        <v>0.410012605603716</v>
      </c>
      <c r="AL4997">
        <v>85.278464402390895</v>
      </c>
      <c r="AM4997">
        <v>90.020944994085696</v>
      </c>
      <c r="AN4997">
        <v>1.0000000483240801</v>
      </c>
    </row>
    <row r="4998" spans="1:40" x14ac:dyDescent="0.3">
      <c r="A4998" t="str">
        <f>"20200111150147871"</f>
        <v>20200111150147871</v>
      </c>
      <c r="B4998" t="str">
        <f>"1578726107863890"</f>
        <v>1578726107863890</v>
      </c>
      <c r="C4998" t="s">
        <v>40</v>
      </c>
      <c r="D4998">
        <v>4.991644</v>
      </c>
      <c r="E4998">
        <v>0.49453570000000002</v>
      </c>
      <c r="F4998" t="s">
        <v>41</v>
      </c>
      <c r="G4998">
        <v>-156.9359</v>
      </c>
      <c r="H4998">
        <v>0.95040460000000004</v>
      </c>
      <c r="I4998">
        <v>137.3914</v>
      </c>
      <c r="J4998">
        <v>-157.52340000000001</v>
      </c>
      <c r="K4998">
        <v>1.103526</v>
      </c>
      <c r="L4998">
        <v>137.43960000000001</v>
      </c>
      <c r="M4998">
        <v>0.99988560000000004</v>
      </c>
      <c r="N4998">
        <v>0</v>
      </c>
      <c r="O4998">
        <v>-5.4743600000000002E-3</v>
      </c>
      <c r="P4998">
        <v>0.99753849999999999</v>
      </c>
      <c r="Q4998">
        <v>7.0107779999999995E-2</v>
      </c>
      <c r="R4998">
        <v>1.53692E-3</v>
      </c>
      <c r="S4998">
        <v>3.0473629999999998</v>
      </c>
      <c r="T4998">
        <v>-0.59435869999999902</v>
      </c>
      <c r="U4998">
        <v>-0.20349120000000001</v>
      </c>
      <c r="V4998">
        <v>-6.6641460000000001E-3</v>
      </c>
      <c r="W4998">
        <v>8.4197209999999995E-2</v>
      </c>
      <c r="X4998">
        <v>0.99642679999999995</v>
      </c>
      <c r="Y4998">
        <v>6.0138650000000002E-2</v>
      </c>
      <c r="Z4998">
        <v>-4.7470430000000003E-3</v>
      </c>
      <c r="AA4998">
        <v>0.99817869999999997</v>
      </c>
      <c r="AB4998">
        <v>19</v>
      </c>
      <c r="AC4998">
        <v>0.58750000000000502</v>
      </c>
      <c r="AD4998">
        <v>-0.15312139999999899</v>
      </c>
      <c r="AE4998">
        <v>-4.8200000000008403E-2</v>
      </c>
      <c r="AF4998">
        <v>4.2139416112670199E-2</v>
      </c>
      <c r="AG4998">
        <v>-0.15312139999999899</v>
      </c>
      <c r="AH4998">
        <v>0.55060316145075705</v>
      </c>
      <c r="AI4998">
        <v>105.497985133496</v>
      </c>
      <c r="AJ4998">
        <v>85.623502802669293</v>
      </c>
      <c r="AK4998">
        <v>0.57304950477933803</v>
      </c>
      <c r="AL4998">
        <v>85.170136971949404</v>
      </c>
      <c r="AM4998">
        <v>90.383190964929597</v>
      </c>
      <c r="AN4998">
        <v>0.999999974385966</v>
      </c>
    </row>
    <row r="4999" spans="1:40" x14ac:dyDescent="0.3">
      <c r="A4999" t="str">
        <f>"20200111150147893"</f>
        <v>20200111150147893</v>
      </c>
      <c r="B4999" t="str">
        <f>"1578726107883410"</f>
        <v>1578726107883410</v>
      </c>
      <c r="C4999" t="s">
        <v>40</v>
      </c>
      <c r="D4999">
        <v>5.0054230000000004</v>
      </c>
      <c r="E4999">
        <v>0.49263050000000003</v>
      </c>
      <c r="F4999" t="s">
        <v>41</v>
      </c>
      <c r="G4999">
        <v>-156.72489999999999</v>
      </c>
      <c r="H4999">
        <v>1.0236099999999999</v>
      </c>
      <c r="I4999">
        <v>137.44380000000001</v>
      </c>
      <c r="J4999">
        <v>-157.3339</v>
      </c>
      <c r="K4999">
        <v>1.10372</v>
      </c>
      <c r="L4999">
        <v>137.43520000000001</v>
      </c>
      <c r="M4999">
        <v>0.99985990000000002</v>
      </c>
      <c r="N4999">
        <v>0</v>
      </c>
      <c r="O4999">
        <v>-8.359109E-3</v>
      </c>
      <c r="P4999">
        <v>0.99754379999999998</v>
      </c>
      <c r="Q4999">
        <v>6.9725800000000004E-2</v>
      </c>
      <c r="R4999">
        <v>6.7163479999999996E-3</v>
      </c>
      <c r="S4999">
        <v>3.028702</v>
      </c>
      <c r="T4999">
        <v>-0.30305330000000003</v>
      </c>
      <c r="U4999">
        <v>1.5930179999999999E-2</v>
      </c>
      <c r="V4999">
        <v>-1.473059E-2</v>
      </c>
      <c r="W4999">
        <v>8.4249969999999993E-2</v>
      </c>
      <c r="X4999">
        <v>0.99633570000000005</v>
      </c>
      <c r="Y4999">
        <v>-1.351015E-2</v>
      </c>
      <c r="Z4999">
        <v>1.5086399999999999E-3</v>
      </c>
      <c r="AA4999">
        <v>0.99990760000000001</v>
      </c>
      <c r="AB4999">
        <v>19</v>
      </c>
      <c r="AC4999">
        <v>0.60900000000000798</v>
      </c>
      <c r="AD4999">
        <v>-8.0109999999999904E-2</v>
      </c>
      <c r="AE4999">
        <v>8.6000000000012698E-3</v>
      </c>
      <c r="AF4999">
        <v>-1.34581037304545E-2</v>
      </c>
      <c r="AG4999">
        <v>-8.0109999999999904E-2</v>
      </c>
      <c r="AH4999">
        <v>0.59855173017204399</v>
      </c>
      <c r="AI4999">
        <v>97.621245312153206</v>
      </c>
      <c r="AJ4999">
        <v>91.288046801175696</v>
      </c>
      <c r="AK4999">
        <v>0.60403882851019397</v>
      </c>
      <c r="AL4999">
        <v>85.167103088308096</v>
      </c>
      <c r="AM4999">
        <v>90.847042967845994</v>
      </c>
      <c r="AN4999">
        <v>0.99999993741061699</v>
      </c>
    </row>
    <row r="5000" spans="1:40" x14ac:dyDescent="0.3">
      <c r="A5000" t="str">
        <f>"20200111150147915"</f>
        <v>20200111150147915</v>
      </c>
      <c r="B5000" t="str">
        <f>"1578726107903906"</f>
        <v>1578726107903906</v>
      </c>
      <c r="C5000" t="s">
        <v>40</v>
      </c>
      <c r="D5000">
        <v>4.9991079999999997</v>
      </c>
      <c r="E5000">
        <v>0.49243710000000002</v>
      </c>
      <c r="F5000" t="s">
        <v>41</v>
      </c>
      <c r="G5000">
        <v>-156.548</v>
      </c>
      <c r="H5000">
        <v>1.0279910000000001</v>
      </c>
      <c r="I5000">
        <v>137.44730000000001</v>
      </c>
      <c r="J5000">
        <v>-157.1438</v>
      </c>
      <c r="K5000">
        <v>1.1040410000000001</v>
      </c>
      <c r="L5000">
        <v>137.43020000000001</v>
      </c>
      <c r="M5000">
        <v>0.99981759999999997</v>
      </c>
      <c r="N5000">
        <v>0</v>
      </c>
      <c r="O5000">
        <v>-1.121977E-2</v>
      </c>
      <c r="P5000">
        <v>0.99748809999999999</v>
      </c>
      <c r="Q5000">
        <v>6.9526679999999993E-2</v>
      </c>
      <c r="R5000">
        <v>1.3549159999999999E-2</v>
      </c>
      <c r="S5000">
        <v>3.027466</v>
      </c>
      <c r="T5000">
        <v>-0.29170869999999999</v>
      </c>
      <c r="U5000">
        <v>4.6768190000000001E-2</v>
      </c>
      <c r="V5000">
        <v>-2.442946E-2</v>
      </c>
      <c r="W5000">
        <v>8.5026790000000005E-2</v>
      </c>
      <c r="X5000">
        <v>0.9960791</v>
      </c>
      <c r="Y5000">
        <v>-2.649031E-2</v>
      </c>
      <c r="Z5000">
        <v>2.351845E-3</v>
      </c>
      <c r="AA5000">
        <v>0.99964629999999999</v>
      </c>
      <c r="AB5000">
        <v>19</v>
      </c>
      <c r="AC5000">
        <v>0.595799999999997</v>
      </c>
      <c r="AD5000">
        <v>-7.6050000000000104E-2</v>
      </c>
      <c r="AE5000">
        <v>1.7099999999999199E-2</v>
      </c>
      <c r="AF5000">
        <v>-2.3403465312046901E-2</v>
      </c>
      <c r="AG5000">
        <v>-7.6050000000000104E-2</v>
      </c>
      <c r="AH5000">
        <v>0.58603035396038095</v>
      </c>
      <c r="AI5000">
        <v>97.388209528121905</v>
      </c>
      <c r="AJ5000">
        <v>92.286925250401197</v>
      </c>
      <c r="AK5000">
        <v>0.59140755866960504</v>
      </c>
      <c r="AL5000">
        <v>85.122434420950697</v>
      </c>
      <c r="AM5000">
        <v>91.404933013159607</v>
      </c>
      <c r="AN5000">
        <v>0.99999996349520204</v>
      </c>
    </row>
    <row r="5001" spans="1:40" x14ac:dyDescent="0.3">
      <c r="A5001" t="str">
        <f>"20200111150147938"</f>
        <v>20200111150147938</v>
      </c>
      <c r="B5001" t="str">
        <f>"1578726107934161"</f>
        <v>1578726107934161</v>
      </c>
      <c r="C5001" t="s">
        <v>40</v>
      </c>
      <c r="D5001">
        <v>5.0068820000000001</v>
      </c>
      <c r="E5001">
        <v>0.4922378</v>
      </c>
      <c r="F5001" t="s">
        <v>41</v>
      </c>
      <c r="G5001">
        <v>-156.37039999999999</v>
      </c>
      <c r="H5001">
        <v>1.0280629999999999</v>
      </c>
      <c r="I5001">
        <v>137.44759999999999</v>
      </c>
      <c r="J5001">
        <v>-156.95679999999999</v>
      </c>
      <c r="K5001">
        <v>1.1044609999999999</v>
      </c>
      <c r="L5001">
        <v>137.4248</v>
      </c>
      <c r="M5001">
        <v>0.99975849999999999</v>
      </c>
      <c r="N5001">
        <v>0</v>
      </c>
      <c r="O5001">
        <v>-1.399357E-2</v>
      </c>
      <c r="P5001">
        <v>0.99745779999999995</v>
      </c>
      <c r="Q5001">
        <v>6.8158049999999998E-2</v>
      </c>
      <c r="R5001">
        <v>2.0794710000000001E-2</v>
      </c>
      <c r="S5001">
        <v>3.0273279999999998</v>
      </c>
      <c r="T5001">
        <v>-0.29733989999999999</v>
      </c>
      <c r="U5001">
        <v>6.8862919999999994E-2</v>
      </c>
      <c r="V5001">
        <v>-3.4457519999999998E-2</v>
      </c>
      <c r="W5001">
        <v>8.5165980000000002E-2</v>
      </c>
      <c r="X5001">
        <v>0.99577079999999996</v>
      </c>
      <c r="Y5001">
        <v>-3.6488130000000001E-2</v>
      </c>
      <c r="Z5001">
        <v>3.1585480000000002E-3</v>
      </c>
      <c r="AA5001">
        <v>0.99932909999999997</v>
      </c>
      <c r="AB5001">
        <v>19</v>
      </c>
      <c r="AC5001">
        <v>0.58639999999999703</v>
      </c>
      <c r="AD5001">
        <v>-7.6398000000000105E-2</v>
      </c>
      <c r="AE5001">
        <v>2.2799999999989402E-2</v>
      </c>
      <c r="AF5001">
        <v>-3.0488061136225399E-2</v>
      </c>
      <c r="AG5001">
        <v>-7.6398000000000105E-2</v>
      </c>
      <c r="AH5001">
        <v>0.57625702812397295</v>
      </c>
      <c r="AI5001">
        <v>97.541593550122201</v>
      </c>
      <c r="AJ5001">
        <v>93.028527176723102</v>
      </c>
      <c r="AK5001">
        <v>0.58209822086836804</v>
      </c>
      <c r="AL5001">
        <v>85.114430691848497</v>
      </c>
      <c r="AM5001">
        <v>91.981864721128304</v>
      </c>
      <c r="AN5001">
        <v>1.0000000254832699</v>
      </c>
    </row>
    <row r="5002" spans="1:40" x14ac:dyDescent="0.3">
      <c r="A5002" t="str">
        <f>"20200111150147961"</f>
        <v>20200111150147961</v>
      </c>
      <c r="B5002" t="str">
        <f>"1578726107953681"</f>
        <v>1578726107953681</v>
      </c>
      <c r="C5002" t="s">
        <v>40</v>
      </c>
      <c r="D5002">
        <v>4.9709260000000004</v>
      </c>
      <c r="E5002">
        <v>0.49320779999999997</v>
      </c>
      <c r="F5002" t="s">
        <v>42</v>
      </c>
      <c r="G5002">
        <v>-145.91749999999999</v>
      </c>
      <c r="H5002" s="1">
        <v>-2.0630049999999999E-6</v>
      </c>
      <c r="I5002">
        <v>137.75970000000001</v>
      </c>
      <c r="J5002">
        <v>-156.77350000000001</v>
      </c>
      <c r="K5002">
        <v>1.1049150000000001</v>
      </c>
      <c r="L5002">
        <v>137.41890000000001</v>
      </c>
      <c r="M5002">
        <v>0.99968279999999998</v>
      </c>
      <c r="N5002">
        <v>0</v>
      </c>
      <c r="O5002">
        <v>-1.66252E-2</v>
      </c>
      <c r="P5002">
        <v>0.9974809</v>
      </c>
      <c r="Q5002">
        <v>6.5023029999999996E-2</v>
      </c>
      <c r="R5002">
        <v>2.8353690000000001E-2</v>
      </c>
      <c r="S5002">
        <v>3.0264280000000001</v>
      </c>
      <c r="T5002">
        <v>-0.30278860000000002</v>
      </c>
      <c r="U5002">
        <v>9.1842649999999998E-2</v>
      </c>
      <c r="V5002">
        <v>-4.4658580000000003E-2</v>
      </c>
      <c r="W5002">
        <v>8.4016640000000004E-2</v>
      </c>
      <c r="X5002">
        <v>0.99546310000000005</v>
      </c>
      <c r="Y5002">
        <v>-4.6633679999999997E-2</v>
      </c>
      <c r="Z5002">
        <v>3.985611E-3</v>
      </c>
      <c r="AA5002">
        <v>0.99890409999999996</v>
      </c>
      <c r="AB5002">
        <v>19</v>
      </c>
      <c r="AC5002">
        <v>10.856</v>
      </c>
      <c r="AD5002">
        <v>-1.10491706300499</v>
      </c>
      <c r="AE5002">
        <v>0.34080000000000099</v>
      </c>
      <c r="AF5002">
        <v>-0.51592908889558797</v>
      </c>
      <c r="AG5002">
        <v>-1.10491706300499</v>
      </c>
      <c r="AH5002">
        <v>10.737709298103701</v>
      </c>
      <c r="AI5002">
        <v>95.868371123652807</v>
      </c>
      <c r="AJ5002">
        <v>92.750851387646094</v>
      </c>
      <c r="AK5002">
        <v>10.806730565322299</v>
      </c>
      <c r="AL5002">
        <v>85.180519706256703</v>
      </c>
      <c r="AM5002">
        <v>92.568687514523802</v>
      </c>
      <c r="AN5002">
        <v>0.99999998401305701</v>
      </c>
    </row>
    <row r="5003" spans="1:40" x14ac:dyDescent="0.3">
      <c r="A5003" t="str">
        <f>"20200111150147982"</f>
        <v>20200111150147982</v>
      </c>
      <c r="B5003" t="str">
        <f>"1578726107974178"</f>
        <v>1578726107974178</v>
      </c>
      <c r="C5003" t="s">
        <v>40</v>
      </c>
      <c r="D5003">
        <v>4.9071040000000004</v>
      </c>
      <c r="E5003">
        <v>0.49405139999999997</v>
      </c>
      <c r="F5003" t="s">
        <v>42</v>
      </c>
      <c r="G5003">
        <v>-145.88999999999999</v>
      </c>
      <c r="H5003" s="1">
        <v>-2.0672779999999999E-6</v>
      </c>
      <c r="I5003">
        <v>137.8022</v>
      </c>
      <c r="J5003">
        <v>-156.60319999999999</v>
      </c>
      <c r="K5003">
        <v>1.1053309999999901</v>
      </c>
      <c r="L5003">
        <v>137.41290000000001</v>
      </c>
      <c r="M5003">
        <v>0.99959739999999997</v>
      </c>
      <c r="N5003">
        <v>0</v>
      </c>
      <c r="O5003">
        <v>-1.8976159999999999E-2</v>
      </c>
      <c r="P5003">
        <v>0.99747870000000005</v>
      </c>
      <c r="Q5003">
        <v>5.9450129999999997E-2</v>
      </c>
      <c r="R5003">
        <v>3.8758019999999997E-2</v>
      </c>
      <c r="S5003">
        <v>3.0245820000000001</v>
      </c>
      <c r="T5003">
        <v>-0.307060099999999</v>
      </c>
      <c r="U5003">
        <v>0.10652159999999999</v>
      </c>
      <c r="V5003">
        <v>-5.7426049999999999E-2</v>
      </c>
      <c r="W5003">
        <v>8.0645930000000005E-2</v>
      </c>
      <c r="X5003">
        <v>0.9950871</v>
      </c>
      <c r="Y5003">
        <v>-5.3785470000000002E-2</v>
      </c>
      <c r="Z5003">
        <v>4.6438149999999999E-3</v>
      </c>
      <c r="AA5003">
        <v>0.99854169999999998</v>
      </c>
      <c r="AB5003">
        <v>18</v>
      </c>
      <c r="AC5003">
        <v>10.713200000000001</v>
      </c>
      <c r="AD5003">
        <v>-1.10533306727799</v>
      </c>
      <c r="AE5003">
        <v>0.38929999999999099</v>
      </c>
      <c r="AF5003">
        <v>-0.586337149858565</v>
      </c>
      <c r="AG5003">
        <v>-1.10533306727799</v>
      </c>
      <c r="AH5003">
        <v>10.5912848941582</v>
      </c>
      <c r="AI5003">
        <v>95.9489197522512</v>
      </c>
      <c r="AJ5003">
        <v>93.1686794796057</v>
      </c>
      <c r="AK5003">
        <v>10.664936387627799</v>
      </c>
      <c r="AL5003">
        <v>85.374304893926904</v>
      </c>
      <c r="AM5003">
        <v>93.302851527041199</v>
      </c>
      <c r="AN5003">
        <v>0.99999992691528605</v>
      </c>
    </row>
    <row r="5004" spans="1:40" x14ac:dyDescent="0.3">
      <c r="A5004" t="str">
        <f>"20200111150148016"</f>
        <v>20200111150148016</v>
      </c>
      <c r="B5004" t="str">
        <f>"1578726108014194"</f>
        <v>1578726108014194</v>
      </c>
      <c r="C5004" t="s">
        <v>40</v>
      </c>
      <c r="D5004">
        <v>4.9473979999999997</v>
      </c>
      <c r="E5004">
        <v>0.49628060000000002</v>
      </c>
      <c r="F5004" t="s">
        <v>42</v>
      </c>
      <c r="G5004">
        <v>-145.6335</v>
      </c>
      <c r="H5004" s="1">
        <v>-2.1611450000000001E-6</v>
      </c>
      <c r="I5004">
        <v>137.89340000000001</v>
      </c>
      <c r="J5004">
        <v>-156.3501</v>
      </c>
      <c r="K5004">
        <v>1.1059099999999999</v>
      </c>
      <c r="L5004">
        <v>137.40309999999999</v>
      </c>
      <c r="M5004">
        <v>0.99944630000000001</v>
      </c>
      <c r="N5004">
        <v>0</v>
      </c>
      <c r="O5004">
        <v>-2.2592000000000001E-2</v>
      </c>
      <c r="P5004">
        <v>0.99774090000000004</v>
      </c>
      <c r="Q5004">
        <v>5.2294430000000003E-2</v>
      </c>
      <c r="R5004">
        <v>4.217212E-2</v>
      </c>
      <c r="S5004">
        <v>3.0205839999999999</v>
      </c>
      <c r="T5004">
        <v>-0.30435810000000002</v>
      </c>
      <c r="U5004">
        <v>0.13230899999999901</v>
      </c>
      <c r="V5004">
        <v>-6.4483739999999998E-2</v>
      </c>
      <c r="W5004">
        <v>7.6812649999999996E-2</v>
      </c>
      <c r="X5004">
        <v>0.99495809999999996</v>
      </c>
      <c r="Y5004">
        <v>-6.5879149999999997E-2</v>
      </c>
      <c r="Z5004">
        <v>5.5794629999999998E-3</v>
      </c>
      <c r="AA5004">
        <v>0.99781200000000003</v>
      </c>
      <c r="AB5004">
        <v>17</v>
      </c>
      <c r="AC5004">
        <v>10.7166</v>
      </c>
      <c r="AD5004">
        <v>-1.105912161145</v>
      </c>
      <c r="AE5004">
        <v>0.490300000000019</v>
      </c>
      <c r="AF5004">
        <v>-0.72465541478527695</v>
      </c>
      <c r="AG5004">
        <v>-1.105912161145</v>
      </c>
      <c r="AH5004">
        <v>10.590238337789</v>
      </c>
      <c r="AI5004">
        <v>95.947838913624096</v>
      </c>
      <c r="AJ5004">
        <v>93.914461182692506</v>
      </c>
      <c r="AK5004">
        <v>10.672455913683701</v>
      </c>
      <c r="AL5004">
        <v>85.5946198905676</v>
      </c>
      <c r="AM5004">
        <v>93.7081824328029</v>
      </c>
      <c r="AN5004">
        <v>0.99999997834000898</v>
      </c>
    </row>
    <row r="5005" spans="1:40" x14ac:dyDescent="0.3">
      <c r="A5005" t="str">
        <f>"20200111150148039"</f>
        <v>20200111150148039</v>
      </c>
      <c r="B5005" t="str">
        <f>"1578726108033713"</f>
        <v>1578726108033713</v>
      </c>
      <c r="C5005" t="s">
        <v>40</v>
      </c>
      <c r="D5005">
        <v>4.9536829999999998</v>
      </c>
      <c r="E5005">
        <v>0.49749719999999997</v>
      </c>
      <c r="F5005" t="s">
        <v>42</v>
      </c>
      <c r="G5005">
        <v>-146.20820000000001</v>
      </c>
      <c r="H5005" s="1">
        <v>-1.9261110000000002E-6</v>
      </c>
      <c r="I5005">
        <v>137.82830000000001</v>
      </c>
      <c r="J5005">
        <v>-156.18950000000001</v>
      </c>
      <c r="K5005">
        <v>1.106204</v>
      </c>
      <c r="L5005">
        <v>137.3964</v>
      </c>
      <c r="M5005">
        <v>0.99933879999999997</v>
      </c>
      <c r="N5005">
        <v>0</v>
      </c>
      <c r="O5005">
        <v>-2.5037500000000001E-2</v>
      </c>
      <c r="P5005">
        <v>0.99788699999999997</v>
      </c>
      <c r="Q5005">
        <v>5.1233220000000003E-2</v>
      </c>
      <c r="R5005">
        <v>3.9957010000000001E-2</v>
      </c>
      <c r="S5005">
        <v>3.0186920000000002</v>
      </c>
      <c r="T5005">
        <v>-0.32917000000000002</v>
      </c>
      <c r="U5005">
        <v>0.12657169999999901</v>
      </c>
      <c r="V5005">
        <v>-6.4725199999999997E-2</v>
      </c>
      <c r="W5005">
        <v>7.7667920000000001E-2</v>
      </c>
      <c r="X5005">
        <v>0.99487599999999998</v>
      </c>
      <c r="Y5005">
        <v>-6.6362560000000001E-2</v>
      </c>
      <c r="Z5005">
        <v>6.3279769999999898E-3</v>
      </c>
      <c r="AA5005">
        <v>0.99777550000000004</v>
      </c>
      <c r="AB5005">
        <v>17</v>
      </c>
      <c r="AC5005">
        <v>9.9812999999999992</v>
      </c>
      <c r="AD5005">
        <v>-1.106205926111</v>
      </c>
      <c r="AE5005">
        <v>0.431900000000013</v>
      </c>
      <c r="AF5005">
        <v>-0.67350118109509804</v>
      </c>
      <c r="AG5005">
        <v>-1.106205926111</v>
      </c>
      <c r="AH5005">
        <v>9.84663305951916</v>
      </c>
      <c r="AI5005">
        <v>96.395117989942193</v>
      </c>
      <c r="AJ5005">
        <v>93.912887264023396</v>
      </c>
      <c r="AK5005">
        <v>9.9314388685988106</v>
      </c>
      <c r="AL5005">
        <v>85.545469592550404</v>
      </c>
      <c r="AM5005">
        <v>93.722335088610393</v>
      </c>
      <c r="AN5005">
        <v>0.99999995634408201</v>
      </c>
    </row>
    <row r="5006" spans="1:40" x14ac:dyDescent="0.3">
      <c r="A5006" t="str">
        <f>"20200111150148061"</f>
        <v>20200111150148061</v>
      </c>
      <c r="B5006" t="str">
        <f>"1578726108054209"</f>
        <v>1578726108054209</v>
      </c>
      <c r="C5006" t="s">
        <v>40</v>
      </c>
      <c r="D5006">
        <v>4.9440119999999999</v>
      </c>
      <c r="E5006">
        <v>0.49891629999999998</v>
      </c>
      <c r="F5006" t="s">
        <v>42</v>
      </c>
      <c r="G5006">
        <v>-146.2097</v>
      </c>
      <c r="H5006" s="1">
        <v>-1.9361629999999998E-6</v>
      </c>
      <c r="I5006">
        <v>137.7681</v>
      </c>
      <c r="J5006">
        <v>-156.03389999999999</v>
      </c>
      <c r="K5006">
        <v>1.106428</v>
      </c>
      <c r="L5006">
        <v>137.3895</v>
      </c>
      <c r="M5006">
        <v>0.99922849999999996</v>
      </c>
      <c r="N5006">
        <v>0</v>
      </c>
      <c r="O5006">
        <v>-2.746645E-2</v>
      </c>
      <c r="P5006">
        <v>0.99794459999999996</v>
      </c>
      <c r="Q5006">
        <v>5.280874E-2</v>
      </c>
      <c r="R5006">
        <v>3.6304660000000002E-2</v>
      </c>
      <c r="S5006">
        <v>3.019028</v>
      </c>
      <c r="T5006">
        <v>-0.33464120000000003</v>
      </c>
      <c r="U5006">
        <v>0.1124725</v>
      </c>
      <c r="V5006">
        <v>-6.3504619999999998E-2</v>
      </c>
      <c r="W5006">
        <v>8.0924910000000003E-2</v>
      </c>
      <c r="X5006">
        <v>0.99469510000000005</v>
      </c>
      <c r="Y5006">
        <v>-6.4112639999999999E-2</v>
      </c>
      <c r="Z5006">
        <v>6.5766389999999996E-3</v>
      </c>
      <c r="AA5006">
        <v>0.99792099999999995</v>
      </c>
      <c r="AB5006">
        <v>16</v>
      </c>
      <c r="AC5006">
        <v>9.8241999999999905</v>
      </c>
      <c r="AD5006">
        <v>-1.1064299361629999</v>
      </c>
      <c r="AE5006">
        <v>0.37860000000000499</v>
      </c>
      <c r="AF5006">
        <v>-0.64028998498399803</v>
      </c>
      <c r="AG5006">
        <v>-1.1064299361629999</v>
      </c>
      <c r="AH5006">
        <v>9.6873958372329305</v>
      </c>
      <c r="AI5006">
        <v>96.5016449224442</v>
      </c>
      <c r="AJ5006">
        <v>93.781473612283094</v>
      </c>
      <c r="AK5006">
        <v>9.7713763910590608</v>
      </c>
      <c r="AL5006">
        <v>85.3582684861329</v>
      </c>
      <c r="AM5006">
        <v>93.652993995741895</v>
      </c>
      <c r="AN5006">
        <v>1.0000000098919299</v>
      </c>
    </row>
    <row r="5007" spans="1:40" x14ac:dyDescent="0.3">
      <c r="A5007" t="str">
        <f>"20200111150148083"</f>
        <v>20200111150148083</v>
      </c>
      <c r="B5007" t="str">
        <f>"1578726108073730"</f>
        <v>1578726108073730</v>
      </c>
      <c r="C5007" t="s">
        <v>40</v>
      </c>
      <c r="D5007">
        <v>4.8416269999999999</v>
      </c>
      <c r="E5007">
        <v>0.4999943</v>
      </c>
      <c r="F5007" t="s">
        <v>42</v>
      </c>
      <c r="G5007">
        <v>-146.06819999999999</v>
      </c>
      <c r="H5007" s="1">
        <v>-2.0101270000000001E-6</v>
      </c>
      <c r="I5007">
        <v>137.69329999999999</v>
      </c>
      <c r="J5007">
        <v>-155.8852</v>
      </c>
      <c r="K5007">
        <v>1.106609</v>
      </c>
      <c r="L5007">
        <v>137.38249999999999</v>
      </c>
      <c r="M5007">
        <v>0.99911910000000004</v>
      </c>
      <c r="N5007">
        <v>0</v>
      </c>
      <c r="O5007">
        <v>-2.9759000000000001E-2</v>
      </c>
      <c r="P5007">
        <v>0.99798869999999895</v>
      </c>
      <c r="Q5007">
        <v>5.5429699999999998E-2</v>
      </c>
      <c r="R5007">
        <v>3.076015E-2</v>
      </c>
      <c r="S5007">
        <v>3.0205540000000002</v>
      </c>
      <c r="T5007">
        <v>-0.3353546</v>
      </c>
      <c r="U5007">
        <v>9.2086790000000002E-2</v>
      </c>
      <c r="V5007">
        <v>-6.0255419999999997E-2</v>
      </c>
      <c r="W5007">
        <v>8.5041980000000003E-2</v>
      </c>
      <c r="X5007">
        <v>0.99455369999999998</v>
      </c>
      <c r="Y5007">
        <v>-5.9668140000000001E-2</v>
      </c>
      <c r="Z5007">
        <v>6.5959390000000003E-3</v>
      </c>
      <c r="AA5007">
        <v>0.99819650000000004</v>
      </c>
      <c r="AB5007">
        <v>15</v>
      </c>
      <c r="AC5007">
        <v>9.8170000000000002</v>
      </c>
      <c r="AD5007">
        <v>-1.1066110101269999</v>
      </c>
      <c r="AE5007">
        <v>0.31080000000000002</v>
      </c>
      <c r="AF5007">
        <v>-0.59537659927901199</v>
      </c>
      <c r="AG5007">
        <v>-1.1066110101269999</v>
      </c>
      <c r="AH5007">
        <v>9.6805110480597794</v>
      </c>
      <c r="AI5007">
        <v>96.509167794323801</v>
      </c>
      <c r="AJ5007">
        <v>93.519406412351003</v>
      </c>
      <c r="AK5007">
        <v>9.7617291180564294</v>
      </c>
      <c r="AL5007">
        <v>85.121560907854601</v>
      </c>
      <c r="AM5007">
        <v>93.467049035657197</v>
      </c>
      <c r="AN5007">
        <v>0.99999995809269204</v>
      </c>
    </row>
    <row r="5008" spans="1:40" x14ac:dyDescent="0.3">
      <c r="A5008" t="str">
        <f>"20200111150148106"</f>
        <v>20200111150148106</v>
      </c>
      <c r="B5008" t="str">
        <f>"1578726108103986"</f>
        <v>1578726108103986</v>
      </c>
      <c r="C5008" t="s">
        <v>40</v>
      </c>
      <c r="D5008">
        <v>4.7836400000000001</v>
      </c>
      <c r="E5008">
        <v>0.50123700000000004</v>
      </c>
      <c r="F5008" t="s">
        <v>42</v>
      </c>
      <c r="G5008">
        <v>-145.7655</v>
      </c>
      <c r="H5008" s="1">
        <v>-2.1546309999999999E-6</v>
      </c>
      <c r="I5008">
        <v>137.61060000000001</v>
      </c>
      <c r="J5008">
        <v>-155.7337</v>
      </c>
      <c r="K5008">
        <v>1.1068249999999999</v>
      </c>
      <c r="L5008">
        <v>137.375</v>
      </c>
      <c r="M5008">
        <v>0.999</v>
      </c>
      <c r="N5008">
        <v>0</v>
      </c>
      <c r="O5008">
        <v>-3.2019560000000002E-2</v>
      </c>
      <c r="P5008">
        <v>0.99801059999999997</v>
      </c>
      <c r="Q5008">
        <v>5.805718E-2</v>
      </c>
      <c r="R5008">
        <v>2.458432E-2</v>
      </c>
      <c r="S5008">
        <v>3.0223080000000002</v>
      </c>
      <c r="T5008">
        <v>-0.3304955</v>
      </c>
      <c r="U5008">
        <v>6.8145750000000005E-2</v>
      </c>
      <c r="V5008">
        <v>-5.6350070000000002E-2</v>
      </c>
      <c r="W5008">
        <v>8.9255420000000002E-2</v>
      </c>
      <c r="X5008">
        <v>0.9944134</v>
      </c>
      <c r="Y5008">
        <v>-5.4044380000000003E-2</v>
      </c>
      <c r="Z5008">
        <v>6.437903E-3</v>
      </c>
      <c r="AA5008">
        <v>0.99851780000000001</v>
      </c>
      <c r="AB5008">
        <v>15</v>
      </c>
      <c r="AC5008">
        <v>9.9681999999999906</v>
      </c>
      <c r="AD5008">
        <v>-1.106827154631</v>
      </c>
      <c r="AE5008">
        <v>0.235600000000005</v>
      </c>
      <c r="AF5008">
        <v>-0.54805875027672102</v>
      </c>
      <c r="AG5008">
        <v>-1.106827154631</v>
      </c>
      <c r="AH5008">
        <v>9.8343566554214998</v>
      </c>
      <c r="AI5008">
        <v>96.4115793727577</v>
      </c>
      <c r="AJ5008">
        <v>93.189736432722796</v>
      </c>
      <c r="AK5008">
        <v>9.9116096356755605</v>
      </c>
      <c r="AL5008">
        <v>84.879226260299703</v>
      </c>
      <c r="AM5008">
        <v>93.243290980956004</v>
      </c>
      <c r="AN5008">
        <v>0.99999993524396802</v>
      </c>
    </row>
    <row r="5009" spans="1:40" x14ac:dyDescent="0.3">
      <c r="A5009" t="str">
        <f>"20200111150148130"</f>
        <v>20200111150148130</v>
      </c>
      <c r="B5009" t="str">
        <f>"1578726108123506"</f>
        <v>1578726108123506</v>
      </c>
      <c r="C5009" t="s">
        <v>40</v>
      </c>
      <c r="D5009">
        <v>4.8399449999999904</v>
      </c>
      <c r="E5009">
        <v>0.50173190000000001</v>
      </c>
      <c r="F5009" t="s">
        <v>42</v>
      </c>
      <c r="G5009">
        <v>-145.47020000000001</v>
      </c>
      <c r="H5009" s="1">
        <v>-2.2986910000000001E-6</v>
      </c>
      <c r="I5009">
        <v>137.5128</v>
      </c>
      <c r="J5009">
        <v>-155.5908</v>
      </c>
      <c r="K5009">
        <v>1.1072070000000001</v>
      </c>
      <c r="L5009">
        <v>137.36770000000001</v>
      </c>
      <c r="M5009">
        <v>0.99886980000000003</v>
      </c>
      <c r="N5009">
        <v>0</v>
      </c>
      <c r="O5009">
        <v>-3.4021129999999997E-2</v>
      </c>
      <c r="P5009">
        <v>0.99809490000000001</v>
      </c>
      <c r="Q5009">
        <v>5.8935099999999997E-2</v>
      </c>
      <c r="R5009">
        <v>1.825624E-2</v>
      </c>
      <c r="S5009">
        <v>3.0239410000000002</v>
      </c>
      <c r="T5009">
        <v>-0.32610450000000002</v>
      </c>
      <c r="U5009">
        <v>4.0618899999999999E-2</v>
      </c>
      <c r="V5009">
        <v>-5.2054330000000003E-2</v>
      </c>
      <c r="W5009">
        <v>9.2086639999999997E-2</v>
      </c>
      <c r="X5009">
        <v>0.99438950000000004</v>
      </c>
      <c r="Y5009">
        <v>-4.6990520000000001E-2</v>
      </c>
      <c r="Z5009">
        <v>6.1861059999999898E-3</v>
      </c>
      <c r="AA5009">
        <v>0.99887619999999999</v>
      </c>
      <c r="AB5009">
        <v>14</v>
      </c>
      <c r="AC5009">
        <v>10.1205999999999</v>
      </c>
      <c r="AD5009">
        <v>-1.107209298691</v>
      </c>
      <c r="AE5009">
        <v>0.14509999999998499</v>
      </c>
      <c r="AF5009">
        <v>-0.48373153201486702</v>
      </c>
      <c r="AG5009">
        <v>-1.107209298691</v>
      </c>
      <c r="AH5009">
        <v>9.9902499564172906</v>
      </c>
      <c r="AI5009">
        <v>96.316883149919306</v>
      </c>
      <c r="AJ5009">
        <v>92.772117371581203</v>
      </c>
      <c r="AK5009">
        <v>10.0630513671484</v>
      </c>
      <c r="AL5009">
        <v>84.716338840498196</v>
      </c>
      <c r="AM5009">
        <v>92.996585905253397</v>
      </c>
      <c r="AN5009">
        <v>1.0000000401242399</v>
      </c>
    </row>
    <row r="5010" spans="1:40" x14ac:dyDescent="0.3">
      <c r="A5010" t="str">
        <f>"20200111150148151"</f>
        <v>20200111150148151</v>
      </c>
      <c r="B5010" t="str">
        <f>"1578726108144003"</f>
        <v>1578726108144003</v>
      </c>
      <c r="C5010" t="s">
        <v>40</v>
      </c>
      <c r="D5010">
        <v>4.7997269999999999</v>
      </c>
      <c r="E5010">
        <v>0.50232080000000001</v>
      </c>
      <c r="F5010" t="s">
        <v>42</v>
      </c>
      <c r="G5010">
        <v>-145.26929999999999</v>
      </c>
      <c r="H5010" s="1">
        <v>-2.3991769999999998E-6</v>
      </c>
      <c r="I5010">
        <v>137.4323</v>
      </c>
      <c r="J5010">
        <v>-155.4709</v>
      </c>
      <c r="K5010">
        <v>1.1075660000000001</v>
      </c>
      <c r="L5010">
        <v>137.36150000000001</v>
      </c>
      <c r="M5010">
        <v>0.99875029999999998</v>
      </c>
      <c r="N5010">
        <v>0</v>
      </c>
      <c r="O5010">
        <v>-3.5648979999999997E-2</v>
      </c>
      <c r="P5010">
        <v>0.99815399999999999</v>
      </c>
      <c r="Q5010">
        <v>5.9415750000000003E-2</v>
      </c>
      <c r="R5010">
        <v>1.259326E-2</v>
      </c>
      <c r="S5010">
        <v>3.0245510000000002</v>
      </c>
      <c r="T5010">
        <v>-0.32444780000000001</v>
      </c>
      <c r="U5010">
        <v>1.8920900000000001E-2</v>
      </c>
      <c r="V5010">
        <v>-4.8052070000000002E-2</v>
      </c>
      <c r="W5010">
        <v>9.4375920000000002E-2</v>
      </c>
      <c r="X5010">
        <v>0.99437629999999999</v>
      </c>
      <c r="Y5010">
        <v>-4.147928E-2</v>
      </c>
      <c r="Z5010">
        <v>6.0333629999999999E-3</v>
      </c>
      <c r="AA5010">
        <v>0.99912109999999998</v>
      </c>
      <c r="AB5010">
        <v>14</v>
      </c>
      <c r="AC5010">
        <v>10.201599999999999</v>
      </c>
      <c r="AD5010">
        <v>-1.107568399177</v>
      </c>
      <c r="AE5010">
        <v>7.07999999999913E-2</v>
      </c>
      <c r="AF5010">
        <v>-0.42959152971008302</v>
      </c>
      <c r="AG5010">
        <v>-1.107568399177</v>
      </c>
      <c r="AH5010">
        <v>10.0738470650645</v>
      </c>
      <c r="AI5010">
        <v>96.2685290984723</v>
      </c>
      <c r="AJ5010">
        <v>92.441855366512996</v>
      </c>
      <c r="AK5010">
        <v>10.143650789117499</v>
      </c>
      <c r="AL5010">
        <v>84.584598833444105</v>
      </c>
      <c r="AM5010">
        <v>92.766599260831896</v>
      </c>
      <c r="AN5010">
        <v>1.00000002085441</v>
      </c>
    </row>
    <row r="5011" spans="1:40" x14ac:dyDescent="0.3">
      <c r="A5011" t="str">
        <f>"20200111150148173"</f>
        <v>20200111150148173</v>
      </c>
      <c r="B5011" t="str">
        <f>"1578726108163521"</f>
        <v>1578726108163521</v>
      </c>
      <c r="C5011" t="s">
        <v>40</v>
      </c>
      <c r="D5011">
        <v>4.8307180000000001</v>
      </c>
      <c r="E5011">
        <v>0.50292190000000003</v>
      </c>
      <c r="F5011" t="s">
        <v>42</v>
      </c>
      <c r="G5011">
        <v>-145.06950000000001</v>
      </c>
      <c r="H5011" s="1">
        <v>-2.4981280000000002E-6</v>
      </c>
      <c r="I5011">
        <v>137.35759999999999</v>
      </c>
      <c r="J5011">
        <v>-155.35390000000001</v>
      </c>
      <c r="K5011">
        <v>1.1078330000000001</v>
      </c>
      <c r="L5011">
        <v>137.3552</v>
      </c>
      <c r="M5011">
        <v>0.99863199999999996</v>
      </c>
      <c r="N5011">
        <v>0</v>
      </c>
      <c r="O5011">
        <v>-3.725407E-2</v>
      </c>
      <c r="P5011">
        <v>0.99819069999999999</v>
      </c>
      <c r="Q5011">
        <v>5.9652539999999997E-2</v>
      </c>
      <c r="R5011">
        <v>7.5571369999999898E-3</v>
      </c>
      <c r="S5011">
        <v>3.024734</v>
      </c>
      <c r="T5011">
        <v>-0.3220808</v>
      </c>
      <c r="U5011">
        <v>-1.0986329999999999E-3</v>
      </c>
      <c r="V5011">
        <v>-4.4648769999999997E-2</v>
      </c>
      <c r="W5011">
        <v>9.6256079999999994E-2</v>
      </c>
      <c r="X5011">
        <v>0.99435469999999904</v>
      </c>
      <c r="Y5011">
        <v>-3.6499190000000001E-2</v>
      </c>
      <c r="Z5011">
        <v>5.8954690000000004E-3</v>
      </c>
      <c r="AA5011">
        <v>0.99931630000000005</v>
      </c>
      <c r="AB5011">
        <v>13</v>
      </c>
      <c r="AC5011">
        <v>10.2844</v>
      </c>
      <c r="AD5011">
        <v>-1.1078354981280001</v>
      </c>
      <c r="AE5011">
        <v>2.3999999999944001E-3</v>
      </c>
      <c r="AF5011">
        <v>-0.38136702169209202</v>
      </c>
      <c r="AG5011">
        <v>-1.1078354981280001</v>
      </c>
      <c r="AH5011">
        <v>10.159277585573999</v>
      </c>
      <c r="AI5011">
        <v>96.218978880031003</v>
      </c>
      <c r="AJ5011">
        <v>92.149804998022503</v>
      </c>
      <c r="AK5011">
        <v>10.2266153421791</v>
      </c>
      <c r="AL5011">
        <v>84.476380803216699</v>
      </c>
      <c r="AM5011">
        <v>92.570982845394099</v>
      </c>
      <c r="AN5011">
        <v>1.00000000750578</v>
      </c>
    </row>
    <row r="5012" spans="1:40" x14ac:dyDescent="0.3">
      <c r="A5012" t="str">
        <f>"20200111150148195"</f>
        <v>20200111150148195</v>
      </c>
      <c r="B5012" t="str">
        <f>"1578726108184018"</f>
        <v>1578726108184018</v>
      </c>
      <c r="C5012" t="s">
        <v>40</v>
      </c>
      <c r="D5012">
        <v>4.8871250000000002</v>
      </c>
      <c r="E5012">
        <v>0.50308450000000005</v>
      </c>
      <c r="F5012" t="s">
        <v>42</v>
      </c>
      <c r="G5012">
        <v>-145.166</v>
      </c>
      <c r="H5012" s="1">
        <v>-2.4689050000000001E-6</v>
      </c>
      <c r="I5012">
        <v>137.28890000000001</v>
      </c>
      <c r="J5012">
        <v>-155.2336</v>
      </c>
      <c r="K5012">
        <v>1.107858</v>
      </c>
      <c r="L5012">
        <v>137.3486</v>
      </c>
      <c r="M5012">
        <v>0.9985269</v>
      </c>
      <c r="N5012">
        <v>0</v>
      </c>
      <c r="O5012">
        <v>-3.8985510000000001E-2</v>
      </c>
      <c r="P5012">
        <v>0.99835870000000004</v>
      </c>
      <c r="Q5012">
        <v>5.7244200000000002E-2</v>
      </c>
      <c r="R5012">
        <v>1.9112840000000001E-3</v>
      </c>
      <c r="S5012">
        <v>3.0252530000000002</v>
      </c>
      <c r="T5012">
        <v>-0.32896629999999999</v>
      </c>
      <c r="U5012">
        <v>-1.9683840000000001E-2</v>
      </c>
      <c r="V5012">
        <v>-4.0755819999999998E-2</v>
      </c>
      <c r="W5012">
        <v>9.4897609999999993E-2</v>
      </c>
      <c r="X5012">
        <v>0.99465239999999999</v>
      </c>
      <c r="Y5012">
        <v>-3.2092040000000002E-2</v>
      </c>
      <c r="Z5012">
        <v>5.9685559999999999E-3</v>
      </c>
      <c r="AA5012">
        <v>0.99946710000000005</v>
      </c>
      <c r="AB5012">
        <v>12</v>
      </c>
      <c r="AC5012">
        <v>10.067600000000001</v>
      </c>
      <c r="AD5012">
        <v>-1.107860468905</v>
      </c>
      <c r="AE5012">
        <v>-5.9699999999992301E-2</v>
      </c>
      <c r="AF5012">
        <v>-0.329130363398425</v>
      </c>
      <c r="AG5012">
        <v>-1.107860468905</v>
      </c>
      <c r="AH5012">
        <v>9.9418797965052192</v>
      </c>
      <c r="AI5012">
        <v>96.354995798297793</v>
      </c>
      <c r="AJ5012">
        <v>91.896109835775903</v>
      </c>
      <c r="AK5012">
        <v>10.008828877687501</v>
      </c>
      <c r="AL5012">
        <v>84.554573299618895</v>
      </c>
      <c r="AM5012">
        <v>92.346378429155806</v>
      </c>
      <c r="AN5012">
        <v>0.99999999503667203</v>
      </c>
    </row>
    <row r="5013" spans="1:40" x14ac:dyDescent="0.3">
      <c r="A5013" t="str">
        <f>"20200111150148219"</f>
        <v>20200111150148219</v>
      </c>
      <c r="B5013" t="str">
        <f>"1578726108214275"</f>
        <v>1578726108214275</v>
      </c>
      <c r="C5013" t="s">
        <v>40</v>
      </c>
      <c r="D5013">
        <v>4.8926629999999998</v>
      </c>
      <c r="E5013">
        <v>0.50315959999999904</v>
      </c>
      <c r="F5013" t="s">
        <v>42</v>
      </c>
      <c r="G5013">
        <v>-145.0856</v>
      </c>
      <c r="H5013" s="1">
        <v>-2.5144119999999999E-6</v>
      </c>
      <c r="I5013">
        <v>137.2269</v>
      </c>
      <c r="J5013">
        <v>-155.11670000000001</v>
      </c>
      <c r="K5013">
        <v>1.1076410000000001</v>
      </c>
      <c r="L5013">
        <v>137.34190000000001</v>
      </c>
      <c r="M5013">
        <v>0.99845240000000002</v>
      </c>
      <c r="N5013">
        <v>0</v>
      </c>
      <c r="O5013">
        <v>-4.0693960000000001E-2</v>
      </c>
      <c r="P5013">
        <v>0.99840169999999995</v>
      </c>
      <c r="Q5013">
        <v>5.6363080000000003E-2</v>
      </c>
      <c r="R5013">
        <v>-4.1895250000000004E-3</v>
      </c>
      <c r="S5013">
        <v>3.0239259999999999</v>
      </c>
      <c r="T5013">
        <v>-0.33012010000000003</v>
      </c>
      <c r="U5013">
        <v>-3.6254880000000003E-2</v>
      </c>
      <c r="V5013">
        <v>-3.6361739999999997E-2</v>
      </c>
      <c r="W5013">
        <v>9.4185080000000004E-2</v>
      </c>
      <c r="X5013">
        <v>0.99489050000000001</v>
      </c>
      <c r="Y5013">
        <v>-2.833169E-2</v>
      </c>
      <c r="Z5013">
        <v>5.9730529999999999E-3</v>
      </c>
      <c r="AA5013">
        <v>0.99958069999999999</v>
      </c>
      <c r="AB5013">
        <v>12</v>
      </c>
      <c r="AC5013">
        <v>10.0311</v>
      </c>
      <c r="AD5013">
        <v>-1.10764351441199</v>
      </c>
      <c r="AE5013">
        <v>-0.115000000000009</v>
      </c>
      <c r="AF5013">
        <v>-0.29005800103424101</v>
      </c>
      <c r="AG5013">
        <v>-1.10764351441199</v>
      </c>
      <c r="AH5013">
        <v>9.9066877902450408</v>
      </c>
      <c r="AI5013">
        <v>96.376900742337298</v>
      </c>
      <c r="AJ5013">
        <v>91.677084521199205</v>
      </c>
      <c r="AK5013">
        <v>9.9726360994660297</v>
      </c>
      <c r="AL5013">
        <v>84.595582274422895</v>
      </c>
      <c r="AM5013">
        <v>92.093142239454494</v>
      </c>
      <c r="AN5013">
        <v>1.0000000562103399</v>
      </c>
    </row>
    <row r="5014" spans="1:40" x14ac:dyDescent="0.3">
      <c r="A5014" t="str">
        <f>"20200111150148240"</f>
        <v>20200111150148240</v>
      </c>
      <c r="B5014" t="str">
        <f>"1578726108233793"</f>
        <v>1578726108233793</v>
      </c>
      <c r="C5014" t="s">
        <v>40</v>
      </c>
      <c r="D5014">
        <v>4.8883720000000004</v>
      </c>
      <c r="E5014">
        <v>0.50305789999999995</v>
      </c>
      <c r="F5014" t="s">
        <v>42</v>
      </c>
      <c r="G5014">
        <v>-145.08250000000001</v>
      </c>
      <c r="H5014" s="1">
        <v>-2.5275840000000001E-6</v>
      </c>
      <c r="I5014">
        <v>137.16</v>
      </c>
      <c r="J5014">
        <v>-155.01169999999999</v>
      </c>
      <c r="K5014">
        <v>1.1074900000000001</v>
      </c>
      <c r="L5014">
        <v>137.3356</v>
      </c>
      <c r="M5014">
        <v>0.99839230000000001</v>
      </c>
      <c r="N5014">
        <v>0</v>
      </c>
      <c r="O5014">
        <v>-4.21886E-2</v>
      </c>
      <c r="P5014">
        <v>0.99819480000000005</v>
      </c>
      <c r="Q5014">
        <v>5.9206639999999998E-2</v>
      </c>
      <c r="R5014">
        <v>-1.009529E-2</v>
      </c>
      <c r="S5014">
        <v>3.0234070000000002</v>
      </c>
      <c r="T5014">
        <v>-0.33374549999999997</v>
      </c>
      <c r="U5014">
        <v>-5.4809570000000002E-2</v>
      </c>
      <c r="V5014">
        <v>-3.1938510000000003E-2</v>
      </c>
      <c r="W5014">
        <v>9.6971769999999999E-2</v>
      </c>
      <c r="X5014">
        <v>0.99477459999999995</v>
      </c>
      <c r="Y5014">
        <v>-2.3702549999999999E-2</v>
      </c>
      <c r="Z5014">
        <v>5.9486119999999998E-3</v>
      </c>
      <c r="AA5014">
        <v>0.99970139999999996</v>
      </c>
      <c r="AB5014">
        <v>11</v>
      </c>
      <c r="AC5014">
        <v>9.9291999999999803</v>
      </c>
      <c r="AD5014">
        <v>-1.107492527584</v>
      </c>
      <c r="AE5014">
        <v>-0.175600000000002</v>
      </c>
      <c r="AF5014">
        <v>-0.240761700808267</v>
      </c>
      <c r="AG5014">
        <v>-1.107492527584</v>
      </c>
      <c r="AH5014">
        <v>9.8058053591352099</v>
      </c>
      <c r="AI5014">
        <v>96.441898939738294</v>
      </c>
      <c r="AJ5014">
        <v>91.406499292757303</v>
      </c>
      <c r="AK5014">
        <v>9.8710852815926593</v>
      </c>
      <c r="AL5014">
        <v>84.435182285631598</v>
      </c>
      <c r="AM5014">
        <v>91.838922545409105</v>
      </c>
      <c r="AN5014">
        <v>1.0000000487015499</v>
      </c>
    </row>
    <row r="5015" spans="1:40" x14ac:dyDescent="0.3">
      <c r="A5015" t="str">
        <f>"20200111150148263"</f>
        <v>20200111150148263</v>
      </c>
      <c r="B5015" t="str">
        <f>"1578726108253313"</f>
        <v>1578726108253313</v>
      </c>
      <c r="C5015" t="s">
        <v>40</v>
      </c>
      <c r="D5015">
        <v>4.9044559999999997</v>
      </c>
      <c r="E5015">
        <v>0.50294550000000005</v>
      </c>
      <c r="F5015" t="s">
        <v>42</v>
      </c>
      <c r="G5015">
        <v>-144.67259999999999</v>
      </c>
      <c r="H5015" s="1">
        <v>-2.7160669999999999E-6</v>
      </c>
      <c r="I5015">
        <v>137.08869999999999</v>
      </c>
      <c r="J5015">
        <v>-154.9109</v>
      </c>
      <c r="K5015">
        <v>1.107523</v>
      </c>
      <c r="L5015">
        <v>137.32939999999999</v>
      </c>
      <c r="M5015">
        <v>0.99832399999999999</v>
      </c>
      <c r="N5015">
        <v>0</v>
      </c>
      <c r="O5015">
        <v>-4.3624049999999998E-2</v>
      </c>
      <c r="P5015">
        <v>0.99794629999999995</v>
      </c>
      <c r="Q5015">
        <v>6.2605190000000005E-2</v>
      </c>
      <c r="R5015">
        <v>-1.355948E-2</v>
      </c>
      <c r="S5015">
        <v>3.0239259999999999</v>
      </c>
      <c r="T5015">
        <v>-0.32391429999999999</v>
      </c>
      <c r="U5015">
        <v>-7.2204589999999999E-2</v>
      </c>
      <c r="V5015">
        <v>-2.9908549999999999E-2</v>
      </c>
      <c r="W5015">
        <v>0.1005301</v>
      </c>
      <c r="X5015">
        <v>0.99448440000000005</v>
      </c>
      <c r="Y5015">
        <v>-1.9434489999999999E-2</v>
      </c>
      <c r="Z5015">
        <v>5.6983199999999998E-3</v>
      </c>
      <c r="AA5015">
        <v>0.99979490000000004</v>
      </c>
      <c r="AB5015">
        <v>11</v>
      </c>
      <c r="AC5015">
        <v>10.238300000000001</v>
      </c>
      <c r="AD5015">
        <v>-1.107525716067</v>
      </c>
      <c r="AE5015">
        <v>-0.24070000000000299</v>
      </c>
      <c r="AF5015">
        <v>-0.204101847930442</v>
      </c>
      <c r="AG5015">
        <v>-1.107525716067</v>
      </c>
      <c r="AH5015">
        <v>10.120682528780501</v>
      </c>
      <c r="AI5015">
        <v>96.243877490487094</v>
      </c>
      <c r="AJ5015">
        <v>91.155316303037594</v>
      </c>
      <c r="AK5015">
        <v>10.1831471375229</v>
      </c>
      <c r="AL5015">
        <v>84.230303328246194</v>
      </c>
      <c r="AM5015">
        <v>91.722618597550905</v>
      </c>
      <c r="AN5015">
        <v>1.00000002210623</v>
      </c>
    </row>
    <row r="5016" spans="1:40" x14ac:dyDescent="0.3">
      <c r="A5016" t="str">
        <f>"20200111150148284"</f>
        <v>20200111150148284</v>
      </c>
      <c r="B5016" t="str">
        <f>"1578726108273810"</f>
        <v>1578726108273810</v>
      </c>
      <c r="C5016" t="s">
        <v>40</v>
      </c>
      <c r="D5016">
        <v>4.8586029999999996</v>
      </c>
      <c r="E5016">
        <v>0.50284269999999998</v>
      </c>
      <c r="F5016" t="s">
        <v>42</v>
      </c>
      <c r="G5016">
        <v>-144.27940000000001</v>
      </c>
      <c r="H5016" s="1">
        <v>-2.8932730000000002E-6</v>
      </c>
      <c r="I5016">
        <v>137.04079999999999</v>
      </c>
      <c r="J5016">
        <v>-154.8168</v>
      </c>
      <c r="K5016">
        <v>1.1076680000000001</v>
      </c>
      <c r="L5016">
        <v>137.3235</v>
      </c>
      <c r="M5016">
        <v>0.99824939999999995</v>
      </c>
      <c r="N5016">
        <v>0</v>
      </c>
      <c r="O5016">
        <v>-4.5027289999999998E-2</v>
      </c>
      <c r="P5016">
        <v>0.99772169999999905</v>
      </c>
      <c r="Q5016">
        <v>6.593686E-2</v>
      </c>
      <c r="R5016">
        <v>-1.428402E-2</v>
      </c>
      <c r="S5016">
        <v>3.024826</v>
      </c>
      <c r="T5016">
        <v>-0.31510589999999999</v>
      </c>
      <c r="U5016">
        <v>-8.2107540000000007E-2</v>
      </c>
      <c r="V5016">
        <v>-3.059601E-2</v>
      </c>
      <c r="W5016">
        <v>0.10416590000000001</v>
      </c>
      <c r="X5016">
        <v>0.99408920000000001</v>
      </c>
      <c r="Y5016">
        <v>-1.7598249999999999E-2</v>
      </c>
      <c r="Z5016">
        <v>5.5926559999999997E-3</v>
      </c>
      <c r="AA5016">
        <v>0.99982950000000004</v>
      </c>
      <c r="AB5016">
        <v>10</v>
      </c>
      <c r="AC5016">
        <v>10.5373999999999</v>
      </c>
      <c r="AD5016">
        <v>-1.1076708932729999</v>
      </c>
      <c r="AE5016">
        <v>-0.282700000000005</v>
      </c>
      <c r="AF5016">
        <v>-0.19030566893981701</v>
      </c>
      <c r="AG5016">
        <v>-1.1076708932729999</v>
      </c>
      <c r="AH5016">
        <v>10.424331387957199</v>
      </c>
      <c r="AI5016">
        <v>96.064385185337798</v>
      </c>
      <c r="AJ5016">
        <v>91.045870489012501</v>
      </c>
      <c r="AK5016">
        <v>10.4847430078845</v>
      </c>
      <c r="AL5016">
        <v>84.020887335052905</v>
      </c>
      <c r="AM5016">
        <v>91.762889107322394</v>
      </c>
      <c r="AN5016">
        <v>0.999999994053685</v>
      </c>
    </row>
    <row r="5017" spans="1:40" x14ac:dyDescent="0.3">
      <c r="A5017" t="str">
        <f>"20200111150148307"</f>
        <v>20200111150148307</v>
      </c>
      <c r="B5017" t="str">
        <f>"1578726108304065"</f>
        <v>1578726108304065</v>
      </c>
      <c r="C5017" t="s">
        <v>40</v>
      </c>
      <c r="D5017">
        <v>4.9455359999999997</v>
      </c>
      <c r="E5017">
        <v>0.50243320000000002</v>
      </c>
      <c r="F5017" t="s">
        <v>42</v>
      </c>
      <c r="G5017">
        <v>-143.6739</v>
      </c>
      <c r="H5017" s="1">
        <v>-3.1578000000000001E-6</v>
      </c>
      <c r="I5017">
        <v>137.01390000000001</v>
      </c>
      <c r="J5017">
        <v>-154.72</v>
      </c>
      <c r="K5017">
        <v>1.1077920000000001</v>
      </c>
      <c r="L5017">
        <v>137.31729999999999</v>
      </c>
      <c r="M5017">
        <v>0.99816830000000001</v>
      </c>
      <c r="N5017">
        <v>0</v>
      </c>
      <c r="O5017">
        <v>-4.6539110000000002E-2</v>
      </c>
      <c r="P5017">
        <v>0.99747580000000002</v>
      </c>
      <c r="Q5017">
        <v>6.9601540000000003E-2</v>
      </c>
      <c r="R5017">
        <v>-1.40576E-2</v>
      </c>
      <c r="S5017">
        <v>3.025528</v>
      </c>
      <c r="T5017">
        <v>-0.3007533</v>
      </c>
      <c r="U5017">
        <v>-8.4030149999999998E-2</v>
      </c>
      <c r="V5017">
        <v>-3.2342290000000003E-2</v>
      </c>
      <c r="W5017">
        <v>0.1081136</v>
      </c>
      <c r="X5017">
        <v>0.9936123</v>
      </c>
      <c r="Y5017">
        <v>-1.8502830000000001E-2</v>
      </c>
      <c r="Z5017">
        <v>5.5326300000000002E-3</v>
      </c>
      <c r="AA5017">
        <v>0.99981350000000002</v>
      </c>
      <c r="AB5017">
        <v>10</v>
      </c>
      <c r="AC5017">
        <v>11.0460999999999</v>
      </c>
      <c r="AD5017">
        <v>-1.1077951578</v>
      </c>
      <c r="AE5017">
        <v>-0.30339999999998202</v>
      </c>
      <c r="AF5017">
        <v>-0.20928602375356101</v>
      </c>
      <c r="AG5017">
        <v>-1.1077951578</v>
      </c>
      <c r="AH5017">
        <v>10.9383119015364</v>
      </c>
      <c r="AI5017">
        <v>95.781953088651605</v>
      </c>
      <c r="AJ5017">
        <v>91.096123701862396</v>
      </c>
      <c r="AK5017">
        <v>10.9962574545469</v>
      </c>
      <c r="AL5017">
        <v>83.793415659778404</v>
      </c>
      <c r="AM5017">
        <v>91.864331467677601</v>
      </c>
      <c r="AN5017">
        <v>0.99999998846934701</v>
      </c>
    </row>
    <row r="5018" spans="1:40" x14ac:dyDescent="0.3">
      <c r="A5018" t="str">
        <f>"20200111150148329"</f>
        <v>20200111150148329</v>
      </c>
      <c r="B5018" t="str">
        <f>"1578726108323585"</f>
        <v>1578726108323585</v>
      </c>
      <c r="C5018" t="s">
        <v>40</v>
      </c>
      <c r="D5018">
        <v>4.9755320000000003</v>
      </c>
      <c r="E5018">
        <v>0.50221879999999997</v>
      </c>
      <c r="F5018" t="s">
        <v>42</v>
      </c>
      <c r="G5018">
        <v>-143.32660000000001</v>
      </c>
      <c r="H5018" s="1">
        <v>-3.3066989999999998E-6</v>
      </c>
      <c r="I5018">
        <v>137.01439999999999</v>
      </c>
      <c r="J5018">
        <v>-154.63650000000001</v>
      </c>
      <c r="K5018">
        <v>1.10781</v>
      </c>
      <c r="L5018">
        <v>137.31190000000001</v>
      </c>
      <c r="M5018">
        <v>0.99810160000000003</v>
      </c>
      <c r="N5018">
        <v>0</v>
      </c>
      <c r="O5018">
        <v>-4.7839260000000002E-2</v>
      </c>
      <c r="P5018">
        <v>0.99749350000000003</v>
      </c>
      <c r="Q5018">
        <v>6.9720480000000001E-2</v>
      </c>
      <c r="R5018">
        <v>-1.2095099999999999E-2</v>
      </c>
      <c r="S5018">
        <v>3.026993</v>
      </c>
      <c r="T5018">
        <v>-0.29431889999999999</v>
      </c>
      <c r="U5018">
        <v>-8.0474850000000001E-2</v>
      </c>
      <c r="V5018">
        <v>-3.561599E-2</v>
      </c>
      <c r="W5018">
        <v>0.1083591</v>
      </c>
      <c r="X5018">
        <v>0.99347359999999896</v>
      </c>
      <c r="Y5018">
        <v>-2.098821E-2</v>
      </c>
      <c r="Z5018">
        <v>5.6589269999999898E-3</v>
      </c>
      <c r="AA5018">
        <v>0.99976370000000003</v>
      </c>
      <c r="AB5018">
        <v>9</v>
      </c>
      <c r="AC5018">
        <v>11.309900000000001</v>
      </c>
      <c r="AD5018">
        <v>-1.1078133066989999</v>
      </c>
      <c r="AE5018">
        <v>-0.29750000000001298</v>
      </c>
      <c r="AF5018">
        <v>-0.241985789925246</v>
      </c>
      <c r="AG5018">
        <v>-1.1078133066989999</v>
      </c>
      <c r="AH5018">
        <v>11.2037556279497</v>
      </c>
      <c r="AI5018">
        <v>95.645670856149096</v>
      </c>
      <c r="AJ5018">
        <v>91.237318052400596</v>
      </c>
      <c r="AK5018">
        <v>11.260992301562</v>
      </c>
      <c r="AL5018">
        <v>83.779266453636893</v>
      </c>
      <c r="AM5018">
        <v>92.053172180504504</v>
      </c>
      <c r="AN5018">
        <v>0.99999999359672398</v>
      </c>
    </row>
    <row r="5019" spans="1:40" x14ac:dyDescent="0.3">
      <c r="A5019" t="str">
        <f>"20200111150148351"</f>
        <v>20200111150148351</v>
      </c>
      <c r="B5019" t="str">
        <f>"1578726108344081"</f>
        <v>1578726108344081</v>
      </c>
      <c r="C5019" t="s">
        <v>40</v>
      </c>
      <c r="D5019">
        <v>5.4914180000000004</v>
      </c>
      <c r="E5019">
        <v>0.50178750000000005</v>
      </c>
      <c r="F5019" t="s">
        <v>42</v>
      </c>
      <c r="G5019">
        <v>-143.43360000000001</v>
      </c>
      <c r="H5019" s="1">
        <v>-3.2562860000000001E-6</v>
      </c>
      <c r="I5019">
        <v>137.03989999999999</v>
      </c>
      <c r="J5019">
        <v>-154.55590000000001</v>
      </c>
      <c r="K5019">
        <v>1.107788</v>
      </c>
      <c r="L5019">
        <v>137.3065</v>
      </c>
      <c r="M5019">
        <v>0.99804219999999999</v>
      </c>
      <c r="N5019">
        <v>0</v>
      </c>
      <c r="O5019">
        <v>-4.9044230000000001E-2</v>
      </c>
      <c r="P5019">
        <v>0.99757200000000001</v>
      </c>
      <c r="Q5019">
        <v>6.8908349999999993E-2</v>
      </c>
      <c r="R5019">
        <v>-1.0100639999999999E-2</v>
      </c>
      <c r="S5019">
        <v>3.0275569999999998</v>
      </c>
      <c r="T5019">
        <v>-0.29938199999999998</v>
      </c>
      <c r="U5019">
        <v>-7.3501590000000006E-2</v>
      </c>
      <c r="V5019">
        <v>-3.8822479999999999E-2</v>
      </c>
      <c r="W5019">
        <v>0.10756979999999999</v>
      </c>
      <c r="X5019">
        <v>0.99343930000000003</v>
      </c>
      <c r="Y5019">
        <v>-2.446738E-2</v>
      </c>
      <c r="Z5019">
        <v>6.0453479999999999E-3</v>
      </c>
      <c r="AA5019">
        <v>0.99968239999999997</v>
      </c>
      <c r="AB5019">
        <v>9</v>
      </c>
      <c r="AC5019">
        <v>11.1222999999999</v>
      </c>
      <c r="AD5019">
        <v>-1.1077912562859999</v>
      </c>
      <c r="AE5019">
        <v>-0.26660000000001099</v>
      </c>
      <c r="AF5019">
        <v>-0.27687219050133299</v>
      </c>
      <c r="AG5019">
        <v>-1.1077912562859999</v>
      </c>
      <c r="AH5019">
        <v>11.012792419812</v>
      </c>
      <c r="AI5019">
        <v>95.742333148286093</v>
      </c>
      <c r="AJ5019">
        <v>91.440167611439904</v>
      </c>
      <c r="AK5019">
        <v>11.0718316713742</v>
      </c>
      <c r="AL5019">
        <v>83.824756228390697</v>
      </c>
      <c r="AM5019">
        <v>92.237915262995401</v>
      </c>
      <c r="AN5019">
        <v>1.00000004480493</v>
      </c>
    </row>
    <row r="5020" spans="1:40" x14ac:dyDescent="0.3">
      <c r="A5020" t="str">
        <f>"20200111150148373"</f>
        <v>20200111150148373</v>
      </c>
      <c r="B5020" t="str">
        <f>"1578726108363602"</f>
        <v>1578726108363602</v>
      </c>
      <c r="C5020" t="s">
        <v>40</v>
      </c>
      <c r="D5020">
        <v>5.1204369999999999</v>
      </c>
      <c r="E5020">
        <v>0.50320159999999903</v>
      </c>
      <c r="F5020" t="s">
        <v>42</v>
      </c>
      <c r="G5020">
        <v>-143.524</v>
      </c>
      <c r="H5020" s="1">
        <v>-3.2120969999999998E-6</v>
      </c>
      <c r="I5020">
        <v>137.0703</v>
      </c>
      <c r="J5020">
        <v>-154.47880000000001</v>
      </c>
      <c r="K5020">
        <v>1.1077669999999999</v>
      </c>
      <c r="L5020">
        <v>137.3013</v>
      </c>
      <c r="M5020">
        <v>0.99799130000000003</v>
      </c>
      <c r="N5020">
        <v>0</v>
      </c>
      <c r="O5020">
        <v>-5.0155819999999997E-2</v>
      </c>
      <c r="P5020">
        <v>0.99764030000000004</v>
      </c>
      <c r="Q5020">
        <v>6.8112439999999996E-2</v>
      </c>
      <c r="R5020">
        <v>-8.6312400000000001E-3</v>
      </c>
      <c r="S5020">
        <v>3.0276339999999999</v>
      </c>
      <c r="T5020">
        <v>-0.30402600000000002</v>
      </c>
      <c r="U5020">
        <v>-6.4834589999999998E-2</v>
      </c>
      <c r="V5020">
        <v>-4.1408609999999998E-2</v>
      </c>
      <c r="W5020">
        <v>0.10666050000000001</v>
      </c>
      <c r="X5020">
        <v>0.99343289999999995</v>
      </c>
      <c r="Y5020">
        <v>-2.8404700000000001E-2</v>
      </c>
      <c r="Z5020">
        <v>6.4472160000000004E-3</v>
      </c>
      <c r="AA5020">
        <v>0.99957569999999996</v>
      </c>
      <c r="AB5020">
        <v>8</v>
      </c>
      <c r="AC5020">
        <v>10.954800000000001</v>
      </c>
      <c r="AD5020">
        <v>-1.1077702120970001</v>
      </c>
      <c r="AE5020">
        <v>-0.23099999999999399</v>
      </c>
      <c r="AF5020">
        <v>-0.31592102256464399</v>
      </c>
      <c r="AG5020">
        <v>-1.1077702120970001</v>
      </c>
      <c r="AH5020">
        <v>10.841771558334701</v>
      </c>
      <c r="AI5020">
        <v>95.831556502489306</v>
      </c>
      <c r="AJ5020">
        <v>91.669083380035303</v>
      </c>
      <c r="AK5020">
        <v>10.9027964971571</v>
      </c>
      <c r="AL5020">
        <v>83.877156675594904</v>
      </c>
      <c r="AM5020">
        <v>92.386840609921293</v>
      </c>
      <c r="AN5020">
        <v>1.00000003102239</v>
      </c>
    </row>
    <row r="5021" spans="1:40" x14ac:dyDescent="0.3">
      <c r="A5021" t="str">
        <f>"20200111150148395"</f>
        <v>20200111150148395</v>
      </c>
      <c r="B5021" t="str">
        <f>"1578726108384098"</f>
        <v>1578726108384098</v>
      </c>
      <c r="C5021" t="s">
        <v>40</v>
      </c>
      <c r="D5021">
        <v>4.6599180000000002</v>
      </c>
      <c r="E5021">
        <v>0.5122719</v>
      </c>
      <c r="F5021" t="s">
        <v>41</v>
      </c>
      <c r="G5021">
        <v>-153.79089999999999</v>
      </c>
      <c r="H5021">
        <v>0.90985559999999999</v>
      </c>
      <c r="I5021">
        <v>137.28039999999999</v>
      </c>
      <c r="J5021">
        <v>-154.40539999999999</v>
      </c>
      <c r="K5021">
        <v>1.1076710000000001</v>
      </c>
      <c r="L5021">
        <v>137.2962</v>
      </c>
      <c r="M5021">
        <v>0.99795480000000003</v>
      </c>
      <c r="N5021">
        <v>0</v>
      </c>
      <c r="O5021">
        <v>-5.1232069999999998E-2</v>
      </c>
      <c r="P5021">
        <v>0.99748380000000003</v>
      </c>
      <c r="Q5021">
        <v>7.0355409999999993E-2</v>
      </c>
      <c r="R5021">
        <v>-8.7389960000000006E-3</v>
      </c>
      <c r="S5021">
        <v>3.0665279999999999</v>
      </c>
      <c r="T5021">
        <v>-0.88226280000000001</v>
      </c>
      <c r="U5021">
        <v>-9.3063350000000003E-2</v>
      </c>
      <c r="V5021">
        <v>-4.2371069999999997E-2</v>
      </c>
      <c r="W5021">
        <v>0.10842499999999999</v>
      </c>
      <c r="X5021">
        <v>0.99320129999999995</v>
      </c>
      <c r="Y5021">
        <v>-1.81411E-2</v>
      </c>
      <c r="Z5021">
        <v>1.7003890000000001E-2</v>
      </c>
      <c r="AA5021">
        <v>0.99969079999999999</v>
      </c>
      <c r="AB5021">
        <v>8</v>
      </c>
      <c r="AC5021">
        <v>0.61449999999999205</v>
      </c>
      <c r="AD5021">
        <v>-0.197815399999999</v>
      </c>
      <c r="AE5021">
        <v>-1.5800000000012901E-2</v>
      </c>
      <c r="AF5021">
        <v>-1.42501776020787E-2</v>
      </c>
      <c r="AG5021">
        <v>-0.197815399999999</v>
      </c>
      <c r="AH5021">
        <v>0.55683628500890103</v>
      </c>
      <c r="AI5021">
        <v>109.551603486481</v>
      </c>
      <c r="AJ5021">
        <v>91.465954868749094</v>
      </c>
      <c r="AK5021">
        <v>0.59110121666374904</v>
      </c>
      <c r="AL5021">
        <v>83.775468669121494</v>
      </c>
      <c r="AM5021">
        <v>92.442820322507004</v>
      </c>
      <c r="AN5021">
        <v>1.0000000552598101</v>
      </c>
    </row>
    <row r="5022" spans="1:40" x14ac:dyDescent="0.3">
      <c r="A5022" t="str">
        <f>"20200111150148419"</f>
        <v>20200111150148419</v>
      </c>
      <c r="B5022" t="str">
        <f>"1578726108413377"</f>
        <v>1578726108413377</v>
      </c>
      <c r="C5022" t="s">
        <v>40</v>
      </c>
      <c r="D5022">
        <v>5.1918089999999903</v>
      </c>
      <c r="E5022">
        <v>0.52016340000000005</v>
      </c>
      <c r="F5022" t="s">
        <v>41</v>
      </c>
      <c r="G5022">
        <v>-153.72620000000001</v>
      </c>
      <c r="H5022">
        <v>0.91272770000000003</v>
      </c>
      <c r="I5022">
        <v>137.26</v>
      </c>
      <c r="J5022">
        <v>-154.3322</v>
      </c>
      <c r="K5022">
        <v>1.1074740000000001</v>
      </c>
      <c r="L5022">
        <v>137.2911</v>
      </c>
      <c r="M5022">
        <v>0.99793509999999996</v>
      </c>
      <c r="N5022">
        <v>0</v>
      </c>
      <c r="O5022">
        <v>-5.2351210000000002E-2</v>
      </c>
      <c r="P5022">
        <v>0.99758709999999995</v>
      </c>
      <c r="Q5022">
        <v>6.8813070000000004E-2</v>
      </c>
      <c r="R5022">
        <v>-9.2099629999999998E-3</v>
      </c>
      <c r="S5022">
        <v>3.0682369999999999</v>
      </c>
      <c r="T5022">
        <v>-0.8804902</v>
      </c>
      <c r="U5022">
        <v>-0.16305539999999999</v>
      </c>
      <c r="V5022">
        <v>-4.3027049999999997E-2</v>
      </c>
      <c r="W5022">
        <v>0.10587299999999999</v>
      </c>
      <c r="X5022">
        <v>0.99344829999999995</v>
      </c>
      <c r="Y5022">
        <v>2.6794399999999999E-3</v>
      </c>
      <c r="Z5022">
        <v>1.4339650000000001E-2</v>
      </c>
      <c r="AA5022">
        <v>0.99989360000000005</v>
      </c>
      <c r="AB5022">
        <v>8</v>
      </c>
      <c r="AC5022">
        <v>0.60599999999999399</v>
      </c>
      <c r="AD5022">
        <v>-0.19474630000000001</v>
      </c>
      <c r="AE5022">
        <v>-3.11000000000092E-2</v>
      </c>
      <c r="AF5022">
        <v>-6.2513803612028105E-4</v>
      </c>
      <c r="AG5022">
        <v>-0.19474630000000001</v>
      </c>
      <c r="AH5022">
        <v>0.55013176105820905</v>
      </c>
      <c r="AI5022">
        <v>109.493919651236</v>
      </c>
      <c r="AJ5022">
        <v>90.0651075945825</v>
      </c>
      <c r="AK5022">
        <v>0.58358501239002103</v>
      </c>
      <c r="AL5022">
        <v>83.922533683689693</v>
      </c>
      <c r="AM5022">
        <v>92.479976694126606</v>
      </c>
      <c r="AN5022">
        <v>0.99999997196679502</v>
      </c>
    </row>
    <row r="5023" spans="1:40" x14ac:dyDescent="0.3">
      <c r="A5023" t="str">
        <f>"20200111150148441"</f>
        <v>20200111150148441</v>
      </c>
      <c r="B5023" t="str">
        <f>"1578726108433873"</f>
        <v>1578726108433873</v>
      </c>
      <c r="C5023" t="s">
        <v>40</v>
      </c>
      <c r="D5023">
        <v>5.0574130000000004</v>
      </c>
      <c r="E5023">
        <v>0.52146289999999995</v>
      </c>
      <c r="F5023" t="s">
        <v>41</v>
      </c>
      <c r="G5023">
        <v>-153.6508</v>
      </c>
      <c r="H5023">
        <v>0.94018109999999999</v>
      </c>
      <c r="I5023">
        <v>137.2415</v>
      </c>
      <c r="J5023">
        <v>-154.25960000000001</v>
      </c>
      <c r="K5023">
        <v>1.1069789999999999</v>
      </c>
      <c r="L5023">
        <v>137.2859</v>
      </c>
      <c r="M5023">
        <v>0.99795279999999997</v>
      </c>
      <c r="N5023">
        <v>0</v>
      </c>
      <c r="O5023">
        <v>-5.3525360000000001E-2</v>
      </c>
      <c r="P5023">
        <v>0.99787000000000003</v>
      </c>
      <c r="Q5023">
        <v>6.4407290000000006E-2</v>
      </c>
      <c r="R5023">
        <v>-1.037707E-2</v>
      </c>
      <c r="S5023">
        <v>3.0569760000000001</v>
      </c>
      <c r="T5023">
        <v>-0.75046809999999997</v>
      </c>
      <c r="U5023">
        <v>-0.22207640000000001</v>
      </c>
      <c r="V5023">
        <v>-4.3039389999999997E-2</v>
      </c>
      <c r="W5023">
        <v>9.9287520000000004E-2</v>
      </c>
      <c r="X5023">
        <v>0.9941276</v>
      </c>
      <c r="Y5023">
        <v>1.9924799999999999E-2</v>
      </c>
      <c r="Z5023">
        <v>1.052173E-2</v>
      </c>
      <c r="AA5023">
        <v>0.99974609999999997</v>
      </c>
      <c r="AB5023">
        <v>7</v>
      </c>
      <c r="AC5023">
        <v>0.60880000000000201</v>
      </c>
      <c r="AD5023">
        <v>-0.1667979</v>
      </c>
      <c r="AE5023">
        <v>-4.4399999999995998E-2</v>
      </c>
      <c r="AF5023">
        <v>1.0915059896029099E-2</v>
      </c>
      <c r="AG5023">
        <v>-0.1667979</v>
      </c>
      <c r="AH5023">
        <v>0.56790080554018796</v>
      </c>
      <c r="AI5023">
        <v>106.36515761394401</v>
      </c>
      <c r="AJ5023">
        <v>88.898910041458393</v>
      </c>
      <c r="AK5023">
        <v>0.59198986723603497</v>
      </c>
      <c r="AL5023">
        <v>84.301856046442296</v>
      </c>
      <c r="AM5023">
        <v>92.478994084411795</v>
      </c>
      <c r="AN5023">
        <v>1.00000004290054</v>
      </c>
    </row>
    <row r="5024" spans="1:40" x14ac:dyDescent="0.3">
      <c r="A5024" t="str">
        <f>"20200111150148463"</f>
        <v>20200111150148463</v>
      </c>
      <c r="B5024" t="str">
        <f>"1578726108453393"</f>
        <v>1578726108453393</v>
      </c>
      <c r="C5024" t="s">
        <v>40</v>
      </c>
      <c r="D5024">
        <v>5.0753029999999999</v>
      </c>
      <c r="E5024">
        <v>0.52301779999999998</v>
      </c>
      <c r="F5024" t="s">
        <v>41</v>
      </c>
      <c r="G5024">
        <v>-153.52189999999999</v>
      </c>
      <c r="H5024">
        <v>0.93740889999999999</v>
      </c>
      <c r="I5024">
        <v>137.22890000000001</v>
      </c>
      <c r="J5024">
        <v>-154.1891</v>
      </c>
      <c r="K5024">
        <v>1.1064889999999901</v>
      </c>
      <c r="L5024">
        <v>137.2808</v>
      </c>
      <c r="M5024">
        <v>0.99797270000000005</v>
      </c>
      <c r="N5024">
        <v>0</v>
      </c>
      <c r="O5024">
        <v>-5.4677589999999998E-2</v>
      </c>
      <c r="P5024">
        <v>0.99794970000000005</v>
      </c>
      <c r="Q5024">
        <v>6.2819849999999997E-2</v>
      </c>
      <c r="R5024">
        <v>-1.2264250000000001E-2</v>
      </c>
      <c r="S5024">
        <v>3.0491640000000002</v>
      </c>
      <c r="T5024">
        <v>-0.70092449999999995</v>
      </c>
      <c r="U5024">
        <v>-0.2356567</v>
      </c>
      <c r="V5024">
        <v>-4.229894E-2</v>
      </c>
      <c r="W5024">
        <v>9.5287319999999995E-2</v>
      </c>
      <c r="X5024">
        <v>0.99455070000000001</v>
      </c>
      <c r="Y5024">
        <v>2.3211229999999999E-2</v>
      </c>
      <c r="Z5024">
        <v>9.7551100000000009E-3</v>
      </c>
      <c r="AA5024">
        <v>0.99968299999999999</v>
      </c>
      <c r="AB5024">
        <v>7</v>
      </c>
      <c r="AC5024">
        <v>0.66720000000000801</v>
      </c>
      <c r="AD5024">
        <v>-0.16908009999999901</v>
      </c>
      <c r="AE5024">
        <v>-5.1899999999989101E-2</v>
      </c>
      <c r="AF5024">
        <v>1.4402644166014699E-2</v>
      </c>
      <c r="AG5024">
        <v>-0.16908009999999901</v>
      </c>
      <c r="AH5024">
        <v>0.62889514764144505</v>
      </c>
      <c r="AI5024">
        <v>105.04451769339001</v>
      </c>
      <c r="AJ5024">
        <v>88.6880698563252</v>
      </c>
      <c r="AK5024">
        <v>0.65138669245075798</v>
      </c>
      <c r="AL5024">
        <v>84.532142857563898</v>
      </c>
      <c r="AM5024">
        <v>92.435362053700104</v>
      </c>
      <c r="AN5024">
        <v>0.99999998427419701</v>
      </c>
    </row>
    <row r="5025" spans="1:40" x14ac:dyDescent="0.3">
      <c r="A5025" t="str">
        <f>"20200111150148484"</f>
        <v>20200111150148484</v>
      </c>
      <c r="B5025" t="str">
        <f>"1578726108473890"</f>
        <v>1578726108473890</v>
      </c>
      <c r="C5025" t="s">
        <v>40</v>
      </c>
      <c r="D5025">
        <v>5.5122059999999999</v>
      </c>
      <c r="E5025">
        <v>0.52217269999999905</v>
      </c>
      <c r="F5025" t="s">
        <v>41</v>
      </c>
      <c r="G5025">
        <v>-153.4554</v>
      </c>
      <c r="H5025">
        <v>0.94331169999999998</v>
      </c>
      <c r="I5025">
        <v>137.21969999999999</v>
      </c>
      <c r="J5025">
        <v>-154.119</v>
      </c>
      <c r="K5025">
        <v>1.106285</v>
      </c>
      <c r="L5025">
        <v>137.2756</v>
      </c>
      <c r="M5025">
        <v>0.99796649999999998</v>
      </c>
      <c r="N5025">
        <v>0</v>
      </c>
      <c r="O5025">
        <v>-5.575919E-2</v>
      </c>
      <c r="P5025">
        <v>0.99807170000000001</v>
      </c>
      <c r="Q5025">
        <v>6.0396999999999999E-2</v>
      </c>
      <c r="R5025">
        <v>-1.433004E-2</v>
      </c>
      <c r="S5025">
        <v>3.0456850000000002</v>
      </c>
      <c r="T5025">
        <v>-0.67722209999999905</v>
      </c>
      <c r="U5025">
        <v>-0.25308229999999998</v>
      </c>
      <c r="V5025">
        <v>-4.1324619999999999E-2</v>
      </c>
      <c r="W5025">
        <v>9.1192510000000004E-2</v>
      </c>
      <c r="X5025">
        <v>0.99497539999999995</v>
      </c>
      <c r="Y5025">
        <v>2.776466E-2</v>
      </c>
      <c r="Z5025">
        <v>9.1779449999999999E-3</v>
      </c>
      <c r="AA5025">
        <v>0.99957229999999997</v>
      </c>
      <c r="AB5025">
        <v>7</v>
      </c>
      <c r="AC5025">
        <v>0.66360000000000197</v>
      </c>
      <c r="AD5025">
        <v>-0.16297329999999999</v>
      </c>
      <c r="AE5025">
        <v>-5.59000000000082E-2</v>
      </c>
      <c r="AF5025">
        <v>1.77315623674364E-2</v>
      </c>
      <c r="AG5025">
        <v>-0.16297329999999999</v>
      </c>
      <c r="AH5025">
        <v>0.62807034191113698</v>
      </c>
      <c r="AI5025">
        <v>104.540894877882</v>
      </c>
      <c r="AJ5025">
        <v>88.382866002732399</v>
      </c>
      <c r="AK5025">
        <v>0.64911251659881897</v>
      </c>
      <c r="AL5025">
        <v>84.767784571406096</v>
      </c>
      <c r="AM5025">
        <v>92.378316356713796</v>
      </c>
      <c r="AN5025">
        <v>0.99999992235169899</v>
      </c>
    </row>
    <row r="5026" spans="1:40" x14ac:dyDescent="0.3">
      <c r="A5026" t="str">
        <f>"20200111150148508"</f>
        <v>20200111150148508</v>
      </c>
      <c r="B5026" t="str">
        <f>"1578726108504146"</f>
        <v>1578726108504146</v>
      </c>
      <c r="C5026" t="s">
        <v>40</v>
      </c>
      <c r="D5026">
        <v>5.1626949999999896</v>
      </c>
      <c r="E5026">
        <v>0.52389870000000005</v>
      </c>
      <c r="F5026" t="s">
        <v>41</v>
      </c>
      <c r="G5026">
        <v>-153.398</v>
      </c>
      <c r="H5026">
        <v>0.9402142</v>
      </c>
      <c r="I5026">
        <v>137.21559999999999</v>
      </c>
      <c r="J5026">
        <v>-154.05269999999999</v>
      </c>
      <c r="K5026">
        <v>1.106557</v>
      </c>
      <c r="L5026">
        <v>137.2706</v>
      </c>
      <c r="M5026">
        <v>0.99791879999999999</v>
      </c>
      <c r="N5026">
        <v>0</v>
      </c>
      <c r="O5026">
        <v>-5.6709420000000003E-2</v>
      </c>
      <c r="P5026">
        <v>0.99836469999999999</v>
      </c>
      <c r="Q5026">
        <v>5.5233490000000003E-2</v>
      </c>
      <c r="R5026">
        <v>-1.474381E-2</v>
      </c>
      <c r="S5026">
        <v>3.0446010000000001</v>
      </c>
      <c r="T5026">
        <v>-0.70129540000000001</v>
      </c>
      <c r="U5026">
        <v>-0.25331120000000001</v>
      </c>
      <c r="V5026">
        <v>-4.1899239999999997E-2</v>
      </c>
      <c r="W5026">
        <v>8.5841089999999995E-2</v>
      </c>
      <c r="X5026">
        <v>0.99542739999999996</v>
      </c>
      <c r="Y5026">
        <v>2.7010260000000001E-2</v>
      </c>
      <c r="Z5026">
        <v>9.8001249999999998E-3</v>
      </c>
      <c r="AA5026">
        <v>0.99958709999999995</v>
      </c>
      <c r="AB5026">
        <v>7</v>
      </c>
      <c r="AC5026">
        <v>0.65469999999999096</v>
      </c>
      <c r="AD5026">
        <v>-0.16634279999999901</v>
      </c>
      <c r="AE5026">
        <v>-5.50000000000068E-2</v>
      </c>
      <c r="AF5026">
        <v>1.6696006211395199E-2</v>
      </c>
      <c r="AG5026">
        <v>-0.16634279999999901</v>
      </c>
      <c r="AH5026">
        <v>0.61720222770297395</v>
      </c>
      <c r="AI5026">
        <v>105.078194352664</v>
      </c>
      <c r="AJ5026">
        <v>88.450463376851303</v>
      </c>
      <c r="AK5026">
        <v>0.639442940078913</v>
      </c>
      <c r="AL5026">
        <v>85.075607308070303</v>
      </c>
      <c r="AM5026">
        <v>92.410254498543907</v>
      </c>
      <c r="AN5026">
        <v>0.99999997385786199</v>
      </c>
    </row>
    <row r="5027" spans="1:40" x14ac:dyDescent="0.3">
      <c r="A5027" t="str">
        <f>"20200111150148530"</f>
        <v>20200111150148530</v>
      </c>
      <c r="B5027" t="str">
        <f>"1578726108523665"</f>
        <v>1578726108523665</v>
      </c>
      <c r="C5027" t="s">
        <v>40</v>
      </c>
      <c r="D5027">
        <v>5.118709</v>
      </c>
      <c r="E5027">
        <v>0.52485550000000003</v>
      </c>
      <c r="F5027" t="s">
        <v>41</v>
      </c>
      <c r="G5027">
        <v>-153.34549999999999</v>
      </c>
      <c r="H5027">
        <v>0.93758260000000004</v>
      </c>
      <c r="I5027">
        <v>137.20779999999999</v>
      </c>
      <c r="J5027">
        <v>-153.994</v>
      </c>
      <c r="K5027">
        <v>1.1069709999999999</v>
      </c>
      <c r="L5027">
        <v>137.2662</v>
      </c>
      <c r="M5027">
        <v>0.99786059999999999</v>
      </c>
      <c r="N5027">
        <v>0</v>
      </c>
      <c r="O5027">
        <v>-5.7496970000000001E-2</v>
      </c>
      <c r="P5027">
        <v>0.99855850000000002</v>
      </c>
      <c r="Q5027">
        <v>5.1148560000000003E-2</v>
      </c>
      <c r="R5027">
        <v>-1.6276539999999999E-2</v>
      </c>
      <c r="S5027">
        <v>3.041153</v>
      </c>
      <c r="T5027">
        <v>-0.72653250000000003</v>
      </c>
      <c r="U5027">
        <v>-0.26934809999999998</v>
      </c>
      <c r="V5027">
        <v>-4.1190989999999997E-2</v>
      </c>
      <c r="W5027">
        <v>8.217911E-2</v>
      </c>
      <c r="X5027">
        <v>0.99576600000000004</v>
      </c>
      <c r="Y5027">
        <v>3.1500260000000002E-2</v>
      </c>
      <c r="Z5027">
        <v>9.8089240000000001E-3</v>
      </c>
      <c r="AA5027">
        <v>0.9994556</v>
      </c>
      <c r="AB5027">
        <v>7</v>
      </c>
      <c r="AC5027">
        <v>0.64850000000001196</v>
      </c>
      <c r="AD5027">
        <v>-0.16938839999999999</v>
      </c>
      <c r="AE5027">
        <v>-5.8400000000005899E-2</v>
      </c>
      <c r="AF5027">
        <v>1.96674160494393E-2</v>
      </c>
      <c r="AG5027">
        <v>-0.16938839999999999</v>
      </c>
      <c r="AH5027">
        <v>0.60953427724851805</v>
      </c>
      <c r="AI5027">
        <v>105.522820803001</v>
      </c>
      <c r="AJ5027">
        <v>88.151918347430595</v>
      </c>
      <c r="AK5027">
        <v>0.63293860085279596</v>
      </c>
      <c r="AL5027">
        <v>85.286167980167505</v>
      </c>
      <c r="AM5027">
        <v>92.368754417487295</v>
      </c>
      <c r="AN5027">
        <v>1.0000000152667801</v>
      </c>
    </row>
    <row r="5028" spans="1:40" x14ac:dyDescent="0.3">
      <c r="A5028" t="str">
        <f>"20200111150148551"</f>
        <v>20200111150148551</v>
      </c>
      <c r="B5028" t="str">
        <f>"1578726108544161"</f>
        <v>1578726108544161</v>
      </c>
      <c r="C5028" t="s">
        <v>40</v>
      </c>
      <c r="D5028">
        <v>5.1481440000000003</v>
      </c>
      <c r="E5028">
        <v>0.52526779999999995</v>
      </c>
      <c r="F5028" t="s">
        <v>41</v>
      </c>
      <c r="G5028">
        <v>-153.2961</v>
      </c>
      <c r="H5028">
        <v>0.93629039999999997</v>
      </c>
      <c r="I5028">
        <v>137.20249999999999</v>
      </c>
      <c r="J5028">
        <v>-153.9408</v>
      </c>
      <c r="K5028">
        <v>1.1073500000000001</v>
      </c>
      <c r="L5028">
        <v>137.26230000000001</v>
      </c>
      <c r="M5028">
        <v>0.99780769999999996</v>
      </c>
      <c r="N5028">
        <v>0</v>
      </c>
      <c r="O5028">
        <v>-5.8122849999999997E-2</v>
      </c>
      <c r="P5028">
        <v>0.99859739999999997</v>
      </c>
      <c r="Q5028">
        <v>4.9174710000000003E-2</v>
      </c>
      <c r="R5028">
        <v>-1.962204E-2</v>
      </c>
      <c r="S5028">
        <v>3.0378569999999998</v>
      </c>
      <c r="T5028">
        <v>-0.74290230000000002</v>
      </c>
      <c r="U5028">
        <v>-0.276947</v>
      </c>
      <c r="V5028">
        <v>-3.8497990000000003E-2</v>
      </c>
      <c r="W5028">
        <v>8.07253E-2</v>
      </c>
      <c r="X5028">
        <v>0.99599269999999995</v>
      </c>
      <c r="Y5028">
        <v>3.3443069999999998E-2</v>
      </c>
      <c r="Z5028">
        <v>9.949734E-3</v>
      </c>
      <c r="AA5028">
        <v>0.99939109999999998</v>
      </c>
      <c r="AB5028">
        <v>6</v>
      </c>
      <c r="AC5028">
        <v>0.64470000000000005</v>
      </c>
      <c r="AD5028">
        <v>-0.17105959999999901</v>
      </c>
      <c r="AE5028">
        <v>-5.9800000000024001E-2</v>
      </c>
      <c r="AF5028">
        <v>2.0759217631882199E-2</v>
      </c>
      <c r="AG5028">
        <v>-0.17105959999999901</v>
      </c>
      <c r="AH5028">
        <v>0.60486646333747796</v>
      </c>
      <c r="AI5028">
        <v>105.78236928547101</v>
      </c>
      <c r="AJ5028">
        <v>88.034361367644806</v>
      </c>
      <c r="AK5028">
        <v>0.62893224622310195</v>
      </c>
      <c r="AL5028">
        <v>85.369743087725993</v>
      </c>
      <c r="AM5028">
        <v>92.213545161924202</v>
      </c>
      <c r="AN5028">
        <v>1.0000000638737001</v>
      </c>
    </row>
    <row r="5029" spans="1:40" x14ac:dyDescent="0.3">
      <c r="A5029" t="str">
        <f>"20200111150148575"</f>
        <v>20200111150148575</v>
      </c>
      <c r="B5029" t="str">
        <f>"1578726108563682"</f>
        <v>1578726108563682</v>
      </c>
      <c r="C5029" t="s">
        <v>40</v>
      </c>
      <c r="D5029">
        <v>5.2840600000000002</v>
      </c>
      <c r="E5029">
        <v>0.54318759999999999</v>
      </c>
      <c r="F5029" t="s">
        <v>41</v>
      </c>
      <c r="G5029">
        <v>-153.2491</v>
      </c>
      <c r="H5029">
        <v>0.93734720000000005</v>
      </c>
      <c r="I5029">
        <v>137.19730000000001</v>
      </c>
      <c r="J5029">
        <v>-153.89060000000001</v>
      </c>
      <c r="K5029">
        <v>1.107674</v>
      </c>
      <c r="L5029">
        <v>137.2586</v>
      </c>
      <c r="M5029">
        <v>0.99776569999999998</v>
      </c>
      <c r="N5029">
        <v>0</v>
      </c>
      <c r="O5029">
        <v>-5.8622050000000002E-2</v>
      </c>
      <c r="P5029">
        <v>0.99833119999999997</v>
      </c>
      <c r="Q5029">
        <v>5.2266930000000003E-2</v>
      </c>
      <c r="R5029">
        <v>-2.456378E-2</v>
      </c>
      <c r="S5029">
        <v>3.035355</v>
      </c>
      <c r="T5029">
        <v>-0.74587490000000001</v>
      </c>
      <c r="U5029">
        <v>-0.28430179999999999</v>
      </c>
      <c r="V5029">
        <v>-3.4062370000000002E-2</v>
      </c>
      <c r="W5029">
        <v>8.4219069999999993E-2</v>
      </c>
      <c r="X5029">
        <v>0.99586490000000005</v>
      </c>
      <c r="Y5029">
        <v>3.5381999999999997E-2</v>
      </c>
      <c r="Z5029">
        <v>9.8813530000000007E-3</v>
      </c>
      <c r="AA5029">
        <v>0.99932500000000002</v>
      </c>
      <c r="AB5029">
        <v>6</v>
      </c>
      <c r="AC5029">
        <v>0.64150000000000695</v>
      </c>
      <c r="AD5029">
        <v>-0.1703268</v>
      </c>
      <c r="AE5029">
        <v>-6.1299999999988503E-2</v>
      </c>
      <c r="AF5029">
        <v>2.2030089485032E-2</v>
      </c>
      <c r="AG5029">
        <v>-0.1703268</v>
      </c>
      <c r="AH5029">
        <v>0.60193984970109904</v>
      </c>
      <c r="AI5029">
        <v>105.78951515311699</v>
      </c>
      <c r="AJ5029">
        <v>87.903996490749705</v>
      </c>
      <c r="AK5029">
        <v>0.62596176105185597</v>
      </c>
      <c r="AL5029">
        <v>85.168880135723697</v>
      </c>
      <c r="AM5029">
        <v>91.958970041117098</v>
      </c>
      <c r="AN5029">
        <v>0.99999999792684502</v>
      </c>
    </row>
    <row r="5030" spans="1:40" x14ac:dyDescent="0.3">
      <c r="A5030" t="str">
        <f>"20200111150148596"</f>
        <v>20200111150148596</v>
      </c>
      <c r="B5030" t="str">
        <f>"1578726108593938"</f>
        <v>1578726108593938</v>
      </c>
      <c r="C5030" t="s">
        <v>40</v>
      </c>
      <c r="D5030">
        <v>5.989789</v>
      </c>
      <c r="E5030">
        <v>0.53807910000000003</v>
      </c>
      <c r="F5030" t="s">
        <v>46</v>
      </c>
      <c r="G5030">
        <v>0</v>
      </c>
      <c r="H5030">
        <v>0</v>
      </c>
      <c r="I5030">
        <v>0</v>
      </c>
      <c r="J5030">
        <v>-153.8417</v>
      </c>
      <c r="K5030">
        <v>1.10758</v>
      </c>
      <c r="L5030">
        <v>137.2551</v>
      </c>
      <c r="M5030">
        <v>0.99775829999999999</v>
      </c>
      <c r="N5030">
        <v>0</v>
      </c>
      <c r="O5030">
        <v>-5.9135600000000003E-2</v>
      </c>
      <c r="P5030">
        <v>0.997834</v>
      </c>
      <c r="Q5030">
        <v>5.9025809999999998E-2</v>
      </c>
      <c r="R5030">
        <v>-2.904644E-2</v>
      </c>
      <c r="S5030">
        <v>2.9887999999999999</v>
      </c>
      <c r="T5030">
        <v>0.1130154</v>
      </c>
      <c r="U5030">
        <v>-0.41905209999999998</v>
      </c>
      <c r="V5030">
        <v>-3.0064420000000001E-2</v>
      </c>
      <c r="W5030">
        <v>9.0249899999999994E-2</v>
      </c>
      <c r="X5030">
        <v>0.9954653</v>
      </c>
      <c r="Y5030">
        <v>7.9999990000000007E-2</v>
      </c>
      <c r="Z5030">
        <v>-7.1762479999999999E-4</v>
      </c>
      <c r="AA5030">
        <v>0.99679459999999998</v>
      </c>
      <c r="AB5030">
        <v>5</v>
      </c>
      <c r="AC5030">
        <v>2.9887999999999999</v>
      </c>
      <c r="AD5030">
        <v>0.1130154</v>
      </c>
      <c r="AE5030">
        <v>-0.41905209999999998</v>
      </c>
      <c r="AF5030">
        <v>0.24114859910339001</v>
      </c>
      <c r="AG5030">
        <v>0.1130154</v>
      </c>
      <c r="AH5030">
        <v>3.0041448242264401</v>
      </c>
      <c r="AI5030">
        <v>87.852460147349404</v>
      </c>
      <c r="AJ5030">
        <v>85.410595894088402</v>
      </c>
      <c r="AK5030">
        <v>3.0159262677348799</v>
      </c>
      <c r="AL5030">
        <v>84.822016387944402</v>
      </c>
      <c r="AM5030">
        <v>91.729885447286094</v>
      </c>
      <c r="AN5030">
        <v>1.00000003865201</v>
      </c>
    </row>
    <row r="5031" spans="1:40" x14ac:dyDescent="0.3">
      <c r="A5031" t="str">
        <f>"20200111150148619"</f>
        <v>20200111150148619</v>
      </c>
      <c r="B5031" t="str">
        <f>"1578726108613457"</f>
        <v>1578726108613457</v>
      </c>
      <c r="C5031" t="s">
        <v>40</v>
      </c>
      <c r="D5031">
        <v>5.218407</v>
      </c>
      <c r="E5031">
        <v>0.51958579999999999</v>
      </c>
      <c r="F5031" t="s">
        <v>46</v>
      </c>
      <c r="G5031">
        <v>0</v>
      </c>
      <c r="H5031">
        <v>0</v>
      </c>
      <c r="I5031">
        <v>0</v>
      </c>
      <c r="J5031">
        <v>-153.78739999999999</v>
      </c>
      <c r="K5031">
        <v>1.1069960000000001</v>
      </c>
      <c r="L5031">
        <v>137.25110000000001</v>
      </c>
      <c r="M5031">
        <v>0.99778540000000004</v>
      </c>
      <c r="N5031">
        <v>0</v>
      </c>
      <c r="O5031">
        <v>-5.9889629999999999E-2</v>
      </c>
      <c r="P5031">
        <v>0.99728119999999998</v>
      </c>
      <c r="Q5031">
        <v>6.5649899999999997E-2</v>
      </c>
      <c r="R5031">
        <v>-3.3475560000000001E-2</v>
      </c>
      <c r="S5031">
        <v>2.97879</v>
      </c>
      <c r="T5031">
        <v>0.27768530000000002</v>
      </c>
      <c r="U5031">
        <v>-0.38873289999999999</v>
      </c>
      <c r="V5031">
        <v>-2.6336640000000001E-2</v>
      </c>
      <c r="W5031">
        <v>9.4487950000000001E-2</v>
      </c>
      <c r="X5031">
        <v>0.9951776</v>
      </c>
      <c r="Y5031">
        <v>6.9717660000000001E-2</v>
      </c>
      <c r="Z5031">
        <v>-2.313023E-3</v>
      </c>
      <c r="AA5031">
        <v>0.99756409999999995</v>
      </c>
      <c r="AB5031">
        <v>5</v>
      </c>
      <c r="AC5031">
        <v>2.97879</v>
      </c>
      <c r="AD5031">
        <v>0.27768530000000002</v>
      </c>
      <c r="AE5031">
        <v>-0.38873289999999999</v>
      </c>
      <c r="AF5031">
        <v>0.207785708925768</v>
      </c>
      <c r="AG5031">
        <v>0.27768530000000002</v>
      </c>
      <c r="AH5031">
        <v>2.9713404886941501</v>
      </c>
      <c r="AI5031">
        <v>84.673887663578299</v>
      </c>
      <c r="AJ5031">
        <v>85.999820749049604</v>
      </c>
      <c r="AK5031">
        <v>2.9915127154038701</v>
      </c>
      <c r="AL5031">
        <v>84.578151188837097</v>
      </c>
      <c r="AM5031">
        <v>91.515936644816506</v>
      </c>
      <c r="AN5031">
        <v>1.0000000234217199</v>
      </c>
    </row>
    <row r="5032" spans="1:40" x14ac:dyDescent="0.3">
      <c r="A5032" t="str">
        <f>"20200111150148641"</f>
        <v>20200111150148641</v>
      </c>
      <c r="B5032" t="str">
        <f>"1578726108633954"</f>
        <v>1578726108633954</v>
      </c>
      <c r="C5032" t="s">
        <v>40</v>
      </c>
      <c r="D5032">
        <v>5.1944850000000002</v>
      </c>
      <c r="E5032">
        <v>0.51959429999999995</v>
      </c>
      <c r="F5032" t="s">
        <v>41</v>
      </c>
      <c r="G5032">
        <v>-153.06450000000001</v>
      </c>
      <c r="H5032">
        <v>1.03148</v>
      </c>
      <c r="I5032">
        <v>137.18719999999999</v>
      </c>
      <c r="J5032">
        <v>-153.73339999999999</v>
      </c>
      <c r="K5032">
        <v>1.106454</v>
      </c>
      <c r="L5032">
        <v>137.24700000000001</v>
      </c>
      <c r="M5032">
        <v>0.99780360000000001</v>
      </c>
      <c r="N5032">
        <v>0</v>
      </c>
      <c r="O5032">
        <v>-6.0759569999999999E-2</v>
      </c>
      <c r="P5032">
        <v>0.99671620000000005</v>
      </c>
      <c r="Q5032">
        <v>7.1558559999999993E-2</v>
      </c>
      <c r="R5032">
        <v>-3.7899139999999998E-2</v>
      </c>
      <c r="S5032">
        <v>3.0199889999999998</v>
      </c>
      <c r="T5032">
        <v>-0.31547360000000002</v>
      </c>
      <c r="U5032">
        <v>-0.2669067</v>
      </c>
      <c r="V5032">
        <v>-2.2726360000000001E-2</v>
      </c>
      <c r="W5032">
        <v>9.7853999999999997E-2</v>
      </c>
      <c r="X5032">
        <v>0.99494119999999997</v>
      </c>
      <c r="Y5032">
        <v>2.750847E-2</v>
      </c>
      <c r="Z5032">
        <v>4.8825409999999998E-3</v>
      </c>
      <c r="AA5032">
        <v>0.99960959999999999</v>
      </c>
      <c r="AB5032">
        <v>5</v>
      </c>
      <c r="AC5032">
        <v>0.66889999999997896</v>
      </c>
      <c r="AD5032">
        <v>-7.4974000000000096E-2</v>
      </c>
      <c r="AE5032">
        <v>-5.9800000000024001E-2</v>
      </c>
      <c r="AF5032">
        <v>1.8798904945140301E-2</v>
      </c>
      <c r="AG5032">
        <v>-7.4974000000000096E-2</v>
      </c>
      <c r="AH5032">
        <v>0.66303422783493504</v>
      </c>
      <c r="AI5032">
        <v>96.448868120613696</v>
      </c>
      <c r="AJ5032">
        <v>88.375936887909404</v>
      </c>
      <c r="AK5032">
        <v>0.66752444658140098</v>
      </c>
      <c r="AL5032">
        <v>84.384392077774294</v>
      </c>
      <c r="AM5032">
        <v>91.308517649201093</v>
      </c>
      <c r="AN5032">
        <v>0.99999994210614296</v>
      </c>
    </row>
    <row r="5033" spans="1:40" x14ac:dyDescent="0.3">
      <c r="A5033" t="str">
        <f>"20200111150148664"</f>
        <v>20200111150148664</v>
      </c>
      <c r="B5033" t="str">
        <f>"1578726108653474"</f>
        <v>1578726108653474</v>
      </c>
      <c r="C5033" t="s">
        <v>40</v>
      </c>
      <c r="D5033">
        <v>5.1981840000000004</v>
      </c>
      <c r="E5033">
        <v>0.52593190000000001</v>
      </c>
      <c r="F5033" t="s">
        <v>41</v>
      </c>
      <c r="G5033">
        <v>-152.9682</v>
      </c>
      <c r="H5033">
        <v>1.0320100000000001</v>
      </c>
      <c r="I5033">
        <v>137.17599999999999</v>
      </c>
      <c r="J5033">
        <v>-153.6798</v>
      </c>
      <c r="K5033">
        <v>1.1062620000000001</v>
      </c>
      <c r="L5033">
        <v>137.24279999999999</v>
      </c>
      <c r="M5033">
        <v>0.99779470000000003</v>
      </c>
      <c r="N5033">
        <v>0</v>
      </c>
      <c r="O5033">
        <v>-6.159895E-2</v>
      </c>
      <c r="P5033">
        <v>0.99629559999999995</v>
      </c>
      <c r="Q5033">
        <v>7.4650469999999997E-2</v>
      </c>
      <c r="R5033">
        <v>-4.2691119999999999E-2</v>
      </c>
      <c r="S5033">
        <v>3.02034</v>
      </c>
      <c r="T5033">
        <v>-0.29383569999999998</v>
      </c>
      <c r="U5033">
        <v>-0.28019709999999998</v>
      </c>
      <c r="V5033">
        <v>-1.8737400000000001E-2</v>
      </c>
      <c r="W5033">
        <v>9.9287500000000001E-2</v>
      </c>
      <c r="X5033">
        <v>0.9948823</v>
      </c>
      <c r="Y5033">
        <v>3.0986469999999999E-2</v>
      </c>
      <c r="Z5033">
        <v>4.4600830000000001E-3</v>
      </c>
      <c r="AA5033">
        <v>0.99950989999999995</v>
      </c>
      <c r="AB5033">
        <v>6</v>
      </c>
      <c r="AC5033">
        <v>0.71160000000000401</v>
      </c>
      <c r="AD5033">
        <v>-7.4251999999999901E-2</v>
      </c>
      <c r="AE5033">
        <v>-6.6799999999972201E-2</v>
      </c>
      <c r="AF5033">
        <v>2.25821266164162E-2</v>
      </c>
      <c r="AG5033">
        <v>-7.4251999999999901E-2</v>
      </c>
      <c r="AH5033">
        <v>0.70673623625847304</v>
      </c>
      <c r="AI5033">
        <v>95.9946397821262</v>
      </c>
      <c r="AJ5033">
        <v>88.169868166086303</v>
      </c>
      <c r="AK5033">
        <v>0.710984823739095</v>
      </c>
      <c r="AL5033">
        <v>84.301856634543697</v>
      </c>
      <c r="AM5033">
        <v>91.078968868701907</v>
      </c>
      <c r="AN5033">
        <v>0.99999994433414796</v>
      </c>
    </row>
    <row r="5034" spans="1:40" x14ac:dyDescent="0.3">
      <c r="A5034" t="str">
        <f>"20200111150148686"</f>
        <v>20200111150148686</v>
      </c>
      <c r="B5034" t="str">
        <f>"1578726108683730"</f>
        <v>1578726108683730</v>
      </c>
      <c r="C5034" t="s">
        <v>40</v>
      </c>
      <c r="D5034">
        <v>5.1861509999999997</v>
      </c>
      <c r="E5034">
        <v>0.52702369999999898</v>
      </c>
      <c r="F5034" t="s">
        <v>41</v>
      </c>
      <c r="G5034">
        <v>-152.96719999999999</v>
      </c>
      <c r="H5034">
        <v>0.94371079999999996</v>
      </c>
      <c r="I5034">
        <v>137.16030000000001</v>
      </c>
      <c r="J5034">
        <v>-153.6277</v>
      </c>
      <c r="K5034">
        <v>1.1062510000000001</v>
      </c>
      <c r="L5034">
        <v>137.23849999999999</v>
      </c>
      <c r="M5034">
        <v>0.99777190000000004</v>
      </c>
      <c r="N5034">
        <v>0</v>
      </c>
      <c r="O5034">
        <v>-6.2401730000000002E-2</v>
      </c>
      <c r="P5034">
        <v>0.99585400000000002</v>
      </c>
      <c r="Q5034">
        <v>7.7523430000000004E-2</v>
      </c>
      <c r="R5034">
        <v>-4.7596859999999998E-2</v>
      </c>
      <c r="S5034">
        <v>3.0481259999999999</v>
      </c>
      <c r="T5034">
        <v>-0.69525550000000003</v>
      </c>
      <c r="U5034">
        <v>-0.35240169999999998</v>
      </c>
      <c r="V5034">
        <v>-1.4610720000000001E-2</v>
      </c>
      <c r="W5034">
        <v>0.1010448</v>
      </c>
      <c r="X5034">
        <v>0.99477459999999995</v>
      </c>
      <c r="Y5034">
        <v>5.2857899999999999E-2</v>
      </c>
      <c r="Z5034">
        <v>8.0597700000000008E-3</v>
      </c>
      <c r="AA5034">
        <v>0.9985695</v>
      </c>
      <c r="AB5034">
        <v>5</v>
      </c>
      <c r="AC5034">
        <v>0.66050000000001297</v>
      </c>
      <c r="AD5034">
        <v>-0.1625402</v>
      </c>
      <c r="AE5034">
        <v>-7.8199999999981104E-2</v>
      </c>
      <c r="AF5034">
        <v>3.4744677055641097E-2</v>
      </c>
      <c r="AG5034">
        <v>-0.1625402</v>
      </c>
      <c r="AH5034">
        <v>0.62666769814793999</v>
      </c>
      <c r="AI5034">
        <v>104.519165890023</v>
      </c>
      <c r="AJ5034">
        <v>86.826568056942094</v>
      </c>
      <c r="AK5034">
        <v>0.64833549424798398</v>
      </c>
      <c r="AL5034">
        <v>84.200662215287494</v>
      </c>
      <c r="AM5034">
        <v>90.841469417841196</v>
      </c>
      <c r="AN5034">
        <v>1.0000000147755499</v>
      </c>
    </row>
    <row r="5035" spans="1:40" x14ac:dyDescent="0.3">
      <c r="A5035" t="str">
        <f>"20200111150148709"</f>
        <v>20200111150148709</v>
      </c>
      <c r="B5035" t="str">
        <f>"1578726108704226"</f>
        <v>1578726108704226</v>
      </c>
      <c r="C5035" t="s">
        <v>40</v>
      </c>
      <c r="D5035">
        <v>5.1623460000000003</v>
      </c>
      <c r="E5035">
        <v>0.52237959999999894</v>
      </c>
      <c r="F5035" t="s">
        <v>46</v>
      </c>
      <c r="G5035">
        <v>0</v>
      </c>
      <c r="H5035">
        <v>0</v>
      </c>
      <c r="I5035">
        <v>0</v>
      </c>
      <c r="J5035">
        <v>-153.57380000000001</v>
      </c>
      <c r="K5035">
        <v>1.1061909999999999</v>
      </c>
      <c r="L5035">
        <v>137.23410000000001</v>
      </c>
      <c r="M5035">
        <v>0.99774560000000001</v>
      </c>
      <c r="N5035">
        <v>0</v>
      </c>
      <c r="O5035">
        <v>-6.3279479999999999E-2</v>
      </c>
      <c r="P5035">
        <v>0.99538360000000004</v>
      </c>
      <c r="Q5035">
        <v>8.0701159999999994E-2</v>
      </c>
      <c r="R5035">
        <v>-5.1949990000000001E-2</v>
      </c>
      <c r="S5035">
        <v>2.9731749999999999</v>
      </c>
      <c r="T5035">
        <v>0.28606130000000002</v>
      </c>
      <c r="U5035">
        <v>-0.35710140000000001</v>
      </c>
      <c r="V5035">
        <v>-1.1114890000000001E-2</v>
      </c>
      <c r="W5035">
        <v>0.10295839999999901</v>
      </c>
      <c r="X5035">
        <v>0.99462349999999999</v>
      </c>
      <c r="Y5035">
        <v>5.6199930000000002E-2</v>
      </c>
      <c r="Z5035">
        <v>-3.3577170000000001E-3</v>
      </c>
      <c r="AA5035">
        <v>0.99841389999999997</v>
      </c>
      <c r="AB5035">
        <v>5</v>
      </c>
      <c r="AC5035">
        <v>2.9731749999999999</v>
      </c>
      <c r="AD5035">
        <v>0.28606130000000002</v>
      </c>
      <c r="AE5035">
        <v>-0.35710140000000001</v>
      </c>
      <c r="AF5035">
        <v>0.166676382576218</v>
      </c>
      <c r="AG5035">
        <v>0.28606130000000002</v>
      </c>
      <c r="AH5035">
        <v>2.9627792929337602</v>
      </c>
      <c r="AI5035">
        <v>84.493743912542797</v>
      </c>
      <c r="AJ5035">
        <v>86.780118639947005</v>
      </c>
      <c r="AK5035">
        <v>2.9812200895779899</v>
      </c>
      <c r="AL5035">
        <v>84.090445690136093</v>
      </c>
      <c r="AM5035">
        <v>90.640252094752896</v>
      </c>
      <c r="AN5035">
        <v>0.99999993983125901</v>
      </c>
    </row>
    <row r="5036" spans="1:40" x14ac:dyDescent="0.3">
      <c r="A5036" t="str">
        <f>"20200111150148733"</f>
        <v>20200111150148733</v>
      </c>
      <c r="B5036" t="str">
        <f>"1578726108723276"</f>
        <v>1578726108723276</v>
      </c>
      <c r="C5036" t="s">
        <v>40</v>
      </c>
      <c r="D5036">
        <v>5.0740480000000003</v>
      </c>
      <c r="E5036">
        <v>0.52144999999999997</v>
      </c>
      <c r="F5036" t="s">
        <v>41</v>
      </c>
      <c r="G5036">
        <v>-152.86949999999999</v>
      </c>
      <c r="H5036">
        <v>0.95284860000000005</v>
      </c>
      <c r="I5036">
        <v>137.1532</v>
      </c>
      <c r="J5036">
        <v>-153.51900000000001</v>
      </c>
      <c r="K5036">
        <v>1.1060449999999999</v>
      </c>
      <c r="L5036">
        <v>137.22970000000001</v>
      </c>
      <c r="M5036">
        <v>0.99771929999999998</v>
      </c>
      <c r="N5036">
        <v>0</v>
      </c>
      <c r="O5036">
        <v>-6.4185190000000003E-2</v>
      </c>
      <c r="P5036">
        <v>0.99495400000000001</v>
      </c>
      <c r="Q5036">
        <v>8.3141939999999998E-2</v>
      </c>
      <c r="R5036">
        <v>-5.6161580000000003E-2</v>
      </c>
      <c r="S5036">
        <v>3.0494840000000001</v>
      </c>
      <c r="T5036">
        <v>-0.66375079999999997</v>
      </c>
      <c r="U5036">
        <v>-0.34960940000000001</v>
      </c>
      <c r="V5036">
        <v>-7.7936389999999998E-3</v>
      </c>
      <c r="W5036">
        <v>0.10394630000000001</v>
      </c>
      <c r="X5036">
        <v>0.9945524</v>
      </c>
      <c r="Y5036">
        <v>5.02043E-2</v>
      </c>
      <c r="Z5036">
        <v>8.3652190000000001E-3</v>
      </c>
      <c r="AA5036">
        <v>0.99870400000000004</v>
      </c>
      <c r="AB5036">
        <v>5</v>
      </c>
      <c r="AC5036">
        <v>0.64950000000001695</v>
      </c>
      <c r="AD5036">
        <v>-0.15319640000000001</v>
      </c>
      <c r="AE5036">
        <v>-7.6500000000009893E-2</v>
      </c>
      <c r="AF5036">
        <v>3.2842646367902198E-2</v>
      </c>
      <c r="AG5036">
        <v>-0.15319640000000001</v>
      </c>
      <c r="AH5036">
        <v>0.61909978882173</v>
      </c>
      <c r="AI5036">
        <v>103.87990449272399</v>
      </c>
      <c r="AJ5036">
        <v>86.963360622774999</v>
      </c>
      <c r="AK5036">
        <v>0.63861751065290795</v>
      </c>
      <c r="AL5036">
        <v>84.033538350878999</v>
      </c>
      <c r="AM5036">
        <v>90.448979341510494</v>
      </c>
      <c r="AN5036">
        <v>1.0000000252191501</v>
      </c>
    </row>
    <row r="5037" spans="1:40" x14ac:dyDescent="0.3">
      <c r="A5037" t="str">
        <f>"20200111150148753"</f>
        <v>20200111150148753</v>
      </c>
      <c r="B5037" t="str">
        <f>"1578726108743772"</f>
        <v>1578726108743772</v>
      </c>
      <c r="C5037" t="s">
        <v>40</v>
      </c>
      <c r="D5037">
        <v>5.1619010000000003</v>
      </c>
      <c r="E5037">
        <v>0.52098480000000003</v>
      </c>
      <c r="F5037" t="s">
        <v>41</v>
      </c>
      <c r="G5037">
        <v>-152.8201</v>
      </c>
      <c r="H5037">
        <v>0.95689389999999996</v>
      </c>
      <c r="I5037">
        <v>137.1482</v>
      </c>
      <c r="J5037">
        <v>-153.46860000000001</v>
      </c>
      <c r="K5037">
        <v>1.1059399999999999</v>
      </c>
      <c r="L5037">
        <v>137.22550000000001</v>
      </c>
      <c r="M5037">
        <v>0.99769249999999998</v>
      </c>
      <c r="N5037">
        <v>0</v>
      </c>
      <c r="O5037">
        <v>-6.4979029999999993E-2</v>
      </c>
      <c r="P5037">
        <v>0.99488520000000003</v>
      </c>
      <c r="Q5037">
        <v>8.1971509999999997E-2</v>
      </c>
      <c r="R5037">
        <v>-5.9026240000000001E-2</v>
      </c>
      <c r="S5037">
        <v>3.0495450000000002</v>
      </c>
      <c r="T5037">
        <v>-0.65081580000000006</v>
      </c>
      <c r="U5037">
        <v>-0.35517880000000002</v>
      </c>
      <c r="V5037">
        <v>-5.7273510000000003E-3</v>
      </c>
      <c r="W5037">
        <v>0.1015728</v>
      </c>
      <c r="X5037">
        <v>0.99481160000000002</v>
      </c>
      <c r="Y5037">
        <v>5.1192099999999997E-2</v>
      </c>
      <c r="Z5037">
        <v>8.2668269999999992E-3</v>
      </c>
      <c r="AA5037">
        <v>0.99865459999999995</v>
      </c>
      <c r="AB5037">
        <v>5</v>
      </c>
      <c r="AC5037">
        <v>0.64850000000001196</v>
      </c>
      <c r="AD5037">
        <v>-0.14904609999999899</v>
      </c>
      <c r="AE5037">
        <v>-7.7300000000008098E-2</v>
      </c>
      <c r="AF5037">
        <v>3.3257371104005E-2</v>
      </c>
      <c r="AG5037">
        <v>-0.14904609999999899</v>
      </c>
      <c r="AH5037">
        <v>0.619868333948977</v>
      </c>
      <c r="AI5037">
        <v>103.50129533729201</v>
      </c>
      <c r="AJ5037">
        <v>86.92889333091</v>
      </c>
      <c r="AK5037">
        <v>0.63840233715944295</v>
      </c>
      <c r="AL5037">
        <v>84.170253376396602</v>
      </c>
      <c r="AM5037">
        <v>90.329860864662194</v>
      </c>
      <c r="AN5037">
        <v>0.99999997787193795</v>
      </c>
    </row>
    <row r="5038" spans="1:40" x14ac:dyDescent="0.3">
      <c r="A5038" t="str">
        <f>"20200111150148775"</f>
        <v>20200111150148775</v>
      </c>
      <c r="B5038" t="str">
        <f>"1578726108763292"</f>
        <v>1578726108763292</v>
      </c>
      <c r="C5038" t="s">
        <v>40</v>
      </c>
      <c r="D5038">
        <v>5.1101320000000001</v>
      </c>
      <c r="E5038">
        <v>0.52122889999999999</v>
      </c>
      <c r="F5038" t="s">
        <v>41</v>
      </c>
      <c r="G5038">
        <v>-152.77379999999999</v>
      </c>
      <c r="H5038">
        <v>0.95471760000000006</v>
      </c>
      <c r="I5038">
        <v>137.14279999999999</v>
      </c>
      <c r="J5038">
        <v>-153.4161</v>
      </c>
      <c r="K5038">
        <v>1.1059319999999999</v>
      </c>
      <c r="L5038">
        <v>137.22130000000001</v>
      </c>
      <c r="M5038">
        <v>0.99766049999999995</v>
      </c>
      <c r="N5038">
        <v>0</v>
      </c>
      <c r="O5038">
        <v>-6.576224E-2</v>
      </c>
      <c r="P5038">
        <v>0.99529529999999999</v>
      </c>
      <c r="Q5038">
        <v>7.5467909999999999E-2</v>
      </c>
      <c r="R5038">
        <v>-6.0760590000000003E-2</v>
      </c>
      <c r="S5038">
        <v>3.0485989999999998</v>
      </c>
      <c r="T5038">
        <v>-0.66347900000000004</v>
      </c>
      <c r="U5038">
        <v>-0.36227419999999999</v>
      </c>
      <c r="V5038">
        <v>-4.8101659999999899E-3</v>
      </c>
      <c r="W5038">
        <v>9.408445E-2</v>
      </c>
      <c r="X5038">
        <v>0.99555260000000001</v>
      </c>
      <c r="Y5038">
        <v>5.273187E-2</v>
      </c>
      <c r="Z5038">
        <v>8.4272730000000007E-3</v>
      </c>
      <c r="AA5038">
        <v>0.99857309999999999</v>
      </c>
      <c r="AB5038">
        <v>5</v>
      </c>
      <c r="AC5038">
        <v>0.64230000000000498</v>
      </c>
      <c r="AD5038">
        <v>-0.151214399999999</v>
      </c>
      <c r="AE5038">
        <v>-7.8500000000019499E-2</v>
      </c>
      <c r="AF5038">
        <v>3.4215075213142702E-2</v>
      </c>
      <c r="AG5038">
        <v>-0.151214399999999</v>
      </c>
      <c r="AH5038">
        <v>0.61261740315396196</v>
      </c>
      <c r="AI5038">
        <v>103.844609174398</v>
      </c>
      <c r="AJ5038">
        <v>86.803314975382605</v>
      </c>
      <c r="AK5038">
        <v>0.63193081012584396</v>
      </c>
      <c r="AL5038">
        <v>84.601373363065207</v>
      </c>
      <c r="AM5038">
        <v>90.276831245233595</v>
      </c>
      <c r="AN5038">
        <v>1.0000000003977501</v>
      </c>
    </row>
    <row r="5039" spans="1:40" x14ac:dyDescent="0.3">
      <c r="A5039" t="str">
        <f>"20200111150148798"</f>
        <v>20200111150148798</v>
      </c>
      <c r="B5039" t="str">
        <f>"1578726108793547"</f>
        <v>1578726108793547</v>
      </c>
      <c r="C5039" t="s">
        <v>40</v>
      </c>
      <c r="D5039">
        <v>5.1266530000000001</v>
      </c>
      <c r="E5039">
        <v>0.51947330000000003</v>
      </c>
      <c r="F5039" t="s">
        <v>41</v>
      </c>
      <c r="G5039">
        <v>-152.7303</v>
      </c>
      <c r="H5039">
        <v>0.94765889999999997</v>
      </c>
      <c r="I5039">
        <v>137.1371</v>
      </c>
      <c r="J5039">
        <v>-153.36250000000001</v>
      </c>
      <c r="K5039">
        <v>1.1059909999999999</v>
      </c>
      <c r="L5039">
        <v>137.21690000000001</v>
      </c>
      <c r="M5039">
        <v>0.99762399999999996</v>
      </c>
      <c r="N5039">
        <v>0</v>
      </c>
      <c r="O5039">
        <v>-6.6543939999999996E-2</v>
      </c>
      <c r="P5039">
        <v>0.99558469999999999</v>
      </c>
      <c r="Q5039">
        <v>7.1046319999999996E-2</v>
      </c>
      <c r="R5039">
        <v>-6.1348600000000003E-2</v>
      </c>
      <c r="S5039">
        <v>3.0446620000000002</v>
      </c>
      <c r="T5039">
        <v>-0.70258669999999901</v>
      </c>
      <c r="U5039">
        <v>-0.3734131</v>
      </c>
      <c r="V5039">
        <v>-5.0257459999999898E-3</v>
      </c>
      <c r="W5039">
        <v>8.8833209999999996E-2</v>
      </c>
      <c r="X5039">
        <v>0.99603379999999997</v>
      </c>
      <c r="Y5039">
        <v>5.5682580000000002E-2</v>
      </c>
      <c r="Z5039">
        <v>8.7623289999999993E-3</v>
      </c>
      <c r="AA5039">
        <v>0.99841000000000002</v>
      </c>
      <c r="AB5039">
        <v>5</v>
      </c>
      <c r="AC5039">
        <v>0.63220000000001098</v>
      </c>
      <c r="AD5039">
        <v>-0.158332099999999</v>
      </c>
      <c r="AE5039">
        <v>-7.9800000000005797E-2</v>
      </c>
      <c r="AF5039">
        <v>3.5363935951232703E-2</v>
      </c>
      <c r="AG5039">
        <v>-0.158332099999999</v>
      </c>
      <c r="AH5039">
        <v>0.59911989995470505</v>
      </c>
      <c r="AI5039">
        <v>104.77878396990999</v>
      </c>
      <c r="AJ5039">
        <v>86.6219516304743</v>
      </c>
      <c r="AK5039">
        <v>0.62069663796262797</v>
      </c>
      <c r="AL5039">
        <v>84.903513737644502</v>
      </c>
      <c r="AM5039">
        <v>90.289098212332703</v>
      </c>
      <c r="AN5039">
        <v>0.99999996403209901</v>
      </c>
    </row>
    <row r="5040" spans="1:40" x14ac:dyDescent="0.3">
      <c r="A5040" t="str">
        <f>"20200111150148820"</f>
        <v>20200111150148820</v>
      </c>
      <c r="B5040" t="str">
        <f>"1578726108814043"</f>
        <v>1578726108814043</v>
      </c>
      <c r="C5040" t="s">
        <v>40</v>
      </c>
      <c r="D5040">
        <v>5.2324580000000003</v>
      </c>
      <c r="E5040">
        <v>0.51848340000000004</v>
      </c>
      <c r="F5040" t="s">
        <v>41</v>
      </c>
      <c r="G5040">
        <v>-152.6833</v>
      </c>
      <c r="H5040">
        <v>0.94738029999999995</v>
      </c>
      <c r="I5040">
        <v>137.13480000000001</v>
      </c>
      <c r="J5040">
        <v>-153.30969999999999</v>
      </c>
      <c r="K5040">
        <v>1.1060700000000001</v>
      </c>
      <c r="L5040">
        <v>137.21250000000001</v>
      </c>
      <c r="M5040">
        <v>0.99758599999999997</v>
      </c>
      <c r="N5040">
        <v>0</v>
      </c>
      <c r="O5040">
        <v>-6.7310800000000004E-2</v>
      </c>
      <c r="P5040">
        <v>0.99576160000000002</v>
      </c>
      <c r="Q5040">
        <v>7.0307770000000006E-2</v>
      </c>
      <c r="R5040">
        <v>-5.9293720000000001E-2</v>
      </c>
      <c r="S5040">
        <v>3.0413670000000002</v>
      </c>
      <c r="T5040">
        <v>-0.70992149999999998</v>
      </c>
      <c r="U5040">
        <v>-0.36665340000000002</v>
      </c>
      <c r="V5040">
        <v>-7.8536470000000001E-3</v>
      </c>
      <c r="W5040">
        <v>8.7332259999999995E-2</v>
      </c>
      <c r="X5040">
        <v>0.99614829999999999</v>
      </c>
      <c r="Y5040">
        <v>5.2958470000000001E-2</v>
      </c>
      <c r="Z5040">
        <v>9.3499480000000003E-3</v>
      </c>
      <c r="AA5040">
        <v>0.99855289999999997</v>
      </c>
      <c r="AB5040">
        <v>5</v>
      </c>
      <c r="AC5040">
        <v>0.62639999999998897</v>
      </c>
      <c r="AD5040">
        <v>-0.15868969999999999</v>
      </c>
      <c r="AE5040">
        <v>-7.7699999999992997E-2</v>
      </c>
      <c r="AF5040">
        <v>3.3252331352587303E-2</v>
      </c>
      <c r="AG5040">
        <v>-0.15868969999999999</v>
      </c>
      <c r="AH5040">
        <v>0.59274438372933302</v>
      </c>
      <c r="AI5040">
        <v>104.965290819628</v>
      </c>
      <c r="AJ5040">
        <v>86.789133003303803</v>
      </c>
      <c r="AK5040">
        <v>0.614519359230561</v>
      </c>
      <c r="AL5040">
        <v>84.989847692966606</v>
      </c>
      <c r="AM5040">
        <v>90.451711360627002</v>
      </c>
      <c r="AN5040">
        <v>1.00000001950039</v>
      </c>
    </row>
    <row r="5041" spans="1:40" x14ac:dyDescent="0.3">
      <c r="A5041" t="str">
        <f>"20200111150148843"</f>
        <v>20200111150148843</v>
      </c>
      <c r="B5041" t="str">
        <f>"1578726108833564"</f>
        <v>1578726108833564</v>
      </c>
      <c r="C5041" t="s">
        <v>40</v>
      </c>
      <c r="D5041">
        <v>5.2271900000000002</v>
      </c>
      <c r="E5041">
        <v>0.51806129999999995</v>
      </c>
      <c r="F5041" t="s">
        <v>41</v>
      </c>
      <c r="G5041">
        <v>-152.63480000000001</v>
      </c>
      <c r="H5041">
        <v>0.94974729999999996</v>
      </c>
      <c r="I5041">
        <v>137.1326</v>
      </c>
      <c r="J5041">
        <v>-153.25790000000001</v>
      </c>
      <c r="K5041">
        <v>1.1060970000000001</v>
      </c>
      <c r="L5041">
        <v>137.20820000000001</v>
      </c>
      <c r="M5041">
        <v>0.99754750000000003</v>
      </c>
      <c r="N5041">
        <v>0</v>
      </c>
      <c r="O5041">
        <v>-6.8048639999999994E-2</v>
      </c>
      <c r="P5041">
        <v>0.99537249999999999</v>
      </c>
      <c r="Q5041">
        <v>7.7739240000000001E-2</v>
      </c>
      <c r="R5041">
        <v>-5.6483459999999999E-2</v>
      </c>
      <c r="S5041">
        <v>3.041077</v>
      </c>
      <c r="T5041">
        <v>-0.70430609999999905</v>
      </c>
      <c r="U5041">
        <v>-0.35989379999999999</v>
      </c>
      <c r="V5041">
        <v>-1.13635E-2</v>
      </c>
      <c r="W5041">
        <v>9.4065469999999998E-2</v>
      </c>
      <c r="X5041">
        <v>0.99550119999999997</v>
      </c>
      <c r="Y5041">
        <v>5.0130460000000002E-2</v>
      </c>
      <c r="Z5041">
        <v>9.7696220000000004E-3</v>
      </c>
      <c r="AA5041">
        <v>0.99869490000000005</v>
      </c>
      <c r="AB5041">
        <v>5</v>
      </c>
      <c r="AC5041">
        <v>0.62309999999999299</v>
      </c>
      <c r="AD5041">
        <v>-0.15634969999999901</v>
      </c>
      <c r="AE5041">
        <v>-7.5600000000008494E-2</v>
      </c>
      <c r="AF5041">
        <v>3.1088891544062101E-2</v>
      </c>
      <c r="AG5041">
        <v>-0.15634969999999901</v>
      </c>
      <c r="AH5041">
        <v>0.59018055119180701</v>
      </c>
      <c r="AI5041">
        <v>104.818220325129</v>
      </c>
      <c r="AJ5041">
        <v>86.984622034266295</v>
      </c>
      <c r="AK5041">
        <v>0.61133037784212296</v>
      </c>
      <c r="AL5041">
        <v>84.602465898305198</v>
      </c>
      <c r="AM5041">
        <v>90.653994504830195</v>
      </c>
      <c r="AN5041">
        <v>1.00000004049</v>
      </c>
    </row>
    <row r="5042" spans="1:40" x14ac:dyDescent="0.3">
      <c r="A5042" t="str">
        <f>"20200111150148864"</f>
        <v>20200111150148864</v>
      </c>
      <c r="B5042" t="str">
        <f>"1578726108854060"</f>
        <v>1578726108854060</v>
      </c>
      <c r="C5042" t="s">
        <v>40</v>
      </c>
      <c r="D5042">
        <v>5.2358760000000002</v>
      </c>
      <c r="E5042">
        <v>0.51809320000000003</v>
      </c>
      <c r="F5042" t="s">
        <v>41</v>
      </c>
      <c r="G5042">
        <v>-152.54169999999999</v>
      </c>
      <c r="H5042">
        <v>0.94652740000000002</v>
      </c>
      <c r="I5042">
        <v>137.12569999999999</v>
      </c>
      <c r="J5042">
        <v>-153.20490000000001</v>
      </c>
      <c r="K5042">
        <v>1.1060369999999999</v>
      </c>
      <c r="L5042">
        <v>137.2037</v>
      </c>
      <c r="M5042">
        <v>0.99750570000000005</v>
      </c>
      <c r="N5042">
        <v>0</v>
      </c>
      <c r="O5042">
        <v>-6.880087E-2</v>
      </c>
      <c r="P5042">
        <v>0.99513859999999998</v>
      </c>
      <c r="Q5042">
        <v>8.2938789999999998E-2</v>
      </c>
      <c r="R5042">
        <v>-5.3108139999999998E-2</v>
      </c>
      <c r="S5042">
        <v>3.0470890000000002</v>
      </c>
      <c r="T5042">
        <v>-0.67880479999999999</v>
      </c>
      <c r="U5042">
        <v>-0.35057070000000001</v>
      </c>
      <c r="V5042">
        <v>-1.546257E-2</v>
      </c>
      <c r="W5042">
        <v>9.8654549999999994E-2</v>
      </c>
      <c r="X5042">
        <v>0.99500160000000004</v>
      </c>
      <c r="Y5042">
        <v>4.621136E-2</v>
      </c>
      <c r="Z5042">
        <v>1.000258E-2</v>
      </c>
      <c r="AA5042">
        <v>0.99888160000000004</v>
      </c>
      <c r="AB5042">
        <v>5</v>
      </c>
      <c r="AC5042">
        <v>0.663200000000017</v>
      </c>
      <c r="AD5042">
        <v>-0.1595096</v>
      </c>
      <c r="AE5042">
        <v>-7.80000000000029E-2</v>
      </c>
      <c r="AF5042">
        <v>3.04436501761319E-2</v>
      </c>
      <c r="AG5042">
        <v>-0.1595096</v>
      </c>
      <c r="AH5042">
        <v>0.63099194055633101</v>
      </c>
      <c r="AI5042">
        <v>104.170875575433</v>
      </c>
      <c r="AJ5042">
        <v>87.237775971559302</v>
      </c>
      <c r="AK5042">
        <v>0.65155272800844899</v>
      </c>
      <c r="AL5042">
        <v>84.338301233718596</v>
      </c>
      <c r="AM5042">
        <v>90.890318863614894</v>
      </c>
      <c r="AN5042">
        <v>0.99999999765463299</v>
      </c>
    </row>
    <row r="5043" spans="1:40" x14ac:dyDescent="0.3">
      <c r="A5043" t="str">
        <f>"20200111150148888"</f>
        <v>20200111150148888</v>
      </c>
      <c r="B5043" t="str">
        <f>"1578726108884316"</f>
        <v>1578726108884316</v>
      </c>
      <c r="C5043" t="s">
        <v>40</v>
      </c>
      <c r="D5043">
        <v>5.2173210000000001</v>
      </c>
      <c r="E5043">
        <v>0.51014839999999995</v>
      </c>
      <c r="F5043" t="s">
        <v>41</v>
      </c>
      <c r="G5043">
        <v>-152.49119999999999</v>
      </c>
      <c r="H5043">
        <v>0.95261030000000002</v>
      </c>
      <c r="I5043">
        <v>137.12389999999999</v>
      </c>
      <c r="J5043">
        <v>-153.15170000000001</v>
      </c>
      <c r="K5043">
        <v>1.105952</v>
      </c>
      <c r="L5043">
        <v>137.19909999999999</v>
      </c>
      <c r="M5043">
        <v>0.99746020000000002</v>
      </c>
      <c r="N5043">
        <v>0</v>
      </c>
      <c r="O5043">
        <v>-6.9572560000000006E-2</v>
      </c>
      <c r="P5043">
        <v>0.99570590000000003</v>
      </c>
      <c r="Q5043">
        <v>7.9785780000000001E-2</v>
      </c>
      <c r="R5043">
        <v>-4.695237E-2</v>
      </c>
      <c r="S5043">
        <v>3.0511469999999998</v>
      </c>
      <c r="T5043">
        <v>-0.65578440000000005</v>
      </c>
      <c r="U5043">
        <v>-0.34043879999999999</v>
      </c>
      <c r="V5043">
        <v>-2.241568E-2</v>
      </c>
      <c r="W5043">
        <v>9.4997280000000003E-2</v>
      </c>
      <c r="X5043">
        <v>0.99522509999999997</v>
      </c>
      <c r="Y5043">
        <v>4.208601E-2</v>
      </c>
      <c r="Z5043">
        <v>1.0260480000000001E-2</v>
      </c>
      <c r="AA5043">
        <v>0.99906130000000004</v>
      </c>
      <c r="AB5043">
        <v>5</v>
      </c>
      <c r="AC5043">
        <v>0.66050000000001297</v>
      </c>
      <c r="AD5043">
        <v>-0.153341699999999</v>
      </c>
      <c r="AE5043">
        <v>-7.5199999999995201E-2</v>
      </c>
      <c r="AF5043">
        <v>2.7591604441966198E-2</v>
      </c>
      <c r="AG5043">
        <v>-0.153341699999999</v>
      </c>
      <c r="AH5043">
        <v>0.63057940750443897</v>
      </c>
      <c r="AI5043">
        <v>103.655087029325</v>
      </c>
      <c r="AJ5043">
        <v>87.4945665644276</v>
      </c>
      <c r="AK5043">
        <v>0.64954242568382103</v>
      </c>
      <c r="AL5043">
        <v>84.548836591371199</v>
      </c>
      <c r="AM5043">
        <v>91.290267646651003</v>
      </c>
      <c r="AN5043">
        <v>0.99999997279363495</v>
      </c>
    </row>
    <row r="5044" spans="1:40" x14ac:dyDescent="0.3">
      <c r="A5044" t="str">
        <f>"20200111150148910"</f>
        <v>20200111150148910</v>
      </c>
      <c r="B5044" t="str">
        <f>"1578726108903835"</f>
        <v>1578726108903835</v>
      </c>
      <c r="C5044" t="s">
        <v>40</v>
      </c>
      <c r="D5044">
        <v>5.2333259999999999</v>
      </c>
      <c r="E5044">
        <v>0.51471429999999996</v>
      </c>
      <c r="F5044" t="s">
        <v>41</v>
      </c>
      <c r="G5044">
        <v>-152.39510000000001</v>
      </c>
      <c r="H5044">
        <v>1.0430159999999999</v>
      </c>
      <c r="I5044">
        <v>137.1377</v>
      </c>
      <c r="J5044">
        <v>-153.09790000000001</v>
      </c>
      <c r="K5044">
        <v>1.105858</v>
      </c>
      <c r="L5044">
        <v>137.1944</v>
      </c>
      <c r="M5044">
        <v>0.99741100000000005</v>
      </c>
      <c r="N5044">
        <v>0</v>
      </c>
      <c r="O5044">
        <v>-7.0371020000000006E-2</v>
      </c>
      <c r="P5044">
        <v>0.99645969999999995</v>
      </c>
      <c r="Q5044">
        <v>7.4110120000000002E-2</v>
      </c>
      <c r="R5044">
        <v>-3.970038E-2</v>
      </c>
      <c r="S5044">
        <v>3.021515</v>
      </c>
      <c r="T5044">
        <v>-0.25127909999999998</v>
      </c>
      <c r="U5044">
        <v>-0.24525449999999999</v>
      </c>
      <c r="V5044">
        <v>-3.0502520000000002E-2</v>
      </c>
      <c r="W5044">
        <v>8.8881189999999999E-2</v>
      </c>
      <c r="X5044">
        <v>0.99557510000000005</v>
      </c>
      <c r="Y5044">
        <v>1.075855E-2</v>
      </c>
      <c r="Z5044">
        <v>5.3796670000000003E-3</v>
      </c>
      <c r="AA5044">
        <v>0.99992760000000003</v>
      </c>
      <c r="AB5044">
        <v>5</v>
      </c>
      <c r="AC5044">
        <v>0.70279999999999598</v>
      </c>
      <c r="AD5044">
        <v>-6.2841999999999995E-2</v>
      </c>
      <c r="AE5044">
        <v>-5.6700000000006398E-2</v>
      </c>
      <c r="AF5044">
        <v>7.0412953700875998E-3</v>
      </c>
      <c r="AG5044">
        <v>-6.2841999999999995E-2</v>
      </c>
      <c r="AH5044">
        <v>0.69949127243204301</v>
      </c>
      <c r="AI5044">
        <v>95.133388029155398</v>
      </c>
      <c r="AJ5044">
        <v>89.4232624524127</v>
      </c>
      <c r="AK5044">
        <v>0.70234374562110802</v>
      </c>
      <c r="AL5044">
        <v>84.900754078828101</v>
      </c>
      <c r="AM5044">
        <v>91.754884315636502</v>
      </c>
      <c r="AN5044">
        <v>1.0000000247010801</v>
      </c>
    </row>
    <row r="5045" spans="1:40" x14ac:dyDescent="0.3">
      <c r="A5045" t="str">
        <f>"20200111150148932"</f>
        <v>20200111150148932</v>
      </c>
      <c r="B5045" t="str">
        <f>"1578726108923356"</f>
        <v>1578726108923356</v>
      </c>
      <c r="C5045" t="s">
        <v>40</v>
      </c>
      <c r="D5045">
        <v>5.1610469999999999</v>
      </c>
      <c r="E5045">
        <v>0.51585630000000005</v>
      </c>
      <c r="F5045" t="s">
        <v>41</v>
      </c>
      <c r="G5045">
        <v>-152.39670000000001</v>
      </c>
      <c r="H5045">
        <v>0.94982500000000003</v>
      </c>
      <c r="I5045">
        <v>137.12880000000001</v>
      </c>
      <c r="J5045">
        <v>-153.04589999999999</v>
      </c>
      <c r="K5045">
        <v>1.105753</v>
      </c>
      <c r="L5045">
        <v>137.18989999999999</v>
      </c>
      <c r="M5045">
        <v>0.99736139999999995</v>
      </c>
      <c r="N5045">
        <v>0</v>
      </c>
      <c r="O5045">
        <v>-7.1148089999999997E-2</v>
      </c>
      <c r="P5045">
        <v>0.99675539999999996</v>
      </c>
      <c r="Q5045">
        <v>7.3533860000000006E-2</v>
      </c>
      <c r="R5045">
        <v>-3.2739240000000003E-2</v>
      </c>
      <c r="S5045">
        <v>3.049744</v>
      </c>
      <c r="T5045">
        <v>-0.67861669999999996</v>
      </c>
      <c r="U5045">
        <v>-0.28547670000000003</v>
      </c>
      <c r="V5045">
        <v>-3.8243319999999997E-2</v>
      </c>
      <c r="W5045">
        <v>8.7919349999999993E-2</v>
      </c>
      <c r="X5045">
        <v>0.99539319999999998</v>
      </c>
      <c r="Y5045">
        <v>2.3274159999999999E-2</v>
      </c>
      <c r="Z5045">
        <v>1.303346E-2</v>
      </c>
      <c r="AA5045">
        <v>0.99964419999999998</v>
      </c>
      <c r="AB5045">
        <v>5</v>
      </c>
      <c r="AC5045">
        <v>0.64919999999997902</v>
      </c>
      <c r="AD5045">
        <v>-0.15592799999999901</v>
      </c>
      <c r="AE5045">
        <v>-6.1099999999981898E-2</v>
      </c>
      <c r="AF5045">
        <v>1.39531070146561E-2</v>
      </c>
      <c r="AG5045">
        <v>-0.15592799999999901</v>
      </c>
      <c r="AH5045">
        <v>0.61664110542587403</v>
      </c>
      <c r="AI5045">
        <v>104.187241981515</v>
      </c>
      <c r="AJ5045">
        <v>88.703755335890904</v>
      </c>
      <c r="AK5045">
        <v>0.63620317767220103</v>
      </c>
      <c r="AL5045">
        <v>84.956079891874495</v>
      </c>
      <c r="AM5045">
        <v>92.200239699656706</v>
      </c>
      <c r="AN5045">
        <v>0.99999999311764198</v>
      </c>
    </row>
    <row r="5046" spans="1:40" x14ac:dyDescent="0.3">
      <c r="A5046" t="str">
        <f>"20200111150148999"</f>
        <v>20200111150148999</v>
      </c>
      <c r="B5046" t="str">
        <f>"1578726108993627"</f>
        <v>1578726108993627</v>
      </c>
      <c r="C5046" t="s">
        <v>40</v>
      </c>
      <c r="D5046">
        <v>5.1912349999999998</v>
      </c>
      <c r="E5046">
        <v>0.47797339999999999</v>
      </c>
      <c r="F5046" t="s">
        <v>41</v>
      </c>
      <c r="G5046">
        <v>-152.34909999999999</v>
      </c>
      <c r="H5046">
        <v>0.94971539999999999</v>
      </c>
      <c r="I5046">
        <v>137.12809999999999</v>
      </c>
      <c r="J5046">
        <v>-152.88749999999999</v>
      </c>
      <c r="K5046">
        <v>1.1054660000000001</v>
      </c>
      <c r="L5046">
        <v>137.17570000000001</v>
      </c>
      <c r="M5046">
        <v>0.99720109999999995</v>
      </c>
      <c r="N5046">
        <v>0</v>
      </c>
      <c r="O5046">
        <v>-7.3531009999999994E-2</v>
      </c>
      <c r="P5046">
        <v>0.99670639999999999</v>
      </c>
      <c r="Q5046">
        <v>7.9180470000000003E-2</v>
      </c>
      <c r="R5046">
        <v>-1.75231E-2</v>
      </c>
      <c r="S5046">
        <v>3.051285</v>
      </c>
      <c r="T5046">
        <v>-0.6831874</v>
      </c>
      <c r="U5046">
        <v>-0.2702637</v>
      </c>
      <c r="V5046">
        <v>-5.5790140000000002E-2</v>
      </c>
      <c r="W5046">
        <v>9.2672060000000001E-2</v>
      </c>
      <c r="X5046">
        <v>0.99413249999999997</v>
      </c>
      <c r="Y5046">
        <v>1.614378E-2</v>
      </c>
      <c r="Z5046">
        <v>1.4427250000000001E-2</v>
      </c>
      <c r="AA5046">
        <v>0.99976560000000003</v>
      </c>
      <c r="AB5046">
        <v>5</v>
      </c>
      <c r="AC5046">
        <v>0.53839999999999499</v>
      </c>
      <c r="AD5046">
        <v>-0.15575059999999899</v>
      </c>
      <c r="AE5046">
        <v>-4.76000000000169E-2</v>
      </c>
      <c r="AF5046">
        <v>7.2743620375502497E-3</v>
      </c>
      <c r="AG5046">
        <v>-0.15575059999999899</v>
      </c>
      <c r="AH5046">
        <v>0.499006955354034</v>
      </c>
      <c r="AI5046">
        <v>107.332513361549</v>
      </c>
      <c r="AJ5046">
        <v>89.164819810927995</v>
      </c>
      <c r="AK5046">
        <v>0.52279929919149304</v>
      </c>
      <c r="AL5046">
        <v>84.682652694274296</v>
      </c>
      <c r="AM5046">
        <v>93.212036797281201</v>
      </c>
      <c r="AN5046">
        <v>1.0000000389910499</v>
      </c>
    </row>
    <row r="5047" spans="1:40" x14ac:dyDescent="0.3">
      <c r="A5047" t="str">
        <f>"20200111150149023"</f>
        <v>20200111150149023</v>
      </c>
      <c r="B5047" t="str">
        <f>"1578726109014124"</f>
        <v>1578726109014124</v>
      </c>
      <c r="C5047" t="s">
        <v>40</v>
      </c>
      <c r="D5047">
        <v>6.8336410000000001</v>
      </c>
      <c r="E5047">
        <v>0.4777228</v>
      </c>
      <c r="F5047" t="s">
        <v>42</v>
      </c>
      <c r="G5047">
        <v>-135.41220000000001</v>
      </c>
      <c r="H5047" s="1">
        <v>-2.2744490000000001E-6</v>
      </c>
      <c r="I5047">
        <v>137.78980000000001</v>
      </c>
      <c r="J5047">
        <v>-152.8313</v>
      </c>
      <c r="K5047">
        <v>1.1053809999999999</v>
      </c>
      <c r="L5047">
        <v>137.1705</v>
      </c>
      <c r="M5047">
        <v>0.99714179999999997</v>
      </c>
      <c r="N5047">
        <v>0</v>
      </c>
      <c r="O5047">
        <v>-7.4371610000000005E-2</v>
      </c>
      <c r="P5047">
        <v>0.99704029999999999</v>
      </c>
      <c r="Q5047">
        <v>7.5278600000000001E-2</v>
      </c>
      <c r="R5047">
        <v>-1.5614289999999999E-2</v>
      </c>
      <c r="S5047">
        <v>3.0269780000000002</v>
      </c>
      <c r="T5047">
        <v>-0.19148299999999999</v>
      </c>
      <c r="U5047">
        <v>0.1063843</v>
      </c>
      <c r="V5047">
        <v>-5.8558579999999999E-2</v>
      </c>
      <c r="W5047">
        <v>8.8546340000000001E-2</v>
      </c>
      <c r="X5047">
        <v>0.99434920000000004</v>
      </c>
      <c r="Y5047">
        <v>-0.1089926</v>
      </c>
      <c r="Z5047">
        <v>8.1400750000000001E-3</v>
      </c>
      <c r="AA5047">
        <v>0.99400929999999998</v>
      </c>
      <c r="AB5047">
        <v>5</v>
      </c>
      <c r="AC5047">
        <v>17.419099999999901</v>
      </c>
      <c r="AD5047">
        <v>-1.105383274449</v>
      </c>
      <c r="AE5047">
        <v>0.61930000000000895</v>
      </c>
      <c r="AF5047">
        <v>-1.9055221211731499</v>
      </c>
      <c r="AG5047">
        <v>-1.105383274449</v>
      </c>
      <c r="AH5047">
        <v>17.255389948469102</v>
      </c>
      <c r="AI5047">
        <v>93.643281959825799</v>
      </c>
      <c r="AJ5047">
        <v>96.301670856113603</v>
      </c>
      <c r="AK5047">
        <v>17.3954410410153</v>
      </c>
      <c r="AL5047">
        <v>84.920015117057204</v>
      </c>
      <c r="AM5047">
        <v>93.370333842376198</v>
      </c>
      <c r="AN5047">
        <v>0.99999994657982405</v>
      </c>
    </row>
    <row r="5048" spans="1:40" x14ac:dyDescent="0.3">
      <c r="A5048" t="str">
        <f>"20200111150149046"</f>
        <v>20200111150149046</v>
      </c>
      <c r="B5048" t="str">
        <f>"1578726109033643"</f>
        <v>1578726109033643</v>
      </c>
      <c r="C5048" t="s">
        <v>40</v>
      </c>
      <c r="D5048">
        <v>5.2546210000000002</v>
      </c>
      <c r="E5048">
        <v>0.46076060000000002</v>
      </c>
      <c r="F5048" t="s">
        <v>42</v>
      </c>
      <c r="G5048">
        <v>-137.14340000000001</v>
      </c>
      <c r="H5048" s="1">
        <v>-1.535787E-6</v>
      </c>
      <c r="I5048">
        <v>137.7671</v>
      </c>
      <c r="J5048">
        <v>-152.77780000000001</v>
      </c>
      <c r="K5048">
        <v>1.1052949999999999</v>
      </c>
      <c r="L5048">
        <v>137.16550000000001</v>
      </c>
      <c r="M5048">
        <v>0.99708450000000004</v>
      </c>
      <c r="N5048">
        <v>0</v>
      </c>
      <c r="O5048">
        <v>-7.5169089999999994E-2</v>
      </c>
      <c r="P5048">
        <v>0.99756279999999997</v>
      </c>
      <c r="Q5048">
        <v>6.8563860000000004E-2</v>
      </c>
      <c r="R5048">
        <v>-1.295053E-2</v>
      </c>
      <c r="S5048">
        <v>3.0268099999999998</v>
      </c>
      <c r="T5048">
        <v>-0.21327070000000001</v>
      </c>
      <c r="U5048">
        <v>0.1151123</v>
      </c>
      <c r="V5048">
        <v>-6.2052339999999997E-2</v>
      </c>
      <c r="W5048">
        <v>8.1648730000000003E-2</v>
      </c>
      <c r="X5048">
        <v>0.99472760000000005</v>
      </c>
      <c r="Y5048">
        <v>-0.11255229999999999</v>
      </c>
      <c r="Z5048">
        <v>9.2454979999999996E-3</v>
      </c>
      <c r="AA5048">
        <v>0.99360280000000001</v>
      </c>
      <c r="AB5048">
        <v>5</v>
      </c>
      <c r="AC5048">
        <v>15.634399999999999</v>
      </c>
      <c r="AD5048">
        <v>-1.1052965357869999</v>
      </c>
      <c r="AE5048">
        <v>0.60159999999999003</v>
      </c>
      <c r="AF5048">
        <v>-1.7664069994528699</v>
      </c>
      <c r="AG5048">
        <v>-1.1052965357869999</v>
      </c>
      <c r="AH5048">
        <v>15.4677406612232</v>
      </c>
      <c r="AI5048">
        <v>94.060998565761594</v>
      </c>
      <c r="AJ5048">
        <v>96.514921105087495</v>
      </c>
      <c r="AK5048">
        <v>15.6074621666239</v>
      </c>
      <c r="AL5048">
        <v>85.316658926343493</v>
      </c>
      <c r="AM5048">
        <v>93.569556288591002</v>
      </c>
      <c r="AN5048">
        <v>1.00000000310592</v>
      </c>
    </row>
    <row r="5049" spans="1:40" x14ac:dyDescent="0.3">
      <c r="A5049" t="str">
        <f>"20200111150149169"</f>
        <v>20200111150149169</v>
      </c>
      <c r="B5049" t="str">
        <f>"1578726109163452"</f>
        <v>1578726109163452</v>
      </c>
      <c r="C5049" t="s">
        <v>40</v>
      </c>
      <c r="D5049">
        <v>5.2097939999999996</v>
      </c>
      <c r="E5049">
        <v>0.48016419999999999</v>
      </c>
      <c r="F5049" t="s">
        <v>46</v>
      </c>
      <c r="G5049">
        <v>0</v>
      </c>
      <c r="H5049">
        <v>0</v>
      </c>
      <c r="I5049">
        <v>0</v>
      </c>
      <c r="J5049">
        <v>-152.4881</v>
      </c>
      <c r="K5049">
        <v>1.105294</v>
      </c>
      <c r="L5049">
        <v>137.1378</v>
      </c>
      <c r="M5049">
        <v>0.99676010000000004</v>
      </c>
      <c r="N5049">
        <v>0</v>
      </c>
      <c r="O5049">
        <v>-7.9460459999999997E-2</v>
      </c>
      <c r="P5049">
        <v>0.99743630000000005</v>
      </c>
      <c r="Q5049">
        <v>6.8503259999999996E-2</v>
      </c>
      <c r="R5049">
        <v>-2.0697569999999998E-2</v>
      </c>
      <c r="S5049">
        <v>2.96637</v>
      </c>
      <c r="T5049">
        <v>0.65072109999999905</v>
      </c>
      <c r="U5049">
        <v>0.28958129999999999</v>
      </c>
      <c r="V5049">
        <v>-5.8606539999999999E-2</v>
      </c>
      <c r="W5049">
        <v>8.0945829999999996E-2</v>
      </c>
      <c r="X5049">
        <v>0.99499400000000005</v>
      </c>
      <c r="Y5049">
        <v>-0.1700566</v>
      </c>
      <c r="Z5049">
        <v>-3.5581710000000003E-2</v>
      </c>
      <c r="AA5049">
        <v>0.98479170000000005</v>
      </c>
      <c r="AB5049">
        <v>5</v>
      </c>
      <c r="AC5049">
        <v>2.96637</v>
      </c>
      <c r="AD5049">
        <v>0.65072109999999905</v>
      </c>
      <c r="AE5049">
        <v>0.28958129999999999</v>
      </c>
      <c r="AF5049">
        <v>-0.50053387667119198</v>
      </c>
      <c r="AG5049">
        <v>0.65072109999999905</v>
      </c>
      <c r="AH5049">
        <v>2.8004854916874602</v>
      </c>
      <c r="AI5049">
        <v>77.116071964318806</v>
      </c>
      <c r="AJ5049">
        <v>100.13353767916099</v>
      </c>
      <c r="AK5049">
        <v>2.9183370437344398</v>
      </c>
      <c r="AL5049">
        <v>85.357065899671696</v>
      </c>
      <c r="AM5049">
        <v>93.370906937593702</v>
      </c>
      <c r="AN5049">
        <v>1.0000000069805799</v>
      </c>
    </row>
    <row r="5050" spans="1:40" x14ac:dyDescent="0.3">
      <c r="A5050" t="str">
        <f>"20200111150149189"</f>
        <v>20200111150149189</v>
      </c>
      <c r="B5050" t="str">
        <f>"1578726109183948"</f>
        <v>1578726109183948</v>
      </c>
      <c r="C5050" t="s">
        <v>40</v>
      </c>
      <c r="D5050">
        <v>5.2222939999999998</v>
      </c>
      <c r="E5050">
        <v>0.48162280000000002</v>
      </c>
      <c r="F5050" t="s">
        <v>42</v>
      </c>
      <c r="G5050">
        <v>-129.08750000000001</v>
      </c>
      <c r="H5050" s="1">
        <v>-7.7923159999999995E-7</v>
      </c>
      <c r="I5050">
        <v>137.8023</v>
      </c>
      <c r="J5050">
        <v>-152.43940000000001</v>
      </c>
      <c r="K5050">
        <v>1.105226</v>
      </c>
      <c r="L5050">
        <v>137.13299999999899</v>
      </c>
      <c r="M5050">
        <v>0.99670270000000005</v>
      </c>
      <c r="N5050">
        <v>0</v>
      </c>
      <c r="O5050">
        <v>-8.0183909999999997E-2</v>
      </c>
      <c r="P5050">
        <v>0.99716720000000003</v>
      </c>
      <c r="Q5050">
        <v>7.0820480000000005E-2</v>
      </c>
      <c r="R5050">
        <v>-2.5337709999999999E-2</v>
      </c>
      <c r="S5050">
        <v>3.0192869999999998</v>
      </c>
      <c r="T5050">
        <v>-0.14261160000000001</v>
      </c>
      <c r="U5050">
        <v>8.5739140000000005E-2</v>
      </c>
      <c r="V5050">
        <v>-5.4681710000000001E-2</v>
      </c>
      <c r="W5050">
        <v>8.3197939999999998E-2</v>
      </c>
      <c r="X5050">
        <v>0.99503169999999996</v>
      </c>
      <c r="Y5050">
        <v>-0.1082422</v>
      </c>
      <c r="Z5050">
        <v>6.3372059999999997E-3</v>
      </c>
      <c r="AA5050">
        <v>0.9941044</v>
      </c>
      <c r="AB5050">
        <v>5</v>
      </c>
      <c r="AC5050">
        <v>23.351900000000001</v>
      </c>
      <c r="AD5050">
        <v>-1.1052267792316</v>
      </c>
      <c r="AE5050">
        <v>0.66930000000002099</v>
      </c>
      <c r="AF5050">
        <v>-2.5340638941042299</v>
      </c>
      <c r="AG5050">
        <v>-1.1052267792316</v>
      </c>
      <c r="AH5050">
        <v>23.171164008701599</v>
      </c>
      <c r="AI5050">
        <v>92.714684156547605</v>
      </c>
      <c r="AJ5050">
        <v>96.241224869118795</v>
      </c>
      <c r="AK5050">
        <v>23.335506156307801</v>
      </c>
      <c r="AL5050">
        <v>85.227592820868395</v>
      </c>
      <c r="AM5050">
        <v>93.145510800808594</v>
      </c>
      <c r="AN5050">
        <v>1.0000000353168199</v>
      </c>
    </row>
    <row r="5051" spans="1:40" x14ac:dyDescent="0.3">
      <c r="A5051" t="str">
        <f>"20200111150149323"</f>
        <v>20200111150149323</v>
      </c>
      <c r="B5051" t="str">
        <f>"1578726109313755"</f>
        <v>1578726109313755</v>
      </c>
      <c r="C5051" t="s">
        <v>40</v>
      </c>
      <c r="D5051">
        <v>5.5605310000000001</v>
      </c>
      <c r="E5051">
        <v>0.4827303</v>
      </c>
      <c r="F5051" t="s">
        <v>42</v>
      </c>
      <c r="G5051">
        <v>-133.2133</v>
      </c>
      <c r="H5051" s="1">
        <v>-3.2667200000000001E-6</v>
      </c>
      <c r="I5051">
        <v>137.5137</v>
      </c>
      <c r="J5051">
        <v>-152.12860000000001</v>
      </c>
      <c r="K5051">
        <v>1.104922</v>
      </c>
      <c r="L5051">
        <v>137.10149999999999</v>
      </c>
      <c r="M5051">
        <v>0.99632039999999999</v>
      </c>
      <c r="N5051">
        <v>0</v>
      </c>
      <c r="O5051">
        <v>-8.4840040000000005E-2</v>
      </c>
      <c r="P5051">
        <v>0.99726400000000004</v>
      </c>
      <c r="Q5051">
        <v>6.034805E-2</v>
      </c>
      <c r="R5051">
        <v>-4.2693839999999997E-2</v>
      </c>
      <c r="S5051">
        <v>3.0223689999999999</v>
      </c>
      <c r="T5051">
        <v>-0.17374339999999999</v>
      </c>
      <c r="U5051">
        <v>5.9844969999999997E-2</v>
      </c>
      <c r="V5051">
        <v>-4.2052190000000003E-2</v>
      </c>
      <c r="W5051">
        <v>7.2483640000000002E-2</v>
      </c>
      <c r="X5051">
        <v>0.99648270000000005</v>
      </c>
      <c r="Y5051">
        <v>-0.10424319999999999</v>
      </c>
      <c r="Z5051">
        <v>7.8630690000000003E-3</v>
      </c>
      <c r="AA5051">
        <v>0.99452079999999998</v>
      </c>
      <c r="AB5051">
        <v>5</v>
      </c>
      <c r="AC5051">
        <v>18.915299999999998</v>
      </c>
      <c r="AD5051">
        <v>-1.10492526672</v>
      </c>
      <c r="AE5051">
        <v>0.412200000000012</v>
      </c>
      <c r="AF5051">
        <v>-2.0087559643653199</v>
      </c>
      <c r="AG5051">
        <v>-1.10492526672</v>
      </c>
      <c r="AH5051">
        <v>18.748175852939799</v>
      </c>
      <c r="AI5051">
        <v>93.353679277722307</v>
      </c>
      <c r="AJ5051">
        <v>96.1155725665121</v>
      </c>
      <c r="AK5051">
        <v>18.8878283077267</v>
      </c>
      <c r="AL5051">
        <v>85.843348229706606</v>
      </c>
      <c r="AM5051">
        <v>92.416483729023795</v>
      </c>
      <c r="AN5051">
        <v>1.0000000180753601</v>
      </c>
    </row>
    <row r="5052" spans="1:40" x14ac:dyDescent="0.3">
      <c r="A5052" t="str">
        <f>"20200111150149344"</f>
        <v>20200111150149344</v>
      </c>
      <c r="B5052" t="str">
        <f>"1578726109333276"</f>
        <v>1578726109333276</v>
      </c>
      <c r="C5052" t="s">
        <v>40</v>
      </c>
      <c r="D5052">
        <v>9.1861390000000007</v>
      </c>
      <c r="E5052">
        <v>0.48536220000000002</v>
      </c>
      <c r="F5052" t="s">
        <v>42</v>
      </c>
      <c r="G5052">
        <v>-136.35570000000001</v>
      </c>
      <c r="H5052" s="1">
        <v>-1.985099E-6</v>
      </c>
      <c r="I5052">
        <v>137.13900000000001</v>
      </c>
      <c r="J5052">
        <v>-152.07689999999999</v>
      </c>
      <c r="K5052">
        <v>1.1049329999999999</v>
      </c>
      <c r="L5052">
        <v>137.09610000000001</v>
      </c>
      <c r="M5052">
        <v>0.99625410000000003</v>
      </c>
      <c r="N5052">
        <v>0</v>
      </c>
      <c r="O5052">
        <v>-8.5619870000000001E-2</v>
      </c>
      <c r="P5052">
        <v>0.99719950000000002</v>
      </c>
      <c r="Q5052">
        <v>5.8952230000000001E-2</v>
      </c>
      <c r="R5052">
        <v>-4.6024509999999998E-2</v>
      </c>
      <c r="S5052">
        <v>3.021347</v>
      </c>
      <c r="T5052">
        <v>-0.21165220000000001</v>
      </c>
      <c r="U5052">
        <v>7.2021480000000002E-3</v>
      </c>
      <c r="V5052">
        <v>-3.9508759999999997E-2</v>
      </c>
      <c r="W5052">
        <v>7.106585E-2</v>
      </c>
      <c r="X5052">
        <v>0.99668880000000004</v>
      </c>
      <c r="Y5052">
        <v>-8.757682E-2</v>
      </c>
      <c r="Z5052">
        <v>9.0493090000000002E-3</v>
      </c>
      <c r="AA5052">
        <v>0.99611660000000002</v>
      </c>
      <c r="AB5052">
        <v>5</v>
      </c>
      <c r="AC5052">
        <v>15.7211999999999</v>
      </c>
      <c r="AD5052">
        <v>-1.104934985099</v>
      </c>
      <c r="AE5052">
        <v>4.2900000000002998E-2</v>
      </c>
      <c r="AF5052">
        <v>-1.3820615503952101</v>
      </c>
      <c r="AG5052">
        <v>-1.104934985099</v>
      </c>
      <c r="AH5052">
        <v>15.582813832531301</v>
      </c>
      <c r="AI5052">
        <v>94.040093578237105</v>
      </c>
      <c r="AJ5052">
        <v>95.068380999760905</v>
      </c>
      <c r="AK5052">
        <v>15.6829545172364</v>
      </c>
      <c r="AL5052">
        <v>85.924791314792898</v>
      </c>
      <c r="AM5052">
        <v>92.270017132971105</v>
      </c>
      <c r="AN5052">
        <v>0.99999993059919701</v>
      </c>
    </row>
    <row r="5053" spans="1:40" x14ac:dyDescent="0.3">
      <c r="A5053" t="str">
        <f>"20200111150149368"</f>
        <v>20200111150149368</v>
      </c>
      <c r="B5053" t="str">
        <f>"1578726109363531"</f>
        <v>1578726109363531</v>
      </c>
      <c r="C5053" t="s">
        <v>40</v>
      </c>
      <c r="D5053">
        <v>6.3996919999999999</v>
      </c>
      <c r="E5053">
        <v>0.49597269999999999</v>
      </c>
      <c r="F5053" t="s">
        <v>41</v>
      </c>
      <c r="G5053">
        <v>-151.36330000000001</v>
      </c>
      <c r="H5053">
        <v>0.93353280000000005</v>
      </c>
      <c r="I5053">
        <v>137.0907</v>
      </c>
      <c r="J5053">
        <v>-152.02369999999999</v>
      </c>
      <c r="K5053">
        <v>1.1049549999999999</v>
      </c>
      <c r="L5053">
        <v>137.09049999999999</v>
      </c>
      <c r="M5053">
        <v>0.99618470000000003</v>
      </c>
      <c r="N5053">
        <v>0</v>
      </c>
      <c r="O5053">
        <v>-8.6425829999999995E-2</v>
      </c>
      <c r="P5053">
        <v>0.99694720000000003</v>
      </c>
      <c r="Q5053">
        <v>6.13936E-2</v>
      </c>
      <c r="R5053">
        <v>-4.8242180000000003E-2</v>
      </c>
      <c r="S5053">
        <v>3.0507049999999998</v>
      </c>
      <c r="T5053">
        <v>-0.73253539999999995</v>
      </c>
      <c r="U5053">
        <v>-2.235413E-2</v>
      </c>
      <c r="V5053">
        <v>-3.8083859999999997E-2</v>
      </c>
      <c r="W5053">
        <v>7.3483759999999995E-2</v>
      </c>
      <c r="X5053">
        <v>0.99656900000000004</v>
      </c>
      <c r="Y5053">
        <v>-7.4559410000000007E-2</v>
      </c>
      <c r="Z5053">
        <v>2.9267999999999999E-2</v>
      </c>
      <c r="AA5053">
        <v>0.99678699999999998</v>
      </c>
      <c r="AB5053">
        <v>5</v>
      </c>
      <c r="AC5053">
        <v>0.660399999999981</v>
      </c>
      <c r="AD5053">
        <v>-0.171422199999999</v>
      </c>
      <c r="AE5053">
        <v>2.0000000000663901E-4</v>
      </c>
      <c r="AF5053">
        <v>-5.3663312323199E-2</v>
      </c>
      <c r="AG5053">
        <v>-0.171422199999999</v>
      </c>
      <c r="AH5053">
        <v>0.61638065183241197</v>
      </c>
      <c r="AI5053">
        <v>105.486077483131</v>
      </c>
      <c r="AJ5053">
        <v>94.975736934489802</v>
      </c>
      <c r="AK5053">
        <v>0.64202058354517499</v>
      </c>
      <c r="AL5053">
        <v>85.785892301784301</v>
      </c>
      <c r="AM5053">
        <v>92.188491883127895</v>
      </c>
      <c r="AN5053">
        <v>1.00000000756861</v>
      </c>
    </row>
    <row r="5054" spans="1:40" x14ac:dyDescent="0.3">
      <c r="A5054" t="str">
        <f>"20200111150149390"</f>
        <v>20200111150149390</v>
      </c>
      <c r="B5054" t="str">
        <f>"1578726109384027"</f>
        <v>1578726109384027</v>
      </c>
      <c r="C5054" t="s">
        <v>40</v>
      </c>
      <c r="D5054">
        <v>5.724227</v>
      </c>
      <c r="E5054">
        <v>0.52287289999999997</v>
      </c>
      <c r="F5054" t="s">
        <v>41</v>
      </c>
      <c r="G5054">
        <v>-151.3235</v>
      </c>
      <c r="H5054">
        <v>0.92487750000000002</v>
      </c>
      <c r="I5054">
        <v>137.06530000000001</v>
      </c>
      <c r="J5054">
        <v>-151.97120000000001</v>
      </c>
      <c r="K5054">
        <v>1.1049949999999999</v>
      </c>
      <c r="L5054">
        <v>137.0849</v>
      </c>
      <c r="M5054">
        <v>0.99611550000000004</v>
      </c>
      <c r="N5054">
        <v>0</v>
      </c>
      <c r="O5054">
        <v>-8.7220649999999997E-2</v>
      </c>
      <c r="P5054">
        <v>0.99658290000000005</v>
      </c>
      <c r="Q5054">
        <v>6.629794E-2</v>
      </c>
      <c r="R5054">
        <v>-4.9271139999999998E-2</v>
      </c>
      <c r="S5054">
        <v>3.052216</v>
      </c>
      <c r="T5054">
        <v>-0.78484919999999903</v>
      </c>
      <c r="U5054">
        <v>-0.1094971</v>
      </c>
      <c r="V5054">
        <v>-3.782166E-2</v>
      </c>
      <c r="W5054">
        <v>7.8382899999999894E-2</v>
      </c>
      <c r="X5054">
        <v>0.99620560000000002</v>
      </c>
      <c r="Y5054">
        <v>-4.7100660000000003E-2</v>
      </c>
      <c r="Z5054">
        <v>2.799099E-2</v>
      </c>
      <c r="AA5054">
        <v>0.99849790000000005</v>
      </c>
      <c r="AB5054">
        <v>5</v>
      </c>
      <c r="AC5054">
        <v>0.64770000000001404</v>
      </c>
      <c r="AD5054">
        <v>-0.18011750000000001</v>
      </c>
      <c r="AE5054">
        <v>-1.9599999999996901E-2</v>
      </c>
      <c r="AF5054">
        <v>-3.4320021897225599E-2</v>
      </c>
      <c r="AG5054">
        <v>-0.18011750000000001</v>
      </c>
      <c r="AH5054">
        <v>0.60054179335597901</v>
      </c>
      <c r="AI5054">
        <v>106.669615712864</v>
      </c>
      <c r="AJ5054">
        <v>93.270806304641795</v>
      </c>
      <c r="AK5054">
        <v>0.62790972541957901</v>
      </c>
      <c r="AL5054">
        <v>85.504379077446103</v>
      </c>
      <c r="AM5054">
        <v>92.174231115778795</v>
      </c>
      <c r="AN5054">
        <v>0.99999997722446199</v>
      </c>
    </row>
    <row r="5055" spans="1:40" x14ac:dyDescent="0.3">
      <c r="A5055" t="str">
        <f>"20200111150149412"</f>
        <v>20200111150149412</v>
      </c>
      <c r="B5055" t="str">
        <f>"1578726109403548"</f>
        <v>1578726109403548</v>
      </c>
      <c r="C5055" t="s">
        <v>40</v>
      </c>
      <c r="D5055">
        <v>6.8559479999999997</v>
      </c>
      <c r="E5055">
        <v>0.52322299999999999</v>
      </c>
      <c r="F5055" t="s">
        <v>41</v>
      </c>
      <c r="G5055">
        <v>-151.2364</v>
      </c>
      <c r="H5055">
        <v>1.0261819999999999</v>
      </c>
      <c r="I5055">
        <v>137.005</v>
      </c>
      <c r="J5055">
        <v>-151.9205</v>
      </c>
      <c r="K5055">
        <v>1.105046</v>
      </c>
      <c r="L5055">
        <v>137.0796</v>
      </c>
      <c r="M5055">
        <v>0.99604789999999999</v>
      </c>
      <c r="N5055">
        <v>0</v>
      </c>
      <c r="O5055">
        <v>-8.7982569999999996E-2</v>
      </c>
      <c r="P5055">
        <v>0.99613600000000002</v>
      </c>
      <c r="Q5055">
        <v>7.2414220000000001E-2</v>
      </c>
      <c r="R5055">
        <v>-4.9696810000000001E-2</v>
      </c>
      <c r="S5055">
        <v>3.015625</v>
      </c>
      <c r="T5055">
        <v>-0.32333869999999998</v>
      </c>
      <c r="U5055">
        <v>-0.32737729999999998</v>
      </c>
      <c r="V5055">
        <v>-3.8120170000000002E-2</v>
      </c>
      <c r="W5055">
        <v>8.4546919999999998E-2</v>
      </c>
      <c r="X5055">
        <v>0.99568999999999996</v>
      </c>
      <c r="Y5055">
        <v>2.0413480000000001E-2</v>
      </c>
      <c r="Z5055">
        <v>8.2716769999999998E-3</v>
      </c>
      <c r="AA5055">
        <v>0.99975740000000002</v>
      </c>
      <c r="AB5055">
        <v>5</v>
      </c>
      <c r="AC5055">
        <v>0.68410000000000004</v>
      </c>
      <c r="AD5055">
        <v>-7.8864000000000004E-2</v>
      </c>
      <c r="AE5055">
        <v>-7.4600000000003705E-2</v>
      </c>
      <c r="AF5055">
        <v>1.3934331228560999E-2</v>
      </c>
      <c r="AG5055">
        <v>-7.8864000000000004E-2</v>
      </c>
      <c r="AH5055">
        <v>0.67909172896912595</v>
      </c>
      <c r="AI5055">
        <v>96.6227953751754</v>
      </c>
      <c r="AJ5055">
        <v>88.824508801545306</v>
      </c>
      <c r="AK5055">
        <v>0.68379768384885897</v>
      </c>
      <c r="AL5055">
        <v>85.150028257361797</v>
      </c>
      <c r="AM5055">
        <v>92.192508373320806</v>
      </c>
      <c r="AN5055">
        <v>0.99999995257115604</v>
      </c>
    </row>
    <row r="5056" spans="1:40" x14ac:dyDescent="0.3">
      <c r="A5056" t="str">
        <f>"20200111150149434"</f>
        <v>20200111150149434</v>
      </c>
      <c r="B5056" t="str">
        <f>"1578726109424044"</f>
        <v>1578726109424044</v>
      </c>
      <c r="C5056" t="s">
        <v>40</v>
      </c>
      <c r="D5056">
        <v>5.1670369999999997</v>
      </c>
      <c r="E5056">
        <v>0.51378659999999998</v>
      </c>
      <c r="F5056" t="s">
        <v>41</v>
      </c>
      <c r="G5056">
        <v>-151.1874</v>
      </c>
      <c r="H5056">
        <v>1.0324249999999999</v>
      </c>
      <c r="I5056">
        <v>136.99930000000001</v>
      </c>
      <c r="J5056">
        <v>-151.8708</v>
      </c>
      <c r="K5056">
        <v>1.1051040000000001</v>
      </c>
      <c r="L5056">
        <v>137.07419999999999</v>
      </c>
      <c r="M5056">
        <v>0.99597990000000003</v>
      </c>
      <c r="N5056">
        <v>0</v>
      </c>
      <c r="O5056">
        <v>-8.8729769999999999E-2</v>
      </c>
      <c r="P5056">
        <v>0.99570259999999999</v>
      </c>
      <c r="Q5056">
        <v>7.8261999999999998E-2</v>
      </c>
      <c r="R5056">
        <v>-4.951465E-2</v>
      </c>
      <c r="S5056">
        <v>3.0168910000000002</v>
      </c>
      <c r="T5056">
        <v>-0.29876750000000002</v>
      </c>
      <c r="U5056">
        <v>-0.3302002</v>
      </c>
      <c r="V5056">
        <v>-3.9011179999999999E-2</v>
      </c>
      <c r="W5056">
        <v>9.0517739999999999E-2</v>
      </c>
      <c r="X5056">
        <v>0.99513050000000003</v>
      </c>
      <c r="Y5056">
        <v>2.0490080000000001E-2</v>
      </c>
      <c r="Z5056">
        <v>7.7120610000000001E-3</v>
      </c>
      <c r="AA5056">
        <v>0.99976030000000005</v>
      </c>
      <c r="AB5056">
        <v>5</v>
      </c>
      <c r="AC5056">
        <v>0.683400000000006</v>
      </c>
      <c r="AD5056">
        <v>-7.2679000000000105E-2</v>
      </c>
      <c r="AE5056">
        <v>-7.4899999999985298E-2</v>
      </c>
      <c r="AF5056">
        <v>1.3807710810630799E-2</v>
      </c>
      <c r="AG5056">
        <v>-7.2679000000000105E-2</v>
      </c>
      <c r="AH5056">
        <v>0.67975358886315895</v>
      </c>
      <c r="AI5056">
        <v>96.101609100422806</v>
      </c>
      <c r="AJ5056">
        <v>88.836321300204702</v>
      </c>
      <c r="AK5056">
        <v>0.68376738112546298</v>
      </c>
      <c r="AL5056">
        <v>84.806607134328203</v>
      </c>
      <c r="AM5056">
        <v>92.244963865890099</v>
      </c>
      <c r="AN5056">
        <v>1.0000000227249699</v>
      </c>
    </row>
    <row r="5057" spans="1:40" x14ac:dyDescent="0.3">
      <c r="A5057" t="str">
        <f>"20200111150149457"</f>
        <v>20200111150149457</v>
      </c>
      <c r="B5057" t="str">
        <f>"1578726109454300"</f>
        <v>1578726109454300</v>
      </c>
      <c r="C5057" t="s">
        <v>40</v>
      </c>
      <c r="D5057">
        <v>5.126741</v>
      </c>
      <c r="E5057">
        <v>0.51949509999999999</v>
      </c>
      <c r="F5057" t="s">
        <v>46</v>
      </c>
      <c r="G5057">
        <v>0</v>
      </c>
      <c r="H5057">
        <v>0</v>
      </c>
      <c r="I5057">
        <v>0</v>
      </c>
      <c r="J5057">
        <v>-151.81950000000001</v>
      </c>
      <c r="K5057">
        <v>1.105173</v>
      </c>
      <c r="L5057">
        <v>137.06870000000001</v>
      </c>
      <c r="M5057">
        <v>0.99590829999999997</v>
      </c>
      <c r="N5057">
        <v>0</v>
      </c>
      <c r="O5057">
        <v>-8.9499120000000001E-2</v>
      </c>
      <c r="P5057">
        <v>0.99539670000000002</v>
      </c>
      <c r="Q5057">
        <v>8.1957730000000006E-2</v>
      </c>
      <c r="R5057">
        <v>-4.9684289999999999E-2</v>
      </c>
      <c r="S5057">
        <v>2.9924930000000001</v>
      </c>
      <c r="T5057">
        <v>9.7601179999999996E-2</v>
      </c>
      <c r="U5057">
        <v>-0.25697330000000002</v>
      </c>
      <c r="V5057">
        <v>-3.9585099999999998E-2</v>
      </c>
      <c r="W5057">
        <v>9.4434279999999995E-2</v>
      </c>
      <c r="X5057">
        <v>0.99474379999999996</v>
      </c>
      <c r="Y5057">
        <v>-3.9144430000000001E-3</v>
      </c>
      <c r="Z5057">
        <v>-2.9711249999999998E-3</v>
      </c>
      <c r="AA5057">
        <v>0.99998790000000004</v>
      </c>
      <c r="AB5057">
        <v>5</v>
      </c>
      <c r="AC5057">
        <v>2.9924930000000001</v>
      </c>
      <c r="AD5057">
        <v>9.7601179999999996E-2</v>
      </c>
      <c r="AE5057">
        <v>-0.25697330000000002</v>
      </c>
      <c r="AF5057">
        <v>-1.18920220560994E-2</v>
      </c>
      <c r="AG5057">
        <v>9.7601179999999996E-2</v>
      </c>
      <c r="AH5057">
        <v>3.0003143779025399</v>
      </c>
      <c r="AI5057">
        <v>88.136821751128906</v>
      </c>
      <c r="AJ5057">
        <v>90.227095903902494</v>
      </c>
      <c r="AK5057">
        <v>3.0019250118506799</v>
      </c>
      <c r="AL5057">
        <v>84.581240049174198</v>
      </c>
      <c r="AM5057">
        <v>92.278841122090199</v>
      </c>
      <c r="AN5057">
        <v>1.0000000205097801</v>
      </c>
    </row>
    <row r="5058" spans="1:40" x14ac:dyDescent="0.3">
      <c r="A5058" t="str">
        <f>"20200111150149479"</f>
        <v>20200111150149479</v>
      </c>
      <c r="B5058" t="str">
        <f>"1578726109473819"</f>
        <v>1578726109473819</v>
      </c>
      <c r="C5058" t="s">
        <v>40</v>
      </c>
      <c r="D5058">
        <v>5.188771</v>
      </c>
      <c r="E5058">
        <v>0.52608719999999998</v>
      </c>
      <c r="F5058" t="s">
        <v>46</v>
      </c>
      <c r="G5058">
        <v>0</v>
      </c>
      <c r="H5058">
        <v>0</v>
      </c>
      <c r="I5058">
        <v>0</v>
      </c>
      <c r="J5058">
        <v>-151.76939999999999</v>
      </c>
      <c r="K5058">
        <v>1.105245</v>
      </c>
      <c r="L5058">
        <v>137.0633</v>
      </c>
      <c r="M5058">
        <v>0.99583639999999995</v>
      </c>
      <c r="N5058">
        <v>0</v>
      </c>
      <c r="O5058">
        <v>-9.0249049999999997E-2</v>
      </c>
      <c r="P5058">
        <v>0.99515229999999999</v>
      </c>
      <c r="Q5058">
        <v>8.4482639999999998E-2</v>
      </c>
      <c r="R5058">
        <v>-5.034512E-2</v>
      </c>
      <c r="S5058">
        <v>2.9840239999999998</v>
      </c>
      <c r="T5058">
        <v>0.17854890000000001</v>
      </c>
      <c r="U5058">
        <v>-0.30360409999999999</v>
      </c>
      <c r="V5058">
        <v>-3.9655799999999998E-2</v>
      </c>
      <c r="W5058">
        <v>9.7275050000000002E-2</v>
      </c>
      <c r="X5058">
        <v>0.9944672</v>
      </c>
      <c r="Y5058">
        <v>1.1153969999999999E-2</v>
      </c>
      <c r="Z5058">
        <v>-5.0376199999999996E-3</v>
      </c>
      <c r="AA5058">
        <v>0.99992510000000001</v>
      </c>
      <c r="AB5058">
        <v>5</v>
      </c>
      <c r="AC5058">
        <v>2.9840239999999998</v>
      </c>
      <c r="AD5058">
        <v>0.17854890000000001</v>
      </c>
      <c r="AE5058">
        <v>-0.30360409999999999</v>
      </c>
      <c r="AF5058">
        <v>3.2920752095433201E-2</v>
      </c>
      <c r="AG5058">
        <v>0.17854890000000001</v>
      </c>
      <c r="AH5058">
        <v>2.9886566871436999</v>
      </c>
      <c r="AI5058">
        <v>86.581295126166196</v>
      </c>
      <c r="AJ5058">
        <v>89.368899118215197</v>
      </c>
      <c r="AK5058">
        <v>2.9941663746723299</v>
      </c>
      <c r="AL5058">
        <v>84.417722891770097</v>
      </c>
      <c r="AM5058">
        <v>92.283541181179004</v>
      </c>
      <c r="AN5058">
        <v>1.00000001485099</v>
      </c>
    </row>
    <row r="5059" spans="1:40" x14ac:dyDescent="0.3">
      <c r="A5059" t="str">
        <f>"20200111150149547"</f>
        <v>20200111150149547</v>
      </c>
      <c r="B5059" t="str">
        <f>"1578726109544091"</f>
        <v>1578726109544091</v>
      </c>
      <c r="C5059" t="s">
        <v>40</v>
      </c>
      <c r="D5059">
        <v>5.0748860000000002</v>
      </c>
      <c r="E5059">
        <v>0.52412049999999999</v>
      </c>
      <c r="F5059" t="s">
        <v>46</v>
      </c>
      <c r="G5059">
        <v>0</v>
      </c>
      <c r="H5059">
        <v>0</v>
      </c>
      <c r="I5059">
        <v>0</v>
      </c>
      <c r="J5059">
        <v>-151.62780000000001</v>
      </c>
      <c r="K5059">
        <v>1.1053949999999999</v>
      </c>
      <c r="L5059">
        <v>137.04769999999999</v>
      </c>
      <c r="M5059">
        <v>0.99562510000000004</v>
      </c>
      <c r="N5059">
        <v>0</v>
      </c>
      <c r="O5059">
        <v>-9.2381690000000002E-2</v>
      </c>
      <c r="P5059">
        <v>0.99538890000000002</v>
      </c>
      <c r="Q5059">
        <v>7.9366619999999999E-2</v>
      </c>
      <c r="R5059">
        <v>-5.3871259999999997E-2</v>
      </c>
      <c r="S5059">
        <v>2.9735109999999998</v>
      </c>
      <c r="T5059">
        <v>0.26992680000000002</v>
      </c>
      <c r="U5059">
        <v>-0.35911559999999998</v>
      </c>
      <c r="V5059">
        <v>-3.8303209999999997E-2</v>
      </c>
      <c r="W5059">
        <v>9.3322009999999997E-2</v>
      </c>
      <c r="X5059">
        <v>0.99489890000000003</v>
      </c>
      <c r="Y5059">
        <v>2.7923E-2</v>
      </c>
      <c r="Z5059">
        <v>-7.0589240000000003E-3</v>
      </c>
      <c r="AA5059">
        <v>0.99958519999999895</v>
      </c>
      <c r="AB5059">
        <v>5</v>
      </c>
      <c r="AC5059">
        <v>2.9735109999999998</v>
      </c>
      <c r="AD5059">
        <v>0.26992680000000002</v>
      </c>
      <c r="AE5059">
        <v>-0.35911559999999998</v>
      </c>
      <c r="AF5059">
        <v>8.2187139919483093E-2</v>
      </c>
      <c r="AG5059">
        <v>0.26992680000000002</v>
      </c>
      <c r="AH5059">
        <v>2.9698505503510502</v>
      </c>
      <c r="AI5059">
        <v>84.808688376014402</v>
      </c>
      <c r="AJ5059">
        <v>88.414810910159403</v>
      </c>
      <c r="AK5059">
        <v>2.9832243453596998</v>
      </c>
      <c r="AL5059">
        <v>84.645250888475204</v>
      </c>
      <c r="AM5059">
        <v>92.204775720678995</v>
      </c>
      <c r="AN5059">
        <v>0.99999997733397605</v>
      </c>
    </row>
    <row r="5060" spans="1:40" x14ac:dyDescent="0.3">
      <c r="A5060" t="str">
        <f>"20200111150149569"</f>
        <v>20200111150149569</v>
      </c>
      <c r="B5060" t="str">
        <f>"1578726109563611"</f>
        <v>1578726109563611</v>
      </c>
      <c r="C5060" t="s">
        <v>40</v>
      </c>
      <c r="D5060">
        <v>5.1129980000000002</v>
      </c>
      <c r="E5060">
        <v>0.52407099999999995</v>
      </c>
      <c r="F5060" t="s">
        <v>46</v>
      </c>
      <c r="G5060">
        <v>0</v>
      </c>
      <c r="H5060">
        <v>0</v>
      </c>
      <c r="I5060">
        <v>0</v>
      </c>
      <c r="J5060">
        <v>-151.58160000000001</v>
      </c>
      <c r="K5060">
        <v>1.105397</v>
      </c>
      <c r="L5060">
        <v>137.04249999999999</v>
      </c>
      <c r="M5060">
        <v>0.99555519999999997</v>
      </c>
      <c r="N5060">
        <v>0</v>
      </c>
      <c r="O5060">
        <v>-9.3088359999999995E-2</v>
      </c>
      <c r="P5060">
        <v>0.99551789999999996</v>
      </c>
      <c r="Q5060">
        <v>7.5810450000000001E-2</v>
      </c>
      <c r="R5060">
        <v>-5.6542759999999997E-2</v>
      </c>
      <c r="S5060">
        <v>2.980591</v>
      </c>
      <c r="T5060">
        <v>0.17838599999999999</v>
      </c>
      <c r="U5060">
        <v>-0.3526764</v>
      </c>
      <c r="V5060">
        <v>-3.6363319999999998E-2</v>
      </c>
      <c r="W5060">
        <v>9.0068029999999993E-2</v>
      </c>
      <c r="X5060">
        <v>0.99527160000000003</v>
      </c>
      <c r="Y5060">
        <v>2.466146E-2</v>
      </c>
      <c r="Z5060">
        <v>-4.7991600000000002E-3</v>
      </c>
      <c r="AA5060">
        <v>0.99968429999999997</v>
      </c>
      <c r="AB5060">
        <v>5</v>
      </c>
      <c r="AC5060">
        <v>2.980591</v>
      </c>
      <c r="AD5060">
        <v>0.17838599999999999</v>
      </c>
      <c r="AE5060">
        <v>-0.3526764</v>
      </c>
      <c r="AF5060">
        <v>7.3398745292057893E-2</v>
      </c>
      <c r="AG5060">
        <v>0.17838599999999999</v>
      </c>
      <c r="AH5060">
        <v>2.98991780680789</v>
      </c>
      <c r="AI5060">
        <v>86.586663356750293</v>
      </c>
      <c r="AJ5060">
        <v>88.593742666602296</v>
      </c>
      <c r="AK5060">
        <v>2.9961337473940302</v>
      </c>
      <c r="AL5060">
        <v>84.832479438482096</v>
      </c>
      <c r="AM5060">
        <v>92.092432301875107</v>
      </c>
      <c r="AN5060">
        <v>1.0000000494180299</v>
      </c>
    </row>
    <row r="5061" spans="1:40" x14ac:dyDescent="0.3">
      <c r="A5061" t="str">
        <f>"20200111150149591"</f>
        <v>20200111150149591</v>
      </c>
      <c r="B5061" t="str">
        <f>"1578726109584108"</f>
        <v>1578726109584108</v>
      </c>
      <c r="C5061" t="s">
        <v>40</v>
      </c>
      <c r="D5061">
        <v>5.1008230000000001</v>
      </c>
      <c r="E5061">
        <v>0.52379620000000005</v>
      </c>
      <c r="F5061" t="s">
        <v>46</v>
      </c>
      <c r="G5061">
        <v>0</v>
      </c>
      <c r="H5061">
        <v>0</v>
      </c>
      <c r="I5061">
        <v>0</v>
      </c>
      <c r="J5061">
        <v>-151.53569999999999</v>
      </c>
      <c r="K5061">
        <v>1.105397</v>
      </c>
      <c r="L5061">
        <v>137.03739999999999</v>
      </c>
      <c r="M5061">
        <v>0.99548550000000002</v>
      </c>
      <c r="N5061">
        <v>0</v>
      </c>
      <c r="O5061">
        <v>-9.3791979999999997E-2</v>
      </c>
      <c r="P5061">
        <v>0.99554189999999998</v>
      </c>
      <c r="Q5061">
        <v>7.4159729999999993E-2</v>
      </c>
      <c r="R5061">
        <v>-5.8282359999999998E-2</v>
      </c>
      <c r="S5061">
        <v>2.9859469999999999</v>
      </c>
      <c r="T5061">
        <v>9.4174149999999998E-2</v>
      </c>
      <c r="U5061">
        <v>-0.35864259999999998</v>
      </c>
      <c r="V5061">
        <v>-3.533886E-2</v>
      </c>
      <c r="W5061">
        <v>8.8666490000000001E-2</v>
      </c>
      <c r="X5061">
        <v>0.99543429999999999</v>
      </c>
      <c r="Y5061">
        <v>2.562795E-2</v>
      </c>
      <c r="Z5061">
        <v>-2.5371360000000002E-3</v>
      </c>
      <c r="AA5061">
        <v>0.99966840000000001</v>
      </c>
      <c r="AB5061">
        <v>5</v>
      </c>
      <c r="AC5061">
        <v>2.9859469999999999</v>
      </c>
      <c r="AD5061">
        <v>9.4174149999999998E-2</v>
      </c>
      <c r="AE5061">
        <v>-0.35864259999999998</v>
      </c>
      <c r="AF5061">
        <v>7.6898369912948503E-2</v>
      </c>
      <c r="AG5061">
        <v>9.4174149999999998E-2</v>
      </c>
      <c r="AH5061">
        <v>3.00347784348053</v>
      </c>
      <c r="AI5061">
        <v>88.204665232476202</v>
      </c>
      <c r="AJ5061">
        <v>88.533370337059296</v>
      </c>
      <c r="AK5061">
        <v>3.0059376716927999</v>
      </c>
      <c r="AL5061">
        <v>84.913104186325398</v>
      </c>
      <c r="AM5061">
        <v>92.033200540703604</v>
      </c>
      <c r="AN5061">
        <v>1.0000000135457501</v>
      </c>
    </row>
    <row r="5062" spans="1:40" x14ac:dyDescent="0.3">
      <c r="A5062" t="str">
        <f>"20200111150149613"</f>
        <v>20200111150149613</v>
      </c>
      <c r="B5062" t="str">
        <f>"1578726109603628"</f>
        <v>1578726109603628</v>
      </c>
      <c r="C5062" t="s">
        <v>40</v>
      </c>
      <c r="D5062">
        <v>4.8985989999999999</v>
      </c>
      <c r="E5062">
        <v>0.52237829999999996</v>
      </c>
      <c r="F5062" t="s">
        <v>46</v>
      </c>
      <c r="G5062">
        <v>0</v>
      </c>
      <c r="H5062">
        <v>0</v>
      </c>
      <c r="I5062">
        <v>0</v>
      </c>
      <c r="J5062">
        <v>-151.49279999999999</v>
      </c>
      <c r="K5062">
        <v>1.105391</v>
      </c>
      <c r="L5062">
        <v>137.0325</v>
      </c>
      <c r="M5062">
        <v>0.99542010000000003</v>
      </c>
      <c r="N5062">
        <v>0</v>
      </c>
      <c r="O5062">
        <v>-9.4452690000000006E-2</v>
      </c>
      <c r="P5062">
        <v>0.99553480000000005</v>
      </c>
      <c r="Q5062">
        <v>7.3170620000000006E-2</v>
      </c>
      <c r="R5062">
        <v>-5.9635019999999997E-2</v>
      </c>
      <c r="S5062">
        <v>2.9894099999999999</v>
      </c>
      <c r="T5062">
        <v>3.8949009999999999E-2</v>
      </c>
      <c r="U5062">
        <v>-0.36079410000000001</v>
      </c>
      <c r="V5062">
        <v>-3.4654459999999998E-2</v>
      </c>
      <c r="W5062">
        <v>8.7875659999999994E-2</v>
      </c>
      <c r="X5062">
        <v>0.99552850000000004</v>
      </c>
      <c r="Y5062">
        <v>2.5508739999999998E-2</v>
      </c>
      <c r="Z5062">
        <v>-1.0575770000000001E-3</v>
      </c>
      <c r="AA5062">
        <v>0.99967399999999995</v>
      </c>
      <c r="AB5062">
        <v>5</v>
      </c>
      <c r="AC5062">
        <v>2.9894099999999999</v>
      </c>
      <c r="AD5062">
        <v>3.8949009999999999E-2</v>
      </c>
      <c r="AE5062">
        <v>-0.36079410000000001</v>
      </c>
      <c r="AF5062">
        <v>7.6779388692412506E-2</v>
      </c>
      <c r="AG5062">
        <v>3.8949009999999999E-2</v>
      </c>
      <c r="AH5062">
        <v>3.0096206017888498</v>
      </c>
      <c r="AI5062">
        <v>89.258789100157202</v>
      </c>
      <c r="AJ5062">
        <v>88.538626119039094</v>
      </c>
      <c r="AK5062">
        <v>3.0108517510199402</v>
      </c>
      <c r="AL5062">
        <v>84.958593051103605</v>
      </c>
      <c r="AM5062">
        <v>91.993667571935205</v>
      </c>
      <c r="AN5062">
        <v>1.0000000287652799</v>
      </c>
    </row>
    <row r="5063" spans="1:40" x14ac:dyDescent="0.3">
      <c r="A5063" t="str">
        <f>"20200111150149635"</f>
        <v>20200111150149635</v>
      </c>
      <c r="B5063" t="str">
        <f>"1578726109624124"</f>
        <v>1578726109624124</v>
      </c>
      <c r="C5063" t="s">
        <v>40</v>
      </c>
      <c r="D5063">
        <v>5.3717100000000002</v>
      </c>
      <c r="E5063">
        <v>0.52175309999999997</v>
      </c>
      <c r="F5063" t="s">
        <v>46</v>
      </c>
      <c r="G5063">
        <v>0</v>
      </c>
      <c r="H5063">
        <v>0</v>
      </c>
      <c r="I5063">
        <v>0</v>
      </c>
      <c r="J5063">
        <v>-151.44929999999999</v>
      </c>
      <c r="K5063">
        <v>1.10538</v>
      </c>
      <c r="L5063">
        <v>137.02760000000001</v>
      </c>
      <c r="M5063">
        <v>0.99535370000000001</v>
      </c>
      <c r="N5063">
        <v>0</v>
      </c>
      <c r="O5063">
        <v>-9.5124520000000004E-2</v>
      </c>
      <c r="P5063">
        <v>0.99556310000000003</v>
      </c>
      <c r="Q5063">
        <v>7.2436819999999999E-2</v>
      </c>
      <c r="R5063">
        <v>-6.0060629999999997E-2</v>
      </c>
      <c r="S5063">
        <v>2.9906920000000001</v>
      </c>
      <c r="T5063">
        <v>2.1691439999999999E-2</v>
      </c>
      <c r="U5063">
        <v>-0.3531494</v>
      </c>
      <c r="V5063">
        <v>-3.4907319999999999E-2</v>
      </c>
      <c r="W5063">
        <v>8.7311360000000005E-2</v>
      </c>
      <c r="X5063">
        <v>0.99556929999999999</v>
      </c>
      <c r="Y5063">
        <v>2.225941E-2</v>
      </c>
      <c r="Z5063">
        <v>-6.0543160000000001E-4</v>
      </c>
      <c r="AA5063">
        <v>0.99975199999999997</v>
      </c>
      <c r="AB5063">
        <v>4</v>
      </c>
      <c r="AC5063">
        <v>2.9906920000000001</v>
      </c>
      <c r="AD5063">
        <v>2.1691439999999999E-2</v>
      </c>
      <c r="AE5063">
        <v>-0.3531494</v>
      </c>
      <c r="AF5063">
        <v>6.7024395414146204E-2</v>
      </c>
      <c r="AG5063">
        <v>2.1691439999999999E-2</v>
      </c>
      <c r="AH5063">
        <v>3.0105680367822498</v>
      </c>
      <c r="AI5063">
        <v>89.587287656836693</v>
      </c>
      <c r="AJ5063">
        <v>88.724632473049397</v>
      </c>
      <c r="AK5063">
        <v>3.0113921518534901</v>
      </c>
      <c r="AL5063">
        <v>84.991049733015103</v>
      </c>
      <c r="AM5063">
        <v>92.008120482333197</v>
      </c>
      <c r="AN5063">
        <v>1.00000001283856</v>
      </c>
    </row>
    <row r="5064" spans="1:40" x14ac:dyDescent="0.3">
      <c r="A5064" t="str">
        <f>"20200111150149658"</f>
        <v>20200111150149658</v>
      </c>
      <c r="B5064" t="str">
        <f>"1578726109654380"</f>
        <v>1578726109654380</v>
      </c>
      <c r="C5064" t="s">
        <v>40</v>
      </c>
      <c r="D5064">
        <v>5.0561879999999997</v>
      </c>
      <c r="E5064">
        <v>0.52087220000000001</v>
      </c>
      <c r="F5064" t="s">
        <v>46</v>
      </c>
      <c r="G5064">
        <v>0</v>
      </c>
      <c r="H5064">
        <v>0</v>
      </c>
      <c r="I5064">
        <v>0</v>
      </c>
      <c r="J5064">
        <v>-151.40649999999999</v>
      </c>
      <c r="K5064">
        <v>1.105372</v>
      </c>
      <c r="L5064">
        <v>137.02269999999999</v>
      </c>
      <c r="M5064">
        <v>0.99528830000000001</v>
      </c>
      <c r="N5064">
        <v>0</v>
      </c>
      <c r="O5064">
        <v>-9.5784309999999998E-2</v>
      </c>
      <c r="P5064">
        <v>0.99568820000000002</v>
      </c>
      <c r="Q5064">
        <v>7.1373000000000006E-2</v>
      </c>
      <c r="R5064">
        <v>-5.9253319999999998E-2</v>
      </c>
      <c r="S5064">
        <v>2.9913940000000001</v>
      </c>
      <c r="T5064">
        <v>1.2528900000000001E-2</v>
      </c>
      <c r="U5064">
        <v>-0.34924319999999998</v>
      </c>
      <c r="V5064">
        <v>-3.6384739999999999E-2</v>
      </c>
      <c r="W5064">
        <v>8.6379819999999996E-2</v>
      </c>
      <c r="X5064">
        <v>0.99559770000000003</v>
      </c>
      <c r="Y5064">
        <v>2.028013E-2</v>
      </c>
      <c r="Z5064">
        <v>-3.565183E-4</v>
      </c>
      <c r="AA5064">
        <v>0.99979419999999997</v>
      </c>
      <c r="AB5064">
        <v>4</v>
      </c>
      <c r="AC5064">
        <v>2.9913940000000001</v>
      </c>
      <c r="AD5064">
        <v>1.2528900000000001E-2</v>
      </c>
      <c r="AE5064">
        <v>-0.34924319999999998</v>
      </c>
      <c r="AF5064">
        <v>6.1074922875460097E-2</v>
      </c>
      <c r="AG5064">
        <v>1.2528900000000001E-2</v>
      </c>
      <c r="AH5064">
        <v>3.0110404831647699</v>
      </c>
      <c r="AI5064">
        <v>89.761643415573502</v>
      </c>
      <c r="AJ5064">
        <v>88.837991204046105</v>
      </c>
      <c r="AK5064">
        <v>3.0116858917882898</v>
      </c>
      <c r="AL5064">
        <v>85.044625657131704</v>
      </c>
      <c r="AM5064">
        <v>92.092978610566703</v>
      </c>
      <c r="AN5064">
        <v>1.00000005142669</v>
      </c>
    </row>
    <row r="5065" spans="1:40" x14ac:dyDescent="0.3">
      <c r="A5065" t="str">
        <f>"20200111150149681"</f>
        <v>20200111150149681</v>
      </c>
      <c r="B5065" t="str">
        <f>"1578726109673900"</f>
        <v>1578726109673900</v>
      </c>
      <c r="C5065" t="s">
        <v>40</v>
      </c>
      <c r="D5065">
        <v>5.1555479999999996</v>
      </c>
      <c r="E5065">
        <v>0.52025880000000002</v>
      </c>
      <c r="F5065" t="s">
        <v>46</v>
      </c>
      <c r="G5065">
        <v>0</v>
      </c>
      <c r="H5065">
        <v>0</v>
      </c>
      <c r="I5065">
        <v>0</v>
      </c>
      <c r="J5065">
        <v>-151.3631</v>
      </c>
      <c r="K5065">
        <v>1.1053710000000001</v>
      </c>
      <c r="L5065">
        <v>137.01779999999999</v>
      </c>
      <c r="M5065">
        <v>0.99522219999999995</v>
      </c>
      <c r="N5065">
        <v>0</v>
      </c>
      <c r="O5065">
        <v>-9.6453070000000002E-2</v>
      </c>
      <c r="P5065">
        <v>0.99579700000000004</v>
      </c>
      <c r="Q5065">
        <v>7.0550979999999999E-2</v>
      </c>
      <c r="R5065">
        <v>-5.840269E-2</v>
      </c>
      <c r="S5065">
        <v>2.9905849999999998</v>
      </c>
      <c r="T5065">
        <v>3.002167E-2</v>
      </c>
      <c r="U5065">
        <v>-0.3400879</v>
      </c>
      <c r="V5065">
        <v>-3.7912870000000001E-2</v>
      </c>
      <c r="W5065">
        <v>8.5659609999999997E-2</v>
      </c>
      <c r="X5065">
        <v>0.99560280000000001</v>
      </c>
      <c r="Y5065">
        <v>1.662187E-2</v>
      </c>
      <c r="Z5065">
        <v>-8.7963769999999998E-4</v>
      </c>
      <c r="AA5065">
        <v>0.99986149999999996</v>
      </c>
      <c r="AB5065">
        <v>4</v>
      </c>
      <c r="AC5065">
        <v>2.9905849999999998</v>
      </c>
      <c r="AD5065">
        <v>3.002167E-2</v>
      </c>
      <c r="AE5065">
        <v>-0.3400879</v>
      </c>
      <c r="AF5065">
        <v>5.0012689755496199E-2</v>
      </c>
      <c r="AG5065">
        <v>3.002167E-2</v>
      </c>
      <c r="AH5065">
        <v>3.0091451976349801</v>
      </c>
      <c r="AI5065">
        <v>89.428468783921801</v>
      </c>
      <c r="AJ5065">
        <v>89.047818549302903</v>
      </c>
      <c r="AK5065">
        <v>3.0097105160224</v>
      </c>
      <c r="AL5065">
        <v>85.086043645089205</v>
      </c>
      <c r="AM5065">
        <v>92.180787712958207</v>
      </c>
      <c r="AN5065">
        <v>0.99999994493241295</v>
      </c>
    </row>
    <row r="5066" spans="1:40" x14ac:dyDescent="0.3">
      <c r="A5066" t="str">
        <f>"20200111150149703"</f>
        <v>20200111150149703</v>
      </c>
      <c r="B5066" t="str">
        <f>"1578726109693420"</f>
        <v>1578726109693420</v>
      </c>
      <c r="C5066" t="s">
        <v>40</v>
      </c>
      <c r="D5066">
        <v>5.1653089999999997</v>
      </c>
      <c r="E5066">
        <v>0.51995219999999998</v>
      </c>
      <c r="F5066" t="s">
        <v>46</v>
      </c>
      <c r="G5066">
        <v>0</v>
      </c>
      <c r="H5066">
        <v>0</v>
      </c>
      <c r="I5066">
        <v>0</v>
      </c>
      <c r="J5066">
        <v>-151.32259999999999</v>
      </c>
      <c r="K5066">
        <v>1.1053679999999999</v>
      </c>
      <c r="L5066">
        <v>137.01310000000001</v>
      </c>
      <c r="M5066">
        <v>0.99516059999999995</v>
      </c>
      <c r="N5066">
        <v>0</v>
      </c>
      <c r="O5066">
        <v>-9.7076640000000006E-2</v>
      </c>
      <c r="P5066">
        <v>0.99579720000000005</v>
      </c>
      <c r="Q5066">
        <v>7.0900009999999999E-2</v>
      </c>
      <c r="R5066">
        <v>-5.7976369999999999E-2</v>
      </c>
      <c r="S5066">
        <v>2.9905849999999998</v>
      </c>
      <c r="T5066">
        <v>3.6172990000000002E-2</v>
      </c>
      <c r="U5066">
        <v>-0.33277889999999999</v>
      </c>
      <c r="V5066">
        <v>-3.8962080000000003E-2</v>
      </c>
      <c r="W5066">
        <v>8.6066279999999995E-2</v>
      </c>
      <c r="X5066">
        <v>0.9955273</v>
      </c>
      <c r="Y5066">
        <v>1.358415E-2</v>
      </c>
      <c r="Z5066">
        <v>-1.0858269999999999E-3</v>
      </c>
      <c r="AA5066">
        <v>0.99990710000000005</v>
      </c>
      <c r="AB5066">
        <v>4</v>
      </c>
      <c r="AC5066">
        <v>2.9905849999999998</v>
      </c>
      <c r="AD5066">
        <v>3.6172990000000002E-2</v>
      </c>
      <c r="AE5066">
        <v>-0.33277889999999999</v>
      </c>
      <c r="AF5066">
        <v>4.0851332364229997E-2</v>
      </c>
      <c r="AG5066">
        <v>3.6172990000000002E-2</v>
      </c>
      <c r="AH5066">
        <v>3.0083309664862101</v>
      </c>
      <c r="AI5066">
        <v>89.311156661513493</v>
      </c>
      <c r="AJ5066">
        <v>89.222005456043405</v>
      </c>
      <c r="AK5066">
        <v>3.0088257710411499</v>
      </c>
      <c r="AL5066">
        <v>85.062657204788906</v>
      </c>
      <c r="AM5066">
        <v>92.241248442259106</v>
      </c>
      <c r="AN5066">
        <v>1.0000000266381199</v>
      </c>
    </row>
    <row r="5067" spans="1:40" x14ac:dyDescent="0.3">
      <c r="A5067" t="str">
        <f>"20200111150149725"</f>
        <v>20200111150149725</v>
      </c>
      <c r="B5067" t="str">
        <f>"1578726109713915"</f>
        <v>1578726109713915</v>
      </c>
      <c r="C5067" t="s">
        <v>40</v>
      </c>
      <c r="D5067">
        <v>5.2779049999999996</v>
      </c>
      <c r="E5067">
        <v>0.51935699999999996</v>
      </c>
      <c r="F5067" t="s">
        <v>46</v>
      </c>
      <c r="G5067">
        <v>0</v>
      </c>
      <c r="H5067">
        <v>0</v>
      </c>
      <c r="I5067">
        <v>0</v>
      </c>
      <c r="J5067">
        <v>-151.2816</v>
      </c>
      <c r="K5067">
        <v>1.105356</v>
      </c>
      <c r="L5067">
        <v>137.00839999999999</v>
      </c>
      <c r="M5067">
        <v>0.99509860000000006</v>
      </c>
      <c r="N5067">
        <v>0</v>
      </c>
      <c r="O5067">
        <v>-9.7704600000000003E-2</v>
      </c>
      <c r="P5067">
        <v>0.9957338</v>
      </c>
      <c r="Q5067">
        <v>7.1248870000000006E-2</v>
      </c>
      <c r="R5067">
        <v>-5.8633339999999999E-2</v>
      </c>
      <c r="S5067">
        <v>2.9902950000000001</v>
      </c>
      <c r="T5067">
        <v>4.5100210000000002E-2</v>
      </c>
      <c r="U5067">
        <v>-0.32933040000000002</v>
      </c>
      <c r="V5067">
        <v>-3.8931340000000002E-2</v>
      </c>
      <c r="W5067">
        <v>8.6452029999999999E-2</v>
      </c>
      <c r="X5067">
        <v>0.99549500000000002</v>
      </c>
      <c r="Y5067">
        <v>1.1828200000000001E-2</v>
      </c>
      <c r="Z5067">
        <v>-1.376595E-3</v>
      </c>
      <c r="AA5067">
        <v>0.99992910000000002</v>
      </c>
      <c r="AB5067">
        <v>4</v>
      </c>
      <c r="AC5067">
        <v>2.9902950000000001</v>
      </c>
      <c r="AD5067">
        <v>4.5100210000000002E-2</v>
      </c>
      <c r="AE5067">
        <v>-0.32933040000000002</v>
      </c>
      <c r="AF5067">
        <v>3.5546789139129703E-2</v>
      </c>
      <c r="AG5067">
        <v>4.5100210000000002E-2</v>
      </c>
      <c r="AH5067">
        <v>3.0074893912197198</v>
      </c>
      <c r="AI5067">
        <v>89.140918805153007</v>
      </c>
      <c r="AJ5067">
        <v>89.322828480723501</v>
      </c>
      <c r="AK5067">
        <v>3.0080375731462001</v>
      </c>
      <c r="AL5067">
        <v>85.040472283974097</v>
      </c>
      <c r="AM5067">
        <v>92.2395545491988</v>
      </c>
      <c r="AN5067">
        <v>0.99999994887515697</v>
      </c>
    </row>
    <row r="5068" spans="1:40" x14ac:dyDescent="0.3">
      <c r="A5068" t="str">
        <f>"20200111150149748"</f>
        <v>20200111150149748</v>
      </c>
      <c r="B5068" t="str">
        <f>"1578726109744172"</f>
        <v>1578726109744172</v>
      </c>
      <c r="C5068" t="s">
        <v>40</v>
      </c>
      <c r="D5068">
        <v>5.2855270000000001</v>
      </c>
      <c r="E5068">
        <v>0.519955099999999</v>
      </c>
      <c r="F5068" t="s">
        <v>46</v>
      </c>
      <c r="G5068">
        <v>0</v>
      </c>
      <c r="H5068">
        <v>0</v>
      </c>
      <c r="I5068">
        <v>0</v>
      </c>
      <c r="J5068">
        <v>-151.24119999999999</v>
      </c>
      <c r="K5068">
        <v>1.105345</v>
      </c>
      <c r="L5068">
        <v>137.00360000000001</v>
      </c>
      <c r="M5068">
        <v>0.99503730000000001</v>
      </c>
      <c r="N5068">
        <v>0</v>
      </c>
      <c r="O5068">
        <v>-9.832399E-2</v>
      </c>
      <c r="P5068">
        <v>0.99575020000000003</v>
      </c>
      <c r="Q5068">
        <v>7.062939E-2</v>
      </c>
      <c r="R5068">
        <v>-5.9101809999999998E-2</v>
      </c>
      <c r="S5068">
        <v>2.9901119999999999</v>
      </c>
      <c r="T5068">
        <v>4.9231530000000003E-2</v>
      </c>
      <c r="U5068">
        <v>-0.32670589999999999</v>
      </c>
      <c r="V5068">
        <v>-3.9087160000000003E-2</v>
      </c>
      <c r="W5068">
        <v>8.5857729999999993E-2</v>
      </c>
      <c r="X5068">
        <v>0.99554039999999999</v>
      </c>
      <c r="Y5068">
        <v>1.034729E-2</v>
      </c>
      <c r="Z5068">
        <v>-1.5251189999999999E-3</v>
      </c>
      <c r="AA5068">
        <v>0.99994530000000004</v>
      </c>
      <c r="AB5068">
        <v>4</v>
      </c>
      <c r="AC5068">
        <v>2.9901119999999999</v>
      </c>
      <c r="AD5068">
        <v>4.9231530000000003E-2</v>
      </c>
      <c r="AE5068">
        <v>-0.32670589999999999</v>
      </c>
      <c r="AF5068">
        <v>3.10801127406359E-2</v>
      </c>
      <c r="AG5068">
        <v>4.9231530000000003E-2</v>
      </c>
      <c r="AH5068">
        <v>3.0069411374914901</v>
      </c>
      <c r="AI5068">
        <v>89.062051391598303</v>
      </c>
      <c r="AJ5068">
        <v>89.407804877645205</v>
      </c>
      <c r="AK5068">
        <v>3.0075047333782798</v>
      </c>
      <c r="AL5068">
        <v>85.074650610870293</v>
      </c>
      <c r="AM5068">
        <v>92.248406595233007</v>
      </c>
      <c r="AN5068">
        <v>1.0000000219548799</v>
      </c>
    </row>
    <row r="5069" spans="1:40" x14ac:dyDescent="0.3">
      <c r="A5069" t="str">
        <f>"20200111150149770"</f>
        <v>20200111150149770</v>
      </c>
      <c r="B5069" t="str">
        <f>"1578726109763691"</f>
        <v>1578726109763691</v>
      </c>
      <c r="C5069" t="s">
        <v>40</v>
      </c>
      <c r="D5069">
        <v>5.0998070000000002</v>
      </c>
      <c r="E5069">
        <v>0.52171420000000002</v>
      </c>
      <c r="F5069" t="s">
        <v>46</v>
      </c>
      <c r="G5069">
        <v>0</v>
      </c>
      <c r="H5069">
        <v>0</v>
      </c>
      <c r="I5069">
        <v>0</v>
      </c>
      <c r="J5069">
        <v>-151.2012</v>
      </c>
      <c r="K5069">
        <v>1.105329</v>
      </c>
      <c r="L5069">
        <v>136.99889999999999</v>
      </c>
      <c r="M5069">
        <v>0.99497610000000003</v>
      </c>
      <c r="N5069">
        <v>0</v>
      </c>
      <c r="O5069">
        <v>-9.8936789999999997E-2</v>
      </c>
      <c r="P5069">
        <v>0.99569459999999999</v>
      </c>
      <c r="Q5069">
        <v>7.0249590000000001E-2</v>
      </c>
      <c r="R5069">
        <v>-6.0474630000000001E-2</v>
      </c>
      <c r="S5069">
        <v>2.9909970000000001</v>
      </c>
      <c r="T5069">
        <v>2.9152150000000002E-2</v>
      </c>
      <c r="U5069">
        <v>-0.33250429999999997</v>
      </c>
      <c r="V5069">
        <v>-3.8330219999999998E-2</v>
      </c>
      <c r="W5069">
        <v>8.5495699999999994E-2</v>
      </c>
      <c r="X5069">
        <v>0.99560090000000001</v>
      </c>
      <c r="Y5069">
        <v>1.1607040000000001E-2</v>
      </c>
      <c r="Z5069">
        <v>-9.0254319999999997E-4</v>
      </c>
      <c r="AA5069">
        <v>0.99993220000000005</v>
      </c>
      <c r="AB5069">
        <v>4</v>
      </c>
      <c r="AC5069">
        <v>2.9909970000000001</v>
      </c>
      <c r="AD5069">
        <v>2.9152150000000002E-2</v>
      </c>
      <c r="AE5069">
        <v>-0.33250429999999997</v>
      </c>
      <c r="AF5069">
        <v>3.4915000177390597E-2</v>
      </c>
      <c r="AG5069">
        <v>2.9152150000000002E-2</v>
      </c>
      <c r="AH5069">
        <v>3.0089372957578999</v>
      </c>
      <c r="AI5069">
        <v>89.444943411275403</v>
      </c>
      <c r="AJ5069">
        <v>89.335183097569498</v>
      </c>
      <c r="AK5069">
        <v>3.0092810694399899</v>
      </c>
      <c r="AL5069">
        <v>85.095469533305703</v>
      </c>
      <c r="AM5069">
        <v>92.204774759918195</v>
      </c>
      <c r="AN5069">
        <v>0.99999993628227202</v>
      </c>
    </row>
    <row r="5070" spans="1:40" x14ac:dyDescent="0.3">
      <c r="A5070" t="str">
        <f>"20200111150149791"</f>
        <v>20200111150149791</v>
      </c>
      <c r="B5070" t="str">
        <f>"1578726109784187"</f>
        <v>1578726109784187</v>
      </c>
      <c r="C5070" t="s">
        <v>40</v>
      </c>
      <c r="D5070">
        <v>5.0828639999999998</v>
      </c>
      <c r="E5070">
        <v>0.52253039999999995</v>
      </c>
      <c r="F5070" t="s">
        <v>46</v>
      </c>
      <c r="G5070">
        <v>0</v>
      </c>
      <c r="H5070">
        <v>0</v>
      </c>
      <c r="I5070">
        <v>0</v>
      </c>
      <c r="J5070">
        <v>-151.16239999999999</v>
      </c>
      <c r="K5070">
        <v>1.1053200000000001</v>
      </c>
      <c r="L5070">
        <v>136.99440000000001</v>
      </c>
      <c r="M5070">
        <v>0.99491660000000004</v>
      </c>
      <c r="N5070">
        <v>0</v>
      </c>
      <c r="O5070">
        <v>-9.9530939999999998E-2</v>
      </c>
      <c r="P5070">
        <v>0.99563990000000002</v>
      </c>
      <c r="Q5070">
        <v>6.9217470000000003E-2</v>
      </c>
      <c r="R5070">
        <v>-6.2534619999999999E-2</v>
      </c>
      <c r="S5070">
        <v>2.990875</v>
      </c>
      <c r="T5070">
        <v>1.1642100000000001E-2</v>
      </c>
      <c r="U5070">
        <v>-0.35018919999999998</v>
      </c>
      <c r="V5070">
        <v>-3.6870670000000001E-2</v>
      </c>
      <c r="W5070">
        <v>8.4495600000000004E-2</v>
      </c>
      <c r="X5070">
        <v>0.9957414</v>
      </c>
      <c r="Y5070">
        <v>1.6847250000000001E-2</v>
      </c>
      <c r="Z5070">
        <v>-3.5243589999999999E-4</v>
      </c>
      <c r="AA5070">
        <v>0.99985800000000002</v>
      </c>
      <c r="AB5070">
        <v>4</v>
      </c>
      <c r="AC5070">
        <v>2.990875</v>
      </c>
      <c r="AD5070">
        <v>1.1642100000000001E-2</v>
      </c>
      <c r="AE5070">
        <v>-0.35018919999999998</v>
      </c>
      <c r="AF5070">
        <v>5.0729639576849499E-2</v>
      </c>
      <c r="AG5070">
        <v>1.1642100000000001E-2</v>
      </c>
      <c r="AH5070">
        <v>3.0108339665585602</v>
      </c>
      <c r="AI5070">
        <v>89.778484892956598</v>
      </c>
      <c r="AJ5070">
        <v>89.034712882815896</v>
      </c>
      <c r="AK5070">
        <v>3.0112838140910498</v>
      </c>
      <c r="AL5070">
        <v>85.152979195792994</v>
      </c>
      <c r="AM5070">
        <v>92.120599860976995</v>
      </c>
      <c r="AN5070">
        <v>0.999999944199782</v>
      </c>
    </row>
    <row r="5071" spans="1:40" x14ac:dyDescent="0.3">
      <c r="A5071" t="str">
        <f>"20200111150149814"</f>
        <v>20200111150149814</v>
      </c>
      <c r="B5071" t="str">
        <f>"1578726109803708"</f>
        <v>1578726109803708</v>
      </c>
      <c r="C5071" t="s">
        <v>40</v>
      </c>
      <c r="D5071">
        <v>5.0957179999999997</v>
      </c>
      <c r="E5071">
        <v>0.55692459999999999</v>
      </c>
      <c r="F5071" t="s">
        <v>46</v>
      </c>
      <c r="G5071">
        <v>0</v>
      </c>
      <c r="H5071">
        <v>0</v>
      </c>
      <c r="I5071">
        <v>0</v>
      </c>
      <c r="J5071">
        <v>-151.12469999999999</v>
      </c>
      <c r="K5071">
        <v>1.1053219999999999</v>
      </c>
      <c r="L5071">
        <v>136.98990000000001</v>
      </c>
      <c r="M5071">
        <v>0.99485800000000002</v>
      </c>
      <c r="N5071">
        <v>0</v>
      </c>
      <c r="O5071">
        <v>-0.100107</v>
      </c>
      <c r="P5071">
        <v>0.99558570000000002</v>
      </c>
      <c r="Q5071">
        <v>6.8286630000000001E-2</v>
      </c>
      <c r="R5071">
        <v>-6.4392099999999994E-2</v>
      </c>
      <c r="S5071">
        <v>2.990326</v>
      </c>
      <c r="T5071">
        <v>6.1869620000000003E-4</v>
      </c>
      <c r="U5071">
        <v>-0.36247249999999998</v>
      </c>
      <c r="V5071">
        <v>-3.5595130000000003E-2</v>
      </c>
      <c r="W5071">
        <v>8.361325E-2</v>
      </c>
      <c r="X5071">
        <v>0.99586240000000004</v>
      </c>
      <c r="Y5071">
        <v>2.033834E-2</v>
      </c>
      <c r="Z5071" s="1">
        <v>-1.8485559999999999E-5</v>
      </c>
      <c r="AA5071">
        <v>0.99979320000000005</v>
      </c>
      <c r="AB5071">
        <v>4</v>
      </c>
      <c r="AC5071">
        <v>2.990326</v>
      </c>
      <c r="AD5071">
        <v>6.1869620000000003E-4</v>
      </c>
      <c r="AE5071">
        <v>-0.36247249999999998</v>
      </c>
      <c r="AF5071">
        <v>6.1263332984497702E-2</v>
      </c>
      <c r="AG5071">
        <v>6.1869620000000003E-4</v>
      </c>
      <c r="AH5071">
        <v>3.0115912634343198</v>
      </c>
      <c r="AI5071">
        <v>89.988231687141393</v>
      </c>
      <c r="AJ5071">
        <v>88.834620621703195</v>
      </c>
      <c r="AK5071">
        <v>3.01221438758055</v>
      </c>
      <c r="AL5071">
        <v>85.203714201590998</v>
      </c>
      <c r="AM5071">
        <v>92.047052761596504</v>
      </c>
      <c r="AN5071">
        <v>1.00000005429451</v>
      </c>
    </row>
    <row r="5072" spans="1:40" x14ac:dyDescent="0.3">
      <c r="A5072" t="str">
        <f>"20200111150149837"</f>
        <v>20200111150149837</v>
      </c>
      <c r="B5072" t="str">
        <f>"1578726109833964"</f>
        <v>1578726109833964</v>
      </c>
      <c r="C5072" t="s">
        <v>40</v>
      </c>
      <c r="D5072">
        <v>5.0777330000000003</v>
      </c>
      <c r="E5072">
        <v>0.55845330000000004</v>
      </c>
      <c r="F5072" t="s">
        <v>41</v>
      </c>
      <c r="G5072">
        <v>-150.4564</v>
      </c>
      <c r="H5072">
        <v>0.92912779999999995</v>
      </c>
      <c r="I5072">
        <v>136.8518</v>
      </c>
      <c r="J5072">
        <v>-151.08699999999999</v>
      </c>
      <c r="K5072">
        <v>1.105324</v>
      </c>
      <c r="L5072">
        <v>136.9854</v>
      </c>
      <c r="M5072">
        <v>0.99479859999999998</v>
      </c>
      <c r="N5072">
        <v>0</v>
      </c>
      <c r="O5072">
        <v>-0.10068630000000001</v>
      </c>
      <c r="P5072">
        <v>0.99561049999999995</v>
      </c>
      <c r="Q5072">
        <v>6.6900180000000004E-2</v>
      </c>
      <c r="R5072">
        <v>-6.54531E-2</v>
      </c>
      <c r="S5072">
        <v>3.0275880000000002</v>
      </c>
      <c r="T5072">
        <v>-0.7979851</v>
      </c>
      <c r="U5072">
        <v>-0.62535099999999999</v>
      </c>
      <c r="V5072">
        <v>-3.5123210000000002E-2</v>
      </c>
      <c r="W5072">
        <v>8.2281750000000001E-2</v>
      </c>
      <c r="X5072">
        <v>0.99599000000000004</v>
      </c>
      <c r="Y5072">
        <v>0.1025667</v>
      </c>
      <c r="Z5072">
        <v>1.257986E-2</v>
      </c>
      <c r="AA5072">
        <v>0.99464649999999999</v>
      </c>
      <c r="AB5072">
        <v>4</v>
      </c>
      <c r="AC5072">
        <v>0.63060000000001504</v>
      </c>
      <c r="AD5072">
        <v>-0.176196199999999</v>
      </c>
      <c r="AE5072">
        <v>-0.133600000000001</v>
      </c>
      <c r="AF5072">
        <v>6.4594313556906396E-2</v>
      </c>
      <c r="AG5072">
        <v>-0.176196199999999</v>
      </c>
      <c r="AH5072">
        <v>0.59629489291177695</v>
      </c>
      <c r="AI5072">
        <v>106.37101721157001</v>
      </c>
      <c r="AJ5072">
        <v>83.817478197733806</v>
      </c>
      <c r="AK5072">
        <v>0.62512808731570801</v>
      </c>
      <c r="AL5072">
        <v>85.280267100219206</v>
      </c>
      <c r="AM5072">
        <v>92.019677015309099</v>
      </c>
      <c r="AN5072">
        <v>1.0000000031818801</v>
      </c>
    </row>
    <row r="5073" spans="1:40" x14ac:dyDescent="0.3">
      <c r="A5073" t="str">
        <f>"20200111150149860"</f>
        <v>20200111150149860</v>
      </c>
      <c r="B5073" t="str">
        <f>"1578726109853483"</f>
        <v>1578726109853483</v>
      </c>
      <c r="C5073" t="s">
        <v>40</v>
      </c>
      <c r="D5073">
        <v>5.0711320000000004</v>
      </c>
      <c r="E5073">
        <v>0.55786119999999995</v>
      </c>
      <c r="F5073" t="s">
        <v>41</v>
      </c>
      <c r="G5073">
        <v>-150.42339999999999</v>
      </c>
      <c r="H5073">
        <v>0.9291277</v>
      </c>
      <c r="I5073">
        <v>136.84460000000001</v>
      </c>
      <c r="J5073">
        <v>-151.04939999999999</v>
      </c>
      <c r="K5073">
        <v>1.105329</v>
      </c>
      <c r="L5073">
        <v>136.98099999999999</v>
      </c>
      <c r="M5073">
        <v>0.99473929999999999</v>
      </c>
      <c r="N5073">
        <v>0</v>
      </c>
      <c r="O5073">
        <v>-0.1012634</v>
      </c>
      <c r="P5073">
        <v>0.99564850000000005</v>
      </c>
      <c r="Q5073">
        <v>6.5055180000000004E-2</v>
      </c>
      <c r="R5073">
        <v>-6.6725270000000003E-2</v>
      </c>
      <c r="S5073">
        <v>3.0250240000000002</v>
      </c>
      <c r="T5073">
        <v>-0.80295109999999903</v>
      </c>
      <c r="U5073">
        <v>-0.64123540000000001</v>
      </c>
      <c r="V5073">
        <v>-3.4441060000000003E-2</v>
      </c>
      <c r="W5073">
        <v>8.0484810000000004E-2</v>
      </c>
      <c r="X5073">
        <v>0.99616059999999995</v>
      </c>
      <c r="Y5073">
        <v>0.10703029999999999</v>
      </c>
      <c r="Z5073">
        <v>1.2229169999999999E-2</v>
      </c>
      <c r="AA5073">
        <v>0.99418059999999997</v>
      </c>
      <c r="AB5073">
        <v>4</v>
      </c>
      <c r="AC5073">
        <v>0.626000000000004</v>
      </c>
      <c r="AD5073">
        <v>-0.17620130000000001</v>
      </c>
      <c r="AE5073">
        <v>-0.13639999999998001</v>
      </c>
      <c r="AF5073">
        <v>6.7216277626923698E-2</v>
      </c>
      <c r="AG5073">
        <v>-0.17620130000000001</v>
      </c>
      <c r="AH5073">
        <v>0.59183189837098704</v>
      </c>
      <c r="AI5073">
        <v>106.479276557113</v>
      </c>
      <c r="AJ5073">
        <v>83.520495853277197</v>
      </c>
      <c r="AK5073">
        <v>0.62115209250964898</v>
      </c>
      <c r="AL5073">
        <v>85.383566678448105</v>
      </c>
      <c r="AM5073">
        <v>91.980144238317394</v>
      </c>
      <c r="AN5073">
        <v>0.99999996612350905</v>
      </c>
    </row>
    <row r="5074" spans="1:40" x14ac:dyDescent="0.3">
      <c r="A5074" t="str">
        <f>"20200111150149881"</f>
        <v>20200111150149881</v>
      </c>
      <c r="B5074" t="str">
        <f>"1578726109873980"</f>
        <v>1578726109873980</v>
      </c>
      <c r="C5074" t="s">
        <v>40</v>
      </c>
      <c r="D5074">
        <v>5.0732229999999996</v>
      </c>
      <c r="E5074">
        <v>0.55765699999999996</v>
      </c>
      <c r="F5074" t="s">
        <v>41</v>
      </c>
      <c r="G5074">
        <v>-150.3897</v>
      </c>
      <c r="H5074">
        <v>0.93065580000000003</v>
      </c>
      <c r="I5074">
        <v>136.84119999999999</v>
      </c>
      <c r="J5074">
        <v>-151.01339999999999</v>
      </c>
      <c r="K5074">
        <v>1.105342</v>
      </c>
      <c r="L5074">
        <v>136.97659999999999</v>
      </c>
      <c r="M5074">
        <v>0.99468210000000001</v>
      </c>
      <c r="N5074">
        <v>0</v>
      </c>
      <c r="O5074">
        <v>-0.1018178</v>
      </c>
      <c r="P5074">
        <v>0.9956718</v>
      </c>
      <c r="Q5074">
        <v>6.3871070000000002E-2</v>
      </c>
      <c r="R5074">
        <v>-6.7514640000000001E-2</v>
      </c>
      <c r="S5074">
        <v>3.0224609999999998</v>
      </c>
      <c r="T5074">
        <v>-0.80029989999999995</v>
      </c>
      <c r="U5074">
        <v>-0.64057919999999902</v>
      </c>
      <c r="V5074">
        <v>-3.4214300000000003E-2</v>
      </c>
      <c r="W5074">
        <v>7.9341209999999995E-2</v>
      </c>
      <c r="X5074">
        <v>0.99626020000000004</v>
      </c>
      <c r="Y5074">
        <v>0.10647769999999999</v>
      </c>
      <c r="Z5074">
        <v>1.241285E-2</v>
      </c>
      <c r="AA5074">
        <v>0.99423760000000005</v>
      </c>
      <c r="AB5074">
        <v>4</v>
      </c>
      <c r="AC5074">
        <v>0.62369999999998504</v>
      </c>
      <c r="AD5074">
        <v>-0.17468619999999899</v>
      </c>
      <c r="AE5074">
        <v>-0.13540000000000399</v>
      </c>
      <c r="AF5074">
        <v>6.62236516948638E-2</v>
      </c>
      <c r="AG5074">
        <v>-0.17468619999999899</v>
      </c>
      <c r="AH5074">
        <v>0.59004293284901699</v>
      </c>
      <c r="AI5074">
        <v>106.39438487521301</v>
      </c>
      <c r="AJ5074">
        <v>83.596189768243093</v>
      </c>
      <c r="AK5074">
        <v>0.61891154708836404</v>
      </c>
      <c r="AL5074">
        <v>85.449300592081897</v>
      </c>
      <c r="AM5074">
        <v>91.966920735735201</v>
      </c>
      <c r="AN5074">
        <v>1.00000001601639</v>
      </c>
    </row>
    <row r="5075" spans="1:40" x14ac:dyDescent="0.3">
      <c r="A5075" t="str">
        <f>"20200111150149904"</f>
        <v>20200111150149904</v>
      </c>
      <c r="B5075" t="str">
        <f>"1578726109893499"</f>
        <v>1578726109893499</v>
      </c>
      <c r="C5075" t="s">
        <v>40</v>
      </c>
      <c r="D5075">
        <v>5.059259</v>
      </c>
      <c r="E5075">
        <v>0.55813760000000001</v>
      </c>
      <c r="F5075" t="s">
        <v>41</v>
      </c>
      <c r="G5075">
        <v>-150.32939999999999</v>
      </c>
      <c r="H5075">
        <v>0.92367949999999999</v>
      </c>
      <c r="I5075">
        <v>136.8314</v>
      </c>
      <c r="J5075">
        <v>-150.9786</v>
      </c>
      <c r="K5075">
        <v>1.105356</v>
      </c>
      <c r="L5075">
        <v>136.97239999999999</v>
      </c>
      <c r="M5075">
        <v>0.99462660000000003</v>
      </c>
      <c r="N5075">
        <v>0</v>
      </c>
      <c r="O5075">
        <v>-0.102352399999999</v>
      </c>
      <c r="P5075">
        <v>0.9956064</v>
      </c>
      <c r="Q5075">
        <v>6.4430660000000001E-2</v>
      </c>
      <c r="R5075">
        <v>-6.7947670000000002E-2</v>
      </c>
      <c r="S5075">
        <v>3.0210110000000001</v>
      </c>
      <c r="T5075">
        <v>-0.80238430000000005</v>
      </c>
      <c r="U5075">
        <v>-0.6414337</v>
      </c>
      <c r="V5075">
        <v>-3.43129E-2</v>
      </c>
      <c r="W5075">
        <v>7.9936789999999994E-2</v>
      </c>
      <c r="X5075">
        <v>0.99620920000000002</v>
      </c>
      <c r="Y5075">
        <v>0.10633049999999999</v>
      </c>
      <c r="Z5075">
        <v>1.26052E-2</v>
      </c>
      <c r="AA5075">
        <v>0.994251</v>
      </c>
      <c r="AB5075">
        <v>4</v>
      </c>
      <c r="AC5075">
        <v>0.64920000000000699</v>
      </c>
      <c r="AD5075">
        <v>-0.18167649999999999</v>
      </c>
      <c r="AE5075">
        <v>-0.14099999999999099</v>
      </c>
      <c r="AF5075">
        <v>6.8668621424356799E-2</v>
      </c>
      <c r="AG5075">
        <v>-0.18167649999999999</v>
      </c>
      <c r="AH5075">
        <v>0.61428311953750303</v>
      </c>
      <c r="AI5075">
        <v>106.379271395868</v>
      </c>
      <c r="AJ5075">
        <v>83.621580410222407</v>
      </c>
      <c r="AK5075">
        <v>0.64425575757559095</v>
      </c>
      <c r="AL5075">
        <v>85.415067648392395</v>
      </c>
      <c r="AM5075">
        <v>91.972685511866004</v>
      </c>
      <c r="AN5075">
        <v>1.00000001783327</v>
      </c>
    </row>
    <row r="5076" spans="1:40" x14ac:dyDescent="0.3">
      <c r="A5076" t="str">
        <f>"20200111150149925"</f>
        <v>20200111150149925</v>
      </c>
      <c r="B5076" t="str">
        <f>"1578726109913995"</f>
        <v>1578726109913995</v>
      </c>
      <c r="C5076" t="s">
        <v>40</v>
      </c>
      <c r="D5076">
        <v>5.0547190000000004</v>
      </c>
      <c r="E5076">
        <v>0.55791759999999901</v>
      </c>
      <c r="F5076" t="s">
        <v>41</v>
      </c>
      <c r="G5076">
        <v>-150.29740000000001</v>
      </c>
      <c r="H5076">
        <v>0.92560010000000004</v>
      </c>
      <c r="I5076">
        <v>136.82650000000001</v>
      </c>
      <c r="J5076">
        <v>-150.9444</v>
      </c>
      <c r="K5076">
        <v>1.105375</v>
      </c>
      <c r="L5076">
        <v>136.9683</v>
      </c>
      <c r="M5076">
        <v>0.99457169999999895</v>
      </c>
      <c r="N5076">
        <v>0</v>
      </c>
      <c r="O5076">
        <v>-0.1028796</v>
      </c>
      <c r="P5076">
        <v>0.99551730000000005</v>
      </c>
      <c r="Q5076">
        <v>6.5249089999999996E-2</v>
      </c>
      <c r="R5076">
        <v>-6.8469989999999994E-2</v>
      </c>
      <c r="S5076">
        <v>3.0206599999999999</v>
      </c>
      <c r="T5076">
        <v>-0.79706999999999995</v>
      </c>
      <c r="U5076">
        <v>-0.64706419999999998</v>
      </c>
      <c r="V5076">
        <v>-3.431385E-2</v>
      </c>
      <c r="W5076">
        <v>8.0790899999999999E-2</v>
      </c>
      <c r="X5076">
        <v>0.99614020000000003</v>
      </c>
      <c r="Y5076">
        <v>0.1075779</v>
      </c>
      <c r="Z5076">
        <v>1.249689E-2</v>
      </c>
      <c r="AA5076">
        <v>0.9941181</v>
      </c>
      <c r="AB5076">
        <v>4</v>
      </c>
      <c r="AC5076">
        <v>0.64699999999999103</v>
      </c>
      <c r="AD5076">
        <v>-0.17977489999999899</v>
      </c>
      <c r="AE5076">
        <v>-0.14179999999998899</v>
      </c>
      <c r="AF5076">
        <v>6.9366196108136199E-2</v>
      </c>
      <c r="AG5076">
        <v>-0.17977489999999899</v>
      </c>
      <c r="AH5076">
        <v>0.61299827122242601</v>
      </c>
      <c r="AI5076">
        <v>106.24673767450901</v>
      </c>
      <c r="AJ5076">
        <v>83.543936932972798</v>
      </c>
      <c r="AK5076">
        <v>0.64257105782489599</v>
      </c>
      <c r="AL5076">
        <v>85.365971657442302</v>
      </c>
      <c r="AM5076">
        <v>91.972876623747496</v>
      </c>
      <c r="AN5076">
        <v>0.99999995394033503</v>
      </c>
    </row>
    <row r="5077" spans="1:40" x14ac:dyDescent="0.3">
      <c r="A5077" t="str">
        <f>"20200111150149949"</f>
        <v>20200111150149949</v>
      </c>
      <c r="B5077" t="str">
        <f>"1578726109944254"</f>
        <v>1578726109944254</v>
      </c>
      <c r="C5077" t="s">
        <v>40</v>
      </c>
      <c r="D5077">
        <v>4.9610339999999997</v>
      </c>
      <c r="E5077">
        <v>0.55755690000000002</v>
      </c>
      <c r="F5077" t="s">
        <v>41</v>
      </c>
      <c r="G5077">
        <v>-150.26609999999999</v>
      </c>
      <c r="H5077">
        <v>0.92695130000000003</v>
      </c>
      <c r="I5077">
        <v>136.82320000000001</v>
      </c>
      <c r="J5077">
        <v>-150.90969999999999</v>
      </c>
      <c r="K5077">
        <v>1.105391</v>
      </c>
      <c r="L5077">
        <v>136.9641</v>
      </c>
      <c r="M5077">
        <v>0.99451579999999995</v>
      </c>
      <c r="N5077">
        <v>0</v>
      </c>
      <c r="O5077">
        <v>-0.1034139</v>
      </c>
      <c r="P5077">
        <v>0.99541679999999999</v>
      </c>
      <c r="Q5077">
        <v>6.6043320000000003E-2</v>
      </c>
      <c r="R5077">
        <v>-6.9166329999999998E-2</v>
      </c>
      <c r="S5077">
        <v>3.0211489999999999</v>
      </c>
      <c r="T5077">
        <v>-0.79479599999999995</v>
      </c>
      <c r="U5077">
        <v>-0.64636229999999995</v>
      </c>
      <c r="V5077">
        <v>-3.4146240000000001E-2</v>
      </c>
      <c r="W5077">
        <v>8.1617380000000003E-2</v>
      </c>
      <c r="X5077">
        <v>0.99607860000000004</v>
      </c>
      <c r="Y5077">
        <v>0.1068322</v>
      </c>
      <c r="Z5077">
        <v>1.269171E-2</v>
      </c>
      <c r="AA5077">
        <v>0.99419610000000003</v>
      </c>
      <c r="AB5077">
        <v>3</v>
      </c>
      <c r="AC5077">
        <v>0.64359999999999196</v>
      </c>
      <c r="AD5077">
        <v>-0.17843969999999901</v>
      </c>
      <c r="AE5077">
        <v>-0.14089999999998701</v>
      </c>
      <c r="AF5077">
        <v>6.8550649593156099E-2</v>
      </c>
      <c r="AG5077">
        <v>-0.17843969999999901</v>
      </c>
      <c r="AH5077">
        <v>0.60997740041312698</v>
      </c>
      <c r="AI5077">
        <v>106.209408103748</v>
      </c>
      <c r="AJ5077">
        <v>83.5878740494108</v>
      </c>
      <c r="AK5077">
        <v>0.63922793048371196</v>
      </c>
      <c r="AL5077">
        <v>85.318461008282995</v>
      </c>
      <c r="AM5077">
        <v>91.9633687547568</v>
      </c>
      <c r="AN5077">
        <v>0.99999996990107998</v>
      </c>
    </row>
    <row r="5078" spans="1:40" x14ac:dyDescent="0.3">
      <c r="A5078" t="str">
        <f>"20200111150149971"</f>
        <v>20200111150149971</v>
      </c>
      <c r="B5078" t="str">
        <f>"1578726109963771"</f>
        <v>1578726109963771</v>
      </c>
      <c r="C5078" t="s">
        <v>40</v>
      </c>
      <c r="D5078">
        <v>5.0163609999999998</v>
      </c>
      <c r="E5078">
        <v>0.55726390000000003</v>
      </c>
      <c r="F5078" t="s">
        <v>41</v>
      </c>
      <c r="G5078">
        <v>-150.23480000000001</v>
      </c>
      <c r="H5078">
        <v>0.92963779999999996</v>
      </c>
      <c r="I5078">
        <v>136.81970000000001</v>
      </c>
      <c r="J5078">
        <v>-150.8759</v>
      </c>
      <c r="K5078">
        <v>1.1054040000000001</v>
      </c>
      <c r="L5078">
        <v>136.9599</v>
      </c>
      <c r="M5078">
        <v>0.99446129999999999</v>
      </c>
      <c r="N5078">
        <v>0</v>
      </c>
      <c r="O5078">
        <v>-0.1039339</v>
      </c>
      <c r="P5078">
        <v>0.99530010000000002</v>
      </c>
      <c r="Q5078">
        <v>6.6995460000000007E-2</v>
      </c>
      <c r="R5078">
        <v>-6.992661E-2</v>
      </c>
      <c r="S5078">
        <v>3.0211489999999999</v>
      </c>
      <c r="T5078">
        <v>-0.78654690000000005</v>
      </c>
      <c r="U5078">
        <v>-0.64546199999999998</v>
      </c>
      <c r="V5078">
        <v>-3.3900340000000001E-2</v>
      </c>
      <c r="W5078">
        <v>8.2590159999999996E-2</v>
      </c>
      <c r="X5078">
        <v>0.99600679999999997</v>
      </c>
      <c r="Y5078">
        <v>0.10607179999999999</v>
      </c>
      <c r="Z5078">
        <v>1.2791439999999999E-2</v>
      </c>
      <c r="AA5078">
        <v>0.99427619999999906</v>
      </c>
      <c r="AB5078">
        <v>3</v>
      </c>
      <c r="AC5078">
        <v>0.64109999999999401</v>
      </c>
      <c r="AD5078">
        <v>-0.17576619999999901</v>
      </c>
      <c r="AE5078">
        <v>-0.140199999999993</v>
      </c>
      <c r="AF5078">
        <v>6.7927568357964693E-2</v>
      </c>
      <c r="AG5078">
        <v>-0.17576619999999901</v>
      </c>
      <c r="AH5078">
        <v>0.60854634643079797</v>
      </c>
      <c r="AI5078">
        <v>106.01596125587599</v>
      </c>
      <c r="AJ5078">
        <v>83.630857125192705</v>
      </c>
      <c r="AK5078">
        <v>0.63705303339654495</v>
      </c>
      <c r="AL5078">
        <v>85.262535938060395</v>
      </c>
      <c r="AM5078">
        <v>91.949381147986301</v>
      </c>
      <c r="AN5078">
        <v>0.99999995661358898</v>
      </c>
    </row>
    <row r="5079" spans="1:40" x14ac:dyDescent="0.3">
      <c r="A5079" t="str">
        <f>"20200111150149994"</f>
        <v>20200111150149994</v>
      </c>
      <c r="B5079" t="str">
        <f>"1578726109984268"</f>
        <v>1578726109984268</v>
      </c>
      <c r="C5079" t="s">
        <v>40</v>
      </c>
      <c r="D5079">
        <v>4.9751969999999996</v>
      </c>
      <c r="E5079">
        <v>0.55732760000000003</v>
      </c>
      <c r="F5079" t="s">
        <v>41</v>
      </c>
      <c r="G5079">
        <v>-150.20429999999999</v>
      </c>
      <c r="H5079">
        <v>0.93175490000000005</v>
      </c>
      <c r="I5079">
        <v>136.81639999999999</v>
      </c>
      <c r="J5079">
        <v>-150.84110000000001</v>
      </c>
      <c r="K5079">
        <v>1.105192</v>
      </c>
      <c r="L5079">
        <v>136.9556</v>
      </c>
      <c r="M5079">
        <v>0.99441049999999997</v>
      </c>
      <c r="N5079">
        <v>0</v>
      </c>
      <c r="O5079">
        <v>-0.104521</v>
      </c>
      <c r="P5079">
        <v>0.99517540000000004</v>
      </c>
      <c r="Q5079">
        <v>6.8686769999999994E-2</v>
      </c>
      <c r="R5079">
        <v>-7.0058419999999996E-2</v>
      </c>
      <c r="S5079">
        <v>3.021423</v>
      </c>
      <c r="T5079">
        <v>-0.78111390000000003</v>
      </c>
      <c r="U5079">
        <v>-0.645401</v>
      </c>
      <c r="V5079">
        <v>-3.4336789999999999E-2</v>
      </c>
      <c r="W5079">
        <v>8.3582359999999994E-2</v>
      </c>
      <c r="X5079">
        <v>0.99590909999999999</v>
      </c>
      <c r="Y5079">
        <v>0.1054857</v>
      </c>
      <c r="Z5079">
        <v>1.292456E-2</v>
      </c>
      <c r="AA5079">
        <v>0.99433680000000002</v>
      </c>
      <c r="AB5079">
        <v>3</v>
      </c>
      <c r="AC5079">
        <v>0.63680000000002202</v>
      </c>
      <c r="AD5079">
        <v>-0.17343709999999901</v>
      </c>
      <c r="AE5079">
        <v>-0.13920000000001601</v>
      </c>
      <c r="AF5079">
        <v>6.7119236847262204E-2</v>
      </c>
      <c r="AG5079">
        <v>-0.17343709999999901</v>
      </c>
      <c r="AH5079">
        <v>0.60502879908972895</v>
      </c>
      <c r="AI5079">
        <v>105.902859257366</v>
      </c>
      <c r="AJ5079">
        <v>83.669741482094295</v>
      </c>
      <c r="AK5079">
        <v>0.63296545509160995</v>
      </c>
      <c r="AL5079">
        <v>85.205489931764305</v>
      </c>
      <c r="AM5079">
        <v>91.974652264747704</v>
      </c>
      <c r="AN5079">
        <v>0.99999998075674101</v>
      </c>
    </row>
    <row r="5080" spans="1:40" x14ac:dyDescent="0.3">
      <c r="A5080" t="str">
        <f>"20200111150150016"</f>
        <v>20200111150150016</v>
      </c>
      <c r="B5080" t="str">
        <f>"1578726110013548"</f>
        <v>1578726110013548</v>
      </c>
      <c r="C5080" t="s">
        <v>40</v>
      </c>
      <c r="D5080">
        <v>5.0053809999999999</v>
      </c>
      <c r="E5080">
        <v>0.55806769999999895</v>
      </c>
      <c r="F5080" t="s">
        <v>41</v>
      </c>
      <c r="G5080">
        <v>-150.17099999999999</v>
      </c>
      <c r="H5080">
        <v>0.93259970000000003</v>
      </c>
      <c r="I5080">
        <v>136.81219999999999</v>
      </c>
      <c r="J5080">
        <v>-150.80160000000001</v>
      </c>
      <c r="K5080">
        <v>1.10476</v>
      </c>
      <c r="L5080">
        <v>136.95079999999999</v>
      </c>
      <c r="M5080">
        <v>0.99435229999999997</v>
      </c>
      <c r="N5080">
        <v>0</v>
      </c>
      <c r="O5080">
        <v>-0.1052782</v>
      </c>
      <c r="P5080">
        <v>0.99488989999999999</v>
      </c>
      <c r="Q5080">
        <v>7.2082999999999994E-2</v>
      </c>
      <c r="R5080">
        <v>-7.0696320000000007E-2</v>
      </c>
      <c r="S5080">
        <v>3.022751</v>
      </c>
      <c r="T5080">
        <v>-0.77860079999999998</v>
      </c>
      <c r="U5080">
        <v>-0.6468353</v>
      </c>
      <c r="V5080">
        <v>-3.4413449999999998E-2</v>
      </c>
      <c r="W5080">
        <v>8.5461029999999993E-2</v>
      </c>
      <c r="X5080">
        <v>0.99574700000000005</v>
      </c>
      <c r="Y5080">
        <v>0.1051275</v>
      </c>
      <c r="Z5080">
        <v>1.311054E-2</v>
      </c>
      <c r="AA5080">
        <v>0.99437229999999999</v>
      </c>
      <c r="AB5080">
        <v>3</v>
      </c>
      <c r="AC5080">
        <v>0.63060000000001504</v>
      </c>
      <c r="AD5080">
        <v>-0.17216029999999999</v>
      </c>
      <c r="AE5080">
        <v>-0.138599999999996</v>
      </c>
      <c r="AF5080">
        <v>6.6693333674088195E-2</v>
      </c>
      <c r="AG5080">
        <v>-0.17216029999999999</v>
      </c>
      <c r="AH5080">
        <v>0.59909244023964003</v>
      </c>
      <c r="AI5080">
        <v>105.939564679781</v>
      </c>
      <c r="AJ5080">
        <v>83.647762783529799</v>
      </c>
      <c r="AK5080">
        <v>0.62689626064041803</v>
      </c>
      <c r="AL5080">
        <v>85.097463492948194</v>
      </c>
      <c r="AM5080">
        <v>91.979379272482703</v>
      </c>
      <c r="AN5080">
        <v>0.99999998059928097</v>
      </c>
    </row>
    <row r="5081" spans="1:40" x14ac:dyDescent="0.3">
      <c r="A5081" t="str">
        <f>"20200111150150061"</f>
        <v>20200111150150061</v>
      </c>
      <c r="B5081" t="str">
        <f>"1578726110053564"</f>
        <v>1578726110053564</v>
      </c>
      <c r="C5081" t="s">
        <v>40</v>
      </c>
      <c r="D5081">
        <v>5.0823359999999997</v>
      </c>
      <c r="E5081">
        <v>0.55806769999999895</v>
      </c>
      <c r="F5081" t="s">
        <v>41</v>
      </c>
      <c r="G5081">
        <v>-150.1344</v>
      </c>
      <c r="H5081">
        <v>0.93554380000000004</v>
      </c>
      <c r="I5081">
        <v>136.80609999999999</v>
      </c>
      <c r="J5081">
        <v>-150.73509999999999</v>
      </c>
      <c r="K5081">
        <v>1.10538</v>
      </c>
      <c r="L5081">
        <v>136.94229999999999</v>
      </c>
      <c r="M5081">
        <v>0.99422310000000003</v>
      </c>
      <c r="N5081">
        <v>0</v>
      </c>
      <c r="O5081">
        <v>-0.1063422</v>
      </c>
      <c r="P5081">
        <v>0.99463449999999998</v>
      </c>
      <c r="Q5081">
        <v>7.2837730000000003E-2</v>
      </c>
      <c r="R5081">
        <v>-7.3463570000000006E-2</v>
      </c>
      <c r="S5081">
        <v>3.024384</v>
      </c>
      <c r="T5081">
        <v>-0.76707209999999904</v>
      </c>
      <c r="U5081">
        <v>-0.65580749999999999</v>
      </c>
      <c r="V5081">
        <v>-3.2723410000000001E-2</v>
      </c>
      <c r="W5081">
        <v>8.7341279999999993E-2</v>
      </c>
      <c r="X5081">
        <v>0.99564079999999999</v>
      </c>
      <c r="Y5081">
        <v>0.106754</v>
      </c>
      <c r="Z5081">
        <v>1.297062E-2</v>
      </c>
      <c r="AA5081">
        <v>0.9942008</v>
      </c>
      <c r="AB5081">
        <v>4</v>
      </c>
      <c r="AC5081">
        <v>0.60069999999998902</v>
      </c>
      <c r="AD5081">
        <v>-0.16983619999999999</v>
      </c>
      <c r="AE5081">
        <v>-0.13620000000000199</v>
      </c>
      <c r="AF5081">
        <v>6.648618973829E-2</v>
      </c>
      <c r="AG5081">
        <v>-0.16983619999999999</v>
      </c>
      <c r="AH5081">
        <v>0.56855249280958897</v>
      </c>
      <c r="AI5081">
        <v>106.525364463419</v>
      </c>
      <c r="AJ5081">
        <v>83.330158572171101</v>
      </c>
      <c r="AK5081">
        <v>0.59709018191254304</v>
      </c>
      <c r="AL5081">
        <v>84.9893286122538</v>
      </c>
      <c r="AM5081">
        <v>91.882444568322896</v>
      </c>
      <c r="AN5081">
        <v>0.99999996168935201</v>
      </c>
    </row>
    <row r="5082" spans="1:40" x14ac:dyDescent="0.3">
      <c r="A5082" t="str">
        <f>"20200111150150161"</f>
        <v>20200111150150161</v>
      </c>
      <c r="B5082" t="str">
        <f>"1578726110154091"</f>
        <v>1578726110154091</v>
      </c>
      <c r="C5082" t="s">
        <v>40</v>
      </c>
      <c r="D5082">
        <v>4.6731160000000003</v>
      </c>
      <c r="E5082">
        <v>0.55736289999999999</v>
      </c>
      <c r="F5082" t="s">
        <v>41</v>
      </c>
      <c r="G5082">
        <v>-150.05340000000001</v>
      </c>
      <c r="H5082">
        <v>0.93287830000000005</v>
      </c>
      <c r="I5082">
        <v>136.79249999999999</v>
      </c>
      <c r="J5082">
        <v>-150.62809999999999</v>
      </c>
      <c r="K5082">
        <v>1.1061890000000001</v>
      </c>
      <c r="L5082">
        <v>136.92959999999999</v>
      </c>
      <c r="M5082">
        <v>0.99405580000000004</v>
      </c>
      <c r="N5082">
        <v>0</v>
      </c>
      <c r="O5082">
        <v>-0.1073906</v>
      </c>
      <c r="P5082">
        <v>0.99382939999999997</v>
      </c>
      <c r="Q5082">
        <v>8.0355609999999994E-2</v>
      </c>
      <c r="R5082">
        <v>-7.6460620000000007E-2</v>
      </c>
      <c r="S5082">
        <v>3.0231479999999999</v>
      </c>
      <c r="T5082">
        <v>-0.76489569999999996</v>
      </c>
      <c r="U5082">
        <v>-0.66387940000000001</v>
      </c>
      <c r="V5082">
        <v>-3.0738100000000001E-2</v>
      </c>
      <c r="W5082">
        <v>9.8168630000000007E-2</v>
      </c>
      <c r="X5082">
        <v>0.99469490000000005</v>
      </c>
      <c r="Y5082">
        <v>0.1083028</v>
      </c>
      <c r="Z5082">
        <v>1.30019E-2</v>
      </c>
      <c r="AA5082">
        <v>0.9940329</v>
      </c>
      <c r="AB5082">
        <v>2</v>
      </c>
      <c r="AC5082">
        <v>0.57469999999997801</v>
      </c>
      <c r="AD5082">
        <v>-0.17331069999999901</v>
      </c>
      <c r="AE5082">
        <v>-0.137100000000003</v>
      </c>
      <c r="AF5082">
        <v>6.8670779715733807E-2</v>
      </c>
      <c r="AG5082">
        <v>-0.17331069999999901</v>
      </c>
      <c r="AH5082">
        <v>0.53966503905506802</v>
      </c>
      <c r="AI5082">
        <v>107.670637874806</v>
      </c>
      <c r="AJ5082">
        <v>82.748253609487904</v>
      </c>
      <c r="AK5082">
        <v>0.57095589067769903</v>
      </c>
      <c r="AL5082">
        <v>84.366277808031896</v>
      </c>
      <c r="AM5082">
        <v>91.769993112262895</v>
      </c>
      <c r="AN5082">
        <v>0.99999992739684496</v>
      </c>
    </row>
    <row r="5083" spans="1:40" x14ac:dyDescent="0.3">
      <c r="A5083" t="str">
        <f>"20200111150150183"</f>
        <v>20200111150150183</v>
      </c>
      <c r="B5083" t="str">
        <f>"1578726110173612"</f>
        <v>1578726110173612</v>
      </c>
      <c r="C5083" t="s">
        <v>40</v>
      </c>
      <c r="D5083">
        <v>5.9421330000000001</v>
      </c>
      <c r="E5083">
        <v>0.4761551</v>
      </c>
      <c r="F5083" t="s">
        <v>41</v>
      </c>
      <c r="G5083">
        <v>-149.94479999999999</v>
      </c>
      <c r="H5083">
        <v>0.93947009999999997</v>
      </c>
      <c r="I5083">
        <v>136.77680000000001</v>
      </c>
      <c r="J5083">
        <v>-150.6036</v>
      </c>
      <c r="K5083">
        <v>1.105807</v>
      </c>
      <c r="L5083">
        <v>136.92660000000001</v>
      </c>
      <c r="M5083">
        <v>0.99402650000000004</v>
      </c>
      <c r="N5083">
        <v>0</v>
      </c>
      <c r="O5083">
        <v>-0.10782079999999999</v>
      </c>
      <c r="P5083">
        <v>0.99366500000000002</v>
      </c>
      <c r="Q5083">
        <v>8.4701150000000003E-2</v>
      </c>
      <c r="R5083">
        <v>-7.3862720000000007E-2</v>
      </c>
      <c r="S5083">
        <v>3.0263059999999999</v>
      </c>
      <c r="T5083">
        <v>-0.73825439999999998</v>
      </c>
      <c r="U5083">
        <v>-0.67623900000000003</v>
      </c>
      <c r="V5083">
        <v>-3.3710379999999998E-2</v>
      </c>
      <c r="W5083">
        <v>0.1015335</v>
      </c>
      <c r="X5083">
        <v>0.99426079999999994</v>
      </c>
      <c r="Y5083">
        <v>0.1114536</v>
      </c>
      <c r="Z5083">
        <v>1.2269179999999999E-2</v>
      </c>
      <c r="AA5083">
        <v>0.99369390000000002</v>
      </c>
      <c r="AB5083">
        <v>3</v>
      </c>
      <c r="AC5083">
        <v>0.65880000000001304</v>
      </c>
      <c r="AD5083">
        <v>-0.16633690000000001</v>
      </c>
      <c r="AE5083">
        <v>-0.14979999999999899</v>
      </c>
      <c r="AF5083">
        <v>7.3432864595353198E-2</v>
      </c>
      <c r="AG5083">
        <v>-0.16633690000000001</v>
      </c>
      <c r="AH5083">
        <v>0.63275785534312201</v>
      </c>
      <c r="AI5083">
        <v>104.63449746886999</v>
      </c>
      <c r="AJ5083">
        <v>83.380317832946105</v>
      </c>
      <c r="AK5083">
        <v>0.65836376981325295</v>
      </c>
      <c r="AL5083">
        <v>84.172516872448298</v>
      </c>
      <c r="AM5083">
        <v>91.941867674603301</v>
      </c>
      <c r="AN5083">
        <v>0.99999998987931704</v>
      </c>
    </row>
    <row r="5084" spans="1:40" x14ac:dyDescent="0.3">
      <c r="A5084" t="str">
        <f>"20200111150150205"</f>
        <v>20200111150150205</v>
      </c>
      <c r="B5084" t="str">
        <f>"1578726110194108"</f>
        <v>1578726110194108</v>
      </c>
      <c r="C5084" t="s">
        <v>40</v>
      </c>
      <c r="D5084">
        <v>8.0903619999999901</v>
      </c>
      <c r="E5084">
        <v>0.46288390000000001</v>
      </c>
      <c r="F5084" t="s">
        <v>41</v>
      </c>
      <c r="G5084">
        <v>-149.9091</v>
      </c>
      <c r="H5084">
        <v>0.92311350000000003</v>
      </c>
      <c r="I5084">
        <v>136.92089999999999</v>
      </c>
      <c r="J5084">
        <v>-150.5796</v>
      </c>
      <c r="K5084">
        <v>1.105702</v>
      </c>
      <c r="L5084">
        <v>136.92359999999999</v>
      </c>
      <c r="M5084">
        <v>0.99398880000000001</v>
      </c>
      <c r="N5084">
        <v>0</v>
      </c>
      <c r="O5084">
        <v>-0.10822130000000001</v>
      </c>
      <c r="P5084">
        <v>0.99378149999999998</v>
      </c>
      <c r="Q5084">
        <v>8.5593890000000006E-2</v>
      </c>
      <c r="R5084">
        <v>-7.121943E-2</v>
      </c>
      <c r="S5084">
        <v>3.0864720000000001</v>
      </c>
      <c r="T5084">
        <v>-0.81176099999999995</v>
      </c>
      <c r="U5084">
        <v>-2.496338E-2</v>
      </c>
      <c r="V5084">
        <v>-3.6739510000000003E-2</v>
      </c>
      <c r="W5084">
        <v>0.10209029999999999</v>
      </c>
      <c r="X5084">
        <v>0.99409650000000005</v>
      </c>
      <c r="Y5084">
        <v>-9.3349890000000005E-2</v>
      </c>
      <c r="Z5084">
        <v>4.0015820000000001E-2</v>
      </c>
      <c r="AA5084">
        <v>0.99482890000000002</v>
      </c>
      <c r="AB5084">
        <v>3</v>
      </c>
      <c r="AC5084">
        <v>0.67050000000000398</v>
      </c>
      <c r="AD5084">
        <v>-0.18258849999999999</v>
      </c>
      <c r="AE5084">
        <v>-2.7000000000043599E-3</v>
      </c>
      <c r="AF5084">
        <v>-6.5063405009095895E-2</v>
      </c>
      <c r="AG5084">
        <v>-0.18258849999999999</v>
      </c>
      <c r="AH5084">
        <v>0.62081636385864702</v>
      </c>
      <c r="AI5084">
        <v>106.304636149808</v>
      </c>
      <c r="AJ5084">
        <v>95.982927407936302</v>
      </c>
      <c r="AK5084">
        <v>0.65037278897437001</v>
      </c>
      <c r="AL5084">
        <v>84.140448212791497</v>
      </c>
      <c r="AM5084">
        <v>92.116556344799804</v>
      </c>
      <c r="AN5084">
        <v>1.00000003613068</v>
      </c>
    </row>
    <row r="5085" spans="1:40" x14ac:dyDescent="0.3">
      <c r="A5085" t="str">
        <f>"20200111150150228"</f>
        <v>20200111150150228</v>
      </c>
      <c r="B5085" t="str">
        <f>"1578726110224364"</f>
        <v>1578726110224364</v>
      </c>
      <c r="C5085" t="s">
        <v>40</v>
      </c>
      <c r="D5085">
        <v>4.8777939999999997</v>
      </c>
      <c r="E5085">
        <v>0.48475810000000003</v>
      </c>
      <c r="F5085" t="s">
        <v>42</v>
      </c>
      <c r="G5085">
        <v>-130.97630000000001</v>
      </c>
      <c r="H5085" s="1">
        <v>-4.235449E-6</v>
      </c>
      <c r="I5085">
        <v>137.46270000000001</v>
      </c>
      <c r="J5085">
        <v>-150.5564</v>
      </c>
      <c r="K5085">
        <v>1.1056839999999999</v>
      </c>
      <c r="L5085">
        <v>136.92060000000001</v>
      </c>
      <c r="M5085">
        <v>0.99394859999999896</v>
      </c>
      <c r="N5085">
        <v>0</v>
      </c>
      <c r="O5085">
        <v>-0.10861270000000001</v>
      </c>
      <c r="P5085">
        <v>0.99375970000000002</v>
      </c>
      <c r="Q5085">
        <v>8.7668949999999995E-2</v>
      </c>
      <c r="R5085">
        <v>-6.8964259999999999E-2</v>
      </c>
      <c r="S5085">
        <v>3.03952</v>
      </c>
      <c r="T5085">
        <v>-0.17144089999999901</v>
      </c>
      <c r="U5085">
        <v>8.3602910000000002E-2</v>
      </c>
      <c r="V5085">
        <v>-3.936804E-2</v>
      </c>
      <c r="W5085">
        <v>0.1040061</v>
      </c>
      <c r="X5085">
        <v>0.99379720000000005</v>
      </c>
      <c r="Y5085">
        <v>-0.13553090000000001</v>
      </c>
      <c r="Z5085">
        <v>9.9326650000000002E-3</v>
      </c>
      <c r="AA5085">
        <v>0.99072329999999997</v>
      </c>
      <c r="AB5085">
        <v>2</v>
      </c>
      <c r="AC5085">
        <v>19.580099999999899</v>
      </c>
      <c r="AD5085">
        <v>-1.1056882354490001</v>
      </c>
      <c r="AE5085">
        <v>0.54210000000000402</v>
      </c>
      <c r="AF5085">
        <v>-2.6573588000682999</v>
      </c>
      <c r="AG5085">
        <v>-1.1056882354490001</v>
      </c>
      <c r="AH5085">
        <v>19.3437115585117</v>
      </c>
      <c r="AI5085">
        <v>93.241097467870702</v>
      </c>
      <c r="AJ5085">
        <v>97.822095061257698</v>
      </c>
      <c r="AK5085">
        <v>19.556668405564601</v>
      </c>
      <c r="AL5085">
        <v>84.030093198299696</v>
      </c>
      <c r="AM5085">
        <v>92.268514915372904</v>
      </c>
      <c r="AN5085">
        <v>0.99999999306924503</v>
      </c>
    </row>
    <row r="5086" spans="1:40" x14ac:dyDescent="0.3">
      <c r="A5086" t="str">
        <f>"20200111150150250"</f>
        <v>20200111150150250</v>
      </c>
      <c r="B5086" t="str">
        <f>"1578726110243886"</f>
        <v>1578726110243886</v>
      </c>
      <c r="C5086" t="s">
        <v>40</v>
      </c>
      <c r="D5086">
        <v>5.0127660000000001</v>
      </c>
      <c r="E5086">
        <v>0.49378270000000002</v>
      </c>
      <c r="F5086" t="s">
        <v>42</v>
      </c>
      <c r="G5086">
        <v>-127.2486</v>
      </c>
      <c r="H5086" s="1">
        <v>-1.8120909999999999E-6</v>
      </c>
      <c r="I5086">
        <v>136.2724</v>
      </c>
      <c r="J5086">
        <v>-150.53290000000001</v>
      </c>
      <c r="K5086">
        <v>1.105607</v>
      </c>
      <c r="L5086">
        <v>136.91749999999999</v>
      </c>
      <c r="M5086">
        <v>0.99390880000000004</v>
      </c>
      <c r="N5086">
        <v>0</v>
      </c>
      <c r="O5086">
        <v>-0.109041</v>
      </c>
      <c r="P5086">
        <v>0.99378010000000006</v>
      </c>
      <c r="Q5086">
        <v>8.875015E-2</v>
      </c>
      <c r="R5086">
        <v>-6.7269380000000004E-2</v>
      </c>
      <c r="S5086">
        <v>3.025665</v>
      </c>
      <c r="T5086">
        <v>-0.14353279999999999</v>
      </c>
      <c r="U5086">
        <v>-8.4136959999999997E-2</v>
      </c>
      <c r="V5086">
        <v>-4.1487599999999999E-2</v>
      </c>
      <c r="W5086">
        <v>0.10465670000000001</v>
      </c>
      <c r="X5086">
        <v>0.99364269999999999</v>
      </c>
      <c r="Y5086">
        <v>-8.1168320000000002E-2</v>
      </c>
      <c r="Z5086">
        <v>7.0835899999999999E-3</v>
      </c>
      <c r="AA5086">
        <v>0.99667530000000004</v>
      </c>
      <c r="AB5086">
        <v>2</v>
      </c>
      <c r="AC5086">
        <v>23.284300000000002</v>
      </c>
      <c r="AD5086">
        <v>-1.1056088120909999</v>
      </c>
      <c r="AE5086">
        <v>-0.64509999999998502</v>
      </c>
      <c r="AF5086">
        <v>-1.8937487003542901</v>
      </c>
      <c r="AG5086">
        <v>-1.1056088120909999</v>
      </c>
      <c r="AH5086">
        <v>23.163591940532999</v>
      </c>
      <c r="AI5086">
        <v>92.723606455932796</v>
      </c>
      <c r="AJ5086">
        <v>94.673844567885197</v>
      </c>
      <c r="AK5086">
        <v>23.267158111230401</v>
      </c>
      <c r="AL5086">
        <v>83.9926122388284</v>
      </c>
      <c r="AM5086">
        <v>92.390884067624199</v>
      </c>
      <c r="AN5086">
        <v>1.00000003053596</v>
      </c>
    </row>
    <row r="5087" spans="1:40" x14ac:dyDescent="0.3">
      <c r="A5087" t="str">
        <f>"20200111150150273"</f>
        <v>20200111150150273</v>
      </c>
      <c r="B5087" t="str">
        <f>"1578726110264380"</f>
        <v>1578726110264380</v>
      </c>
      <c r="C5087" t="s">
        <v>40</v>
      </c>
      <c r="D5087">
        <v>4.7314210000000001</v>
      </c>
      <c r="E5087">
        <v>0.49826510000000002</v>
      </c>
      <c r="F5087" t="s">
        <v>42</v>
      </c>
      <c r="G5087">
        <v>-104.68300000000001</v>
      </c>
      <c r="H5087" s="1">
        <v>-3.3824489999999999E-6</v>
      </c>
      <c r="I5087">
        <v>134.60679999999999</v>
      </c>
      <c r="J5087">
        <v>-150.50880000000001</v>
      </c>
      <c r="K5087">
        <v>1.1055079999999999</v>
      </c>
      <c r="L5087">
        <v>136.9144</v>
      </c>
      <c r="M5087">
        <v>0.99387060000000005</v>
      </c>
      <c r="N5087">
        <v>0</v>
      </c>
      <c r="O5087">
        <v>-0.1094758</v>
      </c>
      <c r="P5087">
        <v>0.99388969999999999</v>
      </c>
      <c r="Q5087">
        <v>8.7946559999999993E-2</v>
      </c>
      <c r="R5087">
        <v>-6.6701259999999998E-2</v>
      </c>
      <c r="S5087">
        <v>3.0149840000000001</v>
      </c>
      <c r="T5087">
        <v>-7.2702409999999995E-2</v>
      </c>
      <c r="U5087">
        <v>-0.151947</v>
      </c>
      <c r="V5087">
        <v>-4.250545E-2</v>
      </c>
      <c r="W5087">
        <v>0.1032472</v>
      </c>
      <c r="X5087">
        <v>0.99374709999999999</v>
      </c>
      <c r="Y5087">
        <v>-5.9270389999999999E-2</v>
      </c>
      <c r="Z5087">
        <v>3.3463859999999998E-3</v>
      </c>
      <c r="AA5087">
        <v>0.99823640000000002</v>
      </c>
      <c r="AB5087">
        <v>2</v>
      </c>
      <c r="AC5087">
        <v>45.825800000000001</v>
      </c>
      <c r="AD5087">
        <v>-1.1055113824489999</v>
      </c>
      <c r="AE5087">
        <v>-2.3075999999999999</v>
      </c>
      <c r="AF5087">
        <v>-2.7221019178263202</v>
      </c>
      <c r="AG5087">
        <v>-1.1055113824489999</v>
      </c>
      <c r="AH5087">
        <v>45.776379722229898</v>
      </c>
      <c r="AI5087">
        <v>91.381000361757501</v>
      </c>
      <c r="AJ5087">
        <v>93.403097947972199</v>
      </c>
      <c r="AK5087">
        <v>45.870567194460797</v>
      </c>
      <c r="AL5087">
        <v>84.073810358500296</v>
      </c>
      <c r="AM5087">
        <v>92.449214014787998</v>
      </c>
      <c r="AN5087">
        <v>0.99999999817297602</v>
      </c>
    </row>
    <row r="5088" spans="1:40" x14ac:dyDescent="0.3">
      <c r="A5088" t="str">
        <f>"20200111150150294"</f>
        <v>20200111150150294</v>
      </c>
      <c r="B5088" t="str">
        <f>"1578726110283900"</f>
        <v>1578726110283900</v>
      </c>
      <c r="C5088" t="s">
        <v>40</v>
      </c>
      <c r="D5088">
        <v>6.3658159999999997</v>
      </c>
      <c r="E5088">
        <v>0.52157759999999997</v>
      </c>
      <c r="F5088" t="s">
        <v>42</v>
      </c>
      <c r="G5088">
        <v>-130.06299999999999</v>
      </c>
      <c r="H5088" s="1">
        <v>-4.94879399999999E-6</v>
      </c>
      <c r="I5088">
        <v>135.65010000000001</v>
      </c>
      <c r="J5088">
        <v>-150.48519999999999</v>
      </c>
      <c r="K5088">
        <v>1.105467</v>
      </c>
      <c r="L5088">
        <v>136.91139999999999</v>
      </c>
      <c r="M5088">
        <v>0.99383480000000002</v>
      </c>
      <c r="N5088">
        <v>0</v>
      </c>
      <c r="O5088">
        <v>-0.1098686</v>
      </c>
      <c r="P5088">
        <v>0.99403189999999997</v>
      </c>
      <c r="Q5088">
        <v>8.5640270000000004E-2</v>
      </c>
      <c r="R5088">
        <v>-6.7576419999999998E-2</v>
      </c>
      <c r="S5088">
        <v>3.0203549999999999</v>
      </c>
      <c r="T5088">
        <v>-0.1633116</v>
      </c>
      <c r="U5088">
        <v>-0.18676760000000001</v>
      </c>
      <c r="V5088">
        <v>-4.2050360000000002E-2</v>
      </c>
      <c r="W5088">
        <v>0.1004423</v>
      </c>
      <c r="X5088">
        <v>0.99405390000000005</v>
      </c>
      <c r="Y5088">
        <v>-4.8097609999999999E-2</v>
      </c>
      <c r="Z5088">
        <v>7.2154100000000002E-3</v>
      </c>
      <c r="AA5088">
        <v>0.9988165</v>
      </c>
      <c r="AB5088">
        <v>2</v>
      </c>
      <c r="AC5088">
        <v>20.4222</v>
      </c>
      <c r="AD5088">
        <v>-1.1054719487939999</v>
      </c>
      <c r="AE5088">
        <v>-1.2612999999999699</v>
      </c>
      <c r="AF5088">
        <v>-0.98746184779108004</v>
      </c>
      <c r="AG5088">
        <v>-1.1054719487939999</v>
      </c>
      <c r="AH5088">
        <v>20.377648868115301</v>
      </c>
      <c r="AI5088">
        <v>93.101576363054704</v>
      </c>
      <c r="AJ5088">
        <v>92.774273627576804</v>
      </c>
      <c r="AK5088">
        <v>20.4314885048205</v>
      </c>
      <c r="AL5088">
        <v>84.235359490441496</v>
      </c>
      <c r="AM5088">
        <v>92.422275677261297</v>
      </c>
      <c r="AN5088">
        <v>1.00000002225531</v>
      </c>
    </row>
    <row r="5089" spans="1:40" x14ac:dyDescent="0.3">
      <c r="A5089" t="str">
        <f>"20200111150150406"</f>
        <v>20200111150150406</v>
      </c>
      <c r="B5089" t="str">
        <f>"1578726110403948"</f>
        <v>1578726110403948</v>
      </c>
      <c r="C5089" t="s">
        <v>40</v>
      </c>
      <c r="D5089">
        <v>4.9464769999999998</v>
      </c>
      <c r="E5089">
        <v>0.51168659999999999</v>
      </c>
      <c r="F5089" t="s">
        <v>46</v>
      </c>
      <c r="G5089">
        <v>0</v>
      </c>
      <c r="H5089">
        <v>0</v>
      </c>
      <c r="I5089">
        <v>0</v>
      </c>
      <c r="J5089">
        <v>-150.3672</v>
      </c>
      <c r="K5089">
        <v>1.105518</v>
      </c>
      <c r="L5089">
        <v>136.8963</v>
      </c>
      <c r="M5089">
        <v>0.99365650000000005</v>
      </c>
      <c r="N5089">
        <v>0</v>
      </c>
      <c r="O5089">
        <v>-0.11165899999999999</v>
      </c>
      <c r="P5089">
        <v>0.99339940000000004</v>
      </c>
      <c r="Q5089">
        <v>9.3574000000000004E-2</v>
      </c>
      <c r="R5089">
        <v>-6.6345470000000004E-2</v>
      </c>
      <c r="S5089">
        <v>2.9555359999999999</v>
      </c>
      <c r="T5089">
        <v>0.43023990000000001</v>
      </c>
      <c r="U5089">
        <v>-0.37390139999999999</v>
      </c>
      <c r="V5089">
        <v>-4.4995550000000002E-2</v>
      </c>
      <c r="W5089">
        <v>0.1068862</v>
      </c>
      <c r="X5089">
        <v>0.99325260000000004</v>
      </c>
      <c r="Y5089">
        <v>1.493392E-2</v>
      </c>
      <c r="Z5089">
        <v>-1.497681E-2</v>
      </c>
      <c r="AA5089">
        <v>0.99977629999999995</v>
      </c>
      <c r="AB5089">
        <v>2</v>
      </c>
      <c r="AC5089">
        <v>2.9555359999999999</v>
      </c>
      <c r="AD5089">
        <v>0.43023990000000001</v>
      </c>
      <c r="AE5089">
        <v>-0.37390139999999999</v>
      </c>
      <c r="AF5089">
        <v>4.0672764549001997E-2</v>
      </c>
      <c r="AG5089">
        <v>0.43023990000000001</v>
      </c>
      <c r="AH5089">
        <v>2.9179439182059599</v>
      </c>
      <c r="AI5089">
        <v>81.613189974900294</v>
      </c>
      <c r="AJ5089">
        <v>89.201414794593205</v>
      </c>
      <c r="AK5089">
        <v>2.9497724242936401</v>
      </c>
      <c r="AL5089">
        <v>83.864150436101696</v>
      </c>
      <c r="AM5089">
        <v>92.593795091532499</v>
      </c>
      <c r="AN5089">
        <v>0.99999999333850098</v>
      </c>
    </row>
    <row r="5090" spans="1:40" x14ac:dyDescent="0.3">
      <c r="A5090" t="str">
        <f>"20200111150150429"</f>
        <v>20200111150150429</v>
      </c>
      <c r="B5090" t="str">
        <f>"1578726110423471"</f>
        <v>1578726110423471</v>
      </c>
      <c r="C5090" t="s">
        <v>40</v>
      </c>
      <c r="D5090">
        <v>4.8958190000000004</v>
      </c>
      <c r="E5090">
        <v>0.51194689999999998</v>
      </c>
      <c r="F5090" t="s">
        <v>41</v>
      </c>
      <c r="G5090">
        <v>-149.6412</v>
      </c>
      <c r="H5090">
        <v>1.021598</v>
      </c>
      <c r="I5090">
        <v>136.82419999999999</v>
      </c>
      <c r="J5090">
        <v>-150.34350000000001</v>
      </c>
      <c r="K5090">
        <v>1.105548</v>
      </c>
      <c r="L5090">
        <v>136.89330000000001</v>
      </c>
      <c r="M5090">
        <v>0.99361840000000001</v>
      </c>
      <c r="N5090">
        <v>0</v>
      </c>
      <c r="O5090">
        <v>-0.11201999999999999</v>
      </c>
      <c r="P5090">
        <v>0.99324020000000002</v>
      </c>
      <c r="Q5090">
        <v>9.7425419999999999E-2</v>
      </c>
      <c r="R5090">
        <v>-6.3105270000000005E-2</v>
      </c>
      <c r="S5090">
        <v>3.0328369999999998</v>
      </c>
      <c r="T5090">
        <v>-0.35057820000000001</v>
      </c>
      <c r="U5090">
        <v>-0.30113220000000002</v>
      </c>
      <c r="V5090">
        <v>-4.8558219999999999E-2</v>
      </c>
      <c r="W5090">
        <v>0.1105342</v>
      </c>
      <c r="X5090">
        <v>0.99268540000000005</v>
      </c>
      <c r="Y5090">
        <v>-1.2482419999999999E-2</v>
      </c>
      <c r="Z5090">
        <v>1.355483E-2</v>
      </c>
      <c r="AA5090">
        <v>0.9998302</v>
      </c>
      <c r="AB5090">
        <v>2</v>
      </c>
      <c r="AC5090">
        <v>0.70230000000000803</v>
      </c>
      <c r="AD5090">
        <v>-8.39499999999999E-2</v>
      </c>
      <c r="AE5090">
        <v>-6.9100000000020104E-2</v>
      </c>
      <c r="AF5090">
        <v>-9.8737542566356799E-3</v>
      </c>
      <c r="AG5090">
        <v>-8.39499999999999E-2</v>
      </c>
      <c r="AH5090">
        <v>0.69577371706992897</v>
      </c>
      <c r="AI5090">
        <v>96.879195954478206</v>
      </c>
      <c r="AJ5090">
        <v>90.813032256459806</v>
      </c>
      <c r="AK5090">
        <v>0.700889548280202</v>
      </c>
      <c r="AL5090">
        <v>83.653889278375104</v>
      </c>
      <c r="AM5090">
        <v>92.800449367584307</v>
      </c>
      <c r="AN5090">
        <v>1.0000000067361801</v>
      </c>
    </row>
    <row r="5091" spans="1:40" x14ac:dyDescent="0.3">
      <c r="A5091" t="str">
        <f>"20200111150150450"</f>
        <v>20200111150150450</v>
      </c>
      <c r="B5091" t="str">
        <f>"1578726110443967"</f>
        <v>1578726110443967</v>
      </c>
      <c r="C5091" t="s">
        <v>40</v>
      </c>
      <c r="D5091">
        <v>4.9079689999999996</v>
      </c>
      <c r="E5091">
        <v>0.5118241</v>
      </c>
      <c r="F5091" t="s">
        <v>41</v>
      </c>
      <c r="G5091">
        <v>-149.6183</v>
      </c>
      <c r="H5091">
        <v>1.0250649999999999</v>
      </c>
      <c r="I5091">
        <v>136.82299999999901</v>
      </c>
      <c r="J5091">
        <v>-150.3201</v>
      </c>
      <c r="K5091">
        <v>1.1055790000000001</v>
      </c>
      <c r="L5091">
        <v>136.8903</v>
      </c>
      <c r="M5091">
        <v>0.99357899999999999</v>
      </c>
      <c r="N5091">
        <v>0</v>
      </c>
      <c r="O5091">
        <v>-0.11238910000000001</v>
      </c>
      <c r="P5091">
        <v>0.99309590000000003</v>
      </c>
      <c r="Q5091">
        <v>0.1008768</v>
      </c>
      <c r="R5091">
        <v>-5.987025E-2</v>
      </c>
      <c r="S5091">
        <v>3.0347900000000001</v>
      </c>
      <c r="T5091">
        <v>-0.3366883</v>
      </c>
      <c r="U5091">
        <v>-0.2935333</v>
      </c>
      <c r="V5091">
        <v>-5.2125589999999999E-2</v>
      </c>
      <c r="W5091">
        <v>0.11380270000000001</v>
      </c>
      <c r="X5091">
        <v>0.99213499999999999</v>
      </c>
      <c r="Y5091">
        <v>-1.544033E-2</v>
      </c>
      <c r="Z5091">
        <v>1.321844E-2</v>
      </c>
      <c r="AA5091">
        <v>0.99979340000000005</v>
      </c>
      <c r="AB5091">
        <v>2</v>
      </c>
      <c r="AC5091">
        <v>0.70179999999999099</v>
      </c>
      <c r="AD5091">
        <v>-8.0514000000000197E-2</v>
      </c>
      <c r="AE5091">
        <v>-6.7300000000017193E-2</v>
      </c>
      <c r="AF5091">
        <v>-1.1853232601164601E-2</v>
      </c>
      <c r="AG5091">
        <v>-8.0514000000000197E-2</v>
      </c>
      <c r="AH5091">
        <v>0.69584216251180997</v>
      </c>
      <c r="AI5091">
        <v>96.599239152370004</v>
      </c>
      <c r="AJ5091">
        <v>90.975903101314302</v>
      </c>
      <c r="AK5091">
        <v>0.70058498303076</v>
      </c>
      <c r="AL5091">
        <v>83.465428522812601</v>
      </c>
      <c r="AM5091">
        <v>93.007486762180903</v>
      </c>
      <c r="AN5091">
        <v>0.99999999494256897</v>
      </c>
    </row>
    <row r="5092" spans="1:40" x14ac:dyDescent="0.3">
      <c r="A5092" t="str">
        <f>"20200111150150630"</f>
        <v>20200111150150630</v>
      </c>
      <c r="B5092" t="str">
        <f>"1578726110623547"</f>
        <v>1578726110623547</v>
      </c>
      <c r="C5092" t="s">
        <v>40</v>
      </c>
      <c r="D5092">
        <v>7.6325419999999999</v>
      </c>
      <c r="E5092">
        <v>0.48685630000000002</v>
      </c>
      <c r="F5092" t="s">
        <v>41</v>
      </c>
      <c r="G5092">
        <v>-149.59289999999999</v>
      </c>
      <c r="H5092">
        <v>1.0310109999999999</v>
      </c>
      <c r="I5092">
        <v>136.82230000000001</v>
      </c>
      <c r="J5092">
        <v>-150.13310000000001</v>
      </c>
      <c r="K5092">
        <v>1.1054219999999999</v>
      </c>
      <c r="L5092">
        <v>136.8656</v>
      </c>
      <c r="M5092">
        <v>0.99325509999999995</v>
      </c>
      <c r="N5092">
        <v>0</v>
      </c>
      <c r="O5092">
        <v>-0.115303</v>
      </c>
      <c r="P5092">
        <v>0.99484870000000003</v>
      </c>
      <c r="Q5092">
        <v>8.9713940000000006E-2</v>
      </c>
      <c r="R5092">
        <v>-4.7196870000000002E-2</v>
      </c>
      <c r="S5092">
        <v>3.0353850000000002</v>
      </c>
      <c r="T5092">
        <v>-0.31126549999999997</v>
      </c>
      <c r="U5092">
        <v>-0.28361510000000001</v>
      </c>
      <c r="V5092">
        <v>-6.7829029999999998E-2</v>
      </c>
      <c r="W5092">
        <v>0.1018665</v>
      </c>
      <c r="X5092">
        <v>0.992483</v>
      </c>
      <c r="Y5092">
        <v>-2.169275E-2</v>
      </c>
      <c r="Z5092">
        <v>1.283983E-2</v>
      </c>
      <c r="AA5092">
        <v>0.99968219999999997</v>
      </c>
      <c r="AB5092">
        <v>2</v>
      </c>
      <c r="AC5092">
        <v>0.54020000000002699</v>
      </c>
      <c r="AD5092">
        <v>-7.44109999999997E-2</v>
      </c>
      <c r="AE5092">
        <v>-4.3299999999987897E-2</v>
      </c>
      <c r="AF5092">
        <v>-1.8923410500787899E-2</v>
      </c>
      <c r="AG5092">
        <v>-7.44109999999997E-2</v>
      </c>
      <c r="AH5092">
        <v>0.53156779358788997</v>
      </c>
      <c r="AI5092">
        <v>97.963732897167105</v>
      </c>
      <c r="AJ5092">
        <v>92.038825337026296</v>
      </c>
      <c r="AK5092">
        <v>0.53708417549382204</v>
      </c>
      <c r="AL5092">
        <v>84.153338191208107</v>
      </c>
      <c r="AM5092">
        <v>93.909672404985898</v>
      </c>
      <c r="AN5092">
        <v>1.00000003321099</v>
      </c>
    </row>
    <row r="5093" spans="1:40" x14ac:dyDescent="0.3">
      <c r="A5093" t="str">
        <f>"20200111150150651"</f>
        <v>20200111150150651</v>
      </c>
      <c r="B5093" t="str">
        <f>"1578726110644043"</f>
        <v>1578726110644043</v>
      </c>
      <c r="C5093" t="s">
        <v>40</v>
      </c>
      <c r="D5093">
        <v>5.5799180000000002</v>
      </c>
      <c r="E5093">
        <v>0.46872330000000001</v>
      </c>
      <c r="F5093" t="s">
        <v>41</v>
      </c>
      <c r="G5093">
        <v>-149.45079999999999</v>
      </c>
      <c r="H5093">
        <v>0.9183521</v>
      </c>
      <c r="I5093">
        <v>136.851</v>
      </c>
      <c r="J5093">
        <v>-150.11089999999999</v>
      </c>
      <c r="K5093">
        <v>1.1053919999999999</v>
      </c>
      <c r="L5093">
        <v>136.86259999999999</v>
      </c>
      <c r="M5093">
        <v>0.99321590000000004</v>
      </c>
      <c r="N5093">
        <v>0</v>
      </c>
      <c r="O5093">
        <v>-0.1156438</v>
      </c>
      <c r="P5093">
        <v>0.99501550000000005</v>
      </c>
      <c r="Q5093">
        <v>8.6937490000000006E-2</v>
      </c>
      <c r="R5093">
        <v>-4.8847380000000003E-2</v>
      </c>
      <c r="S5093">
        <v>3.0887910000000001</v>
      </c>
      <c r="T5093">
        <v>-0.84678560000000003</v>
      </c>
      <c r="U5093">
        <v>-6.5780640000000001E-2</v>
      </c>
      <c r="V5093">
        <v>-6.6548889999999999E-2</v>
      </c>
      <c r="W5093">
        <v>9.9052169999999995E-2</v>
      </c>
      <c r="X5093">
        <v>0.99285440000000003</v>
      </c>
      <c r="Y5093">
        <v>-8.7021669999999995E-2</v>
      </c>
      <c r="Z5093">
        <v>4.2776500000000002E-2</v>
      </c>
      <c r="AA5093">
        <v>0.99528760000000005</v>
      </c>
      <c r="AB5093">
        <v>2</v>
      </c>
      <c r="AC5093">
        <v>0.66009999999999902</v>
      </c>
      <c r="AD5093">
        <v>-0.18703989999999901</v>
      </c>
      <c r="AE5093">
        <v>-1.15999999999871E-2</v>
      </c>
      <c r="AF5093">
        <v>-6.0003898869514301E-2</v>
      </c>
      <c r="AG5093">
        <v>-0.18703989999999901</v>
      </c>
      <c r="AH5093">
        <v>0.60819650225704303</v>
      </c>
      <c r="AI5093">
        <v>107.01652960445</v>
      </c>
      <c r="AJ5093">
        <v>95.634495255929494</v>
      </c>
      <c r="AK5093">
        <v>0.63913017252297999</v>
      </c>
      <c r="AL5093">
        <v>84.315407012203096</v>
      </c>
      <c r="AM5093">
        <v>93.834676719610698</v>
      </c>
      <c r="AN5093">
        <v>0.99999997337065005</v>
      </c>
    </row>
    <row r="5094" spans="1:40" x14ac:dyDescent="0.3">
      <c r="A5094" t="str">
        <f>"20200111150150674"</f>
        <v>20200111150150674</v>
      </c>
      <c r="B5094" t="str">
        <f>"1578726110663563"</f>
        <v>1578726110663563</v>
      </c>
      <c r="C5094" t="s">
        <v>40</v>
      </c>
      <c r="D5094">
        <v>5.324605</v>
      </c>
      <c r="E5094">
        <v>0.47791129999999998</v>
      </c>
      <c r="F5094" t="s">
        <v>42</v>
      </c>
      <c r="G5094">
        <v>-142.58189999999999</v>
      </c>
      <c r="H5094" s="1">
        <v>-3.6160190000000001E-6</v>
      </c>
      <c r="I5094">
        <v>137.07149999999999</v>
      </c>
      <c r="J5094">
        <v>-150.08770000000001</v>
      </c>
      <c r="K5094">
        <v>1.105375</v>
      </c>
      <c r="L5094">
        <v>136.8595</v>
      </c>
      <c r="M5094">
        <v>0.99317469999999997</v>
      </c>
      <c r="N5094">
        <v>0</v>
      </c>
      <c r="O5094">
        <v>-0.11600240000000001</v>
      </c>
      <c r="P5094">
        <v>0.99503810000000004</v>
      </c>
      <c r="Q5094">
        <v>8.5613729999999999E-2</v>
      </c>
      <c r="R5094">
        <v>-5.069688E-2</v>
      </c>
      <c r="S5094">
        <v>3.0584410000000002</v>
      </c>
      <c r="T5094">
        <v>-0.44903369999999998</v>
      </c>
      <c r="U5094">
        <v>8.4899899999999903E-2</v>
      </c>
      <c r="V5094">
        <v>-6.5073880000000001E-2</v>
      </c>
      <c r="W5094">
        <v>9.7694080000000003E-2</v>
      </c>
      <c r="X5094">
        <v>0.99308680000000005</v>
      </c>
      <c r="Y5094">
        <v>-0.14077870000000001</v>
      </c>
      <c r="Z5094">
        <v>2.7193769999999999E-2</v>
      </c>
      <c r="AA5094">
        <v>0.98966750000000003</v>
      </c>
      <c r="AB5094">
        <v>2</v>
      </c>
      <c r="AC5094">
        <v>7.5058000000000202</v>
      </c>
      <c r="AD5094">
        <v>-1.105378616019</v>
      </c>
      <c r="AE5094">
        <v>0.211999999999989</v>
      </c>
      <c r="AF5094">
        <v>-1.05838712008043</v>
      </c>
      <c r="AG5094">
        <v>-1.105378616019</v>
      </c>
      <c r="AH5094">
        <v>7.2729136714462799</v>
      </c>
      <c r="AI5094">
        <v>98.5532597220664</v>
      </c>
      <c r="AJ5094">
        <v>98.279817803198597</v>
      </c>
      <c r="AK5094">
        <v>7.4321812715389601</v>
      </c>
      <c r="AL5094">
        <v>84.393599639289306</v>
      </c>
      <c r="AM5094">
        <v>93.749053962397198</v>
      </c>
      <c r="AN5094">
        <v>1.00000006772976</v>
      </c>
    </row>
    <row r="5095" spans="1:40" x14ac:dyDescent="0.3">
      <c r="A5095" t="str">
        <f>"20200111150151146"</f>
        <v>20200111150151146</v>
      </c>
      <c r="B5095" t="str">
        <f>"1578726111144263"</f>
        <v>1578726111144263</v>
      </c>
      <c r="C5095" t="s">
        <v>40</v>
      </c>
      <c r="D5095">
        <v>4.9752619999999999</v>
      </c>
      <c r="E5095">
        <v>0.47955789999999998</v>
      </c>
      <c r="F5095" t="s">
        <v>42</v>
      </c>
      <c r="G5095">
        <v>-140.86760000000001</v>
      </c>
      <c r="H5095" s="1">
        <v>-4.3844919999999999E-6</v>
      </c>
      <c r="I5095">
        <v>136.8852</v>
      </c>
      <c r="J5095">
        <v>-149.61369999999999</v>
      </c>
      <c r="K5095">
        <v>1.1050679999999999</v>
      </c>
      <c r="L5095">
        <v>136.79310000000001</v>
      </c>
      <c r="M5095">
        <v>0.99229279999999997</v>
      </c>
      <c r="N5095">
        <v>0</v>
      </c>
      <c r="O5095">
        <v>-0.12333760000000001</v>
      </c>
      <c r="P5095">
        <v>0.99364620000000003</v>
      </c>
      <c r="Q5095">
        <v>8.2234760000000004E-2</v>
      </c>
      <c r="R5095">
        <v>-7.6842740000000007E-2</v>
      </c>
      <c r="S5095">
        <v>3.0468289999999998</v>
      </c>
      <c r="T5095">
        <v>-0.3652784</v>
      </c>
      <c r="U5095">
        <v>8.5296629999999998E-3</v>
      </c>
      <c r="V5095">
        <v>-4.6299630000000001E-2</v>
      </c>
      <c r="W5095">
        <v>9.4134289999999995E-2</v>
      </c>
      <c r="X5095">
        <v>0.99448230000000004</v>
      </c>
      <c r="Y5095">
        <v>-0.12435350000000001</v>
      </c>
      <c r="Z5095">
        <v>2.2134910000000001E-2</v>
      </c>
      <c r="AA5095">
        <v>0.99199099999999996</v>
      </c>
      <c r="AB5095">
        <v>2</v>
      </c>
      <c r="AC5095">
        <v>8.7460999999999807</v>
      </c>
      <c r="AD5095">
        <v>-1.1050723844919901</v>
      </c>
      <c r="AE5095">
        <v>9.2099999999987803E-2</v>
      </c>
      <c r="AF5095">
        <v>-1.15181079763926</v>
      </c>
      <c r="AG5095">
        <v>-1.1050723844919901</v>
      </c>
      <c r="AH5095">
        <v>8.5317623756037797</v>
      </c>
      <c r="AI5095">
        <v>97.314493274808399</v>
      </c>
      <c r="AJ5095">
        <v>97.688598652019095</v>
      </c>
      <c r="AK5095">
        <v>8.6797939101279002</v>
      </c>
      <c r="AL5095">
        <v>84.598504915146606</v>
      </c>
      <c r="AM5095">
        <v>92.665567043232699</v>
      </c>
      <c r="AN5095">
        <v>0.99999998265261503</v>
      </c>
    </row>
    <row r="5096" spans="1:40" x14ac:dyDescent="0.3">
      <c r="A5096" t="str">
        <f>"20200111150151691"</f>
        <v>20200111150151691</v>
      </c>
      <c r="B5096" t="str">
        <f>"1578726111684287"</f>
        <v>1578726111684287</v>
      </c>
      <c r="C5096" t="s">
        <v>40</v>
      </c>
      <c r="D5096">
        <v>4.8013830000000004</v>
      </c>
      <c r="E5096">
        <v>0.54512320000000003</v>
      </c>
      <c r="F5096" t="s">
        <v>42</v>
      </c>
      <c r="G5096">
        <v>-139.14340000000001</v>
      </c>
      <c r="H5096" s="1">
        <v>-1.088545E-6</v>
      </c>
      <c r="I5096">
        <v>136.56829999999999</v>
      </c>
      <c r="J5096">
        <v>-149.09610000000001</v>
      </c>
      <c r="K5096">
        <v>1.1052900000000001</v>
      </c>
      <c r="L5096">
        <v>136.71850000000001</v>
      </c>
      <c r="M5096">
        <v>0.99140079999999997</v>
      </c>
      <c r="N5096">
        <v>0</v>
      </c>
      <c r="O5096">
        <v>-0.1303135</v>
      </c>
      <c r="P5096">
        <v>0.99366739999999998</v>
      </c>
      <c r="Q5096">
        <v>9.4076919999999994E-2</v>
      </c>
      <c r="R5096">
        <v>-6.1440740000000001E-2</v>
      </c>
      <c r="S5096">
        <v>3.0406949999999999</v>
      </c>
      <c r="T5096">
        <v>-0.3209245</v>
      </c>
      <c r="U5096">
        <v>-6.5261840000000002E-2</v>
      </c>
      <c r="V5096">
        <v>-6.859896E-2</v>
      </c>
      <c r="W5096">
        <v>0.1059417</v>
      </c>
      <c r="X5096">
        <v>0.99200330000000003</v>
      </c>
      <c r="Y5096">
        <v>-0.1077005</v>
      </c>
      <c r="Z5096">
        <v>1.9347920000000001E-2</v>
      </c>
      <c r="AA5096">
        <v>0.99399510000000002</v>
      </c>
      <c r="AB5096">
        <v>2</v>
      </c>
      <c r="AC5096">
        <v>9.9526999999999894</v>
      </c>
      <c r="AD5096">
        <v>-1.10529108854499</v>
      </c>
      <c r="AE5096">
        <v>-0.15020000000001199</v>
      </c>
      <c r="AF5096">
        <v>-1.13416027467382</v>
      </c>
      <c r="AG5096">
        <v>-1.10529108854499</v>
      </c>
      <c r="AH5096">
        <v>9.7669647210397397</v>
      </c>
      <c r="AI5096">
        <v>96.413746949398202</v>
      </c>
      <c r="AJ5096">
        <v>96.623639692101406</v>
      </c>
      <c r="AK5096">
        <v>9.8945231204490103</v>
      </c>
      <c r="AL5096">
        <v>83.918575397553695</v>
      </c>
      <c r="AM5096">
        <v>93.9558171887859</v>
      </c>
      <c r="AN5096">
        <v>1.0000000041614301</v>
      </c>
    </row>
    <row r="5097" spans="1:40" x14ac:dyDescent="0.3">
      <c r="A5097" t="str">
        <f>"20200111150152094"</f>
        <v>20200111150152094</v>
      </c>
      <c r="B5097" t="str">
        <f>"1578726112084444"</f>
        <v>1578726112084444</v>
      </c>
      <c r="C5097" t="s">
        <v>40</v>
      </c>
      <c r="D5097">
        <v>4.7317839999999904</v>
      </c>
      <c r="E5097">
        <v>0.53748289999999999</v>
      </c>
      <c r="F5097" t="s">
        <v>41</v>
      </c>
      <c r="G5097">
        <v>-148.40620000000001</v>
      </c>
      <c r="H5097">
        <v>0.97633979999999998</v>
      </c>
      <c r="I5097">
        <v>136.5932</v>
      </c>
      <c r="J5097">
        <v>-148.7363</v>
      </c>
      <c r="K5097">
        <v>1.105353</v>
      </c>
      <c r="L5097">
        <v>136.67750000000001</v>
      </c>
      <c r="M5097">
        <v>0.99199320000000002</v>
      </c>
      <c r="N5097">
        <v>0</v>
      </c>
      <c r="O5097">
        <v>-0.12572259999999999</v>
      </c>
      <c r="P5097">
        <v>0.99216490000000002</v>
      </c>
      <c r="Q5097">
        <v>0.10359589999999901</v>
      </c>
      <c r="R5097">
        <v>-6.9833370000000006E-2</v>
      </c>
      <c r="S5097">
        <v>3.0387879999999998</v>
      </c>
      <c r="T5097">
        <v>-0.56802249999999999</v>
      </c>
      <c r="U5097">
        <v>-0.55172730000000003</v>
      </c>
      <c r="V5097">
        <v>-5.5484730000000003E-2</v>
      </c>
      <c r="W5097">
        <v>0.11548</v>
      </c>
      <c r="X5097">
        <v>0.9917589</v>
      </c>
      <c r="Y5097">
        <v>5.4690540000000003E-2</v>
      </c>
      <c r="Z5097">
        <v>1.7977799999999999E-2</v>
      </c>
      <c r="AA5097">
        <v>0.99834149999999999</v>
      </c>
      <c r="AB5097">
        <v>2</v>
      </c>
      <c r="AC5097">
        <v>0.33009999999998701</v>
      </c>
      <c r="AD5097">
        <v>-0.129013199999999</v>
      </c>
      <c r="AE5097">
        <v>-8.4300000000013101E-2</v>
      </c>
      <c r="AF5097">
        <v>3.6843746224701997E-2</v>
      </c>
      <c r="AG5097">
        <v>-0.129013199999999</v>
      </c>
      <c r="AH5097">
        <v>0.29568007111089001</v>
      </c>
      <c r="AI5097">
        <v>113.411576908298</v>
      </c>
      <c r="AJ5097">
        <v>82.897167069094195</v>
      </c>
      <c r="AK5097">
        <v>0.32469766223711999</v>
      </c>
      <c r="AL5097">
        <v>83.368688192488804</v>
      </c>
      <c r="AM5097">
        <v>93.202119330818903</v>
      </c>
      <c r="AN5097">
        <v>0.99999995069618997</v>
      </c>
    </row>
    <row r="5098" spans="1:40" x14ac:dyDescent="0.3">
      <c r="A5098" t="str">
        <f>"20200111150153154"</f>
        <v>20200111150153154</v>
      </c>
      <c r="B5098" t="str">
        <f>"1578726113143914"</f>
        <v>1578726113143914</v>
      </c>
      <c r="C5098" t="s">
        <v>40</v>
      </c>
      <c r="D5098">
        <v>6.4028159999999996</v>
      </c>
      <c r="E5098">
        <v>0.45264280000000001</v>
      </c>
      <c r="F5098" t="s">
        <v>41</v>
      </c>
      <c r="G5098">
        <v>-147.1919</v>
      </c>
      <c r="H5098">
        <v>0.99950470000000002</v>
      </c>
      <c r="I5098">
        <v>136.5548</v>
      </c>
      <c r="J5098">
        <v>-147.881</v>
      </c>
      <c r="K5098">
        <v>1.1054170000000001</v>
      </c>
      <c r="L5098">
        <v>136.63499999999999</v>
      </c>
      <c r="M5098">
        <v>0.99641579999999996</v>
      </c>
      <c r="N5098">
        <v>0</v>
      </c>
      <c r="O5098">
        <v>-8.3735270000000001E-2</v>
      </c>
      <c r="P5098">
        <v>0.99308479999999999</v>
      </c>
      <c r="Q5098">
        <v>0.11738229999999999</v>
      </c>
      <c r="R5098">
        <v>-2.034218E-3</v>
      </c>
      <c r="S5098">
        <v>3.075653</v>
      </c>
      <c r="T5098">
        <v>-0.46318890000000001</v>
      </c>
      <c r="U5098">
        <v>-0.35119630000000002</v>
      </c>
      <c r="V5098">
        <v>-8.1142430000000001E-2</v>
      </c>
      <c r="W5098">
        <v>0.12925490000000001</v>
      </c>
      <c r="X5098">
        <v>0.988286</v>
      </c>
      <c r="Y5098">
        <v>3.0439859999999999E-2</v>
      </c>
      <c r="Z5098">
        <v>1.0202849999999999E-2</v>
      </c>
      <c r="AA5098">
        <v>0.9994845</v>
      </c>
      <c r="AB5098">
        <v>2</v>
      </c>
      <c r="AC5098">
        <v>0.68909999999999605</v>
      </c>
      <c r="AD5098">
        <v>-0.1059123</v>
      </c>
      <c r="AE5098">
        <v>-8.0199999999990695E-2</v>
      </c>
      <c r="AF5098">
        <v>2.1706264932203199E-2</v>
      </c>
      <c r="AG5098">
        <v>-0.1059123</v>
      </c>
      <c r="AH5098">
        <v>0.67760276357632199</v>
      </c>
      <c r="AI5098">
        <v>98.879220274409207</v>
      </c>
      <c r="AJ5098">
        <v>88.165219669253105</v>
      </c>
      <c r="AK5098">
        <v>0.68617350752915696</v>
      </c>
      <c r="AL5098">
        <v>82.573462555640305</v>
      </c>
      <c r="AM5098">
        <v>94.693696061172403</v>
      </c>
      <c r="AN5098">
        <v>1.00000007045815</v>
      </c>
    </row>
    <row r="5099" spans="1:40" x14ac:dyDescent="0.3">
      <c r="A5099" t="str">
        <f>"20200111150153177"</f>
        <v>20200111150153177</v>
      </c>
      <c r="B5099" t="str">
        <f>"1578726113174168"</f>
        <v>1578726113174168</v>
      </c>
      <c r="C5099" t="s">
        <v>40</v>
      </c>
      <c r="D5099">
        <v>5.5392549999999998</v>
      </c>
      <c r="E5099">
        <v>0.45905800000000002</v>
      </c>
      <c r="F5099" t="s">
        <v>42</v>
      </c>
      <c r="G5099">
        <v>-136.21100000000001</v>
      </c>
      <c r="H5099" s="1">
        <v>-1.907279E-6</v>
      </c>
      <c r="I5099">
        <v>137.92769999999999</v>
      </c>
      <c r="J5099">
        <v>-147.86449999999999</v>
      </c>
      <c r="K5099">
        <v>1.1054280000000001</v>
      </c>
      <c r="L5099">
        <v>136.63480000000001</v>
      </c>
      <c r="M5099">
        <v>0.99650030000000001</v>
      </c>
      <c r="N5099">
        <v>0</v>
      </c>
      <c r="O5099">
        <v>-8.2723350000000001E-2</v>
      </c>
      <c r="P5099">
        <v>0.99309939999999997</v>
      </c>
      <c r="Q5099">
        <v>0.1172478</v>
      </c>
      <c r="R5099">
        <v>-2.6103430000000002E-3</v>
      </c>
      <c r="S5099">
        <v>3.0558010000000002</v>
      </c>
      <c r="T5099">
        <v>-0.28945539999999997</v>
      </c>
      <c r="U5099">
        <v>0.338501</v>
      </c>
      <c r="V5099">
        <v>-7.9564090000000004E-2</v>
      </c>
      <c r="W5099">
        <v>0.1291225</v>
      </c>
      <c r="X5099">
        <v>0.98843159999999997</v>
      </c>
      <c r="Y5099">
        <v>-0.1907373</v>
      </c>
      <c r="Z5099">
        <v>1.6783559999999999E-2</v>
      </c>
      <c r="AA5099">
        <v>0.98149759999999997</v>
      </c>
      <c r="AB5099">
        <v>2</v>
      </c>
      <c r="AC5099">
        <v>11.6534999999999</v>
      </c>
      <c r="AD5099">
        <v>-1.1054299072789999</v>
      </c>
      <c r="AE5099">
        <v>1.29289999999997</v>
      </c>
      <c r="AF5099">
        <v>-2.23270818691566</v>
      </c>
      <c r="AG5099">
        <v>-1.1054299072789999</v>
      </c>
      <c r="AH5099">
        <v>11.405214575190699</v>
      </c>
      <c r="AI5099">
        <v>95.433498535860295</v>
      </c>
      <c r="AJ5099">
        <v>101.076265790189</v>
      </c>
      <c r="AK5099">
        <v>11.6741543862487</v>
      </c>
      <c r="AL5099">
        <v>82.581112442321199</v>
      </c>
      <c r="AM5099">
        <v>94.6021178083802</v>
      </c>
      <c r="AN5099">
        <v>1.00000004615116</v>
      </c>
    </row>
    <row r="5100" spans="1:40" x14ac:dyDescent="0.3">
      <c r="A5100" t="str">
        <f>"20200111150153199"</f>
        <v>20200111150153199</v>
      </c>
      <c r="B5100" t="str">
        <f>"1578726113193689"</f>
        <v>1578726113193689</v>
      </c>
      <c r="C5100" t="s">
        <v>40</v>
      </c>
      <c r="D5100">
        <v>4.2517550000000002</v>
      </c>
      <c r="E5100">
        <v>0.46523209999999998</v>
      </c>
      <c r="F5100" t="s">
        <v>42</v>
      </c>
      <c r="G5100">
        <v>-133.5582</v>
      </c>
      <c r="H5100" s="1">
        <v>-3.03386E-6</v>
      </c>
      <c r="I5100">
        <v>137.9924</v>
      </c>
      <c r="J5100">
        <v>-147.8477</v>
      </c>
      <c r="K5100">
        <v>1.1054349999999999</v>
      </c>
      <c r="L5100">
        <v>136.63470000000001</v>
      </c>
      <c r="M5100">
        <v>0.99658610000000003</v>
      </c>
      <c r="N5100">
        <v>0</v>
      </c>
      <c r="O5100">
        <v>-8.1683519999999996E-2</v>
      </c>
      <c r="P5100">
        <v>0.99298889999999995</v>
      </c>
      <c r="Q5100">
        <v>0.11817320000000001</v>
      </c>
      <c r="R5100">
        <v>-2.8991260000000001E-3</v>
      </c>
      <c r="S5100">
        <v>3.049423</v>
      </c>
      <c r="T5100">
        <v>-0.23562379999999999</v>
      </c>
      <c r="U5100">
        <v>0.2893829</v>
      </c>
      <c r="V5100">
        <v>-7.823476E-2</v>
      </c>
      <c r="W5100">
        <v>0.13004779999999999</v>
      </c>
      <c r="X5100">
        <v>0.98841639999999997</v>
      </c>
      <c r="Y5100">
        <v>-0.17472289999999999</v>
      </c>
      <c r="Z5100">
        <v>1.301455E-2</v>
      </c>
      <c r="AA5100">
        <v>0.98453159999999895</v>
      </c>
      <c r="AB5100">
        <v>2</v>
      </c>
      <c r="AC5100">
        <v>14.2895</v>
      </c>
      <c r="AD5100">
        <v>-1.1054380338599901</v>
      </c>
      <c r="AE5100">
        <v>1.3576999999999899</v>
      </c>
      <c r="AF5100">
        <v>-2.50560216607039</v>
      </c>
      <c r="AG5100">
        <v>-1.1054380338599901</v>
      </c>
      <c r="AH5100">
        <v>14.0475159108559</v>
      </c>
      <c r="AI5100">
        <v>94.4298611805593</v>
      </c>
      <c r="AJ5100">
        <v>100.113276420407</v>
      </c>
      <c r="AK5100">
        <v>14.311978854339801</v>
      </c>
      <c r="AL5100">
        <v>82.527645826437293</v>
      </c>
      <c r="AM5100">
        <v>94.525618577731393</v>
      </c>
      <c r="AN5100">
        <v>1.0000000438730201</v>
      </c>
    </row>
    <row r="5101" spans="1:40" x14ac:dyDescent="0.3">
      <c r="A5101" t="str">
        <f>"20200111150153221"</f>
        <v>20200111150153221</v>
      </c>
      <c r="B5101" t="str">
        <f>"1578726113214185"</f>
        <v>1578726113214185</v>
      </c>
      <c r="C5101" t="s">
        <v>40</v>
      </c>
      <c r="D5101">
        <v>5.1162479999999997</v>
      </c>
      <c r="E5101">
        <v>0.46905289999999999</v>
      </c>
      <c r="F5101" t="s">
        <v>42</v>
      </c>
      <c r="G5101">
        <v>-131.74379999999999</v>
      </c>
      <c r="H5101" s="1">
        <v>-3.8284569999999997E-6</v>
      </c>
      <c r="I5101">
        <v>137.90090000000001</v>
      </c>
      <c r="J5101">
        <v>-147.8312</v>
      </c>
      <c r="K5101">
        <v>1.1054389999999901</v>
      </c>
      <c r="L5101">
        <v>136.6345</v>
      </c>
      <c r="M5101">
        <v>0.99666880000000002</v>
      </c>
      <c r="N5101">
        <v>0</v>
      </c>
      <c r="O5101">
        <v>-8.0667180000000005E-2</v>
      </c>
      <c r="P5101">
        <v>0.99297999999999997</v>
      </c>
      <c r="Q5101">
        <v>0.1182496</v>
      </c>
      <c r="R5101">
        <v>-2.8309210000000001E-3</v>
      </c>
      <c r="S5101">
        <v>3.046783</v>
      </c>
      <c r="T5101">
        <v>-0.20914389999999999</v>
      </c>
      <c r="U5101">
        <v>0.23957819999999999</v>
      </c>
      <c r="V5101">
        <v>-7.7292260000000002E-2</v>
      </c>
      <c r="W5101">
        <v>0.13012489999999999</v>
      </c>
      <c r="X5101">
        <v>0.98848040000000004</v>
      </c>
      <c r="Y5101">
        <v>-0.15800169999999999</v>
      </c>
      <c r="Z5101">
        <v>1.0930850000000001E-2</v>
      </c>
      <c r="AA5101">
        <v>0.98737839999999999</v>
      </c>
      <c r="AB5101">
        <v>2</v>
      </c>
      <c r="AC5101">
        <v>16.087399999999999</v>
      </c>
      <c r="AD5101">
        <v>-1.1054428284569999</v>
      </c>
      <c r="AE5101">
        <v>1.2664</v>
      </c>
      <c r="AF5101">
        <v>-2.54813354107627</v>
      </c>
      <c r="AG5101">
        <v>-1.1054428284569999</v>
      </c>
      <c r="AH5101">
        <v>15.85838301249</v>
      </c>
      <c r="AI5101">
        <v>93.937136673588896</v>
      </c>
      <c r="AJ5101">
        <v>99.128291650823002</v>
      </c>
      <c r="AK5101">
        <v>16.099791929120599</v>
      </c>
      <c r="AL5101">
        <v>82.523190450153606</v>
      </c>
      <c r="AM5101">
        <v>94.471032214322193</v>
      </c>
      <c r="AN5101">
        <v>1.0000000421200299</v>
      </c>
    </row>
    <row r="5102" spans="1:40" x14ac:dyDescent="0.3">
      <c r="A5102" t="str">
        <f>"20200111150153243"</f>
        <v>20200111150153243</v>
      </c>
      <c r="B5102" t="str">
        <f>"1578726113233705"</f>
        <v>1578726113233705</v>
      </c>
      <c r="C5102" t="s">
        <v>40</v>
      </c>
      <c r="D5102">
        <v>4.7066229999999996</v>
      </c>
      <c r="E5102">
        <v>0.4715358</v>
      </c>
      <c r="F5102" t="s">
        <v>42</v>
      </c>
      <c r="G5102">
        <v>-127.4472</v>
      </c>
      <c r="H5102" s="1">
        <v>-1.354896E-6</v>
      </c>
      <c r="I5102">
        <v>138.0522</v>
      </c>
      <c r="J5102">
        <v>-147.81479999999999</v>
      </c>
      <c r="K5102">
        <v>1.105448</v>
      </c>
      <c r="L5102">
        <v>136.6344</v>
      </c>
      <c r="M5102">
        <v>0.99675000000000002</v>
      </c>
      <c r="N5102">
        <v>0</v>
      </c>
      <c r="O5102">
        <v>-7.9657629999999993E-2</v>
      </c>
      <c r="P5102">
        <v>0.99299789999999999</v>
      </c>
      <c r="Q5102">
        <v>0.1181093</v>
      </c>
      <c r="R5102">
        <v>-2.2689910000000002E-3</v>
      </c>
      <c r="S5102">
        <v>3.0414729999999999</v>
      </c>
      <c r="T5102">
        <v>-0.16494139999999999</v>
      </c>
      <c r="U5102">
        <v>0.21153259999999999</v>
      </c>
      <c r="V5102">
        <v>-7.6851069999999994E-2</v>
      </c>
      <c r="W5102">
        <v>0.12998489999999999</v>
      </c>
      <c r="X5102">
        <v>0.9885332</v>
      </c>
      <c r="Y5102">
        <v>-0.14829899999999999</v>
      </c>
      <c r="Z5102">
        <v>8.3247849999999995E-3</v>
      </c>
      <c r="AA5102">
        <v>0.98890750000000005</v>
      </c>
      <c r="AB5102">
        <v>2</v>
      </c>
      <c r="AC5102">
        <v>20.367599999999999</v>
      </c>
      <c r="AD5102">
        <v>-1.105449354896</v>
      </c>
      <c r="AE5102">
        <v>1.41779999999999</v>
      </c>
      <c r="AF5102">
        <v>-3.0269718878916798</v>
      </c>
      <c r="AG5102">
        <v>-1.105449354896</v>
      </c>
      <c r="AH5102">
        <v>20.130906503149699</v>
      </c>
      <c r="AI5102">
        <v>93.108256961779503</v>
      </c>
      <c r="AJ5102">
        <v>98.551184253472698</v>
      </c>
      <c r="AK5102">
        <v>20.3872012234363</v>
      </c>
      <c r="AL5102">
        <v>82.531280436489098</v>
      </c>
      <c r="AM5102">
        <v>94.445377326533503</v>
      </c>
      <c r="AN5102">
        <v>1.0000000243451901</v>
      </c>
    </row>
    <row r="5103" spans="1:40" x14ac:dyDescent="0.3">
      <c r="A5103" t="str">
        <f>"20200111150153265"</f>
        <v>20200111150153265</v>
      </c>
      <c r="B5103" t="str">
        <f>"1578726113254201"</f>
        <v>1578726113254201</v>
      </c>
      <c r="C5103" t="s">
        <v>40</v>
      </c>
      <c r="D5103">
        <v>4.5943339999999999</v>
      </c>
      <c r="E5103">
        <v>0.47351779999999999</v>
      </c>
      <c r="F5103" t="s">
        <v>42</v>
      </c>
      <c r="G5103">
        <v>-126.9812</v>
      </c>
      <c r="H5103" s="1">
        <v>-1.570538E-6</v>
      </c>
      <c r="I5103">
        <v>137.96340000000001</v>
      </c>
      <c r="J5103">
        <v>-147.79849999999999</v>
      </c>
      <c r="K5103">
        <v>1.1054600000000001</v>
      </c>
      <c r="L5103">
        <v>136.6343</v>
      </c>
      <c r="M5103">
        <v>0.99683029999999995</v>
      </c>
      <c r="N5103">
        <v>0</v>
      </c>
      <c r="O5103">
        <v>-7.8645690000000004E-2</v>
      </c>
      <c r="P5103">
        <v>0.99299409999999999</v>
      </c>
      <c r="Q5103">
        <v>0.1181643</v>
      </c>
      <c r="R5103">
        <v>-2.9588560000000001E-4</v>
      </c>
      <c r="S5103">
        <v>3.0407869999999999</v>
      </c>
      <c r="T5103">
        <v>-0.16134660000000001</v>
      </c>
      <c r="U5103">
        <v>0.19398499999999999</v>
      </c>
      <c r="V5103">
        <v>-7.7812549999999994E-2</v>
      </c>
      <c r="W5103">
        <v>0.13003879999999901</v>
      </c>
      <c r="X5103">
        <v>0.98845090000000002</v>
      </c>
      <c r="Y5103">
        <v>-0.14165059999999999</v>
      </c>
      <c r="Z5103">
        <v>7.9171269999999995E-3</v>
      </c>
      <c r="AA5103">
        <v>0.98988500000000001</v>
      </c>
      <c r="AB5103">
        <v>2</v>
      </c>
      <c r="AC5103">
        <v>20.8172999999999</v>
      </c>
      <c r="AD5103">
        <v>-1.105461570538</v>
      </c>
      <c r="AE5103">
        <v>1.3291000000000099</v>
      </c>
      <c r="AF5103">
        <v>-2.9539954300350302</v>
      </c>
      <c r="AG5103">
        <v>-1.105461570538</v>
      </c>
      <c r="AH5103">
        <v>20.590448377590199</v>
      </c>
      <c r="AI5103">
        <v>93.042062723719198</v>
      </c>
      <c r="AJ5103">
        <v>98.164194424923906</v>
      </c>
      <c r="AK5103">
        <v>20.830619258073199</v>
      </c>
      <c r="AL5103">
        <v>82.528165816128904</v>
      </c>
      <c r="AM5103">
        <v>94.501139322898396</v>
      </c>
      <c r="AN5103">
        <v>1.00000003207687</v>
      </c>
    </row>
    <row r="5104" spans="1:40" x14ac:dyDescent="0.3">
      <c r="A5104" t="str">
        <f>"20200111150153288"</f>
        <v>20200111150153288</v>
      </c>
      <c r="B5104" t="str">
        <f>"1578726113284456"</f>
        <v>1578726113284456</v>
      </c>
      <c r="C5104" t="s">
        <v>40</v>
      </c>
      <c r="D5104">
        <v>4.6806380000000001</v>
      </c>
      <c r="E5104">
        <v>0.47606219999999999</v>
      </c>
      <c r="F5104" t="s">
        <v>42</v>
      </c>
      <c r="G5104">
        <v>-130.8759</v>
      </c>
      <c r="H5104" s="1">
        <v>-4.2456779999999997E-6</v>
      </c>
      <c r="I5104">
        <v>137.64779999999999</v>
      </c>
      <c r="J5104">
        <v>-147.78200000000001</v>
      </c>
      <c r="K5104">
        <v>1.1054710000000001</v>
      </c>
      <c r="L5104">
        <v>136.63419999999999</v>
      </c>
      <c r="M5104">
        <v>0.99691050000000003</v>
      </c>
      <c r="N5104">
        <v>0</v>
      </c>
      <c r="O5104">
        <v>-7.7624100000000001E-2</v>
      </c>
      <c r="P5104">
        <v>0.99298109999999995</v>
      </c>
      <c r="Q5104">
        <v>0.1182666</v>
      </c>
      <c r="R5104">
        <v>1.423819E-3</v>
      </c>
      <c r="S5104">
        <v>3.044861</v>
      </c>
      <c r="T5104">
        <v>-0.19890459999999999</v>
      </c>
      <c r="U5104">
        <v>0.18235779999999999</v>
      </c>
      <c r="V5104">
        <v>-7.851139E-2</v>
      </c>
      <c r="W5104">
        <v>0.130140899999999</v>
      </c>
      <c r="X5104">
        <v>0.98838219999999999</v>
      </c>
      <c r="Y5104">
        <v>-0.13663829999999999</v>
      </c>
      <c r="Z5104">
        <v>9.5145300000000002E-3</v>
      </c>
      <c r="AA5104">
        <v>0.99057530000000005</v>
      </c>
      <c r="AB5104">
        <v>2</v>
      </c>
      <c r="AC5104">
        <v>16.906099999999999</v>
      </c>
      <c r="AD5104">
        <v>-1.1054752456779999</v>
      </c>
      <c r="AE5104">
        <v>1.0135999999999901</v>
      </c>
      <c r="AF5104">
        <v>-2.3131016901898902</v>
      </c>
      <c r="AG5104">
        <v>-1.1054752456779999</v>
      </c>
      <c r="AH5104">
        <v>16.705225024712099</v>
      </c>
      <c r="AI5104">
        <v>93.750373732195399</v>
      </c>
      <c r="AJ5104">
        <v>97.883376680601401</v>
      </c>
      <c r="AK5104">
        <v>16.900800515781299</v>
      </c>
      <c r="AL5104">
        <v>82.522265784978202</v>
      </c>
      <c r="AM5104">
        <v>94.541710359519897</v>
      </c>
      <c r="AN5104">
        <v>1.0000000327446901</v>
      </c>
    </row>
    <row r="5105" spans="1:40" x14ac:dyDescent="0.3">
      <c r="A5105" t="str">
        <f>"20200111150153400"</f>
        <v>20200111150153400</v>
      </c>
      <c r="B5105" t="str">
        <f>"1578726113393768"</f>
        <v>1578726113393768</v>
      </c>
      <c r="C5105" t="s">
        <v>40</v>
      </c>
      <c r="D5105">
        <v>4.7593350000000001</v>
      </c>
      <c r="E5105">
        <v>0.47849799999999998</v>
      </c>
      <c r="F5105" t="s">
        <v>42</v>
      </c>
      <c r="G5105">
        <v>-128.36060000000001</v>
      </c>
      <c r="H5105" s="1">
        <v>-1.051912E-6</v>
      </c>
      <c r="I5105">
        <v>137.7072</v>
      </c>
      <c r="J5105">
        <v>-147.70050000000001</v>
      </c>
      <c r="K5105">
        <v>1.1056999999999999</v>
      </c>
      <c r="L5105">
        <v>136.63399999999999</v>
      </c>
      <c r="M5105">
        <v>0.99729100000000004</v>
      </c>
      <c r="N5105">
        <v>0</v>
      </c>
      <c r="O5105">
        <v>-7.2570700000000002E-2</v>
      </c>
      <c r="P5105">
        <v>0.99131380000000002</v>
      </c>
      <c r="Q5105">
        <v>0.131519</v>
      </c>
      <c r="R5105">
        <v>2.8933190000000002E-4</v>
      </c>
      <c r="S5105">
        <v>3.041595</v>
      </c>
      <c r="T5105">
        <v>-0.17312810000000001</v>
      </c>
      <c r="U5105">
        <v>0.168045</v>
      </c>
      <c r="V5105">
        <v>-7.2241169999999993E-2</v>
      </c>
      <c r="W5105">
        <v>0.14337810000000001</v>
      </c>
      <c r="X5105">
        <v>0.98702780000000001</v>
      </c>
      <c r="Y5105">
        <v>-0.12716230000000001</v>
      </c>
      <c r="Z5105">
        <v>7.73727099999999E-3</v>
      </c>
      <c r="AA5105">
        <v>0.9918517</v>
      </c>
      <c r="AB5105">
        <v>2</v>
      </c>
      <c r="AC5105">
        <v>19.3399</v>
      </c>
      <c r="AD5105">
        <v>-1.1057010519120001</v>
      </c>
      <c r="AE5105">
        <v>1.0732000000000099</v>
      </c>
      <c r="AF5105">
        <v>-2.4659455640387402</v>
      </c>
      <c r="AG5105">
        <v>-1.1057010519120001</v>
      </c>
      <c r="AH5105">
        <v>19.148612300666201</v>
      </c>
      <c r="AI5105">
        <v>93.277760759512603</v>
      </c>
      <c r="AJ5105">
        <v>97.338124816669506</v>
      </c>
      <c r="AK5105">
        <v>19.3383767514811</v>
      </c>
      <c r="AL5105">
        <v>81.756629953251405</v>
      </c>
      <c r="AM5105">
        <v>94.186049186939599</v>
      </c>
      <c r="AN5105">
        <v>0.99999997208770897</v>
      </c>
    </row>
    <row r="5106" spans="1:40" x14ac:dyDescent="0.3">
      <c r="A5106" t="str">
        <f>"20200111150153423"</f>
        <v>20200111150153423</v>
      </c>
      <c r="B5106" t="str">
        <f>"1578726113414269"</f>
        <v>1578726113414269</v>
      </c>
      <c r="C5106" t="s">
        <v>40</v>
      </c>
      <c r="D5106">
        <v>5.4830379999999996</v>
      </c>
      <c r="E5106">
        <v>0.54000740000000003</v>
      </c>
      <c r="F5106" t="s">
        <v>42</v>
      </c>
      <c r="G5106">
        <v>-118.0949</v>
      </c>
      <c r="H5106" s="1">
        <v>-1.0773299999999901E-6</v>
      </c>
      <c r="I5106">
        <v>138.0506</v>
      </c>
      <c r="J5106">
        <v>-147.68459999999999</v>
      </c>
      <c r="K5106">
        <v>1.105737</v>
      </c>
      <c r="L5106">
        <v>136.63399999999999</v>
      </c>
      <c r="M5106">
        <v>0.99736230000000003</v>
      </c>
      <c r="N5106">
        <v>0</v>
      </c>
      <c r="O5106">
        <v>-7.1584889999999998E-2</v>
      </c>
      <c r="P5106">
        <v>0.99095230000000001</v>
      </c>
      <c r="Q5106">
        <v>0.13419310000000001</v>
      </c>
      <c r="R5106">
        <v>2.4443920000000001E-3</v>
      </c>
      <c r="S5106">
        <v>3.0413209999999999</v>
      </c>
      <c r="T5106">
        <v>-0.11358600000000001</v>
      </c>
      <c r="U5106">
        <v>0.14552309999999999</v>
      </c>
      <c r="V5106">
        <v>-7.338691E-2</v>
      </c>
      <c r="W5106">
        <v>0.14604719999999999</v>
      </c>
      <c r="X5106">
        <v>0.98655190000000004</v>
      </c>
      <c r="Y5106">
        <v>-0.1190469</v>
      </c>
      <c r="Z5106">
        <v>4.8916999999999997E-3</v>
      </c>
      <c r="AA5106">
        <v>0.9928766</v>
      </c>
      <c r="AB5106">
        <v>2</v>
      </c>
      <c r="AC5106">
        <v>29.589700000000001</v>
      </c>
      <c r="AD5106">
        <v>-1.1057380773299901</v>
      </c>
      <c r="AE5106">
        <v>1.4166000000000101</v>
      </c>
      <c r="AF5106">
        <v>-3.5263800673239798</v>
      </c>
      <c r="AG5106">
        <v>-1.1057380773299901</v>
      </c>
      <c r="AH5106">
        <v>29.371440768252601</v>
      </c>
      <c r="AI5106">
        <v>92.1406207514258</v>
      </c>
      <c r="AJ5106">
        <v>96.846248655987495</v>
      </c>
      <c r="AK5106">
        <v>29.6030327141975</v>
      </c>
      <c r="AL5106">
        <v>81.602075396122103</v>
      </c>
      <c r="AM5106">
        <v>94.2542416962022</v>
      </c>
      <c r="AN5106">
        <v>1.0000000372903901</v>
      </c>
    </row>
    <row r="5107" spans="1:40" x14ac:dyDescent="0.3">
      <c r="A5107" t="str">
        <f>"20200111150153444"</f>
        <v>20200111150153444</v>
      </c>
      <c r="B5107" t="str">
        <f>"1578726113433785"</f>
        <v>1578726113433785</v>
      </c>
      <c r="C5107" t="s">
        <v>40</v>
      </c>
      <c r="D5107">
        <v>5.5176860000000003</v>
      </c>
      <c r="E5107">
        <v>0.59621539999999995</v>
      </c>
      <c r="F5107" t="s">
        <v>41</v>
      </c>
      <c r="G5107">
        <v>-146.95830000000001</v>
      </c>
      <c r="H5107">
        <v>1.0282070000000001</v>
      </c>
      <c r="I5107">
        <v>136.55090000000001</v>
      </c>
      <c r="J5107">
        <v>-147.6686</v>
      </c>
      <c r="K5107">
        <v>1.1057600000000001</v>
      </c>
      <c r="L5107">
        <v>136.63399999999999</v>
      </c>
      <c r="M5107">
        <v>0.9974326</v>
      </c>
      <c r="N5107">
        <v>0</v>
      </c>
      <c r="O5107">
        <v>-7.0598240000000007E-2</v>
      </c>
      <c r="P5107">
        <v>0.990672</v>
      </c>
      <c r="Q5107">
        <v>0.1361609</v>
      </c>
      <c r="R5107">
        <v>5.4220479999999996E-3</v>
      </c>
      <c r="S5107">
        <v>3.0727690000000001</v>
      </c>
      <c r="T5107">
        <v>-0.32859429999999901</v>
      </c>
      <c r="U5107">
        <v>-0.35122680000000001</v>
      </c>
      <c r="V5107">
        <v>-7.5359120000000002E-2</v>
      </c>
      <c r="W5107">
        <v>0.1480098</v>
      </c>
      <c r="X5107">
        <v>0.98611059999999995</v>
      </c>
      <c r="Y5107">
        <v>4.3286520000000002E-2</v>
      </c>
      <c r="Z5107">
        <v>5.1917760000000004E-3</v>
      </c>
      <c r="AA5107">
        <v>0.99904919999999997</v>
      </c>
      <c r="AB5107">
        <v>2</v>
      </c>
      <c r="AC5107">
        <v>0.71029999999998905</v>
      </c>
      <c r="AD5107">
        <v>-7.7553000000000205E-2</v>
      </c>
      <c r="AE5107">
        <v>-8.3099999999973306E-2</v>
      </c>
      <c r="AF5107">
        <v>3.2362493476111698E-2</v>
      </c>
      <c r="AG5107">
        <v>-7.7553000000000205E-2</v>
      </c>
      <c r="AH5107">
        <v>0.70609089072536002</v>
      </c>
      <c r="AI5107">
        <v>96.261397117572997</v>
      </c>
      <c r="AJ5107">
        <v>87.375780432328398</v>
      </c>
      <c r="AK5107">
        <v>0.71107393761712501</v>
      </c>
      <c r="AL5107">
        <v>81.488390930316697</v>
      </c>
      <c r="AM5107">
        <v>94.3700812770021</v>
      </c>
      <c r="AN5107">
        <v>1.0000000066477801</v>
      </c>
    </row>
    <row r="5108" spans="1:40" x14ac:dyDescent="0.3">
      <c r="A5108" t="str">
        <f>"20200111150153466"</f>
        <v>20200111150153466</v>
      </c>
      <c r="B5108" t="str">
        <f>"1578726113464041"</f>
        <v>1578726113464041</v>
      </c>
      <c r="C5108" t="s">
        <v>40</v>
      </c>
      <c r="D5108">
        <v>8.3586279999999995</v>
      </c>
      <c r="E5108">
        <v>0.59512540000000003</v>
      </c>
      <c r="F5108" t="s">
        <v>41</v>
      </c>
      <c r="G5108">
        <v>-146.97299999999899</v>
      </c>
      <c r="H5108">
        <v>0.98098640000000004</v>
      </c>
      <c r="I5108">
        <v>136.4539</v>
      </c>
      <c r="J5108">
        <v>-147.65260000000001</v>
      </c>
      <c r="K5108">
        <v>1.1057889999999999</v>
      </c>
      <c r="L5108">
        <v>136.63409999999999</v>
      </c>
      <c r="M5108">
        <v>0.99750229999999995</v>
      </c>
      <c r="N5108">
        <v>0</v>
      </c>
      <c r="O5108">
        <v>-6.9607429999999998E-2</v>
      </c>
      <c r="P5108">
        <v>0.99102349999999995</v>
      </c>
      <c r="Q5108">
        <v>0.13337669999999999</v>
      </c>
      <c r="R5108">
        <v>9.1087819999999993E-3</v>
      </c>
      <c r="S5108">
        <v>3.109375</v>
      </c>
      <c r="T5108">
        <v>-0.55818840000000003</v>
      </c>
      <c r="U5108">
        <v>-0.80529790000000001</v>
      </c>
      <c r="V5108">
        <v>-7.8079599999999999E-2</v>
      </c>
      <c r="W5108">
        <v>0.14522779999999999</v>
      </c>
      <c r="X5108">
        <v>0.98631259999999998</v>
      </c>
      <c r="Y5108">
        <v>0.18105679999999999</v>
      </c>
      <c r="Z5108">
        <v>-3.7001249999999999E-3</v>
      </c>
      <c r="AA5108">
        <v>0.9834657</v>
      </c>
      <c r="AB5108">
        <v>2</v>
      </c>
      <c r="AC5108">
        <v>0.67960000000002097</v>
      </c>
      <c r="AD5108">
        <v>-0.1248026</v>
      </c>
      <c r="AE5108">
        <v>-0.18019999999998501</v>
      </c>
      <c r="AF5108">
        <v>0.12840824989259</v>
      </c>
      <c r="AG5108">
        <v>-0.1248026</v>
      </c>
      <c r="AH5108">
        <v>0.66940342856966295</v>
      </c>
      <c r="AI5108">
        <v>100.375935467822</v>
      </c>
      <c r="AJ5108">
        <v>79.1411504332969</v>
      </c>
      <c r="AK5108">
        <v>0.69293962059335201</v>
      </c>
      <c r="AL5108">
        <v>81.649529546657206</v>
      </c>
      <c r="AM5108">
        <v>94.526274333723805</v>
      </c>
      <c r="AN5108">
        <v>1.0000000413738701</v>
      </c>
    </row>
    <row r="5109" spans="1:40" x14ac:dyDescent="0.3">
      <c r="A5109" t="str">
        <f>"20200111150153490"</f>
        <v>20200111150153490</v>
      </c>
      <c r="B5109" t="str">
        <f>"1578726113483562"</f>
        <v>1578726113483562</v>
      </c>
      <c r="C5109" t="s">
        <v>40</v>
      </c>
      <c r="D5109">
        <v>5.0498180000000001</v>
      </c>
      <c r="E5109">
        <v>0.58957289999999996</v>
      </c>
      <c r="F5109" t="s">
        <v>41</v>
      </c>
      <c r="G5109">
        <v>-146.9727</v>
      </c>
      <c r="H5109">
        <v>0.95148779999999999</v>
      </c>
      <c r="I5109">
        <v>136.46109999999999</v>
      </c>
      <c r="J5109">
        <v>-147.63640000000001</v>
      </c>
      <c r="K5109">
        <v>1.1058239999999999</v>
      </c>
      <c r="L5109">
        <v>136.63409999999999</v>
      </c>
      <c r="M5109">
        <v>0.99757130000000005</v>
      </c>
      <c r="N5109">
        <v>0</v>
      </c>
      <c r="O5109">
        <v>-6.8611130000000006E-2</v>
      </c>
      <c r="P5109">
        <v>0.99145320000000003</v>
      </c>
      <c r="Q5109">
        <v>0.12984989999999999</v>
      </c>
      <c r="R5109">
        <v>1.263134E-2</v>
      </c>
      <c r="S5109">
        <v>3.1302490000000001</v>
      </c>
      <c r="T5109">
        <v>-0.71145049999999999</v>
      </c>
      <c r="U5109">
        <v>-0.79617309999999997</v>
      </c>
      <c r="V5109">
        <v>-8.0636180000000002E-2</v>
      </c>
      <c r="W5109">
        <v>0.14170460000000001</v>
      </c>
      <c r="X5109">
        <v>0.98661929999999998</v>
      </c>
      <c r="Y5109">
        <v>0.1768351</v>
      </c>
      <c r="Z5109">
        <v>-4.4178189999999999E-3</v>
      </c>
      <c r="AA5109">
        <v>0.98423059999999996</v>
      </c>
      <c r="AB5109">
        <v>2</v>
      </c>
      <c r="AC5109">
        <v>0.66370000000000495</v>
      </c>
      <c r="AD5109">
        <v>-0.15433619999999901</v>
      </c>
      <c r="AE5109">
        <v>-0.17300000000000099</v>
      </c>
      <c r="AF5109">
        <v>0.120928655394462</v>
      </c>
      <c r="AG5109">
        <v>-0.15433619999999901</v>
      </c>
      <c r="AH5109">
        <v>0.64152333397940697</v>
      </c>
      <c r="AI5109">
        <v>103.301307798842</v>
      </c>
      <c r="AJ5109">
        <v>79.324874910058199</v>
      </c>
      <c r="AK5109">
        <v>0.670817106494763</v>
      </c>
      <c r="AL5109">
        <v>81.853504000413807</v>
      </c>
      <c r="AM5109">
        <v>94.672386548913195</v>
      </c>
      <c r="AN5109">
        <v>1.00000001515932</v>
      </c>
    </row>
    <row r="5110" spans="1:40" x14ac:dyDescent="0.3">
      <c r="A5110" t="str">
        <f>"20200111150153511"</f>
        <v>20200111150153511</v>
      </c>
      <c r="B5110" t="str">
        <f>"1578726113504057"</f>
        <v>1578726113504057</v>
      </c>
      <c r="C5110" t="s">
        <v>40</v>
      </c>
      <c r="D5110">
        <v>4.1980089999999999</v>
      </c>
      <c r="E5110">
        <v>0.58428310000000006</v>
      </c>
      <c r="F5110" t="s">
        <v>41</v>
      </c>
      <c r="G5110">
        <v>-146.95750000000001</v>
      </c>
      <c r="H5110">
        <v>0.9516966</v>
      </c>
      <c r="I5110">
        <v>136.47309999999999</v>
      </c>
      <c r="J5110">
        <v>-147.62090000000001</v>
      </c>
      <c r="K5110">
        <v>1.105844</v>
      </c>
      <c r="L5110">
        <v>136.63419999999999</v>
      </c>
      <c r="M5110">
        <v>0.99763650000000004</v>
      </c>
      <c r="N5110">
        <v>0</v>
      </c>
      <c r="O5110">
        <v>-6.7658099999999999E-2</v>
      </c>
      <c r="P5110">
        <v>0.99158849999999998</v>
      </c>
      <c r="Q5110">
        <v>0.12833219999999901</v>
      </c>
      <c r="R5110">
        <v>1.6831579999999999E-2</v>
      </c>
      <c r="S5110">
        <v>3.1283569999999998</v>
      </c>
      <c r="T5110">
        <v>-0.71054340000000005</v>
      </c>
      <c r="U5110">
        <v>-0.74177550000000003</v>
      </c>
      <c r="V5110">
        <v>-8.3891259999999995E-2</v>
      </c>
      <c r="W5110">
        <v>0.1401859</v>
      </c>
      <c r="X5110">
        <v>0.98656480000000002</v>
      </c>
      <c r="Y5110">
        <v>0.16207920000000001</v>
      </c>
      <c r="Z5110">
        <v>-2.9983219999999999E-3</v>
      </c>
      <c r="AA5110">
        <v>0.98677320000000002</v>
      </c>
      <c r="AB5110">
        <v>2</v>
      </c>
      <c r="AC5110">
        <v>0.66339999999999499</v>
      </c>
      <c r="AD5110">
        <v>-0.15414739999999999</v>
      </c>
      <c r="AE5110">
        <v>-0.16110000000000399</v>
      </c>
      <c r="AF5110">
        <v>0.110223506407449</v>
      </c>
      <c r="AG5110">
        <v>-0.15414739999999999</v>
      </c>
      <c r="AH5110">
        <v>0.64014284795757004</v>
      </c>
      <c r="AI5110">
        <v>103.34988009913199</v>
      </c>
      <c r="AJ5110">
        <v>80.230279558572605</v>
      </c>
      <c r="AK5110">
        <v>0.66760280712617004</v>
      </c>
      <c r="AL5110">
        <v>81.941396116891198</v>
      </c>
      <c r="AM5110">
        <v>94.8603802057183</v>
      </c>
      <c r="AN5110">
        <v>0.99999996733111796</v>
      </c>
    </row>
    <row r="5111" spans="1:40" x14ac:dyDescent="0.3">
      <c r="A5111" t="str">
        <f>"20200111150153533"</f>
        <v>20200111150153533</v>
      </c>
      <c r="B5111" t="str">
        <f>"1578726113523578"</f>
        <v>1578726113523578</v>
      </c>
      <c r="C5111" t="s">
        <v>40</v>
      </c>
      <c r="D5111">
        <v>4.7394410000000002</v>
      </c>
      <c r="E5111">
        <v>0.58027090000000003</v>
      </c>
      <c r="F5111" t="s">
        <v>41</v>
      </c>
      <c r="G5111">
        <v>-146.9391</v>
      </c>
      <c r="H5111">
        <v>0.95893709999999999</v>
      </c>
      <c r="I5111">
        <v>136.48500000000001</v>
      </c>
      <c r="J5111">
        <v>-147.60489999999999</v>
      </c>
      <c r="K5111">
        <v>1.1058570000000001</v>
      </c>
      <c r="L5111">
        <v>136.63419999999999</v>
      </c>
      <c r="M5111">
        <v>0.99770210000000004</v>
      </c>
      <c r="N5111">
        <v>0</v>
      </c>
      <c r="O5111">
        <v>-6.6681480000000001E-2</v>
      </c>
      <c r="P5111">
        <v>0.99158389999999996</v>
      </c>
      <c r="Q5111">
        <v>0.12751170000000001</v>
      </c>
      <c r="R5111">
        <v>2.2410610000000001E-2</v>
      </c>
      <c r="S5111">
        <v>3.1241910000000002</v>
      </c>
      <c r="T5111">
        <v>-0.67343649999999999</v>
      </c>
      <c r="U5111">
        <v>-0.68380739999999995</v>
      </c>
      <c r="V5111">
        <v>-8.8489789999999999E-2</v>
      </c>
      <c r="W5111">
        <v>0.1393615</v>
      </c>
      <c r="X5111">
        <v>0.98627980000000004</v>
      </c>
      <c r="Y5111">
        <v>0.14644889999999999</v>
      </c>
      <c r="Z5111">
        <v>-1.4104549999999999E-3</v>
      </c>
      <c r="AA5111">
        <v>0.98921720000000002</v>
      </c>
      <c r="AB5111">
        <v>2</v>
      </c>
      <c r="AC5111">
        <v>0.66579999999998996</v>
      </c>
      <c r="AD5111">
        <v>-0.14691989999999999</v>
      </c>
      <c r="AE5111">
        <v>-0.14919999999997899</v>
      </c>
      <c r="AF5111">
        <v>9.9839066023230505E-2</v>
      </c>
      <c r="AG5111">
        <v>-0.14691989999999999</v>
      </c>
      <c r="AH5111">
        <v>0.64439006995047798</v>
      </c>
      <c r="AI5111">
        <v>102.697295542804</v>
      </c>
      <c r="AJ5111">
        <v>81.192861306748696</v>
      </c>
      <c r="AK5111">
        <v>0.66842490855082803</v>
      </c>
      <c r="AL5111">
        <v>81.989098956216196</v>
      </c>
      <c r="AM5111">
        <v>95.126894408509301</v>
      </c>
      <c r="AN5111">
        <v>0.99999995725226598</v>
      </c>
    </row>
    <row r="5112" spans="1:40" x14ac:dyDescent="0.3">
      <c r="A5112" t="str">
        <f>"20200111150153568"</f>
        <v>20200111150153568</v>
      </c>
      <c r="B5112" t="str">
        <f>"1578726113564134"</f>
        <v>1578726113564134</v>
      </c>
      <c r="C5112" t="s">
        <v>40</v>
      </c>
      <c r="D5112">
        <v>4.7267659999999996</v>
      </c>
      <c r="E5112">
        <v>0.57652990000000004</v>
      </c>
      <c r="F5112" t="s">
        <v>41</v>
      </c>
      <c r="G5112">
        <v>-146.92349999999999</v>
      </c>
      <c r="H5112">
        <v>0.96034399999999998</v>
      </c>
      <c r="I5112">
        <v>136.49610000000001</v>
      </c>
      <c r="J5112">
        <v>-147.5814</v>
      </c>
      <c r="K5112">
        <v>1.1058539999999999</v>
      </c>
      <c r="L5112">
        <v>136.6343</v>
      </c>
      <c r="M5112">
        <v>0.99779700000000005</v>
      </c>
      <c r="N5112">
        <v>0</v>
      </c>
      <c r="O5112">
        <v>-6.5248689999999998E-2</v>
      </c>
      <c r="P5112">
        <v>0.99164660000000004</v>
      </c>
      <c r="Q5112">
        <v>0.12622839999999999</v>
      </c>
      <c r="R5112">
        <v>2.6528510000000002E-2</v>
      </c>
      <c r="S5112">
        <v>3.125626</v>
      </c>
      <c r="T5112">
        <v>-0.66758909999999905</v>
      </c>
      <c r="U5112">
        <v>-0.63348389999999999</v>
      </c>
      <c r="V5112">
        <v>-9.1182929999999995E-2</v>
      </c>
      <c r="W5112">
        <v>0.13807749999999999</v>
      </c>
      <c r="X5112">
        <v>0.98621510000000001</v>
      </c>
      <c r="Y5112">
        <v>0.13279850000000001</v>
      </c>
      <c r="Z5112">
        <v>-2.6903389999999999E-4</v>
      </c>
      <c r="AA5112">
        <v>0.991143</v>
      </c>
      <c r="AB5112">
        <v>2</v>
      </c>
      <c r="AC5112">
        <v>0.65790000000001203</v>
      </c>
      <c r="AD5112">
        <v>-0.14551</v>
      </c>
      <c r="AE5112">
        <v>-0.138199999999983</v>
      </c>
      <c r="AF5112">
        <v>9.0724770988284006E-2</v>
      </c>
      <c r="AG5112">
        <v>-0.14551</v>
      </c>
      <c r="AH5112">
        <v>0.63573159895937503</v>
      </c>
      <c r="AI5112">
        <v>102.76707383301</v>
      </c>
      <c r="AJ5112">
        <v>81.878202750019696</v>
      </c>
      <c r="AK5112">
        <v>0.658451828220046</v>
      </c>
      <c r="AL5112">
        <v>82.063385090852805</v>
      </c>
      <c r="AM5112">
        <v>95.282403640328496</v>
      </c>
      <c r="AN5112">
        <v>0.99999997309882205</v>
      </c>
    </row>
    <row r="5113" spans="1:40" x14ac:dyDescent="0.3">
      <c r="A5113" t="str">
        <f>"20200111150153590"</f>
        <v>20200111150153590</v>
      </c>
      <c r="B5113" t="str">
        <f>"1578726113583654"</f>
        <v>1578726113583654</v>
      </c>
      <c r="C5113" t="s">
        <v>40</v>
      </c>
      <c r="D5113">
        <v>4.6903169999999896</v>
      </c>
      <c r="E5113">
        <v>0.57529059999999999</v>
      </c>
      <c r="F5113" t="s">
        <v>41</v>
      </c>
      <c r="G5113">
        <v>-146.90090000000001</v>
      </c>
      <c r="H5113">
        <v>0.94744759999999995</v>
      </c>
      <c r="I5113">
        <v>136.50559999999999</v>
      </c>
      <c r="J5113">
        <v>-147.5652</v>
      </c>
      <c r="K5113">
        <v>1.105872</v>
      </c>
      <c r="L5113">
        <v>136.6343</v>
      </c>
      <c r="M5113">
        <v>0.99785970000000002</v>
      </c>
      <c r="N5113">
        <v>0</v>
      </c>
      <c r="O5113">
        <v>-6.4280099999999896E-2</v>
      </c>
      <c r="P5113">
        <v>0.99162830000000002</v>
      </c>
      <c r="Q5113">
        <v>0.1264526</v>
      </c>
      <c r="R5113">
        <v>2.6131660000000001E-2</v>
      </c>
      <c r="S5113">
        <v>3.1340180000000002</v>
      </c>
      <c r="T5113">
        <v>-0.72993409999999903</v>
      </c>
      <c r="U5113">
        <v>-0.59237669999999998</v>
      </c>
      <c r="V5113">
        <v>-8.9824689999999999E-2</v>
      </c>
      <c r="W5113">
        <v>0.13830329999999999</v>
      </c>
      <c r="X5113">
        <v>0.98630819999999997</v>
      </c>
      <c r="Y5113">
        <v>0.1207198</v>
      </c>
      <c r="Z5113">
        <v>8.6504970000000003E-4</v>
      </c>
      <c r="AA5113">
        <v>0.99268630000000002</v>
      </c>
      <c r="AB5113">
        <v>2</v>
      </c>
      <c r="AC5113">
        <v>0.664299999999997</v>
      </c>
      <c r="AD5113">
        <v>-0.15842439999999899</v>
      </c>
      <c r="AE5113">
        <v>-0.128700000000009</v>
      </c>
      <c r="AF5113">
        <v>8.1274259902500604E-2</v>
      </c>
      <c r="AG5113">
        <v>-0.15842439999999899</v>
      </c>
      <c r="AH5113">
        <v>0.63631850244797705</v>
      </c>
      <c r="AI5113">
        <v>103.872407491375</v>
      </c>
      <c r="AJ5113">
        <v>82.721264123070995</v>
      </c>
      <c r="AK5113">
        <v>0.66076094950874298</v>
      </c>
      <c r="AL5113">
        <v>82.050323163363004</v>
      </c>
      <c r="AM5113">
        <v>95.203664927392197</v>
      </c>
      <c r="AN5113">
        <v>1.0000000715558599</v>
      </c>
    </row>
    <row r="5114" spans="1:40" x14ac:dyDescent="0.3">
      <c r="A5114" t="str">
        <f>"20200111150153611"</f>
        <v>20200111150153611</v>
      </c>
      <c r="B5114" t="str">
        <f>"1578726113604150"</f>
        <v>1578726113604150</v>
      </c>
      <c r="C5114" t="s">
        <v>40</v>
      </c>
      <c r="D5114">
        <v>4.777444</v>
      </c>
      <c r="E5114">
        <v>0.57485019999999998</v>
      </c>
      <c r="F5114" t="s">
        <v>41</v>
      </c>
      <c r="G5114">
        <v>-146.88740000000001</v>
      </c>
      <c r="H5114">
        <v>0.94610119999999998</v>
      </c>
      <c r="I5114">
        <v>136.5077</v>
      </c>
      <c r="J5114">
        <v>-147.5498</v>
      </c>
      <c r="K5114">
        <v>1.1058809999999999</v>
      </c>
      <c r="L5114">
        <v>136.6343</v>
      </c>
      <c r="M5114">
        <v>0.99791819999999998</v>
      </c>
      <c r="N5114">
        <v>0</v>
      </c>
      <c r="O5114">
        <v>-6.3365389999999994E-2</v>
      </c>
      <c r="P5114">
        <v>0.99128039999999995</v>
      </c>
      <c r="Q5114">
        <v>0.1296226</v>
      </c>
      <c r="R5114">
        <v>2.369073E-2</v>
      </c>
      <c r="S5114">
        <v>3.1351170000000002</v>
      </c>
      <c r="T5114">
        <v>-0.73993450000000005</v>
      </c>
      <c r="U5114">
        <v>-0.5849915</v>
      </c>
      <c r="V5114">
        <v>-8.6459530000000007E-2</v>
      </c>
      <c r="W5114">
        <v>0.14147179999999901</v>
      </c>
      <c r="X5114">
        <v>0.98615940000000002</v>
      </c>
      <c r="Y5114">
        <v>0.1192815</v>
      </c>
      <c r="Z5114">
        <v>8.3252789999999999E-4</v>
      </c>
      <c r="AA5114">
        <v>0.99286010000000002</v>
      </c>
      <c r="AB5114">
        <v>2</v>
      </c>
      <c r="AC5114">
        <v>0.662399999999991</v>
      </c>
      <c r="AD5114">
        <v>-0.1597798</v>
      </c>
      <c r="AE5114">
        <v>-0.12659999999999599</v>
      </c>
      <c r="AF5114">
        <v>7.9885061390652101E-2</v>
      </c>
      <c r="AG5114">
        <v>-0.1597798</v>
      </c>
      <c r="AH5114">
        <v>0.63352908430864496</v>
      </c>
      <c r="AI5114">
        <v>104.048349039367</v>
      </c>
      <c r="AJ5114">
        <v>82.813199505127997</v>
      </c>
      <c r="AK5114">
        <v>0.65823271582805598</v>
      </c>
      <c r="AL5114">
        <v>81.866977597374898</v>
      </c>
      <c r="AM5114">
        <v>95.010479975615297</v>
      </c>
      <c r="AN5114">
        <v>0.99999994136570802</v>
      </c>
    </row>
    <row r="5115" spans="1:40" x14ac:dyDescent="0.3">
      <c r="A5115" t="str">
        <f>"20200111150153634"</f>
        <v>20200111150153634</v>
      </c>
      <c r="B5115" t="str">
        <f>"1578726113623670"</f>
        <v>1578726113623670</v>
      </c>
      <c r="C5115" t="s">
        <v>40</v>
      </c>
      <c r="D5115">
        <v>4.8230219999999999</v>
      </c>
      <c r="E5115">
        <v>0.57887449999999996</v>
      </c>
      <c r="F5115" t="s">
        <v>41</v>
      </c>
      <c r="G5115">
        <v>-146.8734</v>
      </c>
      <c r="H5115">
        <v>0.94595459999999998</v>
      </c>
      <c r="I5115">
        <v>136.5076</v>
      </c>
      <c r="J5115">
        <v>-147.5341</v>
      </c>
      <c r="K5115">
        <v>1.1058300000000001</v>
      </c>
      <c r="L5115">
        <v>136.6343</v>
      </c>
      <c r="M5115">
        <v>0.99797610000000003</v>
      </c>
      <c r="N5115">
        <v>0</v>
      </c>
      <c r="O5115">
        <v>-6.2449049999999999E-2</v>
      </c>
      <c r="P5115">
        <v>0.99106870000000002</v>
      </c>
      <c r="Q5115">
        <v>0.1318011</v>
      </c>
      <c r="R5115">
        <v>2.0285250000000001E-2</v>
      </c>
      <c r="S5115">
        <v>3.1374360000000001</v>
      </c>
      <c r="T5115">
        <v>-0.74177519999999997</v>
      </c>
      <c r="U5115">
        <v>-0.58782959999999995</v>
      </c>
      <c r="V5115">
        <v>-8.213753E-2</v>
      </c>
      <c r="W5115">
        <v>0.14365139999999901</v>
      </c>
      <c r="X5115">
        <v>0.98621380000000003</v>
      </c>
      <c r="Y5115">
        <v>0.1208573</v>
      </c>
      <c r="Z5115">
        <v>4.4056029999999999E-4</v>
      </c>
      <c r="AA5115">
        <v>0.99266980000000005</v>
      </c>
      <c r="AB5115">
        <v>2</v>
      </c>
      <c r="AC5115">
        <v>0.66069999999999096</v>
      </c>
      <c r="AD5115">
        <v>-0.159875399999999</v>
      </c>
      <c r="AE5115">
        <v>-0.12669999999999901</v>
      </c>
      <c r="AF5115">
        <v>8.0635568083904194E-2</v>
      </c>
      <c r="AG5115">
        <v>-0.159875399999999</v>
      </c>
      <c r="AH5115">
        <v>0.63164951945018599</v>
      </c>
      <c r="AI5115">
        <v>104.093941091682</v>
      </c>
      <c r="AJ5115">
        <v>82.725043308873197</v>
      </c>
      <c r="AK5115">
        <v>0.65653892023780602</v>
      </c>
      <c r="AL5115">
        <v>81.740807279052802</v>
      </c>
      <c r="AM5115">
        <v>94.760932658401302</v>
      </c>
      <c r="AN5115">
        <v>0.99999997893345005</v>
      </c>
    </row>
    <row r="5116" spans="1:40" x14ac:dyDescent="0.3">
      <c r="A5116" t="str">
        <f>"20200111150153656"</f>
        <v>20200111150153656</v>
      </c>
      <c r="B5116" t="str">
        <f>"1578726113653927"</f>
        <v>1578726113653927</v>
      </c>
      <c r="C5116" t="s">
        <v>40</v>
      </c>
      <c r="D5116">
        <v>4.9254660000000001</v>
      </c>
      <c r="E5116">
        <v>0.56657400000000002</v>
      </c>
      <c r="F5116" t="s">
        <v>42</v>
      </c>
      <c r="G5116">
        <v>-91.315479999999994</v>
      </c>
      <c r="H5116">
        <v>7.998661E-2</v>
      </c>
      <c r="I5116">
        <v>125.7052</v>
      </c>
      <c r="J5116">
        <v>-147.5187</v>
      </c>
      <c r="K5116">
        <v>1.1057699999999999</v>
      </c>
      <c r="L5116">
        <v>136.6343</v>
      </c>
      <c r="M5116">
        <v>0.99803050000000004</v>
      </c>
      <c r="N5116">
        <v>0</v>
      </c>
      <c r="O5116">
        <v>-6.1572189999999999E-2</v>
      </c>
      <c r="P5116">
        <v>0.99152490000000004</v>
      </c>
      <c r="Q5116">
        <v>0.1288301</v>
      </c>
      <c r="R5116">
        <v>1.6774979999999998E-2</v>
      </c>
      <c r="S5116">
        <v>3.0465239999999998</v>
      </c>
      <c r="T5116">
        <v>-5.5591109999999999E-2</v>
      </c>
      <c r="U5116">
        <v>-0.59225459999999996</v>
      </c>
      <c r="V5116">
        <v>-7.7791059999999995E-2</v>
      </c>
      <c r="W5116">
        <v>0.1406896</v>
      </c>
      <c r="X5116">
        <v>0.98699289999999995</v>
      </c>
      <c r="Y5116">
        <v>0.13001270000000001</v>
      </c>
      <c r="Z5116" s="1">
        <v>-6.4171969999999898E-5</v>
      </c>
      <c r="AA5116">
        <v>0.99151230000000001</v>
      </c>
      <c r="AB5116">
        <v>2</v>
      </c>
      <c r="AC5116">
        <v>56.203219999999902</v>
      </c>
      <c r="AD5116">
        <v>-1.02578339</v>
      </c>
      <c r="AE5116">
        <v>-10.929099999999901</v>
      </c>
      <c r="AF5116">
        <v>7.4451662865451098</v>
      </c>
      <c r="AG5116">
        <v>-1.02578339</v>
      </c>
      <c r="AH5116">
        <v>56.7513278593606</v>
      </c>
      <c r="AI5116">
        <v>91.026716008165494</v>
      </c>
      <c r="AJ5116">
        <v>82.526089361286097</v>
      </c>
      <c r="AK5116">
        <v>57.246798568986797</v>
      </c>
      <c r="AL5116">
        <v>81.912247607580397</v>
      </c>
      <c r="AM5116">
        <v>94.506521277251295</v>
      </c>
      <c r="AN5116">
        <v>0.99999999860724598</v>
      </c>
    </row>
    <row r="5117" spans="1:40" x14ac:dyDescent="0.3">
      <c r="A5117" t="str">
        <f>"20200111150153679"</f>
        <v>20200111150153679</v>
      </c>
      <c r="B5117" t="str">
        <f>"1578726113674426"</f>
        <v>1578726113674426</v>
      </c>
      <c r="C5117" t="s">
        <v>40</v>
      </c>
      <c r="D5117">
        <v>4.8700010000000002</v>
      </c>
      <c r="E5117">
        <v>0.56675959999999903</v>
      </c>
      <c r="F5117" t="s">
        <v>41</v>
      </c>
      <c r="G5117">
        <v>-146.84870000000001</v>
      </c>
      <c r="H5117">
        <v>0.9380484</v>
      </c>
      <c r="I5117">
        <v>136.51949999999999</v>
      </c>
      <c r="J5117">
        <v>-147.50280000000001</v>
      </c>
      <c r="K5117">
        <v>1.1057170000000001</v>
      </c>
      <c r="L5117">
        <v>136.6343</v>
      </c>
      <c r="M5117">
        <v>0.99808450000000004</v>
      </c>
      <c r="N5117">
        <v>0</v>
      </c>
      <c r="O5117">
        <v>-6.0691540000000002E-2</v>
      </c>
      <c r="P5117">
        <v>0.99201930000000005</v>
      </c>
      <c r="Q5117">
        <v>0.12531709999999999</v>
      </c>
      <c r="R5117">
        <v>1.390832E-2</v>
      </c>
      <c r="S5117">
        <v>3.1367799999999999</v>
      </c>
      <c r="T5117">
        <v>-0.78552359999999999</v>
      </c>
      <c r="U5117">
        <v>-0.53730769999999906</v>
      </c>
      <c r="V5117">
        <v>-7.4083399999999994E-2</v>
      </c>
      <c r="W5117">
        <v>0.1371849</v>
      </c>
      <c r="X5117">
        <v>0.98777119999999996</v>
      </c>
      <c r="Y5117">
        <v>0.1073012</v>
      </c>
      <c r="Z5117">
        <v>1.699669E-3</v>
      </c>
      <c r="AA5117">
        <v>0.99422509999999997</v>
      </c>
      <c r="AB5117">
        <v>2</v>
      </c>
      <c r="AC5117">
        <v>0.65409999999999902</v>
      </c>
      <c r="AD5117">
        <v>-0.1676686</v>
      </c>
      <c r="AE5117">
        <v>-0.114800000000002</v>
      </c>
      <c r="AF5117">
        <v>7.0399598198170904E-2</v>
      </c>
      <c r="AG5117">
        <v>-0.1676686</v>
      </c>
      <c r="AH5117">
        <v>0.62032022521486896</v>
      </c>
      <c r="AI5117">
        <v>105.03316019244301</v>
      </c>
      <c r="AJ5117">
        <v>83.525255173911006</v>
      </c>
      <c r="AK5117">
        <v>0.64642559097165297</v>
      </c>
      <c r="AL5117">
        <v>82.115018851313096</v>
      </c>
      <c r="AM5117">
        <v>94.289185629986505</v>
      </c>
      <c r="AN5117">
        <v>0.99999999524650496</v>
      </c>
    </row>
    <row r="5118" spans="1:40" x14ac:dyDescent="0.3">
      <c r="A5118" t="str">
        <f>"20200111150153701"</f>
        <v>20200111150153701</v>
      </c>
      <c r="B5118" t="str">
        <f>"1578726113693942"</f>
        <v>1578726113693942</v>
      </c>
      <c r="C5118" t="s">
        <v>40</v>
      </c>
      <c r="D5118">
        <v>4.8968850000000002</v>
      </c>
      <c r="E5118">
        <v>0.56773709999999999</v>
      </c>
      <c r="F5118" t="s">
        <v>41</v>
      </c>
      <c r="G5118">
        <v>-146.83539999999999</v>
      </c>
      <c r="H5118">
        <v>0.93677379999999999</v>
      </c>
      <c r="I5118">
        <v>136.5189</v>
      </c>
      <c r="J5118">
        <v>-147.48750000000001</v>
      </c>
      <c r="K5118">
        <v>1.1056699999999999</v>
      </c>
      <c r="L5118">
        <v>136.6343</v>
      </c>
      <c r="M5118">
        <v>0.99813410000000002</v>
      </c>
      <c r="N5118">
        <v>0</v>
      </c>
      <c r="O5118">
        <v>-5.9870369999999999E-2</v>
      </c>
      <c r="P5118">
        <v>0.99241290000000004</v>
      </c>
      <c r="Q5118">
        <v>0.1220366</v>
      </c>
      <c r="R5118">
        <v>1.495368E-2</v>
      </c>
      <c r="S5118">
        <v>3.1318820000000001</v>
      </c>
      <c r="T5118">
        <v>-0.79303069999999998</v>
      </c>
      <c r="U5118">
        <v>-0.54124450000000002</v>
      </c>
      <c r="V5118">
        <v>-7.4333200000000002E-2</v>
      </c>
      <c r="W5118">
        <v>0.13390949999999999</v>
      </c>
      <c r="X5118">
        <v>0.98820180000000002</v>
      </c>
      <c r="Y5118">
        <v>0.1094695</v>
      </c>
      <c r="Z5118">
        <v>1.2468189999999999E-3</v>
      </c>
      <c r="AA5118">
        <v>0.99398929999999996</v>
      </c>
      <c r="AB5118">
        <v>2</v>
      </c>
      <c r="AC5118">
        <v>0.652100000000018</v>
      </c>
      <c r="AD5118">
        <v>-0.1688962</v>
      </c>
      <c r="AE5118">
        <v>-0.11539999999999299</v>
      </c>
      <c r="AF5118">
        <v>7.1498039029988997E-2</v>
      </c>
      <c r="AG5118">
        <v>-0.1688962</v>
      </c>
      <c r="AH5118">
        <v>0.61766322393274997</v>
      </c>
      <c r="AI5118">
        <v>105.196588580282</v>
      </c>
      <c r="AJ5118">
        <v>83.3970739828559</v>
      </c>
      <c r="AK5118">
        <v>0.64431805357181504</v>
      </c>
      <c r="AL5118">
        <v>82.304433614070007</v>
      </c>
      <c r="AM5118">
        <v>94.301725773743001</v>
      </c>
      <c r="AN5118">
        <v>0.99999998816786495</v>
      </c>
    </row>
    <row r="5119" spans="1:40" x14ac:dyDescent="0.3">
      <c r="A5119" t="str">
        <f>"20200111150153724"</f>
        <v>20200111150153724</v>
      </c>
      <c r="B5119" t="str">
        <f>"1578726113714438"</f>
        <v>1578726113714438</v>
      </c>
      <c r="C5119" t="s">
        <v>40</v>
      </c>
      <c r="D5119">
        <v>4.8839629999999996</v>
      </c>
      <c r="E5119">
        <v>0.56879409999999997</v>
      </c>
      <c r="F5119" t="s">
        <v>41</v>
      </c>
      <c r="G5119">
        <v>-146.81020000000001</v>
      </c>
      <c r="H5119">
        <v>0.93134499999999998</v>
      </c>
      <c r="I5119">
        <v>136.51759999999999</v>
      </c>
      <c r="J5119">
        <v>-147.47219999999999</v>
      </c>
      <c r="K5119">
        <v>1.1056189999999999</v>
      </c>
      <c r="L5119">
        <v>136.63419999999999</v>
      </c>
      <c r="M5119">
        <v>0.99818110000000004</v>
      </c>
      <c r="N5119">
        <v>0</v>
      </c>
      <c r="O5119">
        <v>-5.9081960000000003E-2</v>
      </c>
      <c r="P5119">
        <v>0.99282689999999996</v>
      </c>
      <c r="Q5119">
        <v>0.1180769</v>
      </c>
      <c r="R5119">
        <v>1.879024E-2</v>
      </c>
      <c r="S5119">
        <v>3.1301730000000001</v>
      </c>
      <c r="T5119">
        <v>-0.80601440000000002</v>
      </c>
      <c r="U5119">
        <v>-0.53919980000000001</v>
      </c>
      <c r="V5119">
        <v>-7.7403379999999994E-2</v>
      </c>
      <c r="W5119">
        <v>0.12995280000000001</v>
      </c>
      <c r="X5119">
        <v>0.98849430000000005</v>
      </c>
      <c r="Y5119">
        <v>0.1096338</v>
      </c>
      <c r="Z5119">
        <v>1.049127E-3</v>
      </c>
      <c r="AA5119">
        <v>0.99397150000000001</v>
      </c>
      <c r="AB5119">
        <v>2</v>
      </c>
      <c r="AC5119">
        <v>0.66199999999997705</v>
      </c>
      <c r="AD5119">
        <v>-0.17427400000000001</v>
      </c>
      <c r="AE5119">
        <v>-0.11660000000000501</v>
      </c>
      <c r="AF5119">
        <v>7.2413759874383504E-2</v>
      </c>
      <c r="AG5119">
        <v>-0.17427400000000001</v>
      </c>
      <c r="AH5119">
        <v>0.62567658182181196</v>
      </c>
      <c r="AI5119">
        <v>105.46622948218899</v>
      </c>
      <c r="AJ5119">
        <v>83.398146688829598</v>
      </c>
      <c r="AK5119">
        <v>0.65351845018742305</v>
      </c>
      <c r="AL5119">
        <v>82.533135161210197</v>
      </c>
      <c r="AM5119">
        <v>94.477371215970606</v>
      </c>
      <c r="AN5119">
        <v>0.99999999729787703</v>
      </c>
    </row>
    <row r="5120" spans="1:40" x14ac:dyDescent="0.3">
      <c r="A5120" t="str">
        <f>"20200111150153745"</f>
        <v>20200111150153745</v>
      </c>
      <c r="B5120" t="str">
        <f>"1578726113733917"</f>
        <v>1578726113733917</v>
      </c>
      <c r="C5120" t="s">
        <v>40</v>
      </c>
      <c r="D5120">
        <v>4.8533920000000004</v>
      </c>
      <c r="E5120">
        <v>0.56942079999999995</v>
      </c>
      <c r="F5120" t="s">
        <v>41</v>
      </c>
      <c r="G5120">
        <v>-146.79730000000001</v>
      </c>
      <c r="H5120">
        <v>0.9288786</v>
      </c>
      <c r="I5120">
        <v>136.5198</v>
      </c>
      <c r="J5120">
        <v>-147.45699999999999</v>
      </c>
      <c r="K5120">
        <v>1.105577</v>
      </c>
      <c r="L5120">
        <v>136.63419999999999</v>
      </c>
      <c r="M5120">
        <v>0.99822599999999995</v>
      </c>
      <c r="N5120">
        <v>0</v>
      </c>
      <c r="O5120">
        <v>-5.8318170000000003E-2</v>
      </c>
      <c r="P5120">
        <v>0.99309879999999995</v>
      </c>
      <c r="Q5120">
        <v>0.11502900000000001</v>
      </c>
      <c r="R5120">
        <v>2.28679E-2</v>
      </c>
      <c r="S5120">
        <v>3.1291660000000001</v>
      </c>
      <c r="T5120">
        <v>-0.81957849999999999</v>
      </c>
      <c r="U5120">
        <v>-0.53036499999999998</v>
      </c>
      <c r="V5120">
        <v>-8.0730730000000001E-2</v>
      </c>
      <c r="W5120">
        <v>0.12690589999999999</v>
      </c>
      <c r="X5120">
        <v>0.98862399999999995</v>
      </c>
      <c r="Y5120">
        <v>0.1077034</v>
      </c>
      <c r="Z5120">
        <v>1.1193380000000001E-3</v>
      </c>
      <c r="AA5120">
        <v>0.99418249999999997</v>
      </c>
      <c r="AB5120">
        <v>2</v>
      </c>
      <c r="AC5120">
        <v>0.65969999999998596</v>
      </c>
      <c r="AD5120">
        <v>-0.17669840000000001</v>
      </c>
      <c r="AE5120">
        <v>-0.114399999999989</v>
      </c>
      <c r="AF5120">
        <v>7.0799037121338296E-2</v>
      </c>
      <c r="AG5120">
        <v>-0.17669840000000001</v>
      </c>
      <c r="AH5120">
        <v>0.62193312638377696</v>
      </c>
      <c r="AI5120">
        <v>105.763757185847</v>
      </c>
      <c r="AJ5120">
        <v>83.505574241748704</v>
      </c>
      <c r="AK5120">
        <v>0.65041190173102403</v>
      </c>
      <c r="AL5120">
        <v>82.709167443860196</v>
      </c>
      <c r="AM5120">
        <v>94.668397252302995</v>
      </c>
      <c r="AN5120">
        <v>0.99999998579857097</v>
      </c>
    </row>
    <row r="5121" spans="1:40" x14ac:dyDescent="0.3">
      <c r="A5121" t="str">
        <f>"20200111150153769"</f>
        <v>20200111150153769</v>
      </c>
      <c r="B5121" t="str">
        <f>"1578726113764176"</f>
        <v>1578726113764176</v>
      </c>
      <c r="C5121" t="s">
        <v>40</v>
      </c>
      <c r="D5121">
        <v>4.8941739999999996</v>
      </c>
      <c r="E5121">
        <v>0.56992690000000001</v>
      </c>
      <c r="F5121" t="s">
        <v>41</v>
      </c>
      <c r="G5121">
        <v>-146.78380000000001</v>
      </c>
      <c r="H5121">
        <v>0.92774529999999999</v>
      </c>
      <c r="I5121">
        <v>136.52260000000001</v>
      </c>
      <c r="J5121">
        <v>-147.44130000000001</v>
      </c>
      <c r="K5121">
        <v>1.105548</v>
      </c>
      <c r="L5121">
        <v>136.63409999999999</v>
      </c>
      <c r="M5121">
        <v>0.99827049999999995</v>
      </c>
      <c r="N5121">
        <v>0</v>
      </c>
      <c r="O5121">
        <v>-5.7552539999999999E-2</v>
      </c>
      <c r="P5121">
        <v>0.99315909999999996</v>
      </c>
      <c r="Q5121">
        <v>0.1134096</v>
      </c>
      <c r="R5121">
        <v>2.781088E-2</v>
      </c>
      <c r="S5121">
        <v>3.1285859999999999</v>
      </c>
      <c r="T5121">
        <v>-0.827381699999999</v>
      </c>
      <c r="U5121">
        <v>-0.51789859999999999</v>
      </c>
      <c r="V5121">
        <v>-8.4909280000000004E-2</v>
      </c>
      <c r="W5121">
        <v>0.1252839</v>
      </c>
      <c r="X5121">
        <v>0.98848080000000005</v>
      </c>
      <c r="Y5121">
        <v>0.1046849</v>
      </c>
      <c r="Z5121">
        <v>1.323404E-3</v>
      </c>
      <c r="AA5121">
        <v>0.99450459999999996</v>
      </c>
      <c r="AB5121">
        <v>2</v>
      </c>
      <c r="AC5121">
        <v>0.65749999999999797</v>
      </c>
      <c r="AD5121">
        <v>-0.17780269999999901</v>
      </c>
      <c r="AE5121">
        <v>-0.11149999999997801</v>
      </c>
      <c r="AF5121">
        <v>6.8595594757417402E-2</v>
      </c>
      <c r="AG5121">
        <v>-0.17780269999999901</v>
      </c>
      <c r="AH5121">
        <v>0.61883809347000196</v>
      </c>
      <c r="AI5121">
        <v>105.937646193953</v>
      </c>
      <c r="AJ5121">
        <v>83.674825320745697</v>
      </c>
      <c r="AK5121">
        <v>0.64751814003701902</v>
      </c>
      <c r="AL5121">
        <v>82.802848820908693</v>
      </c>
      <c r="AM5121">
        <v>94.909585086620396</v>
      </c>
      <c r="AN5121">
        <v>0.99999996669898294</v>
      </c>
    </row>
    <row r="5122" spans="1:40" x14ac:dyDescent="0.3">
      <c r="A5122" t="str">
        <f>"20200111150153792"</f>
        <v>20200111150153792</v>
      </c>
      <c r="B5122" t="str">
        <f>"1578726113783693"</f>
        <v>1578726113783693</v>
      </c>
      <c r="C5122" t="s">
        <v>40</v>
      </c>
      <c r="D5122">
        <v>4.9050010000000004</v>
      </c>
      <c r="E5122">
        <v>0.56991239999999999</v>
      </c>
      <c r="F5122" t="s">
        <v>41</v>
      </c>
      <c r="G5122">
        <v>-146.77010000000001</v>
      </c>
      <c r="H5122">
        <v>0.92707220000000001</v>
      </c>
      <c r="I5122">
        <v>136.5264</v>
      </c>
      <c r="J5122">
        <v>-147.42519999999999</v>
      </c>
      <c r="K5122">
        <v>1.1055360000000001</v>
      </c>
      <c r="L5122">
        <v>136.63399999999999</v>
      </c>
      <c r="M5122">
        <v>0.99831440000000005</v>
      </c>
      <c r="N5122">
        <v>0</v>
      </c>
      <c r="O5122">
        <v>-5.6786749999999997E-2</v>
      </c>
      <c r="P5122">
        <v>0.99311819999999895</v>
      </c>
      <c r="Q5122">
        <v>0.1126964</v>
      </c>
      <c r="R5122">
        <v>3.1879390000000001E-2</v>
      </c>
      <c r="S5122">
        <v>3.1297609999999998</v>
      </c>
      <c r="T5122">
        <v>-0.83235339999999902</v>
      </c>
      <c r="U5122">
        <v>-0.50180049999999998</v>
      </c>
      <c r="V5122">
        <v>-8.8210109999999994E-2</v>
      </c>
      <c r="W5122">
        <v>0.1245672</v>
      </c>
      <c r="X5122">
        <v>0.98828229999999995</v>
      </c>
      <c r="Y5122">
        <v>0.1004998</v>
      </c>
      <c r="Z5122">
        <v>1.677081E-3</v>
      </c>
      <c r="AA5122">
        <v>0.99493569999999998</v>
      </c>
      <c r="AB5122">
        <v>2</v>
      </c>
      <c r="AC5122">
        <v>0.65509999999997603</v>
      </c>
      <c r="AD5122">
        <v>-0.17846380000000001</v>
      </c>
      <c r="AE5122">
        <v>-0.10759999999999</v>
      </c>
      <c r="AF5122">
        <v>6.5490076423666596E-2</v>
      </c>
      <c r="AG5122">
        <v>-0.17846380000000001</v>
      </c>
      <c r="AH5122">
        <v>0.61566295883404998</v>
      </c>
      <c r="AI5122">
        <v>106.07943383923499</v>
      </c>
      <c r="AJ5122">
        <v>83.928094164060496</v>
      </c>
      <c r="AK5122">
        <v>0.64434397405478605</v>
      </c>
      <c r="AL5122">
        <v>82.844236872973596</v>
      </c>
      <c r="AM5122">
        <v>95.100475348700897</v>
      </c>
      <c r="AN5122">
        <v>0.99999995765767002</v>
      </c>
    </row>
    <row r="5123" spans="1:40" x14ac:dyDescent="0.3">
      <c r="A5123" t="str">
        <f>"20200111150153812"</f>
        <v>20200111150153812</v>
      </c>
      <c r="B5123" t="str">
        <f>"1578726113804189"</f>
        <v>1578726113804189</v>
      </c>
      <c r="C5123" t="s">
        <v>40</v>
      </c>
      <c r="D5123">
        <v>4.9162319999999999</v>
      </c>
      <c r="E5123">
        <v>0.5698645</v>
      </c>
      <c r="F5123" t="s">
        <v>41</v>
      </c>
      <c r="G5123">
        <v>-146.756</v>
      </c>
      <c r="H5123">
        <v>0.92721929999999997</v>
      </c>
      <c r="I5123">
        <v>136.53</v>
      </c>
      <c r="J5123">
        <v>-147.4109</v>
      </c>
      <c r="K5123">
        <v>1.105539</v>
      </c>
      <c r="L5123">
        <v>136.63390000000001</v>
      </c>
      <c r="M5123">
        <v>0.99835220000000002</v>
      </c>
      <c r="N5123">
        <v>0</v>
      </c>
      <c r="O5123">
        <v>-5.6120250000000003E-2</v>
      </c>
      <c r="P5123">
        <v>0.99303010000000003</v>
      </c>
      <c r="Q5123">
        <v>0.1127161</v>
      </c>
      <c r="R5123">
        <v>3.4444509999999998E-2</v>
      </c>
      <c r="S5123">
        <v>3.1311339999999999</v>
      </c>
      <c r="T5123">
        <v>-0.83485509999999996</v>
      </c>
      <c r="U5123">
        <v>-0.48608400000000002</v>
      </c>
      <c r="V5123">
        <v>-9.0105580000000005E-2</v>
      </c>
      <c r="W5123">
        <v>0.12458420000000001</v>
      </c>
      <c r="X5123">
        <v>0.98810920000000002</v>
      </c>
      <c r="Y5123">
        <v>9.6332180000000003E-2</v>
      </c>
      <c r="Z5123">
        <v>2.052267E-3</v>
      </c>
      <c r="AA5123">
        <v>0.99534710000000004</v>
      </c>
      <c r="AB5123">
        <v>2</v>
      </c>
      <c r="AC5123">
        <v>0.65489999999999704</v>
      </c>
      <c r="AD5123">
        <v>-0.178319699999999</v>
      </c>
      <c r="AE5123">
        <v>-0.10390000000001</v>
      </c>
      <c r="AF5123">
        <v>6.2463166501433999E-2</v>
      </c>
      <c r="AG5123">
        <v>-0.178319699999999</v>
      </c>
      <c r="AH5123">
        <v>0.61520779699442996</v>
      </c>
      <c r="AI5123">
        <v>106.085987275184</v>
      </c>
      <c r="AJ5123">
        <v>84.2025223382051</v>
      </c>
      <c r="AK5123">
        <v>0.64356833052925799</v>
      </c>
      <c r="AL5123">
        <v>82.843255608487098</v>
      </c>
      <c r="AM5123">
        <v>95.210385850204204</v>
      </c>
      <c r="AN5123">
        <v>1.0000000147807</v>
      </c>
    </row>
    <row r="5124" spans="1:40" x14ac:dyDescent="0.3">
      <c r="A5124" t="str">
        <f>"20200111150153835"</f>
        <v>20200111150153835</v>
      </c>
      <c r="B5124" t="str">
        <f>"1578726113823710"</f>
        <v>1578726113823710</v>
      </c>
      <c r="C5124" t="s">
        <v>40</v>
      </c>
      <c r="D5124">
        <v>4.9210229999999999</v>
      </c>
      <c r="E5124">
        <v>0.57028480000000004</v>
      </c>
      <c r="F5124" t="s">
        <v>41</v>
      </c>
      <c r="G5124">
        <v>-146.74209999999999</v>
      </c>
      <c r="H5124">
        <v>0.9271587</v>
      </c>
      <c r="I5124">
        <v>136.53280000000001</v>
      </c>
      <c r="J5124">
        <v>-147.3956</v>
      </c>
      <c r="K5124">
        <v>1.1055360000000001</v>
      </c>
      <c r="L5124">
        <v>136.63380000000001</v>
      </c>
      <c r="M5124">
        <v>0.99839069999999996</v>
      </c>
      <c r="N5124">
        <v>0</v>
      </c>
      <c r="O5124">
        <v>-5.5428239999999997E-2</v>
      </c>
      <c r="P5124">
        <v>0.99287780000000003</v>
      </c>
      <c r="Q5124">
        <v>0.11374670000000001</v>
      </c>
      <c r="R5124">
        <v>3.5430459999999997E-2</v>
      </c>
      <c r="S5124">
        <v>3.132339</v>
      </c>
      <c r="T5124">
        <v>-0.83572139999999995</v>
      </c>
      <c r="U5124">
        <v>-0.47348020000000002</v>
      </c>
      <c r="V5124">
        <v>-9.0395790000000004E-2</v>
      </c>
      <c r="W5124">
        <v>0.12561269999999999</v>
      </c>
      <c r="X5124">
        <v>0.98795250000000001</v>
      </c>
      <c r="Y5124">
        <v>9.3132850000000003E-2</v>
      </c>
      <c r="Z5124">
        <v>2.291871E-3</v>
      </c>
      <c r="AA5124">
        <v>0.99565110000000001</v>
      </c>
      <c r="AB5124">
        <v>2</v>
      </c>
      <c r="AC5124">
        <v>0.65350000000000796</v>
      </c>
      <c r="AD5124">
        <v>-0.17837729999999999</v>
      </c>
      <c r="AE5124">
        <v>-0.10099999999999899</v>
      </c>
      <c r="AF5124">
        <v>6.0236502635619998E-2</v>
      </c>
      <c r="AG5124">
        <v>-0.17837729999999999</v>
      </c>
      <c r="AH5124">
        <v>0.61345445005630495</v>
      </c>
      <c r="AI5124">
        <v>106.139565858694</v>
      </c>
      <c r="AJ5124">
        <v>84.391973280299993</v>
      </c>
      <c r="AK5124">
        <v>0.64169561296532496</v>
      </c>
      <c r="AL5124">
        <v>82.783860532377105</v>
      </c>
      <c r="AM5124">
        <v>95.227899009043298</v>
      </c>
      <c r="AN5124">
        <v>1.00000004575363</v>
      </c>
    </row>
    <row r="5125" spans="1:40" x14ac:dyDescent="0.3">
      <c r="A5125" t="str">
        <f>"20200111150153858"</f>
        <v>20200111150153858</v>
      </c>
      <c r="B5125" t="str">
        <f>"1578726113854473"</f>
        <v>1578726113854473</v>
      </c>
      <c r="C5125" t="s">
        <v>40</v>
      </c>
      <c r="D5125">
        <v>4.88666</v>
      </c>
      <c r="E5125">
        <v>0.57086490000000001</v>
      </c>
      <c r="F5125" t="s">
        <v>41</v>
      </c>
      <c r="G5125">
        <v>-146.72799999999901</v>
      </c>
      <c r="H5125">
        <v>0.92790450000000002</v>
      </c>
      <c r="I5125">
        <v>136.5335</v>
      </c>
      <c r="J5125">
        <v>-147.38030000000001</v>
      </c>
      <c r="K5125">
        <v>1.105529</v>
      </c>
      <c r="L5125">
        <v>136.6336</v>
      </c>
      <c r="M5125">
        <v>0.99842819999999999</v>
      </c>
      <c r="N5125">
        <v>0</v>
      </c>
      <c r="O5125">
        <v>-5.4750319999999998E-2</v>
      </c>
      <c r="P5125">
        <v>0.99277420000000005</v>
      </c>
      <c r="Q5125">
        <v>0.11513669999999999</v>
      </c>
      <c r="R5125">
        <v>3.3816239999999997E-2</v>
      </c>
      <c r="S5125">
        <v>3.1338499999999998</v>
      </c>
      <c r="T5125">
        <v>-0.83412960000000003</v>
      </c>
      <c r="U5125">
        <v>-0.47041319999999998</v>
      </c>
      <c r="V5125">
        <v>-8.8106820000000002E-2</v>
      </c>
      <c r="W5125">
        <v>0.1270019</v>
      </c>
      <c r="X5125">
        <v>0.98798160000000002</v>
      </c>
      <c r="Y5125">
        <v>9.2779799999999996E-2</v>
      </c>
      <c r="Z5125">
        <v>2.1569200000000001E-3</v>
      </c>
      <c r="AA5125">
        <v>0.99568429999999997</v>
      </c>
      <c r="AB5125">
        <v>2</v>
      </c>
      <c r="AC5125">
        <v>0.65230000000002497</v>
      </c>
      <c r="AD5125">
        <v>-0.17762449999999899</v>
      </c>
      <c r="AE5125">
        <v>-0.100099999999997</v>
      </c>
      <c r="AF5125">
        <v>5.9894633243712997E-2</v>
      </c>
      <c r="AG5125">
        <v>-0.17762449999999899</v>
      </c>
      <c r="AH5125">
        <v>0.61243512018022095</v>
      </c>
      <c r="AI5125">
        <v>106.100932587956</v>
      </c>
      <c r="AJ5125">
        <v>84.414377538545693</v>
      </c>
      <c r="AK5125">
        <v>0.64047998135914497</v>
      </c>
      <c r="AL5125">
        <v>82.703622050528693</v>
      </c>
      <c r="AM5125">
        <v>95.096076771625604</v>
      </c>
      <c r="AN5125">
        <v>0.99999996813633996</v>
      </c>
    </row>
    <row r="5126" spans="1:40" x14ac:dyDescent="0.3">
      <c r="A5126" t="str">
        <f>"20200111150153880"</f>
        <v>20200111150153880</v>
      </c>
      <c r="B5126" t="str">
        <f>"1578726113873992"</f>
        <v>1578726113873992</v>
      </c>
      <c r="C5126" t="s">
        <v>40</v>
      </c>
      <c r="D5126">
        <v>4.9420999999999999</v>
      </c>
      <c r="E5126">
        <v>0.58054810000000001</v>
      </c>
      <c r="F5126" t="s">
        <v>41</v>
      </c>
      <c r="G5126">
        <v>-146.7139</v>
      </c>
      <c r="H5126">
        <v>0.92902110000000004</v>
      </c>
      <c r="I5126">
        <v>136.53229999999999</v>
      </c>
      <c r="J5126">
        <v>-147.36500000000001</v>
      </c>
      <c r="K5126">
        <v>1.1055469999999901</v>
      </c>
      <c r="L5126">
        <v>136.63339999999999</v>
      </c>
      <c r="M5126">
        <v>0.99846420000000002</v>
      </c>
      <c r="N5126">
        <v>0</v>
      </c>
      <c r="O5126">
        <v>-5.4090399999999997E-2</v>
      </c>
      <c r="P5126">
        <v>0.99287130000000001</v>
      </c>
      <c r="Q5126">
        <v>0.115209199999999</v>
      </c>
      <c r="R5126">
        <v>3.0555410000000002E-2</v>
      </c>
      <c r="S5126">
        <v>3.1343079999999999</v>
      </c>
      <c r="T5126">
        <v>-0.83015550000000005</v>
      </c>
      <c r="U5126">
        <v>-0.4760895</v>
      </c>
      <c r="V5126">
        <v>-8.4201719999999994E-2</v>
      </c>
      <c r="W5126">
        <v>0.12707760000000001</v>
      </c>
      <c r="X5126">
        <v>0.98831239999999998</v>
      </c>
      <c r="Y5126">
        <v>9.5092159999999995E-2</v>
      </c>
      <c r="Z5126">
        <v>1.676468E-3</v>
      </c>
      <c r="AA5126">
        <v>0.99546710000000005</v>
      </c>
      <c r="AB5126">
        <v>2</v>
      </c>
      <c r="AC5126">
        <v>0.651100000000013</v>
      </c>
      <c r="AD5126">
        <v>-0.17652589999999899</v>
      </c>
      <c r="AE5126">
        <v>-0.10110000000000199</v>
      </c>
      <c r="AF5126">
        <v>6.1329264037662597E-2</v>
      </c>
      <c r="AG5126">
        <v>-0.17652589999999899</v>
      </c>
      <c r="AH5126">
        <v>0.61170998259114395</v>
      </c>
      <c r="AI5126">
        <v>106.020796811453</v>
      </c>
      <c r="AJ5126">
        <v>84.274730055788098</v>
      </c>
      <c r="AK5126">
        <v>0.63961846033386904</v>
      </c>
      <c r="AL5126">
        <v>82.6992497334397</v>
      </c>
      <c r="AM5126">
        <v>94.869695997940497</v>
      </c>
      <c r="AN5126">
        <v>1.00000002303323</v>
      </c>
    </row>
    <row r="5127" spans="1:40" x14ac:dyDescent="0.3">
      <c r="A5127" t="str">
        <f>"20200111150153903"</f>
        <v>20200111150153903</v>
      </c>
      <c r="B5127" t="str">
        <f>"1578726113894488"</f>
        <v>1578726113894488</v>
      </c>
      <c r="C5127" t="s">
        <v>40</v>
      </c>
      <c r="D5127">
        <v>4.9063869999999996</v>
      </c>
      <c r="E5127">
        <v>0.58161280000000004</v>
      </c>
      <c r="F5127" t="s">
        <v>41</v>
      </c>
      <c r="G5127">
        <v>-146.6892</v>
      </c>
      <c r="H5127">
        <v>0.95412189999999997</v>
      </c>
      <c r="I5127">
        <v>136.5127</v>
      </c>
      <c r="J5127">
        <v>-147.3502</v>
      </c>
      <c r="K5127">
        <v>1.1055999999999999</v>
      </c>
      <c r="L5127">
        <v>136.63319999999999</v>
      </c>
      <c r="M5127">
        <v>0.99849719999999997</v>
      </c>
      <c r="N5127">
        <v>0</v>
      </c>
      <c r="O5127">
        <v>-5.3473899999999998E-2</v>
      </c>
      <c r="P5127">
        <v>0.99281569999999997</v>
      </c>
      <c r="Q5127">
        <v>0.1168221</v>
      </c>
      <c r="R5127">
        <v>2.5881689999999999E-2</v>
      </c>
      <c r="S5127">
        <v>3.1198579999999998</v>
      </c>
      <c r="T5127">
        <v>-0.69956240000000003</v>
      </c>
      <c r="U5127">
        <v>-0.55688479999999996</v>
      </c>
      <c r="V5127">
        <v>-7.8919970000000006E-2</v>
      </c>
      <c r="W5127">
        <v>0.12869269999999999</v>
      </c>
      <c r="X5127">
        <v>0.98853919999999995</v>
      </c>
      <c r="Y5127">
        <v>0.1211952</v>
      </c>
      <c r="Z5127">
        <v>-1.5829479999999901E-3</v>
      </c>
      <c r="AA5127">
        <v>0.99262740000000005</v>
      </c>
      <c r="AB5127">
        <v>2</v>
      </c>
      <c r="AC5127">
        <v>0.66100000000000103</v>
      </c>
      <c r="AD5127">
        <v>-0.15147809999999901</v>
      </c>
      <c r="AE5127">
        <v>-0.120499999999992</v>
      </c>
      <c r="AF5127">
        <v>8.0868440535887501E-2</v>
      </c>
      <c r="AG5127">
        <v>-0.15147809999999901</v>
      </c>
      <c r="AH5127">
        <v>0.63426035817682302</v>
      </c>
      <c r="AI5127">
        <v>103.32813334541299</v>
      </c>
      <c r="AJ5127">
        <v>82.733969786711796</v>
      </c>
      <c r="AK5127">
        <v>0.65709323646565398</v>
      </c>
      <c r="AL5127">
        <v>82.6059447273514</v>
      </c>
      <c r="AM5127">
        <v>94.564524168091097</v>
      </c>
      <c r="AN5127">
        <v>0.99999996131736402</v>
      </c>
    </row>
    <row r="5128" spans="1:40" x14ac:dyDescent="0.3">
      <c r="A5128" t="str">
        <f>"20200111150153924"</f>
        <v>20200111150153924</v>
      </c>
      <c r="B5128" t="str">
        <f>"1578726113914008"</f>
        <v>1578726113914008</v>
      </c>
      <c r="C5128" t="s">
        <v>40</v>
      </c>
      <c r="D5128">
        <v>4.8724449999999999</v>
      </c>
      <c r="E5128">
        <v>0.58125819999999995</v>
      </c>
      <c r="F5128" t="s">
        <v>41</v>
      </c>
      <c r="G5128">
        <v>-146.6669</v>
      </c>
      <c r="H5128">
        <v>0.94445579999999996</v>
      </c>
      <c r="I5128">
        <v>136.50729999999999</v>
      </c>
      <c r="J5128">
        <v>-147.33500000000001</v>
      </c>
      <c r="K5128">
        <v>1.1056779999999999</v>
      </c>
      <c r="L5128">
        <v>136.63299999999899</v>
      </c>
      <c r="M5128">
        <v>0.99852989999999997</v>
      </c>
      <c r="N5128">
        <v>0</v>
      </c>
      <c r="O5128">
        <v>-5.2862390000000002E-2</v>
      </c>
      <c r="P5128">
        <v>0.9925756</v>
      </c>
      <c r="Q5128">
        <v>0.1199288</v>
      </c>
      <c r="R5128">
        <v>2.0272640000000001E-2</v>
      </c>
      <c r="S5128">
        <v>3.1233979999999999</v>
      </c>
      <c r="T5128">
        <v>-0.73695980000000005</v>
      </c>
      <c r="U5128">
        <v>-0.57504270000000002</v>
      </c>
      <c r="V5128">
        <v>-7.2698470000000001E-2</v>
      </c>
      <c r="W5128">
        <v>0.13179929999999901</v>
      </c>
      <c r="X5128">
        <v>0.98860700000000001</v>
      </c>
      <c r="Y5128">
        <v>0.12685730000000001</v>
      </c>
      <c r="Z5128">
        <v>-2.4575719999999999E-3</v>
      </c>
      <c r="AA5128">
        <v>0.99191799999999997</v>
      </c>
      <c r="AB5128">
        <v>2</v>
      </c>
      <c r="AC5128">
        <v>0.66810000000000902</v>
      </c>
      <c r="AD5128">
        <v>-0.16122220000000001</v>
      </c>
      <c r="AE5128">
        <v>-0.12569999999999401</v>
      </c>
      <c r="AF5128">
        <v>8.5401206346437206E-2</v>
      </c>
      <c r="AG5128">
        <v>-0.16122220000000001</v>
      </c>
      <c r="AH5128">
        <v>0.637932545357912</v>
      </c>
      <c r="AI5128">
        <v>104.062741972555</v>
      </c>
      <c r="AJ5128">
        <v>82.375043312226794</v>
      </c>
      <c r="AK5128">
        <v>0.66350877631353999</v>
      </c>
      <c r="AL5128">
        <v>82.426420337307405</v>
      </c>
      <c r="AM5128">
        <v>94.205747762824203</v>
      </c>
      <c r="AN5128">
        <v>0.99999996173491401</v>
      </c>
    </row>
    <row r="5129" spans="1:40" x14ac:dyDescent="0.3">
      <c r="A5129" t="str">
        <f>"20200111150153948"</f>
        <v>20200111150153948</v>
      </c>
      <c r="B5129" t="str">
        <f>"1578726113944265"</f>
        <v>1578726113944265</v>
      </c>
      <c r="C5129" t="s">
        <v>40</v>
      </c>
      <c r="D5129">
        <v>4.8558009999999996</v>
      </c>
      <c r="E5129">
        <v>0.57967080000000004</v>
      </c>
      <c r="F5129" t="s">
        <v>41</v>
      </c>
      <c r="G5129">
        <v>-146.6541</v>
      </c>
      <c r="H5129">
        <v>0.94291329999999995</v>
      </c>
      <c r="I5129">
        <v>136.50550000000001</v>
      </c>
      <c r="J5129">
        <v>-147.31989999999999</v>
      </c>
      <c r="K5129">
        <v>1.1057520000000001</v>
      </c>
      <c r="L5129">
        <v>136.6328</v>
      </c>
      <c r="M5129">
        <v>0.99856120000000004</v>
      </c>
      <c r="N5129">
        <v>0</v>
      </c>
      <c r="O5129">
        <v>-5.2268019999999998E-2</v>
      </c>
      <c r="P5129">
        <v>0.99220889999999995</v>
      </c>
      <c r="Q5129">
        <v>0.123863</v>
      </c>
      <c r="R5129">
        <v>1.3403989999999999E-2</v>
      </c>
      <c r="S5129">
        <v>3.1246640000000001</v>
      </c>
      <c r="T5129">
        <v>-0.74724599999999997</v>
      </c>
      <c r="U5129">
        <v>-0.58444209999999996</v>
      </c>
      <c r="V5129">
        <v>-6.5230780000000002E-2</v>
      </c>
      <c r="W5129">
        <v>0.1357323</v>
      </c>
      <c r="X5129">
        <v>0.98859580000000002</v>
      </c>
      <c r="Y5129">
        <v>0.13010389999999999</v>
      </c>
      <c r="Z5129">
        <v>-3.0077630000000001E-3</v>
      </c>
      <c r="AA5129">
        <v>0.99149580000000004</v>
      </c>
      <c r="AB5129">
        <v>2</v>
      </c>
      <c r="AC5129">
        <v>0.66579999999998996</v>
      </c>
      <c r="AD5129">
        <v>-0.1628387</v>
      </c>
      <c r="AE5129">
        <v>-0.127299999999991</v>
      </c>
      <c r="AF5129">
        <v>8.7286319747250901E-2</v>
      </c>
      <c r="AG5129">
        <v>-0.1628387</v>
      </c>
      <c r="AH5129">
        <v>0.63490500697814301</v>
      </c>
      <c r="AI5129">
        <v>104.25644050646</v>
      </c>
      <c r="AJ5129">
        <v>82.172085398820997</v>
      </c>
      <c r="AK5129">
        <v>0.66124103904599396</v>
      </c>
      <c r="AL5129">
        <v>82.199032502942899</v>
      </c>
      <c r="AM5129">
        <v>93.775090375531903</v>
      </c>
      <c r="AN5129">
        <v>0.99999998385016897</v>
      </c>
    </row>
    <row r="5130" spans="1:40" x14ac:dyDescent="0.3">
      <c r="A5130" t="str">
        <f>"20200111150153969"</f>
        <v>20200111150153969</v>
      </c>
      <c r="B5130" t="str">
        <f>"1578726113963784"</f>
        <v>1578726113963784</v>
      </c>
      <c r="C5130" t="s">
        <v>40</v>
      </c>
      <c r="D5130">
        <v>4.601032</v>
      </c>
      <c r="E5130">
        <v>0.57959559999999999</v>
      </c>
      <c r="F5130" t="s">
        <v>41</v>
      </c>
      <c r="G5130">
        <v>-146.64109999999999</v>
      </c>
      <c r="H5130">
        <v>0.94175370000000003</v>
      </c>
      <c r="I5130">
        <v>136.50550000000001</v>
      </c>
      <c r="J5130">
        <v>-147.30510000000001</v>
      </c>
      <c r="K5130">
        <v>1.105831</v>
      </c>
      <c r="L5130">
        <v>136.6326</v>
      </c>
      <c r="M5130">
        <v>0.99859089999999995</v>
      </c>
      <c r="N5130">
        <v>0</v>
      </c>
      <c r="O5130">
        <v>-5.1695539999999998E-2</v>
      </c>
      <c r="P5130">
        <v>0.99191339999999995</v>
      </c>
      <c r="Q5130">
        <v>0.12682060000000001</v>
      </c>
      <c r="R5130">
        <v>4.9676240000000003E-3</v>
      </c>
      <c r="S5130">
        <v>3.1258240000000002</v>
      </c>
      <c r="T5130">
        <v>-0.75597919999999996</v>
      </c>
      <c r="U5130">
        <v>-0.58540340000000002</v>
      </c>
      <c r="V5130">
        <v>-5.6223380000000003E-2</v>
      </c>
      <c r="W5130">
        <v>0.13869049999999999</v>
      </c>
      <c r="X5130">
        <v>0.98873849999999996</v>
      </c>
      <c r="Y5130">
        <v>0.13081709999999999</v>
      </c>
      <c r="Z5130">
        <v>-3.2600340000000002E-3</v>
      </c>
      <c r="AA5130">
        <v>0.99140110000000004</v>
      </c>
      <c r="AB5130">
        <v>2</v>
      </c>
      <c r="AC5130">
        <v>0.66400000000001502</v>
      </c>
      <c r="AD5130">
        <v>-0.16407729999999901</v>
      </c>
      <c r="AE5130">
        <v>-0.127099999999984</v>
      </c>
      <c r="AF5130">
        <v>8.7450669254468802E-2</v>
      </c>
      <c r="AG5130">
        <v>-0.16407729999999901</v>
      </c>
      <c r="AH5130">
        <v>0.63243129463580205</v>
      </c>
      <c r="AI5130">
        <v>104.41275361864599</v>
      </c>
      <c r="AJ5130">
        <v>82.127238247160406</v>
      </c>
      <c r="AK5130">
        <v>0.65919520808563303</v>
      </c>
      <c r="AL5130">
        <v>82.027921563185501</v>
      </c>
      <c r="AM5130">
        <v>93.254548121326906</v>
      </c>
      <c r="AN5130">
        <v>0.99999997231556104</v>
      </c>
    </row>
    <row r="5131" spans="1:40" x14ac:dyDescent="0.3">
      <c r="A5131" t="str">
        <f>"20200111150154059"</f>
        <v>20200111150154059</v>
      </c>
      <c r="B5131" t="str">
        <f>"1578726114053576"</f>
        <v>1578726114053576</v>
      </c>
      <c r="C5131" t="s">
        <v>40</v>
      </c>
      <c r="D5131">
        <v>4.2472629999999896</v>
      </c>
      <c r="E5131">
        <v>0.57959559999999999</v>
      </c>
      <c r="F5131" t="s">
        <v>41</v>
      </c>
      <c r="G5131">
        <v>-146.6275</v>
      </c>
      <c r="H5131">
        <v>0.94221310000000003</v>
      </c>
      <c r="I5131">
        <v>136.50139999999999</v>
      </c>
      <c r="J5131">
        <v>-147.24539999999999</v>
      </c>
      <c r="K5131">
        <v>1.105917</v>
      </c>
      <c r="L5131">
        <v>136.6318</v>
      </c>
      <c r="M5131">
        <v>0.9987028</v>
      </c>
      <c r="N5131">
        <v>0</v>
      </c>
      <c r="O5131">
        <v>-4.9489279999999997E-2</v>
      </c>
      <c r="P5131">
        <v>0.98941179999999995</v>
      </c>
      <c r="Q5131">
        <v>0.14396410000000001</v>
      </c>
      <c r="R5131">
        <v>-1.8406519999999999E-2</v>
      </c>
      <c r="S5131">
        <v>3.123993</v>
      </c>
      <c r="T5131">
        <v>-0.75481399999999998</v>
      </c>
      <c r="U5131">
        <v>-0.60458369999999995</v>
      </c>
      <c r="V5131">
        <v>-3.057029E-2</v>
      </c>
      <c r="W5131">
        <v>0.1558155</v>
      </c>
      <c r="X5131">
        <v>0.987313</v>
      </c>
      <c r="Y5131">
        <v>0.1387089</v>
      </c>
      <c r="Z5131">
        <v>-4.7064280000000003E-3</v>
      </c>
      <c r="AA5131">
        <v>0.99032200000000004</v>
      </c>
      <c r="AB5131">
        <v>2</v>
      </c>
      <c r="AC5131">
        <v>0.61789999999999101</v>
      </c>
      <c r="AD5131">
        <v>-0.16370390000000001</v>
      </c>
      <c r="AE5131">
        <v>-0.13040000000000801</v>
      </c>
      <c r="AF5131">
        <v>9.3383372515440197E-2</v>
      </c>
      <c r="AG5131">
        <v>-0.16370390000000001</v>
      </c>
      <c r="AH5131">
        <v>0.58433062382008405</v>
      </c>
      <c r="AI5131">
        <v>105.463881288907</v>
      </c>
      <c r="AJ5131">
        <v>80.920194871790102</v>
      </c>
      <c r="AK5131">
        <v>0.613972067012447</v>
      </c>
      <c r="AL5131">
        <v>81.035904245673905</v>
      </c>
      <c r="AM5131">
        <v>91.773489432528294</v>
      </c>
      <c r="AN5131">
        <v>0.999999986319967</v>
      </c>
    </row>
    <row r="5132" spans="1:40" x14ac:dyDescent="0.3">
      <c r="A5132" t="str">
        <f>"20200111150154081"</f>
        <v>20200111150154081</v>
      </c>
      <c r="B5132" t="str">
        <f>"1578726114074073"</f>
        <v>1578726114074073</v>
      </c>
      <c r="C5132" t="s">
        <v>40</v>
      </c>
      <c r="D5132">
        <v>4.6884489999999897</v>
      </c>
      <c r="E5132">
        <v>0.48942079999999999</v>
      </c>
      <c r="F5132" t="s">
        <v>41</v>
      </c>
      <c r="G5132">
        <v>-146.5694</v>
      </c>
      <c r="H5132">
        <v>0.95229430000000004</v>
      </c>
      <c r="I5132">
        <v>136.4888</v>
      </c>
      <c r="J5132">
        <v>-147.23070000000001</v>
      </c>
      <c r="K5132">
        <v>1.1058749999999999</v>
      </c>
      <c r="L5132">
        <v>136.6317</v>
      </c>
      <c r="M5132">
        <v>0.99872830000000001</v>
      </c>
      <c r="N5132">
        <v>0</v>
      </c>
      <c r="O5132">
        <v>-4.8971340000000002E-2</v>
      </c>
      <c r="P5132">
        <v>0.98932969999999998</v>
      </c>
      <c r="Q5132">
        <v>0.14425460000000001</v>
      </c>
      <c r="R5132">
        <v>-2.0426659999999999E-2</v>
      </c>
      <c r="S5132">
        <v>3.1231230000000001</v>
      </c>
      <c r="T5132">
        <v>-0.71010180000000001</v>
      </c>
      <c r="U5132">
        <v>-0.66055299999999995</v>
      </c>
      <c r="V5132">
        <v>-2.8036060000000002E-2</v>
      </c>
      <c r="W5132">
        <v>0.1561061</v>
      </c>
      <c r="X5132">
        <v>0.98734230000000001</v>
      </c>
      <c r="Y5132">
        <v>0.1561496</v>
      </c>
      <c r="Z5132">
        <v>-6.4812079999999996E-3</v>
      </c>
      <c r="AA5132">
        <v>0.98771209999999998</v>
      </c>
      <c r="AB5132">
        <v>2</v>
      </c>
      <c r="AC5132">
        <v>0.66130000000001099</v>
      </c>
      <c r="AD5132">
        <v>-0.15358069999999899</v>
      </c>
      <c r="AE5132">
        <v>-0.142899999999997</v>
      </c>
      <c r="AF5132">
        <v>0.104934236791866</v>
      </c>
      <c r="AG5132">
        <v>-0.15358069999999899</v>
      </c>
      <c r="AH5132">
        <v>0.63479429968872303</v>
      </c>
      <c r="AI5132">
        <v>103.425200286303</v>
      </c>
      <c r="AJ5132">
        <v>80.613641889036501</v>
      </c>
      <c r="AK5132">
        <v>0.66148471515287299</v>
      </c>
      <c r="AL5132">
        <v>81.019047732706895</v>
      </c>
      <c r="AM5132">
        <v>91.626504188408603</v>
      </c>
      <c r="AN5132">
        <v>0.99999997624341097</v>
      </c>
    </row>
    <row r="5133" spans="1:40" x14ac:dyDescent="0.3">
      <c r="A5133" t="str">
        <f>"20200111150154104"</f>
        <v>20200111150154104</v>
      </c>
      <c r="B5133" t="str">
        <f>"1578726114094569"</f>
        <v>1578726114094569</v>
      </c>
      <c r="C5133" t="s">
        <v>40</v>
      </c>
      <c r="D5133">
        <v>5.094919</v>
      </c>
      <c r="E5133">
        <v>0.48994779999999999</v>
      </c>
      <c r="F5133" t="s">
        <v>41</v>
      </c>
      <c r="G5133">
        <v>-146.55590000000001</v>
      </c>
      <c r="H5133">
        <v>0.89944400000000002</v>
      </c>
      <c r="I5133">
        <v>136.64410000000001</v>
      </c>
      <c r="J5133">
        <v>-147.2158</v>
      </c>
      <c r="K5133">
        <v>1.105818</v>
      </c>
      <c r="L5133">
        <v>136.63149999999999</v>
      </c>
      <c r="M5133">
        <v>0.99875320000000001</v>
      </c>
      <c r="N5133">
        <v>0</v>
      </c>
      <c r="O5133">
        <v>-4.8461410000000003E-2</v>
      </c>
      <c r="P5133">
        <v>0.98935410000000001</v>
      </c>
      <c r="Q5133">
        <v>0.1441675</v>
      </c>
      <c r="R5133">
        <v>-1.9860220000000001E-2</v>
      </c>
      <c r="S5133">
        <v>3.1752319999999998</v>
      </c>
      <c r="T5133">
        <v>-0.97153089999999998</v>
      </c>
      <c r="U5133">
        <v>5.8364869999999999E-2</v>
      </c>
      <c r="V5133">
        <v>-2.809671E-2</v>
      </c>
      <c r="W5133">
        <v>0.1560194</v>
      </c>
      <c r="X5133">
        <v>0.98735430000000002</v>
      </c>
      <c r="Y5133">
        <v>-6.1770529999999997E-2</v>
      </c>
      <c r="Z5133">
        <v>2.3731149999999999E-2</v>
      </c>
      <c r="AA5133">
        <v>0.99780820000000003</v>
      </c>
      <c r="AB5133">
        <v>1</v>
      </c>
      <c r="AC5133">
        <v>0.65989999999999305</v>
      </c>
      <c r="AD5133">
        <v>-0.206373999999999</v>
      </c>
      <c r="AE5133">
        <v>1.26000000000203E-2</v>
      </c>
      <c r="AF5133">
        <v>-4.0598000260131502E-2</v>
      </c>
      <c r="AG5133">
        <v>-0.206373999999999</v>
      </c>
      <c r="AH5133">
        <v>0.59986633285986302</v>
      </c>
      <c r="AI5133">
        <v>108.944686361904</v>
      </c>
      <c r="AJ5133">
        <v>93.871783125039002</v>
      </c>
      <c r="AK5133">
        <v>0.63567133237221096</v>
      </c>
      <c r="AL5133">
        <v>81.024077077443295</v>
      </c>
      <c r="AM5133">
        <v>91.630001084948802</v>
      </c>
      <c r="AN5133">
        <v>0.99999999600883605</v>
      </c>
    </row>
    <row r="5134" spans="1:40" x14ac:dyDescent="0.3">
      <c r="A5134" t="str">
        <f>"20200111150154127"</f>
        <v>20200111150154127</v>
      </c>
      <c r="B5134" t="str">
        <f>"1578726114123850"</f>
        <v>1578726114123850</v>
      </c>
      <c r="C5134" t="s">
        <v>40</v>
      </c>
      <c r="D5134">
        <v>5.957211</v>
      </c>
      <c r="E5134">
        <v>0.49678</v>
      </c>
      <c r="F5134" t="s">
        <v>41</v>
      </c>
      <c r="G5134">
        <v>-146.52979999999999</v>
      </c>
      <c r="H5134">
        <v>0.92911949999999999</v>
      </c>
      <c r="I5134">
        <v>136.64240000000001</v>
      </c>
      <c r="J5134">
        <v>-147.2004</v>
      </c>
      <c r="K5134">
        <v>1.1057669999999999</v>
      </c>
      <c r="L5134">
        <v>136.63140000000001</v>
      </c>
      <c r="M5134">
        <v>0.99877780000000005</v>
      </c>
      <c r="N5134">
        <v>0</v>
      </c>
      <c r="O5134">
        <v>-4.7950069999999997E-2</v>
      </c>
      <c r="P5134">
        <v>0.98954850000000005</v>
      </c>
      <c r="Q5134">
        <v>0.14292869999999999</v>
      </c>
      <c r="R5134">
        <v>-1.911239E-2</v>
      </c>
      <c r="S5134">
        <v>3.1515960000000001</v>
      </c>
      <c r="T5134">
        <v>-0.81199149999999998</v>
      </c>
      <c r="U5134">
        <v>5.000305E-2</v>
      </c>
      <c r="V5134">
        <v>-2.8345700000000001E-2</v>
      </c>
      <c r="W5134">
        <v>0.154783</v>
      </c>
      <c r="X5134">
        <v>0.98754180000000003</v>
      </c>
      <c r="Y5134">
        <v>-6.0260340000000003E-2</v>
      </c>
      <c r="Z5134">
        <v>1.9791010000000001E-2</v>
      </c>
      <c r="AA5134">
        <v>0.9979865</v>
      </c>
      <c r="AB5134">
        <v>1</v>
      </c>
      <c r="AC5134">
        <v>0.67060000000000697</v>
      </c>
      <c r="AD5134">
        <v>-0.17664749999999901</v>
      </c>
      <c r="AE5134">
        <v>1.09999999999956E-2</v>
      </c>
      <c r="AF5134">
        <v>-4.0346163515113997E-2</v>
      </c>
      <c r="AG5134">
        <v>-0.17664749999999901</v>
      </c>
      <c r="AH5134">
        <v>0.62588355375188898</v>
      </c>
      <c r="AI5134">
        <v>105.730002235314</v>
      </c>
      <c r="AJ5134">
        <v>93.688339208024502</v>
      </c>
      <c r="AK5134">
        <v>0.65158451103731196</v>
      </c>
      <c r="AL5134">
        <v>81.095789094955506</v>
      </c>
      <c r="AM5134">
        <v>91.644126031047804</v>
      </c>
      <c r="AN5134">
        <v>1.00000003127236</v>
      </c>
    </row>
    <row r="5135" spans="1:40" x14ac:dyDescent="0.3">
      <c r="A5135" t="str">
        <f>"20200111150154149"</f>
        <v>20200111150154149</v>
      </c>
      <c r="B5135" t="str">
        <f>"1578726114144346"</f>
        <v>1578726114144346</v>
      </c>
      <c r="C5135" t="s">
        <v>40</v>
      </c>
      <c r="D5135">
        <v>4.8928070000000004</v>
      </c>
      <c r="E5135">
        <v>0.49469000000000002</v>
      </c>
      <c r="F5135" t="s">
        <v>42</v>
      </c>
      <c r="G5135">
        <v>-136.2355</v>
      </c>
      <c r="H5135" s="1">
        <v>-2.1362369999999999E-6</v>
      </c>
      <c r="I5135">
        <v>136.57769999999999</v>
      </c>
      <c r="J5135">
        <v>-147.1866</v>
      </c>
      <c r="K5135">
        <v>1.1057349999999999</v>
      </c>
      <c r="L5135">
        <v>136.63120000000001</v>
      </c>
      <c r="M5135">
        <v>0.99879879999999999</v>
      </c>
      <c r="N5135">
        <v>0</v>
      </c>
      <c r="O5135">
        <v>-4.7509410000000002E-2</v>
      </c>
      <c r="P5135">
        <v>0.98982919999999996</v>
      </c>
      <c r="Q5135">
        <v>0.14106279999999999</v>
      </c>
      <c r="R5135">
        <v>-1.84227E-2</v>
      </c>
      <c r="S5135">
        <v>3.0762019999999999</v>
      </c>
      <c r="T5135">
        <v>-0.3102239</v>
      </c>
      <c r="U5135">
        <v>-1.506042E-2</v>
      </c>
      <c r="V5135">
        <v>-2.8610259999999998E-2</v>
      </c>
      <c r="W5135">
        <v>0.152920899999999</v>
      </c>
      <c r="X5135">
        <v>0.98782420000000004</v>
      </c>
      <c r="Y5135">
        <v>-4.2167360000000001E-2</v>
      </c>
      <c r="Z5135">
        <v>6.8986769999999998E-3</v>
      </c>
      <c r="AA5135">
        <v>0.99908669999999999</v>
      </c>
      <c r="AB5135">
        <v>1</v>
      </c>
      <c r="AC5135">
        <v>10.951099999999901</v>
      </c>
      <c r="AD5135">
        <v>-1.1057371362369901</v>
      </c>
      <c r="AE5135">
        <v>-5.35000000000138E-2</v>
      </c>
      <c r="AF5135">
        <v>-0.46216645070983298</v>
      </c>
      <c r="AG5135">
        <v>-1.1057371362369901</v>
      </c>
      <c r="AH5135">
        <v>10.8308558569412</v>
      </c>
      <c r="AI5135">
        <v>95.823946508461802</v>
      </c>
      <c r="AJ5135">
        <v>92.443401786629494</v>
      </c>
      <c r="AK5135">
        <v>10.896957879906401</v>
      </c>
      <c r="AL5135">
        <v>81.203764869174606</v>
      </c>
      <c r="AM5135">
        <v>91.658988531088497</v>
      </c>
      <c r="AN5135">
        <v>0.99999999936985795</v>
      </c>
    </row>
    <row r="5136" spans="1:40" x14ac:dyDescent="0.3">
      <c r="A5136" t="str">
        <f>"20200111150154172"</f>
        <v>20200111150154172</v>
      </c>
      <c r="B5136" t="str">
        <f>"1578726114163864"</f>
        <v>1578726114163864</v>
      </c>
      <c r="C5136" t="s">
        <v>40</v>
      </c>
      <c r="D5136">
        <v>4.7199119999999999</v>
      </c>
      <c r="E5136">
        <v>0.49226110000000001</v>
      </c>
      <c r="F5136" t="s">
        <v>42</v>
      </c>
      <c r="G5136">
        <v>-131.91820000000001</v>
      </c>
      <c r="H5136" s="1">
        <v>-3.978075E-6</v>
      </c>
      <c r="I5136">
        <v>136.63570000000001</v>
      </c>
      <c r="J5136">
        <v>-147.1712</v>
      </c>
      <c r="K5136">
        <v>1.105731</v>
      </c>
      <c r="L5136">
        <v>136.631</v>
      </c>
      <c r="M5136">
        <v>0.99882099999999996</v>
      </c>
      <c r="N5136">
        <v>0</v>
      </c>
      <c r="O5136">
        <v>-4.7041850000000003E-2</v>
      </c>
      <c r="P5136">
        <v>0.99015120000000001</v>
      </c>
      <c r="Q5136">
        <v>0.13910729999999999</v>
      </c>
      <c r="R5136">
        <v>-1.5810620000000001E-2</v>
      </c>
      <c r="S5136">
        <v>3.0624539999999998</v>
      </c>
      <c r="T5136">
        <v>-0.22178239999999999</v>
      </c>
      <c r="U5136">
        <v>9.0026859999999995E-4</v>
      </c>
      <c r="V5136">
        <v>-3.0770260000000001E-2</v>
      </c>
      <c r="W5136">
        <v>0.1509683</v>
      </c>
      <c r="X5136">
        <v>0.98805960000000004</v>
      </c>
      <c r="Y5136">
        <v>-4.7092410000000001E-2</v>
      </c>
      <c r="Z5136">
        <v>5.1045980000000001E-3</v>
      </c>
      <c r="AA5136">
        <v>0.99887749999999997</v>
      </c>
      <c r="AB5136">
        <v>1</v>
      </c>
      <c r="AC5136">
        <v>15.252999999999901</v>
      </c>
      <c r="AD5136">
        <v>-1.1057349780750001</v>
      </c>
      <c r="AE5136">
        <v>4.7000000000139101E-3</v>
      </c>
      <c r="AF5136">
        <v>-0.71849980497253796</v>
      </c>
      <c r="AG5136">
        <v>-1.1057349780750001</v>
      </c>
      <c r="AH5136">
        <v>15.156240667185401</v>
      </c>
      <c r="AI5136">
        <v>94.167999939211896</v>
      </c>
      <c r="AJ5136">
        <v>92.7141432999844</v>
      </c>
      <c r="AK5136">
        <v>15.213498051833099</v>
      </c>
      <c r="AL5136">
        <v>81.316954923408701</v>
      </c>
      <c r="AM5136">
        <v>91.783734933252106</v>
      </c>
      <c r="AN5136">
        <v>1.0000000048287501</v>
      </c>
    </row>
    <row r="5137" spans="1:40" x14ac:dyDescent="0.3">
      <c r="A5137" t="str">
        <f>"20200111150154193"</f>
        <v>20200111150154193</v>
      </c>
      <c r="B5137" t="str">
        <f>"1578726114184360"</f>
        <v>1578726114184360</v>
      </c>
      <c r="C5137" t="s">
        <v>40</v>
      </c>
      <c r="D5137">
        <v>5.0880780000000003</v>
      </c>
      <c r="E5137">
        <v>0.49100090000000002</v>
      </c>
      <c r="F5137" t="s">
        <v>42</v>
      </c>
      <c r="G5137">
        <v>-124.11320000000001</v>
      </c>
      <c r="H5137" s="1">
        <v>-3.0048820000000002E-6</v>
      </c>
      <c r="I5137">
        <v>136.8135</v>
      </c>
      <c r="J5137">
        <v>-147.15790000000001</v>
      </c>
      <c r="K5137">
        <v>1.1057459999999999</v>
      </c>
      <c r="L5137">
        <v>136.6309</v>
      </c>
      <c r="M5137">
        <v>0.99883909999999998</v>
      </c>
      <c r="N5137">
        <v>0</v>
      </c>
      <c r="O5137">
        <v>-4.6657869999999997E-2</v>
      </c>
      <c r="P5137">
        <v>0.99024190000000001</v>
      </c>
      <c r="Q5137">
        <v>0.13867660000000001</v>
      </c>
      <c r="R5137">
        <v>-1.378046E-2</v>
      </c>
      <c r="S5137">
        <v>3.0507810000000002</v>
      </c>
      <c r="T5137">
        <v>-0.14629829999999999</v>
      </c>
      <c r="U5137">
        <v>2.4139399999999998E-2</v>
      </c>
      <c r="V5137">
        <v>-3.2419009999999998E-2</v>
      </c>
      <c r="W5137">
        <v>0.1505379</v>
      </c>
      <c r="X5137">
        <v>0.98807250000000002</v>
      </c>
      <c r="Y5137">
        <v>-5.4447269999999999E-2</v>
      </c>
      <c r="Z5137">
        <v>3.5405060000000001E-3</v>
      </c>
      <c r="AA5137">
        <v>0.99851040000000002</v>
      </c>
      <c r="AB5137">
        <v>1</v>
      </c>
      <c r="AC5137">
        <v>23.044699999999999</v>
      </c>
      <c r="AD5137">
        <v>-1.10574900488199</v>
      </c>
      <c r="AE5137">
        <v>0.18260000000000701</v>
      </c>
      <c r="AF5137">
        <v>-1.2548060574169</v>
      </c>
      <c r="AG5137">
        <v>-1.10574900488199</v>
      </c>
      <c r="AH5137">
        <v>22.9582242261551</v>
      </c>
      <c r="AI5137">
        <v>92.753332767802704</v>
      </c>
      <c r="AJ5137">
        <v>93.128448793016801</v>
      </c>
      <c r="AK5137">
        <v>23.019063376296199</v>
      </c>
      <c r="AL5137">
        <v>81.341899709409503</v>
      </c>
      <c r="AM5137">
        <v>91.8792207496153</v>
      </c>
      <c r="AN5137">
        <v>0.99999995840101896</v>
      </c>
    </row>
    <row r="5138" spans="1:40" x14ac:dyDescent="0.3">
      <c r="A5138" t="str">
        <f>"20200111150154215"</f>
        <v>20200111150154215</v>
      </c>
      <c r="B5138" t="str">
        <f>"1578726114203880"</f>
        <v>1578726114203880</v>
      </c>
      <c r="C5138" t="s">
        <v>40</v>
      </c>
      <c r="D5138">
        <v>4.6555410000000004</v>
      </c>
      <c r="E5138">
        <v>0.49072389999999999</v>
      </c>
      <c r="F5138" t="s">
        <v>42</v>
      </c>
      <c r="G5138">
        <v>-117.7971</v>
      </c>
      <c r="H5138" s="1">
        <v>-1.4304669999999901E-6</v>
      </c>
      <c r="I5138">
        <v>137.0051</v>
      </c>
      <c r="J5138">
        <v>-147.14349999999999</v>
      </c>
      <c r="K5138">
        <v>1.105766</v>
      </c>
      <c r="L5138">
        <v>136.63069999999999</v>
      </c>
      <c r="M5138">
        <v>0.99885699999999999</v>
      </c>
      <c r="N5138">
        <v>0</v>
      </c>
      <c r="O5138">
        <v>-4.6270560000000002E-2</v>
      </c>
      <c r="P5138">
        <v>0.99015719999999996</v>
      </c>
      <c r="Q5138">
        <v>0.1392592</v>
      </c>
      <c r="R5138">
        <v>-1.3988199999999999E-2</v>
      </c>
      <c r="S5138">
        <v>3.0461879999999999</v>
      </c>
      <c r="T5138">
        <v>-0.11472160000000001</v>
      </c>
      <c r="U5138">
        <v>3.8833619999999999E-2</v>
      </c>
      <c r="V5138">
        <v>-3.1821559999999999E-2</v>
      </c>
      <c r="W5138">
        <v>0.15112010000000001</v>
      </c>
      <c r="X5138">
        <v>0.98800310000000002</v>
      </c>
      <c r="Y5138">
        <v>-5.892915E-2</v>
      </c>
      <c r="Z5138">
        <v>2.8508990000000001E-3</v>
      </c>
      <c r="AA5138">
        <v>0.99825810000000004</v>
      </c>
      <c r="AB5138">
        <v>1</v>
      </c>
      <c r="AC5138">
        <v>29.3463999999999</v>
      </c>
      <c r="AD5138">
        <v>-1.105767430467</v>
      </c>
      <c r="AE5138">
        <v>0.374400000000008</v>
      </c>
      <c r="AF5138">
        <v>-1.7295157797313701</v>
      </c>
      <c r="AG5138">
        <v>-1.105767430467</v>
      </c>
      <c r="AH5138">
        <v>29.256108721614801</v>
      </c>
      <c r="AI5138">
        <v>92.160759131236205</v>
      </c>
      <c r="AJ5138">
        <v>93.383182672011699</v>
      </c>
      <c r="AK5138">
        <v>29.328038529256801</v>
      </c>
      <c r="AL5138">
        <v>81.308156533336003</v>
      </c>
      <c r="AM5138">
        <v>91.844742217699306</v>
      </c>
      <c r="AN5138">
        <v>1.00000001095722</v>
      </c>
    </row>
    <row r="5139" spans="1:40" x14ac:dyDescent="0.3">
      <c r="A5139" t="str">
        <f>"20200111150154238"</f>
        <v>20200111150154238</v>
      </c>
      <c r="B5139" t="str">
        <f>"1578726114234136"</f>
        <v>1578726114234136</v>
      </c>
      <c r="C5139" t="s">
        <v>40</v>
      </c>
      <c r="D5139">
        <v>4.6225259999999997</v>
      </c>
      <c r="E5139">
        <v>0.49127359999999998</v>
      </c>
      <c r="F5139" t="s">
        <v>42</v>
      </c>
      <c r="G5139">
        <v>-116.8098</v>
      </c>
      <c r="H5139" s="1">
        <v>-1.8083820000000001E-6</v>
      </c>
      <c r="I5139">
        <v>137.03710000000001</v>
      </c>
      <c r="J5139">
        <v>-147.12889999999999</v>
      </c>
      <c r="K5139">
        <v>1.105785</v>
      </c>
      <c r="L5139">
        <v>136.63040000000001</v>
      </c>
      <c r="M5139">
        <v>0.99887409999999999</v>
      </c>
      <c r="N5139">
        <v>0</v>
      </c>
      <c r="O5139">
        <v>-4.5901009999999999E-2</v>
      </c>
      <c r="P5139">
        <v>0.99006870000000002</v>
      </c>
      <c r="Q5139">
        <v>0.13978399999999999</v>
      </c>
      <c r="R5139">
        <v>-1.49906E-2</v>
      </c>
      <c r="S5139">
        <v>3.0460210000000001</v>
      </c>
      <c r="T5139">
        <v>-0.11103789999999999</v>
      </c>
      <c r="U5139">
        <v>4.0817260000000001E-2</v>
      </c>
      <c r="V5139">
        <v>-3.04467E-2</v>
      </c>
      <c r="W5139">
        <v>0.15164420000000001</v>
      </c>
      <c r="X5139">
        <v>0.98796609999999996</v>
      </c>
      <c r="Y5139">
        <v>-5.9215249999999997E-2</v>
      </c>
      <c r="Z5139">
        <v>2.751318E-3</v>
      </c>
      <c r="AA5139">
        <v>0.99824139999999995</v>
      </c>
      <c r="AB5139">
        <v>1</v>
      </c>
      <c r="AC5139">
        <v>30.319099999999899</v>
      </c>
      <c r="AD5139">
        <v>-1.1057868083819999</v>
      </c>
      <c r="AE5139">
        <v>0.40670000000000001</v>
      </c>
      <c r="AF5139">
        <v>-1.7956604192352501</v>
      </c>
      <c r="AG5139">
        <v>-1.1057868083819999</v>
      </c>
      <c r="AH5139">
        <v>30.228267803518101</v>
      </c>
      <c r="AI5139">
        <v>92.091331770539895</v>
      </c>
      <c r="AJ5139">
        <v>93.399566339761606</v>
      </c>
      <c r="AK5139">
        <v>30.301738154898199</v>
      </c>
      <c r="AL5139">
        <v>81.277777523204406</v>
      </c>
      <c r="AM5139">
        <v>91.765157196908604</v>
      </c>
      <c r="AN5139">
        <v>0.99999998984187</v>
      </c>
    </row>
    <row r="5140" spans="1:40" x14ac:dyDescent="0.3">
      <c r="A5140" t="str">
        <f>"20200111150154261"</f>
        <v>20200111150154261</v>
      </c>
      <c r="B5140" t="str">
        <f>"1578726114254633"</f>
        <v>1578726114254633</v>
      </c>
      <c r="C5140" t="s">
        <v>40</v>
      </c>
      <c r="D5140">
        <v>4.820786</v>
      </c>
      <c r="E5140">
        <v>0.49159510000000001</v>
      </c>
      <c r="F5140" t="s">
        <v>42</v>
      </c>
      <c r="G5140">
        <v>-119.35420000000001</v>
      </c>
      <c r="H5140" s="1">
        <v>-9.1974480000000005E-7</v>
      </c>
      <c r="I5140">
        <v>136.9331</v>
      </c>
      <c r="J5140">
        <v>-147.114</v>
      </c>
      <c r="K5140">
        <v>1.105809</v>
      </c>
      <c r="L5140">
        <v>136.6302</v>
      </c>
      <c r="M5140">
        <v>0.99889019999999995</v>
      </c>
      <c r="N5140">
        <v>0</v>
      </c>
      <c r="O5140">
        <v>-4.5549659999999999E-2</v>
      </c>
      <c r="P5140">
        <v>0.98942240000000004</v>
      </c>
      <c r="Q5140">
        <v>0.144091</v>
      </c>
      <c r="R5140">
        <v>-1.676948E-2</v>
      </c>
      <c r="S5140">
        <v>3.0477449999999999</v>
      </c>
      <c r="T5140">
        <v>-0.121339</v>
      </c>
      <c r="U5140">
        <v>3.3218379999999999E-2</v>
      </c>
      <c r="V5140">
        <v>-2.828961E-2</v>
      </c>
      <c r="W5140">
        <v>0.1559441</v>
      </c>
      <c r="X5140">
        <v>0.98736069999999998</v>
      </c>
      <c r="Y5140">
        <v>-5.6356879999999998E-2</v>
      </c>
      <c r="Z5140">
        <v>2.9338369999999999E-3</v>
      </c>
      <c r="AA5140">
        <v>0.99840640000000003</v>
      </c>
      <c r="AB5140">
        <v>1</v>
      </c>
      <c r="AC5140">
        <v>27.759799999999998</v>
      </c>
      <c r="AD5140">
        <v>-1.1058099197447999</v>
      </c>
      <c r="AE5140">
        <v>0.30289999999999301</v>
      </c>
      <c r="AF5140">
        <v>-1.56464329910481</v>
      </c>
      <c r="AG5140">
        <v>-1.1058099197447999</v>
      </c>
      <c r="AH5140">
        <v>27.673277956009599</v>
      </c>
      <c r="AI5140">
        <v>92.284647435654705</v>
      </c>
      <c r="AJ5140">
        <v>93.236050077605896</v>
      </c>
      <c r="AK5140">
        <v>27.7395248168134</v>
      </c>
      <c r="AL5140">
        <v>81.028445021889198</v>
      </c>
      <c r="AM5140">
        <v>91.641175243924096</v>
      </c>
      <c r="AN5140">
        <v>1.00000000813162</v>
      </c>
    </row>
    <row r="5141" spans="1:40" x14ac:dyDescent="0.3">
      <c r="A5141" t="str">
        <f>"20200111150154282"</f>
        <v>20200111150154282</v>
      </c>
      <c r="B5141" t="str">
        <f>"1578726114274152"</f>
        <v>1578726114274152</v>
      </c>
      <c r="C5141" t="s">
        <v>40</v>
      </c>
      <c r="D5141">
        <v>4.8936359999999999</v>
      </c>
      <c r="E5141">
        <v>0.49211880000000002</v>
      </c>
      <c r="F5141" t="s">
        <v>42</v>
      </c>
      <c r="G5141">
        <v>-124.5496</v>
      </c>
      <c r="H5141" s="1">
        <v>-2.8166860000000001E-6</v>
      </c>
      <c r="I5141">
        <v>136.81899999999999</v>
      </c>
      <c r="J5141">
        <v>-147.1002</v>
      </c>
      <c r="K5141">
        <v>1.1058460000000001</v>
      </c>
      <c r="L5141">
        <v>136.62989999999999</v>
      </c>
      <c r="M5141">
        <v>0.99890409999999996</v>
      </c>
      <c r="N5141">
        <v>0</v>
      </c>
      <c r="O5141">
        <v>-4.5242949999999997E-2</v>
      </c>
      <c r="P5141">
        <v>0.98860040000000005</v>
      </c>
      <c r="Q5141">
        <v>0.14947360000000001</v>
      </c>
      <c r="R5141">
        <v>-1.8085899999999999E-2</v>
      </c>
      <c r="S5141">
        <v>3.0543209999999998</v>
      </c>
      <c r="T5141">
        <v>-0.14968299999999901</v>
      </c>
      <c r="U5141">
        <v>2.555847E-2</v>
      </c>
      <c r="V5141">
        <v>-2.6632570000000001E-2</v>
      </c>
      <c r="W5141">
        <v>0.16131679999999901</v>
      </c>
      <c r="X5141">
        <v>0.98654319999999895</v>
      </c>
      <c r="Y5141">
        <v>-5.348526E-2</v>
      </c>
      <c r="Z5141">
        <v>3.525313E-3</v>
      </c>
      <c r="AA5141">
        <v>0.99856239999999996</v>
      </c>
      <c r="AB5141">
        <v>1</v>
      </c>
      <c r="AC5141">
        <v>22.550599999999999</v>
      </c>
      <c r="AD5141">
        <v>-1.1058488166860001</v>
      </c>
      <c r="AE5141">
        <v>0.18909999999999599</v>
      </c>
      <c r="AF5141">
        <v>-1.2063345398904399</v>
      </c>
      <c r="AG5141">
        <v>-1.1058488166860001</v>
      </c>
      <c r="AH5141">
        <v>22.464929702643801</v>
      </c>
      <c r="AI5141">
        <v>92.814094398239902</v>
      </c>
      <c r="AJ5141">
        <v>93.073749119257698</v>
      </c>
      <c r="AK5141">
        <v>22.5244580661161</v>
      </c>
      <c r="AL5141">
        <v>80.716663220618003</v>
      </c>
      <c r="AM5141">
        <v>91.546372558956094</v>
      </c>
      <c r="AN5141">
        <v>0.99999994460663999</v>
      </c>
    </row>
    <row r="5142" spans="1:40" x14ac:dyDescent="0.3">
      <c r="A5142" t="str">
        <f>"20200111150154305"</f>
        <v>20200111150154305</v>
      </c>
      <c r="B5142" t="str">
        <f>"1578726114294648"</f>
        <v>1578726114294648</v>
      </c>
      <c r="C5142" t="s">
        <v>40</v>
      </c>
      <c r="D5142">
        <v>4.8112339999999998</v>
      </c>
      <c r="E5142">
        <v>0.49207380000000001</v>
      </c>
      <c r="F5142" t="s">
        <v>42</v>
      </c>
      <c r="G5142">
        <v>-125.447</v>
      </c>
      <c r="H5142" s="1">
        <v>-2.4436330000000001E-6</v>
      </c>
      <c r="I5142">
        <v>136.75200000000001</v>
      </c>
      <c r="J5142">
        <v>-147.0857</v>
      </c>
      <c r="K5142">
        <v>1.1058870000000001</v>
      </c>
      <c r="L5142">
        <v>136.62960000000001</v>
      </c>
      <c r="M5142">
        <v>0.99891810000000003</v>
      </c>
      <c r="N5142">
        <v>0</v>
      </c>
      <c r="O5142">
        <v>-4.4934019999999998E-2</v>
      </c>
      <c r="P5142">
        <v>0.98760409999999998</v>
      </c>
      <c r="Q5142">
        <v>0.155660299999999</v>
      </c>
      <c r="R5142">
        <v>-2.019992E-2</v>
      </c>
      <c r="S5142">
        <v>3.0585170000000002</v>
      </c>
      <c r="T5142">
        <v>-0.15620100000000001</v>
      </c>
      <c r="U5142">
        <v>1.724243E-2</v>
      </c>
      <c r="V5142">
        <v>-2.417095E-2</v>
      </c>
      <c r="W5142">
        <v>0.16749159999999999</v>
      </c>
      <c r="X5142">
        <v>0.98557720000000004</v>
      </c>
      <c r="Y5142">
        <v>-5.0443979999999999E-2</v>
      </c>
      <c r="Z5142">
        <v>3.5802210000000002E-3</v>
      </c>
      <c r="AA5142">
        <v>0.99872050000000001</v>
      </c>
      <c r="AB5142">
        <v>1</v>
      </c>
      <c r="AC5142">
        <v>21.6387</v>
      </c>
      <c r="AD5142">
        <v>-1.105889443633</v>
      </c>
      <c r="AE5142">
        <v>0.122399999999998</v>
      </c>
      <c r="AF5142">
        <v>-1.0918083006309101</v>
      </c>
      <c r="AG5142">
        <v>-1.105889443633</v>
      </c>
      <c r="AH5142">
        <v>21.5550421174833</v>
      </c>
      <c r="AI5142">
        <v>92.933252251874293</v>
      </c>
      <c r="AJ5142">
        <v>92.899673815514205</v>
      </c>
      <c r="AK5142">
        <v>21.610989739328101</v>
      </c>
      <c r="AL5142">
        <v>80.357993145954097</v>
      </c>
      <c r="AM5142">
        <v>91.404878146225698</v>
      </c>
      <c r="AN5142">
        <v>1.0000000440271499</v>
      </c>
    </row>
    <row r="5143" spans="1:40" x14ac:dyDescent="0.3">
      <c r="A5143" t="str">
        <f>"20200111150154327"</f>
        <v>20200111150154327</v>
      </c>
      <c r="B5143" t="str">
        <f>"1578726114323928"</f>
        <v>1578726114323928</v>
      </c>
      <c r="C5143" t="s">
        <v>40</v>
      </c>
      <c r="D5143">
        <v>4.8381499999999997</v>
      </c>
      <c r="E5143">
        <v>0.49202960000000001</v>
      </c>
      <c r="F5143" t="s">
        <v>42</v>
      </c>
      <c r="G5143">
        <v>-124.4499</v>
      </c>
      <c r="H5143" s="1">
        <v>-2.8795410000000002E-6</v>
      </c>
      <c r="I5143">
        <v>136.70599999999999</v>
      </c>
      <c r="J5143">
        <v>-147.07159999999999</v>
      </c>
      <c r="K5143">
        <v>1.105915</v>
      </c>
      <c r="L5143">
        <v>136.6293</v>
      </c>
      <c r="M5143">
        <v>0.99893129999999997</v>
      </c>
      <c r="N5143">
        <v>0</v>
      </c>
      <c r="O5143">
        <v>-4.4641029999999998E-2</v>
      </c>
      <c r="P5143">
        <v>0.98683509999999997</v>
      </c>
      <c r="Q5143">
        <v>0.160165</v>
      </c>
      <c r="R5143">
        <v>-2.2443540000000001E-2</v>
      </c>
      <c r="S5143">
        <v>3.061401</v>
      </c>
      <c r="T5143">
        <v>-0.1495667</v>
      </c>
      <c r="U5143">
        <v>1.0330199999999999E-2</v>
      </c>
      <c r="V5143">
        <v>-2.1607169999999998E-2</v>
      </c>
      <c r="W5143">
        <v>0.17198769999999999</v>
      </c>
      <c r="X5143">
        <v>0.98486209999999996</v>
      </c>
      <c r="Y5143">
        <v>-4.790457E-2</v>
      </c>
      <c r="Z5143">
        <v>3.3488160000000001E-3</v>
      </c>
      <c r="AA5143">
        <v>0.99884629999999996</v>
      </c>
      <c r="AB5143">
        <v>1</v>
      </c>
      <c r="AC5143">
        <v>22.621699999999901</v>
      </c>
      <c r="AD5143">
        <v>-1.1059178795410001</v>
      </c>
      <c r="AE5143">
        <v>7.6700000000016602E-2</v>
      </c>
      <c r="AF5143">
        <v>-1.0839613252018101</v>
      </c>
      <c r="AG5143">
        <v>-1.1059178795410001</v>
      </c>
      <c r="AH5143">
        <v>22.541846734425</v>
      </c>
      <c r="AI5143">
        <v>92.805480198842204</v>
      </c>
      <c r="AJ5143">
        <v>92.7530399833568</v>
      </c>
      <c r="AK5143">
        <v>22.594974678214001</v>
      </c>
      <c r="AL5143">
        <v>80.096591688033897</v>
      </c>
      <c r="AM5143">
        <v>91.256826794190303</v>
      </c>
      <c r="AN5143">
        <v>0.99999999738155398</v>
      </c>
    </row>
    <row r="5144" spans="1:40" x14ac:dyDescent="0.3">
      <c r="A5144" t="str">
        <f>"20200111150154350"</f>
        <v>20200111150154350</v>
      </c>
      <c r="B5144" t="str">
        <f>"1578726114344428"</f>
        <v>1578726114344428</v>
      </c>
      <c r="C5144" t="s">
        <v>40</v>
      </c>
      <c r="D5144">
        <v>4.8304410000000004</v>
      </c>
      <c r="E5144">
        <v>0.4918554</v>
      </c>
      <c r="F5144" t="s">
        <v>42</v>
      </c>
      <c r="G5144">
        <v>-127.3015</v>
      </c>
      <c r="H5144" s="1">
        <v>-1.6926859999999999E-6</v>
      </c>
      <c r="I5144">
        <v>136.65350000000001</v>
      </c>
      <c r="J5144">
        <v>-147.05699999999999</v>
      </c>
      <c r="K5144">
        <v>1.105939</v>
      </c>
      <c r="L5144">
        <v>136.62909999999999</v>
      </c>
      <c r="M5144">
        <v>0.99894439999999995</v>
      </c>
      <c r="N5144">
        <v>0</v>
      </c>
      <c r="O5144">
        <v>-4.4345999999999997E-2</v>
      </c>
      <c r="P5144">
        <v>0.98592049999999998</v>
      </c>
      <c r="Q5144">
        <v>0.1656321</v>
      </c>
      <c r="R5144">
        <v>-2.2957399999999999E-2</v>
      </c>
      <c r="S5144">
        <v>3.0679780000000001</v>
      </c>
      <c r="T5144">
        <v>-0.1716192</v>
      </c>
      <c r="U5144">
        <v>3.7536620000000001E-3</v>
      </c>
      <c r="V5144">
        <v>-2.0764910000000001E-2</v>
      </c>
      <c r="W5144">
        <v>0.1774434</v>
      </c>
      <c r="X5144">
        <v>0.98391189999999995</v>
      </c>
      <c r="Y5144">
        <v>-4.5431119999999998E-2</v>
      </c>
      <c r="Z5144">
        <v>3.748E-3</v>
      </c>
      <c r="AA5144">
        <v>0.99896039999999997</v>
      </c>
      <c r="AB5144">
        <v>1</v>
      </c>
      <c r="AC5144">
        <v>19.755500000000001</v>
      </c>
      <c r="AD5144">
        <v>-1.105940692686</v>
      </c>
      <c r="AE5144">
        <v>2.4400000000014101E-2</v>
      </c>
      <c r="AF5144">
        <v>-0.89770294572275899</v>
      </c>
      <c r="AG5144">
        <v>-1.105940692686</v>
      </c>
      <c r="AH5144">
        <v>19.6733257699291</v>
      </c>
      <c r="AI5144">
        <v>93.214172052204802</v>
      </c>
      <c r="AJ5144">
        <v>92.612620620850507</v>
      </c>
      <c r="AK5144">
        <v>19.724825024426799</v>
      </c>
      <c r="AL5144">
        <v>79.779119476475401</v>
      </c>
      <c r="AM5144">
        <v>91.209015884656907</v>
      </c>
      <c r="AN5144">
        <v>0.99999998432623805</v>
      </c>
    </row>
    <row r="5145" spans="1:40" x14ac:dyDescent="0.3">
      <c r="A5145" t="str">
        <f>"20200111150154371"</f>
        <v>20200111150154371</v>
      </c>
      <c r="B5145" t="str">
        <f>"1578726114363946"</f>
        <v>1578726114363946</v>
      </c>
      <c r="C5145" t="s">
        <v>40</v>
      </c>
      <c r="D5145">
        <v>4.8036880000000002</v>
      </c>
      <c r="E5145">
        <v>0.4917801</v>
      </c>
      <c r="F5145" t="s">
        <v>42</v>
      </c>
      <c r="G5145">
        <v>-126.1108</v>
      </c>
      <c r="H5145" s="1">
        <v>-2.1778020000000002E-6</v>
      </c>
      <c r="I5145">
        <v>136.64519999999999</v>
      </c>
      <c r="J5145">
        <v>-147.04320000000001</v>
      </c>
      <c r="K5145">
        <v>1.1059589999999999</v>
      </c>
      <c r="L5145">
        <v>136.62880000000001</v>
      </c>
      <c r="M5145">
        <v>0.99895639999999997</v>
      </c>
      <c r="N5145">
        <v>0</v>
      </c>
      <c r="O5145">
        <v>-4.4073550000000003E-2</v>
      </c>
      <c r="P5145">
        <v>0.98479110000000003</v>
      </c>
      <c r="Q5145">
        <v>0.17250399999999999</v>
      </c>
      <c r="R5145">
        <v>-2.0718279999999999E-2</v>
      </c>
      <c r="S5145">
        <v>3.0701290000000001</v>
      </c>
      <c r="T5145">
        <v>-0.16209949999999901</v>
      </c>
      <c r="U5145">
        <v>2.3651119999999999E-3</v>
      </c>
      <c r="V5145">
        <v>-2.2684200000000002E-2</v>
      </c>
      <c r="W5145">
        <v>0.1843011</v>
      </c>
      <c r="X5145">
        <v>0.98260800000000004</v>
      </c>
      <c r="Y5145">
        <v>-4.4722659999999997E-2</v>
      </c>
      <c r="Z5145">
        <v>3.5048589999999999E-3</v>
      </c>
      <c r="AA5145">
        <v>0.99899329999999997</v>
      </c>
      <c r="AB5145">
        <v>1</v>
      </c>
      <c r="AC5145">
        <v>20.932400000000001</v>
      </c>
      <c r="AD5145">
        <v>-1.105961177802</v>
      </c>
      <c r="AE5145">
        <v>1.6399999999975899E-2</v>
      </c>
      <c r="AF5145">
        <v>-0.93640151445699205</v>
      </c>
      <c r="AG5145">
        <v>-1.105961177802</v>
      </c>
      <c r="AH5145">
        <v>20.853121973395599</v>
      </c>
      <c r="AI5145">
        <v>93.032830441406702</v>
      </c>
      <c r="AJ5145">
        <v>92.571117969680103</v>
      </c>
      <c r="AK5145">
        <v>20.903413452362201</v>
      </c>
      <c r="AL5145">
        <v>79.379611990566303</v>
      </c>
      <c r="AM5145">
        <v>91.322478650907001</v>
      </c>
      <c r="AN5145">
        <v>0.99999997502742399</v>
      </c>
    </row>
    <row r="5146" spans="1:40" x14ac:dyDescent="0.3">
      <c r="A5146" t="str">
        <f>"20200111150154394"</f>
        <v>20200111150154394</v>
      </c>
      <c r="B5146" t="str">
        <f>"1578726114384440"</f>
        <v>1578726114384440</v>
      </c>
      <c r="C5146" t="s">
        <v>40</v>
      </c>
      <c r="D5146">
        <v>4.6963819999999998</v>
      </c>
      <c r="E5146">
        <v>0.4915504</v>
      </c>
      <c r="F5146" t="s">
        <v>42</v>
      </c>
      <c r="G5146">
        <v>-124.0386</v>
      </c>
      <c r="H5146" s="1">
        <v>-3.0593000000000001E-6</v>
      </c>
      <c r="I5146">
        <v>136.68729999999999</v>
      </c>
      <c r="J5146">
        <v>-147.0292</v>
      </c>
      <c r="K5146">
        <v>1.1059760000000001</v>
      </c>
      <c r="L5146">
        <v>136.6285</v>
      </c>
      <c r="M5146">
        <v>0.99896799999999997</v>
      </c>
      <c r="N5146">
        <v>0</v>
      </c>
      <c r="O5146">
        <v>-4.3811509999999998E-2</v>
      </c>
      <c r="P5146">
        <v>0.98380339999999999</v>
      </c>
      <c r="Q5146">
        <v>0.1782987</v>
      </c>
      <c r="R5146">
        <v>-1.845668E-2</v>
      </c>
      <c r="S5146">
        <v>3.0723569999999998</v>
      </c>
      <c r="T5146">
        <v>-0.14770549999999999</v>
      </c>
      <c r="U5146">
        <v>7.8125E-3</v>
      </c>
      <c r="V5146">
        <v>-2.464218E-2</v>
      </c>
      <c r="W5146">
        <v>0.19008259999999999</v>
      </c>
      <c r="X5146">
        <v>0.98145879999999996</v>
      </c>
      <c r="Y5146">
        <v>-4.6250909999999999E-2</v>
      </c>
      <c r="Z5146">
        <v>3.2158489999999998E-3</v>
      </c>
      <c r="AA5146">
        <v>0.9989247</v>
      </c>
      <c r="AB5146">
        <v>1</v>
      </c>
      <c r="AC5146">
        <v>22.990600000000001</v>
      </c>
      <c r="AD5146">
        <v>-1.1059790593000001</v>
      </c>
      <c r="AE5146">
        <v>5.8799999999990797E-2</v>
      </c>
      <c r="AF5146">
        <v>-1.0636073657484999</v>
      </c>
      <c r="AG5146">
        <v>-1.1059790593000001</v>
      </c>
      <c r="AH5146">
        <v>22.912921498503799</v>
      </c>
      <c r="AI5146">
        <v>92.760485365457001</v>
      </c>
      <c r="AJ5146">
        <v>92.657736108701201</v>
      </c>
      <c r="AK5146">
        <v>22.964242245384099</v>
      </c>
      <c r="AL5146">
        <v>79.042395365895899</v>
      </c>
      <c r="AM5146">
        <v>91.438263470498399</v>
      </c>
      <c r="AN5146">
        <v>1.00000000397767</v>
      </c>
    </row>
    <row r="5147" spans="1:40" x14ac:dyDescent="0.3">
      <c r="A5147" t="str">
        <f>"20200111150154416"</f>
        <v>20200111150154416</v>
      </c>
      <c r="B5147" t="str">
        <f>"1578726114413721"</f>
        <v>1578726114413721</v>
      </c>
      <c r="C5147" t="s">
        <v>40</v>
      </c>
      <c r="D5147">
        <v>4.6693680000000004</v>
      </c>
      <c r="E5147">
        <v>0.47922439999999999</v>
      </c>
      <c r="F5147" t="s">
        <v>42</v>
      </c>
      <c r="G5147">
        <v>-119.0164</v>
      </c>
      <c r="H5147" s="1">
        <v>-1.080375E-6</v>
      </c>
      <c r="I5147">
        <v>136.76150000000001</v>
      </c>
      <c r="J5147">
        <v>-147.01480000000001</v>
      </c>
      <c r="K5147">
        <v>1.1059669999999999</v>
      </c>
      <c r="L5147">
        <v>136.6283</v>
      </c>
      <c r="M5147">
        <v>0.99897899999999995</v>
      </c>
      <c r="N5147">
        <v>0</v>
      </c>
      <c r="O5147">
        <v>-4.3559319999999999E-2</v>
      </c>
      <c r="P5147">
        <v>0.98334469999999996</v>
      </c>
      <c r="Q5147">
        <v>0.18109059999999999</v>
      </c>
      <c r="R5147">
        <v>-1.5476770000000001E-2</v>
      </c>
      <c r="S5147">
        <v>3.0716399999999999</v>
      </c>
      <c r="T5147">
        <v>-0.1212714</v>
      </c>
      <c r="U5147">
        <v>1.45874E-2</v>
      </c>
      <c r="V5147">
        <v>-2.7349269999999998E-2</v>
      </c>
      <c r="W5147">
        <v>0.19286880000000001</v>
      </c>
      <c r="X5147">
        <v>0.98084340000000003</v>
      </c>
      <c r="Y5147">
        <v>-4.8234949999999999E-2</v>
      </c>
      <c r="Z5147">
        <v>2.6706500000000001E-3</v>
      </c>
      <c r="AA5147">
        <v>0.99883250000000001</v>
      </c>
      <c r="AB5147">
        <v>1</v>
      </c>
      <c r="AC5147">
        <v>27.9984</v>
      </c>
      <c r="AD5147">
        <v>-1.1059680803749901</v>
      </c>
      <c r="AE5147">
        <v>0.133200000000016</v>
      </c>
      <c r="AF5147">
        <v>-1.3506449452849101</v>
      </c>
      <c r="AG5147">
        <v>-1.1059680803749901</v>
      </c>
      <c r="AH5147">
        <v>27.922451287085298</v>
      </c>
      <c r="AI5147">
        <v>92.265571489665206</v>
      </c>
      <c r="AJ5147">
        <v>92.769312161628093</v>
      </c>
      <c r="AK5147">
        <v>27.976967188075999</v>
      </c>
      <c r="AL5147">
        <v>78.879749104852806</v>
      </c>
      <c r="AM5147">
        <v>91.597188529028401</v>
      </c>
      <c r="AN5147">
        <v>1.00000006595326</v>
      </c>
    </row>
    <row r="5148" spans="1:40" x14ac:dyDescent="0.3">
      <c r="A5148" t="str">
        <f>"20200111150154443"</f>
        <v>20200111150154443</v>
      </c>
      <c r="B5148" t="str">
        <f>"1578726114434219"</f>
        <v>1578726114434219</v>
      </c>
      <c r="C5148" t="s">
        <v>40</v>
      </c>
      <c r="D5148">
        <v>4.716107</v>
      </c>
      <c r="E5148">
        <v>0.49646119999999999</v>
      </c>
      <c r="F5148" t="s">
        <v>46</v>
      </c>
      <c r="G5148">
        <v>0</v>
      </c>
      <c r="H5148">
        <v>0</v>
      </c>
      <c r="I5148">
        <v>0</v>
      </c>
      <c r="J5148">
        <v>-146.9982</v>
      </c>
      <c r="K5148">
        <v>1.105947</v>
      </c>
      <c r="L5148">
        <v>136.62790000000001</v>
      </c>
      <c r="M5148">
        <v>0.9989905</v>
      </c>
      <c r="N5148">
        <v>0</v>
      </c>
      <c r="O5148">
        <v>-4.3294659999999999E-2</v>
      </c>
      <c r="P5148">
        <v>0.98315810000000003</v>
      </c>
      <c r="Q5148">
        <v>0.1823912</v>
      </c>
      <c r="R5148">
        <v>-1.156742E-2</v>
      </c>
      <c r="S5148">
        <v>2.9587859999999999</v>
      </c>
      <c r="T5148">
        <v>0.5099534</v>
      </c>
      <c r="U5148">
        <v>0.1192474</v>
      </c>
      <c r="V5148">
        <v>-3.0982989999999998E-2</v>
      </c>
      <c r="W5148">
        <v>0.19416600000000001</v>
      </c>
      <c r="X5148">
        <v>0.98047930000000005</v>
      </c>
      <c r="Y5148">
        <v>-8.1655179999999994E-2</v>
      </c>
      <c r="Z5148">
        <v>-1.4387230000000001E-2</v>
      </c>
      <c r="AA5148">
        <v>0.99655680000000002</v>
      </c>
      <c r="AB5148">
        <v>1</v>
      </c>
      <c r="AC5148">
        <v>2.9587859999999999</v>
      </c>
      <c r="AD5148">
        <v>0.5099534</v>
      </c>
      <c r="AE5148">
        <v>0.1192474</v>
      </c>
      <c r="AF5148">
        <v>-0.240123042128744</v>
      </c>
      <c r="AG5148">
        <v>0.5099534</v>
      </c>
      <c r="AH5148">
        <v>2.8658551225754301</v>
      </c>
      <c r="AI5148">
        <v>79.944842519598694</v>
      </c>
      <c r="AJ5148">
        <v>94.789487180638801</v>
      </c>
      <c r="AK5148">
        <v>2.9207596835625802</v>
      </c>
      <c r="AL5148">
        <v>78.803992461909402</v>
      </c>
      <c r="AM5148">
        <v>91.809935246946495</v>
      </c>
      <c r="AN5148">
        <v>1.0000000194769101</v>
      </c>
    </row>
    <row r="5149" spans="1:40" x14ac:dyDescent="0.3">
      <c r="A5149" t="str">
        <f>"20200111150154461"</f>
        <v>20200111150154461</v>
      </c>
      <c r="B5149" t="str">
        <f>"1578726114453736"</f>
        <v>1578726114453736</v>
      </c>
      <c r="C5149" t="s">
        <v>40</v>
      </c>
      <c r="D5149">
        <v>4.9322900000000001</v>
      </c>
      <c r="E5149">
        <v>0.492508</v>
      </c>
      <c r="F5149" t="s">
        <v>42</v>
      </c>
      <c r="G5149">
        <v>-114.48220000000001</v>
      </c>
      <c r="H5149" s="1">
        <v>-2.8924929999999999E-6</v>
      </c>
      <c r="I5149">
        <v>136.5547</v>
      </c>
      <c r="J5149">
        <v>-146.98660000000001</v>
      </c>
      <c r="K5149">
        <v>1.105942</v>
      </c>
      <c r="L5149">
        <v>136.6276</v>
      </c>
      <c r="M5149">
        <v>0.99899760000000004</v>
      </c>
      <c r="N5149">
        <v>0</v>
      </c>
      <c r="O5149">
        <v>-4.3130830000000002E-2</v>
      </c>
      <c r="P5149">
        <v>0.98334529999999998</v>
      </c>
      <c r="Q5149">
        <v>0.18162420000000001</v>
      </c>
      <c r="R5149">
        <v>-6.7065909999999996E-3</v>
      </c>
      <c r="S5149">
        <v>3.070694</v>
      </c>
      <c r="T5149">
        <v>-0.1044419</v>
      </c>
      <c r="U5149">
        <v>-6.9122309999999996E-3</v>
      </c>
      <c r="V5149">
        <v>-3.5683989999999999E-2</v>
      </c>
      <c r="W5149">
        <v>0.19340019999999999</v>
      </c>
      <c r="X5149">
        <v>0.98047079999999998</v>
      </c>
      <c r="Y5149">
        <v>-4.083635E-2</v>
      </c>
      <c r="Z5149">
        <v>2.1605769999999999E-3</v>
      </c>
      <c r="AA5149">
        <v>0.99916349999999998</v>
      </c>
      <c r="AB5149">
        <v>1</v>
      </c>
      <c r="AC5149">
        <v>32.504399999999997</v>
      </c>
      <c r="AD5149">
        <v>-1.105944892493</v>
      </c>
      <c r="AE5149">
        <v>-7.29000000000041E-2</v>
      </c>
      <c r="AF5149">
        <v>-1.3276732253546399</v>
      </c>
      <c r="AG5149">
        <v>-1.105944892493</v>
      </c>
      <c r="AH5149">
        <v>32.439738449383903</v>
      </c>
      <c r="AI5149">
        <v>91.950955913116701</v>
      </c>
      <c r="AJ5149">
        <v>92.3436576537799</v>
      </c>
      <c r="AK5149">
        <v>32.485727034545398</v>
      </c>
      <c r="AL5149">
        <v>78.848716991627001</v>
      </c>
      <c r="AM5149">
        <v>92.084345624142799</v>
      </c>
      <c r="AN5149">
        <v>0.99999998707749904</v>
      </c>
    </row>
    <row r="5150" spans="1:40" x14ac:dyDescent="0.3">
      <c r="A5150" t="str">
        <f>"20200111150154483"</f>
        <v>20200111150154483</v>
      </c>
      <c r="B5150" t="str">
        <f>"1578726114474233"</f>
        <v>1578726114474233</v>
      </c>
      <c r="C5150" t="s">
        <v>40</v>
      </c>
      <c r="D5150">
        <v>4.8856840000000004</v>
      </c>
      <c r="E5150">
        <v>0.49179600000000001</v>
      </c>
      <c r="F5150" t="s">
        <v>42</v>
      </c>
      <c r="G5150">
        <v>-111.3408</v>
      </c>
      <c r="H5150" s="1">
        <v>-4.1505159999999999E-6</v>
      </c>
      <c r="I5150">
        <v>137.06010000000001</v>
      </c>
      <c r="J5150">
        <v>-146.97290000000001</v>
      </c>
      <c r="K5150">
        <v>1.105934</v>
      </c>
      <c r="L5150">
        <v>136.62729999999999</v>
      </c>
      <c r="M5150">
        <v>0.99900509999999998</v>
      </c>
      <c r="N5150">
        <v>0</v>
      </c>
      <c r="O5150">
        <v>-4.2955309999999997E-2</v>
      </c>
      <c r="P5150">
        <v>0.9834543</v>
      </c>
      <c r="Q5150">
        <v>0.18113989999999999</v>
      </c>
      <c r="R5150">
        <v>-2.479088E-3</v>
      </c>
      <c r="S5150">
        <v>3.0686650000000002</v>
      </c>
      <c r="T5150">
        <v>-9.5208050000000002E-2</v>
      </c>
      <c r="U5150">
        <v>3.7231449999999999E-2</v>
      </c>
      <c r="V5150">
        <v>-3.9738160000000002E-2</v>
      </c>
      <c r="W5150">
        <v>0.192916</v>
      </c>
      <c r="X5150">
        <v>0.98041029999999996</v>
      </c>
      <c r="Y5150">
        <v>-5.5028790000000001E-2</v>
      </c>
      <c r="Z5150">
        <v>2.185654E-3</v>
      </c>
      <c r="AA5150">
        <v>0.99848230000000004</v>
      </c>
      <c r="AB5150">
        <v>1</v>
      </c>
      <c r="AC5150">
        <v>35.632100000000001</v>
      </c>
      <c r="AD5150">
        <v>-1.105938150516</v>
      </c>
      <c r="AE5150">
        <v>0.43280000000001401</v>
      </c>
      <c r="AF5150">
        <v>-1.96120928543032</v>
      </c>
      <c r="AG5150">
        <v>-1.105938150516</v>
      </c>
      <c r="AH5150">
        <v>35.546376126454199</v>
      </c>
      <c r="AI5150">
        <v>91.779338114268498</v>
      </c>
      <c r="AJ5150">
        <v>93.157992865578294</v>
      </c>
      <c r="AK5150">
        <v>35.617612171190999</v>
      </c>
      <c r="AL5150">
        <v>78.876992583346905</v>
      </c>
      <c r="AM5150">
        <v>92.321051957955405</v>
      </c>
      <c r="AN5150">
        <v>1.0000000303811301</v>
      </c>
    </row>
    <row r="5151" spans="1:40" x14ac:dyDescent="0.3">
      <c r="A5151" t="str">
        <f>"20200111150154506"</f>
        <v>20200111150154506</v>
      </c>
      <c r="B5151" t="str">
        <f>"1578726114493753"</f>
        <v>1578726114493753</v>
      </c>
      <c r="C5151" t="s">
        <v>40</v>
      </c>
      <c r="D5151">
        <v>4.8906289999999997</v>
      </c>
      <c r="E5151">
        <v>0.4917898</v>
      </c>
      <c r="F5151" t="s">
        <v>42</v>
      </c>
      <c r="G5151">
        <v>-114.0471</v>
      </c>
      <c r="H5151" s="1">
        <v>-2.9621980000000001E-6</v>
      </c>
      <c r="I5151">
        <v>137.2141</v>
      </c>
      <c r="J5151">
        <v>-146.959</v>
      </c>
      <c r="K5151">
        <v>1.105917</v>
      </c>
      <c r="L5151">
        <v>136.62700000000001</v>
      </c>
      <c r="M5151">
        <v>0.99901209999999996</v>
      </c>
      <c r="N5151">
        <v>0</v>
      </c>
      <c r="O5151">
        <v>-4.2795229999999997E-2</v>
      </c>
      <c r="P5151">
        <v>0.98369439999999997</v>
      </c>
      <c r="Q5151">
        <v>0.17982699999999999</v>
      </c>
      <c r="R5151">
        <v>2.8071459999999999E-3</v>
      </c>
      <c r="S5151">
        <v>3.0695950000000001</v>
      </c>
      <c r="T5151">
        <v>-0.1031038</v>
      </c>
      <c r="U5151">
        <v>5.4702760000000003E-2</v>
      </c>
      <c r="V5151">
        <v>-4.4872160000000001E-2</v>
      </c>
      <c r="W5151">
        <v>0.19160479999999999</v>
      </c>
      <c r="X5151">
        <v>0.98044589999999998</v>
      </c>
      <c r="Y5151">
        <v>-6.0534940000000002E-2</v>
      </c>
      <c r="Z5151">
        <v>2.4531069999999999E-3</v>
      </c>
      <c r="AA5151">
        <v>0.99816300000000002</v>
      </c>
      <c r="AB5151">
        <v>1</v>
      </c>
      <c r="AC5151">
        <v>32.911900000000003</v>
      </c>
      <c r="AD5151">
        <v>-1.105919962198</v>
      </c>
      <c r="AE5151">
        <v>0.58709999999999196</v>
      </c>
      <c r="AF5151">
        <v>-1.99288588417873</v>
      </c>
      <c r="AG5151">
        <v>-1.105919962198</v>
      </c>
      <c r="AH5151">
        <v>32.819571468239801</v>
      </c>
      <c r="AI5151">
        <v>91.926418020702997</v>
      </c>
      <c r="AJ5151">
        <v>93.4748753359342</v>
      </c>
      <c r="AK5151">
        <v>32.898615844272904</v>
      </c>
      <c r="AL5151">
        <v>78.953547085201905</v>
      </c>
      <c r="AM5151">
        <v>92.620432757397197</v>
      </c>
      <c r="AN5151">
        <v>1.0000000364764501</v>
      </c>
    </row>
    <row r="5152" spans="1:40" x14ac:dyDescent="0.3">
      <c r="A5152" t="str">
        <f>"20200111150154528"</f>
        <v>20200111150154528</v>
      </c>
      <c r="B5152" t="str">
        <f>"1578726114524009"</f>
        <v>1578726114524009</v>
      </c>
      <c r="C5152" t="s">
        <v>40</v>
      </c>
      <c r="D5152">
        <v>4.8449140000000002</v>
      </c>
      <c r="E5152">
        <v>0.4928283</v>
      </c>
      <c r="F5152" t="s">
        <v>42</v>
      </c>
      <c r="G5152">
        <v>-113.9004</v>
      </c>
      <c r="H5152" s="1">
        <v>-2.9956460000000002E-6</v>
      </c>
      <c r="I5152">
        <v>137.3802</v>
      </c>
      <c r="J5152">
        <v>-146.9451</v>
      </c>
      <c r="K5152">
        <v>1.105899</v>
      </c>
      <c r="L5152">
        <v>136.6266</v>
      </c>
      <c r="M5152">
        <v>0.99901810000000002</v>
      </c>
      <c r="N5152">
        <v>0</v>
      </c>
      <c r="O5152">
        <v>-4.2652059999999999E-2</v>
      </c>
      <c r="P5152">
        <v>0.9839</v>
      </c>
      <c r="Q5152">
        <v>0.17853260000000001</v>
      </c>
      <c r="R5152">
        <v>8.20158E-3</v>
      </c>
      <c r="S5152">
        <v>3.068314</v>
      </c>
      <c r="T5152">
        <v>-0.10264520000000001</v>
      </c>
      <c r="U5152">
        <v>6.9915770000000002E-2</v>
      </c>
      <c r="V5152">
        <v>-5.0129840000000002E-2</v>
      </c>
      <c r="W5152">
        <v>0.19031110000000001</v>
      </c>
      <c r="X5152">
        <v>0.98044310000000001</v>
      </c>
      <c r="Y5152">
        <v>-6.5343390000000001E-2</v>
      </c>
      <c r="Z5152">
        <v>2.518747E-3</v>
      </c>
      <c r="AA5152">
        <v>0.99785970000000002</v>
      </c>
      <c r="AB5152">
        <v>1</v>
      </c>
      <c r="AC5152">
        <v>33.044699999999899</v>
      </c>
      <c r="AD5152">
        <v>-1.1059019956459999</v>
      </c>
      <c r="AE5152">
        <v>0.75360000000000504</v>
      </c>
      <c r="AF5152">
        <v>-2.1600218450294899</v>
      </c>
      <c r="AG5152">
        <v>-1.1059019956459999</v>
      </c>
      <c r="AH5152">
        <v>32.945598786902401</v>
      </c>
      <c r="AI5152">
        <v>91.918439515709494</v>
      </c>
      <c r="AJ5152">
        <v>93.751131148904406</v>
      </c>
      <c r="AK5152">
        <v>33.034848161033203</v>
      </c>
      <c r="AL5152">
        <v>79.029059742576393</v>
      </c>
      <c r="AM5152">
        <v>92.9269717605316</v>
      </c>
      <c r="AN5152">
        <v>0.99999999398962203</v>
      </c>
    </row>
    <row r="5153" spans="1:40" x14ac:dyDescent="0.3">
      <c r="A5153" t="str">
        <f>"20200111150154551"</f>
        <v>20200111150154551</v>
      </c>
      <c r="B5153" t="str">
        <f>"1578726114544504"</f>
        <v>1578726114544504</v>
      </c>
      <c r="C5153" t="s">
        <v>40</v>
      </c>
      <c r="D5153">
        <v>4.7459449999999999</v>
      </c>
      <c r="E5153">
        <v>0.49356650000000002</v>
      </c>
      <c r="F5153" t="s">
        <v>42</v>
      </c>
      <c r="G5153">
        <v>-100.61969999999999</v>
      </c>
      <c r="H5153" s="1">
        <v>-4.7403140000000001E-6</v>
      </c>
      <c r="I5153">
        <v>137.78020000000001</v>
      </c>
      <c r="J5153">
        <v>-146.93090000000001</v>
      </c>
      <c r="K5153">
        <v>1.1058939999999999</v>
      </c>
      <c r="L5153">
        <v>136.62610000000001</v>
      </c>
      <c r="M5153">
        <v>0.99902389999999996</v>
      </c>
      <c r="N5153">
        <v>0</v>
      </c>
      <c r="O5153">
        <v>-4.251887E-2</v>
      </c>
      <c r="P5153">
        <v>0.9840409</v>
      </c>
      <c r="Q5153">
        <v>0.1775012</v>
      </c>
      <c r="R5153">
        <v>1.2542899999999999E-2</v>
      </c>
      <c r="S5153">
        <v>3.0617220000000001</v>
      </c>
      <c r="T5153">
        <v>-7.3090909999999995E-2</v>
      </c>
      <c r="U5153">
        <v>7.6248170000000004E-2</v>
      </c>
      <c r="V5153">
        <v>-5.4343799999999998E-2</v>
      </c>
      <c r="W5153">
        <v>0.1892807</v>
      </c>
      <c r="X5153">
        <v>0.98041809999999996</v>
      </c>
      <c r="Y5153">
        <v>-6.735091E-2</v>
      </c>
      <c r="Z5153">
        <v>1.8183850000000001E-3</v>
      </c>
      <c r="AA5153">
        <v>0.9977277</v>
      </c>
      <c r="AB5153">
        <v>1</v>
      </c>
      <c r="AC5153">
        <v>46.311199999999999</v>
      </c>
      <c r="AD5153">
        <v>-1.1058987403139999</v>
      </c>
      <c r="AE5153">
        <v>1.1540999999999899</v>
      </c>
      <c r="AF5153">
        <v>-3.12051889672329</v>
      </c>
      <c r="AG5153">
        <v>-1.1058987403139999</v>
      </c>
      <c r="AH5153">
        <v>46.193913228554003</v>
      </c>
      <c r="AI5153">
        <v>91.368302129058307</v>
      </c>
      <c r="AJ5153">
        <v>93.864607431070993</v>
      </c>
      <c r="AK5153">
        <v>46.3123986592771</v>
      </c>
      <c r="AL5153">
        <v>79.089190799409806</v>
      </c>
      <c r="AM5153">
        <v>93.172613232507601</v>
      </c>
      <c r="AN5153">
        <v>1.00000004139926</v>
      </c>
    </row>
    <row r="5154" spans="1:40" x14ac:dyDescent="0.3">
      <c r="A5154" t="str">
        <f>"20200111150154572"</f>
        <v>20200111150154572</v>
      </c>
      <c r="B5154" t="str">
        <f>"1578726114564024"</f>
        <v>1578726114564024</v>
      </c>
      <c r="C5154" t="s">
        <v>40</v>
      </c>
      <c r="D5154">
        <v>4.7499589999999996</v>
      </c>
      <c r="E5154">
        <v>0.49412420000000001</v>
      </c>
      <c r="F5154" t="s">
        <v>42</v>
      </c>
      <c r="G5154">
        <v>-88.630269999999996</v>
      </c>
      <c r="H5154" s="1">
        <v>-8.2497699999999898E-7</v>
      </c>
      <c r="I5154">
        <v>138.21530000000001</v>
      </c>
      <c r="J5154">
        <v>-146.91730000000001</v>
      </c>
      <c r="K5154">
        <v>1.1059030000000001</v>
      </c>
      <c r="L5154">
        <v>136.62569999999999</v>
      </c>
      <c r="M5154">
        <v>0.99902869999999999</v>
      </c>
      <c r="N5154">
        <v>0</v>
      </c>
      <c r="O5154">
        <v>-4.2401300000000003E-2</v>
      </c>
      <c r="P5154">
        <v>0.98379680000000003</v>
      </c>
      <c r="Q5154">
        <v>0.17860719999999999</v>
      </c>
      <c r="R5154">
        <v>1.5602069999999999E-2</v>
      </c>
      <c r="S5154">
        <v>3.0580440000000002</v>
      </c>
      <c r="T5154">
        <v>-5.800748E-2</v>
      </c>
      <c r="U5154">
        <v>8.3358760000000004E-2</v>
      </c>
      <c r="V5154">
        <v>-5.7275430000000002E-2</v>
      </c>
      <c r="W5154">
        <v>0.1903823</v>
      </c>
      <c r="X5154">
        <v>0.98003779999999996</v>
      </c>
      <c r="Y5154">
        <v>-6.9592680000000004E-2</v>
      </c>
      <c r="Z5154">
        <v>1.463937E-3</v>
      </c>
      <c r="AA5154">
        <v>0.99757439999999997</v>
      </c>
      <c r="AB5154">
        <v>1</v>
      </c>
      <c r="AC5154">
        <v>58.287030000000001</v>
      </c>
      <c r="AD5154">
        <v>-1.1059038249769999</v>
      </c>
      <c r="AE5154">
        <v>1.5896000000000099</v>
      </c>
      <c r="AF5154">
        <v>-4.0583338733182899</v>
      </c>
      <c r="AG5154">
        <v>-1.1059038249769999</v>
      </c>
      <c r="AH5154">
        <v>58.146280132341403</v>
      </c>
      <c r="AI5154">
        <v>91.086952870957603</v>
      </c>
      <c r="AJ5154">
        <v>93.992498387081099</v>
      </c>
      <c r="AK5154">
        <v>58.298224589828997</v>
      </c>
      <c r="AL5154">
        <v>79.024904289441295</v>
      </c>
      <c r="AM5154">
        <v>93.344679079410597</v>
      </c>
      <c r="AN5154">
        <v>0.99999999223190705</v>
      </c>
    </row>
    <row r="5155" spans="1:40" x14ac:dyDescent="0.3">
      <c r="A5155" t="str">
        <f>"20200111150154606"</f>
        <v>20200111150154606</v>
      </c>
      <c r="B5155" t="str">
        <f>"1578726114604041"</f>
        <v>1578726114604041</v>
      </c>
      <c r="C5155" t="s">
        <v>40</v>
      </c>
      <c r="D5155">
        <v>4.6763219999999999</v>
      </c>
      <c r="E5155">
        <v>0.49550110000000003</v>
      </c>
      <c r="F5155" t="s">
        <v>42</v>
      </c>
      <c r="G5155">
        <v>-61.985169999999997</v>
      </c>
      <c r="H5155" s="1">
        <v>-3.5099289999999998E-6</v>
      </c>
      <c r="I5155">
        <v>139.1131</v>
      </c>
      <c r="J5155">
        <v>-146.89689999999999</v>
      </c>
      <c r="K5155">
        <v>1.105947</v>
      </c>
      <c r="L5155">
        <v>136.625</v>
      </c>
      <c r="M5155">
        <v>0.99903580000000003</v>
      </c>
      <c r="N5155">
        <v>0</v>
      </c>
      <c r="O5155">
        <v>-4.2237759999999999E-2</v>
      </c>
      <c r="P5155">
        <v>0.98273820000000001</v>
      </c>
      <c r="Q5155">
        <v>0.1844297</v>
      </c>
      <c r="R5155">
        <v>1.454836E-2</v>
      </c>
      <c r="S5155">
        <v>3.0552060000000001</v>
      </c>
      <c r="T5155">
        <v>-3.9782049999999999E-2</v>
      </c>
      <c r="U5155">
        <v>8.9477539999999994E-2</v>
      </c>
      <c r="V5155">
        <v>-5.6019270000000003E-2</v>
      </c>
      <c r="W5155">
        <v>0.19619200000000001</v>
      </c>
      <c r="X5155">
        <v>0.97896399999999995</v>
      </c>
      <c r="Y5155">
        <v>-7.1461300000000005E-2</v>
      </c>
      <c r="Z5155">
        <v>1.014973E-3</v>
      </c>
      <c r="AA5155">
        <v>0.99744279999999996</v>
      </c>
      <c r="AB5155">
        <v>1</v>
      </c>
      <c r="AC5155">
        <v>84.911729999999906</v>
      </c>
      <c r="AD5155">
        <v>-1.1059505099289999</v>
      </c>
      <c r="AE5155">
        <v>2.4881000000000002</v>
      </c>
      <c r="AF5155">
        <v>-6.07158867754067</v>
      </c>
      <c r="AG5155">
        <v>-1.1059505099289999</v>
      </c>
      <c r="AH5155">
        <v>84.716484304313099</v>
      </c>
      <c r="AI5155">
        <v>90.746024914258697</v>
      </c>
      <c r="AJ5155">
        <v>94.099351070388593</v>
      </c>
      <c r="AK5155">
        <v>84.940979676965</v>
      </c>
      <c r="AL5155">
        <v>78.685634516867594</v>
      </c>
      <c r="AM5155">
        <v>93.275065564767004</v>
      </c>
      <c r="AN5155">
        <v>0.99999998638566601</v>
      </c>
    </row>
    <row r="5156" spans="1:40" x14ac:dyDescent="0.3">
      <c r="A5156" t="str">
        <f>"20200111150154629"</f>
        <v>20200111150154629</v>
      </c>
      <c r="B5156" t="str">
        <f>"1578726114624538"</f>
        <v>1578726114624538</v>
      </c>
      <c r="C5156" t="s">
        <v>40</v>
      </c>
      <c r="D5156">
        <v>4.6389469999999999</v>
      </c>
      <c r="E5156">
        <v>0.49632340000000003</v>
      </c>
      <c r="F5156" t="s">
        <v>46</v>
      </c>
      <c r="G5156">
        <v>0</v>
      </c>
      <c r="H5156">
        <v>0</v>
      </c>
      <c r="I5156">
        <v>0</v>
      </c>
      <c r="J5156">
        <v>-146.88299999999899</v>
      </c>
      <c r="K5156">
        <v>1.1059680000000001</v>
      </c>
      <c r="L5156">
        <v>136.62459999999999</v>
      </c>
      <c r="M5156">
        <v>0.99904020000000004</v>
      </c>
      <c r="N5156">
        <v>0</v>
      </c>
      <c r="O5156">
        <v>-4.2128100000000002E-2</v>
      </c>
      <c r="P5156">
        <v>0.98225620000000002</v>
      </c>
      <c r="Q5156">
        <v>0.18714629999999999</v>
      </c>
      <c r="R5156">
        <v>1.221269E-2</v>
      </c>
      <c r="S5156">
        <v>3.0570529999999998</v>
      </c>
      <c r="T5156">
        <v>-2.9061199999999999E-2</v>
      </c>
      <c r="U5156">
        <v>7.4127199999999893E-2</v>
      </c>
      <c r="V5156">
        <v>-5.356139E-2</v>
      </c>
      <c r="W5156">
        <v>0.1989031</v>
      </c>
      <c r="X5156">
        <v>0.97855440000000005</v>
      </c>
      <c r="Y5156">
        <v>-6.6333139999999999E-2</v>
      </c>
      <c r="Z5156">
        <v>7.1564199999999995E-4</v>
      </c>
      <c r="AA5156">
        <v>0.9977973</v>
      </c>
      <c r="AB5156">
        <v>1</v>
      </c>
      <c r="AC5156">
        <v>3.0570529999999998</v>
      </c>
      <c r="AD5156">
        <v>-2.9061199999999999E-2</v>
      </c>
      <c r="AE5156">
        <v>7.4127199999999893E-2</v>
      </c>
      <c r="AF5156">
        <v>-0.202840163833934</v>
      </c>
      <c r="AG5156">
        <v>-2.9061199999999999E-2</v>
      </c>
      <c r="AH5156">
        <v>3.0509399988588499</v>
      </c>
      <c r="AI5156">
        <v>90.544542419128206</v>
      </c>
      <c r="AJ5156">
        <v>93.803682453938293</v>
      </c>
      <c r="AK5156">
        <v>3.0578135263692099</v>
      </c>
      <c r="AL5156">
        <v>78.527177240261807</v>
      </c>
      <c r="AM5156">
        <v>93.132970835642993</v>
      </c>
      <c r="AN5156">
        <v>0.99999998972385096</v>
      </c>
    </row>
    <row r="5157" spans="1:40" x14ac:dyDescent="0.3">
      <c r="A5157" t="str">
        <f>"20200111150154650"</f>
        <v>20200111150154650</v>
      </c>
      <c r="B5157" t="str">
        <f>"1578726114644056"</f>
        <v>1578726114644056</v>
      </c>
      <c r="C5157" t="s">
        <v>40</v>
      </c>
      <c r="D5157">
        <v>4.6453410000000002</v>
      </c>
      <c r="E5157">
        <v>0.49662699999999999</v>
      </c>
      <c r="F5157" t="s">
        <v>46</v>
      </c>
      <c r="G5157">
        <v>0</v>
      </c>
      <c r="H5157">
        <v>0</v>
      </c>
      <c r="I5157">
        <v>0</v>
      </c>
      <c r="J5157">
        <v>-146.86959999999999</v>
      </c>
      <c r="K5157">
        <v>1.10598</v>
      </c>
      <c r="L5157">
        <v>136.6241</v>
      </c>
      <c r="M5157">
        <v>0.99904490000000001</v>
      </c>
      <c r="N5157">
        <v>0</v>
      </c>
      <c r="O5157">
        <v>-4.2020330000000002E-2</v>
      </c>
      <c r="P5157">
        <v>0.98205520000000002</v>
      </c>
      <c r="Q5157">
        <v>0.18833259999999999</v>
      </c>
      <c r="R5157">
        <v>9.9388770000000005E-3</v>
      </c>
      <c r="S5157">
        <v>3.0585629999999999</v>
      </c>
      <c r="T5157">
        <v>-2.6886819999999999E-2</v>
      </c>
      <c r="U5157">
        <v>6.097412E-2</v>
      </c>
      <c r="V5157">
        <v>-5.1179189999999999E-2</v>
      </c>
      <c r="W5157">
        <v>0.20008709999999999</v>
      </c>
      <c r="X5157">
        <v>0.97844050000000005</v>
      </c>
      <c r="Y5157">
        <v>-6.1924960000000001E-2</v>
      </c>
      <c r="Z5157">
        <v>6.4147539999999999E-4</v>
      </c>
      <c r="AA5157">
        <v>0.99808059999999998</v>
      </c>
      <c r="AB5157">
        <v>1</v>
      </c>
      <c r="AC5157">
        <v>3.0585629999999999</v>
      </c>
      <c r="AD5157">
        <v>-2.6886819999999999E-2</v>
      </c>
      <c r="AE5157">
        <v>6.097412E-2</v>
      </c>
      <c r="AF5157">
        <v>-0.18943667829611499</v>
      </c>
      <c r="AG5157">
        <v>-2.6886819999999999E-2</v>
      </c>
      <c r="AH5157">
        <v>3.0530629830581799</v>
      </c>
      <c r="AI5157">
        <v>90.503594201561498</v>
      </c>
      <c r="AJ5157">
        <v>93.550540958726103</v>
      </c>
      <c r="AK5157">
        <v>3.05905258776205</v>
      </c>
      <c r="AL5157">
        <v>78.457947370926405</v>
      </c>
      <c r="AM5157">
        <v>92.994235879730297</v>
      </c>
      <c r="AN5157">
        <v>0.99999998455785799</v>
      </c>
    </row>
    <row r="5158" spans="1:40" x14ac:dyDescent="0.3">
      <c r="A5158" t="str">
        <f>"20200111150154673"</f>
        <v>20200111150154673</v>
      </c>
      <c r="B5158" t="str">
        <f>"1578726114664552"</f>
        <v>1578726114664552</v>
      </c>
      <c r="C5158" t="s">
        <v>40</v>
      </c>
      <c r="D5158">
        <v>4.5717349999999897</v>
      </c>
      <c r="E5158">
        <v>0.49707059999999997</v>
      </c>
      <c r="F5158" t="s">
        <v>46</v>
      </c>
      <c r="G5158">
        <v>0</v>
      </c>
      <c r="H5158">
        <v>0</v>
      </c>
      <c r="I5158">
        <v>0</v>
      </c>
      <c r="J5158">
        <v>-146.85640000000001</v>
      </c>
      <c r="K5158">
        <v>1.105988</v>
      </c>
      <c r="L5158">
        <v>136.62370000000001</v>
      </c>
      <c r="M5158">
        <v>0.99904950000000003</v>
      </c>
      <c r="N5158">
        <v>0</v>
      </c>
      <c r="O5158">
        <v>-4.1911730000000001E-2</v>
      </c>
      <c r="P5158">
        <v>0.98159209999999997</v>
      </c>
      <c r="Q5158">
        <v>0.190776</v>
      </c>
      <c r="R5158">
        <v>9.0400719999999997E-3</v>
      </c>
      <c r="S5158">
        <v>3.05864</v>
      </c>
      <c r="T5158">
        <v>-2.261376E-2</v>
      </c>
      <c r="U5158">
        <v>5.2139280000000003E-2</v>
      </c>
      <c r="V5158">
        <v>-5.0159280000000001E-2</v>
      </c>
      <c r="W5158">
        <v>0.2025248</v>
      </c>
      <c r="X5158">
        <v>0.97799170000000002</v>
      </c>
      <c r="Y5158">
        <v>-5.893499E-2</v>
      </c>
      <c r="Z5158">
        <v>5.2767180000000001E-4</v>
      </c>
      <c r="AA5158">
        <v>0.99826170000000003</v>
      </c>
      <c r="AB5158">
        <v>1</v>
      </c>
      <c r="AC5158">
        <v>3.05864</v>
      </c>
      <c r="AD5158">
        <v>-2.261376E-2</v>
      </c>
      <c r="AE5158">
        <v>5.2139280000000003E-2</v>
      </c>
      <c r="AF5158">
        <v>-0.180285700452261</v>
      </c>
      <c r="AG5158">
        <v>-2.261376E-2</v>
      </c>
      <c r="AH5158">
        <v>3.0535997674676199</v>
      </c>
      <c r="AI5158">
        <v>90.4235647179963</v>
      </c>
      <c r="AJ5158">
        <v>93.378842469290603</v>
      </c>
      <c r="AK5158">
        <v>3.0590007936918302</v>
      </c>
      <c r="AL5158">
        <v>78.315358645188596</v>
      </c>
      <c r="AM5158">
        <v>92.936015824782501</v>
      </c>
      <c r="AN5158">
        <v>1.00000000662702</v>
      </c>
    </row>
    <row r="5159" spans="1:40" x14ac:dyDescent="0.3">
      <c r="A5159" t="str">
        <f>"20200111150154695"</f>
        <v>20200111150154695</v>
      </c>
      <c r="B5159" t="str">
        <f>"1578726114684073"</f>
        <v>1578726114684073</v>
      </c>
      <c r="C5159" t="s">
        <v>40</v>
      </c>
      <c r="D5159">
        <v>4.6019360000000002</v>
      </c>
      <c r="E5159">
        <v>0.4973844</v>
      </c>
      <c r="F5159" t="s">
        <v>46</v>
      </c>
      <c r="G5159">
        <v>0</v>
      </c>
      <c r="H5159">
        <v>0</v>
      </c>
      <c r="I5159">
        <v>0</v>
      </c>
      <c r="J5159">
        <v>-146.84280000000001</v>
      </c>
      <c r="K5159">
        <v>1.105993</v>
      </c>
      <c r="L5159">
        <v>136.6233</v>
      </c>
      <c r="M5159">
        <v>0.9990542</v>
      </c>
      <c r="N5159">
        <v>0</v>
      </c>
      <c r="O5159">
        <v>-4.1796819999999998E-2</v>
      </c>
      <c r="P5159">
        <v>0.98102639999999997</v>
      </c>
      <c r="Q5159">
        <v>0.1935944</v>
      </c>
      <c r="R5159">
        <v>1.04181E-2</v>
      </c>
      <c r="S5159">
        <v>3.0599059999999998</v>
      </c>
      <c r="T5159">
        <v>-2.0964980000000001E-2</v>
      </c>
      <c r="U5159">
        <v>4.5471190000000002E-2</v>
      </c>
      <c r="V5159">
        <v>-5.1403459999999998E-2</v>
      </c>
      <c r="W5159">
        <v>0.20533460000000001</v>
      </c>
      <c r="X5159">
        <v>0.97734100000000002</v>
      </c>
      <c r="Y5159">
        <v>-5.6638599999999997E-2</v>
      </c>
      <c r="Z5159">
        <v>4.8034949999999999E-4</v>
      </c>
      <c r="AA5159">
        <v>0.99839460000000002</v>
      </c>
      <c r="AB5159">
        <v>1</v>
      </c>
      <c r="AC5159">
        <v>3.0599059999999998</v>
      </c>
      <c r="AD5159">
        <v>-2.0964980000000001E-2</v>
      </c>
      <c r="AE5159">
        <v>4.5471190000000002E-2</v>
      </c>
      <c r="AF5159">
        <v>-0.17332684620491601</v>
      </c>
      <c r="AG5159">
        <v>-2.0964980000000001E-2</v>
      </c>
      <c r="AH5159">
        <v>3.0551875823669499</v>
      </c>
      <c r="AI5159">
        <v>90.3925316139442</v>
      </c>
      <c r="AJ5159">
        <v>93.247022569947404</v>
      </c>
      <c r="AK5159">
        <v>3.0601720359239502</v>
      </c>
      <c r="AL5159">
        <v>78.150913353271307</v>
      </c>
      <c r="AM5159">
        <v>93.010709753671705</v>
      </c>
      <c r="AN5159">
        <v>1.0000000219690599</v>
      </c>
    </row>
    <row r="5160" spans="1:40" x14ac:dyDescent="0.3">
      <c r="A5160" t="str">
        <f>"20200111150154718"</f>
        <v>20200111150154718</v>
      </c>
      <c r="B5160" t="str">
        <f>"1578726114714328"</f>
        <v>1578726114714328</v>
      </c>
      <c r="C5160" t="s">
        <v>40</v>
      </c>
      <c r="D5160">
        <v>4.6227859999999996</v>
      </c>
      <c r="E5160">
        <v>0.49775839999999999</v>
      </c>
      <c r="F5160" t="s">
        <v>46</v>
      </c>
      <c r="G5160">
        <v>0</v>
      </c>
      <c r="H5160">
        <v>0</v>
      </c>
      <c r="I5160">
        <v>0</v>
      </c>
      <c r="J5160">
        <v>-146.82939999999999</v>
      </c>
      <c r="K5160">
        <v>1.1060000000000001</v>
      </c>
      <c r="L5160">
        <v>136.62289999999999</v>
      </c>
      <c r="M5160">
        <v>0.99905909999999998</v>
      </c>
      <c r="N5160">
        <v>0</v>
      </c>
      <c r="O5160">
        <v>-4.1679920000000002E-2</v>
      </c>
      <c r="P5160">
        <v>0.98044379999999998</v>
      </c>
      <c r="Q5160">
        <v>0.1964388</v>
      </c>
      <c r="R5160">
        <v>1.1923059999999999E-2</v>
      </c>
      <c r="S5160">
        <v>3.06012</v>
      </c>
      <c r="T5160">
        <v>-1.3134E-2</v>
      </c>
      <c r="U5160">
        <v>4.6508790000000001E-2</v>
      </c>
      <c r="V5160">
        <v>-5.2771029999999997E-2</v>
      </c>
      <c r="W5160">
        <v>0.2081711</v>
      </c>
      <c r="X5160">
        <v>0.97666779999999997</v>
      </c>
      <c r="Y5160">
        <v>-5.6860580000000001E-2</v>
      </c>
      <c r="Z5160">
        <v>3.0088169999999999E-4</v>
      </c>
      <c r="AA5160">
        <v>0.99838210000000005</v>
      </c>
      <c r="AB5160">
        <v>1</v>
      </c>
      <c r="AC5160">
        <v>3.06012</v>
      </c>
      <c r="AD5160">
        <v>-1.3134E-2</v>
      </c>
      <c r="AE5160">
        <v>4.6508790000000001E-2</v>
      </c>
      <c r="AF5160">
        <v>-0.17401988568021301</v>
      </c>
      <c r="AG5160">
        <v>-1.3134E-2</v>
      </c>
      <c r="AH5160">
        <v>3.0554655237710802</v>
      </c>
      <c r="AI5160">
        <v>90.245887451708796</v>
      </c>
      <c r="AJ5160">
        <v>93.259681789493797</v>
      </c>
      <c r="AK5160">
        <v>3.0604452273357001</v>
      </c>
      <c r="AL5160">
        <v>77.984804349094304</v>
      </c>
      <c r="AM5160">
        <v>93.092781488942805</v>
      </c>
      <c r="AN5160">
        <v>0.99999999001965501</v>
      </c>
    </row>
    <row r="5161" spans="1:40" x14ac:dyDescent="0.3">
      <c r="A5161" t="str">
        <f>"20200111150154741"</f>
        <v>20200111150154741</v>
      </c>
      <c r="B5161" t="str">
        <f>"1578726114733848"</f>
        <v>1578726114733848</v>
      </c>
      <c r="C5161" t="s">
        <v>40</v>
      </c>
      <c r="D5161">
        <v>4.5736089999999896</v>
      </c>
      <c r="E5161">
        <v>0.49799520000000003</v>
      </c>
      <c r="F5161" t="s">
        <v>46</v>
      </c>
      <c r="G5161">
        <v>0</v>
      </c>
      <c r="H5161">
        <v>0</v>
      </c>
      <c r="I5161">
        <v>0</v>
      </c>
      <c r="J5161">
        <v>-146.81549999999999</v>
      </c>
      <c r="K5161">
        <v>1.1059969999999999</v>
      </c>
      <c r="L5161">
        <v>136.6224</v>
      </c>
      <c r="M5161">
        <v>0.99906419999999996</v>
      </c>
      <c r="N5161">
        <v>0</v>
      </c>
      <c r="O5161">
        <v>-4.1557450000000003E-2</v>
      </c>
      <c r="P5161">
        <v>0.98019389999999995</v>
      </c>
      <c r="Q5161">
        <v>0.19759019999999999</v>
      </c>
      <c r="R5161">
        <v>1.334634E-2</v>
      </c>
      <c r="S5161">
        <v>3.0616460000000001</v>
      </c>
      <c r="T5161">
        <v>-1.1908409999999999E-2</v>
      </c>
      <c r="U5161">
        <v>4.814148E-2</v>
      </c>
      <c r="V5161">
        <v>-5.4064229999999998E-2</v>
      </c>
      <c r="W5161">
        <v>0.2093187</v>
      </c>
      <c r="X5161">
        <v>0.97635170000000004</v>
      </c>
      <c r="Y5161">
        <v>-5.7263069999999999E-2</v>
      </c>
      <c r="Z5161">
        <v>2.7297520000000002E-4</v>
      </c>
      <c r="AA5161">
        <v>0.99835910000000005</v>
      </c>
      <c r="AB5161">
        <v>1</v>
      </c>
      <c r="AC5161">
        <v>3.0616460000000001</v>
      </c>
      <c r="AD5161">
        <v>-1.1908409999999999E-2</v>
      </c>
      <c r="AE5161">
        <v>4.814148E-2</v>
      </c>
      <c r="AF5161">
        <v>-0.17534057686489901</v>
      </c>
      <c r="AG5161">
        <v>-1.1908409999999999E-2</v>
      </c>
      <c r="AH5161">
        <v>3.0569536960010102</v>
      </c>
      <c r="AI5161">
        <v>90.222829216721905</v>
      </c>
      <c r="AJ5161">
        <v>93.282771194275696</v>
      </c>
      <c r="AK5161">
        <v>3.0620013108452899</v>
      </c>
      <c r="AL5161">
        <v>77.917570072227406</v>
      </c>
      <c r="AM5161">
        <v>93.169443916188797</v>
      </c>
      <c r="AN5161">
        <v>0.99999995061403502</v>
      </c>
    </row>
    <row r="5162" spans="1:40" x14ac:dyDescent="0.3">
      <c r="A5162" t="str">
        <f>"20200111150154762"</f>
        <v>20200111150154762</v>
      </c>
      <c r="B5162" t="str">
        <f>"1578726114754344"</f>
        <v>1578726114754344</v>
      </c>
      <c r="C5162" t="s">
        <v>40</v>
      </c>
      <c r="D5162">
        <v>4.6107199999999997</v>
      </c>
      <c r="E5162">
        <v>0.4982935</v>
      </c>
      <c r="F5162" t="s">
        <v>46</v>
      </c>
      <c r="G5162">
        <v>0</v>
      </c>
      <c r="H5162">
        <v>0</v>
      </c>
      <c r="I5162">
        <v>0</v>
      </c>
      <c r="J5162">
        <v>-146.80260000000001</v>
      </c>
      <c r="K5162">
        <v>1.10598</v>
      </c>
      <c r="L5162">
        <v>136.62200000000001</v>
      </c>
      <c r="M5162">
        <v>0.99906879999999998</v>
      </c>
      <c r="N5162">
        <v>0</v>
      </c>
      <c r="O5162">
        <v>-4.1443710000000002E-2</v>
      </c>
      <c r="P5162">
        <v>0.98005030000000004</v>
      </c>
      <c r="Q5162">
        <v>0.1981957</v>
      </c>
      <c r="R5162">
        <v>1.483437E-2</v>
      </c>
      <c r="S5162">
        <v>3.0622560000000001</v>
      </c>
      <c r="T5162">
        <v>-1.1686439999999999E-2</v>
      </c>
      <c r="U5162">
        <v>5.1284789999999997E-2</v>
      </c>
      <c r="V5162">
        <v>-5.5434440000000001E-2</v>
      </c>
      <c r="W5162">
        <v>0.20992160000000001</v>
      </c>
      <c r="X5162">
        <v>0.97614540000000005</v>
      </c>
      <c r="Y5162">
        <v>-5.8170810000000003E-2</v>
      </c>
      <c r="Z5162">
        <v>2.6913060000000001E-4</v>
      </c>
      <c r="AA5162">
        <v>0.99830660000000004</v>
      </c>
      <c r="AB5162">
        <v>1</v>
      </c>
      <c r="AC5162">
        <v>3.0622560000000001</v>
      </c>
      <c r="AD5162">
        <v>-1.1686439999999999E-2</v>
      </c>
      <c r="AE5162">
        <v>5.1284789999999997E-2</v>
      </c>
      <c r="AF5162">
        <v>-0.178158513000129</v>
      </c>
      <c r="AG5162">
        <v>-1.1686439999999999E-2</v>
      </c>
      <c r="AH5162">
        <v>3.0574545530019801</v>
      </c>
      <c r="AI5162">
        <v>90.218628457878694</v>
      </c>
      <c r="AJ5162">
        <v>93.334865985439507</v>
      </c>
      <c r="AK5162">
        <v>3.0626631176652102</v>
      </c>
      <c r="AL5162">
        <v>77.882241522230302</v>
      </c>
      <c r="AM5162">
        <v>93.2502859382395</v>
      </c>
      <c r="AN5162">
        <v>0.99999994861291497</v>
      </c>
    </row>
    <row r="5163" spans="1:40" x14ac:dyDescent="0.3">
      <c r="A5163" t="str">
        <f>"20200111150154784"</f>
        <v>20200111150154784</v>
      </c>
      <c r="B5163" t="str">
        <f>"1578726114773864"</f>
        <v>1578726114773864</v>
      </c>
      <c r="C5163" t="s">
        <v>40</v>
      </c>
      <c r="D5163">
        <v>4.5664389999999999</v>
      </c>
      <c r="E5163">
        <v>0.49847619999999998</v>
      </c>
      <c r="F5163" t="s">
        <v>46</v>
      </c>
      <c r="G5163">
        <v>0</v>
      </c>
      <c r="H5163">
        <v>0</v>
      </c>
      <c r="I5163">
        <v>0</v>
      </c>
      <c r="J5163">
        <v>-146.7895</v>
      </c>
      <c r="K5163">
        <v>1.105966</v>
      </c>
      <c r="L5163">
        <v>136.6216</v>
      </c>
      <c r="M5163">
        <v>0.99907360000000001</v>
      </c>
      <c r="N5163">
        <v>0</v>
      </c>
      <c r="O5163">
        <v>-4.1328789999999997E-2</v>
      </c>
      <c r="P5163">
        <v>0.97977320000000001</v>
      </c>
      <c r="Q5163">
        <v>0.1993674</v>
      </c>
      <c r="R5163">
        <v>1.7240660000000001E-2</v>
      </c>
      <c r="S5163">
        <v>3.063339</v>
      </c>
      <c r="T5163">
        <v>-1.5234950000000001E-2</v>
      </c>
      <c r="U5163">
        <v>5.3833010000000001E-2</v>
      </c>
      <c r="V5163">
        <v>-5.7714639999999998E-2</v>
      </c>
      <c r="W5163">
        <v>0.21108979999999999</v>
      </c>
      <c r="X5163">
        <v>0.97576130000000005</v>
      </c>
      <c r="Y5163">
        <v>-5.887974E-2</v>
      </c>
      <c r="Z5163">
        <v>3.5191500000000001E-4</v>
      </c>
      <c r="AA5163">
        <v>0.99826499999999996</v>
      </c>
      <c r="AB5163">
        <v>1</v>
      </c>
      <c r="AC5163">
        <v>3.063339</v>
      </c>
      <c r="AD5163">
        <v>-1.5234950000000001E-2</v>
      </c>
      <c r="AE5163">
        <v>5.3833010000000001E-2</v>
      </c>
      <c r="AF5163">
        <v>-0.18039575064069999</v>
      </c>
      <c r="AG5163">
        <v>-1.5234950000000001E-2</v>
      </c>
      <c r="AH5163">
        <v>3.0584206716622502</v>
      </c>
      <c r="AI5163">
        <v>90.2849106706296</v>
      </c>
      <c r="AJ5163">
        <v>93.375583316090001</v>
      </c>
      <c r="AK5163">
        <v>3.0637740999299701</v>
      </c>
      <c r="AL5163">
        <v>77.813775039616601</v>
      </c>
      <c r="AM5163">
        <v>93.385005175660893</v>
      </c>
      <c r="AN5163">
        <v>0.99999999895602998</v>
      </c>
    </row>
    <row r="5164" spans="1:40" x14ac:dyDescent="0.3">
      <c r="A5164" t="str">
        <f>"20200111150154807"</f>
        <v>20200111150154807</v>
      </c>
      <c r="B5164" t="str">
        <f>"1578726114804120"</f>
        <v>1578726114804120</v>
      </c>
      <c r="C5164" t="s">
        <v>40</v>
      </c>
      <c r="D5164">
        <v>4.5627589999999998</v>
      </c>
      <c r="E5164">
        <v>0.49891360000000001</v>
      </c>
      <c r="F5164" t="s">
        <v>46</v>
      </c>
      <c r="G5164">
        <v>0</v>
      </c>
      <c r="H5164">
        <v>0</v>
      </c>
      <c r="I5164">
        <v>0</v>
      </c>
      <c r="J5164">
        <v>-146.77619999999999</v>
      </c>
      <c r="K5164">
        <v>1.105969</v>
      </c>
      <c r="L5164">
        <v>136.62119999999999</v>
      </c>
      <c r="M5164">
        <v>0.99907849999999998</v>
      </c>
      <c r="N5164">
        <v>0</v>
      </c>
      <c r="O5164">
        <v>-4.1214239999999999E-2</v>
      </c>
      <c r="P5164">
        <v>0.97932770000000002</v>
      </c>
      <c r="Q5164">
        <v>0.20134949999999999</v>
      </c>
      <c r="R5164">
        <v>1.9382949999999999E-2</v>
      </c>
      <c r="S5164">
        <v>3.0642550000000002</v>
      </c>
      <c r="T5164">
        <v>-1.6524549999999999E-2</v>
      </c>
      <c r="U5164">
        <v>6.0226439999999999E-2</v>
      </c>
      <c r="V5164">
        <v>-5.9724359999999997E-2</v>
      </c>
      <c r="W5164">
        <v>0.21306559999999999</v>
      </c>
      <c r="X5164">
        <v>0.97521080000000004</v>
      </c>
      <c r="Y5164">
        <v>-6.0841779999999998E-2</v>
      </c>
      <c r="Z5164">
        <v>3.8625669999999999E-4</v>
      </c>
      <c r="AA5164">
        <v>0.99814740000000002</v>
      </c>
      <c r="AB5164">
        <v>1</v>
      </c>
      <c r="AC5164">
        <v>3.0642550000000002</v>
      </c>
      <c r="AD5164">
        <v>-1.6524549999999999E-2</v>
      </c>
      <c r="AE5164">
        <v>6.0226439999999999E-2</v>
      </c>
      <c r="AF5164">
        <v>-0.18646984524395799</v>
      </c>
      <c r="AG5164">
        <v>-1.6524549999999999E-2</v>
      </c>
      <c r="AH5164">
        <v>3.0590797355122801</v>
      </c>
      <c r="AI5164">
        <v>90.308924191648003</v>
      </c>
      <c r="AJ5164">
        <v>93.488216349708694</v>
      </c>
      <c r="AK5164">
        <v>3.0648022598790701</v>
      </c>
      <c r="AL5164">
        <v>77.697935327543505</v>
      </c>
      <c r="AM5164">
        <v>93.504560435135502</v>
      </c>
      <c r="AN5164">
        <v>1.0000000267586999</v>
      </c>
    </row>
    <row r="5165" spans="1:40" x14ac:dyDescent="0.3">
      <c r="A5165" t="str">
        <f>"20200111150154830"</f>
        <v>20200111150154830</v>
      </c>
      <c r="B5165" t="str">
        <f>"1578726114824616"</f>
        <v>1578726114824616</v>
      </c>
      <c r="C5165" t="s">
        <v>40</v>
      </c>
      <c r="D5165">
        <v>4.5462920000000002</v>
      </c>
      <c r="E5165">
        <v>0.49920700000000001</v>
      </c>
      <c r="F5165" t="s">
        <v>46</v>
      </c>
      <c r="G5165">
        <v>0</v>
      </c>
      <c r="H5165">
        <v>0</v>
      </c>
      <c r="I5165">
        <v>0</v>
      </c>
      <c r="J5165">
        <v>-146.7628</v>
      </c>
      <c r="K5165">
        <v>1.1059829999999999</v>
      </c>
      <c r="L5165">
        <v>136.6208</v>
      </c>
      <c r="M5165">
        <v>0.99908319999999995</v>
      </c>
      <c r="N5165">
        <v>0</v>
      </c>
      <c r="O5165">
        <v>-4.1099690000000001E-2</v>
      </c>
      <c r="P5165">
        <v>0.97883500000000001</v>
      </c>
      <c r="Q5165">
        <v>0.2035122</v>
      </c>
      <c r="R5165">
        <v>2.1566310000000002E-2</v>
      </c>
      <c r="S5165">
        <v>3.0651700000000002</v>
      </c>
      <c r="T5165">
        <v>-1.512897E-2</v>
      </c>
      <c r="U5165">
        <v>6.4773559999999994E-2</v>
      </c>
      <c r="V5165">
        <v>-6.1772939999999998E-2</v>
      </c>
      <c r="W5165">
        <v>0.21522160000000001</v>
      </c>
      <c r="X5165">
        <v>0.97460959999999996</v>
      </c>
      <c r="Y5165">
        <v>-6.2201770000000003E-2</v>
      </c>
      <c r="Z5165">
        <v>3.5631710000000002E-4</v>
      </c>
      <c r="AA5165">
        <v>0.99806349999999999</v>
      </c>
      <c r="AB5165">
        <v>1</v>
      </c>
      <c r="AC5165">
        <v>3.0651700000000002</v>
      </c>
      <c r="AD5165">
        <v>-1.512897E-2</v>
      </c>
      <c r="AE5165">
        <v>6.4773559999999994E-2</v>
      </c>
      <c r="AF5165">
        <v>-0.19070075940685999</v>
      </c>
      <c r="AG5165">
        <v>-1.512897E-2</v>
      </c>
      <c r="AH5165">
        <v>3.0598428405051101</v>
      </c>
      <c r="AI5165">
        <v>90.282740179101296</v>
      </c>
      <c r="AJ5165">
        <v>93.566272923210505</v>
      </c>
      <c r="AK5165">
        <v>3.0658169994247801</v>
      </c>
      <c r="AL5165">
        <v>77.571472256829097</v>
      </c>
      <c r="AM5165">
        <v>93.626683562805994</v>
      </c>
      <c r="AN5165">
        <v>1.0000000528174799</v>
      </c>
    </row>
    <row r="5166" spans="1:40" x14ac:dyDescent="0.3">
      <c r="A5166" t="str">
        <f>"20200111150154851"</f>
        <v>20200111150154851</v>
      </c>
      <c r="B5166" t="str">
        <f>"1578726114844136"</f>
        <v>1578726114844136</v>
      </c>
      <c r="C5166" t="s">
        <v>40</v>
      </c>
      <c r="D5166">
        <v>4.5870419999999896</v>
      </c>
      <c r="E5166">
        <v>0.49954710000000002</v>
      </c>
      <c r="F5166" t="s">
        <v>46</v>
      </c>
      <c r="G5166">
        <v>0</v>
      </c>
      <c r="H5166">
        <v>0</v>
      </c>
      <c r="I5166">
        <v>0</v>
      </c>
      <c r="J5166">
        <v>-146.74979999999999</v>
      </c>
      <c r="K5166">
        <v>1.1059810000000001</v>
      </c>
      <c r="L5166">
        <v>136.62049999999999</v>
      </c>
      <c r="M5166">
        <v>0.99908779999999997</v>
      </c>
      <c r="N5166">
        <v>0</v>
      </c>
      <c r="O5166">
        <v>-4.0988719999999999E-2</v>
      </c>
      <c r="P5166">
        <v>0.97847240000000002</v>
      </c>
      <c r="Q5166">
        <v>0.20487359999999999</v>
      </c>
      <c r="R5166">
        <v>2.4876579999999999E-2</v>
      </c>
      <c r="S5166">
        <v>3.0657040000000002</v>
      </c>
      <c r="T5166">
        <v>-1.147544E-2</v>
      </c>
      <c r="U5166">
        <v>7.03125E-2</v>
      </c>
      <c r="V5166">
        <v>-6.4956979999999997E-2</v>
      </c>
      <c r="W5166">
        <v>0.21657699999999999</v>
      </c>
      <c r="X5166">
        <v>0.97410209999999997</v>
      </c>
      <c r="Y5166">
        <v>-6.3890050000000004E-2</v>
      </c>
      <c r="Z5166">
        <v>2.729632E-4</v>
      </c>
      <c r="AA5166">
        <v>0.99795690000000004</v>
      </c>
      <c r="AB5166">
        <v>1</v>
      </c>
      <c r="AC5166">
        <v>3.0657040000000002</v>
      </c>
      <c r="AD5166">
        <v>-1.147544E-2</v>
      </c>
      <c r="AE5166">
        <v>7.03125E-2</v>
      </c>
      <c r="AF5166">
        <v>-0.195918957335012</v>
      </c>
      <c r="AG5166">
        <v>-1.147544E-2</v>
      </c>
      <c r="AH5166">
        <v>3.0602021599095099</v>
      </c>
      <c r="AI5166">
        <v>90.214413249403094</v>
      </c>
      <c r="AJ5166">
        <v>93.663166598855497</v>
      </c>
      <c r="AK5166">
        <v>3.06648873845662</v>
      </c>
      <c r="AL5166">
        <v>77.491936524582201</v>
      </c>
      <c r="AM5166">
        <v>93.815060963494403</v>
      </c>
      <c r="AN5166">
        <v>0.99999995370206396</v>
      </c>
    </row>
    <row r="5167" spans="1:40" x14ac:dyDescent="0.3">
      <c r="A5167" t="str">
        <f>"20200111150154874"</f>
        <v>20200111150154874</v>
      </c>
      <c r="B5167" t="str">
        <f>"1578726114863657"</f>
        <v>1578726114863657</v>
      </c>
      <c r="C5167" t="s">
        <v>40</v>
      </c>
      <c r="D5167">
        <v>4.5599379999999998</v>
      </c>
      <c r="E5167">
        <v>0.4997586</v>
      </c>
      <c r="F5167" t="s">
        <v>46</v>
      </c>
      <c r="G5167">
        <v>0</v>
      </c>
      <c r="H5167">
        <v>0</v>
      </c>
      <c r="I5167">
        <v>0</v>
      </c>
      <c r="J5167">
        <v>-146.73660000000001</v>
      </c>
      <c r="K5167">
        <v>1.1059730000000001</v>
      </c>
      <c r="L5167">
        <v>136.62010000000001</v>
      </c>
      <c r="M5167">
        <v>0.99909230000000004</v>
      </c>
      <c r="N5167">
        <v>0</v>
      </c>
      <c r="O5167">
        <v>-4.0876900000000001E-2</v>
      </c>
      <c r="P5167">
        <v>0.97817560000000003</v>
      </c>
      <c r="Q5167">
        <v>0.20563290000000001</v>
      </c>
      <c r="R5167">
        <v>2.979182E-2</v>
      </c>
      <c r="S5167">
        <v>3.0660249999999998</v>
      </c>
      <c r="T5167">
        <v>-9.5406769999999991E-3</v>
      </c>
      <c r="U5167">
        <v>7.7911380000000002E-2</v>
      </c>
      <c r="V5167">
        <v>-6.9746530000000001E-2</v>
      </c>
      <c r="W5167">
        <v>0.217331</v>
      </c>
      <c r="X5167">
        <v>0.97360290000000005</v>
      </c>
      <c r="Y5167">
        <v>-6.6247899999999998E-2</v>
      </c>
      <c r="Z5167">
        <v>2.3023290000000001E-4</v>
      </c>
      <c r="AA5167">
        <v>0.9978032</v>
      </c>
      <c r="AB5167">
        <v>1</v>
      </c>
      <c r="AC5167">
        <v>3.0660249999999998</v>
      </c>
      <c r="AD5167">
        <v>-9.5406769999999991E-3</v>
      </c>
      <c r="AE5167">
        <v>7.7911380000000002E-2</v>
      </c>
      <c r="AF5167">
        <v>-0.20318288582289201</v>
      </c>
      <c r="AG5167">
        <v>-9.5406769999999991E-3</v>
      </c>
      <c r="AH5167">
        <v>3.0602474005012001</v>
      </c>
      <c r="AI5167">
        <v>90.178233264772402</v>
      </c>
      <c r="AJ5167">
        <v>93.798536314289606</v>
      </c>
      <c r="AK5167">
        <v>3.06699991227311</v>
      </c>
      <c r="AL5167">
        <v>77.447681692668397</v>
      </c>
      <c r="AM5167">
        <v>94.097529622475307</v>
      </c>
      <c r="AN5167">
        <v>0.99999997444822497</v>
      </c>
    </row>
    <row r="5168" spans="1:40" x14ac:dyDescent="0.3">
      <c r="A5168" t="str">
        <f>"20200111150154896"</f>
        <v>20200111150154896</v>
      </c>
      <c r="B5168" t="str">
        <f>"1578726114893913"</f>
        <v>1578726114893913</v>
      </c>
      <c r="C5168" t="s">
        <v>40</v>
      </c>
      <c r="D5168">
        <v>4.4648709999999996</v>
      </c>
      <c r="E5168">
        <v>0.50009380000000003</v>
      </c>
      <c r="F5168" t="s">
        <v>46</v>
      </c>
      <c r="G5168">
        <v>0</v>
      </c>
      <c r="H5168">
        <v>0</v>
      </c>
      <c r="I5168">
        <v>0</v>
      </c>
      <c r="J5168">
        <v>-146.7236</v>
      </c>
      <c r="K5168">
        <v>1.10597099999999</v>
      </c>
      <c r="L5168">
        <v>136.61969999999999</v>
      </c>
      <c r="M5168">
        <v>0.99909680000000001</v>
      </c>
      <c r="N5168">
        <v>0</v>
      </c>
      <c r="O5168">
        <v>-4.0767350000000001E-2</v>
      </c>
      <c r="P5168">
        <v>0.97798280000000004</v>
      </c>
      <c r="Q5168">
        <v>0.20598040000000001</v>
      </c>
      <c r="R5168">
        <v>3.3499399999999999E-2</v>
      </c>
      <c r="S5168">
        <v>3.0662379999999998</v>
      </c>
      <c r="T5168">
        <v>-9.6191169999999999E-3</v>
      </c>
      <c r="U5168">
        <v>8.9080809999999996E-2</v>
      </c>
      <c r="V5168">
        <v>-7.3336849999999995E-2</v>
      </c>
      <c r="W5168">
        <v>0.21767449999999999</v>
      </c>
      <c r="X5168">
        <v>0.97326230000000002</v>
      </c>
      <c r="Y5168">
        <v>-6.9768300000000005E-2</v>
      </c>
      <c r="Z5168">
        <v>2.3727779999999999E-4</v>
      </c>
      <c r="AA5168">
        <v>0.99756319999999998</v>
      </c>
      <c r="AB5168">
        <v>1</v>
      </c>
      <c r="AC5168">
        <v>3.0662379999999998</v>
      </c>
      <c r="AD5168">
        <v>-9.6191169999999999E-3</v>
      </c>
      <c r="AE5168">
        <v>8.9080809999999996E-2</v>
      </c>
      <c r="AF5168">
        <v>-0.21401601333684001</v>
      </c>
      <c r="AG5168">
        <v>-9.6191169999999999E-3</v>
      </c>
      <c r="AH5168">
        <v>3.0600266268932002</v>
      </c>
      <c r="AI5168">
        <v>90.179668368458493</v>
      </c>
      <c r="AJ5168">
        <v>94.000710038255704</v>
      </c>
      <c r="AK5168">
        <v>3.0675166403251701</v>
      </c>
      <c r="AL5168">
        <v>77.427518101634305</v>
      </c>
      <c r="AM5168">
        <v>94.309184055904097</v>
      </c>
      <c r="AN5168">
        <v>0.99999999305973097</v>
      </c>
    </row>
    <row r="5169" spans="1:40" x14ac:dyDescent="0.3">
      <c r="A5169" t="str">
        <f>"20200111150154919"</f>
        <v>20200111150154919</v>
      </c>
      <c r="B5169" t="str">
        <f>"1578726114914411"</f>
        <v>1578726114914411</v>
      </c>
      <c r="C5169" t="s">
        <v>40</v>
      </c>
      <c r="D5169">
        <v>4.4952719999999999</v>
      </c>
      <c r="E5169">
        <v>0.50036619999999998</v>
      </c>
      <c r="F5169" t="s">
        <v>46</v>
      </c>
      <c r="G5169">
        <v>0</v>
      </c>
      <c r="H5169">
        <v>0</v>
      </c>
      <c r="I5169">
        <v>0</v>
      </c>
      <c r="J5169">
        <v>-146.71029999999999</v>
      </c>
      <c r="K5169">
        <v>1.105955</v>
      </c>
      <c r="L5169">
        <v>136.61930000000001</v>
      </c>
      <c r="M5169">
        <v>0.99910129999999997</v>
      </c>
      <c r="N5169">
        <v>0</v>
      </c>
      <c r="O5169">
        <v>-4.0654339999999997E-2</v>
      </c>
      <c r="P5169">
        <v>0.97807160000000004</v>
      </c>
      <c r="Q5169">
        <v>0.2053345</v>
      </c>
      <c r="R5169">
        <v>3.4842039999999998E-2</v>
      </c>
      <c r="S5169">
        <v>3.0666199999999999</v>
      </c>
      <c r="T5169">
        <v>-1.132298E-2</v>
      </c>
      <c r="U5169">
        <v>9.6343990000000004E-2</v>
      </c>
      <c r="V5169">
        <v>-7.4571570000000004E-2</v>
      </c>
      <c r="W5169">
        <v>0.21702940000000001</v>
      </c>
      <c r="X5169">
        <v>0.97331259999999997</v>
      </c>
      <c r="Y5169">
        <v>-7.2012000000000007E-2</v>
      </c>
      <c r="Z5169">
        <v>2.8298830000000002E-4</v>
      </c>
      <c r="AA5169">
        <v>0.9974037</v>
      </c>
      <c r="AB5169">
        <v>1</v>
      </c>
      <c r="AC5169">
        <v>3.0666199999999999</v>
      </c>
      <c r="AD5169">
        <v>-1.132298E-2</v>
      </c>
      <c r="AE5169">
        <v>9.6343990000000004E-2</v>
      </c>
      <c r="AF5169">
        <v>-0.22094169696000601</v>
      </c>
      <c r="AG5169">
        <v>-1.132298E-2</v>
      </c>
      <c r="AH5169">
        <v>3.0601256086703201</v>
      </c>
      <c r="AI5169">
        <v>90.211452647696703</v>
      </c>
      <c r="AJ5169">
        <v>94.129601296072096</v>
      </c>
      <c r="AK5169">
        <v>3.06811215312797</v>
      </c>
      <c r="AL5169">
        <v>77.465385584930601</v>
      </c>
      <c r="AM5169">
        <v>94.381228966891697</v>
      </c>
      <c r="AN5169">
        <v>1.0000000484176901</v>
      </c>
    </row>
    <row r="5170" spans="1:40" x14ac:dyDescent="0.3">
      <c r="A5170" t="str">
        <f>"20200111150154942"</f>
        <v>20200111150154942</v>
      </c>
      <c r="B5170" t="str">
        <f>"1578726114933928"</f>
        <v>1578726114933928</v>
      </c>
      <c r="C5170" t="s">
        <v>40</v>
      </c>
      <c r="D5170">
        <v>4.5028649999999999</v>
      </c>
      <c r="E5170">
        <v>0.50019069999999999</v>
      </c>
      <c r="F5170" t="s">
        <v>46</v>
      </c>
      <c r="G5170">
        <v>0</v>
      </c>
      <c r="H5170">
        <v>0</v>
      </c>
      <c r="I5170">
        <v>0</v>
      </c>
      <c r="J5170">
        <v>-146.69739999999999</v>
      </c>
      <c r="K5170">
        <v>1.1059319999999999</v>
      </c>
      <c r="L5170">
        <v>136.6189</v>
      </c>
      <c r="M5170">
        <v>0.99910589999999999</v>
      </c>
      <c r="N5170">
        <v>0</v>
      </c>
      <c r="O5170">
        <v>-4.0544419999999998E-2</v>
      </c>
      <c r="P5170">
        <v>0.97849509999999995</v>
      </c>
      <c r="Q5170">
        <v>0.20322090000000001</v>
      </c>
      <c r="R5170">
        <v>3.5345439999999999E-2</v>
      </c>
      <c r="S5170">
        <v>3.0667420000000001</v>
      </c>
      <c r="T5170">
        <v>-1.419628E-2</v>
      </c>
      <c r="U5170">
        <v>9.817505E-2</v>
      </c>
      <c r="V5170">
        <v>-7.4984690000000007E-2</v>
      </c>
      <c r="W5170">
        <v>0.2149208</v>
      </c>
      <c r="X5170">
        <v>0.97374859999999996</v>
      </c>
      <c r="Y5170">
        <v>-7.2495480000000001E-2</v>
      </c>
      <c r="Z5170">
        <v>3.5539149999999999E-4</v>
      </c>
      <c r="AA5170">
        <v>0.9973687</v>
      </c>
      <c r="AB5170">
        <v>1</v>
      </c>
      <c r="AC5170">
        <v>3.0667420000000001</v>
      </c>
      <c r="AD5170">
        <v>-1.419628E-2</v>
      </c>
      <c r="AE5170">
        <v>9.817505E-2</v>
      </c>
      <c r="AF5170">
        <v>-0.222437752158819</v>
      </c>
      <c r="AG5170">
        <v>-1.419628E-2</v>
      </c>
      <c r="AH5170">
        <v>3.0601737247469298</v>
      </c>
      <c r="AI5170">
        <v>90.265096334415801</v>
      </c>
      <c r="AJ5170">
        <v>94.157401067911394</v>
      </c>
      <c r="AK5170">
        <v>3.06828018824599</v>
      </c>
      <c r="AL5170">
        <v>77.589119078919495</v>
      </c>
      <c r="AM5170">
        <v>94.403440528689401</v>
      </c>
      <c r="AN5170">
        <v>0.99999999500449799</v>
      </c>
    </row>
    <row r="5171" spans="1:40" x14ac:dyDescent="0.3">
      <c r="A5171" t="str">
        <f>"20200111150154985"</f>
        <v>20200111150154985</v>
      </c>
      <c r="B5171" t="str">
        <f>"1578726114973945"</f>
        <v>1578726114973945</v>
      </c>
      <c r="C5171" t="s">
        <v>40</v>
      </c>
      <c r="D5171">
        <v>4.4711509999999999</v>
      </c>
      <c r="E5171">
        <v>0.45475719999999997</v>
      </c>
      <c r="F5171" t="s">
        <v>46</v>
      </c>
      <c r="G5171">
        <v>0</v>
      </c>
      <c r="H5171">
        <v>0</v>
      </c>
      <c r="I5171">
        <v>0</v>
      </c>
      <c r="J5171">
        <v>-146.672</v>
      </c>
      <c r="K5171">
        <v>1.105907</v>
      </c>
      <c r="L5171">
        <v>136.6181</v>
      </c>
      <c r="M5171">
        <v>0.99911470000000002</v>
      </c>
      <c r="N5171">
        <v>0</v>
      </c>
      <c r="O5171">
        <v>-4.0327229999999999E-2</v>
      </c>
      <c r="P5171">
        <v>0.97769980000000001</v>
      </c>
      <c r="Q5171">
        <v>0.2060342</v>
      </c>
      <c r="R5171">
        <v>4.066293E-2</v>
      </c>
      <c r="S5171">
        <v>3.0665439999999999</v>
      </c>
      <c r="T5171">
        <v>-2.047968E-2</v>
      </c>
      <c r="U5171">
        <v>0.1011353</v>
      </c>
      <c r="V5171">
        <v>-8.0054139999999996E-2</v>
      </c>
      <c r="W5171">
        <v>0.2177229</v>
      </c>
      <c r="X5171">
        <v>0.97272199999999998</v>
      </c>
      <c r="Y5171">
        <v>-7.324116E-2</v>
      </c>
      <c r="Z5171">
        <v>5.1375409999999998E-4</v>
      </c>
      <c r="AA5171">
        <v>0.99731420000000004</v>
      </c>
      <c r="AB5171">
        <v>1</v>
      </c>
      <c r="AC5171">
        <v>3.0665439999999999</v>
      </c>
      <c r="AD5171">
        <v>-2.047968E-2</v>
      </c>
      <c r="AE5171">
        <v>0.1011353</v>
      </c>
      <c r="AF5171">
        <v>-0.22471710652344601</v>
      </c>
      <c r="AG5171">
        <v>-2.047968E-2</v>
      </c>
      <c r="AH5171">
        <v>3.05983396548692</v>
      </c>
      <c r="AI5171">
        <v>90.382448916781698</v>
      </c>
      <c r="AJ5171">
        <v>94.200315613517603</v>
      </c>
      <c r="AK5171">
        <v>3.0681429385875401</v>
      </c>
      <c r="AL5171">
        <v>77.424677030831504</v>
      </c>
      <c r="AM5171">
        <v>94.704787838075404</v>
      </c>
      <c r="AN5171">
        <v>1.0000000078997699</v>
      </c>
    </row>
    <row r="5172" spans="1:40" x14ac:dyDescent="0.3">
      <c r="A5172" t="str">
        <f>"20200111150155008"</f>
        <v>20200111150155008</v>
      </c>
      <c r="B5172" t="str">
        <f>"1578726115004200"</f>
        <v>1578726115004200</v>
      </c>
      <c r="C5172" t="s">
        <v>40</v>
      </c>
      <c r="D5172">
        <v>4.3260170000000002</v>
      </c>
      <c r="E5172">
        <v>0.45862839999999999</v>
      </c>
      <c r="F5172" t="s">
        <v>46</v>
      </c>
      <c r="G5172">
        <v>0</v>
      </c>
      <c r="H5172">
        <v>0</v>
      </c>
      <c r="I5172">
        <v>0</v>
      </c>
      <c r="J5172">
        <v>-146.65899999999999</v>
      </c>
      <c r="K5172">
        <v>1.1058950000000001</v>
      </c>
      <c r="L5172">
        <v>136.61779999999999</v>
      </c>
      <c r="M5172">
        <v>0.99911910000000004</v>
      </c>
      <c r="N5172">
        <v>0</v>
      </c>
      <c r="O5172">
        <v>-4.021661E-2</v>
      </c>
      <c r="P5172">
        <v>0.97761540000000002</v>
      </c>
      <c r="Q5172">
        <v>0.20629349999999999</v>
      </c>
      <c r="R5172">
        <v>4.1369789999999997E-2</v>
      </c>
      <c r="S5172">
        <v>3.023987</v>
      </c>
      <c r="T5172">
        <v>0.11648</v>
      </c>
      <c r="U5172">
        <v>0.4784851</v>
      </c>
      <c r="V5172">
        <v>-8.0648639999999994E-2</v>
      </c>
      <c r="W5172">
        <v>0.2179808</v>
      </c>
      <c r="X5172">
        <v>0.97261509999999995</v>
      </c>
      <c r="Y5172">
        <v>-0.19571340000000001</v>
      </c>
      <c r="Z5172">
        <v>-5.2846200000000003E-3</v>
      </c>
      <c r="AA5172">
        <v>0.98064689999999999</v>
      </c>
      <c r="AB5172">
        <v>1</v>
      </c>
      <c r="AC5172">
        <v>3.023987</v>
      </c>
      <c r="AD5172">
        <v>0.11648</v>
      </c>
      <c r="AE5172">
        <v>0.4784851</v>
      </c>
      <c r="AF5172">
        <v>-0.59885437274538</v>
      </c>
      <c r="AG5172">
        <v>0.11648</v>
      </c>
      <c r="AH5172">
        <v>2.9979563753080898</v>
      </c>
      <c r="AI5172">
        <v>87.818061435394597</v>
      </c>
      <c r="AJ5172">
        <v>101.296390111759</v>
      </c>
      <c r="AK5172">
        <v>3.05940134313997</v>
      </c>
      <c r="AL5172">
        <v>77.4095364845342</v>
      </c>
      <c r="AM5172">
        <v>94.740086614434802</v>
      </c>
      <c r="AN5172">
        <v>0.99999998252524902</v>
      </c>
    </row>
    <row r="5173" spans="1:40" x14ac:dyDescent="0.3">
      <c r="A5173" t="str">
        <f>"20200111150155031"</f>
        <v>20200111150155031</v>
      </c>
      <c r="B5173" t="str">
        <f>"1578726115023720"</f>
        <v>1578726115023720</v>
      </c>
      <c r="C5173" t="s">
        <v>40</v>
      </c>
      <c r="D5173">
        <v>4.231725</v>
      </c>
      <c r="E5173">
        <v>0.45942539999999998</v>
      </c>
      <c r="F5173" t="s">
        <v>46</v>
      </c>
      <c r="G5173">
        <v>0</v>
      </c>
      <c r="H5173">
        <v>0</v>
      </c>
      <c r="I5173">
        <v>0</v>
      </c>
      <c r="J5173">
        <v>-146.64609999999999</v>
      </c>
      <c r="K5173">
        <v>1.105874</v>
      </c>
      <c r="L5173">
        <v>136.6174</v>
      </c>
      <c r="M5173">
        <v>0.99912339999999999</v>
      </c>
      <c r="N5173">
        <v>0</v>
      </c>
      <c r="O5173">
        <v>-4.0106339999999997E-2</v>
      </c>
      <c r="P5173">
        <v>0.97825119999999999</v>
      </c>
      <c r="Q5173">
        <v>0.20320920000000001</v>
      </c>
      <c r="R5173">
        <v>4.1601880000000001E-2</v>
      </c>
      <c r="S5173">
        <v>3.0276489999999998</v>
      </c>
      <c r="T5173">
        <v>0.1041178</v>
      </c>
      <c r="U5173">
        <v>0.45053100000000001</v>
      </c>
      <c r="V5173">
        <v>-8.0798289999999995E-2</v>
      </c>
      <c r="W5173">
        <v>0.2149045</v>
      </c>
      <c r="X5173">
        <v>0.97328700000000001</v>
      </c>
      <c r="Y5173">
        <v>-0.18660760000000001</v>
      </c>
      <c r="Z5173">
        <v>-4.5622350000000004E-3</v>
      </c>
      <c r="AA5173">
        <v>0.98242399999999996</v>
      </c>
      <c r="AB5173">
        <v>1</v>
      </c>
      <c r="AC5173">
        <v>3.0276489999999998</v>
      </c>
      <c r="AD5173">
        <v>0.1041178</v>
      </c>
      <c r="AE5173">
        <v>0.45053100000000001</v>
      </c>
      <c r="AF5173">
        <v>-0.57094454342821699</v>
      </c>
      <c r="AG5173">
        <v>0.1041178</v>
      </c>
      <c r="AH5173">
        <v>3.0036670111509598</v>
      </c>
      <c r="AI5173">
        <v>88.049613744658799</v>
      </c>
      <c r="AJ5173">
        <v>100.762529387188</v>
      </c>
      <c r="AK5173">
        <v>3.0592210939753701</v>
      </c>
      <c r="AL5173">
        <v>77.590074728086506</v>
      </c>
      <c r="AM5173">
        <v>94.745578692006802</v>
      </c>
      <c r="AN5173">
        <v>0.99999994607808496</v>
      </c>
    </row>
    <row r="5174" spans="1:40" x14ac:dyDescent="0.3">
      <c r="A5174" t="str">
        <f>"20200111150155053"</f>
        <v>20200111150155053</v>
      </c>
      <c r="B5174" t="str">
        <f>"1578726115044217"</f>
        <v>1578726115044217</v>
      </c>
      <c r="C5174" t="s">
        <v>40</v>
      </c>
      <c r="D5174">
        <v>4.3429640000000003</v>
      </c>
      <c r="E5174">
        <v>0.45873619999999998</v>
      </c>
      <c r="F5174" t="s">
        <v>46</v>
      </c>
      <c r="G5174">
        <v>0</v>
      </c>
      <c r="H5174">
        <v>0</v>
      </c>
      <c r="I5174">
        <v>0</v>
      </c>
      <c r="J5174">
        <v>-146.63339999999999</v>
      </c>
      <c r="K5174">
        <v>1.1058539999999999</v>
      </c>
      <c r="L5174">
        <v>136.61699999999999</v>
      </c>
      <c r="M5174">
        <v>0.99912780000000001</v>
      </c>
      <c r="N5174">
        <v>0</v>
      </c>
      <c r="O5174">
        <v>-3.999751E-2</v>
      </c>
      <c r="P5174">
        <v>0.97850780000000004</v>
      </c>
      <c r="Q5174">
        <v>0.20146220000000001</v>
      </c>
      <c r="R5174">
        <v>4.3997290000000001E-2</v>
      </c>
      <c r="S5174">
        <v>3.0230869999999999</v>
      </c>
      <c r="T5174">
        <v>0.1186634</v>
      </c>
      <c r="U5174">
        <v>0.44541930000000002</v>
      </c>
      <c r="V5174">
        <v>-8.3095829999999996E-2</v>
      </c>
      <c r="W5174">
        <v>0.21315970000000001</v>
      </c>
      <c r="X5174">
        <v>0.97347729999999999</v>
      </c>
      <c r="Y5174">
        <v>-0.1850522</v>
      </c>
      <c r="Z5174">
        <v>-5.1729259999999996E-3</v>
      </c>
      <c r="AA5174">
        <v>0.98271509999999995</v>
      </c>
      <c r="AB5174">
        <v>1</v>
      </c>
      <c r="AC5174">
        <v>3.0230869999999999</v>
      </c>
      <c r="AD5174">
        <v>0.1186634</v>
      </c>
      <c r="AE5174">
        <v>0.44541930000000002</v>
      </c>
      <c r="AF5174">
        <v>-0.56513523328085102</v>
      </c>
      <c r="AG5174">
        <v>0.1186634</v>
      </c>
      <c r="AH5174">
        <v>2.9983290514305301</v>
      </c>
      <c r="AI5174">
        <v>87.772791871008494</v>
      </c>
      <c r="AJ5174">
        <v>100.674076261889</v>
      </c>
      <c r="AK5174">
        <v>3.05343019161193</v>
      </c>
      <c r="AL5174">
        <v>77.692416868686905</v>
      </c>
      <c r="AM5174">
        <v>94.878929581395695</v>
      </c>
      <c r="AN5174">
        <v>1.0000000141413801</v>
      </c>
    </row>
    <row r="5175" spans="1:40" x14ac:dyDescent="0.3">
      <c r="A5175" t="str">
        <f>"20200111150155075"</f>
        <v>20200111150155075</v>
      </c>
      <c r="B5175" t="str">
        <f>"1578726115063737"</f>
        <v>1578726115063737</v>
      </c>
      <c r="C5175" t="s">
        <v>40</v>
      </c>
      <c r="D5175">
        <v>4.3353060000000001</v>
      </c>
      <c r="E5175">
        <v>0.45895770000000002</v>
      </c>
      <c r="F5175" t="s">
        <v>46</v>
      </c>
      <c r="G5175">
        <v>0</v>
      </c>
      <c r="H5175">
        <v>0</v>
      </c>
      <c r="I5175">
        <v>0</v>
      </c>
      <c r="J5175">
        <v>-146.62090000000001</v>
      </c>
      <c r="K5175">
        <v>1.1058520000000001</v>
      </c>
      <c r="L5175">
        <v>136.61670000000001</v>
      </c>
      <c r="M5175">
        <v>0.99913209999999997</v>
      </c>
      <c r="N5175">
        <v>0</v>
      </c>
      <c r="O5175">
        <v>-3.989202E-2</v>
      </c>
      <c r="P5175">
        <v>0.97857329999999998</v>
      </c>
      <c r="Q5175">
        <v>0.20053360000000001</v>
      </c>
      <c r="R5175">
        <v>4.6699930000000001E-2</v>
      </c>
      <c r="S5175">
        <v>3.0240480000000001</v>
      </c>
      <c r="T5175">
        <v>0.1034414</v>
      </c>
      <c r="U5175">
        <v>0.45684809999999998</v>
      </c>
      <c r="V5175">
        <v>-8.5695579999999993E-2</v>
      </c>
      <c r="W5175">
        <v>0.21223059999999999</v>
      </c>
      <c r="X5175">
        <v>0.97345490000000001</v>
      </c>
      <c r="Y5175">
        <v>-0.1885743</v>
      </c>
      <c r="Z5175">
        <v>-4.5634070000000002E-3</v>
      </c>
      <c r="AA5175">
        <v>0.98204829999999999</v>
      </c>
      <c r="AB5175">
        <v>1</v>
      </c>
      <c r="AC5175">
        <v>3.0240480000000001</v>
      </c>
      <c r="AD5175">
        <v>0.1034414</v>
      </c>
      <c r="AE5175">
        <v>0.45684809999999998</v>
      </c>
      <c r="AF5175">
        <v>-0.57646898752445497</v>
      </c>
      <c r="AG5175">
        <v>0.1034414</v>
      </c>
      <c r="AH5175">
        <v>2.9999827363437501</v>
      </c>
      <c r="AI5175">
        <v>88.060638360945603</v>
      </c>
      <c r="AJ5175">
        <v>100.877224740887</v>
      </c>
      <c r="AK5175">
        <v>3.0566179079453102</v>
      </c>
      <c r="AL5175">
        <v>77.746896797873305</v>
      </c>
      <c r="AM5175">
        <v>95.030916212013693</v>
      </c>
      <c r="AN5175">
        <v>1.00000000117095</v>
      </c>
    </row>
    <row r="5176" spans="1:40" x14ac:dyDescent="0.3">
      <c r="A5176" t="str">
        <f>"20200111150155097"</f>
        <v>20200111150155097</v>
      </c>
      <c r="B5176" t="str">
        <f>"1578726115093993"</f>
        <v>1578726115093993</v>
      </c>
      <c r="C5176" t="s">
        <v>40</v>
      </c>
      <c r="D5176">
        <v>4.3550779999999998</v>
      </c>
      <c r="E5176">
        <v>0.4585033</v>
      </c>
      <c r="F5176" t="s">
        <v>46</v>
      </c>
      <c r="G5176">
        <v>0</v>
      </c>
      <c r="H5176">
        <v>0</v>
      </c>
      <c r="I5176">
        <v>0</v>
      </c>
      <c r="J5176">
        <v>-146.60820000000001</v>
      </c>
      <c r="K5176">
        <v>1.105842</v>
      </c>
      <c r="L5176">
        <v>136.6163</v>
      </c>
      <c r="M5176">
        <v>0.99913640000000004</v>
      </c>
      <c r="N5176">
        <v>0</v>
      </c>
      <c r="O5176">
        <v>-3.9784739999999999E-2</v>
      </c>
      <c r="P5176">
        <v>0.97902489999999998</v>
      </c>
      <c r="Q5176">
        <v>0.1982505</v>
      </c>
      <c r="R5176">
        <v>4.698459E-2</v>
      </c>
      <c r="S5176">
        <v>3.022583</v>
      </c>
      <c r="T5176">
        <v>0.1024702</v>
      </c>
      <c r="U5176">
        <v>0.46307369999999998</v>
      </c>
      <c r="V5176">
        <v>-8.5893360000000002E-2</v>
      </c>
      <c r="W5176">
        <v>0.20995369999999999</v>
      </c>
      <c r="X5176">
        <v>0.97393110000000005</v>
      </c>
      <c r="Y5176">
        <v>-0.19051699999999999</v>
      </c>
      <c r="Z5176">
        <v>-4.551182E-3</v>
      </c>
      <c r="AA5176">
        <v>0.98167340000000003</v>
      </c>
      <c r="AB5176">
        <v>1</v>
      </c>
      <c r="AC5176">
        <v>3.022583</v>
      </c>
      <c r="AD5176">
        <v>0.1024702</v>
      </c>
      <c r="AE5176">
        <v>0.46307369999999998</v>
      </c>
      <c r="AF5176">
        <v>-0.58231442164022995</v>
      </c>
      <c r="AG5176">
        <v>0.1024702</v>
      </c>
      <c r="AH5176">
        <v>2.9983979380341998</v>
      </c>
      <c r="AI5176">
        <v>88.078551979817206</v>
      </c>
      <c r="AJ5176">
        <v>100.990515180701</v>
      </c>
      <c r="AK5176">
        <v>3.0561381549835001</v>
      </c>
      <c r="AL5176">
        <v>77.880361118644402</v>
      </c>
      <c r="AM5176">
        <v>95.040014662512704</v>
      </c>
      <c r="AN5176">
        <v>1.00000000649149</v>
      </c>
    </row>
    <row r="5177" spans="1:40" x14ac:dyDescent="0.3">
      <c r="A5177" t="str">
        <f>"20200111150155122"</f>
        <v>20200111150155122</v>
      </c>
      <c r="B5177" t="str">
        <f>"1578726115114488"</f>
        <v>1578726115114488</v>
      </c>
      <c r="C5177" t="s">
        <v>40</v>
      </c>
      <c r="D5177">
        <v>4.3315460000000003</v>
      </c>
      <c r="E5177">
        <v>0.45846350000000002</v>
      </c>
      <c r="F5177" t="s">
        <v>46</v>
      </c>
      <c r="G5177">
        <v>0</v>
      </c>
      <c r="H5177">
        <v>0</v>
      </c>
      <c r="I5177">
        <v>0</v>
      </c>
      <c r="J5177">
        <v>-146.59520000000001</v>
      </c>
      <c r="K5177">
        <v>1.1058209999999999</v>
      </c>
      <c r="L5177">
        <v>136.61590000000001</v>
      </c>
      <c r="M5177">
        <v>0.99914069999999999</v>
      </c>
      <c r="N5177">
        <v>0</v>
      </c>
      <c r="O5177">
        <v>-3.9675920000000003E-2</v>
      </c>
      <c r="P5177">
        <v>0.97950040000000005</v>
      </c>
      <c r="Q5177">
        <v>0.1962025</v>
      </c>
      <c r="R5177">
        <v>4.5645419999999999E-2</v>
      </c>
      <c r="S5177">
        <v>3.0238800000000001</v>
      </c>
      <c r="T5177">
        <v>8.8220119999999999E-2</v>
      </c>
      <c r="U5177">
        <v>0.46884160000000002</v>
      </c>
      <c r="V5177">
        <v>-8.4467570000000006E-2</v>
      </c>
      <c r="W5177">
        <v>0.20791219999999999</v>
      </c>
      <c r="X5177">
        <v>0.97449359999999996</v>
      </c>
      <c r="Y5177">
        <v>-0.19220880000000001</v>
      </c>
      <c r="Z5177">
        <v>-3.9377090000000002E-3</v>
      </c>
      <c r="AA5177">
        <v>0.9813461</v>
      </c>
      <c r="AB5177">
        <v>1</v>
      </c>
      <c r="AC5177">
        <v>3.0238800000000001</v>
      </c>
      <c r="AD5177">
        <v>8.8220119999999999E-2</v>
      </c>
      <c r="AE5177">
        <v>0.46884160000000002</v>
      </c>
      <c r="AF5177">
        <v>-0.58796752188063695</v>
      </c>
      <c r="AG5177">
        <v>8.8220119999999999E-2</v>
      </c>
      <c r="AH5177">
        <v>3.0004017563191101</v>
      </c>
      <c r="AI5177">
        <v>88.347247823831196</v>
      </c>
      <c r="AJ5177">
        <v>101.08735018882599</v>
      </c>
      <c r="AK5177">
        <v>3.05874145616822</v>
      </c>
      <c r="AL5177">
        <v>77.999970355285001</v>
      </c>
      <c r="AM5177">
        <v>94.953926132963602</v>
      </c>
      <c r="AN5177">
        <v>1.00000001486575</v>
      </c>
    </row>
    <row r="5178" spans="1:40" x14ac:dyDescent="0.3">
      <c r="A5178" t="str">
        <f>"20200111150155142"</f>
        <v>20200111150155142</v>
      </c>
      <c r="B5178" t="str">
        <f>"1578726115134009"</f>
        <v>1578726115134009</v>
      </c>
      <c r="C5178" t="s">
        <v>40</v>
      </c>
      <c r="D5178">
        <v>4.2122840000000004</v>
      </c>
      <c r="E5178">
        <v>0.4585283</v>
      </c>
      <c r="F5178" t="s">
        <v>46</v>
      </c>
      <c r="G5178">
        <v>0</v>
      </c>
      <c r="H5178">
        <v>0</v>
      </c>
      <c r="I5178">
        <v>0</v>
      </c>
      <c r="J5178">
        <v>-146.583</v>
      </c>
      <c r="K5178">
        <v>1.105802</v>
      </c>
      <c r="L5178">
        <v>136.6156</v>
      </c>
      <c r="M5178">
        <v>0.99914460000000005</v>
      </c>
      <c r="N5178">
        <v>0</v>
      </c>
      <c r="O5178">
        <v>-3.9577479999999998E-2</v>
      </c>
      <c r="P5178">
        <v>0.97976909999999895</v>
      </c>
      <c r="Q5178">
        <v>0.19480919999999999</v>
      </c>
      <c r="R5178">
        <v>4.5848949999999999E-2</v>
      </c>
      <c r="S5178">
        <v>3.0250849999999998</v>
      </c>
      <c r="T5178">
        <v>7.9724550000000005E-2</v>
      </c>
      <c r="U5178">
        <v>0.46643069999999998</v>
      </c>
      <c r="V5178">
        <v>-8.4584090000000001E-2</v>
      </c>
      <c r="W5178">
        <v>0.2065226</v>
      </c>
      <c r="X5178">
        <v>0.97477899999999995</v>
      </c>
      <c r="Y5178">
        <v>-0.19130710000000001</v>
      </c>
      <c r="Z5178">
        <v>-3.5430629999999999E-3</v>
      </c>
      <c r="AA5178">
        <v>0.9815239</v>
      </c>
      <c r="AB5178">
        <v>1</v>
      </c>
      <c r="AC5178">
        <v>3.0250849999999998</v>
      </c>
      <c r="AD5178">
        <v>7.9724550000000005E-2</v>
      </c>
      <c r="AE5178">
        <v>0.46643069999999998</v>
      </c>
      <c r="AF5178">
        <v>-0.58540189077613902</v>
      </c>
      <c r="AG5178">
        <v>7.9724550000000005E-2</v>
      </c>
      <c r="AH5178">
        <v>3.00221624775343</v>
      </c>
      <c r="AI5178">
        <v>88.506960364682897</v>
      </c>
      <c r="AJ5178">
        <v>101.03365233789</v>
      </c>
      <c r="AK5178">
        <v>3.0597963618305801</v>
      </c>
      <c r="AL5178">
        <v>78.081355773861802</v>
      </c>
      <c r="AM5178">
        <v>94.959280641767705</v>
      </c>
      <c r="AN5178">
        <v>1.00000007571644</v>
      </c>
    </row>
    <row r="5179" spans="1:40" x14ac:dyDescent="0.3">
      <c r="A5179" t="str">
        <f>"20200111150155165"</f>
        <v>20200111150155165</v>
      </c>
      <c r="B5179" t="str">
        <f>"1578726115154505"</f>
        <v>1578726115154505</v>
      </c>
      <c r="C5179" t="s">
        <v>40</v>
      </c>
      <c r="D5179">
        <v>4.2503919999999997</v>
      </c>
      <c r="E5179">
        <v>0.45865329999999899</v>
      </c>
      <c r="F5179" t="s">
        <v>46</v>
      </c>
      <c r="G5179">
        <v>0</v>
      </c>
      <c r="H5179">
        <v>0</v>
      </c>
      <c r="I5179">
        <v>0</v>
      </c>
      <c r="J5179">
        <v>-146.57069999999999</v>
      </c>
      <c r="K5179">
        <v>1.1057920000000001</v>
      </c>
      <c r="L5179">
        <v>136.61519999999999</v>
      </c>
      <c r="M5179">
        <v>0.99914840000000005</v>
      </c>
      <c r="N5179">
        <v>0</v>
      </c>
      <c r="O5179">
        <v>-3.9480349999999997E-2</v>
      </c>
      <c r="P5179">
        <v>0.97989590000000004</v>
      </c>
      <c r="Q5179">
        <v>0.19416829999999999</v>
      </c>
      <c r="R5179">
        <v>4.5857179999999997E-2</v>
      </c>
      <c r="S5179">
        <v>3.0253909999999999</v>
      </c>
      <c r="T5179">
        <v>7.4056029999999995E-2</v>
      </c>
      <c r="U5179">
        <v>0.4662018</v>
      </c>
      <c r="V5179">
        <v>-8.450183E-2</v>
      </c>
      <c r="W5179">
        <v>0.20588380000000001</v>
      </c>
      <c r="X5179">
        <v>0.97492120000000004</v>
      </c>
      <c r="Y5179">
        <v>-0.1911351</v>
      </c>
      <c r="Z5179">
        <v>-3.2864560000000001E-3</v>
      </c>
      <c r="AA5179">
        <v>0.98155829999999999</v>
      </c>
      <c r="AB5179">
        <v>1</v>
      </c>
      <c r="AC5179">
        <v>3.0253909999999999</v>
      </c>
      <c r="AD5179">
        <v>7.4056029999999995E-2</v>
      </c>
      <c r="AE5179">
        <v>0.4662018</v>
      </c>
      <c r="AF5179">
        <v>-0.58494799520979801</v>
      </c>
      <c r="AG5179">
        <v>7.4056029999999995E-2</v>
      </c>
      <c r="AH5179">
        <v>3.0028672456549801</v>
      </c>
      <c r="AI5179">
        <v>88.613324606597999</v>
      </c>
      <c r="AJ5179">
        <v>101.022975372563</v>
      </c>
      <c r="AK5179">
        <v>3.0602058995608199</v>
      </c>
      <c r="AL5179">
        <v>78.118759522245</v>
      </c>
      <c r="AM5179">
        <v>94.953762589508699</v>
      </c>
      <c r="AN5179">
        <v>1.00000002229261</v>
      </c>
    </row>
    <row r="5180" spans="1:40" x14ac:dyDescent="0.3">
      <c r="A5180" t="str">
        <f>"20200111150155187"</f>
        <v>20200111150155187</v>
      </c>
      <c r="B5180" t="str">
        <f>"1578726115183784"</f>
        <v>1578726115183784</v>
      </c>
      <c r="C5180" t="s">
        <v>40</v>
      </c>
      <c r="D5180">
        <v>4.2623819999999997</v>
      </c>
      <c r="E5180">
        <v>0.45898670000000003</v>
      </c>
      <c r="F5180" t="s">
        <v>46</v>
      </c>
      <c r="G5180">
        <v>0</v>
      </c>
      <c r="H5180">
        <v>0</v>
      </c>
      <c r="I5180">
        <v>0</v>
      </c>
      <c r="J5180">
        <v>-146.55840000000001</v>
      </c>
      <c r="K5180">
        <v>1.105777</v>
      </c>
      <c r="L5180">
        <v>136.6148</v>
      </c>
      <c r="M5180">
        <v>0.99915209999999999</v>
      </c>
      <c r="N5180">
        <v>0</v>
      </c>
      <c r="O5180">
        <v>-3.9386919999999999E-2</v>
      </c>
      <c r="P5180">
        <v>0.98040450000000001</v>
      </c>
      <c r="Q5180">
        <v>0.19190750000000001</v>
      </c>
      <c r="R5180">
        <v>4.448295E-2</v>
      </c>
      <c r="S5180">
        <v>3.025436</v>
      </c>
      <c r="T5180">
        <v>7.2394490000000006E-2</v>
      </c>
      <c r="U5180">
        <v>0.46510309999999999</v>
      </c>
      <c r="V5180">
        <v>-8.3055970000000007E-2</v>
      </c>
      <c r="W5180">
        <v>0.20363039999999999</v>
      </c>
      <c r="X5180">
        <v>0.97551849999999996</v>
      </c>
      <c r="Y5180">
        <v>-0.190696</v>
      </c>
      <c r="Z5180">
        <v>-3.2053329999999999E-3</v>
      </c>
      <c r="AA5180">
        <v>0.98164390000000001</v>
      </c>
      <c r="AB5180">
        <v>1</v>
      </c>
      <c r="AC5180">
        <v>3.025436</v>
      </c>
      <c r="AD5180">
        <v>7.2394490000000006E-2</v>
      </c>
      <c r="AE5180">
        <v>0.46510309999999999</v>
      </c>
      <c r="AF5180">
        <v>-0.583586880879986</v>
      </c>
      <c r="AG5180">
        <v>7.2394490000000006E-2</v>
      </c>
      <c r="AH5180">
        <v>3.0030879274525</v>
      </c>
      <c r="AI5180">
        <v>88.644405476289506</v>
      </c>
      <c r="AJ5180">
        <v>100.99716366031601</v>
      </c>
      <c r="AK5180">
        <v>3.0601228259219502</v>
      </c>
      <c r="AL5180">
        <v>78.250664159273597</v>
      </c>
      <c r="AM5180">
        <v>94.866445640884294</v>
      </c>
      <c r="AN5180">
        <v>0.99999998889952502</v>
      </c>
    </row>
    <row r="5181" spans="1:40" x14ac:dyDescent="0.3">
      <c r="A5181" t="str">
        <f>"20200111150155210"</f>
        <v>20200111150155210</v>
      </c>
      <c r="B5181" t="str">
        <f>"1578726115204280"</f>
        <v>1578726115204280</v>
      </c>
      <c r="C5181" t="s">
        <v>40</v>
      </c>
      <c r="D5181">
        <v>4.2359720000000003</v>
      </c>
      <c r="E5181">
        <v>0.45914969999999999</v>
      </c>
      <c r="F5181" t="s">
        <v>46</v>
      </c>
      <c r="G5181">
        <v>0</v>
      </c>
      <c r="H5181">
        <v>0</v>
      </c>
      <c r="I5181">
        <v>0</v>
      </c>
      <c r="J5181">
        <v>-146.54560000000001</v>
      </c>
      <c r="K5181">
        <v>1.105753</v>
      </c>
      <c r="L5181">
        <v>136.61439999999999</v>
      </c>
      <c r="M5181">
        <v>0.99915560000000003</v>
      </c>
      <c r="N5181">
        <v>0</v>
      </c>
      <c r="O5181">
        <v>-3.9296369999999997E-2</v>
      </c>
      <c r="P5181">
        <v>0.98122949999999998</v>
      </c>
      <c r="Q5181">
        <v>0.18828639999999999</v>
      </c>
      <c r="R5181">
        <v>4.1681410000000002E-2</v>
      </c>
      <c r="S5181">
        <v>3.0263979999999999</v>
      </c>
      <c r="T5181">
        <v>6.5270659999999994E-2</v>
      </c>
      <c r="U5181">
        <v>0.45846559999999997</v>
      </c>
      <c r="V5181">
        <v>-8.0199899999999893E-2</v>
      </c>
      <c r="W5181">
        <v>0.20002130000000001</v>
      </c>
      <c r="X5181">
        <v>0.97650369999999997</v>
      </c>
      <c r="Y5181">
        <v>-0.18846830000000001</v>
      </c>
      <c r="Z5181">
        <v>-2.8637269999999999E-3</v>
      </c>
      <c r="AA5181">
        <v>0.98207509999999998</v>
      </c>
      <c r="AB5181">
        <v>1</v>
      </c>
      <c r="AC5181">
        <v>3.0263979999999999</v>
      </c>
      <c r="AD5181">
        <v>6.5270659999999994E-2</v>
      </c>
      <c r="AE5181">
        <v>0.45846559999999997</v>
      </c>
      <c r="AF5181">
        <v>-0.57678417528946602</v>
      </c>
      <c r="AG5181">
        <v>6.5270659999999994E-2</v>
      </c>
      <c r="AH5181">
        <v>3.0046764993547699</v>
      </c>
      <c r="AI5181">
        <v>88.777864978600107</v>
      </c>
      <c r="AJ5181">
        <v>100.866434048062</v>
      </c>
      <c r="AK5181">
        <v>3.0602321986568302</v>
      </c>
      <c r="AL5181">
        <v>78.461795518832702</v>
      </c>
      <c r="AM5181">
        <v>94.6951441384725</v>
      </c>
      <c r="AN5181">
        <v>1.0000000102636899</v>
      </c>
    </row>
    <row r="5182" spans="1:40" x14ac:dyDescent="0.3">
      <c r="A5182" t="str">
        <f>"20200111150155231"</f>
        <v>20200111150155231</v>
      </c>
      <c r="B5182" t="str">
        <f>"1578726115223800"</f>
        <v>1578726115223800</v>
      </c>
      <c r="C5182" t="s">
        <v>40</v>
      </c>
      <c r="D5182">
        <v>4.2636019999999997</v>
      </c>
      <c r="E5182">
        <v>0.45927820000000003</v>
      </c>
      <c r="F5182" t="s">
        <v>46</v>
      </c>
      <c r="G5182">
        <v>0</v>
      </c>
      <c r="H5182">
        <v>0</v>
      </c>
      <c r="I5182">
        <v>0</v>
      </c>
      <c r="J5182">
        <v>-146.53370000000001</v>
      </c>
      <c r="K5182">
        <v>1.105731</v>
      </c>
      <c r="L5182">
        <v>136.61410000000001</v>
      </c>
      <c r="M5182">
        <v>0.99915869999999996</v>
      </c>
      <c r="N5182">
        <v>0</v>
      </c>
      <c r="O5182">
        <v>-3.9218929999999999E-2</v>
      </c>
      <c r="P5182">
        <v>0.98194689999999996</v>
      </c>
      <c r="Q5182">
        <v>0.18507409999999999</v>
      </c>
      <c r="R5182">
        <v>3.9093299999999997E-2</v>
      </c>
      <c r="S5182">
        <v>3.0278320000000001</v>
      </c>
      <c r="T5182">
        <v>5.4491280000000003E-2</v>
      </c>
      <c r="U5182">
        <v>0.44973750000000001</v>
      </c>
      <c r="V5182">
        <v>-7.7564179999999996E-2</v>
      </c>
      <c r="W5182">
        <v>0.19681940000000001</v>
      </c>
      <c r="X5182">
        <v>0.97736679999999998</v>
      </c>
      <c r="Y5182">
        <v>-0.18557000000000001</v>
      </c>
      <c r="Z5182">
        <v>-2.3629250000000001E-3</v>
      </c>
      <c r="AA5182">
        <v>0.98262819999999995</v>
      </c>
      <c r="AB5182">
        <v>1</v>
      </c>
      <c r="AC5182">
        <v>3.0278320000000001</v>
      </c>
      <c r="AD5182">
        <v>5.4491280000000003E-2</v>
      </c>
      <c r="AE5182">
        <v>0.44973750000000001</v>
      </c>
      <c r="AF5182">
        <v>-0.56796832392929597</v>
      </c>
      <c r="AG5182">
        <v>5.4491280000000003E-2</v>
      </c>
      <c r="AH5182">
        <v>3.0069098165079802</v>
      </c>
      <c r="AI5182">
        <v>88.979833997033197</v>
      </c>
      <c r="AJ5182">
        <v>100.69644578434099</v>
      </c>
      <c r="AK5182">
        <v>3.0605659543939101</v>
      </c>
      <c r="AL5182">
        <v>78.648972140688798</v>
      </c>
      <c r="AM5182">
        <v>94.537503736558406</v>
      </c>
      <c r="AN5182">
        <v>0.999999969988835</v>
      </c>
    </row>
    <row r="5183" spans="1:40" x14ac:dyDescent="0.3">
      <c r="A5183" t="str">
        <f>"20200111150155255"</f>
        <v>20200111150155255</v>
      </c>
      <c r="B5183" t="str">
        <f>"1578726115244297"</f>
        <v>1578726115244297</v>
      </c>
      <c r="C5183" t="s">
        <v>40</v>
      </c>
      <c r="D5183">
        <v>4.2035470000000004</v>
      </c>
      <c r="E5183">
        <v>0.50185970000000002</v>
      </c>
      <c r="F5183" t="s">
        <v>46</v>
      </c>
      <c r="G5183">
        <v>0</v>
      </c>
      <c r="H5183">
        <v>0</v>
      </c>
      <c r="I5183">
        <v>0</v>
      </c>
      <c r="J5183">
        <v>-146.5213</v>
      </c>
      <c r="K5183">
        <v>1.105712</v>
      </c>
      <c r="L5183">
        <v>136.61369999999999</v>
      </c>
      <c r="M5183">
        <v>0.99916150000000004</v>
      </c>
      <c r="N5183">
        <v>0</v>
      </c>
      <c r="O5183">
        <v>-3.9144829999999999E-2</v>
      </c>
      <c r="P5183">
        <v>0.98243119999999995</v>
      </c>
      <c r="Q5183">
        <v>0.1827047</v>
      </c>
      <c r="R5183">
        <v>3.8051679999999997E-2</v>
      </c>
      <c r="S5183">
        <v>3.0292210000000002</v>
      </c>
      <c r="T5183">
        <v>4.4312480000000001E-2</v>
      </c>
      <c r="U5183">
        <v>0.4411774</v>
      </c>
      <c r="V5183">
        <v>-7.6468850000000005E-2</v>
      </c>
      <c r="W5183">
        <v>0.19445699999999999</v>
      </c>
      <c r="X5183">
        <v>0.97792590000000001</v>
      </c>
      <c r="Y5183">
        <v>-0.18272530000000001</v>
      </c>
      <c r="Z5183">
        <v>-1.8993269999999999E-3</v>
      </c>
      <c r="AA5183">
        <v>0.98316219999999999</v>
      </c>
      <c r="AB5183">
        <v>1</v>
      </c>
      <c r="AC5183">
        <v>3.0292210000000002</v>
      </c>
      <c r="AD5183">
        <v>4.4312480000000001E-2</v>
      </c>
      <c r="AE5183">
        <v>0.4411774</v>
      </c>
      <c r="AF5183">
        <v>-0.55930888847577498</v>
      </c>
      <c r="AG5183">
        <v>4.4312480000000001E-2</v>
      </c>
      <c r="AH5183">
        <v>3.00899733709569</v>
      </c>
      <c r="AI5183">
        <v>89.170491956297695</v>
      </c>
      <c r="AJ5183">
        <v>100.52989712448699</v>
      </c>
      <c r="AK5183">
        <v>3.06085854022376</v>
      </c>
      <c r="AL5183">
        <v>78.786995633739195</v>
      </c>
      <c r="AM5183">
        <v>94.471141584536596</v>
      </c>
      <c r="AN5183">
        <v>1.00000003788006</v>
      </c>
    </row>
    <row r="5184" spans="1:40" x14ac:dyDescent="0.3">
      <c r="A5184" t="str">
        <f>"20200111150155276"</f>
        <v>20200111150155276</v>
      </c>
      <c r="B5184" t="str">
        <f>"1578726115263817"</f>
        <v>1578726115263817</v>
      </c>
      <c r="C5184" t="s">
        <v>40</v>
      </c>
      <c r="D5184">
        <v>4.1844029999999997</v>
      </c>
      <c r="E5184">
        <v>0.52040779999999998</v>
      </c>
      <c r="F5184" t="s">
        <v>42</v>
      </c>
      <c r="G5184">
        <v>-124.00449999999999</v>
      </c>
      <c r="H5184" s="1">
        <v>-2.9599330000000001E-6</v>
      </c>
      <c r="I5184">
        <v>137.3297</v>
      </c>
      <c r="J5184">
        <v>-146.5093</v>
      </c>
      <c r="K5184">
        <v>1.1056820000000001</v>
      </c>
      <c r="L5184">
        <v>136.61330000000001</v>
      </c>
      <c r="M5184">
        <v>0.9991641</v>
      </c>
      <c r="N5184">
        <v>0</v>
      </c>
      <c r="O5184">
        <v>-3.9079059999999999E-2</v>
      </c>
      <c r="P5184">
        <v>0.98297299999999999</v>
      </c>
      <c r="Q5184">
        <v>0.18005299999999999</v>
      </c>
      <c r="R5184">
        <v>3.6679410000000003E-2</v>
      </c>
      <c r="S5184">
        <v>3.0779570000000001</v>
      </c>
      <c r="T5184">
        <v>-0.15114720000000001</v>
      </c>
      <c r="U5184">
        <v>9.7885130000000001E-2</v>
      </c>
      <c r="V5184">
        <v>-7.5053199999999903E-2</v>
      </c>
      <c r="W5184">
        <v>0.1918126</v>
      </c>
      <c r="X5184">
        <v>0.97855760000000003</v>
      </c>
      <c r="Y5184">
        <v>-7.0691589999999999E-2</v>
      </c>
      <c r="Z5184">
        <v>3.65168E-3</v>
      </c>
      <c r="AA5184">
        <v>0.99749149999999998</v>
      </c>
      <c r="AB5184">
        <v>1</v>
      </c>
      <c r="AC5184">
        <v>22.504799999999999</v>
      </c>
      <c r="AD5184">
        <v>-1.1056849599330001</v>
      </c>
      <c r="AE5184">
        <v>0.71639999999999204</v>
      </c>
      <c r="AF5184">
        <v>-1.591544525058</v>
      </c>
      <c r="AG5184">
        <v>-1.1056849599330001</v>
      </c>
      <c r="AH5184">
        <v>22.405579112684499</v>
      </c>
      <c r="AI5184">
        <v>92.818087931547694</v>
      </c>
      <c r="AJ5184">
        <v>94.063089582738201</v>
      </c>
      <c r="AK5184">
        <v>22.489231391504401</v>
      </c>
      <c r="AL5184">
        <v>78.941415789524399</v>
      </c>
      <c r="AM5184">
        <v>94.385872764662906</v>
      </c>
      <c r="AN5184">
        <v>1.00000001643337</v>
      </c>
    </row>
    <row r="5185" spans="1:40" x14ac:dyDescent="0.3">
      <c r="A5185" t="str">
        <f>"20200111150155299"</f>
        <v>20200111150155299</v>
      </c>
      <c r="B5185" t="str">
        <f>"1578726115294075"</f>
        <v>1578726115294075</v>
      </c>
      <c r="C5185" t="s">
        <v>40</v>
      </c>
      <c r="D5185">
        <v>4.1947099999999997</v>
      </c>
      <c r="E5185">
        <v>0.53124780000000005</v>
      </c>
      <c r="F5185" t="s">
        <v>42</v>
      </c>
      <c r="G5185">
        <v>-134.30879999999999</v>
      </c>
      <c r="H5185" s="1">
        <v>-2.9939670000000002E-6</v>
      </c>
      <c r="I5185">
        <v>136.40209999999999</v>
      </c>
      <c r="J5185">
        <v>-146.49680000000001</v>
      </c>
      <c r="K5185">
        <v>1.1056569999999999</v>
      </c>
      <c r="L5185">
        <v>136.6129</v>
      </c>
      <c r="M5185">
        <v>0.99916649999999996</v>
      </c>
      <c r="N5185">
        <v>0</v>
      </c>
      <c r="O5185">
        <v>-3.9014809999999997E-2</v>
      </c>
      <c r="P5185">
        <v>0.98373529999999998</v>
      </c>
      <c r="Q5185">
        <v>0.17616039999999999</v>
      </c>
      <c r="R5185">
        <v>3.510427E-2</v>
      </c>
      <c r="S5185">
        <v>3.1055299999999999</v>
      </c>
      <c r="T5185">
        <v>-0.28144160000000001</v>
      </c>
      <c r="U5185">
        <v>-5.3756709999999999E-2</v>
      </c>
      <c r="V5185">
        <v>-7.3445769999999994E-2</v>
      </c>
      <c r="W5185">
        <v>0.1879306</v>
      </c>
      <c r="X5185">
        <v>0.97943239999999998</v>
      </c>
      <c r="Y5185">
        <v>-2.146984E-2</v>
      </c>
      <c r="Z5185">
        <v>4.4983469999999998E-3</v>
      </c>
      <c r="AA5185">
        <v>0.99975939999999996</v>
      </c>
      <c r="AB5185">
        <v>1</v>
      </c>
      <c r="AC5185">
        <v>12.188000000000001</v>
      </c>
      <c r="AD5185">
        <v>-1.105659993967</v>
      </c>
      <c r="AE5185">
        <v>-0.21080000000000601</v>
      </c>
      <c r="AF5185">
        <v>-0.26274565704540198</v>
      </c>
      <c r="AG5185">
        <v>-1.105659993967</v>
      </c>
      <c r="AH5185">
        <v>12.0874985962783</v>
      </c>
      <c r="AI5185">
        <v>95.225151690656404</v>
      </c>
      <c r="AJ5185">
        <v>91.245240838421694</v>
      </c>
      <c r="AK5185">
        <v>12.1408048175393</v>
      </c>
      <c r="AL5185">
        <v>79.167959147437202</v>
      </c>
      <c r="AM5185">
        <v>94.288475045650202</v>
      </c>
      <c r="AN5185">
        <v>1.0000000088584999</v>
      </c>
    </row>
    <row r="5186" spans="1:40" x14ac:dyDescent="0.3">
      <c r="A5186" t="str">
        <f>"20200111150155322"</f>
        <v>20200111150155322</v>
      </c>
      <c r="B5186" t="str">
        <f>"1578726115314569"</f>
        <v>1578726115314569</v>
      </c>
      <c r="C5186" t="s">
        <v>40</v>
      </c>
      <c r="D5186">
        <v>4.1713930000000001</v>
      </c>
      <c r="E5186">
        <v>0.53509580000000001</v>
      </c>
      <c r="F5186" t="s">
        <v>41</v>
      </c>
      <c r="G5186">
        <v>-145.7842</v>
      </c>
      <c r="H5186">
        <v>1.0159069999999999</v>
      </c>
      <c r="I5186">
        <v>136.57980000000001</v>
      </c>
      <c r="J5186">
        <v>-146.4847</v>
      </c>
      <c r="K5186">
        <v>1.105642</v>
      </c>
      <c r="L5186">
        <v>136.61250000000001</v>
      </c>
      <c r="M5186">
        <v>0.99916910000000003</v>
      </c>
      <c r="N5186">
        <v>0</v>
      </c>
      <c r="O5186">
        <v>-3.8954349999999999E-2</v>
      </c>
      <c r="P5186">
        <v>0.98441230000000002</v>
      </c>
      <c r="Q5186">
        <v>0.17262420000000001</v>
      </c>
      <c r="R5186">
        <v>3.3671590000000001E-2</v>
      </c>
      <c r="S5186">
        <v>3.1252589999999998</v>
      </c>
      <c r="T5186">
        <v>-0.3936481</v>
      </c>
      <c r="U5186">
        <v>-0.1452484</v>
      </c>
      <c r="V5186">
        <v>-7.1982400000000002E-2</v>
      </c>
      <c r="W5186">
        <v>0.18440280000000001</v>
      </c>
      <c r="X5186">
        <v>0.98021130000000001</v>
      </c>
      <c r="Y5186">
        <v>7.7211819999999896E-3</v>
      </c>
      <c r="Z5186">
        <v>4.3988810000000003E-3</v>
      </c>
      <c r="AA5186">
        <v>0.99996050000000003</v>
      </c>
      <c r="AB5186">
        <v>1</v>
      </c>
      <c r="AC5186">
        <v>0.70050000000000501</v>
      </c>
      <c r="AD5186">
        <v>-8.9735000000000106E-2</v>
      </c>
      <c r="AE5186">
        <v>-3.2700000000005502E-2</v>
      </c>
      <c r="AF5186">
        <v>5.2989281725354604E-3</v>
      </c>
      <c r="AG5186">
        <v>-8.9735000000000106E-2</v>
      </c>
      <c r="AH5186">
        <v>0.689944790221518</v>
      </c>
      <c r="AI5186">
        <v>97.410140347162496</v>
      </c>
      <c r="AJ5186">
        <v>89.559964427213103</v>
      </c>
      <c r="AK5186">
        <v>0.69577601454677396</v>
      </c>
      <c r="AL5186">
        <v>79.373683938935002</v>
      </c>
      <c r="AM5186">
        <v>94.200010563682895</v>
      </c>
      <c r="AN5186">
        <v>1.00000002560264</v>
      </c>
    </row>
    <row r="5187" spans="1:40" x14ac:dyDescent="0.3">
      <c r="A5187" t="str">
        <f>"20200111150155342"</f>
        <v>20200111150155342</v>
      </c>
      <c r="B5187" t="str">
        <f>"1578726115334088"</f>
        <v>1578726115334088</v>
      </c>
      <c r="C5187" t="s">
        <v>40</v>
      </c>
      <c r="D5187">
        <v>4.1198329999999999</v>
      </c>
      <c r="E5187">
        <v>0.5379429</v>
      </c>
      <c r="F5187" t="s">
        <v>41</v>
      </c>
      <c r="G5187">
        <v>-145.76779999999999</v>
      </c>
      <c r="H5187">
        <v>1.006464</v>
      </c>
      <c r="I5187">
        <v>136.571</v>
      </c>
      <c r="J5187">
        <v>-146.47309999999999</v>
      </c>
      <c r="K5187">
        <v>1.105631</v>
      </c>
      <c r="L5187">
        <v>136.6121</v>
      </c>
      <c r="M5187">
        <v>0.99917129999999998</v>
      </c>
      <c r="N5187">
        <v>0</v>
      </c>
      <c r="O5187">
        <v>-3.8895899999999997E-2</v>
      </c>
      <c r="P5187">
        <v>0.98477669999999995</v>
      </c>
      <c r="Q5187">
        <v>0.1706966</v>
      </c>
      <c r="R5187">
        <v>3.2827240000000001E-2</v>
      </c>
      <c r="S5187">
        <v>3.1296390000000001</v>
      </c>
      <c r="T5187">
        <v>-0.43309690000000001</v>
      </c>
      <c r="U5187">
        <v>-0.1808167</v>
      </c>
      <c r="V5187">
        <v>-7.1096889999999996E-2</v>
      </c>
      <c r="W5187">
        <v>0.18247959999999999</v>
      </c>
      <c r="X5187">
        <v>0.98063579999999995</v>
      </c>
      <c r="Y5187">
        <v>1.899064E-2</v>
      </c>
      <c r="Z5187">
        <v>4.0438690000000003E-3</v>
      </c>
      <c r="AA5187">
        <v>0.99981149999999996</v>
      </c>
      <c r="AB5187">
        <v>1</v>
      </c>
      <c r="AC5187">
        <v>0.70529999999999404</v>
      </c>
      <c r="AD5187">
        <v>-9.9166999999999894E-2</v>
      </c>
      <c r="AE5187">
        <v>-4.1100000000000102E-2</v>
      </c>
      <c r="AF5187">
        <v>1.3370220096927701E-2</v>
      </c>
      <c r="AG5187">
        <v>-9.9166999999999894E-2</v>
      </c>
      <c r="AH5187">
        <v>0.69271690226367</v>
      </c>
      <c r="AI5187">
        <v>98.145419694701403</v>
      </c>
      <c r="AJ5187">
        <v>88.894263913437499</v>
      </c>
      <c r="AK5187">
        <v>0.69990682476756505</v>
      </c>
      <c r="AL5187">
        <v>79.485777842666394</v>
      </c>
      <c r="AM5187">
        <v>94.146735003632401</v>
      </c>
      <c r="AN5187">
        <v>1.00000007221273</v>
      </c>
    </row>
    <row r="5188" spans="1:40" x14ac:dyDescent="0.3">
      <c r="A5188" t="str">
        <f>"20200111150155366"</f>
        <v>20200111150155366</v>
      </c>
      <c r="B5188" t="str">
        <f>"1578726115354617"</f>
        <v>1578726115354617</v>
      </c>
      <c r="C5188" t="s">
        <v>40</v>
      </c>
      <c r="D5188">
        <v>4.0849849999999996</v>
      </c>
      <c r="E5188">
        <v>0.53936989999999996</v>
      </c>
      <c r="F5188" t="s">
        <v>41</v>
      </c>
      <c r="G5188">
        <v>-145.7611</v>
      </c>
      <c r="H5188">
        <v>0.99894769999999999</v>
      </c>
      <c r="I5188">
        <v>136.5651</v>
      </c>
      <c r="J5188">
        <v>-146.46090000000001</v>
      </c>
      <c r="K5188">
        <v>1.1056170000000001</v>
      </c>
      <c r="L5188">
        <v>136.61170000000001</v>
      </c>
      <c r="M5188">
        <v>0.9991738</v>
      </c>
      <c r="N5188">
        <v>0</v>
      </c>
      <c r="O5188">
        <v>-3.883255E-2</v>
      </c>
      <c r="P5188">
        <v>0.98510620000000004</v>
      </c>
      <c r="Q5188">
        <v>0.16895929999999901</v>
      </c>
      <c r="R5188">
        <v>3.1921690000000003E-2</v>
      </c>
      <c r="S5188">
        <v>3.1347049999999999</v>
      </c>
      <c r="T5188">
        <v>-0.46988239999999998</v>
      </c>
      <c r="U5188">
        <v>-0.2062988</v>
      </c>
      <c r="V5188">
        <v>-7.014426E-2</v>
      </c>
      <c r="W5188">
        <v>0.1807465</v>
      </c>
      <c r="X5188">
        <v>0.98102520000000004</v>
      </c>
      <c r="Y5188">
        <v>2.6999559999999999E-2</v>
      </c>
      <c r="Z5188">
        <v>3.769681E-3</v>
      </c>
      <c r="AA5188">
        <v>0.99962839999999997</v>
      </c>
      <c r="AB5188">
        <v>1</v>
      </c>
      <c r="AC5188">
        <v>0.69980000000000997</v>
      </c>
      <c r="AD5188">
        <v>-0.10666929999999999</v>
      </c>
      <c r="AE5188">
        <v>-4.6600000000012097E-2</v>
      </c>
      <c r="AF5188">
        <v>1.89495371877858E-2</v>
      </c>
      <c r="AG5188">
        <v>-0.10666929999999999</v>
      </c>
      <c r="AH5188">
        <v>0.68523118162902996</v>
      </c>
      <c r="AI5188">
        <v>98.844836695764201</v>
      </c>
      <c r="AJ5188">
        <v>88.415933354906102</v>
      </c>
      <c r="AK5188">
        <v>0.69374288954830998</v>
      </c>
      <c r="AL5188">
        <v>79.586755447406404</v>
      </c>
      <c r="AM5188">
        <v>94.089744218637193</v>
      </c>
      <c r="AN5188">
        <v>0.99999997875411795</v>
      </c>
    </row>
    <row r="5189" spans="1:40" x14ac:dyDescent="0.3">
      <c r="A5189" t="str">
        <f>"20200111150155388"</f>
        <v>20200111150155388</v>
      </c>
      <c r="B5189" t="str">
        <f>"1578726115383897"</f>
        <v>1578726115383897</v>
      </c>
      <c r="C5189" t="s">
        <v>40</v>
      </c>
      <c r="D5189">
        <v>4.0505579999999997</v>
      </c>
      <c r="E5189">
        <v>0.54082849999999905</v>
      </c>
      <c r="F5189" t="s">
        <v>41</v>
      </c>
      <c r="G5189">
        <v>-145.7518</v>
      </c>
      <c r="H5189">
        <v>0.99642220000000004</v>
      </c>
      <c r="I5189">
        <v>136.56180000000001</v>
      </c>
      <c r="J5189">
        <v>-146.44909999999999</v>
      </c>
      <c r="K5189">
        <v>1.1056049999999999</v>
      </c>
      <c r="L5189">
        <v>136.6113</v>
      </c>
      <c r="M5189">
        <v>0.99917610000000001</v>
      </c>
      <c r="N5189">
        <v>0</v>
      </c>
      <c r="O5189">
        <v>-3.8769440000000002E-2</v>
      </c>
      <c r="P5189">
        <v>0.98545700000000003</v>
      </c>
      <c r="Q5189">
        <v>0.16704820000000001</v>
      </c>
      <c r="R5189">
        <v>3.1137080000000001E-2</v>
      </c>
      <c r="S5189">
        <v>3.1353610000000001</v>
      </c>
      <c r="T5189">
        <v>-0.48282969999999997</v>
      </c>
      <c r="U5189">
        <v>-0.22079470000000001</v>
      </c>
      <c r="V5189">
        <v>-6.9313650000000004E-2</v>
      </c>
      <c r="W5189">
        <v>0.1788392</v>
      </c>
      <c r="X5189">
        <v>0.98143369999999996</v>
      </c>
      <c r="Y5189">
        <v>3.160147E-2</v>
      </c>
      <c r="Z5189">
        <v>3.5093640000000001E-3</v>
      </c>
      <c r="AA5189">
        <v>0.99949440000000001</v>
      </c>
      <c r="AB5189">
        <v>1</v>
      </c>
      <c r="AC5189">
        <v>0.69729999999998404</v>
      </c>
      <c r="AD5189">
        <v>-0.1091828</v>
      </c>
      <c r="AE5189">
        <v>-4.9499999999994701E-2</v>
      </c>
      <c r="AF5189">
        <v>2.1892844017044801E-2</v>
      </c>
      <c r="AG5189">
        <v>-0.1091828</v>
      </c>
      <c r="AH5189">
        <v>0.68205669948565295</v>
      </c>
      <c r="AI5189">
        <v>99.090074283440899</v>
      </c>
      <c r="AJ5189">
        <v>88.161535486085498</v>
      </c>
      <c r="AK5189">
        <v>0.69108720270907797</v>
      </c>
      <c r="AL5189">
        <v>79.697845941301495</v>
      </c>
      <c r="AM5189">
        <v>94.039800531142703</v>
      </c>
      <c r="AN5189">
        <v>0.99999997451432598</v>
      </c>
    </row>
    <row r="5190" spans="1:40" x14ac:dyDescent="0.3">
      <c r="A5190" t="str">
        <f>"20200111150155411"</f>
        <v>20200111150155411</v>
      </c>
      <c r="B5190" t="str">
        <f>"1578726115404393"</f>
        <v>1578726115404393</v>
      </c>
      <c r="C5190" t="s">
        <v>40</v>
      </c>
      <c r="D5190">
        <v>4.1091989999999896</v>
      </c>
      <c r="E5190">
        <v>0.54163739999999905</v>
      </c>
      <c r="F5190" t="s">
        <v>41</v>
      </c>
      <c r="G5190">
        <v>-145.74279999999999</v>
      </c>
      <c r="H5190">
        <v>0.99363699999999999</v>
      </c>
      <c r="I5190">
        <v>136.5582</v>
      </c>
      <c r="J5190">
        <v>-146.43680000000001</v>
      </c>
      <c r="K5190">
        <v>1.105588</v>
      </c>
      <c r="L5190">
        <v>136.61089999999999</v>
      </c>
      <c r="M5190">
        <v>0.99917889999999998</v>
      </c>
      <c r="N5190">
        <v>0</v>
      </c>
      <c r="O5190">
        <v>-3.8701930000000002E-2</v>
      </c>
      <c r="P5190">
        <v>0.98590489999999997</v>
      </c>
      <c r="Q5190">
        <v>0.16444900000000001</v>
      </c>
      <c r="R5190">
        <v>3.0799730000000001E-2</v>
      </c>
      <c r="S5190">
        <v>3.1359859999999999</v>
      </c>
      <c r="T5190">
        <v>-0.49719669999999999</v>
      </c>
      <c r="U5190">
        <v>-0.2352448</v>
      </c>
      <c r="V5190">
        <v>-6.8928500000000004E-2</v>
      </c>
      <c r="W5190">
        <v>0.1762456</v>
      </c>
      <c r="X5190">
        <v>0.98192990000000002</v>
      </c>
      <c r="Y5190">
        <v>3.6183229999999997E-2</v>
      </c>
      <c r="Z5190">
        <v>3.2400189999999998E-3</v>
      </c>
      <c r="AA5190">
        <v>0.99933989999999995</v>
      </c>
      <c r="AB5190">
        <v>1</v>
      </c>
      <c r="AC5190">
        <v>0.69400000000001605</v>
      </c>
      <c r="AD5190">
        <v>-0.111950999999999</v>
      </c>
      <c r="AE5190">
        <v>-5.2699999999987299E-2</v>
      </c>
      <c r="AF5190">
        <v>2.5148778166829502E-2</v>
      </c>
      <c r="AG5190">
        <v>-0.111950999999999</v>
      </c>
      <c r="AH5190">
        <v>0.677978654766351</v>
      </c>
      <c r="AI5190">
        <v>99.370008868003694</v>
      </c>
      <c r="AJ5190">
        <v>87.875658019955907</v>
      </c>
      <c r="AK5190">
        <v>0.68761947599168205</v>
      </c>
      <c r="AL5190">
        <v>79.848847410510004</v>
      </c>
      <c r="AM5190">
        <v>94.0154030899009</v>
      </c>
      <c r="AN5190">
        <v>0.99999998907280996</v>
      </c>
    </row>
    <row r="5191" spans="1:40" x14ac:dyDescent="0.3">
      <c r="A5191" t="str">
        <f>"20200111150155432"</f>
        <v>20200111150155432</v>
      </c>
      <c r="B5191" t="str">
        <f>"1578726115423913"</f>
        <v>1578726115423913</v>
      </c>
      <c r="C5191" t="s">
        <v>40</v>
      </c>
      <c r="D5191">
        <v>4.1371659999999997</v>
      </c>
      <c r="E5191">
        <v>0.5423365</v>
      </c>
      <c r="F5191" t="s">
        <v>41</v>
      </c>
      <c r="G5191">
        <v>-145.7336</v>
      </c>
      <c r="H5191">
        <v>0.9909017</v>
      </c>
      <c r="I5191">
        <v>136.55629999999999</v>
      </c>
      <c r="J5191">
        <v>-146.4254</v>
      </c>
      <c r="K5191">
        <v>1.1055759999999999</v>
      </c>
      <c r="L5191">
        <v>136.61060000000001</v>
      </c>
      <c r="M5191">
        <v>0.99918130000000005</v>
      </c>
      <c r="N5191">
        <v>0</v>
      </c>
      <c r="O5191">
        <v>-3.8637770000000002E-2</v>
      </c>
      <c r="P5191">
        <v>0.98627390000000004</v>
      </c>
      <c r="Q5191">
        <v>0.1622345</v>
      </c>
      <c r="R5191">
        <v>3.072399E-2</v>
      </c>
      <c r="S5191">
        <v>3.135818</v>
      </c>
      <c r="T5191">
        <v>-0.5114571</v>
      </c>
      <c r="U5191">
        <v>-0.24359130000000001</v>
      </c>
      <c r="V5191">
        <v>-6.8805210000000006E-2</v>
      </c>
      <c r="W5191">
        <v>0.17403579999999999</v>
      </c>
      <c r="X5191">
        <v>0.9823326</v>
      </c>
      <c r="Y5191">
        <v>3.8861569999999998E-2</v>
      </c>
      <c r="Z5191">
        <v>3.104491E-3</v>
      </c>
      <c r="AA5191">
        <v>0.99923980000000001</v>
      </c>
      <c r="AB5191">
        <v>1</v>
      </c>
      <c r="AC5191">
        <v>0.69179999999999997</v>
      </c>
      <c r="AD5191">
        <v>-0.11467430000000001</v>
      </c>
      <c r="AE5191">
        <v>-5.4300000000011998E-2</v>
      </c>
      <c r="AF5191">
        <v>2.67961430546017E-2</v>
      </c>
      <c r="AG5191">
        <v>-0.11467430000000001</v>
      </c>
      <c r="AH5191">
        <v>0.67494942447552897</v>
      </c>
      <c r="AI5191">
        <v>99.635061199754801</v>
      </c>
      <c r="AJ5191">
        <v>87.726496270724596</v>
      </c>
      <c r="AK5191">
        <v>0.68514593625222697</v>
      </c>
      <c r="AL5191">
        <v>79.977447246741207</v>
      </c>
      <c r="AM5191">
        <v>94.006606512062703</v>
      </c>
      <c r="AN5191">
        <v>0.99999997681377095</v>
      </c>
    </row>
    <row r="5192" spans="1:40" x14ac:dyDescent="0.3">
      <c r="A5192" t="str">
        <f>"20200111150155455"</f>
        <v>20200111150155455</v>
      </c>
      <c r="B5192" t="str">
        <f>"1578726115444410"</f>
        <v>1578726115444410</v>
      </c>
      <c r="C5192" t="s">
        <v>40</v>
      </c>
      <c r="D5192">
        <v>4.9743320000000004</v>
      </c>
      <c r="E5192">
        <v>0.54236280000000003</v>
      </c>
      <c r="F5192" t="s">
        <v>41</v>
      </c>
      <c r="G5192">
        <v>-145.72479999999999</v>
      </c>
      <c r="H5192">
        <v>0.98755870000000001</v>
      </c>
      <c r="I5192">
        <v>136.55439999999999</v>
      </c>
      <c r="J5192">
        <v>-146.41370000000001</v>
      </c>
      <c r="K5192">
        <v>1.105572</v>
      </c>
      <c r="L5192">
        <v>136.61019999999999</v>
      </c>
      <c r="M5192">
        <v>0.99918399999999996</v>
      </c>
      <c r="N5192">
        <v>0</v>
      </c>
      <c r="O5192">
        <v>-3.8571960000000002E-2</v>
      </c>
      <c r="P5192">
        <v>0.98646659999999997</v>
      </c>
      <c r="Q5192">
        <v>0.161047</v>
      </c>
      <c r="R5192">
        <v>3.078585E-2</v>
      </c>
      <c r="S5192">
        <v>3.13652</v>
      </c>
      <c r="T5192">
        <v>-0.52850730000000001</v>
      </c>
      <c r="U5192">
        <v>-0.25071719999999997</v>
      </c>
      <c r="V5192">
        <v>-6.8809490000000001E-2</v>
      </c>
      <c r="W5192">
        <v>0.17285059999999999</v>
      </c>
      <c r="X5192">
        <v>0.98254160000000001</v>
      </c>
      <c r="Y5192">
        <v>4.1133250000000003E-2</v>
      </c>
      <c r="Z5192">
        <v>3.0047820000000001E-3</v>
      </c>
      <c r="AA5192">
        <v>0.99914910000000001</v>
      </c>
      <c r="AB5192">
        <v>1</v>
      </c>
      <c r="AC5192">
        <v>0.68890000000001705</v>
      </c>
      <c r="AD5192">
        <v>-0.1180133</v>
      </c>
      <c r="AE5192">
        <v>-5.5800000000004901E-2</v>
      </c>
      <c r="AF5192">
        <v>2.8357580006858899E-2</v>
      </c>
      <c r="AG5192">
        <v>-0.1180133</v>
      </c>
      <c r="AH5192">
        <v>0.67097754214551097</v>
      </c>
      <c r="AI5192">
        <v>99.966588425908995</v>
      </c>
      <c r="AJ5192">
        <v>87.579943866428096</v>
      </c>
      <c r="AK5192">
        <v>0.68186666833360199</v>
      </c>
      <c r="AL5192">
        <v>80.046399848983896</v>
      </c>
      <c r="AM5192">
        <v>94.006005392201601</v>
      </c>
      <c r="AN5192">
        <v>1.0000000357824801</v>
      </c>
    </row>
    <row r="5193" spans="1:40" x14ac:dyDescent="0.3">
      <c r="A5193" t="str">
        <f>"20200111150155477"</f>
        <v>20200111150155477</v>
      </c>
      <c r="B5193" t="str">
        <f>"1578726115473689"</f>
        <v>1578726115473689</v>
      </c>
      <c r="C5193" t="s">
        <v>40</v>
      </c>
      <c r="D5193">
        <v>6.4595779999999996</v>
      </c>
      <c r="E5193">
        <v>0.54245049999999995</v>
      </c>
      <c r="F5193" t="s">
        <v>41</v>
      </c>
      <c r="G5193">
        <v>-145.71420000000001</v>
      </c>
      <c r="H5193">
        <v>0.98768940000000005</v>
      </c>
      <c r="I5193">
        <v>136.55420000000001</v>
      </c>
      <c r="J5193">
        <v>-146.40190000000001</v>
      </c>
      <c r="K5193">
        <v>1.1055680000000001</v>
      </c>
      <c r="L5193">
        <v>136.60980000000001</v>
      </c>
      <c r="M5193">
        <v>0.99918640000000003</v>
      </c>
      <c r="N5193">
        <v>0</v>
      </c>
      <c r="O5193">
        <v>-3.8505449999999997E-2</v>
      </c>
      <c r="P5193">
        <v>0.98650499999999997</v>
      </c>
      <c r="Q5193">
        <v>0.16073099999999901</v>
      </c>
      <c r="R5193">
        <v>3.120589E-2</v>
      </c>
      <c r="S5193">
        <v>3.1352690000000001</v>
      </c>
      <c r="T5193">
        <v>-0.52848039999999996</v>
      </c>
      <c r="U5193">
        <v>-0.2507935</v>
      </c>
      <c r="V5193">
        <v>-6.9165219999999999E-2</v>
      </c>
      <c r="W5193">
        <v>0.17253489999999999</v>
      </c>
      <c r="X5193">
        <v>0.98257209999999995</v>
      </c>
      <c r="Y5193">
        <v>4.1252959999999998E-2</v>
      </c>
      <c r="Z5193">
        <v>2.9847010000000002E-3</v>
      </c>
      <c r="AA5193">
        <v>0.99914429999999999</v>
      </c>
      <c r="AB5193">
        <v>1</v>
      </c>
      <c r="AC5193">
        <v>0.68770000000000597</v>
      </c>
      <c r="AD5193">
        <v>-0.1178786</v>
      </c>
      <c r="AE5193">
        <v>-5.5599999999998297E-2</v>
      </c>
      <c r="AF5193">
        <v>2.8251967018688099E-2</v>
      </c>
      <c r="AG5193">
        <v>-0.1178786</v>
      </c>
      <c r="AH5193">
        <v>0.66977973769496701</v>
      </c>
      <c r="AI5193">
        <v>99.972920872848604</v>
      </c>
      <c r="AJ5193">
        <v>87.584639578279095</v>
      </c>
      <c r="AK5193">
        <v>0.68066029339540901</v>
      </c>
      <c r="AL5193">
        <v>80.064763931410596</v>
      </c>
      <c r="AM5193">
        <v>94.026523032607301</v>
      </c>
      <c r="AN5193">
        <v>1.00000002553703</v>
      </c>
    </row>
    <row r="5194" spans="1:40" x14ac:dyDescent="0.3">
      <c r="A5194" t="str">
        <f>"20200111150155500"</f>
        <v>20200111150155500</v>
      </c>
      <c r="B5194" t="str">
        <f>"1578726115494185"</f>
        <v>1578726115494185</v>
      </c>
      <c r="C5194" t="s">
        <v>40</v>
      </c>
      <c r="D5194">
        <v>4.2751130000000002</v>
      </c>
      <c r="E5194">
        <v>0.5425101</v>
      </c>
      <c r="F5194" t="s">
        <v>41</v>
      </c>
      <c r="G5194">
        <v>-145.7029</v>
      </c>
      <c r="H5194">
        <v>0.98947620000000003</v>
      </c>
      <c r="I5194">
        <v>136.55410000000001</v>
      </c>
      <c r="J5194">
        <v>-146.39009999999999</v>
      </c>
      <c r="K5194">
        <v>1.1055619999999999</v>
      </c>
      <c r="L5194">
        <v>136.6095</v>
      </c>
      <c r="M5194">
        <v>0.99918899999999999</v>
      </c>
      <c r="N5194">
        <v>0</v>
      </c>
      <c r="O5194">
        <v>-3.8439880000000003E-2</v>
      </c>
      <c r="P5194">
        <v>0.98657139999999999</v>
      </c>
      <c r="Q5194">
        <v>0.1603137</v>
      </c>
      <c r="R5194">
        <v>3.1252700000000001E-2</v>
      </c>
      <c r="S5194">
        <v>3.1337429999999999</v>
      </c>
      <c r="T5194">
        <v>-0.52053769999999999</v>
      </c>
      <c r="U5194">
        <v>-0.2493744</v>
      </c>
      <c r="V5194">
        <v>-6.9149710000000003E-2</v>
      </c>
      <c r="W5194">
        <v>0.1721183</v>
      </c>
      <c r="X5194">
        <v>0.98264620000000003</v>
      </c>
      <c r="Y5194">
        <v>4.0912450000000003E-2</v>
      </c>
      <c r="Z5194">
        <v>2.9591819999999999E-3</v>
      </c>
      <c r="AA5194">
        <v>0.9991584</v>
      </c>
      <c r="AB5194">
        <v>1</v>
      </c>
      <c r="AC5194">
        <v>0.68719999999999004</v>
      </c>
      <c r="AD5194">
        <v>-0.1160858</v>
      </c>
      <c r="AE5194">
        <v>-5.5399999999991602E-2</v>
      </c>
      <c r="AF5194">
        <v>2.8143354000589801E-2</v>
      </c>
      <c r="AG5194">
        <v>-0.1160858</v>
      </c>
      <c r="AH5194">
        <v>0.66983093058585996</v>
      </c>
      <c r="AI5194">
        <v>99.823552340498495</v>
      </c>
      <c r="AJ5194">
        <v>87.594098027436104</v>
      </c>
      <c r="AK5194">
        <v>0.680397998898852</v>
      </c>
      <c r="AL5194">
        <v>80.088995339500201</v>
      </c>
      <c r="AM5194">
        <v>94.025320502509203</v>
      </c>
      <c r="AN5194">
        <v>0.99999997298120602</v>
      </c>
    </row>
    <row r="5195" spans="1:40" x14ac:dyDescent="0.3">
      <c r="A5195" t="str">
        <f>"20200111150155523"</f>
        <v>20200111150155523</v>
      </c>
      <c r="B5195" t="str">
        <f>"1578726115513705"</f>
        <v>1578726115513705</v>
      </c>
      <c r="C5195" t="s">
        <v>40</v>
      </c>
      <c r="D5195">
        <v>4.1745760000000001</v>
      </c>
      <c r="E5195">
        <v>0.54253949999999995</v>
      </c>
      <c r="F5195" t="s">
        <v>41</v>
      </c>
      <c r="G5195">
        <v>-145.69280000000001</v>
      </c>
      <c r="H5195">
        <v>0.98891770000000001</v>
      </c>
      <c r="I5195">
        <v>136.5538</v>
      </c>
      <c r="J5195">
        <v>-146.37819999999999</v>
      </c>
      <c r="K5195">
        <v>1.105553</v>
      </c>
      <c r="L5195">
        <v>136.60910000000001</v>
      </c>
      <c r="M5195">
        <v>0.99919150000000001</v>
      </c>
      <c r="N5195">
        <v>0</v>
      </c>
      <c r="O5195">
        <v>-3.837492E-2</v>
      </c>
      <c r="P5195">
        <v>0.98689970000000005</v>
      </c>
      <c r="Q5195">
        <v>0.15827769999999999</v>
      </c>
      <c r="R5195">
        <v>3.126437E-2</v>
      </c>
      <c r="S5195">
        <v>3.1339570000000001</v>
      </c>
      <c r="T5195">
        <v>-0.52429219999999999</v>
      </c>
      <c r="U5195">
        <v>-0.2498474</v>
      </c>
      <c r="V5195">
        <v>-6.9109809999999994E-2</v>
      </c>
      <c r="W5195">
        <v>0.1700864</v>
      </c>
      <c r="X5195">
        <v>0.98300279999999995</v>
      </c>
      <c r="Y5195">
        <v>4.111766E-2</v>
      </c>
      <c r="Z5195">
        <v>2.952231E-3</v>
      </c>
      <c r="AA5195">
        <v>0.99914999999999998</v>
      </c>
      <c r="AB5195">
        <v>1</v>
      </c>
      <c r="AC5195">
        <v>0.68539999999998702</v>
      </c>
      <c r="AD5195">
        <v>-0.1166353</v>
      </c>
      <c r="AE5195">
        <v>-5.5300000000016697E-2</v>
      </c>
      <c r="AF5195">
        <v>2.8145430347643802E-2</v>
      </c>
      <c r="AG5195">
        <v>-0.1166353</v>
      </c>
      <c r="AH5195">
        <v>0.66780401489347596</v>
      </c>
      <c r="AI5195">
        <v>99.898450462211301</v>
      </c>
      <c r="AJ5195">
        <v>87.586626435570594</v>
      </c>
      <c r="AK5195">
        <v>0.67849698655439095</v>
      </c>
      <c r="AL5195">
        <v>80.207157696085005</v>
      </c>
      <c r="AM5195">
        <v>94.021550864967097</v>
      </c>
      <c r="AN5195">
        <v>1.0000000270555101</v>
      </c>
    </row>
    <row r="5196" spans="1:40" x14ac:dyDescent="0.3">
      <c r="A5196" t="str">
        <f>"20200111150155543"</f>
        <v>20200111150155543</v>
      </c>
      <c r="B5196" t="str">
        <f>"1578726115534201"</f>
        <v>1578726115534201</v>
      </c>
      <c r="C5196" t="s">
        <v>40</v>
      </c>
      <c r="D5196">
        <v>4.1375449999999896</v>
      </c>
      <c r="E5196">
        <v>0.54262259999999995</v>
      </c>
      <c r="F5196" t="s">
        <v>41</v>
      </c>
      <c r="G5196">
        <v>-145.673</v>
      </c>
      <c r="H5196">
        <v>0.98711199999999999</v>
      </c>
      <c r="I5196">
        <v>136.553</v>
      </c>
      <c r="J5196">
        <v>-146.3672</v>
      </c>
      <c r="K5196">
        <v>1.1055349999999999</v>
      </c>
      <c r="L5196">
        <v>136.6087</v>
      </c>
      <c r="M5196">
        <v>0.99919369999999996</v>
      </c>
      <c r="N5196">
        <v>0</v>
      </c>
      <c r="O5196">
        <v>-3.8314609999999999E-2</v>
      </c>
      <c r="P5196">
        <v>0.98737129999999995</v>
      </c>
      <c r="Q5196">
        <v>0.15548699999999999</v>
      </c>
      <c r="R5196">
        <v>3.0365340000000001E-2</v>
      </c>
      <c r="S5196">
        <v>3.1320649999999999</v>
      </c>
      <c r="T5196">
        <v>-0.52595789999999998</v>
      </c>
      <c r="U5196">
        <v>-0.24914549999999999</v>
      </c>
      <c r="V5196">
        <v>-6.8170560000000005E-2</v>
      </c>
      <c r="W5196">
        <v>0.1673026</v>
      </c>
      <c r="X5196">
        <v>0.98354600000000003</v>
      </c>
      <c r="Y5196">
        <v>4.100376E-2</v>
      </c>
      <c r="Z5196">
        <v>2.9627239999999999E-3</v>
      </c>
      <c r="AA5196">
        <v>0.9991546</v>
      </c>
      <c r="AB5196">
        <v>1</v>
      </c>
      <c r="AC5196">
        <v>0.69419999999999404</v>
      </c>
      <c r="AD5196">
        <v>-0.118422999999999</v>
      </c>
      <c r="AE5196">
        <v>-5.5700000000001602E-2</v>
      </c>
      <c r="AF5196">
        <v>2.8242558377908501E-2</v>
      </c>
      <c r="AG5196">
        <v>-0.118422999999999</v>
      </c>
      <c r="AH5196">
        <v>0.67627043800704101</v>
      </c>
      <c r="AI5196">
        <v>99.923987996139104</v>
      </c>
      <c r="AJ5196">
        <v>87.608590375396503</v>
      </c>
      <c r="AK5196">
        <v>0.68714143693635998</v>
      </c>
      <c r="AL5196">
        <v>80.368977187458398</v>
      </c>
      <c r="AM5196">
        <v>93.964886947487898</v>
      </c>
      <c r="AN5196">
        <v>1.00000005966673</v>
      </c>
    </row>
    <row r="5197" spans="1:40" x14ac:dyDescent="0.3">
      <c r="A5197" t="str">
        <f>"20200111150155566"</f>
        <v>20200111150155566</v>
      </c>
      <c r="B5197" t="str">
        <f>"1578726115564457"</f>
        <v>1578726115564457</v>
      </c>
      <c r="C5197" t="s">
        <v>40</v>
      </c>
      <c r="D5197">
        <v>3.9781569999999999</v>
      </c>
      <c r="E5197">
        <v>0.54284699999999997</v>
      </c>
      <c r="F5197" t="s">
        <v>41</v>
      </c>
      <c r="G5197">
        <v>-145.66309999999999</v>
      </c>
      <c r="H5197">
        <v>0.98624000000000001</v>
      </c>
      <c r="I5197">
        <v>136.55189999999999</v>
      </c>
      <c r="J5197">
        <v>-146.35560000000001</v>
      </c>
      <c r="K5197">
        <v>1.105523</v>
      </c>
      <c r="L5197">
        <v>136.60830000000001</v>
      </c>
      <c r="M5197">
        <v>0.99919610000000003</v>
      </c>
      <c r="N5197">
        <v>0</v>
      </c>
      <c r="O5197">
        <v>-3.825191E-2</v>
      </c>
      <c r="P5197">
        <v>0.98755029999999999</v>
      </c>
      <c r="Q5197">
        <v>0.1545059</v>
      </c>
      <c r="R5197">
        <v>2.953633E-2</v>
      </c>
      <c r="S5197">
        <v>3.1296539999999999</v>
      </c>
      <c r="T5197">
        <v>-0.5304413</v>
      </c>
      <c r="U5197">
        <v>-0.25176999999999999</v>
      </c>
      <c r="V5197">
        <v>-6.7287E-2</v>
      </c>
      <c r="W5197">
        <v>0.16632420000000001</v>
      </c>
      <c r="X5197">
        <v>0.98377270000000006</v>
      </c>
      <c r="Y5197">
        <v>4.1944919999999997E-2</v>
      </c>
      <c r="Z5197">
        <v>2.9001750000000001E-3</v>
      </c>
      <c r="AA5197">
        <v>0.99911570000000005</v>
      </c>
      <c r="AB5197">
        <v>1</v>
      </c>
      <c r="AC5197">
        <v>0.69250000000002299</v>
      </c>
      <c r="AD5197">
        <v>-0.119283</v>
      </c>
      <c r="AE5197">
        <v>-5.6400000000024798E-2</v>
      </c>
      <c r="AF5197">
        <v>2.9012241004312999E-2</v>
      </c>
      <c r="AG5197">
        <v>-0.119283</v>
      </c>
      <c r="AH5197">
        <v>0.67427670514668703</v>
      </c>
      <c r="AI5197">
        <v>100.023037366756</v>
      </c>
      <c r="AJ5197">
        <v>87.536242503393197</v>
      </c>
      <c r="AK5197">
        <v>0.68536064908963501</v>
      </c>
      <c r="AL5197">
        <v>80.425831447526306</v>
      </c>
      <c r="AM5197">
        <v>93.912759647671095</v>
      </c>
      <c r="AN5197">
        <v>1.00000000256996</v>
      </c>
    </row>
    <row r="5198" spans="1:40" x14ac:dyDescent="0.3">
      <c r="A5198" t="str">
        <f>"20200111150155589"</f>
        <v>20200111150155589</v>
      </c>
      <c r="B5198" t="str">
        <f>"1578726115583977"</f>
        <v>1578726115583977</v>
      </c>
      <c r="C5198" t="s">
        <v>40</v>
      </c>
      <c r="D5198">
        <v>4.0523470000000001</v>
      </c>
      <c r="E5198">
        <v>0.58854869999999904</v>
      </c>
      <c r="F5198" t="s">
        <v>41</v>
      </c>
      <c r="G5198">
        <v>-145.65280000000001</v>
      </c>
      <c r="H5198">
        <v>0.98659549999999996</v>
      </c>
      <c r="I5198">
        <v>136.55080000000001</v>
      </c>
      <c r="J5198">
        <v>-146.34379999999999</v>
      </c>
      <c r="K5198">
        <v>1.105521</v>
      </c>
      <c r="L5198">
        <v>136.6079</v>
      </c>
      <c r="M5198">
        <v>0.99919849999999999</v>
      </c>
      <c r="N5198">
        <v>0</v>
      </c>
      <c r="O5198">
        <v>-3.8188369999999999E-2</v>
      </c>
      <c r="P5198">
        <v>0.98768929999999999</v>
      </c>
      <c r="Q5198">
        <v>0.1537502</v>
      </c>
      <c r="R5198">
        <v>2.8827709999999999E-2</v>
      </c>
      <c r="S5198">
        <v>3.1282809999999999</v>
      </c>
      <c r="T5198">
        <v>-0.52938640000000003</v>
      </c>
      <c r="U5198">
        <v>-0.25576779999999999</v>
      </c>
      <c r="V5198">
        <v>-6.6521529999999995E-2</v>
      </c>
      <c r="W5198">
        <v>0.16557040000000001</v>
      </c>
      <c r="X5198">
        <v>0.98395189999999999</v>
      </c>
      <c r="Y5198">
        <v>4.3292230000000001E-2</v>
      </c>
      <c r="Z5198">
        <v>2.7718949999999999E-3</v>
      </c>
      <c r="AA5198">
        <v>0.99905860000000002</v>
      </c>
      <c r="AB5198">
        <v>1</v>
      </c>
      <c r="AC5198">
        <v>0.69099999999997397</v>
      </c>
      <c r="AD5198">
        <v>-0.1189255</v>
      </c>
      <c r="AE5198">
        <v>-5.7099999999991199E-2</v>
      </c>
      <c r="AF5198">
        <v>2.9791812382534099E-2</v>
      </c>
      <c r="AG5198">
        <v>-0.1189255</v>
      </c>
      <c r="AH5198">
        <v>0.67288064035413897</v>
      </c>
      <c r="AI5198">
        <v>100.013385713217</v>
      </c>
      <c r="AJ5198">
        <v>87.464883132809803</v>
      </c>
      <c r="AK5198">
        <v>0.68395846569706398</v>
      </c>
      <c r="AL5198">
        <v>80.469628303535202</v>
      </c>
      <c r="AM5198">
        <v>93.867680871665101</v>
      </c>
      <c r="AN5198">
        <v>1.0000000064116501</v>
      </c>
    </row>
    <row r="5199" spans="1:40" x14ac:dyDescent="0.3">
      <c r="A5199" t="str">
        <f>"20200111150155611"</f>
        <v>20200111150155611</v>
      </c>
      <c r="B5199" t="str">
        <f>"1578726115604473"</f>
        <v>1578726115604473</v>
      </c>
      <c r="C5199" t="s">
        <v>40</v>
      </c>
      <c r="D5199">
        <v>4.080768</v>
      </c>
      <c r="E5199">
        <v>0.5950008</v>
      </c>
      <c r="F5199" t="s">
        <v>41</v>
      </c>
      <c r="G5199">
        <v>-145.6557</v>
      </c>
      <c r="H5199">
        <v>0.96568430000000005</v>
      </c>
      <c r="I5199">
        <v>136.47229999999999</v>
      </c>
      <c r="J5199">
        <v>-146.33269999999999</v>
      </c>
      <c r="K5199">
        <v>1.105515</v>
      </c>
      <c r="L5199">
        <v>136.60759999999999</v>
      </c>
      <c r="M5199">
        <v>0.9992008</v>
      </c>
      <c r="N5199">
        <v>0</v>
      </c>
      <c r="O5199">
        <v>-3.8128049999999997E-2</v>
      </c>
      <c r="P5199">
        <v>0.98774390000000001</v>
      </c>
      <c r="Q5199">
        <v>0.15361420000000001</v>
      </c>
      <c r="R5199">
        <v>2.7650129999999998E-2</v>
      </c>
      <c r="S5199">
        <v>3.1553960000000001</v>
      </c>
      <c r="T5199">
        <v>-0.64137109999999997</v>
      </c>
      <c r="U5199">
        <v>-0.62147519999999901</v>
      </c>
      <c r="V5199">
        <v>-6.5287129999999999E-2</v>
      </c>
      <c r="W5199">
        <v>0.1654359</v>
      </c>
      <c r="X5199">
        <v>0.98405719999999997</v>
      </c>
      <c r="Y5199">
        <v>0.1534249</v>
      </c>
      <c r="Z5199">
        <v>-7.6994940000000003E-3</v>
      </c>
      <c r="AA5199">
        <v>0.98813030000000002</v>
      </c>
      <c r="AB5199">
        <v>1</v>
      </c>
      <c r="AC5199">
        <v>0.67699999999999205</v>
      </c>
      <c r="AD5199">
        <v>-0.139830699999999</v>
      </c>
      <c r="AE5199">
        <v>-0.1353</v>
      </c>
      <c r="AF5199">
        <v>0.10507658167791099</v>
      </c>
      <c r="AG5199">
        <v>-0.139830699999999</v>
      </c>
      <c r="AH5199">
        <v>0.65480519683156302</v>
      </c>
      <c r="AI5199">
        <v>101.90630674994701</v>
      </c>
      <c r="AJ5199">
        <v>80.883468869276697</v>
      </c>
      <c r="AK5199">
        <v>0.677763644995235</v>
      </c>
      <c r="AL5199">
        <v>80.477442378030204</v>
      </c>
      <c r="AM5199">
        <v>93.795717448406606</v>
      </c>
      <c r="AN5199">
        <v>1.00000000961214</v>
      </c>
    </row>
    <row r="5200" spans="1:40" x14ac:dyDescent="0.3">
      <c r="A5200" t="str">
        <f>"20200111150155633"</f>
        <v>20200111150155633</v>
      </c>
      <c r="B5200" t="str">
        <f>"1578726115623994"</f>
        <v>1578726115623994</v>
      </c>
      <c r="C5200" t="s">
        <v>40</v>
      </c>
      <c r="D5200">
        <v>4.0372680000000001</v>
      </c>
      <c r="E5200">
        <v>0.59911669999999995</v>
      </c>
      <c r="F5200" t="s">
        <v>41</v>
      </c>
      <c r="G5200">
        <v>-145.65209999999999</v>
      </c>
      <c r="H5200">
        <v>0.95232269999999997</v>
      </c>
      <c r="I5200">
        <v>136.4624</v>
      </c>
      <c r="J5200">
        <v>-146.32149999999999</v>
      </c>
      <c r="K5200">
        <v>1.1055010000000001</v>
      </c>
      <c r="L5200">
        <v>136.60720000000001</v>
      </c>
      <c r="M5200">
        <v>0.99920310000000001</v>
      </c>
      <c r="N5200">
        <v>0</v>
      </c>
      <c r="O5200">
        <v>-3.8066660000000002E-2</v>
      </c>
      <c r="P5200">
        <v>0.98804820000000004</v>
      </c>
      <c r="Q5200">
        <v>0.15189029999999901</v>
      </c>
      <c r="R5200">
        <v>2.62726E-2</v>
      </c>
      <c r="S5200">
        <v>3.1670069999999999</v>
      </c>
      <c r="T5200">
        <v>-0.7127424</v>
      </c>
      <c r="U5200">
        <v>-0.67578130000000003</v>
      </c>
      <c r="V5200">
        <v>-6.3862260000000004E-2</v>
      </c>
      <c r="W5200">
        <v>0.16371640000000001</v>
      </c>
      <c r="X5200">
        <v>0.98443820000000004</v>
      </c>
      <c r="Y5200">
        <v>0.1681927</v>
      </c>
      <c r="Z5200">
        <v>-1.013053E-2</v>
      </c>
      <c r="AA5200">
        <v>0.98570210000000003</v>
      </c>
      <c r="AB5200">
        <v>1</v>
      </c>
      <c r="AC5200">
        <v>0.669399999999996</v>
      </c>
      <c r="AD5200">
        <v>-0.15317829999999999</v>
      </c>
      <c r="AE5200">
        <v>-0.14480000000000301</v>
      </c>
      <c r="AF5200">
        <v>0.113532241317346</v>
      </c>
      <c r="AG5200">
        <v>-0.15317829999999999</v>
      </c>
      <c r="AH5200">
        <v>0.64229802793919799</v>
      </c>
      <c r="AI5200">
        <v>103.21609496130399</v>
      </c>
      <c r="AJ5200">
        <v>79.975970700001994</v>
      </c>
      <c r="AK5200">
        <v>0.669999938883589</v>
      </c>
      <c r="AL5200">
        <v>80.577324429018702</v>
      </c>
      <c r="AM5200">
        <v>93.711678452418894</v>
      </c>
      <c r="AN5200">
        <v>1.0000000087502501</v>
      </c>
    </row>
    <row r="5201" spans="1:40" x14ac:dyDescent="0.3">
      <c r="A5201" t="str">
        <f>"20200111150155667"</f>
        <v>20200111150155667</v>
      </c>
      <c r="B5201" t="str">
        <f>"1578726115664010"</f>
        <v>1578726115664010</v>
      </c>
      <c r="C5201" t="s">
        <v>40</v>
      </c>
      <c r="D5201">
        <v>3.9864579999999998</v>
      </c>
      <c r="E5201">
        <v>0.59997519999999904</v>
      </c>
      <c r="F5201" t="s">
        <v>41</v>
      </c>
      <c r="G5201">
        <v>-145.64230000000001</v>
      </c>
      <c r="H5201">
        <v>0.95155659999999997</v>
      </c>
      <c r="I5201">
        <v>136.45439999999999</v>
      </c>
      <c r="J5201">
        <v>-146.30439999999999</v>
      </c>
      <c r="K5201">
        <v>1.10549599999999</v>
      </c>
      <c r="L5201">
        <v>136.60669999999999</v>
      </c>
      <c r="M5201">
        <v>0.9992067</v>
      </c>
      <c r="N5201">
        <v>0</v>
      </c>
      <c r="O5201">
        <v>-3.7973560000000003E-2</v>
      </c>
      <c r="P5201">
        <v>0.98847949999999996</v>
      </c>
      <c r="Q5201">
        <v>0.14912400000000001</v>
      </c>
      <c r="R5201">
        <v>2.5890010000000001E-2</v>
      </c>
      <c r="S5201">
        <v>3.165543</v>
      </c>
      <c r="T5201">
        <v>-0.71762389999999998</v>
      </c>
      <c r="U5201">
        <v>-0.71130369999999998</v>
      </c>
      <c r="V5201">
        <v>-6.3404199999999994E-2</v>
      </c>
      <c r="W5201">
        <v>0.1609554</v>
      </c>
      <c r="X5201">
        <v>0.98492299999999999</v>
      </c>
      <c r="Y5201">
        <v>0.17863229999999999</v>
      </c>
      <c r="Z5201">
        <v>-1.136669E-2</v>
      </c>
      <c r="AA5201">
        <v>0.98385020000000001</v>
      </c>
      <c r="AB5201">
        <v>1</v>
      </c>
      <c r="AC5201">
        <v>0.66209999999998004</v>
      </c>
      <c r="AD5201">
        <v>-0.153939399999999</v>
      </c>
      <c r="AE5201">
        <v>-0.15229999999999599</v>
      </c>
      <c r="AF5201">
        <v>0.12084194246974</v>
      </c>
      <c r="AG5201">
        <v>-0.153939399999999</v>
      </c>
      <c r="AH5201">
        <v>0.63481446208056302</v>
      </c>
      <c r="AI5201">
        <v>103.399125371162</v>
      </c>
      <c r="AJ5201">
        <v>79.222243003643399</v>
      </c>
      <c r="AK5201">
        <v>0.66429625559599104</v>
      </c>
      <c r="AL5201">
        <v>80.737644838453306</v>
      </c>
      <c r="AM5201">
        <v>93.683320696491506</v>
      </c>
      <c r="AN5201">
        <v>1.00000002464789</v>
      </c>
    </row>
    <row r="5202" spans="1:40" x14ac:dyDescent="0.3">
      <c r="A5202" t="str">
        <f>"20200111150155690"</f>
        <v>20200111150155690</v>
      </c>
      <c r="B5202" t="str">
        <f>"1578726115684505"</f>
        <v>1578726115684505</v>
      </c>
      <c r="C5202" t="s">
        <v>40</v>
      </c>
      <c r="D5202">
        <v>4.0812609999999996</v>
      </c>
      <c r="E5202">
        <v>0.60058109999999998</v>
      </c>
      <c r="F5202" t="s">
        <v>41</v>
      </c>
      <c r="G5202">
        <v>-145.6217</v>
      </c>
      <c r="H5202">
        <v>0.95255699999999999</v>
      </c>
      <c r="I5202">
        <v>136.4513</v>
      </c>
      <c r="J5202">
        <v>-146.29300000000001</v>
      </c>
      <c r="K5202">
        <v>1.105488</v>
      </c>
      <c r="L5202">
        <v>136.60640000000001</v>
      </c>
      <c r="M5202">
        <v>0.99920920000000002</v>
      </c>
      <c r="N5202">
        <v>0</v>
      </c>
      <c r="O5202">
        <v>-3.791253E-2</v>
      </c>
      <c r="P5202">
        <v>0.98867539999999998</v>
      </c>
      <c r="Q5202">
        <v>0.14766779999999999</v>
      </c>
      <c r="R5202">
        <v>2.6754759999999999E-2</v>
      </c>
      <c r="S5202">
        <v>3.1606450000000001</v>
      </c>
      <c r="T5202">
        <v>-0.70820059999999996</v>
      </c>
      <c r="U5202">
        <v>-0.71920779999999995</v>
      </c>
      <c r="V5202">
        <v>-6.4216040000000002E-2</v>
      </c>
      <c r="W5202">
        <v>0.15950149999999999</v>
      </c>
      <c r="X5202">
        <v>0.98510690000000001</v>
      </c>
      <c r="Y5202">
        <v>0.18137239999999999</v>
      </c>
      <c r="Z5202">
        <v>-1.1547490000000001E-2</v>
      </c>
      <c r="AA5202">
        <v>0.98334670000000002</v>
      </c>
      <c r="AB5202">
        <v>1</v>
      </c>
      <c r="AC5202">
        <v>0.67130000000000201</v>
      </c>
      <c r="AD5202">
        <v>-0.15293100000000001</v>
      </c>
      <c r="AE5202">
        <v>-0.15510000000000401</v>
      </c>
      <c r="AF5202">
        <v>0.123453557269777</v>
      </c>
      <c r="AG5202">
        <v>-0.15293100000000001</v>
      </c>
      <c r="AH5202">
        <v>0.64492335481468099</v>
      </c>
      <c r="AI5202">
        <v>103.110570772846</v>
      </c>
      <c r="AJ5202">
        <v>79.163328586783294</v>
      </c>
      <c r="AK5202">
        <v>0.67420679702075503</v>
      </c>
      <c r="AL5202">
        <v>80.822037458772996</v>
      </c>
      <c r="AM5202">
        <v>93.729655925105405</v>
      </c>
      <c r="AN5202">
        <v>1.0000000163615701</v>
      </c>
    </row>
    <row r="5203" spans="1:40" x14ac:dyDescent="0.3">
      <c r="A5203" t="str">
        <f>"20200111150155711"</f>
        <v>20200111150155711</v>
      </c>
      <c r="B5203" t="str">
        <f>"1578726115704025"</f>
        <v>1578726115704025</v>
      </c>
      <c r="C5203" t="s">
        <v>40</v>
      </c>
      <c r="D5203">
        <v>3.9252760000000002</v>
      </c>
      <c r="E5203">
        <v>0.60147510000000004</v>
      </c>
      <c r="F5203" t="s">
        <v>41</v>
      </c>
      <c r="G5203">
        <v>-145.61179999999999</v>
      </c>
      <c r="H5203">
        <v>0.95241070000000005</v>
      </c>
      <c r="I5203">
        <v>136.45060000000001</v>
      </c>
      <c r="J5203">
        <v>-146.28219999999999</v>
      </c>
      <c r="K5203">
        <v>1.1054740000000001</v>
      </c>
      <c r="L5203">
        <v>136.60599999999999</v>
      </c>
      <c r="M5203">
        <v>0.99921130000000002</v>
      </c>
      <c r="N5203">
        <v>0</v>
      </c>
      <c r="O5203">
        <v>-3.7855319999999998E-2</v>
      </c>
      <c r="P5203">
        <v>0.98891450000000003</v>
      </c>
      <c r="Q5203">
        <v>0.1457734</v>
      </c>
      <c r="R5203">
        <v>2.8252599999999999E-2</v>
      </c>
      <c r="S5203">
        <v>3.1600039999999998</v>
      </c>
      <c r="T5203">
        <v>-0.71024560000000003</v>
      </c>
      <c r="U5203">
        <v>-0.72228999999999999</v>
      </c>
      <c r="V5203">
        <v>-6.5664650000000005E-2</v>
      </c>
      <c r="W5203">
        <v>0.15760979999999999</v>
      </c>
      <c r="X5203">
        <v>0.98531590000000002</v>
      </c>
      <c r="Y5203">
        <v>0.18233940000000001</v>
      </c>
      <c r="Z5203">
        <v>-1.1699670000000001E-2</v>
      </c>
      <c r="AA5203">
        <v>0.98316599999999998</v>
      </c>
      <c r="AB5203">
        <v>1</v>
      </c>
      <c r="AC5203">
        <v>0.6704</v>
      </c>
      <c r="AD5203">
        <v>-0.15306330000000001</v>
      </c>
      <c r="AE5203">
        <v>-0.15539999999998599</v>
      </c>
      <c r="AF5203">
        <v>0.123784899945159</v>
      </c>
      <c r="AG5203">
        <v>-0.15306330000000001</v>
      </c>
      <c r="AH5203">
        <v>0.64394637419633904</v>
      </c>
      <c r="AI5203">
        <v>103.138848697067</v>
      </c>
      <c r="AJ5203">
        <v>79.118843912524795</v>
      </c>
      <c r="AK5203">
        <v>0.67336320667373495</v>
      </c>
      <c r="AL5203">
        <v>80.931812941614993</v>
      </c>
      <c r="AM5203">
        <v>93.812738869623402</v>
      </c>
      <c r="AN5203">
        <v>1.00000005905423</v>
      </c>
    </row>
    <row r="5204" spans="1:40" x14ac:dyDescent="0.3">
      <c r="A5204" t="str">
        <f>"20200111150155734"</f>
        <v>20200111150155734</v>
      </c>
      <c r="B5204" t="str">
        <f>"1578726115724521"</f>
        <v>1578726115724521</v>
      </c>
      <c r="C5204" t="s">
        <v>40</v>
      </c>
      <c r="D5204">
        <v>3.949681</v>
      </c>
      <c r="E5204">
        <v>0.60178980000000004</v>
      </c>
      <c r="F5204" t="s">
        <v>41</v>
      </c>
      <c r="G5204">
        <v>-145.6011</v>
      </c>
      <c r="H5204">
        <v>0.95389100000000004</v>
      </c>
      <c r="I5204">
        <v>136.4495</v>
      </c>
      <c r="J5204">
        <v>-146.27119999999999</v>
      </c>
      <c r="K5204">
        <v>1.1054630000000001</v>
      </c>
      <c r="L5204">
        <v>136.60570000000001</v>
      </c>
      <c r="M5204">
        <v>0.99921340000000003</v>
      </c>
      <c r="N5204">
        <v>0</v>
      </c>
      <c r="O5204">
        <v>-3.779896E-2</v>
      </c>
      <c r="P5204">
        <v>0.98905120000000002</v>
      </c>
      <c r="Q5204">
        <v>0.14429729999999999</v>
      </c>
      <c r="R5204">
        <v>3.0929249999999998E-2</v>
      </c>
      <c r="S5204">
        <v>3.157959</v>
      </c>
      <c r="T5204">
        <v>-0.70296599999999998</v>
      </c>
      <c r="U5204">
        <v>-0.72526550000000001</v>
      </c>
      <c r="V5204">
        <v>-6.8288650000000006E-2</v>
      </c>
      <c r="W5204">
        <v>0.15613479999999999</v>
      </c>
      <c r="X5204">
        <v>0.98537229999999998</v>
      </c>
      <c r="Y5204">
        <v>0.1834517</v>
      </c>
      <c r="Z5204">
        <v>-1.1721530000000001E-2</v>
      </c>
      <c r="AA5204">
        <v>0.98295889999999997</v>
      </c>
      <c r="AB5204">
        <v>1</v>
      </c>
      <c r="AC5204">
        <v>0.67009999999999004</v>
      </c>
      <c r="AD5204">
        <v>-0.15157199999999901</v>
      </c>
      <c r="AE5204">
        <v>-0.156200000000012</v>
      </c>
      <c r="AF5204">
        <v>0.12470589874839599</v>
      </c>
      <c r="AG5204">
        <v>-0.15157199999999901</v>
      </c>
      <c r="AH5204">
        <v>0.644261833825997</v>
      </c>
      <c r="AI5204">
        <v>103.005938634296</v>
      </c>
      <c r="AJ5204">
        <v>79.045075008269194</v>
      </c>
      <c r="AK5204">
        <v>0.67349754482958801</v>
      </c>
      <c r="AL5204">
        <v>81.017383077700103</v>
      </c>
      <c r="AM5204">
        <v>93.964395489716296</v>
      </c>
      <c r="AN5204">
        <v>0.99999999254857597</v>
      </c>
    </row>
    <row r="5205" spans="1:40" x14ac:dyDescent="0.3">
      <c r="A5205" t="str">
        <f>"20200111150155757"</f>
        <v>20200111150155757</v>
      </c>
      <c r="B5205" t="str">
        <f>"1578726115754421"</f>
        <v>1578726115754421</v>
      </c>
      <c r="C5205" t="s">
        <v>40</v>
      </c>
      <c r="D5205">
        <v>3.9352559999999999</v>
      </c>
      <c r="E5205">
        <v>0.604108599999999</v>
      </c>
      <c r="F5205" t="s">
        <v>41</v>
      </c>
      <c r="G5205">
        <v>-145.5915</v>
      </c>
      <c r="H5205">
        <v>0.95327479999999998</v>
      </c>
      <c r="I5205">
        <v>136.45070000000001</v>
      </c>
      <c r="J5205">
        <v>-146.25989999999999</v>
      </c>
      <c r="K5205">
        <v>1.1054550000000001</v>
      </c>
      <c r="L5205">
        <v>136.6054</v>
      </c>
      <c r="M5205">
        <v>0.99921550000000003</v>
      </c>
      <c r="N5205">
        <v>0</v>
      </c>
      <c r="O5205">
        <v>-3.7743430000000001E-2</v>
      </c>
      <c r="P5205">
        <v>0.98902570000000001</v>
      </c>
      <c r="Q5205">
        <v>0.1438575</v>
      </c>
      <c r="R5205">
        <v>3.3669200000000003E-2</v>
      </c>
      <c r="S5205">
        <v>3.1589200000000002</v>
      </c>
      <c r="T5205">
        <v>-0.70736840000000001</v>
      </c>
      <c r="U5205">
        <v>-0.72033689999999995</v>
      </c>
      <c r="V5205">
        <v>-7.0970679999999994E-2</v>
      </c>
      <c r="W5205">
        <v>0.1556939</v>
      </c>
      <c r="X5205">
        <v>0.98525260000000003</v>
      </c>
      <c r="Y5205">
        <v>0.18197540000000001</v>
      </c>
      <c r="Z5205">
        <v>-1.164254E-2</v>
      </c>
      <c r="AA5205">
        <v>0.98323419999999895</v>
      </c>
      <c r="AB5205">
        <v>1</v>
      </c>
      <c r="AC5205">
        <v>0.668399999999991</v>
      </c>
      <c r="AD5205">
        <v>-0.15218019999999899</v>
      </c>
      <c r="AE5205">
        <v>-0.15469999999999101</v>
      </c>
      <c r="AF5205">
        <v>0.12329395107319301</v>
      </c>
      <c r="AG5205">
        <v>-0.15218019999999899</v>
      </c>
      <c r="AH5205">
        <v>0.64216723535710896</v>
      </c>
      <c r="AI5205">
        <v>103.10114727662599</v>
      </c>
      <c r="AJ5205">
        <v>79.131660366552097</v>
      </c>
      <c r="AK5205">
        <v>0.67137096288823195</v>
      </c>
      <c r="AL5205">
        <v>81.042958129085306</v>
      </c>
      <c r="AM5205">
        <v>94.120069521050297</v>
      </c>
      <c r="AN5205">
        <v>1.0000000568618099</v>
      </c>
    </row>
    <row r="5206" spans="1:40" x14ac:dyDescent="0.3">
      <c r="A5206" t="str">
        <f>"20200111150155779"</f>
        <v>20200111150155779</v>
      </c>
      <c r="B5206" t="str">
        <f>"1578726115773940"</f>
        <v>1578726115773940</v>
      </c>
      <c r="C5206" t="s">
        <v>40</v>
      </c>
      <c r="D5206">
        <v>5.4887709999999998</v>
      </c>
      <c r="E5206">
        <v>0.60421009999999997</v>
      </c>
      <c r="F5206" t="s">
        <v>41</v>
      </c>
      <c r="G5206">
        <v>-145.58199999999999</v>
      </c>
      <c r="H5206">
        <v>0.95249899999999998</v>
      </c>
      <c r="I5206">
        <v>136.4485</v>
      </c>
      <c r="J5206">
        <v>-146.24889999999999</v>
      </c>
      <c r="K5206">
        <v>1.1054440000000001</v>
      </c>
      <c r="L5206">
        <v>136.60499999999999</v>
      </c>
      <c r="M5206">
        <v>0.99921729999999997</v>
      </c>
      <c r="N5206">
        <v>0</v>
      </c>
      <c r="O5206">
        <v>-3.7692789999999997E-2</v>
      </c>
      <c r="P5206">
        <v>0.98908470000000004</v>
      </c>
      <c r="Q5206">
        <v>0.1429327</v>
      </c>
      <c r="R5206">
        <v>3.5804000000000002E-2</v>
      </c>
      <c r="S5206">
        <v>3.1620029999999999</v>
      </c>
      <c r="T5206">
        <v>-0.71359539999999999</v>
      </c>
      <c r="U5206">
        <v>-0.73130799999999996</v>
      </c>
      <c r="V5206">
        <v>-7.3054969999999997E-2</v>
      </c>
      <c r="W5206">
        <v>0.1547693</v>
      </c>
      <c r="X5206">
        <v>0.98524590000000001</v>
      </c>
      <c r="Y5206">
        <v>0.18493599999999999</v>
      </c>
      <c r="Z5206">
        <v>-1.2064399999999999E-2</v>
      </c>
      <c r="AA5206">
        <v>0.98267649999999995</v>
      </c>
      <c r="AB5206">
        <v>1</v>
      </c>
      <c r="AC5206">
        <v>0.66689999999999805</v>
      </c>
      <c r="AD5206">
        <v>-0.152945</v>
      </c>
      <c r="AE5206">
        <v>-0.15649999999999401</v>
      </c>
      <c r="AF5206">
        <v>0.125017473215148</v>
      </c>
      <c r="AG5206">
        <v>-0.152945</v>
      </c>
      <c r="AH5206">
        <v>0.64040113707202095</v>
      </c>
      <c r="AI5206">
        <v>103.192083600267</v>
      </c>
      <c r="AJ5206">
        <v>78.953789240083395</v>
      </c>
      <c r="AK5206">
        <v>0.67017546806581796</v>
      </c>
      <c r="AL5206">
        <v>81.096583557710403</v>
      </c>
      <c r="AM5206">
        <v>94.240662654903701</v>
      </c>
      <c r="AN5206">
        <v>1.0000000241655</v>
      </c>
    </row>
    <row r="5207" spans="1:40" x14ac:dyDescent="0.3">
      <c r="A5207" t="str">
        <f>"20200111150156046"</f>
        <v>20200111150156046</v>
      </c>
      <c r="B5207" t="str">
        <f>"1578726116044050"</f>
        <v>1578726116044050</v>
      </c>
      <c r="C5207" t="s">
        <v>40</v>
      </c>
      <c r="D5207">
        <v>3.7972380000000001</v>
      </c>
      <c r="E5207">
        <v>0.60421009999999997</v>
      </c>
      <c r="F5207" t="s">
        <v>41</v>
      </c>
      <c r="G5207">
        <v>-145.57220000000001</v>
      </c>
      <c r="H5207">
        <v>0.95253980000000005</v>
      </c>
      <c r="I5207">
        <v>136.4494</v>
      </c>
      <c r="J5207">
        <v>-146.1216</v>
      </c>
      <c r="K5207">
        <v>1.105537</v>
      </c>
      <c r="L5207">
        <v>136.6009</v>
      </c>
      <c r="M5207">
        <v>0.9992316</v>
      </c>
      <c r="N5207">
        <v>0</v>
      </c>
      <c r="O5207">
        <v>-3.7313449999999998E-2</v>
      </c>
      <c r="P5207">
        <v>0.98846299999999998</v>
      </c>
      <c r="Q5207">
        <v>0.14628329999999901</v>
      </c>
      <c r="R5207">
        <v>3.9272599999999998E-2</v>
      </c>
      <c r="S5207">
        <v>3.1627040000000002</v>
      </c>
      <c r="T5207">
        <v>-0.71464930000000004</v>
      </c>
      <c r="U5207">
        <v>-0.72695919999999903</v>
      </c>
      <c r="V5207">
        <v>-7.6123440000000001E-2</v>
      </c>
      <c r="W5207">
        <v>0.15811029999999901</v>
      </c>
      <c r="X5207">
        <v>0.98448279999999999</v>
      </c>
      <c r="Y5207">
        <v>0.18398149999999999</v>
      </c>
      <c r="Z5207">
        <v>-1.2059159999999999E-2</v>
      </c>
      <c r="AA5207">
        <v>0.9828557</v>
      </c>
      <c r="AB5207">
        <v>1</v>
      </c>
      <c r="AC5207">
        <v>0.54939999999999101</v>
      </c>
      <c r="AD5207">
        <v>-0.152997199999999</v>
      </c>
      <c r="AE5207">
        <v>-0.151499999999998</v>
      </c>
      <c r="AF5207">
        <v>0.122093584720117</v>
      </c>
      <c r="AG5207">
        <v>-0.152997199999999</v>
      </c>
      <c r="AH5207">
        <v>0.51738244877156803</v>
      </c>
      <c r="AI5207">
        <v>106.05628102074699</v>
      </c>
      <c r="AJ5207">
        <v>76.722073511491999</v>
      </c>
      <c r="AK5207">
        <v>0.55317229226933695</v>
      </c>
      <c r="AL5207">
        <v>80.902771868197306</v>
      </c>
      <c r="AM5207">
        <v>94.421499767718998</v>
      </c>
      <c r="AN5207">
        <v>1.0000000142896801</v>
      </c>
    </row>
    <row r="5208" spans="1:40" x14ac:dyDescent="0.3">
      <c r="A5208" t="str">
        <f>"20200111150156069"</f>
        <v>20200111150156069</v>
      </c>
      <c r="B5208" t="str">
        <f>"1578726116064550"</f>
        <v>1578726116064550</v>
      </c>
      <c r="C5208" t="s">
        <v>40</v>
      </c>
      <c r="D5208">
        <v>4.3256009999999998</v>
      </c>
      <c r="E5208">
        <v>0.45909800000000001</v>
      </c>
      <c r="F5208" t="s">
        <v>41</v>
      </c>
      <c r="G5208">
        <v>-145.43700000000001</v>
      </c>
      <c r="H5208">
        <v>0.95644810000000002</v>
      </c>
      <c r="I5208">
        <v>136.4419</v>
      </c>
      <c r="J5208">
        <v>-146.1112</v>
      </c>
      <c r="K5208">
        <v>1.1055680000000001</v>
      </c>
      <c r="L5208">
        <v>136.60050000000001</v>
      </c>
      <c r="M5208">
        <v>0.99923260000000003</v>
      </c>
      <c r="N5208">
        <v>0</v>
      </c>
      <c r="O5208">
        <v>-3.7286850000000003E-2</v>
      </c>
      <c r="P5208">
        <v>0.98816970000000004</v>
      </c>
      <c r="Q5208">
        <v>0.14823420000000001</v>
      </c>
      <c r="R5208">
        <v>3.9331320000000003E-2</v>
      </c>
      <c r="S5208">
        <v>3.16629</v>
      </c>
      <c r="T5208">
        <v>-0.68957440000000003</v>
      </c>
      <c r="U5208">
        <v>-0.73562620000000001</v>
      </c>
      <c r="V5208">
        <v>-7.614572E-2</v>
      </c>
      <c r="W5208">
        <v>0.16005739999999999</v>
      </c>
      <c r="X5208">
        <v>0.9841664</v>
      </c>
      <c r="Y5208">
        <v>0.18651010000000001</v>
      </c>
      <c r="Z5208">
        <v>-1.1904E-2</v>
      </c>
      <c r="AA5208">
        <v>0.9823809</v>
      </c>
      <c r="AB5208">
        <v>1</v>
      </c>
      <c r="AC5208">
        <v>0.67419999999998403</v>
      </c>
      <c r="AD5208">
        <v>-0.1491199</v>
      </c>
      <c r="AE5208">
        <v>-0.15860000000000599</v>
      </c>
      <c r="AF5208">
        <v>0.12744147005624501</v>
      </c>
      <c r="AG5208">
        <v>-0.1491199</v>
      </c>
      <c r="AH5208">
        <v>0.64953562714167601</v>
      </c>
      <c r="AI5208">
        <v>102.69586663424199</v>
      </c>
      <c r="AJ5208">
        <v>78.8993505066898</v>
      </c>
      <c r="AK5208">
        <v>0.67850910369164297</v>
      </c>
      <c r="AL5208">
        <v>80.789772271337995</v>
      </c>
      <c r="AM5208">
        <v>94.424204969153294</v>
      </c>
      <c r="AN5208">
        <v>1.00000002242901</v>
      </c>
    </row>
    <row r="5209" spans="1:40" x14ac:dyDescent="0.3">
      <c r="A5209" t="str">
        <f>"20200111150156092"</f>
        <v>20200111150156092</v>
      </c>
      <c r="B5209" t="str">
        <f>"1578726116084066"</f>
        <v>1578726116084066</v>
      </c>
      <c r="C5209" t="s">
        <v>40</v>
      </c>
      <c r="D5209">
        <v>4.2909569999999997</v>
      </c>
      <c r="E5209">
        <v>0.4174428</v>
      </c>
      <c r="F5209" t="s">
        <v>42</v>
      </c>
      <c r="G5209">
        <v>-141.66679999999999</v>
      </c>
      <c r="H5209" s="1">
        <v>-3.9867920000000003E-6</v>
      </c>
      <c r="I5209">
        <v>137.19450000000001</v>
      </c>
      <c r="J5209">
        <v>-146.10069999999999</v>
      </c>
      <c r="K5209">
        <v>1.105607</v>
      </c>
      <c r="L5209">
        <v>136.6002</v>
      </c>
      <c r="M5209">
        <v>0.9992337</v>
      </c>
      <c r="N5209">
        <v>0</v>
      </c>
      <c r="O5209">
        <v>-3.7259180000000003E-2</v>
      </c>
      <c r="P5209">
        <v>0.98754200000000003</v>
      </c>
      <c r="Q5209">
        <v>0.15222249999999901</v>
      </c>
      <c r="R5209">
        <v>3.9868550000000003E-2</v>
      </c>
      <c r="S5209">
        <v>3.1362459999999999</v>
      </c>
      <c r="T5209">
        <v>-0.78015849999999998</v>
      </c>
      <c r="U5209">
        <v>0.4191742</v>
      </c>
      <c r="V5209">
        <v>-7.6632240000000004E-2</v>
      </c>
      <c r="W5209">
        <v>0.16403809999999999</v>
      </c>
      <c r="X5209">
        <v>0.98347289999999998</v>
      </c>
      <c r="Y5209">
        <v>-0.16330439999999999</v>
      </c>
      <c r="Z5209">
        <v>2.901718E-2</v>
      </c>
      <c r="AA5209">
        <v>0.98614889999999999</v>
      </c>
      <c r="AB5209">
        <v>1</v>
      </c>
      <c r="AC5209">
        <v>4.4338999999999897</v>
      </c>
      <c r="AD5209">
        <v>-1.1056109867919901</v>
      </c>
      <c r="AE5209">
        <v>0.59430000000000405</v>
      </c>
      <c r="AF5209">
        <v>-0.71540558048743896</v>
      </c>
      <c r="AG5209">
        <v>-1.1056109867919901</v>
      </c>
      <c r="AH5209">
        <v>4.1548946543285901</v>
      </c>
      <c r="AI5209">
        <v>104.69433916384899</v>
      </c>
      <c r="AJ5209">
        <v>99.769609727612902</v>
      </c>
      <c r="AK5209">
        <v>4.3585927072021899</v>
      </c>
      <c r="AL5209">
        <v>80.558639421525299</v>
      </c>
      <c r="AM5209">
        <v>94.455486327385998</v>
      </c>
      <c r="AN5209">
        <v>0.99999997174671795</v>
      </c>
    </row>
    <row r="5210" spans="1:40" x14ac:dyDescent="0.3">
      <c r="A5210" t="str">
        <f>"20200111150156114"</f>
        <v>20200111150156114</v>
      </c>
      <c r="B5210" t="str">
        <f>"1578726116104562"</f>
        <v>1578726116104562</v>
      </c>
      <c r="C5210" t="s">
        <v>40</v>
      </c>
      <c r="D5210">
        <v>4.3489269999999998</v>
      </c>
      <c r="E5210">
        <v>0.42147030000000002</v>
      </c>
      <c r="F5210" t="s">
        <v>42</v>
      </c>
      <c r="G5210">
        <v>-112.443</v>
      </c>
      <c r="H5210" s="1">
        <v>-4.4224070000000002E-6</v>
      </c>
      <c r="I5210">
        <v>145.1283</v>
      </c>
      <c r="J5210">
        <v>-146.0909</v>
      </c>
      <c r="K5210">
        <v>1.105645</v>
      </c>
      <c r="L5210">
        <v>136.59989999999999</v>
      </c>
      <c r="M5210">
        <v>0.99923470000000003</v>
      </c>
      <c r="N5210">
        <v>0</v>
      </c>
      <c r="O5210">
        <v>-3.723307E-2</v>
      </c>
      <c r="P5210">
        <v>0.98693330000000001</v>
      </c>
      <c r="Q5210">
        <v>0.15599199999999999</v>
      </c>
      <c r="R5210">
        <v>4.0368210000000002E-2</v>
      </c>
      <c r="S5210">
        <v>3.0222319999999998</v>
      </c>
      <c r="T5210">
        <v>-9.927619E-2</v>
      </c>
      <c r="U5210">
        <v>0.76576230000000001</v>
      </c>
      <c r="V5210">
        <v>-7.7083600000000002E-2</v>
      </c>
      <c r="W5210">
        <v>0.167799</v>
      </c>
      <c r="X5210">
        <v>0.98280290000000003</v>
      </c>
      <c r="Y5210">
        <v>-0.28137780000000001</v>
      </c>
      <c r="Z5210">
        <v>5.7533840000000003E-3</v>
      </c>
      <c r="AA5210">
        <v>0.95957979999999998</v>
      </c>
      <c r="AB5210">
        <v>1</v>
      </c>
      <c r="AC5210">
        <v>33.6479</v>
      </c>
      <c r="AD5210">
        <v>-1.1056494224069999</v>
      </c>
      <c r="AE5210">
        <v>8.5283999999999995</v>
      </c>
      <c r="AF5210">
        <v>-9.7654825944925499</v>
      </c>
      <c r="AG5210">
        <v>-1.1056494224069999</v>
      </c>
      <c r="AH5210">
        <v>33.273246387078601</v>
      </c>
      <c r="AI5210">
        <v>91.826228847890604</v>
      </c>
      <c r="AJ5210">
        <v>106.356622670371</v>
      </c>
      <c r="AK5210">
        <v>34.694322822096503</v>
      </c>
      <c r="AL5210">
        <v>80.3401267894223</v>
      </c>
      <c r="AM5210">
        <v>94.484665087569198</v>
      </c>
      <c r="AN5210">
        <v>0.99999996301918403</v>
      </c>
    </row>
    <row r="5211" spans="1:40" x14ac:dyDescent="0.3">
      <c r="A5211" t="str">
        <f>"20200111150156136"</f>
        <v>20200111150156136</v>
      </c>
      <c r="B5211" t="str">
        <f>"1578726116124082"</f>
        <v>1578726116124082</v>
      </c>
      <c r="C5211" t="s">
        <v>40</v>
      </c>
      <c r="D5211">
        <v>4.5150540000000001</v>
      </c>
      <c r="E5211">
        <v>0.42334749999999999</v>
      </c>
      <c r="F5211" t="s">
        <v>42</v>
      </c>
      <c r="G5211">
        <v>-111.2367</v>
      </c>
      <c r="H5211" s="1">
        <v>-4.8191549999999998E-6</v>
      </c>
      <c r="I5211">
        <v>145.05090000000001</v>
      </c>
      <c r="J5211">
        <v>-146.08080000000001</v>
      </c>
      <c r="K5211">
        <v>1.105675</v>
      </c>
      <c r="L5211">
        <v>136.59960000000001</v>
      </c>
      <c r="M5211">
        <v>0.99923569999999995</v>
      </c>
      <c r="N5211">
        <v>0</v>
      </c>
      <c r="O5211">
        <v>-3.7206250000000003E-2</v>
      </c>
      <c r="P5211">
        <v>0.98624270000000003</v>
      </c>
      <c r="Q5211">
        <v>0.16004749999999901</v>
      </c>
      <c r="R5211">
        <v>4.135643E-2</v>
      </c>
      <c r="S5211">
        <v>3.0248719999999998</v>
      </c>
      <c r="T5211">
        <v>-9.5955369999999998E-2</v>
      </c>
      <c r="U5211">
        <v>0.733429</v>
      </c>
      <c r="V5211">
        <v>-7.8018569999999995E-2</v>
      </c>
      <c r="W5211">
        <v>0.17184539999999901</v>
      </c>
      <c r="X5211">
        <v>0.98202970000000001</v>
      </c>
      <c r="Y5211">
        <v>-0.27148949999999999</v>
      </c>
      <c r="Z5211">
        <v>5.4078999999999898E-3</v>
      </c>
      <c r="AA5211">
        <v>0.96242620000000001</v>
      </c>
      <c r="AB5211">
        <v>1</v>
      </c>
      <c r="AC5211">
        <v>34.844099999999997</v>
      </c>
      <c r="AD5211">
        <v>-1.1056798191549999</v>
      </c>
      <c r="AE5211">
        <v>8.4512999999999998</v>
      </c>
      <c r="AF5211">
        <v>-9.7327033298514394</v>
      </c>
      <c r="AG5211">
        <v>-1.1056798191549999</v>
      </c>
      <c r="AH5211">
        <v>34.4727238563379</v>
      </c>
      <c r="AI5211">
        <v>91.768010619213001</v>
      </c>
      <c r="AJ5211">
        <v>105.765994716988</v>
      </c>
      <c r="AK5211">
        <v>35.837365026529497</v>
      </c>
      <c r="AL5211">
        <v>80.104868478946798</v>
      </c>
      <c r="AM5211">
        <v>94.542393693395596</v>
      </c>
      <c r="AN5211">
        <v>1.0000000352240399</v>
      </c>
    </row>
    <row r="5212" spans="1:40" x14ac:dyDescent="0.3">
      <c r="A5212" t="str">
        <f>"20200111150156160"</f>
        <v>20200111150156160</v>
      </c>
      <c r="B5212" t="str">
        <f>"1578726116153869"</f>
        <v>1578726116153869</v>
      </c>
      <c r="C5212" t="s">
        <v>40</v>
      </c>
      <c r="D5212">
        <v>4.4204169999999996</v>
      </c>
      <c r="E5212">
        <v>0.42601630000000001</v>
      </c>
      <c r="F5212" t="s">
        <v>42</v>
      </c>
      <c r="G5212">
        <v>-113.7979</v>
      </c>
      <c r="H5212" s="1">
        <v>-3.8094369999999999E-6</v>
      </c>
      <c r="I5212">
        <v>144.27199999999999</v>
      </c>
      <c r="J5212">
        <v>-146.0702</v>
      </c>
      <c r="K5212">
        <v>1.1056870000000001</v>
      </c>
      <c r="L5212">
        <v>136.5992</v>
      </c>
      <c r="M5212">
        <v>0.99923669999999998</v>
      </c>
      <c r="N5212">
        <v>0</v>
      </c>
      <c r="O5212">
        <v>-3.7178120000000002E-2</v>
      </c>
      <c r="P5212">
        <v>0.98573860000000002</v>
      </c>
      <c r="Q5212">
        <v>0.1629496</v>
      </c>
      <c r="R5212">
        <v>4.2035309999999999E-2</v>
      </c>
      <c r="S5212">
        <v>3.0285030000000002</v>
      </c>
      <c r="T5212">
        <v>-0.10372480000000001</v>
      </c>
      <c r="U5212">
        <v>0.71975710000000004</v>
      </c>
      <c r="V5212">
        <v>-7.8649800000000006E-2</v>
      </c>
      <c r="W5212">
        <v>0.17474100000000001</v>
      </c>
      <c r="X5212">
        <v>0.98146820000000001</v>
      </c>
      <c r="Y5212">
        <v>-0.26706489999999999</v>
      </c>
      <c r="Z5212">
        <v>5.7660719999999997E-3</v>
      </c>
      <c r="AA5212">
        <v>0.96366130000000005</v>
      </c>
      <c r="AB5212">
        <v>1</v>
      </c>
      <c r="AC5212">
        <v>32.272300000000001</v>
      </c>
      <c r="AD5212">
        <v>-1.1056908094369999</v>
      </c>
      <c r="AE5212">
        <v>7.67280000000002</v>
      </c>
      <c r="AF5212">
        <v>-8.8575633492628008</v>
      </c>
      <c r="AG5212">
        <v>-1.1056908094369999</v>
      </c>
      <c r="AH5212">
        <v>31.929230231482801</v>
      </c>
      <c r="AI5212">
        <v>91.911205814987397</v>
      </c>
      <c r="AJ5212">
        <v>105.504672443118</v>
      </c>
      <c r="AK5212">
        <v>33.1535024368061</v>
      </c>
      <c r="AL5212">
        <v>79.936413916174303</v>
      </c>
      <c r="AM5212">
        <v>94.581597974068202</v>
      </c>
      <c r="AN5212">
        <v>1.0000000178661399</v>
      </c>
    </row>
    <row r="5213" spans="1:40" x14ac:dyDescent="0.3">
      <c r="A5213" t="str">
        <f>"20200111150156182"</f>
        <v>20200111150156182</v>
      </c>
      <c r="B5213" t="str">
        <f>"1578726116174365"</f>
        <v>1578726116174365</v>
      </c>
      <c r="C5213" t="s">
        <v>40</v>
      </c>
      <c r="D5213">
        <v>4.4738290000000003</v>
      </c>
      <c r="E5213">
        <v>0.42696990000000001</v>
      </c>
      <c r="F5213" t="s">
        <v>42</v>
      </c>
      <c r="G5213">
        <v>-114.8151</v>
      </c>
      <c r="H5213" s="1">
        <v>-3.3235029999999999E-6</v>
      </c>
      <c r="I5213">
        <v>143.81389999999999</v>
      </c>
      <c r="J5213">
        <v>-146.06049999999999</v>
      </c>
      <c r="K5213">
        <v>1.1057110000000001</v>
      </c>
      <c r="L5213">
        <v>136.59889999999999</v>
      </c>
      <c r="M5213">
        <v>0.99923759999999995</v>
      </c>
      <c r="N5213">
        <v>0</v>
      </c>
      <c r="O5213">
        <v>-3.715309E-2</v>
      </c>
      <c r="P5213">
        <v>0.98488010000000004</v>
      </c>
      <c r="Q5213">
        <v>0.16767979999999999</v>
      </c>
      <c r="R5213">
        <v>4.3532069999999999E-2</v>
      </c>
      <c r="S5213">
        <v>3.0313110000000001</v>
      </c>
      <c r="T5213">
        <v>-0.1072364</v>
      </c>
      <c r="U5213">
        <v>0.69972230000000002</v>
      </c>
      <c r="V5213">
        <v>-8.008941E-2</v>
      </c>
      <c r="W5213">
        <v>0.17946029999999999</v>
      </c>
      <c r="X5213">
        <v>0.98049969999999997</v>
      </c>
      <c r="Y5213">
        <v>-0.26078829999999997</v>
      </c>
      <c r="Z5213">
        <v>5.8497590000000004E-3</v>
      </c>
      <c r="AA5213">
        <v>0.96537830000000002</v>
      </c>
      <c r="AB5213">
        <v>1</v>
      </c>
      <c r="AC5213">
        <v>31.245399999999901</v>
      </c>
      <c r="AD5213">
        <v>-1.105714323503</v>
      </c>
      <c r="AE5213">
        <v>7.2149999999999999</v>
      </c>
      <c r="AF5213">
        <v>-8.3610240218658802</v>
      </c>
      <c r="AG5213">
        <v>-1.105714323503</v>
      </c>
      <c r="AH5213">
        <v>30.918985574733501</v>
      </c>
      <c r="AI5213">
        <v>91.977163809461999</v>
      </c>
      <c r="AJ5213">
        <v>105.13184983482</v>
      </c>
      <c r="AK5213">
        <v>32.048603648677002</v>
      </c>
      <c r="AL5213">
        <v>79.661674473749301</v>
      </c>
      <c r="AM5213">
        <v>94.669680569427598</v>
      </c>
      <c r="AN5213">
        <v>0.99999998728516304</v>
      </c>
    </row>
    <row r="5214" spans="1:40" x14ac:dyDescent="0.3">
      <c r="A5214" t="str">
        <f>"20200111150156203"</f>
        <v>20200111150156203</v>
      </c>
      <c r="B5214" t="str">
        <f>"1578726116193886"</f>
        <v>1578726116193886</v>
      </c>
      <c r="C5214" t="s">
        <v>40</v>
      </c>
      <c r="D5214">
        <v>4.6732760000000004</v>
      </c>
      <c r="E5214">
        <v>0.42731330000000001</v>
      </c>
      <c r="F5214" t="s">
        <v>42</v>
      </c>
      <c r="G5214">
        <v>-113.2235</v>
      </c>
      <c r="H5214" s="1">
        <v>-3.9796760000000004E-6</v>
      </c>
      <c r="I5214">
        <v>144.12989999999999</v>
      </c>
      <c r="J5214">
        <v>-146.05080000000001</v>
      </c>
      <c r="K5214">
        <v>1.1057319999999999</v>
      </c>
      <c r="L5214">
        <v>136.5986</v>
      </c>
      <c r="M5214">
        <v>0.99923859999999998</v>
      </c>
      <c r="N5214">
        <v>0</v>
      </c>
      <c r="O5214">
        <v>-3.7128170000000002E-2</v>
      </c>
      <c r="P5214">
        <v>0.98412100000000002</v>
      </c>
      <c r="Q5214">
        <v>0.1716686</v>
      </c>
      <c r="R5214">
        <v>4.5121319999999999E-2</v>
      </c>
      <c r="S5214">
        <v>3.0326840000000002</v>
      </c>
      <c r="T5214">
        <v>-0.102119</v>
      </c>
      <c r="U5214">
        <v>0.69552609999999904</v>
      </c>
      <c r="V5214">
        <v>-8.1624520000000006E-2</v>
      </c>
      <c r="W5214">
        <v>0.18343960000000001</v>
      </c>
      <c r="X5214">
        <v>0.97963630000000002</v>
      </c>
      <c r="Y5214">
        <v>-0.25941690000000001</v>
      </c>
      <c r="Z5214">
        <v>5.5455269999999997E-3</v>
      </c>
      <c r="AA5214">
        <v>0.96574950000000004</v>
      </c>
      <c r="AB5214">
        <v>1</v>
      </c>
      <c r="AC5214">
        <v>32.827300000000001</v>
      </c>
      <c r="AD5214">
        <v>-1.105735979676</v>
      </c>
      <c r="AE5214">
        <v>7.5312999999999803</v>
      </c>
      <c r="AF5214">
        <v>-8.7355960889493005</v>
      </c>
      <c r="AG5214">
        <v>-1.105735979676</v>
      </c>
      <c r="AH5214">
        <v>32.490000148346297</v>
      </c>
      <c r="AI5214">
        <v>91.882399005884494</v>
      </c>
      <c r="AJ5214">
        <v>105.04922893791</v>
      </c>
      <c r="AK5214">
        <v>33.662046888529503</v>
      </c>
      <c r="AL5214">
        <v>79.4298283628669</v>
      </c>
      <c r="AM5214">
        <v>94.762954079036007</v>
      </c>
      <c r="AN5214">
        <v>0.99999996469553898</v>
      </c>
    </row>
    <row r="5215" spans="1:40" x14ac:dyDescent="0.3">
      <c r="A5215" t="str">
        <f>"20200111150156226"</f>
        <v>20200111150156226</v>
      </c>
      <c r="B5215" t="str">
        <f>"1578726116214382"</f>
        <v>1578726116214382</v>
      </c>
      <c r="C5215" t="s">
        <v>40</v>
      </c>
      <c r="D5215">
        <v>4.6629940000000003</v>
      </c>
      <c r="E5215">
        <v>0.42766720000000003</v>
      </c>
      <c r="F5215" t="s">
        <v>42</v>
      </c>
      <c r="G5215">
        <v>-113.43380000000001</v>
      </c>
      <c r="H5215" s="1">
        <v>-3.8995130000000003E-6</v>
      </c>
      <c r="I5215">
        <v>144.0813</v>
      </c>
      <c r="J5215">
        <v>-146.041</v>
      </c>
      <c r="K5215">
        <v>1.105745</v>
      </c>
      <c r="L5215">
        <v>136.59829999999999</v>
      </c>
      <c r="M5215">
        <v>0.99923949999999995</v>
      </c>
      <c r="N5215">
        <v>0</v>
      </c>
      <c r="O5215">
        <v>-3.7103259999999999E-2</v>
      </c>
      <c r="P5215">
        <v>0.98367479999999996</v>
      </c>
      <c r="Q5215">
        <v>0.17391879999999901</v>
      </c>
      <c r="R5215">
        <v>4.6219980000000001E-2</v>
      </c>
      <c r="S5215">
        <v>3.0344389999999999</v>
      </c>
      <c r="T5215">
        <v>-0.10286919999999999</v>
      </c>
      <c r="U5215">
        <v>0.69613649999999905</v>
      </c>
      <c r="V5215">
        <v>-8.2680690000000001E-2</v>
      </c>
      <c r="W5215">
        <v>0.1856835</v>
      </c>
      <c r="X5215">
        <v>0.97912489999999996</v>
      </c>
      <c r="Y5215">
        <v>-0.25945360000000001</v>
      </c>
      <c r="Z5215">
        <v>5.5827519999999999E-3</v>
      </c>
      <c r="AA5215">
        <v>0.96573940000000003</v>
      </c>
      <c r="AB5215">
        <v>1</v>
      </c>
      <c r="AC5215">
        <v>32.607199999999899</v>
      </c>
      <c r="AD5215">
        <v>-1.105748899513</v>
      </c>
      <c r="AE5215">
        <v>7.4829999999999997</v>
      </c>
      <c r="AF5215">
        <v>-8.6782866729503105</v>
      </c>
      <c r="AG5215">
        <v>-1.105748899513</v>
      </c>
      <c r="AH5215">
        <v>32.271826122396298</v>
      </c>
      <c r="AI5215">
        <v>91.895117981788303</v>
      </c>
      <c r="AJ5215">
        <v>105.051465954538</v>
      </c>
      <c r="AK5215">
        <v>33.436598234282997</v>
      </c>
      <c r="AL5215">
        <v>79.299015617068903</v>
      </c>
      <c r="AM5215">
        <v>94.826802524492805</v>
      </c>
      <c r="AN5215">
        <v>1.0000000142355601</v>
      </c>
    </row>
    <row r="5216" spans="1:40" x14ac:dyDescent="0.3">
      <c r="A5216" t="str">
        <f>"20200111150156248"</f>
        <v>20200111150156248</v>
      </c>
      <c r="B5216" t="str">
        <f>"1578726116244638"</f>
        <v>1578726116244638</v>
      </c>
      <c r="C5216" t="s">
        <v>40</v>
      </c>
      <c r="D5216">
        <v>4.6054789999999999</v>
      </c>
      <c r="E5216">
        <v>0.42768850000000003</v>
      </c>
      <c r="F5216" t="s">
        <v>42</v>
      </c>
      <c r="G5216">
        <v>-115.2779</v>
      </c>
      <c r="H5216" s="1">
        <v>-3.081107E-6</v>
      </c>
      <c r="I5216">
        <v>143.64920000000001</v>
      </c>
      <c r="J5216">
        <v>-146.03100000000001</v>
      </c>
      <c r="K5216">
        <v>1.1057600000000001</v>
      </c>
      <c r="L5216">
        <v>136.59799999999899</v>
      </c>
      <c r="M5216">
        <v>0.99924029999999997</v>
      </c>
      <c r="N5216">
        <v>0</v>
      </c>
      <c r="O5216">
        <v>-3.7077859999999997E-2</v>
      </c>
      <c r="P5216">
        <v>0.98321579999999997</v>
      </c>
      <c r="Q5216">
        <v>0.17615430000000001</v>
      </c>
      <c r="R5216">
        <v>4.750298E-2</v>
      </c>
      <c r="S5216">
        <v>3.0364070000000001</v>
      </c>
      <c r="T5216">
        <v>-0.1091405</v>
      </c>
      <c r="U5216">
        <v>0.695938099999999</v>
      </c>
      <c r="V5216">
        <v>-8.3921339999999997E-2</v>
      </c>
      <c r="W5216">
        <v>0.18791330000000001</v>
      </c>
      <c r="X5216">
        <v>0.97859379999999996</v>
      </c>
      <c r="Y5216">
        <v>-0.25921260000000002</v>
      </c>
      <c r="Z5216">
        <v>5.9140199999999999E-3</v>
      </c>
      <c r="AA5216">
        <v>0.96580220000000006</v>
      </c>
      <c r="AB5216">
        <v>1</v>
      </c>
      <c r="AC5216">
        <v>30.7531</v>
      </c>
      <c r="AD5216">
        <v>-1.1057630811070001</v>
      </c>
      <c r="AE5216">
        <v>7.0512000000000201</v>
      </c>
      <c r="AF5216">
        <v>-8.1766488723505297</v>
      </c>
      <c r="AG5216">
        <v>-1.1057630811070001</v>
      </c>
      <c r="AH5216">
        <v>30.433108096116701</v>
      </c>
      <c r="AI5216">
        <v>92.009671247071495</v>
      </c>
      <c r="AJ5216">
        <v>105.038851870478</v>
      </c>
      <c r="AK5216">
        <v>31.531799301073399</v>
      </c>
      <c r="AL5216">
        <v>79.168968384342804</v>
      </c>
      <c r="AM5216">
        <v>94.901526099187194</v>
      </c>
      <c r="AN5216">
        <v>1.0000000125113599</v>
      </c>
    </row>
    <row r="5217" spans="1:40" x14ac:dyDescent="0.3">
      <c r="A5217" t="str">
        <f>"20200111150156270"</f>
        <v>20200111150156270</v>
      </c>
      <c r="B5217" t="str">
        <f>"1578726116264161"</f>
        <v>1578726116264161</v>
      </c>
      <c r="C5217" t="s">
        <v>40</v>
      </c>
      <c r="D5217">
        <v>4.5593940000000002</v>
      </c>
      <c r="E5217">
        <v>0.42784810000000001</v>
      </c>
      <c r="F5217" t="s">
        <v>42</v>
      </c>
      <c r="G5217">
        <v>-114.1816</v>
      </c>
      <c r="H5217" s="1">
        <v>-3.6178540000000001E-6</v>
      </c>
      <c r="I5217">
        <v>143.9281</v>
      </c>
      <c r="J5217">
        <v>-146.02109999999999</v>
      </c>
      <c r="K5217">
        <v>1.1057760000000001</v>
      </c>
      <c r="L5217">
        <v>136.5977</v>
      </c>
      <c r="M5217">
        <v>0.99924139999999995</v>
      </c>
      <c r="N5217">
        <v>0</v>
      </c>
      <c r="O5217">
        <v>-3.705199E-2</v>
      </c>
      <c r="P5217">
        <v>0.98276750000000002</v>
      </c>
      <c r="Q5217">
        <v>0.178041899999999</v>
      </c>
      <c r="R5217">
        <v>4.9694189999999999E-2</v>
      </c>
      <c r="S5217">
        <v>3.036346</v>
      </c>
      <c r="T5217">
        <v>-0.1054171</v>
      </c>
      <c r="U5217">
        <v>0.69880679999999995</v>
      </c>
      <c r="V5217">
        <v>-8.6069030000000005E-2</v>
      </c>
      <c r="W5217">
        <v>0.1897943</v>
      </c>
      <c r="X5217">
        <v>0.97804409999999997</v>
      </c>
      <c r="Y5217">
        <v>-0.26007019999999997</v>
      </c>
      <c r="Z5217">
        <v>5.7257050000000002E-3</v>
      </c>
      <c r="AA5217">
        <v>0.96557269999999995</v>
      </c>
      <c r="AB5217">
        <v>1</v>
      </c>
      <c r="AC5217">
        <v>31.839499999999902</v>
      </c>
      <c r="AD5217">
        <v>-1.105779617854</v>
      </c>
      <c r="AE5217">
        <v>7.3303999999999903</v>
      </c>
      <c r="AF5217">
        <v>-8.49543638098522</v>
      </c>
      <c r="AG5217">
        <v>-1.105779617854</v>
      </c>
      <c r="AH5217">
        <v>31.5099156352873</v>
      </c>
      <c r="AI5217">
        <v>91.940620717231496</v>
      </c>
      <c r="AJ5217">
        <v>105.088827428646</v>
      </c>
      <c r="AK5217">
        <v>32.653789538268803</v>
      </c>
      <c r="AL5217">
        <v>79.059220058389201</v>
      </c>
      <c r="AM5217">
        <v>95.029140386874403</v>
      </c>
      <c r="AN5217">
        <v>1.0000000078912199</v>
      </c>
    </row>
    <row r="5218" spans="1:40" x14ac:dyDescent="0.3">
      <c r="A5218" t="str">
        <f>"20200111150156293"</f>
        <v>20200111150156293</v>
      </c>
      <c r="B5218" t="str">
        <f>"1578726116283678"</f>
        <v>1578726116283678</v>
      </c>
      <c r="C5218" t="s">
        <v>40</v>
      </c>
      <c r="D5218">
        <v>4.7371150000000002</v>
      </c>
      <c r="E5218">
        <v>0.42793910000000002</v>
      </c>
      <c r="F5218" t="s">
        <v>42</v>
      </c>
      <c r="G5218">
        <v>-113.7002</v>
      </c>
      <c r="H5218" s="1">
        <v>-3.807017E-6</v>
      </c>
      <c r="I5218">
        <v>144.0711</v>
      </c>
      <c r="J5218">
        <v>-146.01140000000001</v>
      </c>
      <c r="K5218">
        <v>1.1057870000000001</v>
      </c>
      <c r="L5218">
        <v>136.59739999999999</v>
      </c>
      <c r="M5218">
        <v>0.99924230000000003</v>
      </c>
      <c r="N5218">
        <v>0</v>
      </c>
      <c r="O5218">
        <v>-3.7025879999999997E-2</v>
      </c>
      <c r="P5218">
        <v>0.98235320000000004</v>
      </c>
      <c r="Q5218">
        <v>0.1795726</v>
      </c>
      <c r="R5218">
        <v>5.2308189999999997E-2</v>
      </c>
      <c r="S5218">
        <v>3.0359340000000001</v>
      </c>
      <c r="T5218">
        <v>-0.1038671</v>
      </c>
      <c r="U5218">
        <v>0.70198059999999995</v>
      </c>
      <c r="V5218">
        <v>-8.8640609999999995E-2</v>
      </c>
      <c r="W5218">
        <v>0.19131889999999999</v>
      </c>
      <c r="X5218">
        <v>0.97751719999999998</v>
      </c>
      <c r="Y5218">
        <v>-0.2610364</v>
      </c>
      <c r="Z5218">
        <v>5.6570830000000003E-3</v>
      </c>
      <c r="AA5218">
        <v>0.96531239999999996</v>
      </c>
      <c r="AB5218">
        <v>1</v>
      </c>
      <c r="AC5218">
        <v>32.311199999999999</v>
      </c>
      <c r="AD5218">
        <v>-1.1057908070169999</v>
      </c>
      <c r="AE5218">
        <v>7.4737</v>
      </c>
      <c r="AF5218">
        <v>-8.6553887316515592</v>
      </c>
      <c r="AG5218">
        <v>-1.1057908070169999</v>
      </c>
      <c r="AH5218">
        <v>31.976751064026899</v>
      </c>
      <c r="AI5218">
        <v>91.911816897658099</v>
      </c>
      <c r="AJ5218">
        <v>105.14575212419101</v>
      </c>
      <c r="AK5218">
        <v>33.145906776186202</v>
      </c>
      <c r="AL5218">
        <v>78.970236049371195</v>
      </c>
      <c r="AM5218">
        <v>95.181372516096502</v>
      </c>
      <c r="AN5218">
        <v>0.99999997776711003</v>
      </c>
    </row>
    <row r="5219" spans="1:40" x14ac:dyDescent="0.3">
      <c r="A5219" t="str">
        <f>"20200111150156315"</f>
        <v>20200111150156315</v>
      </c>
      <c r="B5219" t="str">
        <f>"1578726116304173"</f>
        <v>1578726116304173</v>
      </c>
      <c r="C5219" t="s">
        <v>40</v>
      </c>
      <c r="D5219">
        <v>4.6597010000000001</v>
      </c>
      <c r="E5219">
        <v>0.4279058</v>
      </c>
      <c r="F5219" t="s">
        <v>42</v>
      </c>
      <c r="G5219">
        <v>-114.04089999999999</v>
      </c>
      <c r="H5219" s="1">
        <v>-3.6860689999999999E-6</v>
      </c>
      <c r="I5219">
        <v>144.0428</v>
      </c>
      <c r="J5219">
        <v>-146.0016</v>
      </c>
      <c r="K5219">
        <v>1.105796</v>
      </c>
      <c r="L5219">
        <v>136.59710000000001</v>
      </c>
      <c r="M5219">
        <v>0.99924329999999995</v>
      </c>
      <c r="N5219">
        <v>0</v>
      </c>
      <c r="O5219">
        <v>-3.6998940000000001E-2</v>
      </c>
      <c r="P5219">
        <v>0.98209480000000005</v>
      </c>
      <c r="Q5219">
        <v>0.1804084</v>
      </c>
      <c r="R5219">
        <v>5.4247690000000001E-2</v>
      </c>
      <c r="S5219">
        <v>3.0354459999999999</v>
      </c>
      <c r="T5219">
        <v>-0.1049896</v>
      </c>
      <c r="U5219">
        <v>0.70690920000000002</v>
      </c>
      <c r="V5219">
        <v>-9.0543040000000005E-2</v>
      </c>
      <c r="W5219">
        <v>0.1921505</v>
      </c>
      <c r="X5219">
        <v>0.97717969999999998</v>
      </c>
      <c r="Y5219">
        <v>-0.26252700000000001</v>
      </c>
      <c r="Z5219">
        <v>5.7425690000000003E-3</v>
      </c>
      <c r="AA5219">
        <v>0.96490759999999998</v>
      </c>
      <c r="AB5219">
        <v>1</v>
      </c>
      <c r="AC5219">
        <v>31.960699999999999</v>
      </c>
      <c r="AD5219">
        <v>-1.105799686069</v>
      </c>
      <c r="AE5219">
        <v>7.44569999999998</v>
      </c>
      <c r="AF5219">
        <v>-8.6134182518370803</v>
      </c>
      <c r="AG5219">
        <v>-1.105799686069</v>
      </c>
      <c r="AH5219">
        <v>31.6273993882963</v>
      </c>
      <c r="AI5219">
        <v>91.932122157744203</v>
      </c>
      <c r="AJ5219">
        <v>105.23448449663201</v>
      </c>
      <c r="AK5219">
        <v>32.797959677297001</v>
      </c>
      <c r="AL5219">
        <v>78.921688534786696</v>
      </c>
      <c r="AM5219">
        <v>95.293769185726603</v>
      </c>
      <c r="AN5219">
        <v>1.0000000114173899</v>
      </c>
    </row>
    <row r="5220" spans="1:40" x14ac:dyDescent="0.3">
      <c r="A5220" t="str">
        <f>"20200111150156338"</f>
        <v>20200111150156338</v>
      </c>
      <c r="B5220" t="str">
        <f>"1578726116334430"</f>
        <v>1578726116334430</v>
      </c>
      <c r="C5220" t="s">
        <v>40</v>
      </c>
      <c r="D5220">
        <v>6.1764519999999896</v>
      </c>
      <c r="E5220">
        <v>0.42806509999999998</v>
      </c>
      <c r="F5220" t="s">
        <v>42</v>
      </c>
      <c r="G5220">
        <v>-110.6596</v>
      </c>
      <c r="H5220" s="1">
        <v>-4.9862370000000002E-6</v>
      </c>
      <c r="I5220">
        <v>144.88560000000001</v>
      </c>
      <c r="J5220">
        <v>-145.99209999999999</v>
      </c>
      <c r="K5220">
        <v>1.105801</v>
      </c>
      <c r="L5220">
        <v>136.5968</v>
      </c>
      <c r="M5220">
        <v>0.99924440000000003</v>
      </c>
      <c r="N5220">
        <v>0</v>
      </c>
      <c r="O5220">
        <v>-3.6971990000000003E-2</v>
      </c>
      <c r="P5220">
        <v>0.98198220000000003</v>
      </c>
      <c r="Q5220">
        <v>0.18078259999999999</v>
      </c>
      <c r="R5220">
        <v>5.5036920000000003E-2</v>
      </c>
      <c r="S5220">
        <v>3.0328369999999998</v>
      </c>
      <c r="T5220">
        <v>-9.489322E-2</v>
      </c>
      <c r="U5220">
        <v>0.71127320000000005</v>
      </c>
      <c r="V5220">
        <v>-9.130133E-2</v>
      </c>
      <c r="W5220">
        <v>0.19252250000000001</v>
      </c>
      <c r="X5220">
        <v>0.97703589999999996</v>
      </c>
      <c r="Y5220">
        <v>-0.26403080000000001</v>
      </c>
      <c r="Z5220">
        <v>5.2164910000000002E-3</v>
      </c>
      <c r="AA5220">
        <v>0.96450009999999997</v>
      </c>
      <c r="AB5220">
        <v>1</v>
      </c>
      <c r="AC5220">
        <v>35.332500000000003</v>
      </c>
      <c r="AD5220">
        <v>-1.105805986237</v>
      </c>
      <c r="AE5220">
        <v>8.2888000000000002</v>
      </c>
      <c r="AF5220">
        <v>-9.5806440366061292</v>
      </c>
      <c r="AG5220">
        <v>-1.105805986237</v>
      </c>
      <c r="AH5220">
        <v>34.969398184467103</v>
      </c>
      <c r="AI5220">
        <v>91.746876906523397</v>
      </c>
      <c r="AJ5220">
        <v>105.32149026175701</v>
      </c>
      <c r="AK5220">
        <v>36.274927379929601</v>
      </c>
      <c r="AL5220">
        <v>78.899968827618494</v>
      </c>
      <c r="AM5220">
        <v>95.338630088972707</v>
      </c>
      <c r="AN5220">
        <v>0.999999997877414</v>
      </c>
    </row>
    <row r="5221" spans="1:40" x14ac:dyDescent="0.3">
      <c r="A5221" t="str">
        <f>"20200111150156360"</f>
        <v>20200111150156360</v>
      </c>
      <c r="B5221" t="str">
        <f>"1578726116344190"</f>
        <v>1578726116344190</v>
      </c>
      <c r="C5221" t="s">
        <v>40</v>
      </c>
      <c r="D5221">
        <v>3.3535089999999999</v>
      </c>
      <c r="E5221">
        <v>0.42806509999999998</v>
      </c>
      <c r="F5221" t="s">
        <v>42</v>
      </c>
      <c r="G5221">
        <v>-107.16840000000001</v>
      </c>
      <c r="H5221" s="1">
        <v>-2.9390609999999999E-6</v>
      </c>
      <c r="I5221">
        <v>145.70500000000001</v>
      </c>
      <c r="J5221">
        <v>-145.98220000000001</v>
      </c>
      <c r="K5221">
        <v>1.1057939999999999</v>
      </c>
      <c r="L5221">
        <v>136.59649999999999</v>
      </c>
      <c r="M5221">
        <v>0.99924539999999995</v>
      </c>
      <c r="N5221">
        <v>0</v>
      </c>
      <c r="O5221">
        <v>-3.6943730000000001E-2</v>
      </c>
      <c r="P5221">
        <v>0.98180089999999998</v>
      </c>
      <c r="Q5221">
        <v>0.18161430000000001</v>
      </c>
      <c r="R5221">
        <v>5.5531549999999999E-2</v>
      </c>
      <c r="S5221">
        <v>3.0310820000000001</v>
      </c>
      <c r="T5221">
        <v>-8.6333389999999996E-2</v>
      </c>
      <c r="U5221">
        <v>0.71110530000000005</v>
      </c>
      <c r="V5221">
        <v>-9.1761280000000001E-2</v>
      </c>
      <c r="W5221">
        <v>0.1933521</v>
      </c>
      <c r="X5221">
        <v>0.97682899999999995</v>
      </c>
      <c r="Y5221">
        <v>-0.26410099999999997</v>
      </c>
      <c r="Z5221">
        <v>4.7490270000000003E-3</v>
      </c>
      <c r="AA5221">
        <v>0.96448330000000004</v>
      </c>
      <c r="AB5221">
        <v>1</v>
      </c>
      <c r="AC5221">
        <v>38.813800000000001</v>
      </c>
      <c r="AD5221">
        <v>-1.1057969390610001</v>
      </c>
      <c r="AE5221">
        <v>9.10850000000001</v>
      </c>
      <c r="AF5221">
        <v>-10.528211442382201</v>
      </c>
      <c r="AG5221">
        <v>-1.1057969390610001</v>
      </c>
      <c r="AH5221">
        <v>38.421216169698098</v>
      </c>
      <c r="AI5221">
        <v>91.589986815416594</v>
      </c>
      <c r="AJ5221">
        <v>105.32407741749201</v>
      </c>
      <c r="AK5221">
        <v>39.852928060615803</v>
      </c>
      <c r="AL5221">
        <v>78.851526436154501</v>
      </c>
      <c r="AM5221">
        <v>95.366497812605999</v>
      </c>
      <c r="AN5221">
        <v>1.00000003116132</v>
      </c>
    </row>
    <row r="5222" spans="1:40" x14ac:dyDescent="0.3">
      <c r="A5222" t="str">
        <f>"20200111150156515"</f>
        <v>20200111150156515</v>
      </c>
      <c r="B5222" t="str">
        <f>"1578726116514013"</f>
        <v>1578726116514013</v>
      </c>
      <c r="C5222" t="s">
        <v>40</v>
      </c>
      <c r="D5222">
        <v>3.775658</v>
      </c>
      <c r="E5222">
        <v>0.42806509999999998</v>
      </c>
      <c r="F5222" t="s">
        <v>42</v>
      </c>
      <c r="G5222">
        <v>-106.88630000000001</v>
      </c>
      <c r="H5222" s="1">
        <v>-3.0864260000000001E-6</v>
      </c>
      <c r="I5222">
        <v>145.7578</v>
      </c>
      <c r="J5222">
        <v>-145.91659999999999</v>
      </c>
      <c r="K5222">
        <v>1.105694</v>
      </c>
      <c r="L5222">
        <v>136.59399999999999</v>
      </c>
      <c r="M5222">
        <v>0.99925229999999998</v>
      </c>
      <c r="N5222">
        <v>0</v>
      </c>
      <c r="O5222">
        <v>-3.6756369999999997E-2</v>
      </c>
      <c r="P5222">
        <v>0.9826357</v>
      </c>
      <c r="Q5222">
        <v>0.18528149999999999</v>
      </c>
      <c r="R5222">
        <v>9.897856E-3</v>
      </c>
      <c r="S5222">
        <v>3.0313110000000001</v>
      </c>
      <c r="T5222">
        <v>-8.5738419999999996E-2</v>
      </c>
      <c r="U5222">
        <v>0.71032709999999999</v>
      </c>
      <c r="V5222">
        <v>-4.6004339999999998E-2</v>
      </c>
      <c r="W5222">
        <v>0.19704849999999999</v>
      </c>
      <c r="X5222">
        <v>0.97931380000000001</v>
      </c>
      <c r="Y5222">
        <v>-0.26367099999999999</v>
      </c>
      <c r="Z5222">
        <v>4.7048649999999999E-3</v>
      </c>
      <c r="AA5222">
        <v>0.96460119999999905</v>
      </c>
      <c r="AB5222">
        <v>1</v>
      </c>
      <c r="AC5222">
        <v>39.030299999999897</v>
      </c>
      <c r="AD5222">
        <v>-1.1056970864260001</v>
      </c>
      <c r="AE5222">
        <v>9.1638000000000002</v>
      </c>
      <c r="AF5222">
        <v>-10.5842714919483</v>
      </c>
      <c r="AG5222">
        <v>-1.1056970864260001</v>
      </c>
      <c r="AH5222">
        <v>38.637681093711997</v>
      </c>
      <c r="AI5222">
        <v>91.580974794602994</v>
      </c>
      <c r="AJ5222">
        <v>105.319586451579</v>
      </c>
      <c r="AK5222">
        <v>40.076424108964503</v>
      </c>
      <c r="AL5222">
        <v>78.635583999437898</v>
      </c>
      <c r="AM5222">
        <v>92.689554860301897</v>
      </c>
      <c r="AN5222">
        <v>1.0000000147607599</v>
      </c>
    </row>
    <row r="5223" spans="1:40" x14ac:dyDescent="0.3">
      <c r="A5223" t="str">
        <f>"20200111150156538"</f>
        <v>20200111150156538</v>
      </c>
      <c r="B5223" t="str">
        <f>"1578726116534513"</f>
        <v>1578726116534513</v>
      </c>
      <c r="C5223" t="s">
        <v>40</v>
      </c>
      <c r="D5223">
        <v>4.2608059999999996</v>
      </c>
      <c r="E5223">
        <v>0.56070540000000002</v>
      </c>
      <c r="F5223" t="s">
        <v>42</v>
      </c>
      <c r="G5223">
        <v>-98.935519999999997</v>
      </c>
      <c r="H5223" s="1">
        <v>-1.9691470000000002E-6</v>
      </c>
      <c r="I5223">
        <v>145.3672</v>
      </c>
      <c r="J5223">
        <v>-145.9074</v>
      </c>
      <c r="K5223">
        <v>1.1056680000000001</v>
      </c>
      <c r="L5223">
        <v>136.59370000000001</v>
      </c>
      <c r="M5223">
        <v>0.99925319999999995</v>
      </c>
      <c r="N5223">
        <v>0</v>
      </c>
      <c r="O5223">
        <v>-3.6730510000000001E-2</v>
      </c>
      <c r="P5223">
        <v>0.9838095</v>
      </c>
      <c r="Q5223">
        <v>0.1792166</v>
      </c>
      <c r="R5223">
        <v>-6.7819379999999995E-4</v>
      </c>
      <c r="S5223">
        <v>3.0608369999999998</v>
      </c>
      <c r="T5223">
        <v>-7.2036500000000003E-2</v>
      </c>
      <c r="U5223">
        <v>0.57157899999999995</v>
      </c>
      <c r="V5223">
        <v>-3.5453159999999997E-2</v>
      </c>
      <c r="W5223">
        <v>0.19100200000000001</v>
      </c>
      <c r="X5223">
        <v>0.98094919999999997</v>
      </c>
      <c r="Y5223">
        <v>-0.2194827</v>
      </c>
      <c r="Z5223">
        <v>3.4178469999999999E-3</v>
      </c>
      <c r="AA5223">
        <v>0.97561039999999999</v>
      </c>
      <c r="AB5223">
        <v>1</v>
      </c>
      <c r="AC5223">
        <v>46.971879999999999</v>
      </c>
      <c r="AD5223">
        <v>-1.105669969147</v>
      </c>
      <c r="AE5223">
        <v>8.7734999999999808</v>
      </c>
      <c r="AF5223">
        <v>-10.487389124521</v>
      </c>
      <c r="AG5223">
        <v>-1.105669969147</v>
      </c>
      <c r="AH5223">
        <v>46.592954750464102</v>
      </c>
      <c r="AI5223">
        <v>91.326229001982497</v>
      </c>
      <c r="AJ5223">
        <v>102.68503515200101</v>
      </c>
      <c r="AK5223">
        <v>47.771448262624297</v>
      </c>
      <c r="AL5223">
        <v>78.9887345897411</v>
      </c>
      <c r="AM5223">
        <v>92.069865270407803</v>
      </c>
      <c r="AN5223">
        <v>1.00000001176931</v>
      </c>
    </row>
    <row r="5224" spans="1:40" x14ac:dyDescent="0.3">
      <c r="A5224" t="str">
        <f>"20200111150156561"</f>
        <v>20200111150156561</v>
      </c>
      <c r="B5224" t="str">
        <f>"1578726116554030"</f>
        <v>1578726116554030</v>
      </c>
      <c r="C5224" t="s">
        <v>40</v>
      </c>
      <c r="D5224">
        <v>6.9490280000000002</v>
      </c>
      <c r="E5224">
        <v>0.55547749999999996</v>
      </c>
      <c r="F5224" t="s">
        <v>41</v>
      </c>
      <c r="G5224">
        <v>-145.21690000000001</v>
      </c>
      <c r="H5224">
        <v>0.97774839999999996</v>
      </c>
      <c r="I5224">
        <v>136.47389999999999</v>
      </c>
      <c r="J5224">
        <v>-145.898</v>
      </c>
      <c r="K5224">
        <v>1.1056589999999999</v>
      </c>
      <c r="L5224">
        <v>136.5933</v>
      </c>
      <c r="M5224">
        <v>0.99925410000000003</v>
      </c>
      <c r="N5224">
        <v>0</v>
      </c>
      <c r="O5224">
        <v>-3.6704390000000003E-2</v>
      </c>
      <c r="P5224">
        <v>0.98563000000000001</v>
      </c>
      <c r="Q5224">
        <v>0.168485</v>
      </c>
      <c r="R5224">
        <v>-1.2098390000000001E-2</v>
      </c>
      <c r="S5224">
        <v>3.1554869999999999</v>
      </c>
      <c r="T5224">
        <v>-0.58468100000000001</v>
      </c>
      <c r="U5224">
        <v>-0.54682919999999902</v>
      </c>
      <c r="V5224">
        <v>-2.4082679999999999E-2</v>
      </c>
      <c r="W5224">
        <v>0.18029770000000001</v>
      </c>
      <c r="X5224">
        <v>0.98331729999999995</v>
      </c>
      <c r="Y5224">
        <v>0.13287939999999901</v>
      </c>
      <c r="Z5224">
        <v>-5.429644E-3</v>
      </c>
      <c r="AA5224">
        <v>0.99111740000000004</v>
      </c>
      <c r="AB5224">
        <v>1</v>
      </c>
      <c r="AC5224">
        <v>0.68109999999998605</v>
      </c>
      <c r="AD5224">
        <v>-0.12791059999999899</v>
      </c>
      <c r="AE5224">
        <v>-0.119400000000013</v>
      </c>
      <c r="AF5224">
        <v>9.1197829166652505E-2</v>
      </c>
      <c r="AG5224">
        <v>-0.12791059999999899</v>
      </c>
      <c r="AH5224">
        <v>0.66235965058913804</v>
      </c>
      <c r="AI5224">
        <v>100.830317914131</v>
      </c>
      <c r="AJ5224">
        <v>82.160449345377401</v>
      </c>
      <c r="AK5224">
        <v>0.68073377495584497</v>
      </c>
      <c r="AL5224">
        <v>79.612900316867197</v>
      </c>
      <c r="AM5224">
        <v>91.402965388052195</v>
      </c>
      <c r="AN5224">
        <v>1.0000000742902699</v>
      </c>
    </row>
    <row r="5225" spans="1:40" x14ac:dyDescent="0.3">
      <c r="A5225" t="str">
        <f>"20200111150156583"</f>
        <v>20200111150156583</v>
      </c>
      <c r="B5225" t="str">
        <f>"1578726116574526"</f>
        <v>1578726116574526</v>
      </c>
      <c r="C5225" t="s">
        <v>40</v>
      </c>
      <c r="D5225">
        <v>4.2980179999999999</v>
      </c>
      <c r="E5225">
        <v>0.55229810000000001</v>
      </c>
      <c r="F5225" t="s">
        <v>41</v>
      </c>
      <c r="G5225">
        <v>-145.18510000000001</v>
      </c>
      <c r="H5225">
        <v>1.0092840000000001</v>
      </c>
      <c r="I5225">
        <v>136.4725</v>
      </c>
      <c r="J5225">
        <v>-145.88919999999999</v>
      </c>
      <c r="K5225">
        <v>1.1056900000000001</v>
      </c>
      <c r="L5225">
        <v>136.59299999999999</v>
      </c>
      <c r="M5225">
        <v>0.99925509999999995</v>
      </c>
      <c r="N5225">
        <v>0</v>
      </c>
      <c r="O5225">
        <v>-3.6679249999999997E-2</v>
      </c>
      <c r="P5225">
        <v>0.9849464</v>
      </c>
      <c r="Q5225">
        <v>0.17160110000000001</v>
      </c>
      <c r="R5225">
        <v>-2.0828269999999999E-2</v>
      </c>
      <c r="S5225">
        <v>3.1091310000000001</v>
      </c>
      <c r="T5225">
        <v>-0.42032710000000001</v>
      </c>
      <c r="U5225">
        <v>-0.52632139999999905</v>
      </c>
      <c r="V5225">
        <v>-1.5308530000000001E-2</v>
      </c>
      <c r="W5225">
        <v>0.18340919999999999</v>
      </c>
      <c r="X5225">
        <v>0.98291740000000005</v>
      </c>
      <c r="Y5225">
        <v>0.1298058</v>
      </c>
      <c r="Z5225">
        <v>-3.7760710000000002E-3</v>
      </c>
      <c r="AA5225">
        <v>0.99153230000000003</v>
      </c>
      <c r="AB5225">
        <v>1</v>
      </c>
      <c r="AC5225">
        <v>0.70409999999998196</v>
      </c>
      <c r="AD5225">
        <v>-9.6406000000000006E-2</v>
      </c>
      <c r="AE5225">
        <v>-0.120499999999992</v>
      </c>
      <c r="AF5225">
        <v>9.2899132512542407E-2</v>
      </c>
      <c r="AG5225">
        <v>-9.6406000000000006E-2</v>
      </c>
      <c r="AH5225">
        <v>0.69538073349820195</v>
      </c>
      <c r="AI5225">
        <v>97.824401755056996</v>
      </c>
      <c r="AJ5225">
        <v>82.390647387037603</v>
      </c>
      <c r="AK5225">
        <v>0.70815162936907805</v>
      </c>
      <c r="AL5225">
        <v>79.431600064239603</v>
      </c>
      <c r="AM5225">
        <v>90.892285811626294</v>
      </c>
      <c r="AN5225">
        <v>0.99999995047907897</v>
      </c>
    </row>
    <row r="5226" spans="1:40" x14ac:dyDescent="0.3">
      <c r="A5226" t="str">
        <f>"20200111150156605"</f>
        <v>20200111150156605</v>
      </c>
      <c r="B5226" t="str">
        <f>"1578726116594046"</f>
        <v>1578726116594046</v>
      </c>
      <c r="C5226" t="s">
        <v>40</v>
      </c>
      <c r="D5226">
        <v>4.3183449999999999</v>
      </c>
      <c r="E5226">
        <v>0.54973070000000002</v>
      </c>
      <c r="F5226" t="s">
        <v>41</v>
      </c>
      <c r="G5226">
        <v>-145.17150000000001</v>
      </c>
      <c r="H5226">
        <v>1.020408</v>
      </c>
      <c r="I5226">
        <v>136.47290000000001</v>
      </c>
      <c r="J5226">
        <v>-145.8801</v>
      </c>
      <c r="K5226">
        <v>1.105742</v>
      </c>
      <c r="L5226">
        <v>136.59270000000001</v>
      </c>
      <c r="M5226">
        <v>0.99925609999999998</v>
      </c>
      <c r="N5226">
        <v>0</v>
      </c>
      <c r="O5226">
        <v>-3.6653730000000002E-2</v>
      </c>
      <c r="P5226">
        <v>0.98401649999999996</v>
      </c>
      <c r="Q5226">
        <v>0.17635709999999999</v>
      </c>
      <c r="R5226">
        <v>-2.469797E-2</v>
      </c>
      <c r="S5226">
        <v>3.099075</v>
      </c>
      <c r="T5226">
        <v>-0.36838029999999999</v>
      </c>
      <c r="U5226">
        <v>-0.51763919999999997</v>
      </c>
      <c r="V5226">
        <v>-1.138164E-2</v>
      </c>
      <c r="W5226">
        <v>0.18815499999999999</v>
      </c>
      <c r="X5226">
        <v>0.98207339999999999</v>
      </c>
      <c r="Y5226">
        <v>0.12785779999999999</v>
      </c>
      <c r="Z5226">
        <v>-3.2124509999999998E-3</v>
      </c>
      <c r="AA5226">
        <v>0.99178730000000004</v>
      </c>
      <c r="AB5226">
        <v>1</v>
      </c>
      <c r="AC5226">
        <v>0.70859999999998902</v>
      </c>
      <c r="AD5226">
        <v>-8.5333999999999993E-2</v>
      </c>
      <c r="AE5226">
        <v>-0.11979999999999701</v>
      </c>
      <c r="AF5226">
        <v>9.2441411920536495E-2</v>
      </c>
      <c r="AG5226">
        <v>-8.5333999999999993E-2</v>
      </c>
      <c r="AH5226">
        <v>0.70260879898098405</v>
      </c>
      <c r="AI5226">
        <v>96.8662312089496</v>
      </c>
      <c r="AJ5226">
        <v>82.504712635907893</v>
      </c>
      <c r="AK5226">
        <v>0.71378318178517197</v>
      </c>
      <c r="AL5226">
        <v>79.154868398182103</v>
      </c>
      <c r="AM5226">
        <v>90.663993894933498</v>
      </c>
      <c r="AN5226">
        <v>1.0000000043708199</v>
      </c>
    </row>
    <row r="5227" spans="1:40" x14ac:dyDescent="0.3">
      <c r="A5227" t="str">
        <f>"20200111150156628"</f>
        <v>20200111150156628</v>
      </c>
      <c r="B5227" t="str">
        <f>"1578726116624304"</f>
        <v>1578726116624304</v>
      </c>
      <c r="C5227" t="s">
        <v>40</v>
      </c>
      <c r="D5227">
        <v>4.3630469999999999</v>
      </c>
      <c r="E5227">
        <v>0.54596239999999996</v>
      </c>
      <c r="F5227" t="s">
        <v>41</v>
      </c>
      <c r="G5227">
        <v>-145.1583</v>
      </c>
      <c r="H5227">
        <v>1.030686</v>
      </c>
      <c r="I5227">
        <v>136.47470000000001</v>
      </c>
      <c r="J5227">
        <v>-145.87100000000001</v>
      </c>
      <c r="K5227">
        <v>1.1057950000000001</v>
      </c>
      <c r="L5227">
        <v>136.59229999999999</v>
      </c>
      <c r="M5227">
        <v>0.99925699999999995</v>
      </c>
      <c r="N5227">
        <v>0</v>
      </c>
      <c r="O5227">
        <v>-3.6627989999999999E-2</v>
      </c>
      <c r="P5227">
        <v>0.98311780000000004</v>
      </c>
      <c r="Q5227">
        <v>0.18110209999999999</v>
      </c>
      <c r="R5227">
        <v>-2.611341E-2</v>
      </c>
      <c r="S5227">
        <v>3.0937350000000001</v>
      </c>
      <c r="T5227">
        <v>-0.32174770000000003</v>
      </c>
      <c r="U5227">
        <v>-0.50523379999999996</v>
      </c>
      <c r="V5227">
        <v>-9.9089429999999999E-3</v>
      </c>
      <c r="W5227">
        <v>0.19288930000000001</v>
      </c>
      <c r="X5227">
        <v>0.98117049999999995</v>
      </c>
      <c r="Y5227">
        <v>0.12445299999999999</v>
      </c>
      <c r="Z5227">
        <v>-2.6408999999999998E-3</v>
      </c>
      <c r="AA5227">
        <v>0.99222200000000005</v>
      </c>
      <c r="AB5227">
        <v>1</v>
      </c>
      <c r="AC5227">
        <v>0.71270000000001199</v>
      </c>
      <c r="AD5227">
        <v>-7.5108999999999995E-2</v>
      </c>
      <c r="AE5227">
        <v>-0.117599999999981</v>
      </c>
      <c r="AF5227">
        <v>9.0436633163511804E-2</v>
      </c>
      <c r="AG5227">
        <v>-7.5108999999999995E-2</v>
      </c>
      <c r="AH5227">
        <v>0.70886523493562004</v>
      </c>
      <c r="AI5227">
        <v>96.000029359939006</v>
      </c>
      <c r="AJ5227">
        <v>82.729512554127595</v>
      </c>
      <c r="AK5227">
        <v>0.71854719246496501</v>
      </c>
      <c r="AL5227">
        <v>78.878551429774404</v>
      </c>
      <c r="AM5227">
        <v>90.578616369803399</v>
      </c>
      <c r="AN5227">
        <v>1.0000000096380499</v>
      </c>
    </row>
    <row r="5228" spans="1:40" x14ac:dyDescent="0.3">
      <c r="A5228" t="str">
        <f>"20200111150156650"</f>
        <v>20200111150156650</v>
      </c>
      <c r="B5228" t="str">
        <f>"1578726116643821"</f>
        <v>1578726116643821</v>
      </c>
      <c r="C5228" t="s">
        <v>40</v>
      </c>
      <c r="D5228">
        <v>4.2380789999999999</v>
      </c>
      <c r="E5228">
        <v>0.54344669999999995</v>
      </c>
      <c r="F5228" t="s">
        <v>41</v>
      </c>
      <c r="G5228">
        <v>-145.14150000000001</v>
      </c>
      <c r="H5228">
        <v>1.046602</v>
      </c>
      <c r="I5228">
        <v>136.47980000000001</v>
      </c>
      <c r="J5228">
        <v>-145.86189999999999</v>
      </c>
      <c r="K5228">
        <v>1.105861</v>
      </c>
      <c r="L5228">
        <v>136.59200000000001</v>
      </c>
      <c r="M5228">
        <v>0.99925790000000003</v>
      </c>
      <c r="N5228">
        <v>0</v>
      </c>
      <c r="O5228">
        <v>-3.6602000000000003E-2</v>
      </c>
      <c r="P5228">
        <v>0.98127770000000003</v>
      </c>
      <c r="Q5228">
        <v>0.1905674</v>
      </c>
      <c r="R5228">
        <v>-2.7891869999999999E-2</v>
      </c>
      <c r="S5228">
        <v>3.0850520000000001</v>
      </c>
      <c r="T5228">
        <v>-0.25051420000000002</v>
      </c>
      <c r="U5228">
        <v>-0.47555540000000002</v>
      </c>
      <c r="V5228">
        <v>-8.0387080000000003E-3</v>
      </c>
      <c r="W5228">
        <v>0.20233290000000001</v>
      </c>
      <c r="X5228">
        <v>0.97928380000000004</v>
      </c>
      <c r="Y5228">
        <v>0.1158151</v>
      </c>
      <c r="Z5228">
        <v>-1.719475E-3</v>
      </c>
      <c r="AA5228">
        <v>0.99326930000000002</v>
      </c>
      <c r="AB5228">
        <v>1</v>
      </c>
      <c r="AC5228">
        <v>0.72039999999998305</v>
      </c>
      <c r="AD5228">
        <v>-5.9258999999999902E-2</v>
      </c>
      <c r="AE5228">
        <v>-0.11220000000000099</v>
      </c>
      <c r="AF5228">
        <v>8.5192031401219406E-2</v>
      </c>
      <c r="AG5228">
        <v>-5.9258999999999902E-2</v>
      </c>
      <c r="AH5228">
        <v>0.71927258204871503</v>
      </c>
      <c r="AI5228">
        <v>94.677266781445496</v>
      </c>
      <c r="AJ5228">
        <v>83.245246435992499</v>
      </c>
      <c r="AK5228">
        <v>0.72672027533452799</v>
      </c>
      <c r="AL5228">
        <v>78.326585976511197</v>
      </c>
      <c r="AM5228">
        <v>90.470316874698</v>
      </c>
      <c r="AN5228">
        <v>0.99999999209557899</v>
      </c>
    </row>
    <row r="5229" spans="1:40" x14ac:dyDescent="0.3">
      <c r="A5229" t="str">
        <f>"20200111150156673"</f>
        <v>20200111150156673</v>
      </c>
      <c r="B5229" t="str">
        <f>"1578726116664318"</f>
        <v>1578726116664318</v>
      </c>
      <c r="C5229" t="s">
        <v>40</v>
      </c>
      <c r="D5229">
        <v>4.3355790000000001</v>
      </c>
      <c r="E5229">
        <v>0.54121730000000001</v>
      </c>
      <c r="F5229" t="s">
        <v>42</v>
      </c>
      <c r="G5229">
        <v>-128.37049999999999</v>
      </c>
      <c r="H5229" s="1">
        <v>-2.035324E-6</v>
      </c>
      <c r="I5229">
        <v>133.99860000000001</v>
      </c>
      <c r="J5229">
        <v>-145.85319999999999</v>
      </c>
      <c r="K5229">
        <v>1.105899</v>
      </c>
      <c r="L5229">
        <v>136.5917</v>
      </c>
      <c r="M5229">
        <v>0.9992588</v>
      </c>
      <c r="N5229">
        <v>0</v>
      </c>
      <c r="O5229">
        <v>-3.6577209999999999E-2</v>
      </c>
      <c r="P5229">
        <v>0.9770875</v>
      </c>
      <c r="Q5229">
        <v>0.21032319999999999</v>
      </c>
      <c r="R5229">
        <v>-3.2620709999999997E-2</v>
      </c>
      <c r="S5229">
        <v>3.082077</v>
      </c>
      <c r="T5229">
        <v>-0.194858</v>
      </c>
      <c r="U5229">
        <v>-0.45697019999999999</v>
      </c>
      <c r="V5229">
        <v>-3.1344110000000001E-3</v>
      </c>
      <c r="W5229">
        <v>0.22203880000000001</v>
      </c>
      <c r="X5229">
        <v>0.97503280000000003</v>
      </c>
      <c r="Y5229">
        <v>0.1102375</v>
      </c>
      <c r="Z5229">
        <v>-1.1665009999999999E-3</v>
      </c>
      <c r="AA5229">
        <v>0.99390460000000003</v>
      </c>
      <c r="AB5229">
        <v>1</v>
      </c>
      <c r="AC5229">
        <v>17.482699999999902</v>
      </c>
      <c r="AD5229">
        <v>-1.105901035324</v>
      </c>
      <c r="AE5229">
        <v>-2.59309999999999</v>
      </c>
      <c r="AF5229">
        <v>1.9442378351626</v>
      </c>
      <c r="AG5229">
        <v>-1.105901035324</v>
      </c>
      <c r="AH5229">
        <v>17.4973473056925</v>
      </c>
      <c r="AI5229">
        <v>93.594444300176207</v>
      </c>
      <c r="AJ5229">
        <v>83.659523173637197</v>
      </c>
      <c r="AK5229">
        <v>17.639734708765701</v>
      </c>
      <c r="AL5229">
        <v>77.171190288131598</v>
      </c>
      <c r="AM5229">
        <v>90.184186524733803</v>
      </c>
      <c r="AN5229">
        <v>1.00000000715679</v>
      </c>
    </row>
    <row r="5230" spans="1:40" x14ac:dyDescent="0.3">
      <c r="A5230" t="str">
        <f>"20200111150156707"</f>
        <v>20200111150156707</v>
      </c>
      <c r="B5230" t="str">
        <f>"1578726116704334"</f>
        <v>1578726116704334</v>
      </c>
      <c r="C5230" t="s">
        <v>40</v>
      </c>
      <c r="D5230">
        <v>4.3959320000000002</v>
      </c>
      <c r="E5230">
        <v>0.53715040000000003</v>
      </c>
      <c r="F5230" t="s">
        <v>42</v>
      </c>
      <c r="G5230">
        <v>-117.2133</v>
      </c>
      <c r="H5230" s="1">
        <v>-2.8458290000000001E-6</v>
      </c>
      <c r="I5230">
        <v>132.4324</v>
      </c>
      <c r="J5230">
        <v>-145.8398</v>
      </c>
      <c r="K5230">
        <v>1.105891</v>
      </c>
      <c r="L5230">
        <v>136.59119999999999</v>
      </c>
      <c r="M5230">
        <v>0.99926020000000004</v>
      </c>
      <c r="N5230">
        <v>0</v>
      </c>
      <c r="O5230">
        <v>-3.6539540000000002E-2</v>
      </c>
      <c r="P5230">
        <v>0.97671719999999895</v>
      </c>
      <c r="Q5230">
        <v>0.21189669999999999</v>
      </c>
      <c r="R5230">
        <v>-3.3519220000000002E-2</v>
      </c>
      <c r="S5230">
        <v>3.0810390000000001</v>
      </c>
      <c r="T5230">
        <v>-0.11897149999999999</v>
      </c>
      <c r="U5230">
        <v>-0.44744869999999998</v>
      </c>
      <c r="V5230">
        <v>-2.186075E-3</v>
      </c>
      <c r="W5230">
        <v>0.22360759999999999</v>
      </c>
      <c r="X5230">
        <v>0.97467680000000001</v>
      </c>
      <c r="Y5230">
        <v>0.1074084</v>
      </c>
      <c r="Z5230">
        <v>-6.6015559999999896E-4</v>
      </c>
      <c r="AA5230">
        <v>0.99421479999999995</v>
      </c>
      <c r="AB5230">
        <v>1</v>
      </c>
      <c r="AC5230">
        <v>28.6265</v>
      </c>
      <c r="AD5230">
        <v>-1.105893845829</v>
      </c>
      <c r="AE5230">
        <v>-4.1587999999999798</v>
      </c>
      <c r="AF5230">
        <v>3.1054091960817298</v>
      </c>
      <c r="AG5230">
        <v>-1.105893845829</v>
      </c>
      <c r="AH5230">
        <v>28.717379808985999</v>
      </c>
      <c r="AI5230">
        <v>92.192576187455501</v>
      </c>
      <c r="AJ5230">
        <v>83.828192800051994</v>
      </c>
      <c r="AK5230">
        <v>28.905959084017798</v>
      </c>
      <c r="AL5230">
        <v>77.078986472958206</v>
      </c>
      <c r="AM5230">
        <v>90.128506866247903</v>
      </c>
      <c r="AN5230">
        <v>1.0000000010799499</v>
      </c>
    </row>
    <row r="5231" spans="1:40" x14ac:dyDescent="0.3">
      <c r="A5231" t="str">
        <f>"20200111150156728"</f>
        <v>20200111150156728</v>
      </c>
      <c r="B5231" t="str">
        <f>"1578726116723853"</f>
        <v>1578726116723853</v>
      </c>
      <c r="C5231" t="s">
        <v>40</v>
      </c>
      <c r="D5231">
        <v>4.3059949999999896</v>
      </c>
      <c r="E5231">
        <v>0.53579940000000004</v>
      </c>
      <c r="F5231" t="s">
        <v>42</v>
      </c>
      <c r="G5231">
        <v>-109.88460000000001</v>
      </c>
      <c r="H5231" s="1">
        <v>-2.1205319999999999E-6</v>
      </c>
      <c r="I5231">
        <v>131.75380000000001</v>
      </c>
      <c r="J5231">
        <v>-145.83109999999999</v>
      </c>
      <c r="K5231">
        <v>1.105877</v>
      </c>
      <c r="L5231">
        <v>136.5909</v>
      </c>
      <c r="M5231">
        <v>0.99926110000000001</v>
      </c>
      <c r="N5231">
        <v>0</v>
      </c>
      <c r="O5231">
        <v>-3.6515100000000002E-2</v>
      </c>
      <c r="P5231">
        <v>0.97742439999999997</v>
      </c>
      <c r="Q5231">
        <v>0.20857010000000001</v>
      </c>
      <c r="R5231">
        <v>-3.3768239999999998E-2</v>
      </c>
      <c r="S5231">
        <v>3.0778500000000002</v>
      </c>
      <c r="T5231">
        <v>-9.4667080000000001E-2</v>
      </c>
      <c r="U5231">
        <v>-0.41409299999999999</v>
      </c>
      <c r="V5231">
        <v>-1.9389279999999999E-3</v>
      </c>
      <c r="W5231">
        <v>0.22029029999999999</v>
      </c>
      <c r="X5231">
        <v>0.97543250000000004</v>
      </c>
      <c r="Y5231">
        <v>9.7029699999999997E-2</v>
      </c>
      <c r="Z5231">
        <v>-3.681302E-4</v>
      </c>
      <c r="AA5231">
        <v>0.99528139999999998</v>
      </c>
      <c r="AB5231">
        <v>1</v>
      </c>
      <c r="AC5231">
        <v>35.946499999999901</v>
      </c>
      <c r="AD5231">
        <v>-1.105879120532</v>
      </c>
      <c r="AE5231">
        <v>-4.8370999999999897</v>
      </c>
      <c r="AF5231">
        <v>3.5179188354661699</v>
      </c>
      <c r="AG5231">
        <v>-1.105879120532</v>
      </c>
      <c r="AH5231">
        <v>36.065636206200601</v>
      </c>
      <c r="AI5231">
        <v>91.748016978740296</v>
      </c>
      <c r="AJ5231">
        <v>84.428872011486803</v>
      </c>
      <c r="AK5231">
        <v>36.253673421050202</v>
      </c>
      <c r="AL5231">
        <v>77.273916615140394</v>
      </c>
      <c r="AM5231">
        <v>90.113890243419206</v>
      </c>
      <c r="AN5231">
        <v>1.00000006888606</v>
      </c>
    </row>
    <row r="5232" spans="1:40" x14ac:dyDescent="0.3">
      <c r="A5232" t="str">
        <f>"20200111150156751"</f>
        <v>20200111150156751</v>
      </c>
      <c r="B5232" t="str">
        <f>"1578726116744353"</f>
        <v>1578726116744353</v>
      </c>
      <c r="C5232" t="s">
        <v>40</v>
      </c>
      <c r="D5232">
        <v>4.29474</v>
      </c>
      <c r="E5232">
        <v>0.53476349999999995</v>
      </c>
      <c r="F5232" t="s">
        <v>42</v>
      </c>
      <c r="G5232">
        <v>-114.43810000000001</v>
      </c>
      <c r="H5232" s="1">
        <v>-3.7823190000000001E-6</v>
      </c>
      <c r="I5232">
        <v>132.4622</v>
      </c>
      <c r="J5232">
        <v>-145.82220000000001</v>
      </c>
      <c r="K5232">
        <v>1.1058460000000001</v>
      </c>
      <c r="L5232">
        <v>136.5907</v>
      </c>
      <c r="M5232">
        <v>0.99926199999999998</v>
      </c>
      <c r="N5232">
        <v>0</v>
      </c>
      <c r="O5232">
        <v>-3.6490189999999999E-2</v>
      </c>
      <c r="P5232">
        <v>0.97800209999999999</v>
      </c>
      <c r="Q5232">
        <v>0.20585609999999999</v>
      </c>
      <c r="R5232">
        <v>-3.368985E-2</v>
      </c>
      <c r="S5232">
        <v>3.0784449999999999</v>
      </c>
      <c r="T5232">
        <v>-0.108444</v>
      </c>
      <c r="U5232">
        <v>-0.40486149999999999</v>
      </c>
      <c r="V5232">
        <v>-2.0141349999999998E-3</v>
      </c>
      <c r="W5232">
        <v>0.21758330000000001</v>
      </c>
      <c r="X5232">
        <v>0.97603960000000001</v>
      </c>
      <c r="Y5232">
        <v>9.4088900000000003E-2</v>
      </c>
      <c r="Z5232">
        <v>-3.7097049999999999E-4</v>
      </c>
      <c r="AA5232">
        <v>0.99556369999999905</v>
      </c>
      <c r="AB5232">
        <v>1</v>
      </c>
      <c r="AC5232">
        <v>31.3841</v>
      </c>
      <c r="AD5232">
        <v>-1.1058497823190001</v>
      </c>
      <c r="AE5232">
        <v>-4.1284999999999998</v>
      </c>
      <c r="AF5232">
        <v>2.97682279952312</v>
      </c>
      <c r="AG5232">
        <v>-1.1058497823190001</v>
      </c>
      <c r="AH5232">
        <v>31.475441757357999</v>
      </c>
      <c r="AI5232">
        <v>92.003255077296998</v>
      </c>
      <c r="AJ5232">
        <v>84.597262022920503</v>
      </c>
      <c r="AK5232">
        <v>31.6352305435198</v>
      </c>
      <c r="AL5232">
        <v>77.432870926682895</v>
      </c>
      <c r="AM5232">
        <v>90.118234210029001</v>
      </c>
      <c r="AN5232">
        <v>0.99999992497342105</v>
      </c>
    </row>
    <row r="5233" spans="1:40" x14ac:dyDescent="0.3">
      <c r="A5233" t="str">
        <f>"20200111150156772"</f>
        <v>20200111150156772</v>
      </c>
      <c r="B5233" t="str">
        <f>"1578726116763870"</f>
        <v>1578726116763870</v>
      </c>
      <c r="C5233" t="s">
        <v>40</v>
      </c>
      <c r="D5233">
        <v>4.2637669999999996</v>
      </c>
      <c r="E5233">
        <v>0.53404090000000004</v>
      </c>
      <c r="F5233" t="s">
        <v>42</v>
      </c>
      <c r="G5233">
        <v>-117.267</v>
      </c>
      <c r="H5233" s="1">
        <v>-2.7040050000000002E-6</v>
      </c>
      <c r="I5233">
        <v>132.89680000000001</v>
      </c>
      <c r="J5233">
        <v>-145.81370000000001</v>
      </c>
      <c r="K5233">
        <v>1.105826</v>
      </c>
      <c r="L5233">
        <v>136.59039999999999</v>
      </c>
      <c r="M5233">
        <v>0.99926300000000001</v>
      </c>
      <c r="N5233">
        <v>0</v>
      </c>
      <c r="O5233">
        <v>-3.6466459999999999E-2</v>
      </c>
      <c r="P5233">
        <v>0.97829520000000003</v>
      </c>
      <c r="Q5233">
        <v>0.2041676</v>
      </c>
      <c r="R5233">
        <v>-3.5420599999999997E-2</v>
      </c>
      <c r="S5233">
        <v>3.0788570000000002</v>
      </c>
      <c r="T5233">
        <v>-0.1192337</v>
      </c>
      <c r="U5233">
        <v>-0.3982697</v>
      </c>
      <c r="V5233">
        <v>-2.7266559999999999E-4</v>
      </c>
      <c r="W5233">
        <v>0.21589910000000001</v>
      </c>
      <c r="X5233">
        <v>0.97641560000000005</v>
      </c>
      <c r="Y5233">
        <v>9.1993469999999994E-2</v>
      </c>
      <c r="Z5233">
        <v>-3.6836520000000002E-4</v>
      </c>
      <c r="AA5233">
        <v>0.99575950000000002</v>
      </c>
      <c r="AB5233">
        <v>1</v>
      </c>
      <c r="AC5233">
        <v>28.546700000000001</v>
      </c>
      <c r="AD5233">
        <v>-1.1058287040050001</v>
      </c>
      <c r="AE5233">
        <v>-3.6935999999999698</v>
      </c>
      <c r="AF5233">
        <v>2.6461656322255398</v>
      </c>
      <c r="AG5233">
        <v>-1.1058287040050001</v>
      </c>
      <c r="AH5233">
        <v>28.6201722359875</v>
      </c>
      <c r="AI5233">
        <v>92.203310505656503</v>
      </c>
      <c r="AJ5233">
        <v>84.717561455152193</v>
      </c>
      <c r="AK5233">
        <v>28.763506540291001</v>
      </c>
      <c r="AL5233">
        <v>77.531718629957197</v>
      </c>
      <c r="AM5233">
        <v>90.015999936596998</v>
      </c>
      <c r="AN5233">
        <v>0.99999995982534795</v>
      </c>
    </row>
    <row r="5234" spans="1:40" x14ac:dyDescent="0.3">
      <c r="A5234" t="str">
        <f>"20200111150156795"</f>
        <v>20200111150156795</v>
      </c>
      <c r="B5234" t="str">
        <f>"1578726116784366"</f>
        <v>1578726116784366</v>
      </c>
      <c r="C5234" t="s">
        <v>40</v>
      </c>
      <c r="D5234">
        <v>4.409815</v>
      </c>
      <c r="E5234">
        <v>0.53306980000000004</v>
      </c>
      <c r="F5234" t="s">
        <v>42</v>
      </c>
      <c r="G5234">
        <v>-119.7141</v>
      </c>
      <c r="H5234" s="1">
        <v>-1.788536E-6</v>
      </c>
      <c r="I5234">
        <v>133.20760000000001</v>
      </c>
      <c r="J5234">
        <v>-145.80500000000001</v>
      </c>
      <c r="K5234">
        <v>1.1057900000000001</v>
      </c>
      <c r="L5234">
        <v>136.59010000000001</v>
      </c>
      <c r="M5234">
        <v>0.99926380000000004</v>
      </c>
      <c r="N5234">
        <v>0</v>
      </c>
      <c r="O5234">
        <v>-3.6441910000000001E-2</v>
      </c>
      <c r="P5234">
        <v>0.97989079999999995</v>
      </c>
      <c r="Q5234">
        <v>0.1957103</v>
      </c>
      <c r="R5234">
        <v>-3.887885E-2</v>
      </c>
      <c r="S5234">
        <v>3.0793300000000001</v>
      </c>
      <c r="T5234">
        <v>-0.13046969999999999</v>
      </c>
      <c r="U5234">
        <v>-0.39910889999999999</v>
      </c>
      <c r="V5234">
        <v>3.1494660000000001E-3</v>
      </c>
      <c r="W5234">
        <v>0.20746310000000001</v>
      </c>
      <c r="X5234">
        <v>0.97823780000000005</v>
      </c>
      <c r="Y5234">
        <v>9.2257080000000005E-2</v>
      </c>
      <c r="Z5234">
        <v>-4.0957420000000002E-4</v>
      </c>
      <c r="AA5234">
        <v>0.99573509999999998</v>
      </c>
      <c r="AB5234">
        <v>1</v>
      </c>
      <c r="AC5234">
        <v>26.090900000000001</v>
      </c>
      <c r="AD5234">
        <v>-1.105791788536</v>
      </c>
      <c r="AE5234">
        <v>-3.3824999999999901</v>
      </c>
      <c r="AF5234">
        <v>2.4250982107763299</v>
      </c>
      <c r="AG5234">
        <v>-1.105791788536</v>
      </c>
      <c r="AH5234">
        <v>26.150644005083901</v>
      </c>
      <c r="AI5234">
        <v>92.411002706466107</v>
      </c>
      <c r="AJ5234">
        <v>84.701789294968194</v>
      </c>
      <c r="AK5234">
        <v>26.2861191257313</v>
      </c>
      <c r="AL5234">
        <v>78.026275592805703</v>
      </c>
      <c r="AM5234">
        <v>89.815535153065198</v>
      </c>
      <c r="AN5234">
        <v>1.0000000251732599</v>
      </c>
    </row>
    <row r="5235" spans="1:40" x14ac:dyDescent="0.3">
      <c r="A5235" t="str">
        <f>"20200111150156817"</f>
        <v>20200111150156817</v>
      </c>
      <c r="B5235" t="str">
        <f>"1578726116814622"</f>
        <v>1578726116814622</v>
      </c>
      <c r="C5235" t="s">
        <v>40</v>
      </c>
      <c r="D5235">
        <v>4.4473419999999999</v>
      </c>
      <c r="E5235">
        <v>0.53176780000000001</v>
      </c>
      <c r="F5235" t="s">
        <v>42</v>
      </c>
      <c r="G5235">
        <v>-125.2106</v>
      </c>
      <c r="H5235" s="1">
        <v>-3.1341889999999999E-6</v>
      </c>
      <c r="I5235">
        <v>133.9101</v>
      </c>
      <c r="J5235">
        <v>-145.79640000000001</v>
      </c>
      <c r="K5235">
        <v>1.105745</v>
      </c>
      <c r="L5235">
        <v>136.5899</v>
      </c>
      <c r="M5235">
        <v>0.99926470000000001</v>
      </c>
      <c r="N5235">
        <v>0</v>
      </c>
      <c r="O5235">
        <v>-3.6417709999999999E-2</v>
      </c>
      <c r="P5235">
        <v>0.98179280000000002</v>
      </c>
      <c r="Q5235">
        <v>0.18546670000000001</v>
      </c>
      <c r="R5235">
        <v>-4.1053520000000003E-2</v>
      </c>
      <c r="S5235">
        <v>3.0786899999999999</v>
      </c>
      <c r="T5235">
        <v>-0.16530629999999999</v>
      </c>
      <c r="U5235">
        <v>-0.40063480000000001</v>
      </c>
      <c r="V5235">
        <v>5.2766779999999999E-3</v>
      </c>
      <c r="W5235">
        <v>0.1972439</v>
      </c>
      <c r="X5235">
        <v>0.98034019999999999</v>
      </c>
      <c r="Y5235">
        <v>9.2762380000000005E-2</v>
      </c>
      <c r="Z5235">
        <v>-5.3368090000000001E-4</v>
      </c>
      <c r="AA5235">
        <v>0.99568809999999996</v>
      </c>
      <c r="AB5235">
        <v>1</v>
      </c>
      <c r="AC5235">
        <v>20.585799999999999</v>
      </c>
      <c r="AD5235">
        <v>-1.1057481341890001</v>
      </c>
      <c r="AE5235">
        <v>-2.6798000000000002</v>
      </c>
      <c r="AF5235">
        <v>1.9228252041046401</v>
      </c>
      <c r="AG5235">
        <v>-1.1057481341890001</v>
      </c>
      <c r="AH5235">
        <v>20.611264941919199</v>
      </c>
      <c r="AI5235">
        <v>93.057595280421495</v>
      </c>
      <c r="AJ5235">
        <v>84.670301683661606</v>
      </c>
      <c r="AK5235">
        <v>20.730272024452301</v>
      </c>
      <c r="AL5235">
        <v>78.624163576730794</v>
      </c>
      <c r="AM5235">
        <v>89.6916086276389</v>
      </c>
      <c r="AN5235">
        <v>0.99999995357698102</v>
      </c>
    </row>
    <row r="5236" spans="1:40" x14ac:dyDescent="0.3">
      <c r="A5236" t="str">
        <f>"20200111150156840"</f>
        <v>20200111150156840</v>
      </c>
      <c r="B5236" t="str">
        <f>"1578726116834142"</f>
        <v>1578726116834142</v>
      </c>
      <c r="C5236" t="s">
        <v>40</v>
      </c>
      <c r="D5236">
        <v>4.4750620000000003</v>
      </c>
      <c r="E5236">
        <v>0.53094010000000003</v>
      </c>
      <c r="F5236" t="s">
        <v>42</v>
      </c>
      <c r="G5236">
        <v>-128.77789999999999</v>
      </c>
      <c r="H5236" s="1">
        <v>-1.79399E-6</v>
      </c>
      <c r="I5236">
        <v>134.3845</v>
      </c>
      <c r="J5236">
        <v>-145.7876</v>
      </c>
      <c r="K5236">
        <v>1.10571</v>
      </c>
      <c r="L5236">
        <v>136.58959999999999</v>
      </c>
      <c r="M5236">
        <v>0.99926559999999998</v>
      </c>
      <c r="N5236">
        <v>0</v>
      </c>
      <c r="O5236">
        <v>-3.6393040000000001E-2</v>
      </c>
      <c r="P5236">
        <v>0.98383100000000001</v>
      </c>
      <c r="Q5236">
        <v>0.17410419999999999</v>
      </c>
      <c r="R5236">
        <v>-4.2004060000000003E-2</v>
      </c>
      <c r="S5236">
        <v>3.076721</v>
      </c>
      <c r="T5236">
        <v>-0.1999041</v>
      </c>
      <c r="U5236">
        <v>-0.39869690000000002</v>
      </c>
      <c r="V5236">
        <v>6.1763850000000004E-3</v>
      </c>
      <c r="W5236">
        <v>0.18590699999999999</v>
      </c>
      <c r="X5236">
        <v>0.98254790000000003</v>
      </c>
      <c r="Y5236">
        <v>9.2215859999999997E-2</v>
      </c>
      <c r="Z5236">
        <v>-6.2952419999999997E-4</v>
      </c>
      <c r="AA5236">
        <v>0.99573889999999998</v>
      </c>
      <c r="AB5236">
        <v>1</v>
      </c>
      <c r="AC5236">
        <v>17.009699999999999</v>
      </c>
      <c r="AD5236">
        <v>-1.1057117939899901</v>
      </c>
      <c r="AE5236">
        <v>-2.2050999999999799</v>
      </c>
      <c r="AF5236">
        <v>1.5780019935065099</v>
      </c>
      <c r="AG5236">
        <v>-1.1057117939899901</v>
      </c>
      <c r="AH5236">
        <v>17.0080049151242</v>
      </c>
      <c r="AI5236">
        <v>93.703773744728494</v>
      </c>
      <c r="AJ5236">
        <v>84.699274946370906</v>
      </c>
      <c r="AK5236">
        <v>17.1168022730815</v>
      </c>
      <c r="AL5236">
        <v>79.285982594230106</v>
      </c>
      <c r="AM5236">
        <v>89.639838289750102</v>
      </c>
      <c r="AN5236">
        <v>0.99999996808753799</v>
      </c>
    </row>
    <row r="5237" spans="1:40" x14ac:dyDescent="0.3">
      <c r="A5237" t="str">
        <f>"20200111150156862"</f>
        <v>20200111150156862</v>
      </c>
      <c r="B5237" t="str">
        <f>"1578726116854638"</f>
        <v>1578726116854638</v>
      </c>
      <c r="C5237" t="s">
        <v>40</v>
      </c>
      <c r="D5237">
        <v>4.4414239999999996</v>
      </c>
      <c r="E5237">
        <v>0.52999770000000002</v>
      </c>
      <c r="F5237" t="s">
        <v>41</v>
      </c>
      <c r="G5237">
        <v>-145.05410000000001</v>
      </c>
      <c r="H5237">
        <v>1.0483830000000001</v>
      </c>
      <c r="I5237">
        <v>136.49449999999999</v>
      </c>
      <c r="J5237">
        <v>-145.77930000000001</v>
      </c>
      <c r="K5237">
        <v>1.1056820000000001</v>
      </c>
      <c r="L5237">
        <v>136.58940000000001</v>
      </c>
      <c r="M5237">
        <v>0.9992664</v>
      </c>
      <c r="N5237">
        <v>0</v>
      </c>
      <c r="O5237">
        <v>-3.6369909999999998E-2</v>
      </c>
      <c r="P5237">
        <v>0.9850371</v>
      </c>
      <c r="Q5237">
        <v>0.16682649999999999</v>
      </c>
      <c r="R5237">
        <v>-4.3257429999999999E-2</v>
      </c>
      <c r="S5237">
        <v>3.0748600000000001</v>
      </c>
      <c r="T5237">
        <v>-0.24038080000000001</v>
      </c>
      <c r="U5237">
        <v>-0.39833069999999998</v>
      </c>
      <c r="V5237">
        <v>7.4073230000000004E-3</v>
      </c>
      <c r="W5237">
        <v>0.178645</v>
      </c>
      <c r="X5237">
        <v>0.98388569999999997</v>
      </c>
      <c r="Y5237">
        <v>9.2147510000000002E-2</v>
      </c>
      <c r="Z5237">
        <v>-7.5623490000000003E-4</v>
      </c>
      <c r="AA5237">
        <v>0.99574510000000005</v>
      </c>
      <c r="AB5237">
        <v>1</v>
      </c>
      <c r="AC5237">
        <v>0.72520000000000095</v>
      </c>
      <c r="AD5237">
        <v>-5.7298999999999899E-2</v>
      </c>
      <c r="AE5237">
        <v>-9.4900000000023896E-2</v>
      </c>
      <c r="AF5237">
        <v>6.80422266370585E-2</v>
      </c>
      <c r="AG5237">
        <v>-5.7298999999999899E-2</v>
      </c>
      <c r="AH5237">
        <v>0.72372986458882704</v>
      </c>
      <c r="AI5237">
        <v>94.506975498308194</v>
      </c>
      <c r="AJ5237">
        <v>84.629064323367402</v>
      </c>
      <c r="AK5237">
        <v>0.72917613572064299</v>
      </c>
      <c r="AL5237">
        <v>79.7091550376729</v>
      </c>
      <c r="AM5237">
        <v>89.568648749431702</v>
      </c>
      <c r="AN5237">
        <v>0.99999998756175801</v>
      </c>
    </row>
    <row r="5238" spans="1:40" x14ac:dyDescent="0.3">
      <c r="A5238" t="str">
        <f>"20200111150156884"</f>
        <v>20200111150156884</v>
      </c>
      <c r="B5238" t="str">
        <f>"1578726116874158"</f>
        <v>1578726116874158</v>
      </c>
      <c r="C5238" t="s">
        <v>40</v>
      </c>
      <c r="D5238">
        <v>4.6352880000000001</v>
      </c>
      <c r="E5238">
        <v>0.52916890000000005</v>
      </c>
      <c r="F5238" t="s">
        <v>41</v>
      </c>
      <c r="G5238">
        <v>-145.05009999999999</v>
      </c>
      <c r="H5238">
        <v>1.0434589999999999</v>
      </c>
      <c r="I5238">
        <v>136.49590000000001</v>
      </c>
      <c r="J5238">
        <v>-145.77080000000001</v>
      </c>
      <c r="K5238">
        <v>1.105666</v>
      </c>
      <c r="L5238">
        <v>136.5891</v>
      </c>
      <c r="M5238">
        <v>0.99926729999999997</v>
      </c>
      <c r="N5238">
        <v>0</v>
      </c>
      <c r="O5238">
        <v>-3.6345469999999998E-2</v>
      </c>
      <c r="P5238">
        <v>0.98526670000000005</v>
      </c>
      <c r="Q5238">
        <v>0.16535069999999999</v>
      </c>
      <c r="R5238">
        <v>-4.3690350000000003E-2</v>
      </c>
      <c r="S5238">
        <v>3.0727229999999999</v>
      </c>
      <c r="T5238">
        <v>-0.26235449999999999</v>
      </c>
      <c r="U5238">
        <v>-0.39303589999999999</v>
      </c>
      <c r="V5238">
        <v>7.8557980000000006E-3</v>
      </c>
      <c r="W5238">
        <v>0.1771721</v>
      </c>
      <c r="X5238">
        <v>0.98414849999999998</v>
      </c>
      <c r="Y5238">
        <v>9.0545490000000006E-2</v>
      </c>
      <c r="Z5238">
        <v>-7.598409E-4</v>
      </c>
      <c r="AA5238">
        <v>0.995892</v>
      </c>
      <c r="AB5238">
        <v>1</v>
      </c>
      <c r="AC5238">
        <v>0.72070000000002199</v>
      </c>
      <c r="AD5238">
        <v>-6.2207000000000102E-2</v>
      </c>
      <c r="AE5238">
        <v>-9.3199999999995897E-2</v>
      </c>
      <c r="AF5238">
        <v>6.6455383805270093E-2</v>
      </c>
      <c r="AG5238">
        <v>-6.2207000000000102E-2</v>
      </c>
      <c r="AH5238">
        <v>0.71834757236388003</v>
      </c>
      <c r="AI5238">
        <v>94.928375624166094</v>
      </c>
      <c r="AJ5238">
        <v>84.714527782128002</v>
      </c>
      <c r="AK5238">
        <v>0.72409202702887498</v>
      </c>
      <c r="AL5238">
        <v>79.794913914921096</v>
      </c>
      <c r="AM5238">
        <v>89.542655899364902</v>
      </c>
      <c r="AN5238">
        <v>0.999999968316437</v>
      </c>
    </row>
    <row r="5239" spans="1:40" x14ac:dyDescent="0.3">
      <c r="A5239" t="str">
        <f>"20200111150156907"</f>
        <v>20200111150156907</v>
      </c>
      <c r="B5239" t="str">
        <f>"1578726116904414"</f>
        <v>1578726116904414</v>
      </c>
      <c r="C5239" t="s">
        <v>40</v>
      </c>
      <c r="D5239">
        <v>4.5284110000000002</v>
      </c>
      <c r="E5239">
        <v>0.49521700000000002</v>
      </c>
      <c r="F5239" t="s">
        <v>41</v>
      </c>
      <c r="G5239">
        <v>-145.0427</v>
      </c>
      <c r="H5239">
        <v>1.043137</v>
      </c>
      <c r="I5239">
        <v>136.4975</v>
      </c>
      <c r="J5239">
        <v>-145.76240000000001</v>
      </c>
      <c r="K5239">
        <v>1.105669</v>
      </c>
      <c r="L5239">
        <v>136.5889</v>
      </c>
      <c r="M5239">
        <v>0.99926809999999999</v>
      </c>
      <c r="N5239">
        <v>0</v>
      </c>
      <c r="O5239">
        <v>-3.6321760000000002E-2</v>
      </c>
      <c r="P5239">
        <v>0.98548500000000006</v>
      </c>
      <c r="Q5239">
        <v>0.1647845</v>
      </c>
      <c r="R5239">
        <v>-4.0810350000000002E-2</v>
      </c>
      <c r="S5239">
        <v>3.0720209999999999</v>
      </c>
      <c r="T5239">
        <v>-0.26394770000000001</v>
      </c>
      <c r="U5239">
        <v>-0.38595580000000002</v>
      </c>
      <c r="V5239">
        <v>4.9932079999999998E-3</v>
      </c>
      <c r="W5239">
        <v>0.1766075</v>
      </c>
      <c r="X5239">
        <v>0.9842687</v>
      </c>
      <c r="Y5239">
        <v>8.8344000000000006E-2</v>
      </c>
      <c r="Z5239">
        <v>-6.7267779999999897E-4</v>
      </c>
      <c r="AA5239">
        <v>0.99608980000000003</v>
      </c>
      <c r="AB5239">
        <v>1</v>
      </c>
      <c r="AC5239">
        <v>0.71970000000001699</v>
      </c>
      <c r="AD5239">
        <v>-6.2532000000000004E-2</v>
      </c>
      <c r="AE5239">
        <v>-9.1399999999993001E-2</v>
      </c>
      <c r="AF5239">
        <v>6.4716225841017702E-2</v>
      </c>
      <c r="AG5239">
        <v>-6.2532000000000004E-2</v>
      </c>
      <c r="AH5239">
        <v>0.71721660257994901</v>
      </c>
      <c r="AI5239">
        <v>94.962788656087199</v>
      </c>
      <c r="AJ5239">
        <v>84.844023167159705</v>
      </c>
      <c r="AK5239">
        <v>0.72284029766431102</v>
      </c>
      <c r="AL5239">
        <v>79.827781814941602</v>
      </c>
      <c r="AM5239">
        <v>89.709340253884307</v>
      </c>
      <c r="AN5239">
        <v>1.00000000749103</v>
      </c>
    </row>
    <row r="5240" spans="1:40" x14ac:dyDescent="0.3">
      <c r="A5240" t="str">
        <f>"20200111150156929"</f>
        <v>20200111150156929</v>
      </c>
      <c r="B5240" t="str">
        <f>"1578726116923934"</f>
        <v>1578726116923934</v>
      </c>
      <c r="C5240" t="s">
        <v>40</v>
      </c>
      <c r="D5240">
        <v>4.5943160000000001</v>
      </c>
      <c r="E5240">
        <v>0.48032520000000001</v>
      </c>
      <c r="F5240" t="s">
        <v>41</v>
      </c>
      <c r="G5240">
        <v>-145.03389999999999</v>
      </c>
      <c r="H5240">
        <v>1.0361309999999999</v>
      </c>
      <c r="I5240">
        <v>136.5625</v>
      </c>
      <c r="J5240">
        <v>-145.75409999999999</v>
      </c>
      <c r="K5240">
        <v>1.1056589999999999</v>
      </c>
      <c r="L5240">
        <v>136.58860000000001</v>
      </c>
      <c r="M5240">
        <v>0.99926890000000002</v>
      </c>
      <c r="N5240">
        <v>0</v>
      </c>
      <c r="O5240">
        <v>-3.6298270000000001E-2</v>
      </c>
      <c r="P5240">
        <v>0.98617140000000003</v>
      </c>
      <c r="Q5240">
        <v>0.1614756</v>
      </c>
      <c r="R5240">
        <v>-3.7300800000000002E-2</v>
      </c>
      <c r="S5240">
        <v>3.0889129999999998</v>
      </c>
      <c r="T5240">
        <v>-0.29495290000000002</v>
      </c>
      <c r="U5240">
        <v>-0.11114499999999999</v>
      </c>
      <c r="V5240">
        <v>1.4842049999999999E-3</v>
      </c>
      <c r="W5240">
        <v>0.1733056</v>
      </c>
      <c r="X5240">
        <v>0.98486700000000005</v>
      </c>
      <c r="Y5240">
        <v>-1.7685770000000001E-4</v>
      </c>
      <c r="Z5240">
        <v>3.4645959999999999E-3</v>
      </c>
      <c r="AA5240">
        <v>0.99999400000000005</v>
      </c>
      <c r="AB5240">
        <v>1</v>
      </c>
      <c r="AC5240">
        <v>0.72020000000000495</v>
      </c>
      <c r="AD5240">
        <v>-6.9528000000000006E-2</v>
      </c>
      <c r="AE5240">
        <v>-2.6100000000013699E-2</v>
      </c>
      <c r="AF5240" s="1">
        <v>-6.0536707809186097E-5</v>
      </c>
      <c r="AG5240">
        <v>-6.9528000000000006E-2</v>
      </c>
      <c r="AH5240">
        <v>0.71402681277801805</v>
      </c>
      <c r="AI5240">
        <v>95.561613755142204</v>
      </c>
      <c r="AJ5240">
        <v>90.004857657713501</v>
      </c>
      <c r="AK5240">
        <v>0.71740395581194505</v>
      </c>
      <c r="AL5240">
        <v>80.019930650545405</v>
      </c>
      <c r="AM5240">
        <v>89.913654718803897</v>
      </c>
      <c r="AN5240">
        <v>1.00000002077242</v>
      </c>
    </row>
    <row r="5241" spans="1:40" x14ac:dyDescent="0.3">
      <c r="A5241" t="str">
        <f>"20200111150156952"</f>
        <v>20200111150156952</v>
      </c>
      <c r="B5241" t="str">
        <f>"1578726116944430"</f>
        <v>1578726116944430</v>
      </c>
      <c r="C5241" t="s">
        <v>40</v>
      </c>
      <c r="D5241">
        <v>4.5509440000000003</v>
      </c>
      <c r="E5241">
        <v>0.47973559999999998</v>
      </c>
      <c r="F5241" t="s">
        <v>41</v>
      </c>
      <c r="G5241">
        <v>-145.0633</v>
      </c>
      <c r="H5241">
        <v>0.9595072</v>
      </c>
      <c r="I5241">
        <v>136.5882</v>
      </c>
      <c r="J5241">
        <v>-145.7458</v>
      </c>
      <c r="K5241">
        <v>1.1056239999999999</v>
      </c>
      <c r="L5241">
        <v>136.58840000000001</v>
      </c>
      <c r="M5241">
        <v>0.99926990000000004</v>
      </c>
      <c r="N5241">
        <v>0</v>
      </c>
      <c r="O5241">
        <v>-3.6275139999999997E-2</v>
      </c>
      <c r="P5241">
        <v>0.98699440000000005</v>
      </c>
      <c r="Q5241">
        <v>0.1566022</v>
      </c>
      <c r="R5241">
        <v>-3.6304250000000003E-2</v>
      </c>
      <c r="S5241">
        <v>3.1511689999999999</v>
      </c>
      <c r="T5241">
        <v>-0.66677869999999995</v>
      </c>
      <c r="U5241">
        <v>-1.7242430000000001E-3</v>
      </c>
      <c r="V5241">
        <v>4.8103140000000001E-4</v>
      </c>
      <c r="W5241">
        <v>0.16844200000000001</v>
      </c>
      <c r="X5241">
        <v>0.98571149999999996</v>
      </c>
      <c r="Y5241">
        <v>-3.4171350000000003E-2</v>
      </c>
      <c r="Z5241">
        <v>1.116663E-2</v>
      </c>
      <c r="AA5241">
        <v>0.99935359999999995</v>
      </c>
      <c r="AB5241">
        <v>1</v>
      </c>
      <c r="AC5241">
        <v>0.68250000000000399</v>
      </c>
      <c r="AD5241">
        <v>-0.14611679999999899</v>
      </c>
      <c r="AE5241">
        <v>-2.0000000000663901E-4</v>
      </c>
      <c r="AF5241">
        <v>-2.3483341438891001E-2</v>
      </c>
      <c r="AG5241">
        <v>-0.14611679999999899</v>
      </c>
      <c r="AH5241">
        <v>0.65216611987798701</v>
      </c>
      <c r="AI5241">
        <v>102.620562550046</v>
      </c>
      <c r="AJ5241">
        <v>92.062228080220393</v>
      </c>
      <c r="AK5241">
        <v>0.66874676409242095</v>
      </c>
      <c r="AL5241">
        <v>80.302754500242997</v>
      </c>
      <c r="AM5241">
        <v>89.972039418384199</v>
      </c>
      <c r="AN5241">
        <v>1.0000000499937201</v>
      </c>
    </row>
    <row r="5242" spans="1:40" x14ac:dyDescent="0.3">
      <c r="A5242" t="str">
        <f>"20200111150156973"</f>
        <v>20200111150156973</v>
      </c>
      <c r="B5242" t="str">
        <f>"1578726116963950"</f>
        <v>1578726116963950</v>
      </c>
      <c r="C5242" t="s">
        <v>40</v>
      </c>
      <c r="D5242">
        <v>4.512664</v>
      </c>
      <c r="E5242">
        <v>0.4796687</v>
      </c>
      <c r="F5242" t="s">
        <v>41</v>
      </c>
      <c r="G5242">
        <v>-145.05940000000001</v>
      </c>
      <c r="H5242">
        <v>0.95200510000000005</v>
      </c>
      <c r="I5242">
        <v>136.58940000000001</v>
      </c>
      <c r="J5242">
        <v>-145.73769999999999</v>
      </c>
      <c r="K5242">
        <v>1.105602</v>
      </c>
      <c r="L5242">
        <v>136.5882</v>
      </c>
      <c r="M5242">
        <v>0.99927060000000001</v>
      </c>
      <c r="N5242">
        <v>0</v>
      </c>
      <c r="O5242">
        <v>-3.6252609999999998E-2</v>
      </c>
      <c r="P5242">
        <v>0.98726449999999999</v>
      </c>
      <c r="Q5242">
        <v>0.15498299999999901</v>
      </c>
      <c r="R5242">
        <v>-3.5908099999999998E-2</v>
      </c>
      <c r="S5242">
        <v>3.1516419999999998</v>
      </c>
      <c r="T5242">
        <v>-0.70544099999999998</v>
      </c>
      <c r="U5242">
        <v>5.2642820000000003E-3</v>
      </c>
      <c r="V5242" s="1">
        <v>9.7367210000000006E-5</v>
      </c>
      <c r="W5242">
        <v>0.166825799999999</v>
      </c>
      <c r="X5242">
        <v>0.98598640000000004</v>
      </c>
      <c r="Y5242">
        <v>-3.6133470000000001E-2</v>
      </c>
      <c r="Z5242">
        <v>1.200916E-2</v>
      </c>
      <c r="AA5242">
        <v>0.99927480000000002</v>
      </c>
      <c r="AB5242">
        <v>1</v>
      </c>
      <c r="AC5242">
        <v>0.67829999999997803</v>
      </c>
      <c r="AD5242">
        <v>-0.15359690000000001</v>
      </c>
      <c r="AE5242">
        <v>1.20000000001141E-3</v>
      </c>
      <c r="AF5242">
        <v>-2.4533148869170501E-2</v>
      </c>
      <c r="AG5242">
        <v>-0.15359690000000001</v>
      </c>
      <c r="AH5242">
        <v>0.64474991849955998</v>
      </c>
      <c r="AI5242">
        <v>103.390306358148</v>
      </c>
      <c r="AJ5242">
        <v>92.179089981981605</v>
      </c>
      <c r="AK5242">
        <v>0.66324681717158296</v>
      </c>
      <c r="AL5242">
        <v>80.396684827741694</v>
      </c>
      <c r="AM5242">
        <v>89.994341980601504</v>
      </c>
      <c r="AN5242">
        <v>1.0000000190054801</v>
      </c>
    </row>
    <row r="5243" spans="1:40" x14ac:dyDescent="0.3">
      <c r="A5243" t="str">
        <f>"20200111150156996"</f>
        <v>20200111150156996</v>
      </c>
      <c r="B5243" t="str">
        <f>"1578726116984446"</f>
        <v>1578726116984446</v>
      </c>
      <c r="C5243" t="s">
        <v>40</v>
      </c>
      <c r="D5243">
        <v>4.499085</v>
      </c>
      <c r="E5243">
        <v>0.4797149</v>
      </c>
      <c r="F5243" t="s">
        <v>41</v>
      </c>
      <c r="G5243">
        <v>-145.0532</v>
      </c>
      <c r="H5243">
        <v>0.94936670000000001</v>
      </c>
      <c r="I5243">
        <v>136.59049999999999</v>
      </c>
      <c r="J5243">
        <v>-145.7296</v>
      </c>
      <c r="K5243">
        <v>1.105591</v>
      </c>
      <c r="L5243">
        <v>136.58789999999999</v>
      </c>
      <c r="M5243">
        <v>0.99927149999999998</v>
      </c>
      <c r="N5243">
        <v>0</v>
      </c>
      <c r="O5243">
        <v>-3.6229610000000002E-2</v>
      </c>
      <c r="P5243">
        <v>0.98697820000000003</v>
      </c>
      <c r="Q5243">
        <v>0.15728490000000001</v>
      </c>
      <c r="R5243">
        <v>-3.3699279999999998E-2</v>
      </c>
      <c r="S5243">
        <v>3.1520540000000001</v>
      </c>
      <c r="T5243">
        <v>-0.71953199999999995</v>
      </c>
      <c r="U5243">
        <v>1.127625E-2</v>
      </c>
      <c r="V5243">
        <v>-2.0766159999999999E-3</v>
      </c>
      <c r="W5243">
        <v>0.16912349999999901</v>
      </c>
      <c r="X5243">
        <v>0.98559269999999999</v>
      </c>
      <c r="Y5243">
        <v>-3.7900349999999999E-2</v>
      </c>
      <c r="Z5243">
        <v>1.243548E-2</v>
      </c>
      <c r="AA5243">
        <v>0.99920419999999999</v>
      </c>
      <c r="AB5243">
        <v>1</v>
      </c>
      <c r="AC5243">
        <v>0.676400000000001</v>
      </c>
      <c r="AD5243">
        <v>-0.15622430000000001</v>
      </c>
      <c r="AE5243">
        <v>2.6000000000010398E-3</v>
      </c>
      <c r="AF5243">
        <v>-2.5733065935175999E-2</v>
      </c>
      <c r="AG5243">
        <v>-0.15622430000000001</v>
      </c>
      <c r="AH5243">
        <v>0.64163447977862198</v>
      </c>
      <c r="AI5243">
        <v>103.673462033093</v>
      </c>
      <c r="AJ5243">
        <v>92.296644558248403</v>
      </c>
      <c r="AK5243">
        <v>0.66088049466881504</v>
      </c>
      <c r="AL5243">
        <v>80.2631387856039</v>
      </c>
      <c r="AM5243">
        <v>90.1207204115899</v>
      </c>
      <c r="AN5243">
        <v>1.0000000204397701</v>
      </c>
    </row>
    <row r="5244" spans="1:40" x14ac:dyDescent="0.3">
      <c r="A5244" t="str">
        <f>"20200111150157019"</f>
        <v>20200111150157019</v>
      </c>
      <c r="B5244" t="str">
        <f>"1578726117014701"</f>
        <v>1578726117014701</v>
      </c>
      <c r="C5244" t="s">
        <v>40</v>
      </c>
      <c r="D5244">
        <v>4.475644</v>
      </c>
      <c r="E5244">
        <v>0.47888619999999998</v>
      </c>
      <c r="F5244" t="s">
        <v>41</v>
      </c>
      <c r="G5244">
        <v>-145.04509999999999</v>
      </c>
      <c r="H5244">
        <v>0.95119500000000001</v>
      </c>
      <c r="I5244">
        <v>136.5909</v>
      </c>
      <c r="J5244">
        <v>-145.72130000000001</v>
      </c>
      <c r="K5244">
        <v>1.1055919999999999</v>
      </c>
      <c r="L5244">
        <v>136.58770000000001</v>
      </c>
      <c r="M5244">
        <v>0.99927239999999995</v>
      </c>
      <c r="N5244">
        <v>0</v>
      </c>
      <c r="O5244">
        <v>-3.6206599999999999E-2</v>
      </c>
      <c r="P5244">
        <v>0.98718609999999896</v>
      </c>
      <c r="Q5244">
        <v>0.156448799999999</v>
      </c>
      <c r="R5244">
        <v>-3.1422039999999998E-2</v>
      </c>
      <c r="S5244">
        <v>3.1534420000000001</v>
      </c>
      <c r="T5244">
        <v>-0.71132910000000005</v>
      </c>
      <c r="U5244">
        <v>1.4068600000000001E-2</v>
      </c>
      <c r="V5244">
        <v>-4.3373090000000001E-3</v>
      </c>
      <c r="W5244">
        <v>0.168289299999999</v>
      </c>
      <c r="X5244">
        <v>0.9857281</v>
      </c>
      <c r="Y5244">
        <v>-3.8783239999999997E-2</v>
      </c>
      <c r="Z5244">
        <v>1.2385159999999999E-2</v>
      </c>
      <c r="AA5244">
        <v>0.99917089999999997</v>
      </c>
      <c r="AB5244">
        <v>1</v>
      </c>
      <c r="AC5244">
        <v>0.67620000000002201</v>
      </c>
      <c r="AD5244">
        <v>-0.15439699999999901</v>
      </c>
      <c r="AE5244">
        <v>3.19999999999254E-3</v>
      </c>
      <c r="AF5244">
        <v>-2.6310883503793001E-2</v>
      </c>
      <c r="AG5244">
        <v>-0.15439699999999901</v>
      </c>
      <c r="AH5244">
        <v>0.64216246363848795</v>
      </c>
      <c r="AI5244">
        <v>103.508267077234</v>
      </c>
      <c r="AJ5244">
        <v>92.346228486364396</v>
      </c>
      <c r="AK5244">
        <v>0.66098663065602303</v>
      </c>
      <c r="AL5244">
        <v>80.311629722072496</v>
      </c>
      <c r="AM5244">
        <v>90.252105926949</v>
      </c>
      <c r="AN5244">
        <v>0.99999999393673</v>
      </c>
    </row>
    <row r="5245" spans="1:40" x14ac:dyDescent="0.3">
      <c r="A5245" t="str">
        <f>"20200111150157042"</f>
        <v>20200111150157042</v>
      </c>
      <c r="B5245" t="str">
        <f>"1578726117034225"</f>
        <v>1578726117034225</v>
      </c>
      <c r="C5245" t="s">
        <v>40</v>
      </c>
      <c r="D5245">
        <v>4.3402500000000002</v>
      </c>
      <c r="E5245">
        <v>0.48006789999999999</v>
      </c>
      <c r="F5245" t="s">
        <v>41</v>
      </c>
      <c r="G5245">
        <v>-145.03559999999999</v>
      </c>
      <c r="H5245">
        <v>0.95555869999999998</v>
      </c>
      <c r="I5245">
        <v>136.5932</v>
      </c>
      <c r="J5245">
        <v>-145.7131</v>
      </c>
      <c r="K5245">
        <v>1.1055870000000001</v>
      </c>
      <c r="L5245">
        <v>136.58750000000001</v>
      </c>
      <c r="M5245">
        <v>0.99927319999999997</v>
      </c>
      <c r="N5245">
        <v>0</v>
      </c>
      <c r="O5245">
        <v>-3.6183710000000001E-2</v>
      </c>
      <c r="P5245">
        <v>0.98790370000000005</v>
      </c>
      <c r="Q5245">
        <v>0.15241729999999901</v>
      </c>
      <c r="R5245">
        <v>-2.855593E-2</v>
      </c>
      <c r="S5245">
        <v>3.148911</v>
      </c>
      <c r="T5245">
        <v>-0.68901290000000004</v>
      </c>
      <c r="U5245">
        <v>2.5360110000000002E-2</v>
      </c>
      <c r="V5245">
        <v>-7.2047379999999996E-3</v>
      </c>
      <c r="W5245">
        <v>0.16426479999999999</v>
      </c>
      <c r="X5245">
        <v>0.98638990000000004</v>
      </c>
      <c r="Y5245">
        <v>-4.2374820000000001E-2</v>
      </c>
      <c r="Z5245">
        <v>1.2405960000000001E-2</v>
      </c>
      <c r="AA5245">
        <v>0.99902469999999999</v>
      </c>
      <c r="AB5245">
        <v>1</v>
      </c>
      <c r="AC5245">
        <v>0.67750000000000898</v>
      </c>
      <c r="AD5245">
        <v>-0.1500283</v>
      </c>
      <c r="AE5245">
        <v>5.6999999999902597E-3</v>
      </c>
      <c r="AF5245">
        <v>-2.8800300288629201E-2</v>
      </c>
      <c r="AG5245">
        <v>-0.1500283</v>
      </c>
      <c r="AH5245">
        <v>0.645212679069055</v>
      </c>
      <c r="AI5245">
        <v>103.077536900358</v>
      </c>
      <c r="AJ5245">
        <v>92.555810010245295</v>
      </c>
      <c r="AK5245">
        <v>0.66305154349346895</v>
      </c>
      <c r="AL5245">
        <v>80.545471489663399</v>
      </c>
      <c r="AM5245">
        <v>90.418489421955101</v>
      </c>
      <c r="AN5245">
        <v>0.99999993379534702</v>
      </c>
    </row>
    <row r="5246" spans="1:40" x14ac:dyDescent="0.3">
      <c r="A5246" t="str">
        <f>"20200111150157063"</f>
        <v>20200111150157063</v>
      </c>
      <c r="B5246" t="str">
        <f>"1578726117054718"</f>
        <v>1578726117054718</v>
      </c>
      <c r="C5246" t="s">
        <v>40</v>
      </c>
      <c r="D5246">
        <v>4.3691199999999997</v>
      </c>
      <c r="E5246">
        <v>0.48112139999999998</v>
      </c>
      <c r="F5246" t="s">
        <v>41</v>
      </c>
      <c r="G5246">
        <v>-145.02170000000001</v>
      </c>
      <c r="H5246">
        <v>0.95460049999999996</v>
      </c>
      <c r="I5246">
        <v>136.59289999999999</v>
      </c>
      <c r="J5246">
        <v>-145.70529999999999</v>
      </c>
      <c r="K5246">
        <v>1.105564</v>
      </c>
      <c r="L5246">
        <v>136.5872</v>
      </c>
      <c r="M5246">
        <v>0.99927390000000005</v>
      </c>
      <c r="N5246">
        <v>0</v>
      </c>
      <c r="O5246">
        <v>-3.61613E-2</v>
      </c>
      <c r="P5246">
        <v>0.98872959999999999</v>
      </c>
      <c r="Q5246">
        <v>0.14770929999999999</v>
      </c>
      <c r="R5246">
        <v>-2.4413219999999999E-2</v>
      </c>
      <c r="S5246">
        <v>3.143402</v>
      </c>
      <c r="T5246">
        <v>-0.68646039999999997</v>
      </c>
      <c r="U5246">
        <v>2.496338E-2</v>
      </c>
      <c r="V5246">
        <v>-1.135306E-2</v>
      </c>
      <c r="W5246">
        <v>0.15956600000000001</v>
      </c>
      <c r="X5246">
        <v>0.98712200000000005</v>
      </c>
      <c r="Y5246">
        <v>-4.225106E-2</v>
      </c>
      <c r="Z5246">
        <v>1.236403E-2</v>
      </c>
      <c r="AA5246">
        <v>0.99903050000000004</v>
      </c>
      <c r="AB5246">
        <v>1</v>
      </c>
      <c r="AC5246">
        <v>0.683599999999984</v>
      </c>
      <c r="AD5246">
        <v>-0.1509635</v>
      </c>
      <c r="AE5246">
        <v>5.6999999999902597E-3</v>
      </c>
      <c r="AF5246">
        <v>-2.9003553782195199E-2</v>
      </c>
      <c r="AG5246">
        <v>-0.1509635</v>
      </c>
      <c r="AH5246">
        <v>0.651191260991973</v>
      </c>
      <c r="AI5246">
        <v>103.03964191113501</v>
      </c>
      <c r="AJ5246">
        <v>92.550224149859204</v>
      </c>
      <c r="AK5246">
        <v>0.66908986157059802</v>
      </c>
      <c r="AL5246">
        <v>80.818293984357695</v>
      </c>
      <c r="AM5246">
        <v>90.658939567303605</v>
      </c>
      <c r="AN5246">
        <v>1.0000000216056799</v>
      </c>
    </row>
    <row r="5247" spans="1:40" x14ac:dyDescent="0.3">
      <c r="A5247" t="str">
        <f>"20200111150157085"</f>
        <v>20200111150157085</v>
      </c>
      <c r="B5247" t="str">
        <f>"1578726117074238"</f>
        <v>1578726117074238</v>
      </c>
      <c r="C5247" t="s">
        <v>40</v>
      </c>
      <c r="D5247">
        <v>4.3165680000000002</v>
      </c>
      <c r="E5247">
        <v>0.4819889</v>
      </c>
      <c r="F5247" t="s">
        <v>41</v>
      </c>
      <c r="G5247">
        <v>-145.01499999999999</v>
      </c>
      <c r="H5247">
        <v>0.95363100000000001</v>
      </c>
      <c r="I5247">
        <v>136.59299999999999</v>
      </c>
      <c r="J5247">
        <v>-145.69730000000001</v>
      </c>
      <c r="K5247">
        <v>1.1055330000000001</v>
      </c>
      <c r="L5247">
        <v>136.58699999999999</v>
      </c>
      <c r="M5247">
        <v>0.99927469999999996</v>
      </c>
      <c r="N5247">
        <v>0</v>
      </c>
      <c r="O5247">
        <v>-3.6138900000000002E-2</v>
      </c>
      <c r="P5247">
        <v>0.9894944</v>
      </c>
      <c r="Q5247">
        <v>0.14317360000000001</v>
      </c>
      <c r="R5247">
        <v>-2.005405E-2</v>
      </c>
      <c r="S5247">
        <v>3.1380620000000001</v>
      </c>
      <c r="T5247">
        <v>-0.69084699999999999</v>
      </c>
      <c r="U5247">
        <v>2.7175899999999999E-2</v>
      </c>
      <c r="V5247">
        <v>-1.5715050000000001E-2</v>
      </c>
      <c r="W5247">
        <v>0.15503829999999999</v>
      </c>
      <c r="X5247">
        <v>0.98778350000000004</v>
      </c>
      <c r="Y5247">
        <v>-4.2901729999999999E-2</v>
      </c>
      <c r="Z5247">
        <v>1.2527780000000001E-2</v>
      </c>
      <c r="AA5247">
        <v>0.99900069999999996</v>
      </c>
      <c r="AB5247">
        <v>1</v>
      </c>
      <c r="AC5247">
        <v>0.682300000000026</v>
      </c>
      <c r="AD5247">
        <v>-0.15190200000000001</v>
      </c>
      <c r="AE5247">
        <v>5.9999999999717996E-3</v>
      </c>
      <c r="AF5247">
        <v>-2.9207848907025501E-2</v>
      </c>
      <c r="AG5247">
        <v>-0.15190200000000001</v>
      </c>
      <c r="AH5247">
        <v>0.64944981748284303</v>
      </c>
      <c r="AI5247">
        <v>103.15161819834501</v>
      </c>
      <c r="AJ5247">
        <v>92.575040494271505</v>
      </c>
      <c r="AK5247">
        <v>0.66761694216839196</v>
      </c>
      <c r="AL5247">
        <v>81.080982826908794</v>
      </c>
      <c r="AM5247">
        <v>90.911464996471693</v>
      </c>
      <c r="AN5247">
        <v>1.00000004006782</v>
      </c>
    </row>
    <row r="5248" spans="1:40" x14ac:dyDescent="0.3">
      <c r="A5248" t="str">
        <f>"20200111150157109"</f>
        <v>20200111150157109</v>
      </c>
      <c r="B5248" t="str">
        <f>"1578726117104495"</f>
        <v>1578726117104495</v>
      </c>
      <c r="C5248" t="s">
        <v>40</v>
      </c>
      <c r="D5248">
        <v>4.3243140000000002</v>
      </c>
      <c r="E5248">
        <v>0.48312739999999998</v>
      </c>
      <c r="F5248" t="s">
        <v>41</v>
      </c>
      <c r="G5248">
        <v>-145.00839999999999</v>
      </c>
      <c r="H5248">
        <v>0.95223449999999998</v>
      </c>
      <c r="I5248">
        <v>136.59540000000001</v>
      </c>
      <c r="J5248">
        <v>-145.6893</v>
      </c>
      <c r="K5248">
        <v>1.105505</v>
      </c>
      <c r="L5248">
        <v>136.58680000000001</v>
      </c>
      <c r="M5248">
        <v>0.99927560000000004</v>
      </c>
      <c r="N5248">
        <v>0</v>
      </c>
      <c r="O5248">
        <v>-3.6116370000000002E-2</v>
      </c>
      <c r="P5248">
        <v>0.99025439999999998</v>
      </c>
      <c r="Q5248">
        <v>0.13855429999999999</v>
      </c>
      <c r="R5248">
        <v>-1.4112039999999999E-2</v>
      </c>
      <c r="S5248">
        <v>3.1335600000000001</v>
      </c>
      <c r="T5248">
        <v>-0.69739069999999903</v>
      </c>
      <c r="U5248">
        <v>3.8589480000000002E-2</v>
      </c>
      <c r="V5248">
        <v>-2.1658509999999999E-2</v>
      </c>
      <c r="W5248">
        <v>0.15042529999999901</v>
      </c>
      <c r="X5248">
        <v>0.98838409999999999</v>
      </c>
      <c r="Y5248">
        <v>-4.6403519999999997E-2</v>
      </c>
      <c r="Z5248">
        <v>1.3041240000000001E-2</v>
      </c>
      <c r="AA5248">
        <v>0.99883759999999999</v>
      </c>
      <c r="AB5248">
        <v>1</v>
      </c>
      <c r="AC5248">
        <v>0.68090000000000805</v>
      </c>
      <c r="AD5248">
        <v>-0.153270499999999</v>
      </c>
      <c r="AE5248">
        <v>8.6000000000012698E-3</v>
      </c>
      <c r="AF5248">
        <v>-3.1587511787076701E-2</v>
      </c>
      <c r="AG5248">
        <v>-0.153270499999999</v>
      </c>
      <c r="AH5248">
        <v>0.64734916913217</v>
      </c>
      <c r="AI5248">
        <v>103.305155077523</v>
      </c>
      <c r="AJ5248">
        <v>92.793541510291305</v>
      </c>
      <c r="AK5248">
        <v>0.66599591879174402</v>
      </c>
      <c r="AL5248">
        <v>81.348425848889306</v>
      </c>
      <c r="AM5248">
        <v>91.255324367291095</v>
      </c>
      <c r="AN5248">
        <v>0.99999999553415997</v>
      </c>
    </row>
    <row r="5249" spans="1:40" x14ac:dyDescent="0.3">
      <c r="A5249" t="str">
        <f>"20200111150157131"</f>
        <v>20200111150157131</v>
      </c>
      <c r="B5249" t="str">
        <f>"1578726117124014"</f>
        <v>1578726117124014</v>
      </c>
      <c r="C5249" t="s">
        <v>40</v>
      </c>
      <c r="D5249">
        <v>4.2494750000000003</v>
      </c>
      <c r="E5249">
        <v>0.48390369999999999</v>
      </c>
      <c r="F5249" t="s">
        <v>41</v>
      </c>
      <c r="G5249">
        <v>-145.00139999999999</v>
      </c>
      <c r="H5249">
        <v>0.95176530000000004</v>
      </c>
      <c r="I5249">
        <v>136.5985</v>
      </c>
      <c r="J5249">
        <v>-145.6814</v>
      </c>
      <c r="K5249">
        <v>1.1054870000000001</v>
      </c>
      <c r="L5249">
        <v>136.5865</v>
      </c>
      <c r="M5249">
        <v>0.99927650000000001</v>
      </c>
      <c r="N5249">
        <v>0</v>
      </c>
      <c r="O5249">
        <v>-3.6094429999999997E-2</v>
      </c>
      <c r="P5249">
        <v>0.99073069999999996</v>
      </c>
      <c r="Q5249">
        <v>0.13565199999999999</v>
      </c>
      <c r="R5249">
        <v>-7.1839599999999997E-3</v>
      </c>
      <c r="S5249">
        <v>3.1281430000000001</v>
      </c>
      <c r="T5249">
        <v>-0.69925869999999901</v>
      </c>
      <c r="U5249">
        <v>5.4534909999999999E-2</v>
      </c>
      <c r="V5249">
        <v>-2.857788E-2</v>
      </c>
      <c r="W5249">
        <v>0.1475264</v>
      </c>
      <c r="X5249">
        <v>0.9886452</v>
      </c>
      <c r="Y5249">
        <v>-5.135348E-2</v>
      </c>
      <c r="Z5249">
        <v>1.363876E-2</v>
      </c>
      <c r="AA5249">
        <v>0.99858740000000001</v>
      </c>
      <c r="AB5249">
        <v>1</v>
      </c>
      <c r="AC5249">
        <v>0.68000000000000604</v>
      </c>
      <c r="AD5249">
        <v>-0.15372169999999999</v>
      </c>
      <c r="AE5249">
        <v>1.2000000000000399E-2</v>
      </c>
      <c r="AF5249">
        <v>-3.4762228960242197E-2</v>
      </c>
      <c r="AG5249">
        <v>-0.15372169999999999</v>
      </c>
      <c r="AH5249">
        <v>0.64611506768990201</v>
      </c>
      <c r="AI5249">
        <v>103.364194592149</v>
      </c>
      <c r="AJ5249">
        <v>93.079653536376696</v>
      </c>
      <c r="AK5249">
        <v>0.66505898558631704</v>
      </c>
      <c r="AL5249">
        <v>81.5163953620943</v>
      </c>
      <c r="AM5249">
        <v>91.655736650529505</v>
      </c>
      <c r="AN5249">
        <v>1.0000000327026399</v>
      </c>
    </row>
    <row r="5250" spans="1:40" x14ac:dyDescent="0.3">
      <c r="A5250" t="str">
        <f>"20200111150157153"</f>
        <v>20200111150157153</v>
      </c>
      <c r="B5250" t="str">
        <f>"1578726117144510"</f>
        <v>1578726117144510</v>
      </c>
      <c r="C5250" t="s">
        <v>40</v>
      </c>
      <c r="D5250">
        <v>4.2765839999999997</v>
      </c>
      <c r="E5250">
        <v>0.48418070000000002</v>
      </c>
      <c r="F5250" t="s">
        <v>41</v>
      </c>
      <c r="G5250">
        <v>-144.99539999999999</v>
      </c>
      <c r="H5250">
        <v>0.94912870000000005</v>
      </c>
      <c r="I5250">
        <v>136.60149999999999</v>
      </c>
      <c r="J5250">
        <v>-145.6738</v>
      </c>
      <c r="K5250">
        <v>1.1054999999999999</v>
      </c>
      <c r="L5250">
        <v>136.58629999999999</v>
      </c>
      <c r="M5250">
        <v>0.99927719999999998</v>
      </c>
      <c r="N5250">
        <v>0</v>
      </c>
      <c r="O5250">
        <v>-3.6073090000000002E-2</v>
      </c>
      <c r="P5250">
        <v>0.99094249999999995</v>
      </c>
      <c r="Q5250">
        <v>0.13424410000000001</v>
      </c>
      <c r="R5250">
        <v>-3.391205E-3</v>
      </c>
      <c r="S5250">
        <v>3.1261139999999998</v>
      </c>
      <c r="T5250">
        <v>-0.71257630000000005</v>
      </c>
      <c r="U5250">
        <v>6.8496699999999994E-2</v>
      </c>
      <c r="V5250">
        <v>-3.2354470000000003E-2</v>
      </c>
      <c r="W5250">
        <v>0.1461199</v>
      </c>
      <c r="X5250">
        <v>0.98873759999999999</v>
      </c>
      <c r="Y5250">
        <v>-5.5607900000000002E-2</v>
      </c>
      <c r="Z5250">
        <v>1.4374339999999999E-2</v>
      </c>
      <c r="AA5250">
        <v>0.99834920000000005</v>
      </c>
      <c r="AB5250">
        <v>1</v>
      </c>
      <c r="AC5250">
        <v>0.67840000000001</v>
      </c>
      <c r="AD5250">
        <v>-0.15637129999999899</v>
      </c>
      <c r="AE5250">
        <v>1.51999999999929E-2</v>
      </c>
      <c r="AF5250">
        <v>-3.7663766027382799E-2</v>
      </c>
      <c r="AG5250">
        <v>-0.15637129999999899</v>
      </c>
      <c r="AH5250">
        <v>0.64325106691100198</v>
      </c>
      <c r="AI5250">
        <v>103.640815116437</v>
      </c>
      <c r="AJ5250">
        <v>93.350968074784703</v>
      </c>
      <c r="AK5250">
        <v>0.66305541081963704</v>
      </c>
      <c r="AL5250">
        <v>81.597863993703996</v>
      </c>
      <c r="AM5250">
        <v>91.874221566059902</v>
      </c>
      <c r="AN5250">
        <v>0.99999993927937303</v>
      </c>
    </row>
    <row r="5251" spans="1:40" x14ac:dyDescent="0.3">
      <c r="A5251" t="str">
        <f>"20200111150157175"</f>
        <v>20200111150157175</v>
      </c>
      <c r="B5251" t="str">
        <f>"1578726117164030"</f>
        <v>1578726117164030</v>
      </c>
      <c r="C5251" t="s">
        <v>40</v>
      </c>
      <c r="D5251">
        <v>4.244631</v>
      </c>
      <c r="E5251">
        <v>0.48464209999999902</v>
      </c>
      <c r="F5251" t="s">
        <v>41</v>
      </c>
      <c r="G5251">
        <v>-144.98769999999999</v>
      </c>
      <c r="H5251">
        <v>0.95048960000000005</v>
      </c>
      <c r="I5251">
        <v>136.6027</v>
      </c>
      <c r="J5251">
        <v>-145.666</v>
      </c>
      <c r="K5251">
        <v>1.105515</v>
      </c>
      <c r="L5251">
        <v>136.58609999999999</v>
      </c>
      <c r="M5251">
        <v>0.999278</v>
      </c>
      <c r="N5251">
        <v>0</v>
      </c>
      <c r="O5251">
        <v>-3.6051159999999999E-2</v>
      </c>
      <c r="P5251">
        <v>0.99039900000000003</v>
      </c>
      <c r="Q5251">
        <v>0.13823659999999999</v>
      </c>
      <c r="R5251">
        <v>-8.5653710000000002E-4</v>
      </c>
      <c r="S5251">
        <v>3.1232760000000002</v>
      </c>
      <c r="T5251">
        <v>-0.70581559999999999</v>
      </c>
      <c r="U5251">
        <v>7.5576779999999996E-2</v>
      </c>
      <c r="V5251">
        <v>-3.4845769999999998E-2</v>
      </c>
      <c r="W5251">
        <v>0.15010470000000001</v>
      </c>
      <c r="X5251">
        <v>0.98805580000000004</v>
      </c>
      <c r="Y5251">
        <v>-5.7851470000000002E-2</v>
      </c>
      <c r="Z5251">
        <v>1.4499089999999999E-2</v>
      </c>
      <c r="AA5251">
        <v>0.99821990000000005</v>
      </c>
      <c r="AB5251">
        <v>1</v>
      </c>
      <c r="AC5251">
        <v>0.67830000000000701</v>
      </c>
      <c r="AD5251">
        <v>-0.15502539999999901</v>
      </c>
      <c r="AE5251">
        <v>1.6600000000010998E-2</v>
      </c>
      <c r="AF5251">
        <v>-3.9008097072334699E-2</v>
      </c>
      <c r="AG5251">
        <v>-0.15502539999999901</v>
      </c>
      <c r="AH5251">
        <v>0.64365906796592298</v>
      </c>
      <c r="AI5251">
        <v>103.51789396263101</v>
      </c>
      <c r="AJ5251">
        <v>93.468092373886606</v>
      </c>
      <c r="AK5251">
        <v>0.66321301408908295</v>
      </c>
      <c r="AL5251">
        <v>81.3670054962504</v>
      </c>
      <c r="AM5251">
        <v>92.019813498547293</v>
      </c>
      <c r="AN5251">
        <v>0.99999995628131</v>
      </c>
    </row>
    <row r="5252" spans="1:40" x14ac:dyDescent="0.3">
      <c r="A5252" t="str">
        <f>"20200111150157198"</f>
        <v>20200111150157198</v>
      </c>
      <c r="B5252" t="str">
        <f>"1578726117194286"</f>
        <v>1578726117194286</v>
      </c>
      <c r="C5252" t="s">
        <v>40</v>
      </c>
      <c r="D5252">
        <v>4.2528670000000002</v>
      </c>
      <c r="E5252">
        <v>0.48514940000000001</v>
      </c>
      <c r="F5252" t="s">
        <v>41</v>
      </c>
      <c r="G5252">
        <v>-144.9786</v>
      </c>
      <c r="H5252">
        <v>0.95491490000000001</v>
      </c>
      <c r="I5252">
        <v>136.60499999999999</v>
      </c>
      <c r="J5252">
        <v>-145.6584</v>
      </c>
      <c r="K5252">
        <v>1.1055250000000001</v>
      </c>
      <c r="L5252">
        <v>136.58580000000001</v>
      </c>
      <c r="M5252">
        <v>0.99927880000000002</v>
      </c>
      <c r="N5252">
        <v>0</v>
      </c>
      <c r="O5252">
        <v>-3.6029579999999999E-2</v>
      </c>
      <c r="P5252">
        <v>0.99008549999999995</v>
      </c>
      <c r="Q5252">
        <v>0.1404511</v>
      </c>
      <c r="R5252">
        <v>2.1257479999999998E-3</v>
      </c>
      <c r="S5252">
        <v>3.1247099999999999</v>
      </c>
      <c r="T5252">
        <v>-0.68459399999999904</v>
      </c>
      <c r="U5252">
        <v>8.6395260000000001E-2</v>
      </c>
      <c r="V5252">
        <v>-3.7793350000000003E-2</v>
      </c>
      <c r="W5252">
        <v>0.1523139</v>
      </c>
      <c r="X5252">
        <v>0.98760930000000002</v>
      </c>
      <c r="Y5252">
        <v>-6.1331040000000003E-2</v>
      </c>
      <c r="Z5252">
        <v>1.443857E-2</v>
      </c>
      <c r="AA5252">
        <v>0.99801300000000004</v>
      </c>
      <c r="AB5252">
        <v>1</v>
      </c>
      <c r="AC5252">
        <v>0.67979999999999996</v>
      </c>
      <c r="AD5252">
        <v>-0.1506101</v>
      </c>
      <c r="AE5252">
        <v>1.9199999999983602E-2</v>
      </c>
      <c r="AF5252">
        <v>-4.16399472476255E-2</v>
      </c>
      <c r="AG5252">
        <v>-0.1506101</v>
      </c>
      <c r="AH5252">
        <v>0.64693734558808802</v>
      </c>
      <c r="AI5252">
        <v>103.079167107495</v>
      </c>
      <c r="AJ5252">
        <v>93.682747304563406</v>
      </c>
      <c r="AK5252">
        <v>0.66554129589782496</v>
      </c>
      <c r="AL5252">
        <v>81.238955621079896</v>
      </c>
      <c r="AM5252">
        <v>92.191497559838098</v>
      </c>
      <c r="AN5252">
        <v>0.99999999544196105</v>
      </c>
    </row>
    <row r="5253" spans="1:40" x14ac:dyDescent="0.3">
      <c r="A5253" t="str">
        <f>"20200111150157221"</f>
        <v>20200111150157221</v>
      </c>
      <c r="B5253" t="str">
        <f>"1578726117213809"</f>
        <v>1578726117213809</v>
      </c>
      <c r="C5253" t="s">
        <v>40</v>
      </c>
      <c r="D5253">
        <v>4.275792</v>
      </c>
      <c r="E5253">
        <v>0.48556500000000002</v>
      </c>
      <c r="F5253" t="s">
        <v>41</v>
      </c>
      <c r="G5253">
        <v>-144.97069999999999</v>
      </c>
      <c r="H5253">
        <v>0.95697750000000004</v>
      </c>
      <c r="I5253">
        <v>136.60579999999999</v>
      </c>
      <c r="J5253">
        <v>-145.65049999999999</v>
      </c>
      <c r="K5253">
        <v>1.105515</v>
      </c>
      <c r="L5253">
        <v>136.5856</v>
      </c>
      <c r="M5253">
        <v>0.99927960000000005</v>
      </c>
      <c r="N5253">
        <v>0</v>
      </c>
      <c r="O5253">
        <v>-3.6007409999999997E-2</v>
      </c>
      <c r="P5253">
        <v>0.99004519999999996</v>
      </c>
      <c r="Q5253">
        <v>0.140629799999999</v>
      </c>
      <c r="R5253">
        <v>5.8317710000000004E-3</v>
      </c>
      <c r="S5253">
        <v>3.1256409999999999</v>
      </c>
      <c r="T5253">
        <v>-0.67526730000000001</v>
      </c>
      <c r="U5253">
        <v>9.1033939999999994E-2</v>
      </c>
      <c r="V5253">
        <v>-4.1473650000000001E-2</v>
      </c>
      <c r="W5253">
        <v>0.15249070000000001</v>
      </c>
      <c r="X5253">
        <v>0.98743429999999999</v>
      </c>
      <c r="Y5253">
        <v>-6.2810119999999997E-2</v>
      </c>
      <c r="Z5253">
        <v>1.4395130000000001E-2</v>
      </c>
      <c r="AA5253">
        <v>0.99792159999999996</v>
      </c>
      <c r="AB5253">
        <v>1</v>
      </c>
      <c r="AC5253">
        <v>0.67979999999999996</v>
      </c>
      <c r="AD5253">
        <v>-0.14853749999999999</v>
      </c>
      <c r="AE5253">
        <v>2.0199999999988401E-2</v>
      </c>
      <c r="AF5253">
        <v>-4.2632869316595302E-2</v>
      </c>
      <c r="AG5253">
        <v>-0.14853749999999999</v>
      </c>
      <c r="AH5253">
        <v>0.64773419368759</v>
      </c>
      <c r="AI5253">
        <v>102.88872625328401</v>
      </c>
      <c r="AJ5253">
        <v>93.765688691616702</v>
      </c>
      <c r="AK5253">
        <v>0.66591330976676499</v>
      </c>
      <c r="AL5253">
        <v>81.228705922213194</v>
      </c>
      <c r="AM5253">
        <v>92.405090894992398</v>
      </c>
      <c r="AN5253">
        <v>0.999999987023651</v>
      </c>
    </row>
    <row r="5254" spans="1:40" x14ac:dyDescent="0.3">
      <c r="A5254" t="str">
        <f>"20200111150157242"</f>
        <v>20200111150157242</v>
      </c>
      <c r="B5254" t="str">
        <f>"1578726117234302"</f>
        <v>1578726117234302</v>
      </c>
      <c r="C5254" t="s">
        <v>40</v>
      </c>
      <c r="D5254">
        <v>4.2091789999999998</v>
      </c>
      <c r="E5254">
        <v>0.48612</v>
      </c>
      <c r="F5254" t="s">
        <v>41</v>
      </c>
      <c r="G5254">
        <v>-144.9572</v>
      </c>
      <c r="H5254">
        <v>0.95668880000000001</v>
      </c>
      <c r="I5254">
        <v>136.6069</v>
      </c>
      <c r="J5254">
        <v>-145.64320000000001</v>
      </c>
      <c r="K5254">
        <v>1.1054980000000001</v>
      </c>
      <c r="L5254">
        <v>136.58539999999999</v>
      </c>
      <c r="M5254">
        <v>0.99928019999999995</v>
      </c>
      <c r="N5254">
        <v>0</v>
      </c>
      <c r="O5254">
        <v>-3.5986549999999999E-2</v>
      </c>
      <c r="P5254">
        <v>0.99025110000000005</v>
      </c>
      <c r="Q5254">
        <v>0.13905499999999901</v>
      </c>
      <c r="R5254">
        <v>8.1565349999999995E-3</v>
      </c>
      <c r="S5254">
        <v>3.124908</v>
      </c>
      <c r="T5254">
        <v>-0.67090819999999995</v>
      </c>
      <c r="U5254">
        <v>9.7045900000000004E-2</v>
      </c>
      <c r="V5254">
        <v>-4.3783839999999997E-2</v>
      </c>
      <c r="W5254">
        <v>0.15091789999999999</v>
      </c>
      <c r="X5254">
        <v>0.98757620000000002</v>
      </c>
      <c r="Y5254">
        <v>-6.4699670000000001E-2</v>
      </c>
      <c r="Z5254">
        <v>1.450331E-2</v>
      </c>
      <c r="AA5254">
        <v>0.9977994</v>
      </c>
      <c r="AB5254">
        <v>1</v>
      </c>
      <c r="AC5254">
        <v>0.68600000000000705</v>
      </c>
      <c r="AD5254">
        <v>-0.148809199999999</v>
      </c>
      <c r="AE5254">
        <v>2.15000000000031E-2</v>
      </c>
      <c r="AF5254">
        <v>-4.4101440060892103E-2</v>
      </c>
      <c r="AG5254">
        <v>-0.148809199999999</v>
      </c>
      <c r="AH5254">
        <v>0.65403597380463396</v>
      </c>
      <c r="AI5254">
        <v>102.789896688697</v>
      </c>
      <c r="AJ5254">
        <v>93.857596942888506</v>
      </c>
      <c r="AK5254">
        <v>0.67219950167391496</v>
      </c>
      <c r="AL5254">
        <v>81.319876005448094</v>
      </c>
      <c r="AM5254">
        <v>92.538525693007102</v>
      </c>
      <c r="AN5254">
        <v>0.99999999399599704</v>
      </c>
    </row>
    <row r="5255" spans="1:40" x14ac:dyDescent="0.3">
      <c r="A5255" t="str">
        <f>"20200111150157264"</f>
        <v>20200111150157264</v>
      </c>
      <c r="B5255" t="str">
        <f>"1578726117253822"</f>
        <v>1578726117253822</v>
      </c>
      <c r="C5255" t="s">
        <v>40</v>
      </c>
      <c r="D5255">
        <v>4.1087610000000003</v>
      </c>
      <c r="E5255">
        <v>0.48638900000000002</v>
      </c>
      <c r="F5255" t="s">
        <v>41</v>
      </c>
      <c r="G5255">
        <v>-144.9503</v>
      </c>
      <c r="H5255">
        <v>0.95674930000000002</v>
      </c>
      <c r="I5255">
        <v>136.60759999999999</v>
      </c>
      <c r="J5255">
        <v>-145.63570000000001</v>
      </c>
      <c r="K5255">
        <v>1.1054839999999999</v>
      </c>
      <c r="L5255">
        <v>136.58519999999999</v>
      </c>
      <c r="M5255">
        <v>0.99928099999999997</v>
      </c>
      <c r="N5255">
        <v>0</v>
      </c>
      <c r="O5255">
        <v>-3.5965450000000003E-2</v>
      </c>
      <c r="P5255">
        <v>0.99078880000000003</v>
      </c>
      <c r="Q5255">
        <v>0.1348357</v>
      </c>
      <c r="R5255">
        <v>1.2531280000000001E-2</v>
      </c>
      <c r="S5255">
        <v>3.122849</v>
      </c>
      <c r="T5255">
        <v>-0.67042489999999999</v>
      </c>
      <c r="U5255">
        <v>0.1002045</v>
      </c>
      <c r="V5255">
        <v>-4.8154210000000003E-2</v>
      </c>
      <c r="W5255">
        <v>0.14670339999999901</v>
      </c>
      <c r="X5255">
        <v>0.98800770000000004</v>
      </c>
      <c r="Y5255">
        <v>-6.5685590000000002E-2</v>
      </c>
      <c r="Z5255">
        <v>1.460238E-2</v>
      </c>
      <c r="AA5255">
        <v>0.99773350000000005</v>
      </c>
      <c r="AB5255">
        <v>1</v>
      </c>
      <c r="AC5255">
        <v>0.685400000000015</v>
      </c>
      <c r="AD5255">
        <v>-0.148734699999999</v>
      </c>
      <c r="AE5255">
        <v>2.24000000000046E-2</v>
      </c>
      <c r="AF5255">
        <v>-4.4924714758674197E-2</v>
      </c>
      <c r="AG5255">
        <v>-0.148734699999999</v>
      </c>
      <c r="AH5255">
        <v>0.65341384684457005</v>
      </c>
      <c r="AI5255">
        <v>102.794364566434</v>
      </c>
      <c r="AJ5255">
        <v>93.933115574016597</v>
      </c>
      <c r="AK5255">
        <v>0.67163226264709497</v>
      </c>
      <c r="AL5255">
        <v>81.5640679283851</v>
      </c>
      <c r="AM5255">
        <v>92.790313728343804</v>
      </c>
      <c r="AN5255">
        <v>0.99999996538578595</v>
      </c>
    </row>
    <row r="5256" spans="1:40" x14ac:dyDescent="0.3">
      <c r="A5256" t="str">
        <f>"20200111150157287"</f>
        <v>20200111150157287</v>
      </c>
      <c r="B5256" t="str">
        <f>"1578726117284078"</f>
        <v>1578726117284078</v>
      </c>
      <c r="C5256" t="s">
        <v>40</v>
      </c>
      <c r="D5256">
        <v>4.152679</v>
      </c>
      <c r="E5256">
        <v>0.4875005</v>
      </c>
      <c r="F5256" t="s">
        <v>41</v>
      </c>
      <c r="G5256">
        <v>-144.94460000000001</v>
      </c>
      <c r="H5256">
        <v>0.95448840000000001</v>
      </c>
      <c r="I5256">
        <v>136.60900000000001</v>
      </c>
      <c r="J5256">
        <v>-145.6283</v>
      </c>
      <c r="K5256">
        <v>1.1054619999999999</v>
      </c>
      <c r="L5256">
        <v>136.58500000000001</v>
      </c>
      <c r="M5256">
        <v>0.9992818</v>
      </c>
      <c r="N5256">
        <v>0</v>
      </c>
      <c r="O5256">
        <v>-3.5944230000000001E-2</v>
      </c>
      <c r="P5256">
        <v>0.9911991</v>
      </c>
      <c r="Q5256">
        <v>0.13097800000000001</v>
      </c>
      <c r="R5256">
        <v>1.9212130000000001E-2</v>
      </c>
      <c r="S5256">
        <v>3.1192630000000001</v>
      </c>
      <c r="T5256">
        <v>-0.68161430000000001</v>
      </c>
      <c r="U5256">
        <v>0.1080475</v>
      </c>
      <c r="V5256">
        <v>-5.4824730000000002E-2</v>
      </c>
      <c r="W5256">
        <v>0.14284859999999999</v>
      </c>
      <c r="X5256">
        <v>0.98822489999999996</v>
      </c>
      <c r="Y5256">
        <v>-6.8068920000000005E-2</v>
      </c>
      <c r="Z5256">
        <v>1.510939E-2</v>
      </c>
      <c r="AA5256">
        <v>0.99756619999999996</v>
      </c>
      <c r="AB5256">
        <v>1</v>
      </c>
      <c r="AC5256">
        <v>0.68369999999998698</v>
      </c>
      <c r="AD5256">
        <v>-0.15097360000000001</v>
      </c>
      <c r="AE5256">
        <v>2.4000000000000899E-2</v>
      </c>
      <c r="AF5256">
        <v>-4.63061795690538E-2</v>
      </c>
      <c r="AG5256">
        <v>-0.15097360000000001</v>
      </c>
      <c r="AH5256">
        <v>0.65070552820520799</v>
      </c>
      <c r="AI5256">
        <v>103.030555544118</v>
      </c>
      <c r="AJ5256">
        <v>94.070479544892805</v>
      </c>
      <c r="AK5256">
        <v>0.66959314109394896</v>
      </c>
      <c r="AL5256">
        <v>81.787283536160501</v>
      </c>
      <c r="AM5256">
        <v>93.175399531533898</v>
      </c>
      <c r="AN5256">
        <v>0.99999996326077001</v>
      </c>
    </row>
    <row r="5257" spans="1:40" x14ac:dyDescent="0.3">
      <c r="A5257" t="str">
        <f>"20200111150157309"</f>
        <v>20200111150157309</v>
      </c>
      <c r="B5257" t="str">
        <f>"1578726117304574"</f>
        <v>1578726117304574</v>
      </c>
      <c r="C5257" t="s">
        <v>40</v>
      </c>
      <c r="D5257">
        <v>4.2962720000000001</v>
      </c>
      <c r="E5257">
        <v>0.48784240000000001</v>
      </c>
      <c r="F5257" t="s">
        <v>41</v>
      </c>
      <c r="G5257">
        <v>-144.9385</v>
      </c>
      <c r="H5257">
        <v>0.95300669999999998</v>
      </c>
      <c r="I5257">
        <v>136.61109999999999</v>
      </c>
      <c r="J5257">
        <v>-145.6208</v>
      </c>
      <c r="K5257">
        <v>1.105437</v>
      </c>
      <c r="L5257">
        <v>136.5847</v>
      </c>
      <c r="M5257">
        <v>0.99928260000000002</v>
      </c>
      <c r="N5257">
        <v>0</v>
      </c>
      <c r="O5257">
        <v>-3.592302E-2</v>
      </c>
      <c r="P5257">
        <v>0.99118059999999997</v>
      </c>
      <c r="Q5257">
        <v>0.12974069999999999</v>
      </c>
      <c r="R5257">
        <v>2.699097E-2</v>
      </c>
      <c r="S5257">
        <v>3.115326</v>
      </c>
      <c r="T5257">
        <v>-0.68858269999999899</v>
      </c>
      <c r="U5257">
        <v>0.11856079999999999</v>
      </c>
      <c r="V5257">
        <v>-6.2576900000000005E-2</v>
      </c>
      <c r="W5257">
        <v>0.14160780000000001</v>
      </c>
      <c r="X5257">
        <v>0.98794300000000002</v>
      </c>
      <c r="Y5257">
        <v>-7.1319419999999994E-2</v>
      </c>
      <c r="Z5257">
        <v>1.5628469999999998E-2</v>
      </c>
      <c r="AA5257">
        <v>0.99733110000000003</v>
      </c>
      <c r="AB5257">
        <v>1</v>
      </c>
      <c r="AC5257">
        <v>0.68229999999999702</v>
      </c>
      <c r="AD5257">
        <v>-0.15243029999999999</v>
      </c>
      <c r="AE5257">
        <v>2.6399999999995299E-2</v>
      </c>
      <c r="AF5257">
        <v>-4.8479003274402702E-2</v>
      </c>
      <c r="AG5257">
        <v>-0.15243029999999999</v>
      </c>
      <c r="AH5257">
        <v>0.64858815343855403</v>
      </c>
      <c r="AI5257">
        <v>103.19005992142</v>
      </c>
      <c r="AJ5257">
        <v>94.2746491038925</v>
      </c>
      <c r="AK5257">
        <v>0.66802081022779702</v>
      </c>
      <c r="AL5257">
        <v>81.859106641521805</v>
      </c>
      <c r="AM5257">
        <v>93.624307143647101</v>
      </c>
      <c r="AN5257">
        <v>1.0000000043417201</v>
      </c>
    </row>
    <row r="5258" spans="1:40" x14ac:dyDescent="0.3">
      <c r="A5258" t="str">
        <f>"20200111150157331"</f>
        <v>20200111150157331</v>
      </c>
      <c r="B5258" t="str">
        <f>"1578726117324094"</f>
        <v>1578726117324094</v>
      </c>
      <c r="C5258" t="s">
        <v>40</v>
      </c>
      <c r="D5258">
        <v>4.6518240000000004</v>
      </c>
      <c r="E5258">
        <v>0.51304519999999998</v>
      </c>
      <c r="F5258" t="s">
        <v>41</v>
      </c>
      <c r="G5258">
        <v>-144.93170000000001</v>
      </c>
      <c r="H5258">
        <v>0.95263710000000001</v>
      </c>
      <c r="I5258">
        <v>136.6155</v>
      </c>
      <c r="J5258">
        <v>-145.61340000000001</v>
      </c>
      <c r="K5258">
        <v>1.1054120000000001</v>
      </c>
      <c r="L5258">
        <v>136.58449999999999</v>
      </c>
      <c r="M5258">
        <v>0.99928340000000004</v>
      </c>
      <c r="N5258">
        <v>0</v>
      </c>
      <c r="O5258">
        <v>-3.5902030000000001E-2</v>
      </c>
      <c r="P5258">
        <v>0.99089130000000003</v>
      </c>
      <c r="Q5258">
        <v>0.1305743</v>
      </c>
      <c r="R5258">
        <v>3.2940039999999997E-2</v>
      </c>
      <c r="S5258">
        <v>3.1132659999999999</v>
      </c>
      <c r="T5258">
        <v>-0.69037579999999998</v>
      </c>
      <c r="U5258">
        <v>0.13945009999999999</v>
      </c>
      <c r="V5258">
        <v>-6.8490990000000002E-2</v>
      </c>
      <c r="W5258">
        <v>0.1424357</v>
      </c>
      <c r="X5258">
        <v>0.98743150000000002</v>
      </c>
      <c r="Y5258">
        <v>-7.7828939999999999E-2</v>
      </c>
      <c r="Z5258">
        <v>1.6384599999999999E-2</v>
      </c>
      <c r="AA5258">
        <v>0.9968321</v>
      </c>
      <c r="AB5258">
        <v>1</v>
      </c>
      <c r="AC5258">
        <v>0.68170000000000597</v>
      </c>
      <c r="AD5258">
        <v>-0.15277489999999999</v>
      </c>
      <c r="AE5258">
        <v>3.1000000000005901E-2</v>
      </c>
      <c r="AF5258">
        <v>-5.2809325314410502E-2</v>
      </c>
      <c r="AG5258">
        <v>-0.15277489999999999</v>
      </c>
      <c r="AH5258">
        <v>0.64768476357335703</v>
      </c>
      <c r="AI5258">
        <v>103.229888837492</v>
      </c>
      <c r="AJ5258">
        <v>94.661330849403299</v>
      </c>
      <c r="AK5258">
        <v>0.66755115749674898</v>
      </c>
      <c r="AL5258">
        <v>81.811185315245595</v>
      </c>
      <c r="AM5258">
        <v>93.967839117747005</v>
      </c>
      <c r="AN5258">
        <v>0.99999995576895895</v>
      </c>
    </row>
    <row r="5259" spans="1:40" x14ac:dyDescent="0.3">
      <c r="A5259" t="str">
        <f>"20200111150157353"</f>
        <v>20200111150157353</v>
      </c>
      <c r="B5259" t="str">
        <f>"1578726117344590"</f>
        <v>1578726117344590</v>
      </c>
      <c r="C5259" t="s">
        <v>40</v>
      </c>
      <c r="D5259">
        <v>4.4084180000000002</v>
      </c>
      <c r="E5259">
        <v>0.50595679999999998</v>
      </c>
      <c r="F5259" t="s">
        <v>41</v>
      </c>
      <c r="G5259">
        <v>-144.93100000000001</v>
      </c>
      <c r="H5259">
        <v>0.94682690000000003</v>
      </c>
      <c r="I5259">
        <v>136.5737</v>
      </c>
      <c r="J5259">
        <v>-145.6063</v>
      </c>
      <c r="K5259">
        <v>1.105397</v>
      </c>
      <c r="L5259">
        <v>136.58430000000001</v>
      </c>
      <c r="M5259">
        <v>0.99928399999999995</v>
      </c>
      <c r="N5259">
        <v>0</v>
      </c>
      <c r="O5259">
        <v>-3.588189E-2</v>
      </c>
      <c r="P5259">
        <v>0.99064240000000003</v>
      </c>
      <c r="Q5259">
        <v>0.13200149999999999</v>
      </c>
      <c r="R5259">
        <v>3.4690319999999997E-2</v>
      </c>
      <c r="S5259">
        <v>3.124908</v>
      </c>
      <c r="T5259">
        <v>-0.72617330000000002</v>
      </c>
      <c r="U5259">
        <v>-4.9270630000000003E-2</v>
      </c>
      <c r="V5259">
        <v>-7.021086E-2</v>
      </c>
      <c r="W5259">
        <v>0.14385899999999999</v>
      </c>
      <c r="X5259">
        <v>0.98710439999999999</v>
      </c>
      <c r="Y5259">
        <v>-1.867224E-2</v>
      </c>
      <c r="Z5259">
        <v>1.036777E-2</v>
      </c>
      <c r="AA5259">
        <v>0.99977190000000005</v>
      </c>
      <c r="AB5259">
        <v>1</v>
      </c>
      <c r="AC5259">
        <v>0.67529999999999202</v>
      </c>
      <c r="AD5259">
        <v>-0.15857009999999899</v>
      </c>
      <c r="AE5259">
        <v>-1.06000000000108E-2</v>
      </c>
      <c r="AF5259">
        <v>-1.29270204988318E-2</v>
      </c>
      <c r="AG5259">
        <v>-0.15857009999999899</v>
      </c>
      <c r="AH5259">
        <v>0.63996775021292995</v>
      </c>
      <c r="AI5259">
        <v>103.913645120385</v>
      </c>
      <c r="AJ5259">
        <v>91.157188007741993</v>
      </c>
      <c r="AK5259">
        <v>0.659446969653805</v>
      </c>
      <c r="AL5259">
        <v>81.728788312799495</v>
      </c>
      <c r="AM5259">
        <v>94.068488032222405</v>
      </c>
      <c r="AN5259">
        <v>1.0000000366211399</v>
      </c>
    </row>
    <row r="5260" spans="1:40" x14ac:dyDescent="0.3">
      <c r="A5260" t="str">
        <f>"20200111150157375"</f>
        <v>20200111150157375</v>
      </c>
      <c r="B5260" t="str">
        <f>"1578726117364111"</f>
        <v>1578726117364111</v>
      </c>
      <c r="C5260" t="s">
        <v>40</v>
      </c>
      <c r="D5260">
        <v>4.1685429999999997</v>
      </c>
      <c r="E5260">
        <v>0.50628609999999996</v>
      </c>
      <c r="F5260" t="s">
        <v>41</v>
      </c>
      <c r="G5260">
        <v>-144.9118</v>
      </c>
      <c r="H5260">
        <v>0.97166540000000001</v>
      </c>
      <c r="I5260">
        <v>136.58709999999999</v>
      </c>
      <c r="J5260">
        <v>-145.59899999999999</v>
      </c>
      <c r="K5260">
        <v>1.1053930000000001</v>
      </c>
      <c r="L5260">
        <v>136.584</v>
      </c>
      <c r="M5260">
        <v>0.99928470000000003</v>
      </c>
      <c r="N5260">
        <v>0</v>
      </c>
      <c r="O5260">
        <v>-3.5861740000000003E-2</v>
      </c>
      <c r="P5260">
        <v>0.99050249999999995</v>
      </c>
      <c r="Q5260">
        <v>0.13355989999999901</v>
      </c>
      <c r="R5260">
        <v>3.266115E-2</v>
      </c>
      <c r="S5260">
        <v>3.1076199999999998</v>
      </c>
      <c r="T5260">
        <v>-0.59847269999999997</v>
      </c>
      <c r="U5260">
        <v>1.3275149999999999E-2</v>
      </c>
      <c r="V5260">
        <v>-6.8158339999999998E-2</v>
      </c>
      <c r="W5260">
        <v>0.1454165</v>
      </c>
      <c r="X5260">
        <v>0.98702000000000001</v>
      </c>
      <c r="Y5260">
        <v>-3.876193E-2</v>
      </c>
      <c r="Z5260">
        <v>1.054138E-2</v>
      </c>
      <c r="AA5260">
        <v>0.99919290000000005</v>
      </c>
      <c r="AB5260">
        <v>1</v>
      </c>
      <c r="AC5260">
        <v>0.68719999999999004</v>
      </c>
      <c r="AD5260">
        <v>-0.1337276</v>
      </c>
      <c r="AE5260">
        <v>3.0999999999892199E-3</v>
      </c>
      <c r="AF5260">
        <v>-2.67317046777466E-2</v>
      </c>
      <c r="AG5260">
        <v>-0.1337276</v>
      </c>
      <c r="AH5260">
        <v>0.66159380086880504</v>
      </c>
      <c r="AI5260">
        <v>101.418129280294</v>
      </c>
      <c r="AJ5260">
        <v>92.313778007526096</v>
      </c>
      <c r="AK5260">
        <v>0.67550278488306104</v>
      </c>
      <c r="AL5260">
        <v>81.6386014730559</v>
      </c>
      <c r="AM5260">
        <v>93.950270072319398</v>
      </c>
      <c r="AN5260">
        <v>0.99999999909190196</v>
      </c>
    </row>
    <row r="5261" spans="1:40" x14ac:dyDescent="0.3">
      <c r="A5261" t="str">
        <f>"20200111150157398"</f>
        <v>20200111150157398</v>
      </c>
      <c r="B5261" t="str">
        <f>"1578726117394368"</f>
        <v>1578726117394368</v>
      </c>
      <c r="C5261" t="s">
        <v>40</v>
      </c>
      <c r="D5261">
        <v>4.2415479999999999</v>
      </c>
      <c r="E5261">
        <v>0.50717979999999996</v>
      </c>
      <c r="F5261" t="s">
        <v>41</v>
      </c>
      <c r="G5261">
        <v>-144.90809999999999</v>
      </c>
      <c r="H5261">
        <v>0.96600280000000005</v>
      </c>
      <c r="I5261">
        <v>136.58449999999999</v>
      </c>
      <c r="J5261">
        <v>-145.59190000000001</v>
      </c>
      <c r="K5261">
        <v>1.105394</v>
      </c>
      <c r="L5261">
        <v>136.5838</v>
      </c>
      <c r="M5261">
        <v>0.9992856</v>
      </c>
      <c r="N5261">
        <v>0</v>
      </c>
      <c r="O5261">
        <v>-3.5841360000000003E-2</v>
      </c>
      <c r="P5261">
        <v>0.99075709999999995</v>
      </c>
      <c r="Q5261">
        <v>0.13268920000000001</v>
      </c>
      <c r="R5261">
        <v>2.8181439999999999E-2</v>
      </c>
      <c r="S5261">
        <v>3.1134189999999999</v>
      </c>
      <c r="T5261">
        <v>-0.62812760000000001</v>
      </c>
      <c r="U5261">
        <v>2.0751950000000002E-3</v>
      </c>
      <c r="V5261">
        <v>-6.3670210000000005E-2</v>
      </c>
      <c r="W5261">
        <v>0.14455079999999901</v>
      </c>
      <c r="X5261">
        <v>0.98744679999999996</v>
      </c>
      <c r="Y5261">
        <v>-3.508124E-2</v>
      </c>
      <c r="Z5261">
        <v>1.066169E-2</v>
      </c>
      <c r="AA5261">
        <v>0.99932759999999998</v>
      </c>
      <c r="AB5261">
        <v>1</v>
      </c>
      <c r="AC5261">
        <v>0.68380000000001895</v>
      </c>
      <c r="AD5261">
        <v>-0.13939119999999899</v>
      </c>
      <c r="AE5261">
        <v>6.9999999999481501E-4</v>
      </c>
      <c r="AF5261">
        <v>-2.4203867373308201E-2</v>
      </c>
      <c r="AG5261">
        <v>-0.13939119999999899</v>
      </c>
      <c r="AH5261">
        <v>0.65607308643417095</v>
      </c>
      <c r="AI5261">
        <v>101.98694787671</v>
      </c>
      <c r="AJ5261">
        <v>92.112799388704602</v>
      </c>
      <c r="AK5261">
        <v>0.67115395296200397</v>
      </c>
      <c r="AL5261">
        <v>81.688732167729896</v>
      </c>
      <c r="AM5261">
        <v>93.689303738284806</v>
      </c>
      <c r="AN5261">
        <v>1.00000000612616</v>
      </c>
    </row>
    <row r="5262" spans="1:40" x14ac:dyDescent="0.3">
      <c r="A5262" t="str">
        <f>"20200111150157421"</f>
        <v>20200111150157421</v>
      </c>
      <c r="B5262" t="str">
        <f>"1578726117413886"</f>
        <v>1578726117413886</v>
      </c>
      <c r="C5262" t="s">
        <v>40</v>
      </c>
      <c r="D5262">
        <v>4.3067159999999998</v>
      </c>
      <c r="E5262">
        <v>0.50663599999999998</v>
      </c>
      <c r="F5262" t="s">
        <v>41</v>
      </c>
      <c r="G5262">
        <v>-144.90209999999999</v>
      </c>
      <c r="H5262">
        <v>0.96578160000000002</v>
      </c>
      <c r="I5262">
        <v>136.58000000000001</v>
      </c>
      <c r="J5262">
        <v>-145.58439999999999</v>
      </c>
      <c r="K5262">
        <v>1.1053930000000001</v>
      </c>
      <c r="L5262">
        <v>136.58349999999999</v>
      </c>
      <c r="M5262">
        <v>0.99928629999999996</v>
      </c>
      <c r="N5262">
        <v>0</v>
      </c>
      <c r="O5262">
        <v>-3.5820379999999999E-2</v>
      </c>
      <c r="P5262">
        <v>0.99123329999999998</v>
      </c>
      <c r="Q5262">
        <v>0.13014890000000001</v>
      </c>
      <c r="R5262">
        <v>2.2765629999999999E-2</v>
      </c>
      <c r="S5262">
        <v>3.1128689999999999</v>
      </c>
      <c r="T5262">
        <v>-0.6302025</v>
      </c>
      <c r="U5262">
        <v>-1.638794E-2</v>
      </c>
      <c r="V5262">
        <v>-5.825487E-2</v>
      </c>
      <c r="W5262">
        <v>0.14201800000000001</v>
      </c>
      <c r="X5262">
        <v>0.98814840000000004</v>
      </c>
      <c r="Y5262">
        <v>-2.9241679999999999E-2</v>
      </c>
      <c r="Z5262">
        <v>1.010843E-2</v>
      </c>
      <c r="AA5262">
        <v>0.99952129999999995</v>
      </c>
      <c r="AB5262">
        <v>1</v>
      </c>
      <c r="AC5262">
        <v>0.68229999999999702</v>
      </c>
      <c r="AD5262">
        <v>-0.1396114</v>
      </c>
      <c r="AE5262">
        <v>-3.4999999999740798E-3</v>
      </c>
      <c r="AF5262">
        <v>-2.0102598559610899E-2</v>
      </c>
      <c r="AG5262">
        <v>-0.1396114</v>
      </c>
      <c r="AH5262">
        <v>0.65458159080489497</v>
      </c>
      <c r="AI5262">
        <v>102.03433156417999</v>
      </c>
      <c r="AJ5262">
        <v>91.759035350351198</v>
      </c>
      <c r="AK5262">
        <v>0.66960623988988899</v>
      </c>
      <c r="AL5262">
        <v>81.8353639318684</v>
      </c>
      <c r="AM5262">
        <v>93.373885352155</v>
      </c>
      <c r="AN5262">
        <v>1.00000000131263</v>
      </c>
    </row>
    <row r="5263" spans="1:40" x14ac:dyDescent="0.3">
      <c r="A5263" t="str">
        <f>"20200111150157443"</f>
        <v>20200111150157443</v>
      </c>
      <c r="B5263" t="str">
        <f>"1578726117434382"</f>
        <v>1578726117434382</v>
      </c>
      <c r="C5263" t="s">
        <v>40</v>
      </c>
      <c r="D5263">
        <v>4.3299459999999996</v>
      </c>
      <c r="E5263">
        <v>0.47117229999999999</v>
      </c>
      <c r="F5263" t="s">
        <v>41</v>
      </c>
      <c r="G5263">
        <v>-144.89070000000001</v>
      </c>
      <c r="H5263">
        <v>0.96344280000000004</v>
      </c>
      <c r="I5263">
        <v>136.57740000000001</v>
      </c>
      <c r="J5263">
        <v>-145.57759999999999</v>
      </c>
      <c r="K5263">
        <v>1.10538799999999</v>
      </c>
      <c r="L5263">
        <v>136.58330000000001</v>
      </c>
      <c r="M5263">
        <v>0.99928689999999998</v>
      </c>
      <c r="N5263">
        <v>0</v>
      </c>
      <c r="O5263">
        <v>-3.5800829999999999E-2</v>
      </c>
      <c r="P5263">
        <v>0.99162640000000002</v>
      </c>
      <c r="Q5263">
        <v>0.12773329999999999</v>
      </c>
      <c r="R5263">
        <v>1.9006829999999999E-2</v>
      </c>
      <c r="S5263">
        <v>3.1107330000000002</v>
      </c>
      <c r="T5263">
        <v>-0.63656469999999998</v>
      </c>
      <c r="U5263">
        <v>-2.656555E-2</v>
      </c>
      <c r="V5263">
        <v>-5.4492510000000001E-2</v>
      </c>
      <c r="W5263">
        <v>0.13960890000000001</v>
      </c>
      <c r="X5263">
        <v>0.98870619999999998</v>
      </c>
      <c r="Y5263">
        <v>-2.5987860000000002E-2</v>
      </c>
      <c r="Z5263">
        <v>9.8816119999999997E-3</v>
      </c>
      <c r="AA5263">
        <v>0.99961339999999999</v>
      </c>
      <c r="AB5263">
        <v>1</v>
      </c>
      <c r="AC5263">
        <v>0.68689999999997997</v>
      </c>
      <c r="AD5263">
        <v>-0.14194519999999899</v>
      </c>
      <c r="AE5263">
        <v>-5.8999999999968999E-3</v>
      </c>
      <c r="AF5263">
        <v>-1.79314791660585E-2</v>
      </c>
      <c r="AG5263">
        <v>-0.14194519999999899</v>
      </c>
      <c r="AH5263">
        <v>0.658551063205146</v>
      </c>
      <c r="AI5263">
        <v>102.159168970034</v>
      </c>
      <c r="AJ5263">
        <v>91.559703327766897</v>
      </c>
      <c r="AK5263">
        <v>0.67391355573007405</v>
      </c>
      <c r="AL5263">
        <v>81.974784499842102</v>
      </c>
      <c r="AM5263">
        <v>93.154663339997896</v>
      </c>
      <c r="AN5263">
        <v>1.0000000142618699</v>
      </c>
    </row>
    <row r="5264" spans="1:40" x14ac:dyDescent="0.3">
      <c r="A5264" t="str">
        <f>"20200111150157465"</f>
        <v>20200111150157465</v>
      </c>
      <c r="B5264" t="str">
        <f>"1578726117454409"</f>
        <v>1578726117454409</v>
      </c>
      <c r="C5264" t="s">
        <v>40</v>
      </c>
      <c r="D5264">
        <v>4.3001379999999996</v>
      </c>
      <c r="E5264">
        <v>0.46792349999999999</v>
      </c>
      <c r="F5264" t="s">
        <v>41</v>
      </c>
      <c r="G5264">
        <v>-144.86859999999999</v>
      </c>
      <c r="H5264">
        <v>0.9769369</v>
      </c>
      <c r="I5264">
        <v>136.6403</v>
      </c>
      <c r="J5264">
        <v>-145.57069999999999</v>
      </c>
      <c r="K5264">
        <v>1.10538</v>
      </c>
      <c r="L5264">
        <v>136.583</v>
      </c>
      <c r="M5264">
        <v>0.9992877</v>
      </c>
      <c r="N5264">
        <v>0</v>
      </c>
      <c r="O5264">
        <v>-3.5781159999999999E-2</v>
      </c>
      <c r="P5264">
        <v>0.9916102</v>
      </c>
      <c r="Q5264">
        <v>0.1280626</v>
      </c>
      <c r="R5264">
        <v>1.75861E-2</v>
      </c>
      <c r="S5264">
        <v>3.092743</v>
      </c>
      <c r="T5264">
        <v>-0.56038929999999998</v>
      </c>
      <c r="U5264">
        <v>0.24923709999999999</v>
      </c>
      <c r="V5264">
        <v>-5.3052969999999998E-2</v>
      </c>
      <c r="W5264">
        <v>0.13993849999999999</v>
      </c>
      <c r="X5264">
        <v>0.98873789999999995</v>
      </c>
      <c r="Y5264">
        <v>-0.11352669999999999</v>
      </c>
      <c r="Z5264">
        <v>1.6608620000000001E-2</v>
      </c>
      <c r="AA5264">
        <v>0.9933961</v>
      </c>
      <c r="AB5264">
        <v>1</v>
      </c>
      <c r="AC5264">
        <v>0.70210000000000095</v>
      </c>
      <c r="AD5264">
        <v>-0.12844309999999901</v>
      </c>
      <c r="AE5264">
        <v>5.7299999999997901E-2</v>
      </c>
      <c r="AF5264">
        <v>-7.9736146568303301E-2</v>
      </c>
      <c r="AG5264">
        <v>-0.12844309999999901</v>
      </c>
      <c r="AH5264">
        <v>0.67708936436829403</v>
      </c>
      <c r="AI5264">
        <v>100.669297581484</v>
      </c>
      <c r="AJ5264">
        <v>96.716394959727793</v>
      </c>
      <c r="AK5264">
        <v>0.69376183978929895</v>
      </c>
      <c r="AL5264">
        <v>81.955712622718295</v>
      </c>
      <c r="AM5264">
        <v>93.071389382171006</v>
      </c>
      <c r="AN5264">
        <v>1.0000000181522399</v>
      </c>
    </row>
    <row r="5265" spans="1:40" x14ac:dyDescent="0.3">
      <c r="A5265" t="str">
        <f>"20200111150157487"</f>
        <v>20200111150157487</v>
      </c>
      <c r="B5265" t="str">
        <f>"1578726117484665"</f>
        <v>1578726117484665</v>
      </c>
      <c r="C5265" t="s">
        <v>40</v>
      </c>
      <c r="D5265">
        <v>4.4368910000000001</v>
      </c>
      <c r="E5265">
        <v>0.46794150000000001</v>
      </c>
      <c r="F5265" t="s">
        <v>42</v>
      </c>
      <c r="G5265">
        <v>-139.35499999999999</v>
      </c>
      <c r="H5265" s="1">
        <v>-8.6815959999999999E-7</v>
      </c>
      <c r="I5265">
        <v>137.1259</v>
      </c>
      <c r="J5265">
        <v>-145.56370000000001</v>
      </c>
      <c r="K5265">
        <v>1.1053820000000001</v>
      </c>
      <c r="L5265">
        <v>136.58279999999999</v>
      </c>
      <c r="M5265">
        <v>0.99928839999999997</v>
      </c>
      <c r="N5265">
        <v>0</v>
      </c>
      <c r="O5265">
        <v>-3.5761260000000003E-2</v>
      </c>
      <c r="P5265">
        <v>0.99144790000000005</v>
      </c>
      <c r="Q5265">
        <v>0.12928629999999999</v>
      </c>
      <c r="R5265">
        <v>1.7789320000000001E-2</v>
      </c>
      <c r="S5265">
        <v>3.091599</v>
      </c>
      <c r="T5265">
        <v>-0.54980369999999901</v>
      </c>
      <c r="U5265">
        <v>0.27003480000000002</v>
      </c>
      <c r="V5265">
        <v>-5.3230350000000003E-2</v>
      </c>
      <c r="W5265">
        <v>0.14116029999999999</v>
      </c>
      <c r="X5265">
        <v>0.98855470000000001</v>
      </c>
      <c r="Y5265">
        <v>-0.1201562</v>
      </c>
      <c r="Z5265">
        <v>1.6881690000000001E-2</v>
      </c>
      <c r="AA5265">
        <v>0.99261149999999998</v>
      </c>
      <c r="AB5265">
        <v>1</v>
      </c>
      <c r="AC5265">
        <v>6.2087000000000199</v>
      </c>
      <c r="AD5265">
        <v>-1.1053828681596001</v>
      </c>
      <c r="AE5265">
        <v>0.54310000000000902</v>
      </c>
      <c r="AF5265">
        <v>-0.74147507982534799</v>
      </c>
      <c r="AG5265">
        <v>-1.1053828681596001</v>
      </c>
      <c r="AH5265">
        <v>5.9966691281822504</v>
      </c>
      <c r="AI5265">
        <v>100.367033492613</v>
      </c>
      <c r="AJ5265">
        <v>97.0487215404399</v>
      </c>
      <c r="AK5265">
        <v>6.1426132233860304</v>
      </c>
      <c r="AL5265">
        <v>81.885007027408506</v>
      </c>
      <c r="AM5265">
        <v>93.0822086533949</v>
      </c>
      <c r="AN5265">
        <v>1.00000004767465</v>
      </c>
    </row>
    <row r="5266" spans="1:40" x14ac:dyDescent="0.3">
      <c r="A5266" t="str">
        <f>"20200111150157511"</f>
        <v>20200111150157511</v>
      </c>
      <c r="B5266" t="str">
        <f>"1578726117504188"</f>
        <v>1578726117504188</v>
      </c>
      <c r="C5266" t="s">
        <v>40</v>
      </c>
      <c r="D5266">
        <v>4.3598369999999997</v>
      </c>
      <c r="E5266">
        <v>0.46758830000000001</v>
      </c>
      <c r="F5266" t="s">
        <v>42</v>
      </c>
      <c r="G5266">
        <v>-139.0496</v>
      </c>
      <c r="H5266" s="1">
        <v>-9.6413580000000007E-7</v>
      </c>
      <c r="I5266">
        <v>137.1558</v>
      </c>
      <c r="J5266">
        <v>-145.5566</v>
      </c>
      <c r="K5266">
        <v>1.1053900000000001</v>
      </c>
      <c r="L5266">
        <v>136.58250000000001</v>
      </c>
      <c r="M5266">
        <v>0.99928919999999999</v>
      </c>
      <c r="N5266">
        <v>0</v>
      </c>
      <c r="O5266">
        <v>-3.574099E-2</v>
      </c>
      <c r="P5266">
        <v>0.99111850000000001</v>
      </c>
      <c r="Q5266">
        <v>0.1315993</v>
      </c>
      <c r="R5266">
        <v>1.9128269999999999E-2</v>
      </c>
      <c r="S5266">
        <v>3.08934</v>
      </c>
      <c r="T5266">
        <v>-0.52423069999999905</v>
      </c>
      <c r="U5266">
        <v>0.27177430000000002</v>
      </c>
      <c r="V5266">
        <v>-5.4536590000000003E-2</v>
      </c>
      <c r="W5266">
        <v>0.14346829999999999</v>
      </c>
      <c r="X5266">
        <v>0.98815109999999995</v>
      </c>
      <c r="Y5266">
        <v>-0.1209586</v>
      </c>
      <c r="Z5266">
        <v>1.6182990000000001E-2</v>
      </c>
      <c r="AA5266">
        <v>0.99252560000000001</v>
      </c>
      <c r="AB5266">
        <v>1</v>
      </c>
      <c r="AC5266">
        <v>6.5069999999999997</v>
      </c>
      <c r="AD5266">
        <v>-1.1053909641358</v>
      </c>
      <c r="AE5266">
        <v>0.57329999999998904</v>
      </c>
      <c r="AF5266">
        <v>-0.78309237388628405</v>
      </c>
      <c r="AG5266">
        <v>-1.1053909641358</v>
      </c>
      <c r="AH5266">
        <v>6.3018894492744</v>
      </c>
      <c r="AI5266">
        <v>99.874397110919702</v>
      </c>
      <c r="AJ5266">
        <v>97.083441376420794</v>
      </c>
      <c r="AK5266">
        <v>6.4458462191172297</v>
      </c>
      <c r="AL5266">
        <v>81.751408072104198</v>
      </c>
      <c r="AM5266">
        <v>93.158980036326298</v>
      </c>
      <c r="AN5266">
        <v>0.99999999459246303</v>
      </c>
    </row>
    <row r="5267" spans="1:40" x14ac:dyDescent="0.3">
      <c r="A5267" t="str">
        <f>"20200111150157532"</f>
        <v>20200111150157532</v>
      </c>
      <c r="B5267" t="str">
        <f>"1578726117524681"</f>
        <v>1578726117524681</v>
      </c>
      <c r="C5267" t="s">
        <v>40</v>
      </c>
      <c r="D5267">
        <v>4.3684859999999999</v>
      </c>
      <c r="E5267">
        <v>0.4666901</v>
      </c>
      <c r="F5267" t="s">
        <v>42</v>
      </c>
      <c r="G5267">
        <v>-138.84360000000001</v>
      </c>
      <c r="H5267" s="1">
        <v>-1.025355E-6</v>
      </c>
      <c r="I5267">
        <v>137.1892</v>
      </c>
      <c r="J5267">
        <v>-145.54990000000001</v>
      </c>
      <c r="K5267">
        <v>1.1053980000000001</v>
      </c>
      <c r="L5267">
        <v>136.5823</v>
      </c>
      <c r="M5267">
        <v>0.99928980000000001</v>
      </c>
      <c r="N5267">
        <v>0</v>
      </c>
      <c r="O5267">
        <v>-3.5721919999999997E-2</v>
      </c>
      <c r="P5267">
        <v>0.99077689999999996</v>
      </c>
      <c r="Q5267">
        <v>0.13380729999999999</v>
      </c>
      <c r="R5267">
        <v>2.137673E-2</v>
      </c>
      <c r="S5267">
        <v>3.0890499999999999</v>
      </c>
      <c r="T5267">
        <v>-0.50865379999999905</v>
      </c>
      <c r="U5267">
        <v>0.2791901</v>
      </c>
      <c r="V5267">
        <v>-5.675235E-2</v>
      </c>
      <c r="W5267">
        <v>0.1456712</v>
      </c>
      <c r="X5267">
        <v>0.98770389999999997</v>
      </c>
      <c r="Y5267">
        <v>-0.1234084</v>
      </c>
      <c r="Z5267">
        <v>1.5905280000000001E-2</v>
      </c>
      <c r="AA5267">
        <v>0.99222849999999996</v>
      </c>
      <c r="AB5267">
        <v>1</v>
      </c>
      <c r="AC5267">
        <v>6.7062999999999899</v>
      </c>
      <c r="AD5267">
        <v>-1.1053990253549999</v>
      </c>
      <c r="AE5267">
        <v>0.606899999999996</v>
      </c>
      <c r="AF5267">
        <v>-0.82388939936323002</v>
      </c>
      <c r="AG5267">
        <v>-1.1053990253549999</v>
      </c>
      <c r="AH5267">
        <v>6.5050388592690096</v>
      </c>
      <c r="AI5267">
        <v>99.569113476123306</v>
      </c>
      <c r="AJ5267">
        <v>97.218308337885006</v>
      </c>
      <c r="AK5267">
        <v>6.6495286530880398</v>
      </c>
      <c r="AL5267">
        <v>81.623850851712305</v>
      </c>
      <c r="AM5267">
        <v>93.288534871532093</v>
      </c>
      <c r="AN5267">
        <v>0.99999996090758503</v>
      </c>
    </row>
    <row r="5268" spans="1:40" x14ac:dyDescent="0.3">
      <c r="A5268" t="str">
        <f>"20200111150157555"</f>
        <v>20200111150157555</v>
      </c>
      <c r="B5268" t="str">
        <f>"1578726117544201"</f>
        <v>1578726117544201</v>
      </c>
      <c r="C5268" t="s">
        <v>40</v>
      </c>
      <c r="D5268">
        <v>4.3954040000000001</v>
      </c>
      <c r="E5268">
        <v>0.46612500000000001</v>
      </c>
      <c r="F5268" t="s">
        <v>42</v>
      </c>
      <c r="G5268">
        <v>-138.88929999999999</v>
      </c>
      <c r="H5268" s="1">
        <v>-1.0031969999999999E-6</v>
      </c>
      <c r="I5268">
        <v>137.214</v>
      </c>
      <c r="J5268">
        <v>-145.54300000000001</v>
      </c>
      <c r="K5268">
        <v>1.105405</v>
      </c>
      <c r="L5268">
        <v>136.5821</v>
      </c>
      <c r="M5268">
        <v>0.99929060000000003</v>
      </c>
      <c r="N5268">
        <v>0</v>
      </c>
      <c r="O5268">
        <v>-3.570284E-2</v>
      </c>
      <c r="P5268">
        <v>0.99060079999999995</v>
      </c>
      <c r="Q5268">
        <v>0.13472139999999999</v>
      </c>
      <c r="R5268">
        <v>2.3677299999999998E-2</v>
      </c>
      <c r="S5268">
        <v>3.090897</v>
      </c>
      <c r="T5268">
        <v>-0.51296900000000001</v>
      </c>
      <c r="U5268">
        <v>0.29316710000000001</v>
      </c>
      <c r="V5268">
        <v>-5.902603E-2</v>
      </c>
      <c r="W5268">
        <v>0.14658260000000001</v>
      </c>
      <c r="X5268">
        <v>0.98743579999999997</v>
      </c>
      <c r="Y5268">
        <v>-0.12769359999999999</v>
      </c>
      <c r="Z5268">
        <v>1.63751E-2</v>
      </c>
      <c r="AA5268">
        <v>0.99167850000000002</v>
      </c>
      <c r="AB5268">
        <v>1</v>
      </c>
      <c r="AC5268">
        <v>6.6537000000000104</v>
      </c>
      <c r="AD5268">
        <v>-1.1054060031970001</v>
      </c>
      <c r="AE5268">
        <v>0.63190000000000102</v>
      </c>
      <c r="AF5268">
        <v>-0.84593069604932802</v>
      </c>
      <c r="AG5268">
        <v>-1.1054060031970001</v>
      </c>
      <c r="AH5268">
        <v>6.4504507073396704</v>
      </c>
      <c r="AI5268">
        <v>99.643250725239398</v>
      </c>
      <c r="AJ5268">
        <v>97.471296750772197</v>
      </c>
      <c r="AK5268">
        <v>6.5989268447408396</v>
      </c>
      <c r="AL5268">
        <v>81.571065150957807</v>
      </c>
      <c r="AM5268">
        <v>93.4209037022122</v>
      </c>
      <c r="AN5268">
        <v>0.99999999498098002</v>
      </c>
    </row>
    <row r="5269" spans="1:40" x14ac:dyDescent="0.3">
      <c r="A5269" t="str">
        <f>"20200111150157577"</f>
        <v>20200111150157577</v>
      </c>
      <c r="B5269" t="str">
        <f>"1578726117573988"</f>
        <v>1578726117573988</v>
      </c>
      <c r="C5269" t="s">
        <v>40</v>
      </c>
      <c r="D5269">
        <v>4.4672349999999996</v>
      </c>
      <c r="E5269">
        <v>0.46543970000000001</v>
      </c>
      <c r="F5269" t="s">
        <v>42</v>
      </c>
      <c r="G5269">
        <v>-138.93190000000001</v>
      </c>
      <c r="H5269" s="1">
        <v>-9.8177710000000001E-7</v>
      </c>
      <c r="I5269">
        <v>137.24010000000001</v>
      </c>
      <c r="J5269">
        <v>-145.53620000000001</v>
      </c>
      <c r="K5269">
        <v>1.105413</v>
      </c>
      <c r="L5269">
        <v>136.58179999999999</v>
      </c>
      <c r="M5269">
        <v>0.99929120000000005</v>
      </c>
      <c r="N5269">
        <v>0</v>
      </c>
      <c r="O5269">
        <v>-3.5683649999999997E-2</v>
      </c>
      <c r="P5269">
        <v>0.9904773</v>
      </c>
      <c r="Q5269">
        <v>0.13533329999999999</v>
      </c>
      <c r="R5269">
        <v>2.5298439999999998E-2</v>
      </c>
      <c r="S5269">
        <v>3.091415</v>
      </c>
      <c r="T5269">
        <v>-0.5168912</v>
      </c>
      <c r="U5269">
        <v>0.3077087</v>
      </c>
      <c r="V5269">
        <v>-6.0622710000000003E-2</v>
      </c>
      <c r="W5269">
        <v>0.14719199999999999</v>
      </c>
      <c r="X5269">
        <v>0.98724840000000003</v>
      </c>
      <c r="Y5269">
        <v>-0.1321851</v>
      </c>
      <c r="Z5269">
        <v>1.6861170000000002E-2</v>
      </c>
      <c r="AA5269">
        <v>0.99108169999999995</v>
      </c>
      <c r="AB5269">
        <v>1</v>
      </c>
      <c r="AC5269">
        <v>6.6042999999999896</v>
      </c>
      <c r="AD5269">
        <v>-1.1054139817771</v>
      </c>
      <c r="AE5269">
        <v>0.65830000000002498</v>
      </c>
      <c r="AF5269">
        <v>-0.86944497328282599</v>
      </c>
      <c r="AG5269">
        <v>-1.1054139817771</v>
      </c>
      <c r="AH5269">
        <v>6.3990918685892604</v>
      </c>
      <c r="AI5269">
        <v>99.713335588860502</v>
      </c>
      <c r="AJ5269">
        <v>97.737400407442607</v>
      </c>
      <c r="AK5269">
        <v>6.5518128312185597</v>
      </c>
      <c r="AL5269">
        <v>81.535766270585896</v>
      </c>
      <c r="AM5269">
        <v>93.513877125086196</v>
      </c>
      <c r="AN5269">
        <v>1.0000000005671501</v>
      </c>
    </row>
    <row r="5270" spans="1:40" x14ac:dyDescent="0.3">
      <c r="A5270" t="str">
        <f>"20200111150157601"</f>
        <v>20200111150157601</v>
      </c>
      <c r="B5270" t="str">
        <f>"1578726117594484"</f>
        <v>1578726117594484</v>
      </c>
      <c r="C5270" t="s">
        <v>40</v>
      </c>
      <c r="D5270">
        <v>4.4805219999999997</v>
      </c>
      <c r="E5270">
        <v>0.46495510000000001</v>
      </c>
      <c r="F5270" t="s">
        <v>42</v>
      </c>
      <c r="G5270">
        <v>-138.99440000000001</v>
      </c>
      <c r="H5270" s="1">
        <v>-9.5648139999999994E-7</v>
      </c>
      <c r="I5270">
        <v>137.2552</v>
      </c>
      <c r="J5270">
        <v>-145.52930000000001</v>
      </c>
      <c r="K5270">
        <v>1.105423</v>
      </c>
      <c r="L5270">
        <v>136.58160000000001</v>
      </c>
      <c r="M5270">
        <v>0.99929179999999995</v>
      </c>
      <c r="N5270">
        <v>0</v>
      </c>
      <c r="O5270">
        <v>-3.5664099999999997E-2</v>
      </c>
      <c r="P5270">
        <v>0.99037929999999996</v>
      </c>
      <c r="Q5270">
        <v>0.13609760000000001</v>
      </c>
      <c r="R5270">
        <v>2.5032720000000001E-2</v>
      </c>
      <c r="S5270">
        <v>3.0921020000000001</v>
      </c>
      <c r="T5270">
        <v>-0.52248799999999995</v>
      </c>
      <c r="U5270">
        <v>0.31829829999999998</v>
      </c>
      <c r="V5270">
        <v>-6.033471E-2</v>
      </c>
      <c r="W5270">
        <v>0.14795549999999999</v>
      </c>
      <c r="X5270">
        <v>0.98715189999999997</v>
      </c>
      <c r="Y5270">
        <v>-0.13541010000000001</v>
      </c>
      <c r="Z5270">
        <v>1.730131E-2</v>
      </c>
      <c r="AA5270">
        <v>0.99063860000000004</v>
      </c>
      <c r="AB5270">
        <v>1</v>
      </c>
      <c r="AC5270">
        <v>6.5348999999999897</v>
      </c>
      <c r="AD5270">
        <v>-1.1054239564813999</v>
      </c>
      <c r="AE5270">
        <v>0.67359999999999298</v>
      </c>
      <c r="AF5270">
        <v>-0.88129712966988705</v>
      </c>
      <c r="AG5270">
        <v>-1.1054239564813999</v>
      </c>
      <c r="AH5270">
        <v>6.3275631244694504</v>
      </c>
      <c r="AI5270">
        <v>99.816667018656602</v>
      </c>
      <c r="AJ5270">
        <v>97.929094381635593</v>
      </c>
      <c r="AK5270">
        <v>6.4835716891596897</v>
      </c>
      <c r="AL5270">
        <v>81.491536587567893</v>
      </c>
      <c r="AM5270">
        <v>93.497566322959898</v>
      </c>
      <c r="AN5270">
        <v>0.99999999044232202</v>
      </c>
    </row>
    <row r="5271" spans="1:40" x14ac:dyDescent="0.3">
      <c r="A5271" t="str">
        <f>"20200111150157622"</f>
        <v>20200111150157622</v>
      </c>
      <c r="B5271" t="str">
        <f>"1578726117614005"</f>
        <v>1578726117614005</v>
      </c>
      <c r="C5271" t="s">
        <v>40</v>
      </c>
      <c r="D5271">
        <v>4.5377510000000001</v>
      </c>
      <c r="E5271">
        <v>0.46477410000000002</v>
      </c>
      <c r="F5271" t="s">
        <v>42</v>
      </c>
      <c r="G5271">
        <v>-139.03270000000001</v>
      </c>
      <c r="H5271" s="1">
        <v>-9.4242889999999998E-7</v>
      </c>
      <c r="I5271">
        <v>137.25899999999999</v>
      </c>
      <c r="J5271">
        <v>-145.52269999999999</v>
      </c>
      <c r="K5271">
        <v>1.1054219999999999</v>
      </c>
      <c r="L5271">
        <v>136.5814</v>
      </c>
      <c r="M5271">
        <v>0.99929239999999997</v>
      </c>
      <c r="N5271">
        <v>0</v>
      </c>
      <c r="O5271">
        <v>-3.5645740000000002E-2</v>
      </c>
      <c r="P5271">
        <v>0.990317</v>
      </c>
      <c r="Q5271">
        <v>0.1365826</v>
      </c>
      <c r="R5271">
        <v>2.484749E-2</v>
      </c>
      <c r="S5271">
        <v>3.0933380000000001</v>
      </c>
      <c r="T5271">
        <v>-0.52634780000000003</v>
      </c>
      <c r="U5271">
        <v>0.3225403</v>
      </c>
      <c r="V5271">
        <v>-6.0129299999999997E-2</v>
      </c>
      <c r="W5271">
        <v>0.14843979999999901</v>
      </c>
      <c r="X5271">
        <v>0.98709170000000002</v>
      </c>
      <c r="Y5271">
        <v>-0.13664519999999999</v>
      </c>
      <c r="Z5271">
        <v>1.7520290000000001E-2</v>
      </c>
      <c r="AA5271">
        <v>0.99046509999999999</v>
      </c>
      <c r="AB5271">
        <v>1</v>
      </c>
      <c r="AC5271">
        <v>6.4899999999999798</v>
      </c>
      <c r="AD5271">
        <v>-1.1054229424288999</v>
      </c>
      <c r="AE5271">
        <v>0.67759999999998399</v>
      </c>
      <c r="AF5271">
        <v>-0.88318087936382395</v>
      </c>
      <c r="AG5271">
        <v>-1.1054229424288999</v>
      </c>
      <c r="AH5271">
        <v>6.2814514800074104</v>
      </c>
      <c r="AI5271">
        <v>99.885545467260201</v>
      </c>
      <c r="AJ5271">
        <v>98.003402958722404</v>
      </c>
      <c r="AK5271">
        <v>6.4388353793997002</v>
      </c>
      <c r="AL5271">
        <v>81.463478202136599</v>
      </c>
      <c r="AM5271">
        <v>93.485900297745502</v>
      </c>
      <c r="AN5271">
        <v>0.99999996557570903</v>
      </c>
    </row>
    <row r="5272" spans="1:40" x14ac:dyDescent="0.3">
      <c r="A5272" t="str">
        <f>"20200111150157644"</f>
        <v>20200111150157644</v>
      </c>
      <c r="B5272" t="str">
        <f>"1578726117634500"</f>
        <v>1578726117634500</v>
      </c>
      <c r="C5272" t="s">
        <v>40</v>
      </c>
      <c r="D5272">
        <v>4.4701599999999999</v>
      </c>
      <c r="E5272">
        <v>0.50221130000000003</v>
      </c>
      <c r="F5272" t="s">
        <v>42</v>
      </c>
      <c r="G5272">
        <v>-139.06440000000001</v>
      </c>
      <c r="H5272" s="1">
        <v>-9.3052560000000004E-7</v>
      </c>
      <c r="I5272">
        <v>137.26320000000001</v>
      </c>
      <c r="J5272">
        <v>-145.5163</v>
      </c>
      <c r="K5272">
        <v>1.1054170000000001</v>
      </c>
      <c r="L5272">
        <v>136.5812</v>
      </c>
      <c r="M5272">
        <v>0.99929319999999999</v>
      </c>
      <c r="N5272">
        <v>0</v>
      </c>
      <c r="O5272">
        <v>-3.562738E-2</v>
      </c>
      <c r="P5272">
        <v>0.99044719999999997</v>
      </c>
      <c r="Q5272">
        <v>0.13564849999999901</v>
      </c>
      <c r="R5272">
        <v>2.4779470000000001E-2</v>
      </c>
      <c r="S5272">
        <v>3.0941770000000002</v>
      </c>
      <c r="T5272">
        <v>-0.52960680000000004</v>
      </c>
      <c r="U5272">
        <v>0.32666020000000001</v>
      </c>
      <c r="V5272">
        <v>-6.0047400000000001E-2</v>
      </c>
      <c r="W5272">
        <v>0.1475071</v>
      </c>
      <c r="X5272">
        <v>0.98723660000000002</v>
      </c>
      <c r="Y5272">
        <v>-0.13785790000000001</v>
      </c>
      <c r="Z5272">
        <v>1.7721029999999999E-2</v>
      </c>
      <c r="AA5272">
        <v>0.99029339999999999</v>
      </c>
      <c r="AB5272">
        <v>1</v>
      </c>
      <c r="AC5272">
        <v>6.4518999999999904</v>
      </c>
      <c r="AD5272">
        <v>-1.1054179305256</v>
      </c>
      <c r="AE5272">
        <v>0.68200000000001604</v>
      </c>
      <c r="AF5272">
        <v>-0.88573461497455297</v>
      </c>
      <c r="AG5272">
        <v>-1.1054179305256</v>
      </c>
      <c r="AH5272">
        <v>6.2422880537808396</v>
      </c>
      <c r="AI5272">
        <v>99.944544428060794</v>
      </c>
      <c r="AJ5272">
        <v>98.075937303059902</v>
      </c>
      <c r="AK5272">
        <v>6.4009870141773098</v>
      </c>
      <c r="AL5272">
        <v>81.517513717646906</v>
      </c>
      <c r="AM5272">
        <v>93.480654274249503</v>
      </c>
      <c r="AN5272">
        <v>1.00000006958836</v>
      </c>
    </row>
    <row r="5273" spans="1:40" x14ac:dyDescent="0.3">
      <c r="A5273" t="str">
        <f>"20200111150157666"</f>
        <v>20200111150157666</v>
      </c>
      <c r="B5273" t="str">
        <f>"1578726117664758"</f>
        <v>1578726117664758</v>
      </c>
      <c r="C5273" t="s">
        <v>40</v>
      </c>
      <c r="D5273">
        <v>4.5254969999999997</v>
      </c>
      <c r="E5273">
        <v>0.55052199999999996</v>
      </c>
      <c r="F5273" t="s">
        <v>41</v>
      </c>
      <c r="G5273">
        <v>-144.81190000000001</v>
      </c>
      <c r="H5273">
        <v>0.98627189999999998</v>
      </c>
      <c r="I5273">
        <v>136.58789999999999</v>
      </c>
      <c r="J5273">
        <v>-145.50970000000001</v>
      </c>
      <c r="K5273">
        <v>1.1054079999999999</v>
      </c>
      <c r="L5273">
        <v>136.58099999999999</v>
      </c>
      <c r="M5273">
        <v>0.99929389999999996</v>
      </c>
      <c r="N5273">
        <v>0</v>
      </c>
      <c r="O5273">
        <v>-3.5608910000000001E-2</v>
      </c>
      <c r="P5273">
        <v>0.99054149999999996</v>
      </c>
      <c r="Q5273">
        <v>0.1348384</v>
      </c>
      <c r="R5273">
        <v>2.5427080000000001E-2</v>
      </c>
      <c r="S5273">
        <v>3.1000209999999999</v>
      </c>
      <c r="T5273">
        <v>-0.52443519999999999</v>
      </c>
      <c r="U5273">
        <v>2.998352E-2</v>
      </c>
      <c r="V5273">
        <v>-6.067993E-2</v>
      </c>
      <c r="W5273">
        <v>0.14669769999999999</v>
      </c>
      <c r="X5273">
        <v>0.98731849999999999</v>
      </c>
      <c r="Y5273">
        <v>-4.4142250000000001E-2</v>
      </c>
      <c r="Z5273">
        <v>9.6884919999999999E-3</v>
      </c>
      <c r="AA5273">
        <v>0.99897829999999999</v>
      </c>
      <c r="AB5273">
        <v>1</v>
      </c>
      <c r="AC5273">
        <v>0.69779999999999998</v>
      </c>
      <c r="AD5273">
        <v>-0.119136099999999</v>
      </c>
      <c r="AE5273">
        <v>6.89999999997326E-3</v>
      </c>
      <c r="AF5273">
        <v>-3.0846254419439501E-2</v>
      </c>
      <c r="AG5273">
        <v>-0.119136099999999</v>
      </c>
      <c r="AH5273">
        <v>0.67736892416389405</v>
      </c>
      <c r="AI5273">
        <v>99.965077630089496</v>
      </c>
      <c r="AJ5273">
        <v>92.607353193970297</v>
      </c>
      <c r="AK5273">
        <v>0.68845737788033701</v>
      </c>
      <c r="AL5273">
        <v>81.564398760837705</v>
      </c>
      <c r="AM5273">
        <v>93.516936354144903</v>
      </c>
      <c r="AN5273">
        <v>1.0000000447661701</v>
      </c>
    </row>
    <row r="5274" spans="1:40" x14ac:dyDescent="0.3">
      <c r="A5274" t="str">
        <f>"20200111150157690"</f>
        <v>20200111150157690</v>
      </c>
      <c r="B5274" t="str">
        <f>"1578726117684279"</f>
        <v>1578726117684279</v>
      </c>
      <c r="C5274" t="s">
        <v>40</v>
      </c>
      <c r="D5274">
        <v>4.5612629999999896</v>
      </c>
      <c r="E5274">
        <v>0.55137219999999998</v>
      </c>
      <c r="F5274" t="s">
        <v>41</v>
      </c>
      <c r="G5274">
        <v>-144.8252</v>
      </c>
      <c r="H5274">
        <v>0.95767199999999997</v>
      </c>
      <c r="I5274">
        <v>136.50280000000001</v>
      </c>
      <c r="J5274">
        <v>-145.50309999999999</v>
      </c>
      <c r="K5274">
        <v>1.1053959999999901</v>
      </c>
      <c r="L5274">
        <v>136.58080000000001</v>
      </c>
      <c r="M5274">
        <v>0.99929460000000003</v>
      </c>
      <c r="N5274">
        <v>0</v>
      </c>
      <c r="O5274">
        <v>-3.5589959999999997E-2</v>
      </c>
      <c r="P5274">
        <v>0.9905216</v>
      </c>
      <c r="Q5274">
        <v>0.13454549999999901</v>
      </c>
      <c r="R5274">
        <v>2.765739E-2</v>
      </c>
      <c r="S5274">
        <v>3.1297609999999998</v>
      </c>
      <c r="T5274">
        <v>-0.67567619999999995</v>
      </c>
      <c r="U5274">
        <v>-0.3560333</v>
      </c>
      <c r="V5274">
        <v>-6.2889130000000001E-2</v>
      </c>
      <c r="W5274">
        <v>0.14640429999999999</v>
      </c>
      <c r="X5274">
        <v>0.98722370000000004</v>
      </c>
      <c r="Y5274">
        <v>7.6658870000000004E-2</v>
      </c>
      <c r="Z5274">
        <v>-5.8731159999999996E-4</v>
      </c>
      <c r="AA5274">
        <v>0.99705719999999998</v>
      </c>
      <c r="AB5274">
        <v>1</v>
      </c>
      <c r="AC5274">
        <v>0.67789999999999395</v>
      </c>
      <c r="AD5274">
        <v>-0.147723999999999</v>
      </c>
      <c r="AE5274">
        <v>-7.80000000000029E-2</v>
      </c>
      <c r="AF5274">
        <v>5.1412888888677698E-2</v>
      </c>
      <c r="AG5274">
        <v>-0.147723999999999</v>
      </c>
      <c r="AH5274">
        <v>0.64979339958650495</v>
      </c>
      <c r="AI5274">
        <v>102.769335378432</v>
      </c>
      <c r="AJ5274">
        <v>85.476073651317407</v>
      </c>
      <c r="AK5274">
        <v>0.66835404350244398</v>
      </c>
      <c r="AL5274">
        <v>81.581392002420003</v>
      </c>
      <c r="AM5274">
        <v>93.644988902721593</v>
      </c>
      <c r="AN5274">
        <v>0.99999994778616697</v>
      </c>
    </row>
    <row r="5275" spans="1:40" x14ac:dyDescent="0.3">
      <c r="A5275" t="str">
        <f>"20200111150157711"</f>
        <v>20200111150157711</v>
      </c>
      <c r="B5275" t="str">
        <f>"1578726117703796"</f>
        <v>1578726117703796</v>
      </c>
      <c r="C5275" t="s">
        <v>40</v>
      </c>
      <c r="D5275">
        <v>4.554805</v>
      </c>
      <c r="E5275">
        <v>0.5517978</v>
      </c>
      <c r="F5275" t="s">
        <v>41</v>
      </c>
      <c r="G5275">
        <v>-144.81829999999999</v>
      </c>
      <c r="H5275">
        <v>0.95991099999999996</v>
      </c>
      <c r="I5275">
        <v>136.50290000000001</v>
      </c>
      <c r="J5275">
        <v>-145.4967</v>
      </c>
      <c r="K5275">
        <v>1.1053999999999999</v>
      </c>
      <c r="L5275">
        <v>136.5806</v>
      </c>
      <c r="M5275">
        <v>0.99929520000000005</v>
      </c>
      <c r="N5275">
        <v>0</v>
      </c>
      <c r="O5275">
        <v>-3.557184E-2</v>
      </c>
      <c r="P5275">
        <v>0.9903402</v>
      </c>
      <c r="Q5275">
        <v>0.13535990000000001</v>
      </c>
      <c r="R5275">
        <v>3.0067989999999999E-2</v>
      </c>
      <c r="S5275">
        <v>3.128952</v>
      </c>
      <c r="T5275">
        <v>-0.66484919999999903</v>
      </c>
      <c r="U5275">
        <v>-0.35557559999999999</v>
      </c>
      <c r="V5275">
        <v>-6.5273810000000002E-2</v>
      </c>
      <c r="W5275">
        <v>0.14721509999999999</v>
      </c>
      <c r="X5275">
        <v>0.98694839999999995</v>
      </c>
      <c r="Y5275">
        <v>7.6591850000000003E-2</v>
      </c>
      <c r="Z5275">
        <v>-5.7502089999999996E-4</v>
      </c>
      <c r="AA5275">
        <v>0.99706240000000002</v>
      </c>
      <c r="AB5275">
        <v>1</v>
      </c>
      <c r="AC5275">
        <v>0.67840000000001</v>
      </c>
      <c r="AD5275">
        <v>-0.14548899999999901</v>
      </c>
      <c r="AE5275">
        <v>-7.7699999999992997E-2</v>
      </c>
      <c r="AF5275">
        <v>5.1193125491907701E-2</v>
      </c>
      <c r="AG5275">
        <v>-0.14548899999999901</v>
      </c>
      <c r="AH5275">
        <v>0.65117331292692804</v>
      </c>
      <c r="AI5275">
        <v>102.557001719681</v>
      </c>
      <c r="AJ5275">
        <v>85.504838089884004</v>
      </c>
      <c r="AK5275">
        <v>0.66918941166672796</v>
      </c>
      <c r="AL5275">
        <v>81.534428583421601</v>
      </c>
      <c r="AM5275">
        <v>93.783860604141196</v>
      </c>
      <c r="AN5275">
        <v>1.00000005010124</v>
      </c>
    </row>
    <row r="5276" spans="1:40" x14ac:dyDescent="0.3">
      <c r="A5276" t="str">
        <f>"20200111150157745"</f>
        <v>20200111150157745</v>
      </c>
      <c r="B5276" t="str">
        <f>"1578726117734052"</f>
        <v>1578726117734052</v>
      </c>
      <c r="C5276" t="s">
        <v>40</v>
      </c>
      <c r="D5276">
        <v>4.5958990000000002</v>
      </c>
      <c r="E5276">
        <v>0.55200640000000001</v>
      </c>
      <c r="F5276" t="s">
        <v>41</v>
      </c>
      <c r="G5276">
        <v>-144.81190000000001</v>
      </c>
      <c r="H5276">
        <v>0.96131230000000001</v>
      </c>
      <c r="I5276">
        <v>136.50299999999999</v>
      </c>
      <c r="J5276">
        <v>-145.4871</v>
      </c>
      <c r="K5276">
        <v>1.1054060000000001</v>
      </c>
      <c r="L5276">
        <v>136.58029999999999</v>
      </c>
      <c r="M5276">
        <v>0.99929610000000002</v>
      </c>
      <c r="N5276">
        <v>0</v>
      </c>
      <c r="O5276">
        <v>-3.5545260000000002E-2</v>
      </c>
      <c r="P5276">
        <v>0.99014650000000004</v>
      </c>
      <c r="Q5276">
        <v>0.1366261</v>
      </c>
      <c r="R5276">
        <v>3.07148E-2</v>
      </c>
      <c r="S5276">
        <v>3.1300349999999999</v>
      </c>
      <c r="T5276">
        <v>-0.65866630000000004</v>
      </c>
      <c r="U5276">
        <v>-0.35377500000000001</v>
      </c>
      <c r="V5276">
        <v>-6.5887119999999993E-2</v>
      </c>
      <c r="W5276">
        <v>0.148479</v>
      </c>
      <c r="X5276">
        <v>0.98671819999999999</v>
      </c>
      <c r="Y5276">
        <v>7.6041750000000005E-2</v>
      </c>
      <c r="Z5276">
        <v>-5.1802439999999999E-4</v>
      </c>
      <c r="AA5276">
        <v>0.99710449999999995</v>
      </c>
      <c r="AB5276">
        <v>1</v>
      </c>
      <c r="AC5276">
        <v>0.67519999999998903</v>
      </c>
      <c r="AD5276">
        <v>-0.14409369999999899</v>
      </c>
      <c r="AE5276">
        <v>-7.7300000000008098E-2</v>
      </c>
      <c r="AF5276">
        <v>5.0958463663577799E-2</v>
      </c>
      <c r="AG5276">
        <v>-0.14409369999999899</v>
      </c>
      <c r="AH5276">
        <v>0.64837399347422298</v>
      </c>
      <c r="AI5276">
        <v>102.492390563621</v>
      </c>
      <c r="AJ5276">
        <v>85.506119331303907</v>
      </c>
      <c r="AK5276">
        <v>0.66614457500782398</v>
      </c>
      <c r="AL5276">
        <v>81.461207044278098</v>
      </c>
      <c r="AM5276">
        <v>93.820197263555102</v>
      </c>
      <c r="AN5276">
        <v>0.99999996611706599</v>
      </c>
    </row>
    <row r="5277" spans="1:40" x14ac:dyDescent="0.3">
      <c r="A5277" t="str">
        <f>"20200111150157767"</f>
        <v>20200111150157767</v>
      </c>
      <c r="B5277" t="str">
        <f>"1578726117764309"</f>
        <v>1578726117764309</v>
      </c>
      <c r="C5277" t="s">
        <v>40</v>
      </c>
      <c r="D5277">
        <v>4.9064030000000001</v>
      </c>
      <c r="E5277">
        <v>0.55279480000000003</v>
      </c>
      <c r="F5277" t="s">
        <v>41</v>
      </c>
      <c r="G5277">
        <v>-144.80070000000001</v>
      </c>
      <c r="H5277">
        <v>0.96080920000000003</v>
      </c>
      <c r="I5277">
        <v>136.5025</v>
      </c>
      <c r="J5277">
        <v>-145.48089999999999</v>
      </c>
      <c r="K5277">
        <v>1.1054040000000001</v>
      </c>
      <c r="L5277">
        <v>136.58009999999999</v>
      </c>
      <c r="M5277">
        <v>0.99929679999999999</v>
      </c>
      <c r="N5277">
        <v>0</v>
      </c>
      <c r="O5277">
        <v>-3.552785E-2</v>
      </c>
      <c r="P5277">
        <v>0.9901972</v>
      </c>
      <c r="Q5277">
        <v>0.13585029999999901</v>
      </c>
      <c r="R5277">
        <v>3.2476320000000003E-2</v>
      </c>
      <c r="S5277">
        <v>3.1318820000000001</v>
      </c>
      <c r="T5277">
        <v>-0.65982949999999996</v>
      </c>
      <c r="U5277">
        <v>-0.35435489999999997</v>
      </c>
      <c r="V5277">
        <v>-6.7632520000000002E-2</v>
      </c>
      <c r="W5277">
        <v>0.14770320000000001</v>
      </c>
      <c r="X5277">
        <v>0.98671660000000005</v>
      </c>
      <c r="Y5277">
        <v>7.6170589999999996E-2</v>
      </c>
      <c r="Z5277">
        <v>-5.3561669999999996E-4</v>
      </c>
      <c r="AA5277">
        <v>0.99709460000000005</v>
      </c>
      <c r="AB5277">
        <v>1</v>
      </c>
      <c r="AC5277">
        <v>0.68019999999998404</v>
      </c>
      <c r="AD5277">
        <v>-0.1445948</v>
      </c>
      <c r="AE5277">
        <v>-7.7599999999989594E-2</v>
      </c>
      <c r="AF5277">
        <v>5.1103577072986302E-2</v>
      </c>
      <c r="AG5277">
        <v>-0.1445948</v>
      </c>
      <c r="AH5277">
        <v>0.65338141267241001</v>
      </c>
      <c r="AI5277">
        <v>102.441760575979</v>
      </c>
      <c r="AJ5277">
        <v>85.527772299939102</v>
      </c>
      <c r="AK5277">
        <v>0.67113821393397699</v>
      </c>
      <c r="AL5277">
        <v>81.506153164573107</v>
      </c>
      <c r="AM5277">
        <v>93.921091909384202</v>
      </c>
      <c r="AN5277">
        <v>1.0000000208836699</v>
      </c>
    </row>
    <row r="5278" spans="1:40" x14ac:dyDescent="0.3">
      <c r="A5278" t="str">
        <f>"20200111150157789"</f>
        <v>20200111150157789</v>
      </c>
      <c r="B5278" t="str">
        <f>"1578726117783831"</f>
        <v>1578726117783831</v>
      </c>
      <c r="C5278" t="s">
        <v>40</v>
      </c>
      <c r="D5278">
        <v>4.61721</v>
      </c>
      <c r="E5278">
        <v>0.55301480000000003</v>
      </c>
      <c r="F5278" t="s">
        <v>41</v>
      </c>
      <c r="G5278">
        <v>-144.79390000000001</v>
      </c>
      <c r="H5278">
        <v>0.96327700000000005</v>
      </c>
      <c r="I5278">
        <v>136.5016</v>
      </c>
      <c r="J5278">
        <v>-145.47450000000001</v>
      </c>
      <c r="K5278">
        <v>1.1054010000000001</v>
      </c>
      <c r="L5278">
        <v>136.57990000000001</v>
      </c>
      <c r="M5278">
        <v>0.9992974</v>
      </c>
      <c r="N5278">
        <v>0</v>
      </c>
      <c r="O5278">
        <v>-3.5510090000000001E-2</v>
      </c>
      <c r="P5278">
        <v>0.99017489999999997</v>
      </c>
      <c r="Q5278">
        <v>0.13552729999999999</v>
      </c>
      <c r="R5278">
        <v>3.4443710000000002E-2</v>
      </c>
      <c r="S5278">
        <v>3.1302639999999999</v>
      </c>
      <c r="T5278">
        <v>-0.64768800000000004</v>
      </c>
      <c r="U5278">
        <v>-0.35688779999999998</v>
      </c>
      <c r="V5278">
        <v>-6.9580379999999997E-2</v>
      </c>
      <c r="W5278">
        <v>0.14737919999999999</v>
      </c>
      <c r="X5278">
        <v>0.9866296</v>
      </c>
      <c r="Y5278">
        <v>7.7054549999999999E-2</v>
      </c>
      <c r="Z5278">
        <v>-6.2006479999999998E-4</v>
      </c>
      <c r="AA5278">
        <v>0.99702670000000004</v>
      </c>
      <c r="AB5278">
        <v>1</v>
      </c>
      <c r="AC5278">
        <v>0.68059999999999798</v>
      </c>
      <c r="AD5278">
        <v>-0.142124</v>
      </c>
      <c r="AE5278">
        <v>-7.8300000000012901E-2</v>
      </c>
      <c r="AF5278">
        <v>5.1849276102318299E-2</v>
      </c>
      <c r="AG5278">
        <v>-0.142124</v>
      </c>
      <c r="AH5278">
        <v>0.65477200550006998</v>
      </c>
      <c r="AI5278">
        <v>102.20951040470599</v>
      </c>
      <c r="AJ5278">
        <v>85.472380417073097</v>
      </c>
      <c r="AK5278">
        <v>0.67202228980512102</v>
      </c>
      <c r="AL5278">
        <v>81.524922339547899</v>
      </c>
      <c r="AM5278">
        <v>94.034008805453794</v>
      </c>
      <c r="AN5278">
        <v>1.00000001273487</v>
      </c>
    </row>
    <row r="5279" spans="1:40" x14ac:dyDescent="0.3">
      <c r="A5279" t="str">
        <f>"20200111150157812"</f>
        <v>20200111150157812</v>
      </c>
      <c r="B5279" t="str">
        <f>"1578726117804324"</f>
        <v>1578726117804324</v>
      </c>
      <c r="C5279" t="s">
        <v>40</v>
      </c>
      <c r="D5279">
        <v>4.5122839999999904</v>
      </c>
      <c r="E5279">
        <v>0.55310000000000004</v>
      </c>
      <c r="F5279" t="s">
        <v>41</v>
      </c>
      <c r="G5279">
        <v>-144.78710000000001</v>
      </c>
      <c r="H5279">
        <v>0.96574020000000005</v>
      </c>
      <c r="I5279">
        <v>136.50219999999999</v>
      </c>
      <c r="J5279">
        <v>-145.4683</v>
      </c>
      <c r="K5279">
        <v>1.105397</v>
      </c>
      <c r="L5279">
        <v>136.5797</v>
      </c>
      <c r="M5279">
        <v>0.99929789999999996</v>
      </c>
      <c r="N5279">
        <v>0</v>
      </c>
      <c r="O5279">
        <v>-3.5492679999999999E-2</v>
      </c>
      <c r="P5279">
        <v>0.99016269999999995</v>
      </c>
      <c r="Q5279">
        <v>0.13516049999999999</v>
      </c>
      <c r="R5279">
        <v>3.619E-2</v>
      </c>
      <c r="S5279">
        <v>3.1290740000000001</v>
      </c>
      <c r="T5279">
        <v>-0.63581599999999905</v>
      </c>
      <c r="U5279">
        <v>-0.35258479999999998</v>
      </c>
      <c r="V5279">
        <v>-7.1307529999999994E-2</v>
      </c>
      <c r="W5279">
        <v>0.1470118</v>
      </c>
      <c r="X5279">
        <v>0.98656109999999997</v>
      </c>
      <c r="Y5279">
        <v>7.5815919999999995E-2</v>
      </c>
      <c r="Z5279">
        <v>-4.8845309999999995E-4</v>
      </c>
      <c r="AA5279">
        <v>0.9971217</v>
      </c>
      <c r="AB5279">
        <v>1</v>
      </c>
      <c r="AC5279">
        <v>0.68119999999998904</v>
      </c>
      <c r="AD5279">
        <v>-0.139656799999999</v>
      </c>
      <c r="AE5279">
        <v>-7.7500000000014696E-2</v>
      </c>
      <c r="AF5279">
        <v>5.1149394537588003E-2</v>
      </c>
      <c r="AG5279">
        <v>-0.139656799999999</v>
      </c>
      <c r="AH5279">
        <v>0.656289280053025</v>
      </c>
      <c r="AI5279">
        <v>101.97794466365799</v>
      </c>
      <c r="AJ5279">
        <v>85.543532003338697</v>
      </c>
      <c r="AK5279">
        <v>0.67293082962539297</v>
      </c>
      <c r="AL5279">
        <v>81.546204677837906</v>
      </c>
      <c r="AM5279">
        <v>94.134085548376603</v>
      </c>
      <c r="AN5279">
        <v>1.00000001860357</v>
      </c>
    </row>
    <row r="5280" spans="1:40" x14ac:dyDescent="0.3">
      <c r="A5280" t="str">
        <f>"20200111150157834"</f>
        <v>20200111150157834</v>
      </c>
      <c r="B5280" t="str">
        <f>"1578726117823845"</f>
        <v>1578726117823845</v>
      </c>
      <c r="C5280" t="s">
        <v>40</v>
      </c>
      <c r="D5280">
        <v>5.0372070000000004</v>
      </c>
      <c r="E5280">
        <v>0.53019289999999997</v>
      </c>
      <c r="F5280" t="s">
        <v>41</v>
      </c>
      <c r="G5280">
        <v>-144.78110000000001</v>
      </c>
      <c r="H5280">
        <v>0.96656220000000004</v>
      </c>
      <c r="I5280">
        <v>136.50309999999999</v>
      </c>
      <c r="J5280">
        <v>-145.46209999999999</v>
      </c>
      <c r="K5280">
        <v>1.1053900000000001</v>
      </c>
      <c r="L5280">
        <v>136.5795</v>
      </c>
      <c r="M5280">
        <v>0.99929849999999998</v>
      </c>
      <c r="N5280">
        <v>0</v>
      </c>
      <c r="O5280">
        <v>-3.5475279999999998E-2</v>
      </c>
      <c r="P5280">
        <v>0.99012080000000002</v>
      </c>
      <c r="Q5280">
        <v>0.13503780000000001</v>
      </c>
      <c r="R5280">
        <v>3.7758010000000002E-2</v>
      </c>
      <c r="S5280">
        <v>3.1288299999999998</v>
      </c>
      <c r="T5280">
        <v>-0.63218730000000001</v>
      </c>
      <c r="U5280">
        <v>-0.34768680000000002</v>
      </c>
      <c r="V5280">
        <v>-7.2856030000000002E-2</v>
      </c>
      <c r="W5280">
        <v>0.146888299999999</v>
      </c>
      <c r="X5280">
        <v>0.98646630000000002</v>
      </c>
      <c r="Y5280">
        <v>7.4338169999999995E-2</v>
      </c>
      <c r="Z5280">
        <v>-3.4185779999999999E-4</v>
      </c>
      <c r="AA5280">
        <v>0.99723300000000004</v>
      </c>
      <c r="AB5280">
        <v>1</v>
      </c>
      <c r="AC5280">
        <v>0.68099999999998295</v>
      </c>
      <c r="AD5280">
        <v>-0.138827799999999</v>
      </c>
      <c r="AE5280">
        <v>-7.6400000000006602E-2</v>
      </c>
      <c r="AF5280">
        <v>5.0133910696618399E-2</v>
      </c>
      <c r="AG5280">
        <v>-0.138827799999999</v>
      </c>
      <c r="AH5280">
        <v>0.65634422625765398</v>
      </c>
      <c r="AI5280">
        <v>101.909289941814</v>
      </c>
      <c r="AJ5280">
        <v>85.6320259339833</v>
      </c>
      <c r="AK5280">
        <v>0.67273643456879595</v>
      </c>
      <c r="AL5280">
        <v>81.553357931974105</v>
      </c>
      <c r="AM5280">
        <v>94.223943505663698</v>
      </c>
      <c r="AN5280">
        <v>0.99999996740996899</v>
      </c>
    </row>
    <row r="5281" spans="1:40" x14ac:dyDescent="0.3">
      <c r="A5281" t="str">
        <f>"20200111150157857"</f>
        <v>20200111150157857</v>
      </c>
      <c r="B5281" t="str">
        <f>"1578726117854100"</f>
        <v>1578726117854100</v>
      </c>
      <c r="C5281" t="s">
        <v>40</v>
      </c>
      <c r="D5281">
        <v>3.891467</v>
      </c>
      <c r="E5281">
        <v>0.50388270000000002</v>
      </c>
      <c r="F5281" t="s">
        <v>46</v>
      </c>
      <c r="G5281">
        <v>0</v>
      </c>
      <c r="H5281">
        <v>0</v>
      </c>
      <c r="I5281">
        <v>0</v>
      </c>
      <c r="J5281">
        <v>-145.45609999999999</v>
      </c>
      <c r="K5281">
        <v>1.1053789999999999</v>
      </c>
      <c r="L5281">
        <v>136.57929999999999</v>
      </c>
      <c r="M5281">
        <v>0.99929920000000005</v>
      </c>
      <c r="N5281">
        <v>0</v>
      </c>
      <c r="O5281">
        <v>-3.5457879999999997E-2</v>
      </c>
      <c r="P5281">
        <v>0.99023879999999997</v>
      </c>
      <c r="Q5281">
        <v>0.13394200000000001</v>
      </c>
      <c r="R5281">
        <v>3.8557189999999998E-2</v>
      </c>
      <c r="S5281">
        <v>3.0295869999999998</v>
      </c>
      <c r="T5281">
        <v>4.156137E-2</v>
      </c>
      <c r="U5281">
        <v>-0.13940429999999901</v>
      </c>
      <c r="V5281">
        <v>-7.3641369999999998E-2</v>
      </c>
      <c r="W5281">
        <v>0.14579300000000001</v>
      </c>
      <c r="X5281">
        <v>0.98657050000000002</v>
      </c>
      <c r="Y5281">
        <v>1.051614E-2</v>
      </c>
      <c r="Z5281">
        <v>-4.1391669999999998E-4</v>
      </c>
      <c r="AA5281">
        <v>0.99994459999999996</v>
      </c>
      <c r="AB5281">
        <v>1</v>
      </c>
      <c r="AC5281">
        <v>3.0295869999999998</v>
      </c>
      <c r="AD5281">
        <v>4.156137E-2</v>
      </c>
      <c r="AE5281">
        <v>-0.13940429999999901</v>
      </c>
      <c r="AF5281">
        <v>3.1880179548375298E-2</v>
      </c>
      <c r="AG5281">
        <v>4.156137E-2</v>
      </c>
      <c r="AH5281">
        <v>3.0320555538393301</v>
      </c>
      <c r="AI5281">
        <v>89.214720729002494</v>
      </c>
      <c r="AJ5281">
        <v>89.397592689592699</v>
      </c>
      <c r="AK5281">
        <v>3.0325079678200701</v>
      </c>
      <c r="AL5281">
        <v>81.616797255559305</v>
      </c>
      <c r="AM5281">
        <v>94.268858128145197</v>
      </c>
      <c r="AN5281">
        <v>1.00000000084736</v>
      </c>
    </row>
    <row r="5282" spans="1:40" x14ac:dyDescent="0.3">
      <c r="A5282" t="str">
        <f>"20200111150157901"</f>
        <v>20200111150157901</v>
      </c>
      <c r="B5282" t="str">
        <f>"1578726117894116"</f>
        <v>1578726117894116</v>
      </c>
      <c r="C5282" t="s">
        <v>40</v>
      </c>
      <c r="D5282">
        <v>4.4661030000000004</v>
      </c>
      <c r="E5282">
        <v>0.48834709999999998</v>
      </c>
      <c r="F5282" t="s">
        <v>41</v>
      </c>
      <c r="G5282">
        <v>-144.7354</v>
      </c>
      <c r="H5282">
        <v>1.0198529999999999</v>
      </c>
      <c r="I5282">
        <v>136.5933</v>
      </c>
      <c r="J5282">
        <v>-145.44380000000001</v>
      </c>
      <c r="K5282">
        <v>1.10537</v>
      </c>
      <c r="L5282">
        <v>136.5789</v>
      </c>
      <c r="M5282">
        <v>0.99930039999999998</v>
      </c>
      <c r="N5282">
        <v>0</v>
      </c>
      <c r="O5282">
        <v>-3.5423070000000001E-2</v>
      </c>
      <c r="P5282">
        <v>0.99038999999999999</v>
      </c>
      <c r="Q5282">
        <v>0.13258490000000001</v>
      </c>
      <c r="R5282">
        <v>3.9360949999999999E-2</v>
      </c>
      <c r="S5282">
        <v>3.0766140000000002</v>
      </c>
      <c r="T5282">
        <v>-0.36520219999999998</v>
      </c>
      <c r="U5282">
        <v>5.9982300000000002E-2</v>
      </c>
      <c r="V5282">
        <v>-7.4416049999999997E-2</v>
      </c>
      <c r="W5282">
        <v>0.1444375</v>
      </c>
      <c r="X5282">
        <v>0.98671169999999997</v>
      </c>
      <c r="Y5282">
        <v>-5.4269669999999999E-2</v>
      </c>
      <c r="Z5282">
        <v>7.399119E-3</v>
      </c>
      <c r="AA5282">
        <v>0.99849889999999997</v>
      </c>
      <c r="AB5282">
        <v>1</v>
      </c>
      <c r="AC5282">
        <v>0.70840000000001102</v>
      </c>
      <c r="AD5282">
        <v>-8.5516999999999802E-2</v>
      </c>
      <c r="AE5282">
        <v>1.4399999999994801E-2</v>
      </c>
      <c r="AF5282">
        <v>-3.8919531471235801E-2</v>
      </c>
      <c r="AG5282">
        <v>-8.5516999999999802E-2</v>
      </c>
      <c r="AH5282">
        <v>0.69728786760283201</v>
      </c>
      <c r="AI5282">
        <v>96.981212324138895</v>
      </c>
      <c r="AJ5282">
        <v>93.194682754088504</v>
      </c>
      <c r="AK5282">
        <v>0.70358955188735195</v>
      </c>
      <c r="AL5282">
        <v>81.695292236538606</v>
      </c>
      <c r="AM5282">
        <v>94.312981364995196</v>
      </c>
      <c r="AN5282">
        <v>0.99999995941037001</v>
      </c>
    </row>
    <row r="5283" spans="1:40" x14ac:dyDescent="0.3">
      <c r="A5283" t="str">
        <f>"20200111150157923"</f>
        <v>20200111150157923</v>
      </c>
      <c r="B5283" t="str">
        <f>"1578726117914612"</f>
        <v>1578726117914612</v>
      </c>
      <c r="C5283" t="s">
        <v>40</v>
      </c>
      <c r="D5283">
        <v>4.5985659999999999</v>
      </c>
      <c r="E5283">
        <v>0.49948019999999999</v>
      </c>
      <c r="F5283" t="s">
        <v>41</v>
      </c>
      <c r="G5283">
        <v>-144.77510000000001</v>
      </c>
      <c r="H5283">
        <v>0.90108630000000001</v>
      </c>
      <c r="I5283">
        <v>136.6146</v>
      </c>
      <c r="J5283">
        <v>-145.43790000000001</v>
      </c>
      <c r="K5283">
        <v>1.105362</v>
      </c>
      <c r="L5283">
        <v>136.5788</v>
      </c>
      <c r="M5283">
        <v>0.99930099999999999</v>
      </c>
      <c r="N5283">
        <v>0</v>
      </c>
      <c r="O5283">
        <v>-3.5406149999999997E-2</v>
      </c>
      <c r="P5283">
        <v>0.99051829999999996</v>
      </c>
      <c r="Q5283">
        <v>0.1315539</v>
      </c>
      <c r="R5283">
        <v>3.95847E-2</v>
      </c>
      <c r="S5283">
        <v>3.1512760000000002</v>
      </c>
      <c r="T5283">
        <v>-0.96279380000000003</v>
      </c>
      <c r="U5283">
        <v>0.16911319999999999</v>
      </c>
      <c r="V5283">
        <v>-7.4627310000000002E-2</v>
      </c>
      <c r="W5283">
        <v>0.14340839999999999</v>
      </c>
      <c r="X5283">
        <v>0.98684590000000005</v>
      </c>
      <c r="Y5283">
        <v>-8.3499249999999997E-2</v>
      </c>
      <c r="Z5283">
        <v>2.3033209999999998E-2</v>
      </c>
      <c r="AA5283">
        <v>0.99624159999999995</v>
      </c>
      <c r="AB5283">
        <v>1</v>
      </c>
      <c r="AC5283">
        <v>0.66280000000000405</v>
      </c>
      <c r="AD5283">
        <v>-0.2042757</v>
      </c>
      <c r="AE5283">
        <v>3.5799999999994697E-2</v>
      </c>
      <c r="AF5283">
        <v>-5.4120587291175498E-2</v>
      </c>
      <c r="AG5283">
        <v>-0.2042757</v>
      </c>
      <c r="AH5283">
        <v>0.60391862927554696</v>
      </c>
      <c r="AI5283">
        <v>108.618684296745</v>
      </c>
      <c r="AJ5283">
        <v>95.120921639099194</v>
      </c>
      <c r="AK5283">
        <v>0.63982443714294601</v>
      </c>
      <c r="AL5283">
        <v>81.754876139678402</v>
      </c>
      <c r="AM5283">
        <v>94.324593161916397</v>
      </c>
      <c r="AN5283">
        <v>1.0000000174676</v>
      </c>
    </row>
    <row r="5284" spans="1:40" x14ac:dyDescent="0.3">
      <c r="A5284" t="str">
        <f>"20200111150157945"</f>
        <v>20200111150157945</v>
      </c>
      <c r="B5284" t="str">
        <f>"1578726117934133"</f>
        <v>1578726117934133</v>
      </c>
      <c r="C5284" t="s">
        <v>40</v>
      </c>
      <c r="D5284">
        <v>4.6865639999999997</v>
      </c>
      <c r="E5284">
        <v>0.50133819999999996</v>
      </c>
      <c r="F5284" t="s">
        <v>41</v>
      </c>
      <c r="G5284">
        <v>-144.75559999999999</v>
      </c>
      <c r="H5284">
        <v>0.93761130000000004</v>
      </c>
      <c r="I5284">
        <v>136.5977</v>
      </c>
      <c r="J5284">
        <v>-145.43209999999999</v>
      </c>
      <c r="K5284">
        <v>1.1053649999999999</v>
      </c>
      <c r="L5284">
        <v>136.57859999999999</v>
      </c>
      <c r="M5284">
        <v>0.99930160000000001</v>
      </c>
      <c r="N5284">
        <v>0</v>
      </c>
      <c r="O5284">
        <v>-3.5389700000000003E-2</v>
      </c>
      <c r="P5284">
        <v>0.99060780000000004</v>
      </c>
      <c r="Q5284">
        <v>0.13068850000000001</v>
      </c>
      <c r="R5284">
        <v>4.0210650000000001E-2</v>
      </c>
      <c r="S5284">
        <v>3.1273499999999999</v>
      </c>
      <c r="T5284">
        <v>-0.76891599999999904</v>
      </c>
      <c r="U5284">
        <v>8.7326050000000002E-2</v>
      </c>
      <c r="V5284">
        <v>-7.523958E-2</v>
      </c>
      <c r="W5284">
        <v>0.1425438</v>
      </c>
      <c r="X5284">
        <v>0.98692460000000004</v>
      </c>
      <c r="Y5284">
        <v>-6.0421700000000002E-2</v>
      </c>
      <c r="Z5284">
        <v>1.5889770000000001E-2</v>
      </c>
      <c r="AA5284">
        <v>0.99804649999999995</v>
      </c>
      <c r="AB5284">
        <v>1</v>
      </c>
      <c r="AC5284">
        <v>0.67650000000000399</v>
      </c>
      <c r="AD5284">
        <v>-0.16775369999999901</v>
      </c>
      <c r="AE5284">
        <v>1.91000000000087E-2</v>
      </c>
      <c r="AF5284">
        <v>-4.0540043031059202E-2</v>
      </c>
      <c r="AG5284">
        <v>-0.16775369999999901</v>
      </c>
      <c r="AH5284">
        <v>0.63630460276170098</v>
      </c>
      <c r="AI5284">
        <v>104.740672799991</v>
      </c>
      <c r="AJ5284">
        <v>93.645483841675599</v>
      </c>
      <c r="AK5284">
        <v>0.65929382406357795</v>
      </c>
      <c r="AL5284">
        <v>81.804927724587202</v>
      </c>
      <c r="AM5284">
        <v>94.359591133267898</v>
      </c>
      <c r="AN5284">
        <v>0.99999994770108602</v>
      </c>
    </row>
    <row r="5285" spans="1:40" x14ac:dyDescent="0.3">
      <c r="A5285" t="str">
        <f>"20200111150157969"</f>
        <v>20200111150157969</v>
      </c>
      <c r="B5285" t="str">
        <f>"1578726117964388"</f>
        <v>1578726117964388</v>
      </c>
      <c r="C5285" t="s">
        <v>40</v>
      </c>
      <c r="D5285">
        <v>3.8253650000000001</v>
      </c>
      <c r="E5285">
        <v>0.50774249999999999</v>
      </c>
      <c r="F5285" t="s">
        <v>41</v>
      </c>
      <c r="G5285">
        <v>-144.74350000000001</v>
      </c>
      <c r="H5285">
        <v>0.95325210000000005</v>
      </c>
      <c r="I5285">
        <v>136.59540000000001</v>
      </c>
      <c r="J5285">
        <v>-145.42609999999999</v>
      </c>
      <c r="K5285">
        <v>1.105359</v>
      </c>
      <c r="L5285">
        <v>136.57839999999999</v>
      </c>
      <c r="M5285">
        <v>0.99930209999999997</v>
      </c>
      <c r="N5285">
        <v>0</v>
      </c>
      <c r="O5285">
        <v>-3.5372889999999997E-2</v>
      </c>
      <c r="P5285">
        <v>0.99087550000000002</v>
      </c>
      <c r="Q5285">
        <v>0.1285926</v>
      </c>
      <c r="R5285">
        <v>4.0371440000000001E-2</v>
      </c>
      <c r="S5285">
        <v>3.1161500000000002</v>
      </c>
      <c r="T5285">
        <v>-0.68844589999999894</v>
      </c>
      <c r="U5285">
        <v>7.6385499999999995E-2</v>
      </c>
      <c r="V5285">
        <v>-7.5393169999999995E-2</v>
      </c>
      <c r="W5285">
        <v>0.1404512</v>
      </c>
      <c r="X5285">
        <v>0.98721289999999995</v>
      </c>
      <c r="Y5285">
        <v>-5.7613669999999999E-2</v>
      </c>
      <c r="Z5285">
        <v>1.4008329999999999E-2</v>
      </c>
      <c r="AA5285">
        <v>0.99824060000000003</v>
      </c>
      <c r="AB5285">
        <v>1</v>
      </c>
      <c r="AC5285">
        <v>0.682599999999979</v>
      </c>
      <c r="AD5285">
        <v>-0.15210689999999899</v>
      </c>
      <c r="AE5285">
        <v>1.7000000000024301E-2</v>
      </c>
      <c r="AF5285">
        <v>-3.9191762942753998E-2</v>
      </c>
      <c r="AG5285">
        <v>-0.15210689999999899</v>
      </c>
      <c r="AH5285">
        <v>0.64934782495463705</v>
      </c>
      <c r="AI5285">
        <v>103.160471946744</v>
      </c>
      <c r="AJ5285">
        <v>93.453929937370404</v>
      </c>
      <c r="AK5285">
        <v>0.66807567017777902</v>
      </c>
      <c r="AL5285">
        <v>81.926043837664395</v>
      </c>
      <c r="AM5285">
        <v>94.367185349360696</v>
      </c>
      <c r="AN5285">
        <v>0.99999998979524896</v>
      </c>
    </row>
    <row r="5286" spans="1:40" x14ac:dyDescent="0.3">
      <c r="A5286" t="str">
        <f>"20200111150157990"</f>
        <v>20200111150157990</v>
      </c>
      <c r="B5286" t="str">
        <f>"1578726117983908"</f>
        <v>1578726117983908</v>
      </c>
      <c r="C5286" t="s">
        <v>40</v>
      </c>
      <c r="D5286">
        <v>4.3723070000000002</v>
      </c>
      <c r="E5286">
        <v>0.50846610000000003</v>
      </c>
      <c r="F5286" t="s">
        <v>42</v>
      </c>
      <c r="G5286">
        <v>-117.9699</v>
      </c>
      <c r="H5286" s="1">
        <v>-1.3799239999999999E-6</v>
      </c>
      <c r="I5286">
        <v>136.97409999999999</v>
      </c>
      <c r="J5286">
        <v>-145.42019999999999</v>
      </c>
      <c r="K5286">
        <v>1.105348</v>
      </c>
      <c r="L5286">
        <v>136.57820000000001</v>
      </c>
      <c r="M5286">
        <v>0.99930280000000005</v>
      </c>
      <c r="N5286">
        <v>0</v>
      </c>
      <c r="O5286">
        <v>-3.5356319999999997E-2</v>
      </c>
      <c r="P5286">
        <v>0.99121219999999999</v>
      </c>
      <c r="Q5286">
        <v>0.12616910000000001</v>
      </c>
      <c r="R5286">
        <v>3.9749760000000002E-2</v>
      </c>
      <c r="S5286">
        <v>3.0417329999999998</v>
      </c>
      <c r="T5286">
        <v>-0.12245730000000001</v>
      </c>
      <c r="U5286">
        <v>4.3838500000000002E-2</v>
      </c>
      <c r="V5286">
        <v>-7.4767810000000004E-2</v>
      </c>
      <c r="W5286">
        <v>0.13803219999999999</v>
      </c>
      <c r="X5286">
        <v>0.98760159999999997</v>
      </c>
      <c r="Y5286">
        <v>-4.968815E-2</v>
      </c>
      <c r="Z5286">
        <v>2.4224749999999999E-3</v>
      </c>
      <c r="AA5286">
        <v>0.99876180000000003</v>
      </c>
      <c r="AB5286">
        <v>1</v>
      </c>
      <c r="AC5286">
        <v>27.450299999999999</v>
      </c>
      <c r="AD5286">
        <v>-1.105349379924</v>
      </c>
      <c r="AE5286">
        <v>0.39589999999998299</v>
      </c>
      <c r="AF5286">
        <v>-1.3640525476195799</v>
      </c>
      <c r="AG5286">
        <v>-1.105349379924</v>
      </c>
      <c r="AH5286">
        <v>27.374758487679799</v>
      </c>
      <c r="AI5286">
        <v>92.309394577879004</v>
      </c>
      <c r="AJ5286">
        <v>92.852623034230305</v>
      </c>
      <c r="AK5286">
        <v>27.431001419254901</v>
      </c>
      <c r="AL5286">
        <v>82.066006033435499</v>
      </c>
      <c r="AM5286">
        <v>94.329401331361495</v>
      </c>
      <c r="AN5286">
        <v>1.0000000169857901</v>
      </c>
    </row>
    <row r="5287" spans="1:40" x14ac:dyDescent="0.3">
      <c r="A5287" t="str">
        <f>"20200111150158013"</f>
        <v>20200111150158013</v>
      </c>
      <c r="B5287" t="str">
        <f>"1578726118004404"</f>
        <v>1578726118004404</v>
      </c>
      <c r="C5287" t="s">
        <v>40</v>
      </c>
      <c r="D5287">
        <v>4.3544589999999896</v>
      </c>
      <c r="E5287">
        <v>0.50876239999999995</v>
      </c>
      <c r="F5287" t="s">
        <v>42</v>
      </c>
      <c r="G5287">
        <v>-119.24250000000001</v>
      </c>
      <c r="H5287" s="1">
        <v>-9.6859719999999993E-7</v>
      </c>
      <c r="I5287">
        <v>136.89240000000001</v>
      </c>
      <c r="J5287">
        <v>-145.41470000000001</v>
      </c>
      <c r="K5287">
        <v>1.1053409999999999</v>
      </c>
      <c r="L5287">
        <v>136.578</v>
      </c>
      <c r="M5287">
        <v>0.99930339999999995</v>
      </c>
      <c r="N5287">
        <v>0</v>
      </c>
      <c r="O5287">
        <v>-3.5340700000000003E-2</v>
      </c>
      <c r="P5287">
        <v>0.99138729999999997</v>
      </c>
      <c r="Q5287">
        <v>0.12523799999999999</v>
      </c>
      <c r="R5287">
        <v>3.8301780000000001E-2</v>
      </c>
      <c r="S5287">
        <v>3.0414729999999999</v>
      </c>
      <c r="T5287">
        <v>-0.12842519999999999</v>
      </c>
      <c r="U5287">
        <v>3.6514280000000003E-2</v>
      </c>
      <c r="V5287">
        <v>-7.3311280000000006E-2</v>
      </c>
      <c r="W5287">
        <v>0.13710359999999999</v>
      </c>
      <c r="X5287">
        <v>0.9878401</v>
      </c>
      <c r="Y5287">
        <v>-4.7264199999999999E-2</v>
      </c>
      <c r="Z5287">
        <v>2.4888620000000001E-3</v>
      </c>
      <c r="AA5287">
        <v>0.99887930000000003</v>
      </c>
      <c r="AB5287">
        <v>1</v>
      </c>
      <c r="AC5287">
        <v>26.1722</v>
      </c>
      <c r="AD5287">
        <v>-1.1053419685971999</v>
      </c>
      <c r="AE5287">
        <v>0.31440000000000601</v>
      </c>
      <c r="AF5287">
        <v>-1.23700784194902</v>
      </c>
      <c r="AG5287">
        <v>-1.1053419685971999</v>
      </c>
      <c r="AH5287">
        <v>26.0981928751455</v>
      </c>
      <c r="AI5287">
        <v>92.422493758290102</v>
      </c>
      <c r="AJ5287">
        <v>92.713686896859898</v>
      </c>
      <c r="AK5287">
        <v>26.150863095065901</v>
      </c>
      <c r="AL5287">
        <v>82.119721486354706</v>
      </c>
      <c r="AM5287">
        <v>94.244351681715898</v>
      </c>
      <c r="AN5287">
        <v>1.0000000020380999</v>
      </c>
    </row>
    <row r="5288" spans="1:40" x14ac:dyDescent="0.3">
      <c r="A5288" t="str">
        <f>"20200111150158035"</f>
        <v>20200111150158035</v>
      </c>
      <c r="B5288" t="str">
        <f>"1578726118023924"</f>
        <v>1578726118023924</v>
      </c>
      <c r="C5288" t="s">
        <v>40</v>
      </c>
      <c r="D5288">
        <v>4.3734460000000004</v>
      </c>
      <c r="E5288">
        <v>0.50896520000000001</v>
      </c>
      <c r="F5288" t="s">
        <v>42</v>
      </c>
      <c r="G5288">
        <v>-123.61969999999999</v>
      </c>
      <c r="H5288" s="1">
        <v>-3.2214249999999998E-6</v>
      </c>
      <c r="I5288">
        <v>136.78630000000001</v>
      </c>
      <c r="J5288">
        <v>-145.40889999999999</v>
      </c>
      <c r="K5288">
        <v>1.1053379999999999</v>
      </c>
      <c r="L5288">
        <v>136.5779</v>
      </c>
      <c r="M5288">
        <v>0.99930379999999996</v>
      </c>
      <c r="N5288">
        <v>0</v>
      </c>
      <c r="O5288">
        <v>-3.5324130000000002E-2</v>
      </c>
      <c r="P5288">
        <v>0.99140510000000004</v>
      </c>
      <c r="Q5288">
        <v>0.12523809999999999</v>
      </c>
      <c r="R5288">
        <v>3.7826489999999997E-2</v>
      </c>
      <c r="S5288">
        <v>3.0444490000000002</v>
      </c>
      <c r="T5288">
        <v>-0.15440079999999901</v>
      </c>
      <c r="U5288">
        <v>2.9098510000000001E-2</v>
      </c>
      <c r="V5288">
        <v>-7.282044E-2</v>
      </c>
      <c r="W5288">
        <v>0.13710410000000001</v>
      </c>
      <c r="X5288">
        <v>0.98787639999999999</v>
      </c>
      <c r="Y5288">
        <v>-4.4773630000000002E-2</v>
      </c>
      <c r="Z5288">
        <v>2.9248199999999999E-3</v>
      </c>
      <c r="AA5288">
        <v>0.99899289999999996</v>
      </c>
      <c r="AB5288">
        <v>1</v>
      </c>
      <c r="AC5288">
        <v>21.789199999999902</v>
      </c>
      <c r="AD5288">
        <v>-1.105341221425</v>
      </c>
      <c r="AE5288">
        <v>0.20840000000001099</v>
      </c>
      <c r="AF5288">
        <v>-0.97549978571718798</v>
      </c>
      <c r="AG5288">
        <v>-1.105341221425</v>
      </c>
      <c r="AH5288">
        <v>21.712367633695401</v>
      </c>
      <c r="AI5288">
        <v>92.911386923469493</v>
      </c>
      <c r="AJ5288">
        <v>92.572472061721598</v>
      </c>
      <c r="AK5288">
        <v>21.7623594150188</v>
      </c>
      <c r="AL5288">
        <v>82.119693074164999</v>
      </c>
      <c r="AM5288">
        <v>94.215882980768399</v>
      </c>
      <c r="AN5288">
        <v>1.0000000661977699</v>
      </c>
    </row>
    <row r="5289" spans="1:40" x14ac:dyDescent="0.3">
      <c r="A5289" t="str">
        <f>"20200111150158057"</f>
        <v>20200111150158057</v>
      </c>
      <c r="B5289" t="str">
        <f>"1578726118054857"</f>
        <v>1578726118054857</v>
      </c>
      <c r="C5289" t="s">
        <v>40</v>
      </c>
      <c r="D5289">
        <v>4.4490189999999998</v>
      </c>
      <c r="E5289">
        <v>0.50878259999999997</v>
      </c>
      <c r="F5289" t="s">
        <v>42</v>
      </c>
      <c r="G5289">
        <v>-124.5856</v>
      </c>
      <c r="H5289" s="1">
        <v>-2.8121449999999999E-6</v>
      </c>
      <c r="I5289">
        <v>136.7577</v>
      </c>
      <c r="J5289">
        <v>-145.4032</v>
      </c>
      <c r="K5289">
        <v>1.1053379999999999</v>
      </c>
      <c r="L5289">
        <v>136.57769999999999</v>
      </c>
      <c r="M5289">
        <v>0.99930439999999998</v>
      </c>
      <c r="N5289">
        <v>0</v>
      </c>
      <c r="O5289">
        <v>-3.53078E-2</v>
      </c>
      <c r="P5289">
        <v>0.99136460000000004</v>
      </c>
      <c r="Q5289">
        <v>0.12527859999999999</v>
      </c>
      <c r="R5289">
        <v>3.8752250000000002E-2</v>
      </c>
      <c r="S5289">
        <v>3.0454249999999998</v>
      </c>
      <c r="T5289">
        <v>-0.16165639999999901</v>
      </c>
      <c r="U5289">
        <v>2.630615E-2</v>
      </c>
      <c r="V5289">
        <v>-7.3728180000000004E-2</v>
      </c>
      <c r="W5289">
        <v>0.1371443</v>
      </c>
      <c r="X5289">
        <v>0.9878034</v>
      </c>
      <c r="Y5289">
        <v>-4.3829840000000002E-2</v>
      </c>
      <c r="Z5289">
        <v>3.0352019999999999E-3</v>
      </c>
      <c r="AA5289">
        <v>0.99903439999999999</v>
      </c>
      <c r="AB5289">
        <v>1</v>
      </c>
      <c r="AC5289">
        <v>20.817599999999999</v>
      </c>
      <c r="AD5289">
        <v>-1.1053408121449999</v>
      </c>
      <c r="AE5289">
        <v>0.18000000000000599</v>
      </c>
      <c r="AF5289">
        <v>-0.912392308648174</v>
      </c>
      <c r="AG5289">
        <v>-1.1053408121449999</v>
      </c>
      <c r="AH5289">
        <v>20.739796223101401</v>
      </c>
      <c r="AI5289">
        <v>93.047786999408302</v>
      </c>
      <c r="AJ5289">
        <v>92.518951644052507</v>
      </c>
      <c r="AK5289">
        <v>20.789261300287802</v>
      </c>
      <c r="AL5289">
        <v>82.117367137901297</v>
      </c>
      <c r="AM5289">
        <v>94.268557124615199</v>
      </c>
      <c r="AN5289">
        <v>0.99999998030008097</v>
      </c>
    </row>
    <row r="5290" spans="1:40" x14ac:dyDescent="0.3">
      <c r="A5290" t="str">
        <f>"20200111150158080"</f>
        <v>20200111150158080</v>
      </c>
      <c r="B5290" t="str">
        <f>"1578726118074379"</f>
        <v>1578726118074379</v>
      </c>
      <c r="C5290" t="s">
        <v>40</v>
      </c>
      <c r="D5290">
        <v>4.3200379999999896</v>
      </c>
      <c r="E5290">
        <v>0.50879700000000005</v>
      </c>
      <c r="F5290" t="s">
        <v>42</v>
      </c>
      <c r="G5290">
        <v>-125.29219999999999</v>
      </c>
      <c r="H5290" s="1">
        <v>-2.505684E-6</v>
      </c>
      <c r="I5290">
        <v>136.7764</v>
      </c>
      <c r="J5290">
        <v>-145.39760000000001</v>
      </c>
      <c r="K5290">
        <v>1.105332</v>
      </c>
      <c r="L5290">
        <v>136.57749999999999</v>
      </c>
      <c r="M5290">
        <v>0.999305</v>
      </c>
      <c r="N5290">
        <v>0</v>
      </c>
      <c r="O5290">
        <v>-3.5291830000000003E-2</v>
      </c>
      <c r="P5290">
        <v>0.99130249999999998</v>
      </c>
      <c r="Q5290">
        <v>0.1256167</v>
      </c>
      <c r="R5290">
        <v>3.9243109999999998E-2</v>
      </c>
      <c r="S5290">
        <v>3.0461119999999999</v>
      </c>
      <c r="T5290">
        <v>-0.16742009999999999</v>
      </c>
      <c r="U5290">
        <v>3.0105590000000002E-2</v>
      </c>
      <c r="V5290">
        <v>-7.4200879999999997E-2</v>
      </c>
      <c r="W5290">
        <v>0.13748150000000001</v>
      </c>
      <c r="X5290">
        <v>0.98772110000000002</v>
      </c>
      <c r="Y5290">
        <v>-4.5048039999999998E-2</v>
      </c>
      <c r="Z5290">
        <v>3.1751180000000002E-3</v>
      </c>
      <c r="AA5290">
        <v>0.99897970000000003</v>
      </c>
      <c r="AB5290">
        <v>1</v>
      </c>
      <c r="AC5290">
        <v>20.105399999999999</v>
      </c>
      <c r="AD5290">
        <v>-1.105334505684</v>
      </c>
      <c r="AE5290">
        <v>0.19890000000000799</v>
      </c>
      <c r="AF5290">
        <v>-0.90564650936819302</v>
      </c>
      <c r="AG5290">
        <v>-1.105334505684</v>
      </c>
      <c r="AH5290">
        <v>20.025333423389799</v>
      </c>
      <c r="AI5290">
        <v>93.156118868327596</v>
      </c>
      <c r="AJ5290">
        <v>92.589439497191407</v>
      </c>
      <c r="AK5290">
        <v>20.076253103787</v>
      </c>
      <c r="AL5290">
        <v>82.097862022989005</v>
      </c>
      <c r="AM5290">
        <v>94.296178980548703</v>
      </c>
      <c r="AN5290">
        <v>0.99999995241011597</v>
      </c>
    </row>
    <row r="5291" spans="1:40" x14ac:dyDescent="0.3">
      <c r="A5291" t="str">
        <f>"20200111150158102"</f>
        <v>20200111150158102</v>
      </c>
      <c r="B5291" t="str">
        <f>"1578726118093896"</f>
        <v>1578726118093896</v>
      </c>
      <c r="C5291" t="s">
        <v>40</v>
      </c>
      <c r="D5291">
        <v>4.3695139999999997</v>
      </c>
      <c r="E5291">
        <v>0.5093569</v>
      </c>
      <c r="F5291" t="s">
        <v>42</v>
      </c>
      <c r="G5291">
        <v>-125.6469</v>
      </c>
      <c r="H5291" s="1">
        <v>-2.3537469999999998E-6</v>
      </c>
      <c r="I5291">
        <v>136.77500000000001</v>
      </c>
      <c r="J5291">
        <v>-145.3921</v>
      </c>
      <c r="K5291">
        <v>1.1053280000000001</v>
      </c>
      <c r="L5291">
        <v>136.57730000000001</v>
      </c>
      <c r="M5291">
        <v>0.99930549999999996</v>
      </c>
      <c r="N5291">
        <v>0</v>
      </c>
      <c r="O5291">
        <v>-3.5276090000000003E-2</v>
      </c>
      <c r="P5291">
        <v>0.99126650000000005</v>
      </c>
      <c r="Q5291">
        <v>0.1259035</v>
      </c>
      <c r="R5291">
        <v>3.9227039999999998E-2</v>
      </c>
      <c r="S5291">
        <v>3.0467379999999999</v>
      </c>
      <c r="T5291">
        <v>-0.17050860000000001</v>
      </c>
      <c r="U5291">
        <v>3.04718E-2</v>
      </c>
      <c r="V5291">
        <v>-7.4167300000000005E-2</v>
      </c>
      <c r="W5291">
        <v>0.13776769999999999</v>
      </c>
      <c r="X5291">
        <v>0.9876838</v>
      </c>
      <c r="Y5291">
        <v>-4.5145780000000003E-2</v>
      </c>
      <c r="Z5291">
        <v>3.23479E-3</v>
      </c>
      <c r="AA5291">
        <v>0.99897519999999995</v>
      </c>
      <c r="AB5291">
        <v>1</v>
      </c>
      <c r="AC5291">
        <v>19.745200000000001</v>
      </c>
      <c r="AD5291">
        <v>-1.1053303537469901</v>
      </c>
      <c r="AE5291">
        <v>0.19769999999999699</v>
      </c>
      <c r="AF5291">
        <v>-0.89136756065466105</v>
      </c>
      <c r="AG5291">
        <v>-1.1053303537469901</v>
      </c>
      <c r="AH5291">
        <v>19.664317908698099</v>
      </c>
      <c r="AI5291">
        <v>93.213914264501099</v>
      </c>
      <c r="AJ5291">
        <v>92.595394509974696</v>
      </c>
      <c r="AK5291">
        <v>19.715519017602599</v>
      </c>
      <c r="AL5291">
        <v>82.081306879065806</v>
      </c>
      <c r="AM5291">
        <v>94.294403562430105</v>
      </c>
      <c r="AN5291">
        <v>1.00000000816751</v>
      </c>
    </row>
    <row r="5292" spans="1:40" x14ac:dyDescent="0.3">
      <c r="A5292" t="str">
        <f>"20200111150158125"</f>
        <v>20200111150158125</v>
      </c>
      <c r="B5292" t="str">
        <f>"1578726118114394"</f>
        <v>1578726118114394</v>
      </c>
      <c r="C5292" t="s">
        <v>40</v>
      </c>
      <c r="D5292">
        <v>4.3841570000000001</v>
      </c>
      <c r="E5292">
        <v>0.50977929999999905</v>
      </c>
      <c r="F5292" t="s">
        <v>42</v>
      </c>
      <c r="G5292">
        <v>-124.7072</v>
      </c>
      <c r="H5292" s="1">
        <v>-2.7616010000000002E-6</v>
      </c>
      <c r="I5292">
        <v>136.7484</v>
      </c>
      <c r="J5292">
        <v>-145.38650000000001</v>
      </c>
      <c r="K5292">
        <v>1.1053299999999999</v>
      </c>
      <c r="L5292">
        <v>136.5772</v>
      </c>
      <c r="M5292">
        <v>0.99930620000000003</v>
      </c>
      <c r="N5292">
        <v>0</v>
      </c>
      <c r="O5292">
        <v>-3.5260359999999998E-2</v>
      </c>
      <c r="P5292">
        <v>0.99132010000000004</v>
      </c>
      <c r="Q5292">
        <v>0.1254364</v>
      </c>
      <c r="R5292">
        <v>3.937363E-2</v>
      </c>
      <c r="S5292">
        <v>3.0461269999999998</v>
      </c>
      <c r="T5292">
        <v>-0.16277510000000001</v>
      </c>
      <c r="U5292">
        <v>2.5192260000000001E-2</v>
      </c>
      <c r="V5292">
        <v>-7.4300740000000004E-2</v>
      </c>
      <c r="W5292">
        <v>0.13730100000000001</v>
      </c>
      <c r="X5292">
        <v>0.98773869999999997</v>
      </c>
      <c r="Y5292">
        <v>-4.3414290000000001E-2</v>
      </c>
      <c r="Z5292">
        <v>3.0418469999999999E-3</v>
      </c>
      <c r="AA5292">
        <v>0.99905250000000001</v>
      </c>
      <c r="AB5292">
        <v>1</v>
      </c>
      <c r="AC5292">
        <v>20.679300000000001</v>
      </c>
      <c r="AD5292">
        <v>-1.105332761601</v>
      </c>
      <c r="AE5292">
        <v>0.17119999999999799</v>
      </c>
      <c r="AF5292">
        <v>-0.89774083537591398</v>
      </c>
      <c r="AG5292">
        <v>-1.105332761601</v>
      </c>
      <c r="AH5292">
        <v>20.601546777938498</v>
      </c>
      <c r="AI5292">
        <v>93.068233998514401</v>
      </c>
      <c r="AJ5292">
        <v>92.495164115153202</v>
      </c>
      <c r="AK5292">
        <v>20.650700442477898</v>
      </c>
      <c r="AL5292">
        <v>82.108302921179998</v>
      </c>
      <c r="AM5292">
        <v>94.301862747484606</v>
      </c>
      <c r="AN5292">
        <v>0.99999995202161696</v>
      </c>
    </row>
    <row r="5293" spans="1:40" x14ac:dyDescent="0.3">
      <c r="A5293" t="str">
        <f>"20200111150158148"</f>
        <v>20200111150158148</v>
      </c>
      <c r="B5293" t="str">
        <f>"1578726118144649"</f>
        <v>1578726118144649</v>
      </c>
      <c r="C5293" t="s">
        <v>40</v>
      </c>
      <c r="D5293">
        <v>4.2808809999999999</v>
      </c>
      <c r="E5293">
        <v>0.50991109999999995</v>
      </c>
      <c r="F5293" t="s">
        <v>42</v>
      </c>
      <c r="G5293">
        <v>-124.29649999999999</v>
      </c>
      <c r="H5293" s="1">
        <v>-2.940997E-6</v>
      </c>
      <c r="I5293">
        <v>136.73050000000001</v>
      </c>
      <c r="J5293">
        <v>-145.3809</v>
      </c>
      <c r="K5293">
        <v>1.1053280000000001</v>
      </c>
      <c r="L5293">
        <v>136.577</v>
      </c>
      <c r="M5293">
        <v>0.99930669999999999</v>
      </c>
      <c r="N5293">
        <v>0</v>
      </c>
      <c r="O5293">
        <v>-3.524439E-2</v>
      </c>
      <c r="P5293">
        <v>0.99139409999999994</v>
      </c>
      <c r="Q5293">
        <v>0.1250532</v>
      </c>
      <c r="R5293">
        <v>3.8725290000000002E-2</v>
      </c>
      <c r="S5293">
        <v>3.0456089999999998</v>
      </c>
      <c r="T5293">
        <v>-0.1596207</v>
      </c>
      <c r="U5293">
        <v>2.21405E-2</v>
      </c>
      <c r="V5293">
        <v>-7.3639609999999994E-2</v>
      </c>
      <c r="W5293">
        <v>0.13691889999999901</v>
      </c>
      <c r="X5293">
        <v>0.98784130000000003</v>
      </c>
      <c r="Y5293">
        <v>-4.2404379999999998E-2</v>
      </c>
      <c r="Z5293">
        <v>2.956209E-3</v>
      </c>
      <c r="AA5293">
        <v>0.99909619999999999</v>
      </c>
      <c r="AB5293">
        <v>1</v>
      </c>
      <c r="AC5293">
        <v>21.084399999999999</v>
      </c>
      <c r="AD5293">
        <v>-1.105330940997</v>
      </c>
      <c r="AE5293">
        <v>0.15350000000000799</v>
      </c>
      <c r="AF5293">
        <v>-0.89410779355512904</v>
      </c>
      <c r="AG5293">
        <v>-1.105330940997</v>
      </c>
      <c r="AH5293">
        <v>21.0081550780586</v>
      </c>
      <c r="AI5293">
        <v>93.0090854726934</v>
      </c>
      <c r="AJ5293">
        <v>92.4370395827533</v>
      </c>
      <c r="AK5293">
        <v>21.056204905428299</v>
      </c>
      <c r="AL5293">
        <v>82.130404794279897</v>
      </c>
      <c r="AM5293">
        <v>94.263285235990395</v>
      </c>
      <c r="AN5293">
        <v>1.00000000566192</v>
      </c>
    </row>
    <row r="5294" spans="1:40" x14ac:dyDescent="0.3">
      <c r="A5294" t="str">
        <f>"20200111150158281"</f>
        <v>20200111150158281</v>
      </c>
      <c r="B5294" t="str">
        <f>"1578726118274080"</f>
        <v>1578726118274080</v>
      </c>
      <c r="C5294" t="s">
        <v>40</v>
      </c>
      <c r="D5294">
        <v>4.224513</v>
      </c>
      <c r="E5294">
        <v>0.56318649999999904</v>
      </c>
      <c r="F5294" t="s">
        <v>42</v>
      </c>
      <c r="G5294">
        <v>-124.88330000000001</v>
      </c>
      <c r="H5294" s="1">
        <v>-2.691263E-6</v>
      </c>
      <c r="I5294">
        <v>136.7191</v>
      </c>
      <c r="J5294">
        <v>-145.34960000000001</v>
      </c>
      <c r="K5294">
        <v>1.1053109999999999</v>
      </c>
      <c r="L5294">
        <v>136.57599999999999</v>
      </c>
      <c r="M5294">
        <v>0.99930980000000003</v>
      </c>
      <c r="N5294">
        <v>0</v>
      </c>
      <c r="O5294">
        <v>-3.5156050000000001E-2</v>
      </c>
      <c r="P5294">
        <v>0.99171010000000004</v>
      </c>
      <c r="Q5294">
        <v>0.123124499999999</v>
      </c>
      <c r="R5294">
        <v>3.6764749999999999E-2</v>
      </c>
      <c r="S5294">
        <v>3.0459290000000001</v>
      </c>
      <c r="T5294">
        <v>-0.1642516</v>
      </c>
      <c r="U5294">
        <v>2.111816E-2</v>
      </c>
      <c r="V5294">
        <v>-7.1603860000000005E-2</v>
      </c>
      <c r="W5294">
        <v>0.13499529999999901</v>
      </c>
      <c r="X5294">
        <v>0.98825560000000001</v>
      </c>
      <c r="Y5294">
        <v>-4.1974480000000002E-2</v>
      </c>
      <c r="Z5294">
        <v>3.025191E-3</v>
      </c>
      <c r="AA5294">
        <v>0.9991141</v>
      </c>
      <c r="AB5294">
        <v>1</v>
      </c>
      <c r="AC5294">
        <v>20.4663</v>
      </c>
      <c r="AD5294">
        <v>-1.1053136912629999</v>
      </c>
      <c r="AE5294">
        <v>0.143100000000004</v>
      </c>
      <c r="AF5294">
        <v>-0.86006915096189096</v>
      </c>
      <c r="AG5294">
        <v>-1.1053136912629999</v>
      </c>
      <c r="AH5294">
        <v>20.389149219048001</v>
      </c>
      <c r="AI5294">
        <v>93.100265522594199</v>
      </c>
      <c r="AJ5294">
        <v>92.415458084800605</v>
      </c>
      <c r="AK5294">
        <v>20.4371926442243</v>
      </c>
      <c r="AL5294">
        <v>82.241651790787202</v>
      </c>
      <c r="AM5294">
        <v>94.1441124831168</v>
      </c>
      <c r="AN5294">
        <v>0.99999998736017404</v>
      </c>
    </row>
    <row r="5295" spans="1:40" x14ac:dyDescent="0.3">
      <c r="A5295" t="str">
        <f>"20200111150158303"</f>
        <v>20200111150158303</v>
      </c>
      <c r="B5295" t="str">
        <f>"1578726118294576"</f>
        <v>1578726118294576</v>
      </c>
      <c r="C5295" t="s">
        <v>40</v>
      </c>
      <c r="D5295">
        <v>4.6573909999999996</v>
      </c>
      <c r="E5295">
        <v>0.54873309999999997</v>
      </c>
      <c r="F5295" t="s">
        <v>41</v>
      </c>
      <c r="G5295">
        <v>-144.68799999999999</v>
      </c>
      <c r="H5295">
        <v>0.9114158</v>
      </c>
      <c r="I5295">
        <v>136.48500000000001</v>
      </c>
      <c r="J5295">
        <v>-145.34460000000001</v>
      </c>
      <c r="K5295">
        <v>1.1053029999999999</v>
      </c>
      <c r="L5295">
        <v>136.57579999999999</v>
      </c>
      <c r="M5295">
        <v>0.99931029999999998</v>
      </c>
      <c r="N5295">
        <v>0</v>
      </c>
      <c r="O5295">
        <v>-3.5141749999999999E-2</v>
      </c>
      <c r="P5295">
        <v>0.99177519999999997</v>
      </c>
      <c r="Q5295">
        <v>0.1224655</v>
      </c>
      <c r="R5295">
        <v>3.7208690000000003E-2</v>
      </c>
      <c r="S5295">
        <v>3.1559910000000002</v>
      </c>
      <c r="T5295">
        <v>-0.92498769999999997</v>
      </c>
      <c r="U5295">
        <v>-0.43357849999999998</v>
      </c>
      <c r="V5295">
        <v>-7.2035390000000005E-2</v>
      </c>
      <c r="W5295">
        <v>0.13433709999999999</v>
      </c>
      <c r="X5295">
        <v>0.98831389999999997</v>
      </c>
      <c r="Y5295">
        <v>9.858546E-2</v>
      </c>
      <c r="Z5295">
        <v>-4.0509730000000002E-3</v>
      </c>
      <c r="AA5295">
        <v>0.99512029999999996</v>
      </c>
      <c r="AB5295">
        <v>1</v>
      </c>
      <c r="AC5295">
        <v>0.65660000000002505</v>
      </c>
      <c r="AD5295">
        <v>-0.19388720000000001</v>
      </c>
      <c r="AE5295">
        <v>-9.0799999999973097E-2</v>
      </c>
      <c r="AF5295">
        <v>6.2334820367779001E-2</v>
      </c>
      <c r="AG5295">
        <v>-0.19388720000000001</v>
      </c>
      <c r="AH5295">
        <v>0.60741517671525302</v>
      </c>
      <c r="AI5295">
        <v>107.616349709961</v>
      </c>
      <c r="AJ5295">
        <v>84.140642070892</v>
      </c>
      <c r="AK5295">
        <v>0.64064894681732298</v>
      </c>
      <c r="AL5295">
        <v>82.279710333294801</v>
      </c>
      <c r="AM5295">
        <v>94.168754661193901</v>
      </c>
      <c r="AN5295">
        <v>0.99999995939103503</v>
      </c>
    </row>
    <row r="5296" spans="1:40" x14ac:dyDescent="0.3">
      <c r="A5296" t="str">
        <f>"20200111150158325"</f>
        <v>20200111150158325</v>
      </c>
      <c r="B5296" t="str">
        <f>"1578726118314096"</f>
        <v>1578726118314096</v>
      </c>
      <c r="C5296" t="s">
        <v>40</v>
      </c>
      <c r="D5296">
        <v>4.5525690000000001</v>
      </c>
      <c r="E5296">
        <v>0.54843509999999995</v>
      </c>
      <c r="F5296" t="s">
        <v>41</v>
      </c>
      <c r="G5296">
        <v>-144.61940000000001</v>
      </c>
      <c r="H5296">
        <v>1.040249</v>
      </c>
      <c r="I5296">
        <v>136.50569999999999</v>
      </c>
      <c r="J5296">
        <v>-145.33959999999999</v>
      </c>
      <c r="K5296">
        <v>1.1053040000000001</v>
      </c>
      <c r="L5296">
        <v>136.57570000000001</v>
      </c>
      <c r="M5296">
        <v>0.9993109</v>
      </c>
      <c r="N5296">
        <v>0</v>
      </c>
      <c r="O5296">
        <v>-3.512792E-2</v>
      </c>
      <c r="P5296">
        <v>0.99185279999999998</v>
      </c>
      <c r="Q5296">
        <v>0.1217467</v>
      </c>
      <c r="R5296">
        <v>3.749628E-2</v>
      </c>
      <c r="S5296">
        <v>3.0700229999999999</v>
      </c>
      <c r="T5296">
        <v>-0.27550019999999997</v>
      </c>
      <c r="U5296">
        <v>-0.29660029999999998</v>
      </c>
      <c r="V5296">
        <v>-7.2312050000000003E-2</v>
      </c>
      <c r="W5296">
        <v>0.13361879999999901</v>
      </c>
      <c r="X5296">
        <v>0.98839109999999997</v>
      </c>
      <c r="Y5296">
        <v>6.1033959999999998E-2</v>
      </c>
      <c r="Z5296">
        <v>4.1041290000000001E-4</v>
      </c>
      <c r="AA5296">
        <v>0.99813560000000001</v>
      </c>
      <c r="AB5296">
        <v>1</v>
      </c>
      <c r="AC5296">
        <v>0.72019999999997697</v>
      </c>
      <c r="AD5296">
        <v>-6.5055000000000002E-2</v>
      </c>
      <c r="AE5296">
        <v>-7.00000000000216E-2</v>
      </c>
      <c r="AF5296">
        <v>4.4297786628753E-2</v>
      </c>
      <c r="AG5296">
        <v>-6.5055000000000002E-2</v>
      </c>
      <c r="AH5296">
        <v>0.71642373659106096</v>
      </c>
      <c r="AI5296">
        <v>95.178688936297306</v>
      </c>
      <c r="AJ5296">
        <v>86.461801887883198</v>
      </c>
      <c r="AK5296">
        <v>0.72073394347450104</v>
      </c>
      <c r="AL5296">
        <v>82.321240563143405</v>
      </c>
      <c r="AM5296">
        <v>94.184382769537706</v>
      </c>
      <c r="AN5296">
        <v>0.99999999142392604</v>
      </c>
    </row>
    <row r="5297" spans="1:40" x14ac:dyDescent="0.3">
      <c r="A5297" t="str">
        <f>"20200111150158348"</f>
        <v>20200111150158348</v>
      </c>
      <c r="B5297" t="str">
        <f>"1578726118344352"</f>
        <v>1578726118344352</v>
      </c>
      <c r="C5297" t="s">
        <v>40</v>
      </c>
      <c r="D5297">
        <v>4.6245779999999996</v>
      </c>
      <c r="E5297">
        <v>0.54839919999999998</v>
      </c>
      <c r="F5297" t="s">
        <v>42</v>
      </c>
      <c r="G5297">
        <v>-126.54259999999999</v>
      </c>
      <c r="H5297" s="1">
        <v>-2.4464879999999999E-6</v>
      </c>
      <c r="I5297">
        <v>134.791</v>
      </c>
      <c r="J5297">
        <v>-145.33459999999999</v>
      </c>
      <c r="K5297">
        <v>1.105305</v>
      </c>
      <c r="L5297">
        <v>136.57550000000001</v>
      </c>
      <c r="M5297">
        <v>0.99931139999999996</v>
      </c>
      <c r="N5297">
        <v>0</v>
      </c>
      <c r="O5297">
        <v>-3.5113499999999999E-2</v>
      </c>
      <c r="P5297">
        <v>0.99178180000000005</v>
      </c>
      <c r="Q5297">
        <v>0.12217219999999999</v>
      </c>
      <c r="R5297">
        <v>3.7990459999999997E-2</v>
      </c>
      <c r="S5297">
        <v>3.057693</v>
      </c>
      <c r="T5297">
        <v>-0.17979909999999999</v>
      </c>
      <c r="U5297">
        <v>-0.29029850000000001</v>
      </c>
      <c r="V5297">
        <v>-7.2789019999999996E-2</v>
      </c>
      <c r="W5297">
        <v>0.13404369999999999</v>
      </c>
      <c r="X5297">
        <v>0.98829849999999997</v>
      </c>
      <c r="Y5297">
        <v>5.9456559999999999E-2</v>
      </c>
      <c r="Z5297">
        <v>3.1465749999999999E-4</v>
      </c>
      <c r="AA5297">
        <v>0.99823079999999997</v>
      </c>
      <c r="AB5297">
        <v>1</v>
      </c>
      <c r="AC5297">
        <v>18.792000000000002</v>
      </c>
      <c r="AD5297">
        <v>-1.1053074464879999</v>
      </c>
      <c r="AE5297">
        <v>-1.7845</v>
      </c>
      <c r="AF5297">
        <v>1.11966015780342</v>
      </c>
      <c r="AG5297">
        <v>-1.1053074464879999</v>
      </c>
      <c r="AH5297">
        <v>18.7786891294326</v>
      </c>
      <c r="AI5297">
        <v>93.362566274322006</v>
      </c>
      <c r="AJ5297">
        <v>86.587837279602297</v>
      </c>
      <c r="AK5297">
        <v>18.8444821855127</v>
      </c>
      <c r="AL5297">
        <v>82.296674195520495</v>
      </c>
      <c r="AM5297">
        <v>94.212277158448899</v>
      </c>
      <c r="AN5297">
        <v>0.99999994002224801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Testday_off_with_headDir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knight</dc:creator>
  <cp:lastModifiedBy>knight</cp:lastModifiedBy>
  <dcterms:created xsi:type="dcterms:W3CDTF">2022-04-01T02:48:43Z</dcterms:created>
  <dcterms:modified xsi:type="dcterms:W3CDTF">2022-04-01T02:48:43Z</dcterms:modified>
</cp:coreProperties>
</file>